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queryTables/queryTable1.xml" ContentType="application/vnd.openxmlformats-officedocument.spreadsheetml.queryTable+xml"/>
  <Override PartName="/xl/tables/table86.xml" ContentType="application/vnd.openxmlformats-officedocument.spreadsheetml.table+xml"/>
  <Override PartName="/xl/queryTables/queryTable2.xml" ContentType="application/vnd.openxmlformats-officedocument.spreadsheetml.query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hidePivotFieldList="1" defaultThemeVersion="202300"/>
  <mc:AlternateContent xmlns:mc="http://schemas.openxmlformats.org/markup-compatibility/2006">
    <mc:Choice Requires="x15">
      <x15ac:absPath xmlns:x15ac="http://schemas.microsoft.com/office/spreadsheetml/2010/11/ac" url="C:\Users\Jorge Vasquez\Ranking\"/>
    </mc:Choice>
  </mc:AlternateContent>
  <xr:revisionPtr revIDLastSave="0" documentId="13_ncr:1_{82479FDF-924E-44BD-BC37-B88B8F715864}" xr6:coauthVersionLast="47" xr6:coauthVersionMax="47" xr10:uidLastSave="{00000000-0000-0000-0000-000000000000}"/>
  <bookViews>
    <workbookView xWindow="-120" yWindow="-120" windowWidth="20730" windowHeight="11040" firstSheet="19" activeTab="20" xr2:uid="{FB309F9D-9D94-4EEA-B5AF-3266FE344876}"/>
  </bookViews>
  <sheets>
    <sheet name="NOVIEMBRE_2024" sheetId="32" r:id="rId1"/>
    <sheet name="DICIEMBRE_2024" sheetId="31" r:id="rId2"/>
    <sheet name="ENERO_2025" sheetId="16" r:id="rId3"/>
    <sheet name="FEBRERO_2025" sheetId="12" r:id="rId4"/>
    <sheet name="MARZO_2025" sheetId="13" r:id="rId5"/>
    <sheet name="ABRIL_2025" sheetId="15" r:id="rId6"/>
    <sheet name="MAYO_2025" sheetId="14" r:id="rId7"/>
    <sheet name="JUNIO_2025" sheetId="11" r:id="rId8"/>
    <sheet name="JULIO_2025" sheetId="3" r:id="rId9"/>
    <sheet name="AGOSTO_2025" sheetId="10" r:id="rId10"/>
    <sheet name="ING" sheetId="8" state="hidden" r:id="rId11"/>
    <sheet name="OCTUBRE_2025" sheetId="18" r:id="rId12"/>
    <sheet name="NOVIEMBRE_2025" sheetId="21" r:id="rId13"/>
    <sheet name="DICIEMBRE_2025" sheetId="23" r:id="rId14"/>
    <sheet name="ENERO_2026" sheetId="30" r:id="rId15"/>
    <sheet name="FEBRERO_2026" sheetId="33" r:id="rId16"/>
    <sheet name="MARZO_2026" sheetId="35" r:id="rId17"/>
    <sheet name="ABRIL_2026" sheetId="36" r:id="rId18"/>
    <sheet name="Hoja2" sheetId="55" r:id="rId19"/>
    <sheet name="MAYO_2026" sheetId="37" r:id="rId20"/>
    <sheet name="JUNIO_2026" sheetId="17" r:id="rId21"/>
    <sheet name="INF" sheetId="28" r:id="rId22"/>
    <sheet name="DIM" sheetId="34" r:id="rId23"/>
    <sheet name="METAS" sheetId="22" r:id="rId24"/>
    <sheet name="TIM" sheetId="39" r:id="rId25"/>
    <sheet name="ME" sheetId="38" r:id="rId26"/>
  </sheets>
  <definedNames>
    <definedName name="_xlnm._FilterDatabase" localSheetId="8" hidden="1">JULIO_2025!#REF!</definedName>
    <definedName name="DatosExternos_1" localSheetId="22" hidden="1">DIM!$A$1:$J$588</definedName>
    <definedName name="DatosExternos_1" localSheetId="21" hidden="1">INF!$A$1:$E$107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54" i="17" l="1" a="1"/>
  <c r="AN55" i="17" a="1"/>
  <c r="AN56" i="17" a="1"/>
  <c r="AO54" i="17"/>
  <c r="AO55" i="17"/>
  <c r="AO56" i="17"/>
  <c r="B53" i="17" a="1"/>
  <c r="B54" i="17" a="1"/>
  <c r="H53" i="17" a="1"/>
  <c r="H54" i="17" a="1"/>
  <c r="I53" i="17" a="1"/>
  <c r="I54" i="17" a="1"/>
  <c r="J53" i="17" a="1"/>
  <c r="J54" i="17" a="1"/>
  <c r="K53" i="17" a="1"/>
  <c r="K54" i="17" a="1"/>
  <c r="A1783" i="55" a="1"/>
  <c r="A1784" i="55" a="1"/>
  <c r="A7273" i="55" a="1"/>
  <c r="A16550" i="55" a="1"/>
  <c r="A16551" i="55" a="1"/>
  <c r="DI9" i="36"/>
  <c r="DI10" i="36"/>
  <c r="DI11" i="36"/>
  <c r="DI12" i="36"/>
  <c r="DI13" i="36"/>
  <c r="DI14" i="36"/>
  <c r="DI15" i="36"/>
  <c r="DI16" i="36"/>
  <c r="DI17" i="36"/>
  <c r="DI18" i="36"/>
  <c r="DI19" i="36"/>
  <c r="DI20" i="36"/>
  <c r="DI21" i="36"/>
  <c r="DI22" i="36"/>
  <c r="DI23" i="36"/>
  <c r="DI24" i="36"/>
  <c r="DI25" i="36"/>
  <c r="DI26" i="36"/>
  <c r="DI27" i="36"/>
  <c r="DI28" i="36"/>
  <c r="DI29" i="36"/>
  <c r="DI30" i="36"/>
  <c r="DI31" i="36"/>
  <c r="DI32" i="36"/>
  <c r="DI33" i="36"/>
  <c r="DI34" i="36"/>
  <c r="DI35" i="36"/>
  <c r="DI36" i="36"/>
  <c r="DI37" i="36"/>
  <c r="DI38" i="36"/>
  <c r="DI39" i="36"/>
  <c r="DI40" i="36"/>
  <c r="DI41" i="36"/>
  <c r="DI42" i="36"/>
  <c r="DI43" i="36"/>
  <c r="DI44" i="36"/>
  <c r="DI45" i="36"/>
  <c r="DI46" i="36"/>
  <c r="DI47" i="36"/>
  <c r="DI48" i="36"/>
  <c r="DI49" i="36"/>
  <c r="DI50" i="36"/>
  <c r="DI51" i="36"/>
  <c r="DI52" i="36"/>
  <c r="DI53" i="36"/>
  <c r="DI54" i="36"/>
  <c r="DI55" i="36"/>
  <c r="DI56" i="36"/>
  <c r="DI57" i="36"/>
  <c r="DI58" i="36"/>
  <c r="DI59" i="36"/>
  <c r="DI60" i="36"/>
  <c r="DI61" i="36"/>
  <c r="DI62" i="36"/>
  <c r="DI63" i="36"/>
  <c r="CM12" i="17"/>
  <c r="CM13" i="17"/>
  <c r="CM14" i="17"/>
  <c r="CM15" i="17"/>
  <c r="CM16" i="17"/>
  <c r="CM17" i="17"/>
  <c r="CM18" i="17"/>
  <c r="CM19" i="17"/>
  <c r="CM20" i="17"/>
  <c r="CM21" i="17"/>
  <c r="CM22" i="17"/>
  <c r="CM23" i="17"/>
  <c r="CM24" i="17"/>
  <c r="CM25" i="17"/>
  <c r="CM26" i="17"/>
  <c r="CM27" i="17"/>
  <c r="CM28" i="17"/>
  <c r="CM29" i="17"/>
  <c r="CM30" i="17"/>
  <c r="CM31" i="17"/>
  <c r="CM32" i="17"/>
  <c r="CM33" i="17"/>
  <c r="CM34" i="17"/>
  <c r="CM35" i="17"/>
  <c r="CM36" i="17"/>
  <c r="CM37" i="17"/>
  <c r="CM38" i="17"/>
  <c r="CM39" i="17"/>
  <c r="CM40" i="17"/>
  <c r="CM41" i="17"/>
  <c r="CM42" i="17"/>
  <c r="CM43" i="17"/>
  <c r="CM44" i="17"/>
  <c r="CM45" i="17"/>
  <c r="CM46" i="17"/>
  <c r="CM47" i="17"/>
  <c r="CM48" i="17"/>
  <c r="CM49" i="17"/>
  <c r="CM50" i="17"/>
  <c r="CM51" i="17"/>
  <c r="CM52" i="17"/>
  <c r="CM53" i="17"/>
  <c r="CM54" i="17"/>
  <c r="CM55" i="17"/>
  <c r="CM56" i="17"/>
  <c r="CM57" i="17"/>
  <c r="CM58" i="17"/>
  <c r="CM59" i="17"/>
  <c r="CM60" i="17"/>
  <c r="CM61" i="17"/>
  <c r="CM62" i="17"/>
  <c r="CM63" i="17"/>
  <c r="CM64" i="17"/>
  <c r="CM65" i="17"/>
  <c r="CM66" i="17"/>
  <c r="CM67" i="17"/>
  <c r="CM68" i="17"/>
  <c r="CM69" i="17"/>
  <c r="CM70" i="17"/>
  <c r="CM71" i="17"/>
  <c r="CM72" i="17"/>
  <c r="CM73" i="17"/>
  <c r="CM74" i="17"/>
  <c r="CM75" i="17"/>
  <c r="CM76" i="17"/>
  <c r="CM77" i="17"/>
  <c r="CM78" i="17"/>
  <c r="CM79" i="17"/>
  <c r="CM80" i="17"/>
  <c r="CM81" i="17"/>
  <c r="CM82" i="17"/>
  <c r="CM83" i="17"/>
  <c r="CM84" i="17"/>
  <c r="CM85" i="17"/>
  <c r="CM86" i="17"/>
  <c r="CM87" i="17"/>
  <c r="CM88" i="17"/>
  <c r="CM89" i="17"/>
  <c r="CM90" i="17"/>
  <c r="CM91" i="17"/>
  <c r="CM92" i="17"/>
  <c r="CM93" i="17"/>
  <c r="CM94" i="17"/>
  <c r="CM95" i="17"/>
  <c r="CM96" i="17"/>
  <c r="CM97" i="17"/>
  <c r="CM98" i="17"/>
  <c r="CM99" i="17"/>
  <c r="CM100" i="17"/>
  <c r="CM101" i="17"/>
  <c r="CM102" i="17"/>
  <c r="CM103" i="17"/>
  <c r="CM104" i="17"/>
  <c r="CM105" i="17"/>
  <c r="CM106" i="17"/>
  <c r="CM107" i="17"/>
  <c r="CM108" i="17"/>
  <c r="CM109" i="17"/>
  <c r="CM110" i="17"/>
  <c r="CM111" i="17"/>
  <c r="CM112" i="17"/>
  <c r="CM113" i="17"/>
  <c r="CM114" i="17"/>
  <c r="CM115" i="17"/>
  <c r="CM116" i="17"/>
  <c r="CM117" i="17"/>
  <c r="CM118" i="17"/>
  <c r="CM119" i="17"/>
  <c r="CM120" i="17"/>
  <c r="CM121" i="17"/>
  <c r="CM122" i="17"/>
  <c r="CM123" i="17"/>
  <c r="CM124" i="17"/>
  <c r="CM125" i="17"/>
  <c r="CM126" i="17"/>
  <c r="CM127" i="17"/>
  <c r="CM128" i="17"/>
  <c r="CM129" i="17"/>
  <c r="CM130" i="17"/>
  <c r="CM131" i="17"/>
  <c r="CM132" i="17"/>
  <c r="CM133" i="17"/>
  <c r="CM134" i="17"/>
  <c r="CM135" i="17"/>
  <c r="CM136" i="17"/>
  <c r="CM137" i="17"/>
  <c r="CM138" i="17"/>
  <c r="CM139" i="17"/>
  <c r="CM140" i="17"/>
  <c r="CM141" i="17"/>
  <c r="CM142" i="17"/>
  <c r="CM143" i="17"/>
  <c r="CM144" i="17"/>
  <c r="CM145" i="17"/>
  <c r="CM146" i="17"/>
  <c r="CM147" i="17"/>
  <c r="CM148" i="17"/>
  <c r="CM149" i="17"/>
  <c r="CM150" i="17"/>
  <c r="CM151" i="17"/>
  <c r="CM152" i="17"/>
  <c r="CM153" i="17"/>
  <c r="CM154" i="17"/>
  <c r="CM155" i="17"/>
  <c r="CM156" i="17"/>
  <c r="CM157" i="17"/>
  <c r="CM158" i="17"/>
  <c r="CM159" i="17"/>
  <c r="CM160" i="17"/>
  <c r="CM161" i="17"/>
  <c r="CM162" i="17"/>
  <c r="CM163" i="17"/>
  <c r="CM164" i="17"/>
  <c r="CM165" i="17"/>
  <c r="CM166" i="17"/>
  <c r="CM167" i="17"/>
  <c r="CM168" i="17"/>
  <c r="CM169" i="17"/>
  <c r="CM170" i="17"/>
  <c r="CM171" i="17"/>
  <c r="CM172" i="17"/>
  <c r="CM173" i="17"/>
  <c r="CM174" i="17"/>
  <c r="CM175" i="17"/>
  <c r="CM176" i="17"/>
  <c r="CM177" i="17"/>
  <c r="CM178" i="17"/>
  <c r="CM179" i="17"/>
  <c r="CM180" i="17"/>
  <c r="CM181" i="17"/>
  <c r="CM182" i="17"/>
  <c r="CM183" i="17"/>
  <c r="CM184" i="17"/>
  <c r="CM185" i="17"/>
  <c r="CM186" i="17"/>
  <c r="CM187" i="17"/>
  <c r="CM188" i="17"/>
  <c r="CM189" i="17"/>
  <c r="CM190" i="17"/>
  <c r="CM191" i="17"/>
  <c r="CM192" i="17"/>
  <c r="CM193" i="17"/>
  <c r="CM194" i="17"/>
  <c r="CM195" i="17"/>
  <c r="CM196" i="17"/>
  <c r="CM197" i="17"/>
  <c r="CM198" i="17"/>
  <c r="CM199" i="17"/>
  <c r="CM200" i="17"/>
  <c r="CM201" i="17"/>
  <c r="CM202" i="17"/>
  <c r="CM203" i="17"/>
  <c r="CM204" i="17"/>
  <c r="CM205" i="17"/>
  <c r="CM206" i="17"/>
  <c r="CM207" i="17"/>
  <c r="CM208" i="17"/>
  <c r="CM209" i="17"/>
  <c r="CM210" i="17"/>
  <c r="CM211" i="17"/>
  <c r="CM212" i="17"/>
  <c r="CM213" i="17"/>
  <c r="CM214" i="17"/>
  <c r="CM215" i="17"/>
  <c r="CM216" i="17"/>
  <c r="CM217" i="17"/>
  <c r="CM218" i="17"/>
  <c r="CM219" i="17"/>
  <c r="CM220" i="17"/>
  <c r="CM221" i="17"/>
  <c r="CM222" i="17"/>
  <c r="CM223" i="17"/>
  <c r="CM224" i="17"/>
  <c r="CM225" i="17"/>
  <c r="CM226" i="17"/>
  <c r="CM227" i="17"/>
  <c r="CM228" i="17"/>
  <c r="CM229" i="17"/>
  <c r="CM230" i="17"/>
  <c r="CM231" i="17"/>
  <c r="CM232" i="17"/>
  <c r="CM233" i="17"/>
  <c r="CM234" i="17"/>
  <c r="CM235" i="17"/>
  <c r="CM236" i="17"/>
  <c r="CM237" i="17"/>
  <c r="CM238" i="17"/>
  <c r="CM239" i="17"/>
  <c r="CM240" i="17"/>
  <c r="CM241" i="17"/>
  <c r="CM242" i="17"/>
  <c r="CM243" i="17"/>
  <c r="CM244" i="17"/>
  <c r="CM245" i="17"/>
  <c r="CM246" i="17"/>
  <c r="CM247" i="17"/>
  <c r="CM10" i="17"/>
  <c r="CM11" i="17"/>
  <c r="CM9" i="17"/>
  <c r="AN52" i="17" a="1"/>
  <c r="AN53" i="17" a="1"/>
  <c r="AO52" i="17"/>
  <c r="AO53" i="17"/>
  <c r="B52" i="17" a="1"/>
  <c r="H52" i="17" a="1"/>
  <c r="I52" i="17" a="1"/>
  <c r="J52" i="17" a="1"/>
  <c r="K52" i="17" a="1"/>
  <c r="CK9" i="17"/>
  <c r="CK10" i="17"/>
  <c r="CK11" i="17"/>
  <c r="CK12" i="17"/>
  <c r="CK13" i="17"/>
  <c r="CK14" i="17"/>
  <c r="CK15" i="17"/>
  <c r="CK16" i="17"/>
  <c r="CK17" i="17"/>
  <c r="CK18" i="17"/>
  <c r="CK19" i="17"/>
  <c r="CK20" i="17"/>
  <c r="CK21" i="17"/>
  <c r="CK22" i="17"/>
  <c r="CK23" i="17"/>
  <c r="CK24" i="17"/>
  <c r="CK25" i="17"/>
  <c r="CK26" i="17"/>
  <c r="CK27" i="17"/>
  <c r="CK28" i="17"/>
  <c r="CK29" i="17"/>
  <c r="CK30" i="17"/>
  <c r="CK31" i="17"/>
  <c r="CK32" i="17"/>
  <c r="CK33" i="17"/>
  <c r="CK34" i="17"/>
  <c r="CK35" i="17"/>
  <c r="CK36" i="17"/>
  <c r="CK37" i="17"/>
  <c r="CK38" i="17"/>
  <c r="CK39" i="17"/>
  <c r="CK40" i="17"/>
  <c r="CK41" i="17"/>
  <c r="CK42" i="17"/>
  <c r="CK43" i="17"/>
  <c r="CK44" i="17"/>
  <c r="CK45" i="17"/>
  <c r="CK46" i="17"/>
  <c r="CK47" i="17"/>
  <c r="CK48" i="17"/>
  <c r="CK49" i="17"/>
  <c r="CK50" i="17"/>
  <c r="CK51" i="17"/>
  <c r="CK52" i="17"/>
  <c r="CK53" i="17"/>
  <c r="CK54" i="17"/>
  <c r="CK55" i="17"/>
  <c r="CK56" i="17"/>
  <c r="CK57" i="17"/>
  <c r="CK58" i="17"/>
  <c r="CK59" i="17"/>
  <c r="CK60" i="17"/>
  <c r="CK61" i="17"/>
  <c r="CK62" i="17"/>
  <c r="CK63" i="17"/>
  <c r="CK64" i="17"/>
  <c r="CK65" i="17"/>
  <c r="CK66" i="17"/>
  <c r="CK67" i="17"/>
  <c r="CK68" i="17"/>
  <c r="CK69" i="17"/>
  <c r="CK70" i="17"/>
  <c r="CK71" i="17"/>
  <c r="CK72" i="17"/>
  <c r="CK73" i="17"/>
  <c r="CK74" i="17"/>
  <c r="CK75" i="17"/>
  <c r="CK76" i="17"/>
  <c r="CK77" i="17"/>
  <c r="CK78" i="17"/>
  <c r="CK79" i="17"/>
  <c r="CK80" i="17"/>
  <c r="CK81" i="17"/>
  <c r="CK82" i="17"/>
  <c r="CK83" i="17"/>
  <c r="CK84" i="17"/>
  <c r="CK85" i="17"/>
  <c r="CK86" i="17"/>
  <c r="CK87" i="17"/>
  <c r="CK88" i="17"/>
  <c r="CK89" i="17"/>
  <c r="CK90" i="17"/>
  <c r="CK91" i="17"/>
  <c r="CK92" i="17"/>
  <c r="CK93" i="17"/>
  <c r="CK94" i="17"/>
  <c r="CK95" i="17"/>
  <c r="CK96" i="17"/>
  <c r="CK97" i="17"/>
  <c r="CK98" i="17"/>
  <c r="CK99" i="17"/>
  <c r="CK100" i="17"/>
  <c r="CK101" i="17"/>
  <c r="CK102" i="17"/>
  <c r="CK103" i="17"/>
  <c r="CK104" i="17"/>
  <c r="CK105" i="17"/>
  <c r="CK106" i="17"/>
  <c r="CK107" i="17"/>
  <c r="CK108" i="17"/>
  <c r="CK109" i="17"/>
  <c r="CK110" i="17"/>
  <c r="CK111" i="17"/>
  <c r="CK112" i="17"/>
  <c r="CK113" i="17"/>
  <c r="CK114" i="17"/>
  <c r="CK115" i="17"/>
  <c r="CK116" i="17"/>
  <c r="CK117" i="17"/>
  <c r="CK118" i="17"/>
  <c r="CK119" i="17"/>
  <c r="CK120" i="17"/>
  <c r="CK121" i="17"/>
  <c r="CK122" i="17"/>
  <c r="CK123" i="17"/>
  <c r="CK124" i="17"/>
  <c r="CK125" i="17"/>
  <c r="CK126" i="17"/>
  <c r="CK127" i="17"/>
  <c r="CK128" i="17"/>
  <c r="CK129" i="17"/>
  <c r="CK130" i="17"/>
  <c r="CK131" i="17"/>
  <c r="CK132" i="17"/>
  <c r="CK133" i="17"/>
  <c r="CK134" i="17"/>
  <c r="CK135" i="17"/>
  <c r="CK136" i="17"/>
  <c r="CK137" i="17"/>
  <c r="CK138" i="17"/>
  <c r="CK139" i="17"/>
  <c r="CK140" i="17"/>
  <c r="CK141" i="17"/>
  <c r="CK142" i="17"/>
  <c r="CK143" i="17"/>
  <c r="CK144" i="17"/>
  <c r="CK145" i="17"/>
  <c r="CK146" i="17"/>
  <c r="CK147" i="17"/>
  <c r="CK148" i="17"/>
  <c r="CK149" i="17"/>
  <c r="CK150" i="17"/>
  <c r="CK151" i="17"/>
  <c r="CK152" i="17"/>
  <c r="CK153" i="17"/>
  <c r="CK154" i="17"/>
  <c r="CK155" i="17"/>
  <c r="CK156" i="17"/>
  <c r="CK157" i="17"/>
  <c r="CK158" i="17"/>
  <c r="CK159" i="17"/>
  <c r="CK160" i="17"/>
  <c r="CK161" i="17"/>
  <c r="CK162" i="17"/>
  <c r="CK163" i="17"/>
  <c r="CK164" i="17"/>
  <c r="CK165" i="17"/>
  <c r="CK166" i="17"/>
  <c r="CK167" i="17"/>
  <c r="CK168" i="17"/>
  <c r="CK169" i="17"/>
  <c r="CK170" i="17"/>
  <c r="CK171" i="17"/>
  <c r="CK172" i="17"/>
  <c r="CK173" i="17"/>
  <c r="CK174" i="17"/>
  <c r="CK175" i="17"/>
  <c r="CK176" i="17"/>
  <c r="CK177" i="17"/>
  <c r="CK178" i="17"/>
  <c r="CK179" i="17"/>
  <c r="CK180" i="17"/>
  <c r="CK181" i="17"/>
  <c r="CK182" i="17"/>
  <c r="CK183" i="17"/>
  <c r="CK184" i="17"/>
  <c r="CK185" i="17"/>
  <c r="CK186" i="17"/>
  <c r="CK187" i="17"/>
  <c r="CK188" i="17"/>
  <c r="CK189" i="17"/>
  <c r="CK190" i="17"/>
  <c r="CK191" i="17"/>
  <c r="CK192" i="17"/>
  <c r="CK193" i="17"/>
  <c r="CK194" i="17"/>
  <c r="CK195" i="17"/>
  <c r="CK196" i="17"/>
  <c r="CK197" i="17"/>
  <c r="CK198" i="17"/>
  <c r="CK199" i="17"/>
  <c r="CK200" i="17"/>
  <c r="CK201" i="17"/>
  <c r="CK202" i="17"/>
  <c r="CK203" i="17"/>
  <c r="CK204" i="17"/>
  <c r="CK205" i="17"/>
  <c r="CK206" i="17"/>
  <c r="CK207" i="17"/>
  <c r="CK208" i="17"/>
  <c r="CK209" i="17"/>
  <c r="CK210" i="17"/>
  <c r="CK211" i="17"/>
  <c r="CK212" i="17"/>
  <c r="CK213" i="17"/>
  <c r="CK214" i="17"/>
  <c r="CK215" i="17"/>
  <c r="CK216" i="17"/>
  <c r="CK217" i="17"/>
  <c r="CK218" i="17"/>
  <c r="CK219" i="17"/>
  <c r="CK220" i="17"/>
  <c r="CK221" i="17"/>
  <c r="CK222" i="17"/>
  <c r="CK223" i="17"/>
  <c r="CK224" i="17"/>
  <c r="CK225" i="17"/>
  <c r="CK226" i="17"/>
  <c r="CK227" i="17"/>
  <c r="CK228" i="17"/>
  <c r="CK229" i="17"/>
  <c r="CK230" i="17"/>
  <c r="CK231" i="17"/>
  <c r="CK232" i="17"/>
  <c r="CK233" i="17"/>
  <c r="CK234" i="17"/>
  <c r="CK235" i="17"/>
  <c r="CK236" i="17"/>
  <c r="CK237" i="17"/>
  <c r="CK238" i="17"/>
  <c r="CK239" i="17"/>
  <c r="CK240" i="17"/>
  <c r="CK241" i="17"/>
  <c r="CK242" i="17"/>
  <c r="CK243" i="17"/>
  <c r="CK244" i="17"/>
  <c r="CK245" i="17"/>
  <c r="CK246" i="17"/>
  <c r="CK247" i="17"/>
  <c r="CB9" i="17"/>
  <c r="CB10" i="17"/>
  <c r="CB11" i="17"/>
  <c r="CB12" i="17"/>
  <c r="CB13" i="17"/>
  <c r="CB14" i="17"/>
  <c r="CB15" i="17"/>
  <c r="CB16" i="17"/>
  <c r="CB17" i="17"/>
  <c r="CB18" i="17"/>
  <c r="CB19" i="17"/>
  <c r="CB20" i="17"/>
  <c r="CB21" i="17"/>
  <c r="CB22" i="17"/>
  <c r="CB23" i="17"/>
  <c r="CB24" i="17"/>
  <c r="CB25" i="17"/>
  <c r="CB26" i="17"/>
  <c r="CB27" i="17"/>
  <c r="CB28" i="17"/>
  <c r="CB29" i="17"/>
  <c r="CB30" i="17"/>
  <c r="CB31" i="17"/>
  <c r="CB32" i="17"/>
  <c r="CB33" i="17"/>
  <c r="CB34" i="17"/>
  <c r="CB35" i="17"/>
  <c r="CB36" i="17"/>
  <c r="CB37" i="17"/>
  <c r="CB38" i="17"/>
  <c r="CB39" i="17"/>
  <c r="CB40" i="17"/>
  <c r="CB41" i="17"/>
  <c r="CB42" i="17"/>
  <c r="CB43" i="17"/>
  <c r="CB44" i="17"/>
  <c r="CB45" i="17"/>
  <c r="CB46" i="17"/>
  <c r="CB47" i="17"/>
  <c r="CB48" i="17"/>
  <c r="CB49" i="17"/>
  <c r="CB50" i="17"/>
  <c r="CB51" i="17"/>
  <c r="CB52" i="17"/>
  <c r="CB53" i="17"/>
  <c r="CB54" i="17"/>
  <c r="CB55" i="17"/>
  <c r="CB56" i="17"/>
  <c r="CB57" i="17"/>
  <c r="CB58" i="17"/>
  <c r="CB59" i="17"/>
  <c r="CB60" i="17"/>
  <c r="CB61" i="17"/>
  <c r="CB62" i="17"/>
  <c r="CB63" i="17"/>
  <c r="CB64" i="17"/>
  <c r="CB65" i="17"/>
  <c r="CB66" i="17"/>
  <c r="CB67" i="17"/>
  <c r="CB68" i="17"/>
  <c r="CB69" i="17"/>
  <c r="CB70" i="17"/>
  <c r="CB71" i="17"/>
  <c r="CB72" i="17"/>
  <c r="CB73" i="17"/>
  <c r="CB74" i="17"/>
  <c r="CB75" i="17"/>
  <c r="CB76" i="17"/>
  <c r="CB77" i="17"/>
  <c r="CB78" i="17"/>
  <c r="CB79" i="17"/>
  <c r="CB80" i="17"/>
  <c r="CB81" i="17"/>
  <c r="CB82" i="17"/>
  <c r="CB83" i="17"/>
  <c r="CB84" i="17"/>
  <c r="CB85" i="17"/>
  <c r="CB86" i="17"/>
  <c r="CB87" i="17"/>
  <c r="CB88" i="17"/>
  <c r="CB89" i="17"/>
  <c r="CB90" i="17"/>
  <c r="CB91" i="17"/>
  <c r="CB92" i="17"/>
  <c r="CB93" i="17"/>
  <c r="CB94" i="17"/>
  <c r="CB95" i="17"/>
  <c r="CB96" i="17"/>
  <c r="CB97" i="17"/>
  <c r="CB98" i="17"/>
  <c r="CB99" i="17"/>
  <c r="CB100" i="17"/>
  <c r="CB101" i="17"/>
  <c r="CB102" i="17"/>
  <c r="CB103" i="17"/>
  <c r="CB104" i="17"/>
  <c r="CB105" i="17"/>
  <c r="CB106" i="17"/>
  <c r="CB107" i="17"/>
  <c r="CB108" i="17"/>
  <c r="CB109" i="17"/>
  <c r="CB110" i="17"/>
  <c r="CB111" i="17"/>
  <c r="CB112" i="17"/>
  <c r="CB113" i="17"/>
  <c r="CB114" i="17"/>
  <c r="CB115" i="17"/>
  <c r="CB116" i="17"/>
  <c r="CB117" i="17"/>
  <c r="CB118" i="17"/>
  <c r="CB119" i="17"/>
  <c r="CB120" i="17"/>
  <c r="CB121" i="17"/>
  <c r="CB122" i="17"/>
  <c r="CB123" i="17"/>
  <c r="CB124" i="17"/>
  <c r="CB125" i="17"/>
  <c r="CB126" i="17"/>
  <c r="CB127" i="17"/>
  <c r="CB128" i="17"/>
  <c r="CB129" i="17"/>
  <c r="CB130" i="17"/>
  <c r="CB131" i="17"/>
  <c r="CB132" i="17"/>
  <c r="CB133" i="17"/>
  <c r="CB134" i="17"/>
  <c r="CB135" i="17"/>
  <c r="CB136" i="17"/>
  <c r="CB137" i="17"/>
  <c r="CB138" i="17"/>
  <c r="CB139" i="17"/>
  <c r="CB140" i="17"/>
  <c r="CB141" i="17"/>
  <c r="CB142" i="17"/>
  <c r="CB143" i="17"/>
  <c r="CB144" i="17"/>
  <c r="CB145" i="17"/>
  <c r="CB146" i="17"/>
  <c r="CB147" i="17"/>
  <c r="CB148" i="17"/>
  <c r="CB149" i="17"/>
  <c r="CB150" i="17"/>
  <c r="CB151" i="17"/>
  <c r="CB152" i="17"/>
  <c r="CB153" i="17"/>
  <c r="CB154" i="17"/>
  <c r="CB155" i="17"/>
  <c r="CB156" i="17"/>
  <c r="CB157" i="17"/>
  <c r="CB158" i="17"/>
  <c r="CB159" i="17"/>
  <c r="CB160" i="17"/>
  <c r="CB161" i="17"/>
  <c r="CB162" i="17"/>
  <c r="CB163" i="17"/>
  <c r="CB164" i="17"/>
  <c r="CB165" i="17"/>
  <c r="CB166" i="17"/>
  <c r="CB167" i="17"/>
  <c r="CB168" i="17"/>
  <c r="CB169" i="17"/>
  <c r="CB170" i="17"/>
  <c r="CB171" i="17"/>
  <c r="CB172" i="17"/>
  <c r="CB173" i="17"/>
  <c r="CB174" i="17"/>
  <c r="CB175" i="17"/>
  <c r="CB176" i="17"/>
  <c r="CB177" i="17"/>
  <c r="CB178" i="17"/>
  <c r="CB179" i="17"/>
  <c r="CB180" i="17"/>
  <c r="CB181" i="17"/>
  <c r="CB182" i="17"/>
  <c r="CB183" i="17"/>
  <c r="CB184" i="17"/>
  <c r="CB185" i="17"/>
  <c r="CB186" i="17"/>
  <c r="CB187" i="17"/>
  <c r="CB188" i="17"/>
  <c r="CB189" i="17"/>
  <c r="CB190" i="17"/>
  <c r="CB191" i="17"/>
  <c r="CB192" i="17"/>
  <c r="CB193" i="17"/>
  <c r="CB194" i="17"/>
  <c r="CB195" i="17"/>
  <c r="CB196" i="17"/>
  <c r="CB197" i="17"/>
  <c r="CB198" i="17"/>
  <c r="CB199" i="17"/>
  <c r="CB200" i="17"/>
  <c r="CB201" i="17"/>
  <c r="CB202" i="17"/>
  <c r="CB203" i="17"/>
  <c r="CB204" i="17"/>
  <c r="CB205" i="17"/>
  <c r="CB206" i="17"/>
  <c r="CB207" i="17"/>
  <c r="CB208" i="17"/>
  <c r="CB209" i="17"/>
  <c r="CB210" i="17"/>
  <c r="CB211" i="17"/>
  <c r="CB212" i="17"/>
  <c r="CB213" i="17"/>
  <c r="CB214" i="17"/>
  <c r="CB215" i="17"/>
  <c r="CB216" i="17"/>
  <c r="CB217" i="17"/>
  <c r="CB218" i="17"/>
  <c r="CB219" i="17"/>
  <c r="CB220" i="17"/>
  <c r="CB221" i="17"/>
  <c r="CB222" i="17"/>
  <c r="CB223" i="17"/>
  <c r="CB224" i="17"/>
  <c r="CB225" i="17"/>
  <c r="CB226" i="17"/>
  <c r="CB227" i="17"/>
  <c r="CB228" i="17"/>
  <c r="CB229" i="17"/>
  <c r="CB230" i="17"/>
  <c r="CB231" i="17"/>
  <c r="CB232" i="17"/>
  <c r="CB233" i="17"/>
  <c r="CB234" i="17"/>
  <c r="CB235" i="17"/>
  <c r="CB236" i="17"/>
  <c r="CB237" i="17"/>
  <c r="CB238" i="17"/>
  <c r="CB239" i="17"/>
  <c r="CB240" i="17"/>
  <c r="CB241" i="17"/>
  <c r="CB242" i="17"/>
  <c r="CB243" i="17"/>
  <c r="CB244" i="17"/>
  <c r="CB245" i="17"/>
  <c r="CB246" i="17"/>
  <c r="CB247" i="17"/>
  <c r="CG9" i="17"/>
  <c r="CG10" i="17"/>
  <c r="CG11" i="17"/>
  <c r="CG12" i="17"/>
  <c r="CG13" i="17"/>
  <c r="CG14" i="17"/>
  <c r="CG15" i="17"/>
  <c r="CG16" i="17"/>
  <c r="CG17" i="17"/>
  <c r="CG18" i="17"/>
  <c r="CG19" i="17"/>
  <c r="CG20" i="17"/>
  <c r="CG21" i="17"/>
  <c r="CG22" i="17"/>
  <c r="CG23" i="17"/>
  <c r="CG24" i="17"/>
  <c r="CG25" i="17"/>
  <c r="CG26" i="17"/>
  <c r="CG27" i="17"/>
  <c r="CG28" i="17"/>
  <c r="CG29" i="17"/>
  <c r="CG30" i="17"/>
  <c r="CG31" i="17"/>
  <c r="CG32" i="17"/>
  <c r="CG33" i="17"/>
  <c r="CG34" i="17"/>
  <c r="CG35" i="17"/>
  <c r="CG36" i="17"/>
  <c r="CG37" i="17"/>
  <c r="CG38" i="17"/>
  <c r="CG39" i="17"/>
  <c r="CG40" i="17"/>
  <c r="CG41" i="17"/>
  <c r="CG42" i="17"/>
  <c r="CG43" i="17"/>
  <c r="CG44" i="17"/>
  <c r="CG45" i="17"/>
  <c r="CG46" i="17"/>
  <c r="CG47" i="17"/>
  <c r="CG48" i="17"/>
  <c r="CG49" i="17"/>
  <c r="CG50" i="17"/>
  <c r="CG51" i="17"/>
  <c r="CG52" i="17"/>
  <c r="CG53" i="17"/>
  <c r="CG54" i="17"/>
  <c r="CG55" i="17"/>
  <c r="CG56" i="17"/>
  <c r="CG57" i="17"/>
  <c r="CG58" i="17"/>
  <c r="CG59" i="17"/>
  <c r="CG60" i="17"/>
  <c r="CG61" i="17"/>
  <c r="CG62" i="17"/>
  <c r="CG63" i="17"/>
  <c r="CG64" i="17"/>
  <c r="CG65" i="17"/>
  <c r="CG66" i="17"/>
  <c r="CG67" i="17"/>
  <c r="CG68" i="17"/>
  <c r="CG69" i="17"/>
  <c r="CG70" i="17"/>
  <c r="CG71" i="17"/>
  <c r="CG72" i="17"/>
  <c r="CG73" i="17"/>
  <c r="CG74" i="17"/>
  <c r="CG75" i="17"/>
  <c r="CG76" i="17"/>
  <c r="CG77" i="17"/>
  <c r="CG78" i="17"/>
  <c r="CG79" i="17"/>
  <c r="CG80" i="17"/>
  <c r="CG81" i="17"/>
  <c r="CG82" i="17"/>
  <c r="CG83" i="17"/>
  <c r="CG84" i="17"/>
  <c r="CG85" i="17"/>
  <c r="CG86" i="17"/>
  <c r="CG87" i="17"/>
  <c r="CG88" i="17"/>
  <c r="CG89" i="17"/>
  <c r="CG90" i="17"/>
  <c r="CG91" i="17"/>
  <c r="CG92" i="17"/>
  <c r="CG93" i="17"/>
  <c r="CG94" i="17"/>
  <c r="CG95" i="17"/>
  <c r="CG96" i="17"/>
  <c r="CG97" i="17"/>
  <c r="CG98" i="17"/>
  <c r="CG99" i="17"/>
  <c r="CG100" i="17"/>
  <c r="CG101" i="17"/>
  <c r="CG102" i="17"/>
  <c r="CG103" i="17"/>
  <c r="CG104" i="17"/>
  <c r="CG105" i="17"/>
  <c r="CG106" i="17"/>
  <c r="CG107" i="17"/>
  <c r="CG108" i="17"/>
  <c r="CG109" i="17"/>
  <c r="CG110" i="17"/>
  <c r="CG111" i="17"/>
  <c r="CG112" i="17"/>
  <c r="CG113" i="17"/>
  <c r="CG114" i="17"/>
  <c r="CG115" i="17"/>
  <c r="CG116" i="17"/>
  <c r="CG117" i="17"/>
  <c r="CG118" i="17"/>
  <c r="CG119" i="17"/>
  <c r="CG120" i="17"/>
  <c r="CG121" i="17"/>
  <c r="CG122" i="17"/>
  <c r="CG123" i="17"/>
  <c r="CG124" i="17"/>
  <c r="CG125" i="17"/>
  <c r="CG126" i="17"/>
  <c r="CG127" i="17"/>
  <c r="CG128" i="17"/>
  <c r="CG129" i="17"/>
  <c r="CG130" i="17"/>
  <c r="CG131" i="17"/>
  <c r="CG132" i="17"/>
  <c r="CG133" i="17"/>
  <c r="CG134" i="17"/>
  <c r="CG135" i="17"/>
  <c r="CG136" i="17"/>
  <c r="CG137" i="17"/>
  <c r="CG138" i="17"/>
  <c r="CG139" i="17"/>
  <c r="CG140" i="17"/>
  <c r="CG141" i="17"/>
  <c r="CG142" i="17"/>
  <c r="CG143" i="17"/>
  <c r="CG144" i="17"/>
  <c r="CG145" i="17"/>
  <c r="CG146" i="17"/>
  <c r="CG147" i="17"/>
  <c r="CG148" i="17"/>
  <c r="CG149" i="17"/>
  <c r="CG150" i="17"/>
  <c r="CG151" i="17"/>
  <c r="CG152" i="17"/>
  <c r="CG153" i="17"/>
  <c r="CG154" i="17"/>
  <c r="CG155" i="17"/>
  <c r="CG156" i="17"/>
  <c r="CG157" i="17"/>
  <c r="CG158" i="17"/>
  <c r="CG159" i="17"/>
  <c r="CG160" i="17"/>
  <c r="CG161" i="17"/>
  <c r="CG162" i="17"/>
  <c r="CG163" i="17"/>
  <c r="CG164" i="17"/>
  <c r="CG165" i="17"/>
  <c r="CG166" i="17"/>
  <c r="CG167" i="17"/>
  <c r="CG168" i="17"/>
  <c r="CG169" i="17"/>
  <c r="CG170" i="17"/>
  <c r="CG171" i="17"/>
  <c r="CG172" i="17"/>
  <c r="CG173" i="17"/>
  <c r="CG174" i="17"/>
  <c r="CG175" i="17"/>
  <c r="CG176" i="17"/>
  <c r="CG177" i="17"/>
  <c r="CG178" i="17"/>
  <c r="CG179" i="17"/>
  <c r="CG180" i="17"/>
  <c r="CG181" i="17"/>
  <c r="CG182" i="17"/>
  <c r="CG183" i="17"/>
  <c r="CG184" i="17"/>
  <c r="CG185" i="17"/>
  <c r="CG186" i="17"/>
  <c r="CG187" i="17"/>
  <c r="CG188" i="17"/>
  <c r="CG189" i="17"/>
  <c r="CG190" i="17"/>
  <c r="CG191" i="17"/>
  <c r="CG192" i="17"/>
  <c r="CG193" i="17"/>
  <c r="CG194" i="17"/>
  <c r="CG195" i="17"/>
  <c r="CG196" i="17"/>
  <c r="CG197" i="17"/>
  <c r="CG198" i="17"/>
  <c r="CG199" i="17"/>
  <c r="CG200" i="17"/>
  <c r="CG201" i="17"/>
  <c r="CG202" i="17"/>
  <c r="CG203" i="17"/>
  <c r="CG204" i="17"/>
  <c r="CG205" i="17"/>
  <c r="CG206" i="17"/>
  <c r="CG207" i="17"/>
  <c r="CG208" i="17"/>
  <c r="CG209" i="17"/>
  <c r="CG210" i="17"/>
  <c r="CG211" i="17"/>
  <c r="CG212" i="17"/>
  <c r="CG213" i="17"/>
  <c r="CG214" i="17"/>
  <c r="CG215" i="17"/>
  <c r="CG216" i="17"/>
  <c r="CG217" i="17"/>
  <c r="CG218" i="17"/>
  <c r="CG219" i="17"/>
  <c r="CG220" i="17"/>
  <c r="CG221" i="17"/>
  <c r="CG222" i="17"/>
  <c r="CG223" i="17"/>
  <c r="CG224" i="17"/>
  <c r="CG225" i="17"/>
  <c r="CG226" i="17"/>
  <c r="CG227" i="17"/>
  <c r="CG228" i="17"/>
  <c r="CG229" i="17"/>
  <c r="CG230" i="17"/>
  <c r="CG231" i="17"/>
  <c r="CG232" i="17"/>
  <c r="CG233" i="17"/>
  <c r="CG234" i="17"/>
  <c r="CG235" i="17"/>
  <c r="CG236" i="17"/>
  <c r="CG237" i="17"/>
  <c r="CG238" i="17"/>
  <c r="CG239" i="17"/>
  <c r="CG240" i="17"/>
  <c r="CG241" i="17"/>
  <c r="CG242" i="17"/>
  <c r="CG243" i="17"/>
  <c r="CG244" i="17"/>
  <c r="CG245" i="17"/>
  <c r="CG246" i="17"/>
  <c r="CG247" i="17"/>
  <c r="CJ15" i="17"/>
  <c r="CJ16" i="17"/>
  <c r="CJ17" i="17"/>
  <c r="CJ18" i="17"/>
  <c r="CJ19" i="17"/>
  <c r="CJ20" i="17"/>
  <c r="CJ21" i="17"/>
  <c r="CJ22" i="17"/>
  <c r="CJ23" i="17"/>
  <c r="CJ24" i="17"/>
  <c r="CJ25" i="17"/>
  <c r="CJ26" i="17"/>
  <c r="CJ27" i="17"/>
  <c r="CJ28" i="17"/>
  <c r="CJ29" i="17"/>
  <c r="CJ30" i="17"/>
  <c r="CJ31" i="17"/>
  <c r="CJ32" i="17"/>
  <c r="CJ33" i="17"/>
  <c r="CJ34" i="17"/>
  <c r="CJ35" i="17"/>
  <c r="CJ36" i="17"/>
  <c r="CJ37" i="17"/>
  <c r="CJ38" i="17"/>
  <c r="CJ39" i="17"/>
  <c r="CJ40" i="17"/>
  <c r="CJ41" i="17"/>
  <c r="CJ42" i="17"/>
  <c r="CJ43" i="17"/>
  <c r="CJ44" i="17"/>
  <c r="CJ45" i="17"/>
  <c r="CJ46" i="17"/>
  <c r="CJ47" i="17"/>
  <c r="CJ48" i="17"/>
  <c r="CJ49" i="17"/>
  <c r="CJ50" i="17"/>
  <c r="CJ51" i="17"/>
  <c r="CJ52" i="17"/>
  <c r="CJ53" i="17"/>
  <c r="CJ54" i="17"/>
  <c r="CJ55" i="17"/>
  <c r="CJ56" i="17"/>
  <c r="CJ57" i="17"/>
  <c r="CJ58" i="17"/>
  <c r="CJ59" i="17"/>
  <c r="CJ60" i="17"/>
  <c r="CJ61" i="17"/>
  <c r="CJ62" i="17"/>
  <c r="CJ63" i="17"/>
  <c r="CJ64" i="17"/>
  <c r="CJ65" i="17"/>
  <c r="CJ66" i="17"/>
  <c r="CJ67" i="17"/>
  <c r="CJ68" i="17"/>
  <c r="CJ69" i="17"/>
  <c r="CJ70" i="17"/>
  <c r="CJ71" i="17"/>
  <c r="CJ72" i="17"/>
  <c r="CJ73" i="17"/>
  <c r="CJ74" i="17"/>
  <c r="CJ75" i="17"/>
  <c r="CJ76" i="17"/>
  <c r="CJ77" i="17"/>
  <c r="CJ78" i="17"/>
  <c r="CJ79" i="17"/>
  <c r="CJ80" i="17"/>
  <c r="CJ81" i="17"/>
  <c r="CJ82" i="17"/>
  <c r="CJ83" i="17"/>
  <c r="CJ84" i="17"/>
  <c r="CJ85" i="17"/>
  <c r="CJ86" i="17"/>
  <c r="CJ87" i="17"/>
  <c r="CJ88" i="17"/>
  <c r="CJ89" i="17"/>
  <c r="CJ90" i="17"/>
  <c r="CJ91" i="17"/>
  <c r="CJ92" i="17"/>
  <c r="CJ93" i="17"/>
  <c r="CJ94" i="17"/>
  <c r="CJ95" i="17"/>
  <c r="CJ96" i="17"/>
  <c r="CJ97" i="17"/>
  <c r="CJ98" i="17"/>
  <c r="CJ99" i="17"/>
  <c r="CJ100" i="17"/>
  <c r="CJ101" i="17"/>
  <c r="CJ102" i="17"/>
  <c r="CJ103" i="17"/>
  <c r="CJ104" i="17"/>
  <c r="CJ105" i="17"/>
  <c r="CJ106" i="17"/>
  <c r="CJ107" i="17"/>
  <c r="CJ108" i="17"/>
  <c r="CJ109" i="17"/>
  <c r="CJ110" i="17"/>
  <c r="CJ111" i="17"/>
  <c r="CJ112" i="17"/>
  <c r="CJ113" i="17"/>
  <c r="CJ114" i="17"/>
  <c r="CJ115" i="17"/>
  <c r="CJ116" i="17"/>
  <c r="CJ117" i="17"/>
  <c r="CJ118" i="17"/>
  <c r="CJ119" i="17"/>
  <c r="CJ120" i="17"/>
  <c r="CJ121" i="17"/>
  <c r="CJ122" i="17"/>
  <c r="CJ123" i="17"/>
  <c r="CJ124" i="17"/>
  <c r="CJ125" i="17"/>
  <c r="CJ126" i="17"/>
  <c r="CJ127" i="17"/>
  <c r="CJ128" i="17"/>
  <c r="CJ129" i="17"/>
  <c r="CJ130" i="17"/>
  <c r="CJ131" i="17"/>
  <c r="CJ132" i="17"/>
  <c r="CJ133" i="17"/>
  <c r="CJ134" i="17"/>
  <c r="CJ135" i="17"/>
  <c r="CJ136" i="17"/>
  <c r="CJ137" i="17"/>
  <c r="CJ138" i="17"/>
  <c r="CJ139" i="17"/>
  <c r="CJ140" i="17"/>
  <c r="CJ141" i="17"/>
  <c r="CJ142" i="17"/>
  <c r="CJ143" i="17"/>
  <c r="CJ144" i="17"/>
  <c r="CJ145" i="17"/>
  <c r="CJ146" i="17"/>
  <c r="CJ147" i="17"/>
  <c r="CJ148" i="17"/>
  <c r="CJ149" i="17"/>
  <c r="CJ150" i="17"/>
  <c r="CJ151" i="17"/>
  <c r="CJ152" i="17"/>
  <c r="CJ153" i="17"/>
  <c r="CJ154" i="17"/>
  <c r="CJ155" i="17"/>
  <c r="CJ156" i="17"/>
  <c r="CJ157" i="17"/>
  <c r="CJ158" i="17"/>
  <c r="CJ159" i="17"/>
  <c r="CJ160" i="17"/>
  <c r="CJ161" i="17"/>
  <c r="CJ162" i="17"/>
  <c r="CJ163" i="17"/>
  <c r="CJ164" i="17"/>
  <c r="CJ165" i="17"/>
  <c r="CJ166" i="17"/>
  <c r="CJ167" i="17"/>
  <c r="CJ168" i="17"/>
  <c r="CJ169" i="17"/>
  <c r="CJ170" i="17"/>
  <c r="CJ171" i="17"/>
  <c r="CJ172" i="17"/>
  <c r="CJ173" i="17"/>
  <c r="CJ174" i="17"/>
  <c r="CJ175" i="17"/>
  <c r="CJ176" i="17"/>
  <c r="CJ177" i="17"/>
  <c r="CJ178" i="17"/>
  <c r="CJ179" i="17"/>
  <c r="CJ180" i="17"/>
  <c r="CJ181" i="17"/>
  <c r="CJ182" i="17"/>
  <c r="CJ183" i="17"/>
  <c r="CJ184" i="17"/>
  <c r="CJ185" i="17"/>
  <c r="CJ186" i="17"/>
  <c r="CJ187" i="17"/>
  <c r="CJ188" i="17"/>
  <c r="CJ189" i="17"/>
  <c r="CJ190" i="17"/>
  <c r="CJ191" i="17"/>
  <c r="CJ192" i="17"/>
  <c r="CJ193" i="17"/>
  <c r="CJ194" i="17"/>
  <c r="CJ195" i="17"/>
  <c r="CJ196" i="17"/>
  <c r="CJ197" i="17"/>
  <c r="CJ198" i="17"/>
  <c r="CJ199" i="17"/>
  <c r="CJ200" i="17"/>
  <c r="CJ201" i="17"/>
  <c r="CJ202" i="17"/>
  <c r="CJ203" i="17"/>
  <c r="CJ204" i="17"/>
  <c r="CJ205" i="17"/>
  <c r="CJ206" i="17"/>
  <c r="CJ207" i="17"/>
  <c r="CJ208" i="17"/>
  <c r="CJ209" i="17"/>
  <c r="CJ210" i="17"/>
  <c r="CJ211" i="17"/>
  <c r="CJ212" i="17"/>
  <c r="CJ213" i="17"/>
  <c r="CJ214" i="17"/>
  <c r="CJ215" i="17"/>
  <c r="CJ216" i="17"/>
  <c r="CJ217" i="17"/>
  <c r="CJ218" i="17"/>
  <c r="CJ219" i="17"/>
  <c r="CJ220" i="17"/>
  <c r="CJ221" i="17"/>
  <c r="CJ222" i="17"/>
  <c r="CJ223" i="17"/>
  <c r="CJ224" i="17"/>
  <c r="CJ225" i="17"/>
  <c r="CJ226" i="17"/>
  <c r="CJ227" i="17"/>
  <c r="CJ228" i="17"/>
  <c r="CJ229" i="17"/>
  <c r="CJ230" i="17"/>
  <c r="CJ231" i="17"/>
  <c r="CJ232" i="17"/>
  <c r="CJ233" i="17"/>
  <c r="CJ234" i="17"/>
  <c r="CJ235" i="17"/>
  <c r="CJ236" i="17"/>
  <c r="CJ237" i="17"/>
  <c r="CJ238" i="17"/>
  <c r="CJ239" i="17"/>
  <c r="CJ240" i="17"/>
  <c r="CJ241" i="17"/>
  <c r="CJ242" i="17"/>
  <c r="CJ243" i="17"/>
  <c r="CJ244" i="17"/>
  <c r="CJ245" i="17"/>
  <c r="CJ246" i="17"/>
  <c r="CJ247" i="17"/>
  <c r="CJ10" i="17"/>
  <c r="CJ11" i="17"/>
  <c r="CJ12" i="17"/>
  <c r="CJ13" i="17"/>
  <c r="CJ14" i="17"/>
  <c r="CJ9" i="17"/>
  <c r="AN49" i="17" a="1"/>
  <c r="AN50" i="17" a="1"/>
  <c r="AN51" i="17" a="1"/>
  <c r="AO49" i="17"/>
  <c r="AO50" i="17"/>
  <c r="AO51" i="17"/>
  <c r="B48" i="17" a="1"/>
  <c r="B49" i="17" a="1"/>
  <c r="B50" i="17" a="1"/>
  <c r="B51" i="17" a="1"/>
  <c r="AN48" i="17" a="1"/>
  <c r="AO48" i="17"/>
  <c r="AN47" i="17" a="1"/>
  <c r="AO47" i="17"/>
  <c r="B47" i="17" a="1"/>
  <c r="AN44" i="17" a="1"/>
  <c r="AN45" i="17" a="1"/>
  <c r="AN46" i="17" a="1"/>
  <c r="AO44" i="17"/>
  <c r="AO45" i="17"/>
  <c r="AO46" i="17"/>
  <c r="B44" i="17" a="1"/>
  <c r="B45" i="17" a="1"/>
  <c r="B46" i="17" a="1"/>
  <c r="AN9" i="17" a="1"/>
  <c r="AN10" i="17" a="1"/>
  <c r="AN11" i="17" a="1"/>
  <c r="AN12" i="17" a="1"/>
  <c r="AN13" i="17" a="1"/>
  <c r="AN14" i="17" a="1"/>
  <c r="AN15" i="17" a="1"/>
  <c r="AN16" i="17" a="1"/>
  <c r="AN17" i="17" a="1"/>
  <c r="AN18" i="17" a="1"/>
  <c r="AN19" i="17" a="1"/>
  <c r="AN20" i="17" a="1"/>
  <c r="AN21" i="17" a="1"/>
  <c r="AN22" i="17" a="1"/>
  <c r="AN23" i="17" a="1"/>
  <c r="AN24" i="17" a="1"/>
  <c r="AN25" i="17" a="1"/>
  <c r="AN26" i="17" a="1"/>
  <c r="AN27" i="17" a="1"/>
  <c r="AN28" i="17" a="1"/>
  <c r="AN29" i="17" a="1"/>
  <c r="AN30" i="17" a="1"/>
  <c r="AN31" i="17" a="1"/>
  <c r="AN32" i="17" a="1"/>
  <c r="AN33" i="17" a="1"/>
  <c r="AN34" i="17" a="1"/>
  <c r="AN35" i="17" a="1"/>
  <c r="AN36" i="17" a="1"/>
  <c r="AN37" i="17" a="1"/>
  <c r="AN38" i="17" a="1"/>
  <c r="AN39" i="17" a="1"/>
  <c r="AN40" i="17" a="1"/>
  <c r="AN41" i="17" a="1"/>
  <c r="AN42" i="17" a="1"/>
  <c r="AN43" i="17" a="1"/>
  <c r="AO41" i="17"/>
  <c r="AO42" i="17"/>
  <c r="AO43" i="17"/>
  <c r="A214" i="22"/>
  <c r="B41" i="17" a="1"/>
  <c r="B42" i="17" a="1"/>
  <c r="B43" i="17" a="1"/>
  <c r="F51" i="38"/>
  <c r="F52" i="38"/>
  <c r="F53" i="38"/>
  <c r="F54" i="38"/>
  <c r="F55" i="38"/>
  <c r="F56" i="38"/>
  <c r="F57" i="38"/>
  <c r="F58" i="38"/>
  <c r="F59" i="38"/>
  <c r="F60" i="38"/>
  <c r="F61" i="38"/>
  <c r="F62" i="38"/>
  <c r="F63" i="38"/>
  <c r="F64" i="38"/>
  <c r="F65" i="38"/>
  <c r="F66" i="38"/>
  <c r="F67" i="38"/>
  <c r="F68" i="38"/>
  <c r="F69" i="38"/>
  <c r="F70" i="38"/>
  <c r="F71" i="38"/>
  <c r="F72" i="38"/>
  <c r="F73" i="38"/>
  <c r="F74" i="38"/>
  <c r="F75" i="38"/>
  <c r="F76" i="38"/>
  <c r="F77" i="38"/>
  <c r="F78" i="38"/>
  <c r="F79" i="38"/>
  <c r="F80" i="38"/>
  <c r="F81" i="38"/>
  <c r="F82" i="38"/>
  <c r="F83" i="38"/>
  <c r="F84" i="38"/>
  <c r="F85" i="38"/>
  <c r="F86" i="38"/>
  <c r="F87" i="38"/>
  <c r="F88" i="38"/>
  <c r="F89" i="38"/>
  <c r="F90" i="38"/>
  <c r="F91" i="38"/>
  <c r="F92" i="38"/>
  <c r="F93" i="38"/>
  <c r="F94" i="38"/>
  <c r="F95" i="38"/>
  <c r="F96" i="38"/>
  <c r="F97" i="38"/>
  <c r="F98" i="38"/>
  <c r="F99" i="38"/>
  <c r="F100" i="38"/>
  <c r="F101" i="38"/>
  <c r="F102" i="38"/>
  <c r="F103" i="38"/>
  <c r="F104" i="38"/>
  <c r="AO9" i="17"/>
  <c r="AO10" i="17"/>
  <c r="AO11" i="17"/>
  <c r="AO12" i="17"/>
  <c r="AO13" i="17"/>
  <c r="AO14" i="17"/>
  <c r="AO15" i="17"/>
  <c r="AO16" i="17"/>
  <c r="AO17" i="17"/>
  <c r="AO18" i="17"/>
  <c r="AO19" i="17"/>
  <c r="AO20" i="17"/>
  <c r="AO21" i="17"/>
  <c r="AO22" i="17"/>
  <c r="AO23" i="17"/>
  <c r="AO24" i="17"/>
  <c r="AO25" i="17"/>
  <c r="AO26" i="17"/>
  <c r="AO27" i="17"/>
  <c r="AO28" i="17"/>
  <c r="AO29" i="17"/>
  <c r="AO30" i="17"/>
  <c r="AO31" i="17"/>
  <c r="AO32" i="17"/>
  <c r="AO33" i="17"/>
  <c r="AO34" i="17"/>
  <c r="AO35" i="17"/>
  <c r="AO36" i="17"/>
  <c r="AO37" i="17"/>
  <c r="AO38" i="17"/>
  <c r="AO39" i="17"/>
  <c r="AO40" i="17"/>
  <c r="B35" i="17" a="1"/>
  <c r="B40" i="17" a="1"/>
  <c r="P58" i="35"/>
  <c r="P59" i="35"/>
  <c r="P60" i="35"/>
  <c r="P61" i="35"/>
  <c r="AV58" i="35" a="1"/>
  <c r="AV59" i="35" a="1"/>
  <c r="AV60" i="35" a="1"/>
  <c r="AV61" i="35" a="1"/>
  <c r="P57" i="36"/>
  <c r="P58" i="36"/>
  <c r="P59" i="36"/>
  <c r="P60" i="36"/>
  <c r="AS57" i="36" a="1"/>
  <c r="AS58" i="36" a="1"/>
  <c r="AS59" i="36" a="1"/>
  <c r="AS60" i="36" a="1"/>
  <c r="P54" i="36"/>
  <c r="P55" i="36"/>
  <c r="P56" i="36"/>
  <c r="AS54" i="36" a="1"/>
  <c r="AS55" i="36" a="1"/>
  <c r="AS56" i="36" a="1"/>
  <c r="P49" i="36"/>
  <c r="P50" i="36"/>
  <c r="P51" i="36"/>
  <c r="P52" i="36"/>
  <c r="P53" i="36"/>
  <c r="AS49" i="36" a="1"/>
  <c r="AS50" i="36" a="1"/>
  <c r="AS51" i="36" a="1"/>
  <c r="AS52" i="36" a="1"/>
  <c r="AS53" i="36" a="1"/>
  <c r="BY9" i="36" a="1"/>
  <c r="BY10" i="36" a="1"/>
  <c r="BY11" i="36" a="1"/>
  <c r="BY12" i="36" a="1"/>
  <c r="BY13" i="36" a="1"/>
  <c r="AZ10" i="37"/>
  <c r="AZ11" i="37"/>
  <c r="AZ12" i="37"/>
  <c r="AZ13" i="37"/>
  <c r="AZ9" i="37"/>
  <c r="P10" i="37"/>
  <c r="P11" i="37"/>
  <c r="P12" i="37"/>
  <c r="P13" i="37"/>
  <c r="P14" i="37"/>
  <c r="P15" i="37"/>
  <c r="P16" i="37"/>
  <c r="P17" i="37"/>
  <c r="P18" i="37"/>
  <c r="P19" i="37"/>
  <c r="P20" i="37"/>
  <c r="P21" i="37"/>
  <c r="P22" i="37"/>
  <c r="P23" i="37"/>
  <c r="P24" i="37"/>
  <c r="P25" i="37"/>
  <c r="P26" i="37"/>
  <c r="P27" i="37"/>
  <c r="P28" i="37"/>
  <c r="P29" i="37"/>
  <c r="P30" i="37"/>
  <c r="P31" i="37"/>
  <c r="P32" i="37"/>
  <c r="P33" i="37"/>
  <c r="P34" i="37"/>
  <c r="P35" i="37"/>
  <c r="P36" i="37"/>
  <c r="P37" i="37"/>
  <c r="P38" i="37"/>
  <c r="P39" i="37"/>
  <c r="P40" i="37"/>
  <c r="P41" i="37"/>
  <c r="P42" i="37"/>
  <c r="P43" i="37"/>
  <c r="P44" i="37"/>
  <c r="P45" i="37"/>
  <c r="P46" i="37"/>
  <c r="P47" i="37"/>
  <c r="P48" i="37"/>
  <c r="P49" i="37"/>
  <c r="P50" i="37"/>
  <c r="P51" i="37"/>
  <c r="P52" i="37"/>
  <c r="P53" i="37"/>
  <c r="P54" i="37"/>
  <c r="P55" i="37"/>
  <c r="P56" i="37"/>
  <c r="P57" i="37"/>
  <c r="P9" i="37"/>
  <c r="B55" i="37" a="1"/>
  <c r="B56" i="37" a="1"/>
  <c r="B9" i="37" a="1"/>
  <c r="B10" i="37" a="1"/>
  <c r="B11" i="37" a="1"/>
  <c r="B12" i="37" a="1"/>
  <c r="B13" i="37" a="1"/>
  <c r="B14" i="37" a="1"/>
  <c r="B15" i="37" a="1"/>
  <c r="B16" i="37" a="1"/>
  <c r="B17" i="37" a="1"/>
  <c r="B18" i="37" a="1"/>
  <c r="B19" i="37" a="1"/>
  <c r="B20" i="37" a="1"/>
  <c r="B21" i="37" a="1"/>
  <c r="B22" i="37" a="1"/>
  <c r="B23" i="37" a="1"/>
  <c r="B24" i="37" a="1"/>
  <c r="B25" i="37" a="1"/>
  <c r="B26" i="37" a="1"/>
  <c r="B27" i="37" a="1"/>
  <c r="B28" i="37" a="1"/>
  <c r="B29" i="37" a="1"/>
  <c r="B30" i="37" a="1"/>
  <c r="B31" i="37" a="1"/>
  <c r="B32" i="37" a="1"/>
  <c r="B33" i="37" a="1"/>
  <c r="B34" i="37" a="1"/>
  <c r="B35" i="37" a="1"/>
  <c r="B36" i="37" a="1"/>
  <c r="B37" i="37" a="1"/>
  <c r="B38" i="37" a="1"/>
  <c r="B39" i="37" a="1"/>
  <c r="B40" i="37" a="1"/>
  <c r="B41" i="37" a="1"/>
  <c r="B42" i="37" a="1"/>
  <c r="B43" i="37" a="1"/>
  <c r="B44" i="37" a="1"/>
  <c r="B45" i="37" a="1"/>
  <c r="B46" i="37" a="1"/>
  <c r="B47" i="37" a="1"/>
  <c r="B48" i="37" a="1"/>
  <c r="B49" i="37" a="1"/>
  <c r="B50" i="37" a="1"/>
  <c r="B51" i="37" a="1"/>
  <c r="B52" i="37" a="1"/>
  <c r="B53" i="37" a="1"/>
  <c r="B54" i="37" a="1"/>
  <c r="B8" i="37" a="1"/>
  <c r="A9" i="37" a="1"/>
  <c r="A10" i="37" a="1"/>
  <c r="A11" i="37" a="1"/>
  <c r="A12" i="37" a="1"/>
  <c r="A13" i="37" a="1"/>
  <c r="A14" i="37" a="1"/>
  <c r="A15" i="37" a="1"/>
  <c r="A16" i="37" a="1"/>
  <c r="A17" i="37" a="1"/>
  <c r="A18" i="37" a="1"/>
  <c r="A19" i="37" a="1"/>
  <c r="A20" i="37" a="1"/>
  <c r="A21" i="37" a="1"/>
  <c r="A22" i="37" a="1"/>
  <c r="A23" i="37" a="1"/>
  <c r="A24" i="37" a="1"/>
  <c r="A25" i="37" a="1"/>
  <c r="A26" i="37" a="1"/>
  <c r="A27" i="37" a="1"/>
  <c r="A28" i="37" a="1"/>
  <c r="A29" i="37" a="1"/>
  <c r="A30" i="37" a="1"/>
  <c r="A31" i="37" a="1"/>
  <c r="A32" i="37" a="1"/>
  <c r="A33" i="37" a="1"/>
  <c r="A34" i="37" a="1"/>
  <c r="A35" i="37" a="1"/>
  <c r="A36" i="37" a="1"/>
  <c r="A37" i="37" a="1"/>
  <c r="A38" i="37" a="1"/>
  <c r="A39" i="37" a="1"/>
  <c r="A40" i="37" a="1"/>
  <c r="A41" i="37" a="1"/>
  <c r="A42" i="37" a="1"/>
  <c r="A43" i="37" a="1"/>
  <c r="A44" i="37" a="1"/>
  <c r="A45" i="37" a="1"/>
  <c r="A46" i="37" a="1"/>
  <c r="A47" i="37" a="1"/>
  <c r="A48" i="37" a="1"/>
  <c r="A49" i="37" a="1"/>
  <c r="A50" i="37" a="1"/>
  <c r="A51" i="37" a="1"/>
  <c r="A52" i="37" a="1"/>
  <c r="A53" i="37" a="1"/>
  <c r="A54" i="37" a="1"/>
  <c r="A8" i="37" a="1"/>
  <c r="AW52" i="37" a="1"/>
  <c r="AW53" i="37" a="1"/>
  <c r="AW54" i="37" a="1"/>
  <c r="AW55" i="37" a="1"/>
  <c r="AW56" i="37" a="1"/>
  <c r="AW57" i="37" a="1"/>
  <c r="AW10" i="37" a="1"/>
  <c r="AW11" i="37" a="1"/>
  <c r="AW12" i="37" a="1"/>
  <c r="AW13" i="37" a="1"/>
  <c r="AW14" i="37" a="1"/>
  <c r="AW15" i="37" a="1"/>
  <c r="AW16" i="37" a="1"/>
  <c r="AW17" i="37" a="1"/>
  <c r="AW18" i="37" a="1"/>
  <c r="AW19" i="37" a="1"/>
  <c r="AW20" i="37" a="1"/>
  <c r="AW21" i="37" a="1"/>
  <c r="AW22" i="37" a="1"/>
  <c r="AW23" i="37" a="1"/>
  <c r="AW24" i="37" a="1"/>
  <c r="AW25" i="37" a="1"/>
  <c r="AW26" i="37" a="1"/>
  <c r="AW27" i="37" a="1"/>
  <c r="AW28" i="37" a="1"/>
  <c r="AW29" i="37" a="1"/>
  <c r="AW30" i="37" a="1"/>
  <c r="AW31" i="37" a="1"/>
  <c r="AW32" i="37" a="1"/>
  <c r="AW33" i="37" a="1"/>
  <c r="AW34" i="37" a="1"/>
  <c r="AW35" i="37" a="1"/>
  <c r="AW36" i="37" a="1"/>
  <c r="AW37" i="37" a="1"/>
  <c r="AW38" i="37" a="1"/>
  <c r="AW39" i="37" a="1"/>
  <c r="AW40" i="37" a="1"/>
  <c r="AW41" i="37" a="1"/>
  <c r="AW42" i="37" a="1"/>
  <c r="AW43" i="37" a="1"/>
  <c r="AW44" i="37" a="1"/>
  <c r="AW45" i="37" a="1"/>
  <c r="AW46" i="37" a="1"/>
  <c r="AW47" i="37" a="1"/>
  <c r="AW48" i="37" a="1"/>
  <c r="AW49" i="37" a="1"/>
  <c r="AW50" i="37" a="1"/>
  <c r="AW51" i="37" a="1"/>
  <c r="AW9" i="37" a="1"/>
  <c r="P10" i="36"/>
  <c r="P11" i="36"/>
  <c r="P12" i="36"/>
  <c r="P13" i="36"/>
  <c r="P14" i="36"/>
  <c r="P15" i="36"/>
  <c r="P16" i="36"/>
  <c r="P17" i="36"/>
  <c r="P18" i="36"/>
  <c r="P19" i="36"/>
  <c r="P20" i="36"/>
  <c r="P21" i="36"/>
  <c r="P22" i="36"/>
  <c r="P23" i="36"/>
  <c r="P24" i="36"/>
  <c r="P25" i="36"/>
  <c r="P26" i="36"/>
  <c r="P27" i="36"/>
  <c r="P28" i="36"/>
  <c r="P29" i="36"/>
  <c r="P30" i="36"/>
  <c r="P31" i="36"/>
  <c r="P32" i="36"/>
  <c r="P33" i="36"/>
  <c r="P34" i="36"/>
  <c r="P35" i="36"/>
  <c r="P36" i="36"/>
  <c r="P37" i="36"/>
  <c r="P38" i="36"/>
  <c r="P39" i="36"/>
  <c r="P40" i="36"/>
  <c r="P41" i="36"/>
  <c r="P42" i="36"/>
  <c r="P43" i="36"/>
  <c r="P44" i="36"/>
  <c r="P45" i="36"/>
  <c r="P46" i="36"/>
  <c r="P47" i="36"/>
  <c r="P48" i="36"/>
  <c r="P9" i="36"/>
  <c r="B58" i="36" a="1"/>
  <c r="AS44" i="36" a="1"/>
  <c r="AS45" i="36" a="1"/>
  <c r="AS46" i="36" a="1"/>
  <c r="AS47" i="36" a="1"/>
  <c r="AS48" i="36" a="1"/>
  <c r="P10" i="35"/>
  <c r="P11" i="35"/>
  <c r="P12" i="35"/>
  <c r="P13" i="35"/>
  <c r="P14" i="35"/>
  <c r="P15" i="35"/>
  <c r="P16" i="35"/>
  <c r="P17" i="35"/>
  <c r="P18" i="35"/>
  <c r="P19" i="35"/>
  <c r="P20" i="35"/>
  <c r="P21" i="35"/>
  <c r="P22" i="35"/>
  <c r="P23" i="35"/>
  <c r="P24" i="35"/>
  <c r="P25" i="35"/>
  <c r="P26" i="35"/>
  <c r="P27" i="35"/>
  <c r="P28" i="35"/>
  <c r="P29" i="35"/>
  <c r="P30" i="35"/>
  <c r="P31" i="35"/>
  <c r="P32" i="35"/>
  <c r="P33" i="35"/>
  <c r="P34" i="35"/>
  <c r="P35" i="35"/>
  <c r="P36" i="35"/>
  <c r="P37" i="35"/>
  <c r="P38" i="35"/>
  <c r="P39" i="35"/>
  <c r="P40" i="35"/>
  <c r="P41" i="35"/>
  <c r="P42" i="35"/>
  <c r="P43" i="35"/>
  <c r="P44" i="35"/>
  <c r="P45" i="35"/>
  <c r="P46" i="35"/>
  <c r="P47" i="35"/>
  <c r="P48" i="35"/>
  <c r="P49" i="35"/>
  <c r="P50" i="35"/>
  <c r="P51" i="35"/>
  <c r="P52" i="35"/>
  <c r="P53" i="35"/>
  <c r="P54" i="35"/>
  <c r="P55" i="35"/>
  <c r="P56" i="35"/>
  <c r="P57" i="35"/>
  <c r="P9" i="35"/>
  <c r="AV53" i="35" a="1"/>
  <c r="AV54" i="35" a="1"/>
  <c r="AV55" i="35" a="1"/>
  <c r="AV56" i="35" a="1"/>
  <c r="AV57" i="35" a="1"/>
  <c r="B39" i="17" a="1"/>
  <c r="A209" i="22"/>
  <c r="A210" i="22"/>
  <c r="A211" i="22"/>
  <c r="A212" i="22"/>
  <c r="A213" i="22"/>
  <c r="A215" i="22"/>
  <c r="B38" i="17" a="1"/>
  <c r="A6" i="30"/>
  <c r="B30" i="17" a="1"/>
  <c r="B3" i="17" a="1"/>
  <c r="B4" i="17" a="1"/>
  <c r="B5" i="17" a="1"/>
  <c r="B6" i="17" a="1"/>
  <c r="B7" i="17" a="1"/>
  <c r="B8" i="17" a="1"/>
  <c r="B9" i="17" a="1"/>
  <c r="B10" i="17" a="1"/>
  <c r="B11" i="17" a="1"/>
  <c r="B12" i="17" a="1"/>
  <c r="B13" i="17" a="1"/>
  <c r="B14" i="17" a="1"/>
  <c r="B15" i="17" a="1"/>
  <c r="B16" i="17" a="1"/>
  <c r="B17" i="17" a="1"/>
  <c r="B18" i="17" a="1"/>
  <c r="B19" i="17" a="1"/>
  <c r="B20" i="17" a="1"/>
  <c r="B21" i="17" a="1"/>
  <c r="B22" i="17" a="1"/>
  <c r="B23" i="17" a="1"/>
  <c r="B24" i="17" a="1"/>
  <c r="B25" i="17" a="1"/>
  <c r="B26" i="17" a="1"/>
  <c r="B27" i="17" a="1"/>
  <c r="B28" i="17" a="1"/>
  <c r="B29" i="17" a="1"/>
  <c r="B31" i="17" a="1"/>
  <c r="B32" i="17" a="1"/>
  <c r="B33" i="17" a="1"/>
  <c r="B34" i="17" a="1"/>
  <c r="K34" i="17" s="1" a="1"/>
  <c r="B36" i="17" a="1"/>
  <c r="B37" i="17" a="1"/>
  <c r="AX10" i="30" a="1"/>
  <c r="AX11" i="30" a="1"/>
  <c r="AX12" i="30" a="1"/>
  <c r="AX13" i="30" a="1"/>
  <c r="AX14" i="30" a="1"/>
  <c r="AX15" i="30" a="1"/>
  <c r="AX16" i="30" a="1"/>
  <c r="AX17" i="30" a="1"/>
  <c r="AX18" i="30" a="1"/>
  <c r="AX19" i="30" a="1"/>
  <c r="AX20" i="30" a="1"/>
  <c r="AX21" i="30" a="1"/>
  <c r="AX22" i="30" a="1"/>
  <c r="AX23" i="30" a="1"/>
  <c r="AX24" i="30" a="1"/>
  <c r="AX25" i="30" a="1"/>
  <c r="AX26" i="30" a="1"/>
  <c r="AX27" i="30" a="1"/>
  <c r="AX28" i="30" a="1"/>
  <c r="AX29" i="30" a="1"/>
  <c r="AX30" i="30" a="1"/>
  <c r="AX31" i="30" a="1"/>
  <c r="AX32" i="30" a="1"/>
  <c r="AX33" i="30" a="1"/>
  <c r="AX34" i="30" a="1"/>
  <c r="AX35" i="30" a="1"/>
  <c r="AX36" i="30" a="1"/>
  <c r="AX37" i="30" a="1"/>
  <c r="AX38" i="30" a="1"/>
  <c r="AX39" i="30" a="1"/>
  <c r="AX40" i="30" a="1"/>
  <c r="AX41" i="30" a="1"/>
  <c r="AX42" i="30" a="1"/>
  <c r="AX43" i="30" a="1"/>
  <c r="AX44" i="30" a="1"/>
  <c r="AX45" i="30" a="1"/>
  <c r="AX46" i="30" a="1"/>
  <c r="AX47" i="30" a="1"/>
  <c r="AX48" i="30" a="1"/>
  <c r="AX49" i="30" a="1"/>
  <c r="AX50" i="30" a="1"/>
  <c r="AX51" i="30" a="1"/>
  <c r="AX52" i="30" a="1"/>
  <c r="AX53" i="30" a="1"/>
  <c r="AX54" i="30" a="1"/>
  <c r="AX55" i="30" a="1"/>
  <c r="AX56" i="30" a="1"/>
  <c r="AX57" i="30" a="1"/>
  <c r="AX58" i="30" a="1"/>
  <c r="AX59" i="30" a="1"/>
  <c r="AX9" i="30" a="1"/>
  <c r="AX9" i="33" a="1"/>
  <c r="AX10" i="33" a="1"/>
  <c r="AX11" i="33" a="1"/>
  <c r="AX12" i="33" a="1"/>
  <c r="AX13" i="33" a="1"/>
  <c r="AX14" i="33" a="1"/>
  <c r="AX15" i="33" a="1"/>
  <c r="AX16" i="33" a="1"/>
  <c r="AX17" i="33" a="1"/>
  <c r="AX18" i="33" a="1"/>
  <c r="AX19" i="33" a="1"/>
  <c r="AX20" i="33" a="1"/>
  <c r="AX21" i="33" a="1"/>
  <c r="AX22" i="33" a="1"/>
  <c r="AX23" i="33" a="1"/>
  <c r="AX24" i="33" a="1"/>
  <c r="AX25" i="33" a="1"/>
  <c r="AX26" i="33" a="1"/>
  <c r="AX27" i="33" a="1"/>
  <c r="AX28" i="33" a="1"/>
  <c r="AX29" i="33" a="1"/>
  <c r="AX30" i="33" a="1"/>
  <c r="AX31" i="33" a="1"/>
  <c r="AX32" i="33" a="1"/>
  <c r="AX33" i="33" a="1"/>
  <c r="AX34" i="33" a="1"/>
  <c r="AX35" i="33" a="1"/>
  <c r="AX36" i="33" a="1"/>
  <c r="AX37" i="33" a="1"/>
  <c r="AX38" i="33" a="1"/>
  <c r="AX39" i="33" a="1"/>
  <c r="AX40" i="33" a="1"/>
  <c r="AX41" i="33" a="1"/>
  <c r="AX42" i="33" a="1"/>
  <c r="AX43" i="33" a="1"/>
  <c r="AX44" i="33" a="1"/>
  <c r="AX45" i="33" a="1"/>
  <c r="AX46" i="33" a="1"/>
  <c r="AX47" i="33" a="1"/>
  <c r="AX48" i="33" a="1"/>
  <c r="AX49" i="33" a="1"/>
  <c r="AX50" i="33" a="1"/>
  <c r="AX51" i="33" a="1"/>
  <c r="AX52" i="33" a="1"/>
  <c r="AX53" i="33" a="1"/>
  <c r="AX54" i="33" a="1"/>
  <c r="AX55" i="33" a="1"/>
  <c r="AX56" i="33" a="1"/>
  <c r="AX57" i="33" a="1"/>
  <c r="AX58" i="33" a="1"/>
  <c r="AX59" i="33" a="1"/>
  <c r="AV9" i="35" a="1"/>
  <c r="AV10" i="35" a="1"/>
  <c r="AV11" i="35" a="1"/>
  <c r="AV12" i="35" a="1"/>
  <c r="AV13" i="35" a="1"/>
  <c r="AV14" i="35" a="1"/>
  <c r="AV15" i="35" a="1"/>
  <c r="AV16" i="35" a="1"/>
  <c r="AV17" i="35" a="1"/>
  <c r="AV18" i="35" a="1"/>
  <c r="AV19" i="35" a="1"/>
  <c r="AV20" i="35" a="1"/>
  <c r="AV21" i="35" a="1"/>
  <c r="AV22" i="35" a="1"/>
  <c r="AV23" i="35" a="1"/>
  <c r="AV24" i="35" a="1"/>
  <c r="AV25" i="35" a="1"/>
  <c r="AV26" i="35" a="1"/>
  <c r="AV27" i="35" a="1"/>
  <c r="AV28" i="35" a="1"/>
  <c r="AV29" i="35" a="1"/>
  <c r="AV30" i="35" a="1"/>
  <c r="AV31" i="35" a="1"/>
  <c r="AV32" i="35" a="1"/>
  <c r="AV33" i="35" a="1"/>
  <c r="AV34" i="35" a="1"/>
  <c r="AV35" i="35" a="1"/>
  <c r="AV36" i="35" a="1"/>
  <c r="AV37" i="35" a="1"/>
  <c r="AV38" i="35" a="1"/>
  <c r="AV39" i="35" a="1"/>
  <c r="AV40" i="35" a="1"/>
  <c r="AV41" i="35" a="1"/>
  <c r="AV42" i="35" a="1"/>
  <c r="AV43" i="35" a="1"/>
  <c r="AV44" i="35" a="1"/>
  <c r="AV45" i="35" a="1"/>
  <c r="AV46" i="35" a="1"/>
  <c r="AV47" i="35" a="1"/>
  <c r="AV48" i="35" a="1"/>
  <c r="AV49" i="35" a="1"/>
  <c r="AV50" i="35" a="1"/>
  <c r="AV51" i="35" a="1"/>
  <c r="AV52" i="35" a="1"/>
  <c r="AS9" i="36" a="1"/>
  <c r="AS10" i="36" a="1"/>
  <c r="AS11" i="36" a="1"/>
  <c r="AS12" i="36" a="1"/>
  <c r="AS13" i="36" a="1"/>
  <c r="AS14" i="36" a="1"/>
  <c r="AS15" i="36" a="1"/>
  <c r="AS16" i="36" a="1"/>
  <c r="AS17" i="36" a="1"/>
  <c r="AS18" i="36" a="1"/>
  <c r="AS19" i="36" a="1"/>
  <c r="AS20" i="36" a="1"/>
  <c r="AS21" i="36" a="1"/>
  <c r="AS22" i="36" a="1"/>
  <c r="AS23" i="36" a="1"/>
  <c r="AS24" i="36" a="1"/>
  <c r="AS25" i="36" a="1"/>
  <c r="AS26" i="36" a="1"/>
  <c r="AS27" i="36" a="1"/>
  <c r="AS28" i="36" a="1"/>
  <c r="AS29" i="36" a="1"/>
  <c r="AS30" i="36" a="1"/>
  <c r="AS31" i="36" a="1"/>
  <c r="AS32" i="36" a="1"/>
  <c r="AS33" i="36" a="1"/>
  <c r="AS34" i="36" a="1"/>
  <c r="AS35" i="36" a="1"/>
  <c r="AS36" i="36" a="1"/>
  <c r="AS37" i="36" a="1"/>
  <c r="AS38" i="36" a="1"/>
  <c r="AS39" i="36" a="1"/>
  <c r="AS40" i="36" a="1"/>
  <c r="AS41" i="36" a="1"/>
  <c r="AS42" i="36" a="1"/>
  <c r="AS43" i="36" a="1"/>
  <c r="F46" i="28"/>
  <c r="F74" i="28"/>
  <c r="F65" i="28"/>
  <c r="F52" i="28"/>
  <c r="F35" i="28"/>
  <c r="F8" i="28"/>
  <c r="F32" i="28"/>
  <c r="F22" i="28"/>
  <c r="F83" i="28"/>
  <c r="F17" i="28"/>
  <c r="F82" i="28"/>
  <c r="F10" i="28"/>
  <c r="F98" i="28"/>
  <c r="F53" i="28"/>
  <c r="F48" i="28"/>
  <c r="F31" i="28"/>
  <c r="F27" i="28"/>
  <c r="F66" i="28"/>
  <c r="F5" i="28"/>
  <c r="F69" i="28"/>
  <c r="F34" i="28"/>
  <c r="F47" i="28"/>
  <c r="F81" i="28"/>
  <c r="F23" i="28"/>
  <c r="F45" i="28"/>
  <c r="F9" i="28"/>
  <c r="F58" i="28"/>
  <c r="F43" i="28"/>
  <c r="F4" i="28"/>
  <c r="F19" i="28"/>
  <c r="F70" i="28"/>
  <c r="F90" i="28"/>
  <c r="F76" i="28"/>
  <c r="F86" i="28"/>
  <c r="F13" i="28"/>
  <c r="F85" i="28"/>
  <c r="F30" i="28"/>
  <c r="F73" i="28"/>
  <c r="F21" i="28"/>
  <c r="F2" i="28"/>
  <c r="F42" i="28"/>
  <c r="F57" i="28"/>
  <c r="F44" i="28"/>
  <c r="F72" i="28"/>
  <c r="F6" i="28"/>
  <c r="F77" i="28"/>
  <c r="F89" i="28"/>
  <c r="F7" i="28"/>
  <c r="F29" i="28"/>
  <c r="F54" i="28"/>
  <c r="F49" i="28"/>
  <c r="F93" i="28"/>
  <c r="F99" i="28"/>
  <c r="F79" i="28"/>
  <c r="F20" i="28"/>
  <c r="F104" i="28"/>
  <c r="F68" i="28"/>
  <c r="F28" i="28"/>
  <c r="F101" i="28"/>
  <c r="F107" i="28"/>
  <c r="F97" i="28"/>
  <c r="F62" i="28"/>
  <c r="F39" i="28"/>
  <c r="F56" i="28"/>
  <c r="F41" i="28"/>
  <c r="F60" i="28"/>
  <c r="F36" i="28"/>
  <c r="F14" i="28"/>
  <c r="F59" i="28"/>
  <c r="F25" i="28"/>
  <c r="F38" i="28"/>
  <c r="F78" i="28"/>
  <c r="F92" i="28"/>
  <c r="F11" i="28"/>
  <c r="F63" i="28"/>
  <c r="F40" i="28"/>
  <c r="F26" i="28"/>
  <c r="F94" i="28"/>
  <c r="F106" i="28"/>
  <c r="F64" i="28"/>
  <c r="F18" i="28"/>
  <c r="F50" i="28"/>
  <c r="F51" i="28"/>
  <c r="F105" i="28"/>
  <c r="F61" i="28"/>
  <c r="F37" i="28"/>
  <c r="F96" i="28"/>
  <c r="F100" i="28"/>
  <c r="F67" i="28"/>
  <c r="F33" i="28"/>
  <c r="F71" i="28"/>
  <c r="F24" i="28"/>
  <c r="F91" i="28"/>
  <c r="F95" i="28"/>
  <c r="F102" i="28"/>
  <c r="F55" i="28"/>
  <c r="F3" i="28"/>
  <c r="F12" i="28"/>
  <c r="F103" i="28"/>
  <c r="F16" i="28"/>
  <c r="F15" i="28"/>
  <c r="F87" i="28"/>
  <c r="F80" i="28"/>
  <c r="F88" i="28"/>
  <c r="F84" i="28"/>
  <c r="F75" i="28"/>
  <c r="G46" i="28"/>
  <c r="G74" i="28"/>
  <c r="G65" i="28"/>
  <c r="G52" i="28"/>
  <c r="G35" i="28"/>
  <c r="G8" i="28"/>
  <c r="G32" i="28"/>
  <c r="G22" i="28"/>
  <c r="G83" i="28"/>
  <c r="G17" i="28"/>
  <c r="G82" i="28"/>
  <c r="G10" i="28"/>
  <c r="G98" i="28"/>
  <c r="G53" i="28"/>
  <c r="G48" i="28"/>
  <c r="G31" i="28"/>
  <c r="G27" i="28"/>
  <c r="G66" i="28"/>
  <c r="G5" i="28"/>
  <c r="G69" i="28"/>
  <c r="G34" i="28"/>
  <c r="G47" i="28"/>
  <c r="G81" i="28"/>
  <c r="G23" i="28"/>
  <c r="G45" i="28"/>
  <c r="G9" i="28"/>
  <c r="G58" i="28"/>
  <c r="G43" i="28"/>
  <c r="G4" i="28"/>
  <c r="G19" i="28"/>
  <c r="G70" i="28"/>
  <c r="G90" i="28"/>
  <c r="G76" i="28"/>
  <c r="G86" i="28"/>
  <c r="G13" i="28"/>
  <c r="G85" i="28"/>
  <c r="G30" i="28"/>
  <c r="G73" i="28"/>
  <c r="G21" i="28"/>
  <c r="G2" i="28"/>
  <c r="G42" i="28"/>
  <c r="G57" i="28"/>
  <c r="G44" i="28"/>
  <c r="G72" i="28"/>
  <c r="G6" i="28"/>
  <c r="G77" i="28"/>
  <c r="G89" i="28"/>
  <c r="G7" i="28"/>
  <c r="G29" i="28"/>
  <c r="G54" i="28"/>
  <c r="G49" i="28"/>
  <c r="G93" i="28"/>
  <c r="G99" i="28"/>
  <c r="G79" i="28"/>
  <c r="G20" i="28"/>
  <c r="G104" i="28"/>
  <c r="G68" i="28"/>
  <c r="G28" i="28"/>
  <c r="G101" i="28"/>
  <c r="G107" i="28"/>
  <c r="G97" i="28"/>
  <c r="G62" i="28"/>
  <c r="G39" i="28"/>
  <c r="G56" i="28"/>
  <c r="G41" i="28"/>
  <c r="G60" i="28"/>
  <c r="G36" i="28"/>
  <c r="G14" i="28"/>
  <c r="G59" i="28"/>
  <c r="G25" i="28"/>
  <c r="G38" i="28"/>
  <c r="G78" i="28"/>
  <c r="G92" i="28"/>
  <c r="G11" i="28"/>
  <c r="G63" i="28"/>
  <c r="G40" i="28"/>
  <c r="G26" i="28"/>
  <c r="G94" i="28"/>
  <c r="G106" i="28"/>
  <c r="G64" i="28"/>
  <c r="G18" i="28"/>
  <c r="G50" i="28"/>
  <c r="G51" i="28"/>
  <c r="G105" i="28"/>
  <c r="G61" i="28"/>
  <c r="G37" i="28"/>
  <c r="G96" i="28"/>
  <c r="G100" i="28"/>
  <c r="G67" i="28"/>
  <c r="G33" i="28"/>
  <c r="G71" i="28"/>
  <c r="G24" i="28"/>
  <c r="G91" i="28"/>
  <c r="G95" i="28"/>
  <c r="G102" i="28"/>
  <c r="G55" i="28"/>
  <c r="G3" i="28"/>
  <c r="G12" i="28"/>
  <c r="G103" i="28"/>
  <c r="G16" i="28"/>
  <c r="G15" i="28"/>
  <c r="G87" i="28"/>
  <c r="G80" i="28"/>
  <c r="G88" i="28"/>
  <c r="G84" i="28"/>
  <c r="G75" i="28"/>
  <c r="A205" i="22"/>
  <c r="A203" i="22"/>
  <c r="A204" i="22"/>
  <c r="A206" i="22"/>
  <c r="A207" i="22"/>
  <c r="A208" i="22"/>
  <c r="B52" i="36" a="1"/>
  <c r="B53" i="36" a="1"/>
  <c r="B54" i="36" a="1"/>
  <c r="B55" i="36" a="1"/>
  <c r="B56" i="36" a="1"/>
  <c r="B57" i="36" a="1"/>
  <c r="B27" i="36" a="1"/>
  <c r="B6" i="36" a="1"/>
  <c r="B5" i="36" a="1"/>
  <c r="B4" i="36" a="1"/>
  <c r="B3" i="36" a="1"/>
  <c r="A197" i="22"/>
  <c r="A198" i="22"/>
  <c r="A199" i="22"/>
  <c r="A200" i="22"/>
  <c r="A201" i="22"/>
  <c r="A202" i="22"/>
  <c r="B51" i="36" a="1"/>
  <c r="B50" i="36" a="1"/>
  <c r="B49" i="36" a="1"/>
  <c r="B48" i="36" a="1"/>
  <c r="B47" i="36" a="1"/>
  <c r="B46" i="36" a="1"/>
  <c r="B45" i="36" a="1"/>
  <c r="B44" i="36" a="1"/>
  <c r="B43" i="36" a="1"/>
  <c r="B42" i="36" a="1"/>
  <c r="B41" i="36" a="1"/>
  <c r="B40" i="36" a="1"/>
  <c r="B39" i="36" a="1"/>
  <c r="B38" i="36" a="1"/>
  <c r="B37" i="36" a="1"/>
  <c r="B36" i="36" a="1"/>
  <c r="B35" i="36" a="1"/>
  <c r="B34" i="36" a="1"/>
  <c r="B33" i="36" a="1"/>
  <c r="B32" i="36" a="1"/>
  <c r="B31" i="36" a="1"/>
  <c r="B30" i="36" a="1"/>
  <c r="B29" i="36" a="1"/>
  <c r="B28" i="36" a="1"/>
  <c r="B26" i="36" a="1"/>
  <c r="B25" i="36" a="1"/>
  <c r="B24" i="36" a="1"/>
  <c r="B23" i="36" a="1"/>
  <c r="B22" i="36" a="1"/>
  <c r="B21" i="36" a="1"/>
  <c r="B20" i="36" a="1"/>
  <c r="B19" i="36" a="1"/>
  <c r="B18" i="36" a="1"/>
  <c r="B17" i="36" a="1"/>
  <c r="B16" i="36" a="1"/>
  <c r="B15" i="36" a="1"/>
  <c r="B14" i="36" a="1"/>
  <c r="B13" i="36" a="1"/>
  <c r="B12" i="36" a="1"/>
  <c r="B11" i="36" a="1"/>
  <c r="B10" i="36" a="1"/>
  <c r="B9" i="36" a="1"/>
  <c r="B8" i="36" a="1"/>
  <c r="B7" i="36" a="1"/>
  <c r="B59" i="35" a="1"/>
  <c r="B58" i="35" a="1"/>
  <c r="B57" i="35" a="1"/>
  <c r="B56" i="35" a="1"/>
  <c r="B55" i="35" a="1"/>
  <c r="B54" i="35" a="1"/>
  <c r="B53" i="35" a="1"/>
  <c r="B52" i="35" a="1"/>
  <c r="B51" i="35" a="1"/>
  <c r="B50" i="35" a="1"/>
  <c r="B49" i="35" a="1"/>
  <c r="B48" i="35" a="1"/>
  <c r="B47" i="35" a="1"/>
  <c r="B46" i="35" a="1"/>
  <c r="B45" i="35" a="1"/>
  <c r="B44" i="35" a="1"/>
  <c r="B43" i="35" a="1"/>
  <c r="B42" i="35" a="1"/>
  <c r="B41" i="35" a="1"/>
  <c r="B40" i="35" a="1"/>
  <c r="B39" i="35" a="1"/>
  <c r="B38" i="35" a="1"/>
  <c r="B37" i="35" a="1"/>
  <c r="B36" i="35" a="1"/>
  <c r="B35" i="35" a="1"/>
  <c r="B34" i="35" a="1"/>
  <c r="B33" i="35" a="1"/>
  <c r="B32" i="35" a="1"/>
  <c r="B31" i="35" a="1"/>
  <c r="B30" i="35" a="1"/>
  <c r="B29" i="35" a="1"/>
  <c r="B28" i="35" a="1"/>
  <c r="B27" i="35" a="1"/>
  <c r="B26" i="35" a="1"/>
  <c r="B25" i="35" a="1"/>
  <c r="B24" i="35" a="1"/>
  <c r="B23" i="35" a="1"/>
  <c r="B22" i="35" a="1"/>
  <c r="B21" i="35" a="1"/>
  <c r="B20" i="35" a="1"/>
  <c r="B19" i="35" a="1"/>
  <c r="B18" i="35" a="1"/>
  <c r="B17" i="35" a="1"/>
  <c r="B16" i="35" a="1"/>
  <c r="B15" i="35" a="1"/>
  <c r="B14" i="35" a="1"/>
  <c r="B13" i="35" a="1"/>
  <c r="B12" i="35" a="1"/>
  <c r="B11" i="35" a="1"/>
  <c r="B10" i="35" a="1"/>
  <c r="B9" i="35" a="1"/>
  <c r="B8" i="35" a="1"/>
  <c r="B7" i="35" a="1"/>
  <c r="B6" i="35" a="1"/>
  <c r="B5" i="35" a="1"/>
  <c r="B4" i="35" a="1"/>
  <c r="B3" i="35" a="1"/>
  <c r="I49" i="17" l="1" a="1"/>
  <c r="I50" i="17" a="1"/>
  <c r="I51" i="17" a="1"/>
  <c r="J48" i="17" a="1"/>
  <c r="J49" i="17" a="1"/>
  <c r="J50" i="17" a="1"/>
  <c r="J51" i="17" a="1"/>
  <c r="K48" i="17" a="1"/>
  <c r="K49" i="17" a="1"/>
  <c r="K50" i="17" a="1"/>
  <c r="K51" i="17" a="1"/>
  <c r="P54" i="17"/>
  <c r="P55" i="17"/>
  <c r="P56" i="17"/>
  <c r="A53" i="17" a="1"/>
  <c r="H51" i="17" a="1"/>
  <c r="A54" i="17" a="1"/>
  <c r="H50" i="17" a="1"/>
  <c r="H49" i="17" a="1"/>
  <c r="P52" i="17"/>
  <c r="P53" i="17"/>
  <c r="A52" i="17" a="1"/>
  <c r="I48" i="17" a="1"/>
  <c r="K47" i="17" a="1"/>
  <c r="J47" i="17" a="1"/>
  <c r="H48" i="17" a="1"/>
  <c r="P49" i="17"/>
  <c r="P50" i="17"/>
  <c r="P51" i="17"/>
  <c r="A48" i="17" a="1"/>
  <c r="A49" i="17" a="1"/>
  <c r="A50" i="17" a="1"/>
  <c r="A51" i="17" a="1"/>
  <c r="H47" i="17" a="1"/>
  <c r="I47" i="17" a="1"/>
  <c r="P48" i="17"/>
  <c r="P47" i="17"/>
  <c r="A47" i="17" a="1"/>
  <c r="P44" i="17"/>
  <c r="P45" i="17"/>
  <c r="H44" i="17" a="1"/>
  <c r="H45" i="17" a="1"/>
  <c r="H46" i="17" a="1"/>
  <c r="I44" i="17" a="1"/>
  <c r="I45" i="17" a="1"/>
  <c r="I46" i="17" a="1"/>
  <c r="J44" i="17" a="1"/>
  <c r="J45" i="17" a="1"/>
  <c r="J46" i="17" a="1"/>
  <c r="K44" i="17" a="1"/>
  <c r="K45" i="17" a="1"/>
  <c r="K46" i="17" a="1"/>
  <c r="P46" i="17"/>
  <c r="I42" i="17" a="1"/>
  <c r="I43" i="17" a="1"/>
  <c r="J42" i="17" a="1"/>
  <c r="J43" i="17" a="1"/>
  <c r="K41" i="17" a="1"/>
  <c r="K42" i="17" a="1"/>
  <c r="K43" i="17" a="1"/>
  <c r="A44" i="17" a="1"/>
  <c r="A45" i="17" a="1"/>
  <c r="A46" i="17" a="1"/>
  <c r="H43" i="17" a="1"/>
  <c r="H41" i="17" a="1"/>
  <c r="I41" i="17" a="1"/>
  <c r="J41" i="17" a="1"/>
  <c r="P41" i="17"/>
  <c r="P42" i="17"/>
  <c r="P43" i="17"/>
  <c r="H42" i="17" a="1"/>
  <c r="A41" i="17" a="1"/>
  <c r="A42" i="17" a="1"/>
  <c r="A43" i="17" a="1"/>
  <c r="F6" i="38"/>
  <c r="F13" i="38"/>
  <c r="F16" i="38"/>
  <c r="F20" i="38"/>
  <c r="F21" i="38"/>
  <c r="F25" i="38"/>
  <c r="F27" i="38"/>
  <c r="F31" i="38"/>
  <c r="F38" i="38"/>
  <c r="F42" i="38"/>
  <c r="F44" i="38"/>
  <c r="F48" i="38"/>
  <c r="F9" i="38"/>
  <c r="F18" i="38"/>
  <c r="F23" i="38"/>
  <c r="F28" i="38"/>
  <c r="F33" i="38"/>
  <c r="F35" i="38"/>
  <c r="F39" i="38"/>
  <c r="F46" i="38"/>
  <c r="F49" i="38"/>
  <c r="I35" i="17" a="1"/>
  <c r="F2" i="38"/>
  <c r="F4" i="38"/>
  <c r="F3" i="38"/>
  <c r="F14" i="38"/>
  <c r="F19" i="38"/>
  <c r="F22" i="38"/>
  <c r="F24" i="38"/>
  <c r="F29" i="38"/>
  <c r="F32" i="38"/>
  <c r="F36" i="38"/>
  <c r="F43" i="38"/>
  <c r="K35" i="17" a="1"/>
  <c r="H40" i="17" a="1"/>
  <c r="I40" i="17" a="1"/>
  <c r="J40" i="17" a="1"/>
  <c r="F8" i="38"/>
  <c r="F5" i="38"/>
  <c r="F15" i="38"/>
  <c r="F26" i="38"/>
  <c r="F30" i="38"/>
  <c r="F37" i="38"/>
  <c r="F41" i="38"/>
  <c r="F45" i="38"/>
  <c r="F50" i="38"/>
  <c r="J35" i="17" a="1"/>
  <c r="F17" i="38"/>
  <c r="F11" i="38"/>
  <c r="F12" i="38"/>
  <c r="F10" i="38"/>
  <c r="F40" i="38"/>
  <c r="H35" i="17" a="1"/>
  <c r="K40" i="17" a="1"/>
  <c r="F7" i="38"/>
  <c r="F34" i="38"/>
  <c r="F47" i="38"/>
  <c r="G84" i="38"/>
  <c r="G85" i="38"/>
  <c r="G86" i="38"/>
  <c r="G87" i="38"/>
  <c r="G104" i="38"/>
  <c r="G103" i="38"/>
  <c r="G102" i="38"/>
  <c r="G101" i="38"/>
  <c r="G100" i="38"/>
  <c r="G99" i="38"/>
  <c r="G98" i="38"/>
  <c r="G97" i="38"/>
  <c r="G96" i="38"/>
  <c r="G95" i="38"/>
  <c r="G94" i="38"/>
  <c r="G93" i="38"/>
  <c r="G92" i="38"/>
  <c r="G91" i="38"/>
  <c r="G90" i="38"/>
  <c r="G89" i="38"/>
  <c r="G88" i="38"/>
  <c r="G83" i="38"/>
  <c r="G82" i="38"/>
  <c r="G81" i="38"/>
  <c r="G80" i="38"/>
  <c r="G79" i="38"/>
  <c r="G78" i="38"/>
  <c r="G77" i="38"/>
  <c r="G76" i="38"/>
  <c r="G75" i="38"/>
  <c r="G74" i="38"/>
  <c r="G73" i="38"/>
  <c r="G72" i="38"/>
  <c r="G71" i="38"/>
  <c r="G70" i="38"/>
  <c r="G69" i="38"/>
  <c r="G68" i="38"/>
  <c r="G67" i="38"/>
  <c r="G66" i="38"/>
  <c r="G65" i="38"/>
  <c r="G64" i="38"/>
  <c r="G63" i="38"/>
  <c r="G62" i="38"/>
  <c r="G61" i="38"/>
  <c r="G60" i="38"/>
  <c r="G59" i="38"/>
  <c r="G58" i="38"/>
  <c r="G57" i="38"/>
  <c r="G56" i="38"/>
  <c r="G55" i="38"/>
  <c r="G54" i="38"/>
  <c r="G53" i="38"/>
  <c r="G52" i="38"/>
  <c r="G51" i="38"/>
  <c r="A35" i="17" a="1"/>
  <c r="P39" i="17"/>
  <c r="P40" i="17"/>
  <c r="P34" i="17"/>
  <c r="A40" i="17" a="1"/>
  <c r="H58" i="36" a="1"/>
  <c r="I58" i="36" a="1"/>
  <c r="J58" i="36" a="1"/>
  <c r="K58" i="36" a="1"/>
  <c r="AV13" i="36"/>
  <c r="AV12" i="36"/>
  <c r="AV11" i="36"/>
  <c r="AV10" i="36"/>
  <c r="AV9" i="36"/>
  <c r="H55" i="37" a="1"/>
  <c r="I55" i="37" a="1"/>
  <c r="J55" i="37" a="1"/>
  <c r="K55" i="37" a="1"/>
  <c r="H56" i="37" a="1"/>
  <c r="I56" i="37" a="1"/>
  <c r="J56" i="37" a="1"/>
  <c r="K56" i="37" a="1"/>
  <c r="K9" i="37" a="1"/>
  <c r="K10" i="37" a="1"/>
  <c r="K11" i="37" a="1"/>
  <c r="K12" i="37" a="1"/>
  <c r="K13" i="37" a="1"/>
  <c r="K14" i="37" a="1"/>
  <c r="K15" i="37" a="1"/>
  <c r="K16" i="37" a="1"/>
  <c r="K17" i="37" a="1"/>
  <c r="K18" i="37" a="1"/>
  <c r="K19" i="37" a="1"/>
  <c r="K20" i="37" a="1"/>
  <c r="K21" i="37" a="1"/>
  <c r="K22" i="37" a="1"/>
  <c r="K23" i="37" a="1"/>
  <c r="K24" i="37" a="1"/>
  <c r="K25" i="37" a="1"/>
  <c r="K26" i="37" a="1"/>
  <c r="K27" i="37" a="1"/>
  <c r="K28" i="37" a="1"/>
  <c r="K29" i="37" a="1"/>
  <c r="K30" i="37" a="1"/>
  <c r="K31" i="37" a="1"/>
  <c r="K32" i="37" a="1"/>
  <c r="K33" i="37" a="1"/>
  <c r="K34" i="37" a="1"/>
  <c r="K35" i="37" a="1"/>
  <c r="K36" i="37" a="1"/>
  <c r="K37" i="37" a="1"/>
  <c r="K38" i="37" a="1"/>
  <c r="K39" i="37" a="1"/>
  <c r="K40" i="37" a="1"/>
  <c r="K41" i="37" a="1"/>
  <c r="K42" i="37" a="1"/>
  <c r="K43" i="37" a="1"/>
  <c r="K44" i="37" a="1"/>
  <c r="K45" i="37" a="1"/>
  <c r="K46" i="37" a="1"/>
  <c r="K47" i="37" a="1"/>
  <c r="K48" i="37" a="1"/>
  <c r="K49" i="37" a="1"/>
  <c r="K50" i="37" a="1"/>
  <c r="K51" i="37" a="1"/>
  <c r="K52" i="37" a="1"/>
  <c r="K53" i="37" a="1"/>
  <c r="K54" i="37" a="1"/>
  <c r="K8" i="37" a="1"/>
  <c r="J9" i="37" a="1"/>
  <c r="J10" i="37" a="1"/>
  <c r="J11" i="37" a="1"/>
  <c r="J12" i="37" a="1"/>
  <c r="J13" i="37" a="1"/>
  <c r="J14" i="37" a="1"/>
  <c r="J15" i="37" a="1"/>
  <c r="J16" i="37" a="1"/>
  <c r="J17" i="37" a="1"/>
  <c r="J18" i="37" a="1"/>
  <c r="J19" i="37" a="1"/>
  <c r="J20" i="37" a="1"/>
  <c r="J21" i="37" a="1"/>
  <c r="J22" i="37" a="1"/>
  <c r="J23" i="37" a="1"/>
  <c r="J24" i="37" a="1"/>
  <c r="J25" i="37" a="1"/>
  <c r="J26" i="37" a="1"/>
  <c r="J27" i="37" a="1"/>
  <c r="J28" i="37" a="1"/>
  <c r="J29" i="37" a="1"/>
  <c r="J30" i="37" a="1"/>
  <c r="J31" i="37" a="1"/>
  <c r="J32" i="37" a="1"/>
  <c r="J33" i="37" a="1"/>
  <c r="J34" i="37" a="1"/>
  <c r="J35" i="37" a="1"/>
  <c r="J36" i="37" a="1"/>
  <c r="J37" i="37" a="1"/>
  <c r="J38" i="37" a="1"/>
  <c r="J39" i="37" a="1"/>
  <c r="J40" i="37" a="1"/>
  <c r="J41" i="37" a="1"/>
  <c r="J42" i="37" a="1"/>
  <c r="J43" i="37" a="1"/>
  <c r="J44" i="37" a="1"/>
  <c r="J45" i="37" a="1"/>
  <c r="J46" i="37" a="1"/>
  <c r="J47" i="37" a="1"/>
  <c r="J48" i="37" a="1"/>
  <c r="J49" i="37" a="1"/>
  <c r="J50" i="37" a="1"/>
  <c r="J51" i="37" a="1"/>
  <c r="J52" i="37" a="1"/>
  <c r="J53" i="37" a="1"/>
  <c r="J54" i="37" a="1"/>
  <c r="J8" i="37" a="1"/>
  <c r="I9" i="37" a="1"/>
  <c r="I10" i="37" a="1"/>
  <c r="I11" i="37" a="1"/>
  <c r="I12" i="37" a="1"/>
  <c r="I13" i="37" a="1"/>
  <c r="I14" i="37" a="1"/>
  <c r="I15" i="37" a="1"/>
  <c r="I16" i="37" a="1"/>
  <c r="I17" i="37" a="1"/>
  <c r="I18" i="37" a="1"/>
  <c r="I19" i="37" a="1"/>
  <c r="I20" i="37" a="1"/>
  <c r="I21" i="37" a="1"/>
  <c r="I22" i="37" a="1"/>
  <c r="I23" i="37" a="1"/>
  <c r="I24" i="37" a="1"/>
  <c r="I25" i="37" a="1"/>
  <c r="I26" i="37" a="1"/>
  <c r="I27" i="37" a="1"/>
  <c r="I28" i="37" a="1"/>
  <c r="I29" i="37" a="1"/>
  <c r="I30" i="37" a="1"/>
  <c r="I31" i="37" a="1"/>
  <c r="I32" i="37" a="1"/>
  <c r="I33" i="37" a="1"/>
  <c r="I34" i="37" a="1"/>
  <c r="I35" i="37" a="1"/>
  <c r="I36" i="37" a="1"/>
  <c r="I37" i="37" a="1"/>
  <c r="I38" i="37" a="1"/>
  <c r="I39" i="37" a="1"/>
  <c r="I40" i="37" a="1"/>
  <c r="I41" i="37" a="1"/>
  <c r="I42" i="37" a="1"/>
  <c r="I43" i="37" a="1"/>
  <c r="I44" i="37" a="1"/>
  <c r="I45" i="37" a="1"/>
  <c r="I46" i="37" a="1"/>
  <c r="I47" i="37" a="1"/>
  <c r="I48" i="37" a="1"/>
  <c r="I49" i="37" a="1"/>
  <c r="I50" i="37" a="1"/>
  <c r="I51" i="37" a="1"/>
  <c r="I52" i="37" a="1"/>
  <c r="I53" i="37" a="1"/>
  <c r="I54" i="37" a="1"/>
  <c r="I8" i="37" a="1"/>
  <c r="H9" i="37" a="1"/>
  <c r="H10" i="37" a="1"/>
  <c r="H11" i="37" a="1"/>
  <c r="H12" i="37" a="1"/>
  <c r="H13" i="37" a="1"/>
  <c r="H14" i="37" a="1"/>
  <c r="H15" i="37" a="1"/>
  <c r="H16" i="37" a="1"/>
  <c r="H17" i="37" a="1"/>
  <c r="H18" i="37" a="1"/>
  <c r="H19" i="37" a="1"/>
  <c r="H20" i="37" a="1"/>
  <c r="H21" i="37" a="1"/>
  <c r="H22" i="37" a="1"/>
  <c r="H23" i="37" a="1"/>
  <c r="H24" i="37" a="1"/>
  <c r="H25" i="37" a="1"/>
  <c r="H26" i="37" a="1"/>
  <c r="H27" i="37" a="1"/>
  <c r="H28" i="37" a="1"/>
  <c r="H29" i="37" a="1"/>
  <c r="H30" i="37" a="1"/>
  <c r="H31" i="37" a="1"/>
  <c r="H32" i="37" a="1"/>
  <c r="H33" i="37" a="1"/>
  <c r="H34" i="37" a="1"/>
  <c r="H35" i="37" a="1"/>
  <c r="H36" i="37" a="1"/>
  <c r="H37" i="37" a="1"/>
  <c r="H38" i="37" a="1"/>
  <c r="H39" i="37" a="1"/>
  <c r="H40" i="37" a="1"/>
  <c r="H41" i="37" a="1"/>
  <c r="H42" i="37" a="1"/>
  <c r="H43" i="37" a="1"/>
  <c r="H44" i="37" a="1"/>
  <c r="H45" i="37" a="1"/>
  <c r="H46" i="37" a="1"/>
  <c r="H47" i="37" a="1"/>
  <c r="H48" i="37" a="1"/>
  <c r="H49" i="37" a="1"/>
  <c r="H50" i="37" a="1"/>
  <c r="H51" i="37" a="1"/>
  <c r="H52" i="37" a="1"/>
  <c r="H53" i="37" a="1"/>
  <c r="H54" i="37" a="1"/>
  <c r="H8" i="37" a="1"/>
  <c r="E9" i="37"/>
  <c r="E10" i="37"/>
  <c r="E11" i="37"/>
  <c r="E12" i="37"/>
  <c r="O44" i="37" s="1"/>
  <c r="E13" i="37"/>
  <c r="O36" i="37" s="1"/>
  <c r="E14" i="37"/>
  <c r="O30" i="37" s="1"/>
  <c r="E15" i="37"/>
  <c r="O37" i="37" s="1"/>
  <c r="E16" i="37"/>
  <c r="O42" i="37" s="1"/>
  <c r="E17" i="37"/>
  <c r="O50" i="37" s="1"/>
  <c r="E18" i="37"/>
  <c r="E19" i="37"/>
  <c r="O47" i="37" s="1"/>
  <c r="E20" i="37"/>
  <c r="O40" i="37" s="1"/>
  <c r="E21" i="37"/>
  <c r="E22" i="37"/>
  <c r="E23" i="37"/>
  <c r="E24" i="37"/>
  <c r="O48" i="37" s="1"/>
  <c r="E25" i="37"/>
  <c r="O43" i="37" s="1"/>
  <c r="E26" i="37"/>
  <c r="O33" i="37" s="1"/>
  <c r="E27" i="37"/>
  <c r="E28" i="37"/>
  <c r="O35" i="37" s="1"/>
  <c r="E29" i="37"/>
  <c r="O41" i="37" s="1"/>
  <c r="E30" i="37"/>
  <c r="E31" i="37"/>
  <c r="O29" i="37" s="1"/>
  <c r="E32" i="37"/>
  <c r="E33" i="37"/>
  <c r="O46" i="37" s="1"/>
  <c r="E34" i="37"/>
  <c r="E35" i="37"/>
  <c r="O38" i="37" s="1"/>
  <c r="E36" i="37"/>
  <c r="E37" i="37"/>
  <c r="O34" i="37" s="1"/>
  <c r="E38" i="37"/>
  <c r="O49" i="37" s="1"/>
  <c r="E39" i="37"/>
  <c r="O39" i="37" s="1"/>
  <c r="E40" i="37"/>
  <c r="E41" i="37"/>
  <c r="E42" i="37"/>
  <c r="E43" i="37"/>
  <c r="E44" i="37"/>
  <c r="O31" i="37" s="1"/>
  <c r="E45" i="37"/>
  <c r="E46" i="37"/>
  <c r="O51" i="37" s="1"/>
  <c r="E47" i="37"/>
  <c r="E48" i="37"/>
  <c r="O9" i="37" s="1"/>
  <c r="E49" i="37"/>
  <c r="E50" i="37"/>
  <c r="E51" i="37"/>
  <c r="E52" i="37"/>
  <c r="E53" i="37"/>
  <c r="O32" i="37" s="1"/>
  <c r="E54" i="37"/>
  <c r="O45" i="37" s="1"/>
  <c r="E8" i="37"/>
  <c r="O28" i="37" s="1"/>
  <c r="A55" i="37" a="1"/>
  <c r="A56" i="37" a="1"/>
  <c r="A58" i="36" a="1"/>
  <c r="P35" i="17"/>
  <c r="P36" i="17"/>
  <c r="P37" i="17"/>
  <c r="P38" i="17"/>
  <c r="H39" i="17" a="1"/>
  <c r="I39" i="17" a="1"/>
  <c r="J39" i="17" a="1"/>
  <c r="K39" i="17" a="1"/>
  <c r="A39" i="17" a="1"/>
  <c r="I38" i="17" a="1"/>
  <c r="K38" i="17" a="1"/>
  <c r="J38" i="17" a="1"/>
  <c r="A38" i="17" a="1"/>
  <c r="H38" i="17" a="1"/>
  <c r="J30" i="17" a="1"/>
  <c r="A30" i="17" a="1"/>
  <c r="K30" i="17" a="1"/>
  <c r="I30" i="17" a="1"/>
  <c r="H30" i="17" a="1"/>
  <c r="K37" i="17" a="1"/>
  <c r="J37" i="17" a="1"/>
  <c r="I37" i="17" a="1"/>
  <c r="H37" i="17" a="1"/>
  <c r="A37" i="17" a="1"/>
  <c r="E37" i="17" s="1"/>
  <c r="P33" i="17"/>
  <c r="H57" i="36" a="1"/>
  <c r="H56" i="36" a="1"/>
  <c r="H55" i="36" a="1"/>
  <c r="A52" i="36" a="1"/>
  <c r="I52" i="36" a="1"/>
  <c r="J52" i="36" a="1"/>
  <c r="K52" i="36" a="1"/>
  <c r="A53" i="36" a="1"/>
  <c r="I53" i="36" a="1"/>
  <c r="J53" i="36" a="1"/>
  <c r="K53" i="36" a="1"/>
  <c r="H54" i="36" a="1"/>
  <c r="K54" i="36" a="1"/>
  <c r="J54" i="36" a="1"/>
  <c r="I54" i="36" a="1"/>
  <c r="A54" i="36" a="1"/>
  <c r="K55" i="36" a="1"/>
  <c r="J55" i="36" a="1"/>
  <c r="I55" i="36" a="1"/>
  <c r="A55" i="36" a="1"/>
  <c r="A56" i="36" a="1"/>
  <c r="I56" i="36" a="1"/>
  <c r="J56" i="36" a="1"/>
  <c r="K56" i="36" a="1"/>
  <c r="A57" i="36" a="1"/>
  <c r="E57" i="36" s="1"/>
  <c r="I57" i="36" a="1"/>
  <c r="J57" i="36" a="1"/>
  <c r="K57" i="36" a="1"/>
  <c r="E54" i="36"/>
  <c r="E55" i="36"/>
  <c r="H52" i="36" a="1"/>
  <c r="H53" i="36" a="1"/>
  <c r="H51" i="36" a="1"/>
  <c r="I51" i="36" a="1"/>
  <c r="J51" i="36" a="1"/>
  <c r="K51" i="36" a="1"/>
  <c r="A51" i="36" a="1"/>
  <c r="H50" i="36" a="1"/>
  <c r="I50" i="36" a="1"/>
  <c r="J50" i="36" a="1"/>
  <c r="K50" i="36" a="1"/>
  <c r="A50" i="36" a="1"/>
  <c r="H49" i="36" a="1"/>
  <c r="I49" i="36" a="1"/>
  <c r="J49" i="36" a="1"/>
  <c r="K49" i="36" a="1"/>
  <c r="A49" i="36" a="1"/>
  <c r="H48" i="36" a="1"/>
  <c r="I48" i="36" a="1"/>
  <c r="J48" i="36" a="1"/>
  <c r="K48" i="36" a="1"/>
  <c r="A48" i="36" a="1"/>
  <c r="H47" i="36" a="1"/>
  <c r="I47" i="36" a="1"/>
  <c r="J47" i="36" a="1"/>
  <c r="K47" i="36" a="1"/>
  <c r="A47" i="36" a="1"/>
  <c r="H46" i="36" a="1"/>
  <c r="I46" i="36" a="1"/>
  <c r="J46" i="36" a="1"/>
  <c r="K46" i="36" a="1"/>
  <c r="A46" i="36" a="1"/>
  <c r="H45" i="36" a="1"/>
  <c r="I45" i="36" a="1"/>
  <c r="J45" i="36" a="1"/>
  <c r="K45" i="36" a="1"/>
  <c r="A45" i="36" a="1"/>
  <c r="H44" i="36" a="1"/>
  <c r="I44" i="36" a="1"/>
  <c r="J44" i="36" a="1"/>
  <c r="K44" i="36" a="1"/>
  <c r="A44" i="36" a="1"/>
  <c r="H43" i="36" a="1"/>
  <c r="I43" i="36" a="1"/>
  <c r="J43" i="36" a="1"/>
  <c r="K43" i="36" a="1"/>
  <c r="A43" i="36" a="1"/>
  <c r="H42" i="36" a="1"/>
  <c r="I42" i="36" a="1"/>
  <c r="J42" i="36" a="1"/>
  <c r="K42" i="36" a="1"/>
  <c r="A42" i="36" a="1"/>
  <c r="I41" i="36" a="1"/>
  <c r="A41" i="36" a="1"/>
  <c r="H41" i="36" a="1"/>
  <c r="J41" i="36" a="1"/>
  <c r="K41" i="36" a="1"/>
  <c r="J40" i="36" a="1"/>
  <c r="A40" i="36" a="1"/>
  <c r="H40" i="36" a="1"/>
  <c r="I40" i="36" a="1"/>
  <c r="K40" i="36" a="1"/>
  <c r="J39" i="36" a="1"/>
  <c r="A39" i="36" a="1"/>
  <c r="H39" i="36" a="1"/>
  <c r="I39" i="36" a="1"/>
  <c r="K39" i="36" a="1"/>
  <c r="H38" i="36" a="1"/>
  <c r="I38" i="36" a="1"/>
  <c r="K38" i="36" a="1"/>
  <c r="J38" i="36" a="1"/>
  <c r="A38" i="36" a="1"/>
  <c r="H37" i="36" a="1"/>
  <c r="J37" i="36" a="1"/>
  <c r="A37" i="36" a="1"/>
  <c r="I37" i="36" a="1"/>
  <c r="K37" i="36" a="1"/>
  <c r="H36" i="36" a="1"/>
  <c r="I36" i="36" a="1"/>
  <c r="K36" i="36" a="1"/>
  <c r="J36" i="36" a="1"/>
  <c r="A36" i="36" a="1"/>
  <c r="I35" i="36" a="1"/>
  <c r="H35" i="36" a="1"/>
  <c r="J35" i="36" a="1"/>
  <c r="K35" i="36" a="1"/>
  <c r="A35" i="36" a="1"/>
  <c r="I34" i="36" a="1"/>
  <c r="A34" i="36" a="1"/>
  <c r="H34" i="36" a="1"/>
  <c r="J34" i="36" a="1"/>
  <c r="K34" i="36" a="1"/>
  <c r="A33" i="36" a="1"/>
  <c r="H33" i="36" a="1"/>
  <c r="I33" i="36" a="1"/>
  <c r="J33" i="36" a="1"/>
  <c r="K33" i="36" a="1"/>
  <c r="H32" i="36" a="1"/>
  <c r="I32" i="36" a="1"/>
  <c r="K32" i="36" a="1"/>
  <c r="J32" i="36" a="1"/>
  <c r="A32" i="36" a="1"/>
  <c r="A31" i="36" a="1"/>
  <c r="H31" i="36" a="1"/>
  <c r="I31" i="36" a="1"/>
  <c r="J31" i="36" a="1"/>
  <c r="K31" i="36" a="1"/>
  <c r="H30" i="36" a="1"/>
  <c r="A30" i="36" a="1"/>
  <c r="I30" i="36" a="1"/>
  <c r="J30" i="36" a="1"/>
  <c r="K30" i="36" a="1"/>
  <c r="I29" i="36" a="1"/>
  <c r="J29" i="36" a="1"/>
  <c r="H29" i="36" a="1"/>
  <c r="K29" i="36" a="1"/>
  <c r="A29" i="36" a="1"/>
  <c r="A28" i="36" a="1"/>
  <c r="H28" i="36" a="1"/>
  <c r="I28" i="36" a="1"/>
  <c r="J28" i="36" a="1"/>
  <c r="K28" i="36" a="1"/>
  <c r="H27" i="36" a="1"/>
  <c r="A27" i="36" a="1"/>
  <c r="I27" i="36" a="1"/>
  <c r="J27" i="36" a="1"/>
  <c r="K27" i="36" a="1"/>
  <c r="J26" i="36" a="1"/>
  <c r="I26" i="36" a="1"/>
  <c r="A26" i="36" a="1"/>
  <c r="H26" i="36" a="1"/>
  <c r="K26" i="36" a="1"/>
  <c r="H25" i="36" a="1"/>
  <c r="I25" i="36" a="1"/>
  <c r="J25" i="36" a="1"/>
  <c r="K25" i="36" a="1"/>
  <c r="A25" i="36" a="1"/>
  <c r="H24" i="36" a="1"/>
  <c r="J24" i="36" a="1"/>
  <c r="K24" i="36" a="1"/>
  <c r="A24" i="36" a="1"/>
  <c r="I24" i="36" a="1"/>
  <c r="K23" i="36" a="1"/>
  <c r="H23" i="36" a="1"/>
  <c r="A23" i="36" a="1"/>
  <c r="I23" i="36" a="1"/>
  <c r="J23" i="36" a="1"/>
  <c r="H22" i="36" a="1"/>
  <c r="I22" i="36" a="1"/>
  <c r="J22" i="36" a="1"/>
  <c r="K22" i="36" a="1"/>
  <c r="A22" i="36" a="1"/>
  <c r="H21" i="36" a="1"/>
  <c r="J21" i="36" a="1"/>
  <c r="K21" i="36" a="1"/>
  <c r="A21" i="36" a="1"/>
  <c r="I21" i="36" a="1"/>
  <c r="K20" i="36" a="1"/>
  <c r="A20" i="36" a="1"/>
  <c r="I20" i="36" a="1"/>
  <c r="H20" i="36" a="1"/>
  <c r="J20" i="36" a="1"/>
  <c r="H19" i="36" a="1"/>
  <c r="I19" i="36" a="1"/>
  <c r="J19" i="36" a="1"/>
  <c r="K19" i="36" a="1"/>
  <c r="A19" i="36" a="1"/>
  <c r="I18" i="36" a="1"/>
  <c r="K18" i="36" a="1"/>
  <c r="A18" i="36" a="1"/>
  <c r="H18" i="36" a="1"/>
  <c r="J18" i="36" a="1"/>
  <c r="I17" i="36" a="1"/>
  <c r="H17" i="36" a="1"/>
  <c r="J17" i="36" a="1"/>
  <c r="K17" i="36" a="1"/>
  <c r="A17" i="36" a="1"/>
  <c r="H16" i="36" a="1"/>
  <c r="I16" i="36" a="1"/>
  <c r="K16" i="36" a="1"/>
  <c r="J16" i="36" a="1"/>
  <c r="A16" i="36" a="1"/>
  <c r="H15" i="36" a="1"/>
  <c r="J15" i="36" a="1"/>
  <c r="I15" i="36" a="1"/>
  <c r="K15" i="36" a="1"/>
  <c r="A15" i="36" a="1"/>
  <c r="I14" i="36" a="1"/>
  <c r="J14" i="36" a="1"/>
  <c r="K14" i="36" a="1"/>
  <c r="A14" i="36" a="1"/>
  <c r="H14" i="36" a="1"/>
  <c r="H13" i="36" a="1"/>
  <c r="I13" i="36" a="1"/>
  <c r="J13" i="36" a="1"/>
  <c r="K13" i="36" a="1"/>
  <c r="A13" i="36" a="1"/>
  <c r="H12" i="36" a="1"/>
  <c r="I12" i="36" a="1"/>
  <c r="J12" i="36" a="1"/>
  <c r="K12" i="36" a="1"/>
  <c r="A12" i="36" a="1"/>
  <c r="H11" i="36" a="1"/>
  <c r="I11" i="36" a="1"/>
  <c r="J11" i="36" a="1"/>
  <c r="K11" i="36" a="1"/>
  <c r="A11" i="36" a="1"/>
  <c r="H10" i="36" a="1"/>
  <c r="I10" i="36" a="1"/>
  <c r="J10" i="36" a="1"/>
  <c r="K10" i="36" a="1"/>
  <c r="A10" i="36" a="1"/>
  <c r="H9" i="36" a="1"/>
  <c r="I9" i="36" a="1"/>
  <c r="J9" i="36" a="1"/>
  <c r="K9" i="36" a="1"/>
  <c r="A9" i="36" a="1"/>
  <c r="H8" i="36" a="1"/>
  <c r="I8" i="36" a="1"/>
  <c r="K8" i="36" a="1"/>
  <c r="J8" i="36" a="1"/>
  <c r="A8" i="36" a="1"/>
  <c r="H7" i="36" a="1"/>
  <c r="J7" i="36" a="1"/>
  <c r="K7" i="36" a="1"/>
  <c r="I7" i="36" a="1"/>
  <c r="A7" i="36" a="1"/>
  <c r="H6" i="36" a="1"/>
  <c r="I6" i="36" a="1"/>
  <c r="J6" i="36" a="1"/>
  <c r="K6" i="36" a="1"/>
  <c r="A6" i="36" a="1"/>
  <c r="I5" i="36" a="1"/>
  <c r="K5" i="36" a="1"/>
  <c r="H5" i="36" a="1"/>
  <c r="J5" i="36" a="1"/>
  <c r="A5" i="36" a="1"/>
  <c r="I4" i="36" a="1"/>
  <c r="J4" i="36" a="1"/>
  <c r="K4" i="36" a="1"/>
  <c r="H4" i="36" a="1"/>
  <c r="A4" i="36" a="1"/>
  <c r="I3" i="36" a="1"/>
  <c r="K3" i="36" a="1"/>
  <c r="H3" i="36" a="1"/>
  <c r="J3" i="36" a="1"/>
  <c r="A3" i="36" a="1"/>
  <c r="H59" i="35" a="1"/>
  <c r="I59" i="35" a="1"/>
  <c r="J59" i="35" a="1"/>
  <c r="K59" i="35" a="1"/>
  <c r="A59" i="35" a="1"/>
  <c r="H58" i="35" a="1"/>
  <c r="I58" i="35" a="1"/>
  <c r="J58" i="35" a="1"/>
  <c r="K58" i="35" a="1"/>
  <c r="A58" i="35" a="1"/>
  <c r="H57" i="35" a="1"/>
  <c r="I57" i="35" a="1"/>
  <c r="J57" i="35" a="1"/>
  <c r="K57" i="35" a="1"/>
  <c r="A57" i="35" a="1"/>
  <c r="H56" i="35" a="1"/>
  <c r="I56" i="35" a="1"/>
  <c r="J56" i="35" a="1"/>
  <c r="K56" i="35" a="1"/>
  <c r="A56" i="35" a="1"/>
  <c r="H55" i="35" a="1"/>
  <c r="I55" i="35" a="1"/>
  <c r="J55" i="35" a="1"/>
  <c r="K55" i="35" a="1"/>
  <c r="A55" i="35" a="1"/>
  <c r="H54" i="35" a="1"/>
  <c r="I54" i="35" a="1"/>
  <c r="J54" i="35" a="1"/>
  <c r="K54" i="35" a="1"/>
  <c r="A54" i="35" a="1"/>
  <c r="H53" i="35" a="1"/>
  <c r="I53" i="35" a="1"/>
  <c r="J53" i="35" a="1"/>
  <c r="K53" i="35" a="1"/>
  <c r="A53" i="35" a="1"/>
  <c r="H52" i="35" a="1"/>
  <c r="I52" i="35" a="1"/>
  <c r="J52" i="35" a="1"/>
  <c r="K52" i="35" a="1"/>
  <c r="A52" i="35" a="1"/>
  <c r="H51" i="35" a="1"/>
  <c r="I51" i="35" a="1"/>
  <c r="J51" i="35" a="1"/>
  <c r="K51" i="35" a="1"/>
  <c r="A51" i="35" a="1"/>
  <c r="H50" i="35" a="1"/>
  <c r="I50" i="35" a="1"/>
  <c r="J50" i="35" a="1"/>
  <c r="K50" i="35" a="1"/>
  <c r="A50" i="35" a="1"/>
  <c r="H49" i="35" a="1"/>
  <c r="I49" i="35" a="1"/>
  <c r="J49" i="35" a="1"/>
  <c r="K49" i="35" a="1"/>
  <c r="A49" i="35" a="1"/>
  <c r="H48" i="35" a="1"/>
  <c r="I48" i="35" a="1"/>
  <c r="J48" i="35" a="1"/>
  <c r="K48" i="35" a="1"/>
  <c r="A48" i="35" a="1"/>
  <c r="H47" i="35" a="1"/>
  <c r="I47" i="35" a="1"/>
  <c r="J47" i="35" a="1"/>
  <c r="K47" i="35" a="1"/>
  <c r="A47" i="35" a="1"/>
  <c r="H46" i="35" a="1"/>
  <c r="I46" i="35" a="1"/>
  <c r="J46" i="35" a="1"/>
  <c r="K46" i="35" a="1"/>
  <c r="A46" i="35" a="1"/>
  <c r="H45" i="35" a="1"/>
  <c r="I45" i="35" a="1"/>
  <c r="J45" i="35" a="1"/>
  <c r="K45" i="35" a="1"/>
  <c r="A45" i="35" a="1"/>
  <c r="H44" i="35" a="1"/>
  <c r="I44" i="35" a="1"/>
  <c r="J44" i="35" a="1"/>
  <c r="K44" i="35" a="1"/>
  <c r="A44" i="35" a="1"/>
  <c r="H43" i="35" a="1"/>
  <c r="I43" i="35" a="1"/>
  <c r="J43" i="35" a="1"/>
  <c r="K43" i="35" a="1"/>
  <c r="A43" i="35" a="1"/>
  <c r="H42" i="35" a="1"/>
  <c r="I42" i="35" a="1"/>
  <c r="J42" i="35" a="1"/>
  <c r="K42" i="35" a="1"/>
  <c r="A42" i="35" a="1"/>
  <c r="H41" i="35" a="1"/>
  <c r="I41" i="35" a="1"/>
  <c r="J41" i="35" a="1"/>
  <c r="K41" i="35" a="1"/>
  <c r="A41" i="35" a="1"/>
  <c r="H40" i="35" a="1"/>
  <c r="I40" i="35" a="1"/>
  <c r="J40" i="35" a="1"/>
  <c r="K40" i="35" a="1"/>
  <c r="A40" i="35" a="1"/>
  <c r="H39" i="35" a="1"/>
  <c r="I39" i="35" a="1"/>
  <c r="J39" i="35" a="1"/>
  <c r="K39" i="35" a="1"/>
  <c r="A39" i="35" a="1"/>
  <c r="H38" i="35" a="1"/>
  <c r="I38" i="35" a="1"/>
  <c r="J38" i="35" a="1"/>
  <c r="K38" i="35" a="1"/>
  <c r="A38" i="35" a="1"/>
  <c r="H37" i="35" a="1"/>
  <c r="I37" i="35" a="1"/>
  <c r="J37" i="35" a="1"/>
  <c r="K37" i="35" a="1"/>
  <c r="A37" i="35" a="1"/>
  <c r="H36" i="35" a="1"/>
  <c r="I36" i="35" a="1"/>
  <c r="J36" i="35" a="1"/>
  <c r="K36" i="35" a="1"/>
  <c r="A36" i="35" a="1"/>
  <c r="H35" i="35" a="1"/>
  <c r="I35" i="35" a="1"/>
  <c r="J35" i="35" a="1"/>
  <c r="K35" i="35" a="1"/>
  <c r="A35" i="35" a="1"/>
  <c r="H34" i="35" a="1"/>
  <c r="I34" i="35" a="1"/>
  <c r="J34" i="35" a="1"/>
  <c r="K34" i="35" a="1"/>
  <c r="A34" i="35" a="1"/>
  <c r="I33" i="35" a="1"/>
  <c r="J33" i="35" a="1"/>
  <c r="K33" i="35" a="1"/>
  <c r="H33" i="35" a="1"/>
  <c r="A33" i="35" a="1"/>
  <c r="H32" i="35" a="1"/>
  <c r="A32" i="35" a="1"/>
  <c r="I32" i="35" a="1"/>
  <c r="J32" i="35" a="1"/>
  <c r="K32" i="35" a="1"/>
  <c r="I31" i="35" a="1"/>
  <c r="A31" i="35" a="1"/>
  <c r="H31" i="35" a="1"/>
  <c r="J31" i="35" a="1"/>
  <c r="K31" i="35" a="1"/>
  <c r="I30" i="35" a="1"/>
  <c r="A30" i="35" a="1"/>
  <c r="H30" i="35" a="1"/>
  <c r="J30" i="35" a="1"/>
  <c r="K30" i="35" a="1"/>
  <c r="I29" i="35" a="1"/>
  <c r="K29" i="35" a="1"/>
  <c r="H29" i="35" a="1"/>
  <c r="J29" i="35" a="1"/>
  <c r="A29" i="35" a="1"/>
  <c r="H28" i="35" a="1"/>
  <c r="J28" i="35" a="1"/>
  <c r="I28" i="35" a="1"/>
  <c r="K28" i="35" a="1"/>
  <c r="A28" i="35" a="1"/>
  <c r="H27" i="35" a="1"/>
  <c r="J27" i="35" a="1"/>
  <c r="K27" i="35" a="1"/>
  <c r="A27" i="35" a="1"/>
  <c r="I27" i="35" a="1"/>
  <c r="K26" i="35" a="1"/>
  <c r="A26" i="35" a="1"/>
  <c r="I26" i="35" a="1"/>
  <c r="H26" i="35" a="1"/>
  <c r="J26" i="35" a="1"/>
  <c r="I25" i="35" a="1"/>
  <c r="J25" i="35" a="1"/>
  <c r="A25" i="35" a="1"/>
  <c r="H25" i="35" a="1"/>
  <c r="K25" i="35" a="1"/>
  <c r="I24" i="35" a="1"/>
  <c r="J24" i="35" a="1"/>
  <c r="A24" i="35" a="1"/>
  <c r="H24" i="35" a="1"/>
  <c r="K24" i="35" a="1"/>
  <c r="J23" i="35" a="1"/>
  <c r="A23" i="35" a="1"/>
  <c r="H23" i="35" a="1"/>
  <c r="K23" i="35" a="1"/>
  <c r="I23" i="35" a="1"/>
  <c r="H22" i="35" a="1"/>
  <c r="A22" i="35" a="1"/>
  <c r="J22" i="35" a="1"/>
  <c r="I22" i="35" a="1"/>
  <c r="K22" i="35" a="1"/>
  <c r="I21" i="35" a="1"/>
  <c r="J21" i="35" a="1"/>
  <c r="H21" i="35" a="1"/>
  <c r="K21" i="35" a="1"/>
  <c r="A21" i="35" a="1"/>
  <c r="H20" i="35" a="1"/>
  <c r="I20" i="35" a="1"/>
  <c r="K20" i="35" a="1"/>
  <c r="A20" i="35" a="1"/>
  <c r="J20" i="35" a="1"/>
  <c r="J19" i="35" a="1"/>
  <c r="K19" i="35" a="1"/>
  <c r="H19" i="35" a="1"/>
  <c r="I19" i="35" a="1"/>
  <c r="A19" i="35" a="1"/>
  <c r="I18" i="35" a="1"/>
  <c r="H18" i="35" a="1"/>
  <c r="J18" i="35" a="1"/>
  <c r="K18" i="35" a="1"/>
  <c r="A18" i="35" a="1"/>
  <c r="H17" i="35" a="1"/>
  <c r="I17" i="35" a="1"/>
  <c r="J17" i="35" a="1"/>
  <c r="K17" i="35" a="1"/>
  <c r="A17" i="35" a="1"/>
  <c r="H16" i="35" a="1"/>
  <c r="I16" i="35" a="1"/>
  <c r="J16" i="35" a="1"/>
  <c r="K16" i="35" a="1"/>
  <c r="A16" i="35" a="1"/>
  <c r="K15" i="35" a="1"/>
  <c r="A15" i="35" a="1"/>
  <c r="H15" i="35" a="1"/>
  <c r="J15" i="35" a="1"/>
  <c r="I15" i="35" a="1"/>
  <c r="I14" i="35" a="1"/>
  <c r="A14" i="35" a="1"/>
  <c r="H14" i="35" a="1"/>
  <c r="J14" i="35" a="1"/>
  <c r="K14" i="35" a="1"/>
  <c r="H13" i="35" a="1"/>
  <c r="I13" i="35" a="1"/>
  <c r="K13" i="35" a="1"/>
  <c r="J13" i="35" a="1"/>
  <c r="A13" i="35" a="1"/>
  <c r="H12" i="35" a="1"/>
  <c r="I12" i="35" a="1"/>
  <c r="J12" i="35" a="1"/>
  <c r="K12" i="35" a="1"/>
  <c r="A12" i="35" a="1"/>
  <c r="H11" i="35" a="1"/>
  <c r="I11" i="35" a="1"/>
  <c r="J11" i="35" a="1"/>
  <c r="K11" i="35" a="1"/>
  <c r="A11" i="35" a="1"/>
  <c r="H10" i="35" a="1"/>
  <c r="I10" i="35" a="1"/>
  <c r="J10" i="35" a="1"/>
  <c r="K10" i="35" a="1"/>
  <c r="A10" i="35" a="1"/>
  <c r="A9" i="35" a="1"/>
  <c r="I9" i="35" a="1"/>
  <c r="H9" i="35" a="1"/>
  <c r="J9" i="35" a="1"/>
  <c r="K9" i="35" a="1"/>
  <c r="H8" i="35" a="1"/>
  <c r="I8" i="35" a="1"/>
  <c r="J8" i="35" a="1"/>
  <c r="K8" i="35" a="1"/>
  <c r="A8" i="35" a="1"/>
  <c r="H7" i="35" a="1"/>
  <c r="K7" i="35" a="1"/>
  <c r="A7" i="35" a="1"/>
  <c r="I7" i="35" a="1"/>
  <c r="J7" i="35" a="1"/>
  <c r="I6" i="35" a="1"/>
  <c r="H6" i="35" a="1"/>
  <c r="J6" i="35" a="1"/>
  <c r="K6" i="35" a="1"/>
  <c r="A6" i="35" a="1"/>
  <c r="I5" i="35" a="1"/>
  <c r="K5" i="35" a="1"/>
  <c r="H5" i="35" a="1"/>
  <c r="J5" i="35" a="1"/>
  <c r="A5" i="35" a="1"/>
  <c r="A4" i="35" a="1"/>
  <c r="H4" i="35" a="1"/>
  <c r="I4" i="35" a="1"/>
  <c r="J4" i="35" a="1"/>
  <c r="K4" i="35" a="1"/>
  <c r="A3" i="35" a="1"/>
  <c r="H3" i="35" a="1"/>
  <c r="I3" i="35" a="1"/>
  <c r="J3" i="35" a="1"/>
  <c r="K3" i="35" a="1"/>
  <c r="A36" i="17" a="1"/>
  <c r="J36" i="17" a="1"/>
  <c r="K36" i="17" a="1"/>
  <c r="H36" i="17" a="1"/>
  <c r="I36" i="17" a="1"/>
  <c r="A34" i="17" a="1"/>
  <c r="J34" i="17" a="1"/>
  <c r="I34" i="17" a="1"/>
  <c r="H34" i="17" a="1"/>
  <c r="C53" i="17" l="1" a="1"/>
  <c r="D53" i="17" s="1"/>
  <c r="E53" i="17"/>
  <c r="C54" i="17" a="1"/>
  <c r="D54" i="17" s="1"/>
  <c r="E54" i="17"/>
  <c r="E56" i="36"/>
  <c r="E52" i="17"/>
  <c r="C52" i="17" a="1"/>
  <c r="E48" i="17"/>
  <c r="C48" i="17" a="1"/>
  <c r="D48" i="17" s="1"/>
  <c r="E49" i="17"/>
  <c r="O54" i="17" s="1"/>
  <c r="C49" i="17" a="1"/>
  <c r="Q54" i="17" s="1"/>
  <c r="M54" i="17" s="1"/>
  <c r="E50" i="17"/>
  <c r="O55" i="17" s="1"/>
  <c r="C50" i="17" a="1"/>
  <c r="E51" i="17"/>
  <c r="C51" i="17" a="1"/>
  <c r="D51" i="17" s="1"/>
  <c r="E47" i="17"/>
  <c r="C47" i="17" a="1"/>
  <c r="D47" i="17" s="1"/>
  <c r="E44" i="17"/>
  <c r="C44" i="17" a="1"/>
  <c r="D44" i="17" s="1"/>
  <c r="E45" i="17"/>
  <c r="O53" i="17" s="1"/>
  <c r="C45" i="17" a="1"/>
  <c r="E46" i="17"/>
  <c r="O56" i="17" s="1"/>
  <c r="C46" i="17" a="1"/>
  <c r="E41" i="17"/>
  <c r="E42" i="17"/>
  <c r="E43" i="17"/>
  <c r="K8" i="38"/>
  <c r="E35" i="17"/>
  <c r="E40" i="17"/>
  <c r="K10" i="38"/>
  <c r="K5" i="38"/>
  <c r="K2" i="38"/>
  <c r="K3" i="38"/>
  <c r="K12" i="38"/>
  <c r="K4" i="38"/>
  <c r="K13" i="38"/>
  <c r="K11" i="38"/>
  <c r="K9" i="38"/>
  <c r="K7" i="38"/>
  <c r="K6" i="38"/>
  <c r="O58" i="36"/>
  <c r="O52" i="37"/>
  <c r="O53" i="37"/>
  <c r="O54" i="37"/>
  <c r="O55" i="37"/>
  <c r="O56" i="37"/>
  <c r="O57" i="37"/>
  <c r="O10" i="37"/>
  <c r="O11" i="37"/>
  <c r="O12" i="37"/>
  <c r="O13" i="37"/>
  <c r="O15" i="37"/>
  <c r="O16" i="37"/>
  <c r="O17" i="37"/>
  <c r="O18" i="37"/>
  <c r="O19" i="37"/>
  <c r="O20" i="37"/>
  <c r="O21" i="37"/>
  <c r="O22" i="37"/>
  <c r="O23" i="37"/>
  <c r="O24" i="37"/>
  <c r="O25" i="37"/>
  <c r="O26" i="37"/>
  <c r="E55" i="37"/>
  <c r="O27" i="37" s="1"/>
  <c r="E56" i="37"/>
  <c r="O14" i="37" s="1"/>
  <c r="E58" i="36"/>
  <c r="E53" i="36"/>
  <c r="E39" i="17"/>
  <c r="E38" i="17"/>
  <c r="E30" i="17"/>
  <c r="E52" i="36"/>
  <c r="E51" i="36"/>
  <c r="E50" i="36"/>
  <c r="O59" i="36" s="1"/>
  <c r="E49" i="36"/>
  <c r="E48" i="36"/>
  <c r="E47" i="36"/>
  <c r="E46" i="36"/>
  <c r="E45" i="36"/>
  <c r="E44" i="36"/>
  <c r="E43" i="36"/>
  <c r="E42" i="36"/>
  <c r="E41" i="36"/>
  <c r="E40" i="36"/>
  <c r="E39" i="36"/>
  <c r="E38" i="36"/>
  <c r="E37" i="36"/>
  <c r="E36" i="36"/>
  <c r="E35" i="36"/>
  <c r="E34" i="36"/>
  <c r="E33" i="36"/>
  <c r="E32" i="36"/>
  <c r="O60" i="36" s="1"/>
  <c r="E31" i="36"/>
  <c r="E30" i="36"/>
  <c r="E29" i="36"/>
  <c r="E28" i="36"/>
  <c r="E27" i="36"/>
  <c r="E26" i="36"/>
  <c r="E25" i="36"/>
  <c r="E24" i="36"/>
  <c r="E23" i="36"/>
  <c r="E22" i="36"/>
  <c r="E21" i="36"/>
  <c r="E20" i="36"/>
  <c r="E19" i="36"/>
  <c r="E18" i="36"/>
  <c r="E17" i="36"/>
  <c r="E16" i="36"/>
  <c r="E15" i="36"/>
  <c r="E14" i="36"/>
  <c r="E13" i="36"/>
  <c r="E12" i="36"/>
  <c r="E11" i="36"/>
  <c r="E10" i="36"/>
  <c r="E9" i="36"/>
  <c r="E8" i="36"/>
  <c r="E7" i="36"/>
  <c r="E6" i="36"/>
  <c r="E5" i="36"/>
  <c r="E4" i="36"/>
  <c r="E3" i="36"/>
  <c r="E59" i="35"/>
  <c r="E58" i="35"/>
  <c r="E57" i="35"/>
  <c r="E56" i="35"/>
  <c r="E55" i="35"/>
  <c r="E54" i="35"/>
  <c r="E53" i="35"/>
  <c r="E52" i="35"/>
  <c r="E51" i="35"/>
  <c r="E50" i="35"/>
  <c r="E49" i="35"/>
  <c r="E48" i="35"/>
  <c r="E47" i="35"/>
  <c r="E46" i="35"/>
  <c r="E45" i="35"/>
  <c r="E44" i="35"/>
  <c r="E43" i="35"/>
  <c r="E42" i="35"/>
  <c r="O22" i="35" s="1"/>
  <c r="E41" i="35"/>
  <c r="E40" i="35"/>
  <c r="E39" i="35"/>
  <c r="E38" i="35"/>
  <c r="E37" i="35"/>
  <c r="E36" i="35"/>
  <c r="E35" i="35"/>
  <c r="O60" i="35" s="1"/>
  <c r="E34" i="35"/>
  <c r="E33" i="35"/>
  <c r="E32" i="35"/>
  <c r="E31" i="35"/>
  <c r="E30" i="35"/>
  <c r="E29" i="35"/>
  <c r="E28" i="35"/>
  <c r="E27" i="35"/>
  <c r="E26" i="35"/>
  <c r="O59" i="35" s="1"/>
  <c r="E25" i="35"/>
  <c r="O61" i="35" s="1"/>
  <c r="E24" i="35"/>
  <c r="E23" i="35"/>
  <c r="E22" i="35"/>
  <c r="E21" i="35"/>
  <c r="E20" i="35"/>
  <c r="E19" i="35"/>
  <c r="E18" i="35"/>
  <c r="E17" i="35"/>
  <c r="E16" i="35"/>
  <c r="E15" i="35"/>
  <c r="E14" i="35"/>
  <c r="E13" i="35"/>
  <c r="E12" i="35"/>
  <c r="E11" i="35"/>
  <c r="E10" i="35"/>
  <c r="O58" i="35" s="1"/>
  <c r="E9" i="35"/>
  <c r="E8" i="35"/>
  <c r="E7" i="35"/>
  <c r="E6" i="35"/>
  <c r="E5" i="35"/>
  <c r="E4" i="35"/>
  <c r="E3" i="35"/>
  <c r="E36" i="17"/>
  <c r="E34" i="17"/>
  <c r="D50" i="17" l="1"/>
  <c r="Q55" i="17"/>
  <c r="M55" i="17" s="1"/>
  <c r="D46" i="17"/>
  <c r="Q56" i="17"/>
  <c r="M56" i="17" s="1"/>
  <c r="D45" i="17"/>
  <c r="Q53" i="17"/>
  <c r="M53" i="17" s="1"/>
  <c r="D52" i="17"/>
  <c r="D49" i="17"/>
  <c r="O33" i="35"/>
  <c r="O24" i="35"/>
  <c r="O36" i="35"/>
  <c r="O20" i="35"/>
  <c r="O45" i="35"/>
  <c r="O46" i="35"/>
  <c r="G41" i="38"/>
  <c r="G4" i="38"/>
  <c r="G21" i="38"/>
  <c r="O48" i="35"/>
  <c r="O53" i="35"/>
  <c r="O35" i="35"/>
  <c r="O54" i="36"/>
  <c r="O57" i="36"/>
  <c r="O50" i="36"/>
  <c r="O49" i="36"/>
  <c r="O52" i="36"/>
  <c r="O55" i="36"/>
  <c r="O53" i="36"/>
  <c r="O56" i="36"/>
  <c r="O44" i="36"/>
  <c r="O48" i="36"/>
  <c r="O47" i="36"/>
  <c r="O45" i="36"/>
  <c r="O46" i="36"/>
  <c r="O51" i="36"/>
  <c r="O29" i="35"/>
  <c r="O23" i="35"/>
  <c r="O42" i="35"/>
  <c r="O23" i="36"/>
  <c r="O38" i="35"/>
  <c r="O9" i="36"/>
  <c r="O37" i="36"/>
  <c r="O38" i="36"/>
  <c r="O29" i="36"/>
  <c r="O36" i="36"/>
  <c r="O51" i="35"/>
  <c r="O49" i="35"/>
  <c r="O44" i="35"/>
  <c r="O34" i="35"/>
  <c r="O47" i="35"/>
  <c r="O26" i="35"/>
  <c r="O14" i="35"/>
  <c r="O18" i="35"/>
  <c r="O10" i="35"/>
  <c r="O12" i="35"/>
  <c r="O17" i="35"/>
  <c r="O16" i="35"/>
  <c r="O11" i="35"/>
  <c r="O25" i="35"/>
  <c r="O21" i="35"/>
  <c r="O31" i="35"/>
  <c r="O50" i="35"/>
  <c r="O19" i="35"/>
  <c r="O40" i="35"/>
  <c r="O41" i="35"/>
  <c r="O39" i="35"/>
  <c r="O37" i="35"/>
  <c r="O9" i="35"/>
  <c r="O15" i="35"/>
  <c r="O13" i="35"/>
  <c r="O27" i="35"/>
  <c r="O28" i="35"/>
  <c r="O30" i="35"/>
  <c r="O32" i="35"/>
  <c r="O56" i="35"/>
  <c r="O55" i="35"/>
  <c r="O43" i="35"/>
  <c r="O57" i="35"/>
  <c r="O52" i="35"/>
  <c r="O54" i="35"/>
  <c r="O35" i="36"/>
  <c r="O43" i="36"/>
  <c r="O40" i="36"/>
  <c r="O42" i="36"/>
  <c r="O39" i="36"/>
  <c r="O34" i="36"/>
  <c r="O16" i="36"/>
  <c r="O30" i="36"/>
  <c r="O31" i="36"/>
  <c r="O11" i="36"/>
  <c r="O28" i="36"/>
  <c r="O33" i="36"/>
  <c r="O15" i="36"/>
  <c r="O17" i="36"/>
  <c r="O13" i="36"/>
  <c r="O18" i="36"/>
  <c r="O27" i="36"/>
  <c r="O26" i="36"/>
  <c r="O24" i="36"/>
  <c r="O25" i="36"/>
  <c r="O22" i="36"/>
  <c r="O21" i="36"/>
  <c r="O20" i="36"/>
  <c r="O19" i="36"/>
  <c r="O41" i="36"/>
  <c r="O10" i="36"/>
  <c r="O12" i="36"/>
  <c r="O32" i="36"/>
  <c r="O14" i="36"/>
  <c r="BP9" i="17" l="1" a="1"/>
  <c r="BP10" i="17" a="1"/>
  <c r="BP11" i="17" a="1"/>
  <c r="BP13" i="17" a="1"/>
  <c r="A194" i="22"/>
  <c r="A195" i="22"/>
  <c r="A196" i="22"/>
  <c r="K29" i="17" l="1" a="1"/>
  <c r="J29" i="17" a="1"/>
  <c r="H29" i="17" a="1"/>
  <c r="I29" i="17" a="1"/>
  <c r="K28" i="17" a="1"/>
  <c r="H28" i="17" a="1"/>
  <c r="I28" i="17" a="1"/>
  <c r="J28" i="17" a="1"/>
  <c r="J25" i="17" a="1"/>
  <c r="I25" i="17" a="1"/>
  <c r="K25" i="17" a="1"/>
  <c r="H25" i="17" a="1"/>
  <c r="K24" i="17" a="1"/>
  <c r="J24" i="17" a="1"/>
  <c r="H24" i="17" a="1"/>
  <c r="I24" i="17" a="1"/>
  <c r="H23" i="17" a="1"/>
  <c r="I23" i="17" a="1"/>
  <c r="J23" i="17" a="1"/>
  <c r="K23" i="17" a="1"/>
  <c r="P27" i="17"/>
  <c r="P26" i="17"/>
  <c r="P28" i="17"/>
  <c r="P29" i="17"/>
  <c r="P25" i="17"/>
  <c r="H27" i="17" a="1"/>
  <c r="I27" i="17" a="1"/>
  <c r="J27" i="17" a="1"/>
  <c r="K27" i="17" a="1"/>
  <c r="H26" i="17" a="1"/>
  <c r="I26" i="17" a="1"/>
  <c r="J26" i="17" a="1"/>
  <c r="K26" i="17" a="1"/>
  <c r="P32" i="17"/>
  <c r="P31" i="17"/>
  <c r="P30" i="17"/>
  <c r="A33" i="17" a="1"/>
  <c r="E33" i="17" s="1"/>
  <c r="H33" i="17" a="1"/>
  <c r="I33" i="17" a="1"/>
  <c r="K33" i="17" a="1"/>
  <c r="J33" i="17" a="1"/>
  <c r="A32" i="17" a="1"/>
  <c r="E32" i="17" s="1"/>
  <c r="H32" i="17" a="1"/>
  <c r="I32" i="17" a="1"/>
  <c r="K32" i="17" a="1"/>
  <c r="J32" i="17" a="1"/>
  <c r="A31" i="17" a="1"/>
  <c r="E31" i="17" s="1"/>
  <c r="H31" i="17" a="1"/>
  <c r="I31" i="17" a="1"/>
  <c r="K31" i="17" a="1"/>
  <c r="J31" i="17" a="1"/>
  <c r="A29" i="17" a="1"/>
  <c r="H7" i="17" a="1"/>
  <c r="J7" i="17" a="1"/>
  <c r="K7" i="17" a="1"/>
  <c r="I7" i="17" a="1"/>
  <c r="A7" i="17" a="1"/>
  <c r="E7" i="17" s="1"/>
  <c r="I6" i="17" a="1"/>
  <c r="J6" i="17" a="1"/>
  <c r="K6" i="17" a="1"/>
  <c r="A6" i="17" a="1"/>
  <c r="H6" i="17" a="1"/>
  <c r="K5" i="17" a="1"/>
  <c r="I5" i="17" a="1"/>
  <c r="A5" i="17" a="1"/>
  <c r="J5" i="17" a="1"/>
  <c r="H5" i="17" a="1"/>
  <c r="K4" i="17" a="1"/>
  <c r="I4" i="17" a="1"/>
  <c r="A4" i="17" a="1"/>
  <c r="J4" i="17" a="1"/>
  <c r="H4" i="17" a="1"/>
  <c r="K3" i="17" a="1"/>
  <c r="I3" i="17" a="1"/>
  <c r="A3" i="17" a="1"/>
  <c r="H3" i="17" a="1"/>
  <c r="J3" i="17" a="1"/>
  <c r="K9" i="17" a="1"/>
  <c r="I9" i="17" a="1"/>
  <c r="H9" i="17" a="1"/>
  <c r="J9" i="17" a="1"/>
  <c r="A9" i="17" a="1"/>
  <c r="E9" i="17" s="1"/>
  <c r="O51" i="17" s="1"/>
  <c r="A26" i="17" a="1"/>
  <c r="I12" i="17" a="1"/>
  <c r="H12" i="17" a="1"/>
  <c r="K12" i="17" a="1"/>
  <c r="J12" i="17" a="1"/>
  <c r="A12" i="17" a="1"/>
  <c r="E12" i="17" s="1"/>
  <c r="O52" i="17" s="1"/>
  <c r="I17" i="17" a="1"/>
  <c r="A17" i="17" a="1"/>
  <c r="K17" i="17" a="1"/>
  <c r="H17" i="17" a="1"/>
  <c r="J17" i="17" a="1"/>
  <c r="A11" i="17" a="1"/>
  <c r="E11" i="17" s="1"/>
  <c r="J11" i="17" a="1"/>
  <c r="H11" i="17" a="1"/>
  <c r="K11" i="17" a="1"/>
  <c r="I11" i="17" a="1"/>
  <c r="A25" i="17" a="1"/>
  <c r="I16" i="17" a="1"/>
  <c r="A16" i="17" a="1"/>
  <c r="K16" i="17" a="1"/>
  <c r="H16" i="17" a="1"/>
  <c r="J16" i="17" a="1"/>
  <c r="A24" i="17" a="1"/>
  <c r="I15" i="17" a="1"/>
  <c r="A15" i="17" a="1"/>
  <c r="K15" i="17" a="1"/>
  <c r="H15" i="17" a="1"/>
  <c r="J15" i="17" a="1"/>
  <c r="J10" i="17" a="1"/>
  <c r="A10" i="17" a="1"/>
  <c r="E10" i="17" s="1"/>
  <c r="O49" i="17" s="1"/>
  <c r="H10" i="17" a="1"/>
  <c r="K10" i="17" a="1"/>
  <c r="I10" i="17" a="1"/>
  <c r="K21" i="17" a="1"/>
  <c r="J21" i="17" a="1"/>
  <c r="H21" i="17" a="1"/>
  <c r="A21" i="17" a="1"/>
  <c r="I21" i="17" a="1"/>
  <c r="A23" i="17" a="1"/>
  <c r="H20" i="17" a="1"/>
  <c r="I20" i="17" a="1"/>
  <c r="K20" i="17" a="1"/>
  <c r="J20" i="17" a="1"/>
  <c r="A20" i="17" a="1"/>
  <c r="H14" i="17" a="1"/>
  <c r="J14" i="17" a="1"/>
  <c r="I14" i="17" a="1"/>
  <c r="K14" i="17" a="1"/>
  <c r="A14" i="17" a="1"/>
  <c r="K19" i="17" a="1"/>
  <c r="J19" i="17" a="1"/>
  <c r="H19" i="17" a="1"/>
  <c r="I19" i="17" a="1"/>
  <c r="A19" i="17" a="1"/>
  <c r="A28" i="17" a="1"/>
  <c r="A22" i="17" a="1"/>
  <c r="J22" i="17" a="1"/>
  <c r="K22" i="17" a="1"/>
  <c r="I22" i="17" a="1"/>
  <c r="H22" i="17" a="1"/>
  <c r="A27" i="17" a="1"/>
  <c r="A18" i="17" a="1"/>
  <c r="K18" i="17" a="1"/>
  <c r="I18" i="17" a="1"/>
  <c r="H18" i="17" a="1"/>
  <c r="J18" i="17" a="1"/>
  <c r="K13" i="17" a="1"/>
  <c r="I13" i="17" a="1"/>
  <c r="A13" i="17" a="1"/>
  <c r="E13" i="17" s="1"/>
  <c r="J13" i="17" a="1"/>
  <c r="H13" i="17" a="1"/>
  <c r="K8" i="17" a="1"/>
  <c r="J8" i="17" a="1"/>
  <c r="H8" i="17" a="1"/>
  <c r="I8" i="17" a="1"/>
  <c r="A8" i="17" a="1"/>
  <c r="E8" i="17" s="1"/>
  <c r="O50" i="17" s="1"/>
  <c r="P19" i="17"/>
  <c r="P18" i="17"/>
  <c r="P14" i="17"/>
  <c r="P13" i="17"/>
  <c r="P12" i="17"/>
  <c r="P10" i="17"/>
  <c r="P21" i="17"/>
  <c r="P16" i="17"/>
  <c r="P9" i="17"/>
  <c r="P24" i="17"/>
  <c r="P15" i="17"/>
  <c r="P23" i="17"/>
  <c r="P20" i="17"/>
  <c r="P17" i="17"/>
  <c r="P11" i="17"/>
  <c r="P22" i="17"/>
  <c r="A189" i="22"/>
  <c r="A190" i="22"/>
  <c r="A191" i="22"/>
  <c r="A192" i="22"/>
  <c r="A193" i="22"/>
  <c r="A13" i="33"/>
  <c r="A14" i="33"/>
  <c r="A15" i="33"/>
  <c r="A16" i="33"/>
  <c r="A17" i="33"/>
  <c r="A18" i="33"/>
  <c r="A19" i="33"/>
  <c r="A25" i="33"/>
  <c r="A26" i="33"/>
  <c r="A27" i="33"/>
  <c r="A28" i="33"/>
  <c r="A29" i="33"/>
  <c r="A30" i="33"/>
  <c r="A31" i="33"/>
  <c r="A37" i="33"/>
  <c r="A38" i="33"/>
  <c r="A39" i="33"/>
  <c r="A40" i="33"/>
  <c r="A41" i="33"/>
  <c r="A42" i="33"/>
  <c r="A43" i="33"/>
  <c r="A49" i="33"/>
  <c r="A50" i="33"/>
  <c r="A51" i="33"/>
  <c r="A52" i="33"/>
  <c r="A53" i="33"/>
  <c r="A54" i="33"/>
  <c r="A55" i="33"/>
  <c r="A8" i="33"/>
  <c r="A9" i="33"/>
  <c r="A10" i="33"/>
  <c r="A11" i="33"/>
  <c r="A12" i="33"/>
  <c r="A20" i="33"/>
  <c r="A21" i="33"/>
  <c r="A22" i="33"/>
  <c r="A23" i="33"/>
  <c r="A24" i="33"/>
  <c r="A32" i="33"/>
  <c r="A33" i="33"/>
  <c r="A34" i="33"/>
  <c r="A35" i="33"/>
  <c r="A36" i="33"/>
  <c r="A44" i="33"/>
  <c r="A45" i="33"/>
  <c r="A46" i="33"/>
  <c r="A47" i="33"/>
  <c r="A48" i="33"/>
  <c r="A56" i="33"/>
  <c r="A57" i="33"/>
  <c r="A58" i="33"/>
  <c r="P59" i="33"/>
  <c r="P58" i="33"/>
  <c r="B58" i="33" a="1"/>
  <c r="P57" i="33"/>
  <c r="B57" i="33" a="1"/>
  <c r="P56" i="33"/>
  <c r="B56" i="33" a="1"/>
  <c r="P55" i="33"/>
  <c r="B55" i="33" a="1"/>
  <c r="P54" i="33"/>
  <c r="B54" i="33" a="1"/>
  <c r="P53" i="33"/>
  <c r="B53" i="33" a="1"/>
  <c r="P52" i="33"/>
  <c r="B52" i="33" a="1"/>
  <c r="P51" i="33"/>
  <c r="B51" i="33" a="1"/>
  <c r="P50" i="33"/>
  <c r="B50" i="33" a="1"/>
  <c r="P49" i="33"/>
  <c r="B49" i="33" a="1"/>
  <c r="P48" i="33"/>
  <c r="B48" i="33" a="1"/>
  <c r="P47" i="33"/>
  <c r="B47" i="33" a="1"/>
  <c r="P46" i="33"/>
  <c r="B46" i="33" a="1"/>
  <c r="P45" i="33"/>
  <c r="B45" i="33" a="1"/>
  <c r="P44" i="33"/>
  <c r="B44" i="33" a="1"/>
  <c r="P43" i="33"/>
  <c r="B43" i="33" a="1"/>
  <c r="P42" i="33"/>
  <c r="B42" i="33" a="1"/>
  <c r="P41" i="33"/>
  <c r="B41" i="33" a="1"/>
  <c r="P40" i="33"/>
  <c r="B40" i="33" a="1"/>
  <c r="P39" i="33"/>
  <c r="B39" i="33" a="1"/>
  <c r="P38" i="33"/>
  <c r="B38" i="33" a="1"/>
  <c r="P37" i="33"/>
  <c r="B37" i="33" a="1"/>
  <c r="P36" i="33"/>
  <c r="B36" i="33" a="1"/>
  <c r="P35" i="33"/>
  <c r="B35" i="33" a="1"/>
  <c r="P34" i="33"/>
  <c r="B34" i="33" a="1"/>
  <c r="P33" i="33"/>
  <c r="B33" i="33" a="1"/>
  <c r="P32" i="33"/>
  <c r="B32" i="33" a="1"/>
  <c r="P31" i="33"/>
  <c r="B31" i="33" a="1"/>
  <c r="P30" i="33"/>
  <c r="B30" i="33" a="1"/>
  <c r="P29" i="33"/>
  <c r="B29" i="33" a="1"/>
  <c r="P28" i="33"/>
  <c r="B28" i="33" a="1"/>
  <c r="P27" i="33"/>
  <c r="B27" i="33" a="1"/>
  <c r="P26" i="33"/>
  <c r="B26" i="33" a="1"/>
  <c r="P25" i="33"/>
  <c r="B25" i="33" a="1"/>
  <c r="P24" i="33"/>
  <c r="B24" i="33" a="1"/>
  <c r="P23" i="33"/>
  <c r="B23" i="33" a="1"/>
  <c r="P22" i="33"/>
  <c r="B22" i="33" a="1"/>
  <c r="P21" i="33"/>
  <c r="B21" i="33" a="1"/>
  <c r="P20" i="33"/>
  <c r="B20" i="33" a="1"/>
  <c r="P19" i="33"/>
  <c r="B19" i="33" a="1"/>
  <c r="P18" i="33"/>
  <c r="B18" i="33" a="1"/>
  <c r="P17" i="33"/>
  <c r="B17" i="33" a="1"/>
  <c r="P16" i="33"/>
  <c r="B16" i="33" a="1"/>
  <c r="P15" i="33"/>
  <c r="B15" i="33" a="1"/>
  <c r="P14" i="33"/>
  <c r="B14" i="33" a="1"/>
  <c r="P13" i="33"/>
  <c r="B13" i="33" a="1"/>
  <c r="P12" i="33"/>
  <c r="B12" i="33" a="1"/>
  <c r="P11" i="33"/>
  <c r="B11" i="33" a="1"/>
  <c r="P10" i="33"/>
  <c r="B10" i="33" a="1"/>
  <c r="P9" i="33"/>
  <c r="B9" i="33" a="1"/>
  <c r="B8" i="33" a="1"/>
  <c r="B7" i="33" a="1"/>
  <c r="B6" i="33" a="1"/>
  <c r="A6" i="33" s="1"/>
  <c r="B5" i="33" a="1"/>
  <c r="B4" i="33" a="1"/>
  <c r="B3" i="33" a="1"/>
  <c r="B54" i="32"/>
  <c r="B55" i="32"/>
  <c r="B56" i="32"/>
  <c r="B57" i="32"/>
  <c r="B58" i="32"/>
  <c r="B59" i="32"/>
  <c r="B60" i="32"/>
  <c r="B61" i="32"/>
  <c r="B62" i="32"/>
  <c r="B63" i="32"/>
  <c r="B64" i="32"/>
  <c r="B65" i="32"/>
  <c r="B66" i="32"/>
  <c r="B67" i="32"/>
  <c r="B68" i="32"/>
  <c r="B69" i="32"/>
  <c r="B70" i="32"/>
  <c r="B71" i="32"/>
  <c r="B72" i="32"/>
  <c r="C54" i="32"/>
  <c r="D54" i="32" s="1"/>
  <c r="C55" i="32"/>
  <c r="D55" i="32" s="1"/>
  <c r="C56" i="32"/>
  <c r="D56" i="32" s="1"/>
  <c r="C57" i="32"/>
  <c r="D57" i="32" s="1"/>
  <c r="C58" i="32"/>
  <c r="D58" i="32" s="1"/>
  <c r="C59" i="32"/>
  <c r="C60" i="32"/>
  <c r="C61" i="32"/>
  <c r="C62" i="32"/>
  <c r="C63" i="32"/>
  <c r="C64" i="32"/>
  <c r="D64" i="32" s="1"/>
  <c r="C65" i="32"/>
  <c r="D65" i="32" s="1"/>
  <c r="C66" i="32"/>
  <c r="D66" i="32" s="1"/>
  <c r="C67" i="32"/>
  <c r="D67" i="32" s="1"/>
  <c r="C68" i="32"/>
  <c r="D68" i="32" s="1"/>
  <c r="C69" i="32"/>
  <c r="D69" i="32" s="1"/>
  <c r="C70" i="32"/>
  <c r="D70" i="32" s="1"/>
  <c r="C71" i="32"/>
  <c r="C72" i="32"/>
  <c r="D59" i="32"/>
  <c r="D60" i="32"/>
  <c r="D61" i="32"/>
  <c r="D62" i="32"/>
  <c r="D63" i="32"/>
  <c r="D71" i="32"/>
  <c r="D72" i="32"/>
  <c r="E54" i="32"/>
  <c r="E55" i="32"/>
  <c r="E56" i="32"/>
  <c r="E57" i="32"/>
  <c r="E58" i="32"/>
  <c r="E59" i="32"/>
  <c r="E60" i="32"/>
  <c r="E61" i="32"/>
  <c r="E62" i="32"/>
  <c r="E63" i="32"/>
  <c r="E64" i="32"/>
  <c r="E65" i="32"/>
  <c r="E66" i="32"/>
  <c r="E67" i="32"/>
  <c r="E68" i="32"/>
  <c r="E69" i="32"/>
  <c r="E70" i="32"/>
  <c r="E71" i="32"/>
  <c r="E72" i="32"/>
  <c r="P59" i="32"/>
  <c r="M59" i="32" s="1"/>
  <c r="P60" i="32"/>
  <c r="M60" i="32" s="1"/>
  <c r="P61" i="32"/>
  <c r="M61" i="32" s="1"/>
  <c r="P62" i="32"/>
  <c r="P63" i="32"/>
  <c r="P64" i="32"/>
  <c r="P65" i="32"/>
  <c r="P66" i="32"/>
  <c r="P67" i="32"/>
  <c r="P68" i="32"/>
  <c r="P69" i="32"/>
  <c r="M69" i="32" s="1"/>
  <c r="P70" i="32"/>
  <c r="M70" i="32" s="1"/>
  <c r="P71" i="32"/>
  <c r="M71" i="32" s="1"/>
  <c r="P72" i="32"/>
  <c r="M72" i="32" s="1"/>
  <c r="P73" i="32"/>
  <c r="M73" i="32" s="1"/>
  <c r="P74" i="32"/>
  <c r="P75" i="32"/>
  <c r="P76" i="32"/>
  <c r="P77" i="32"/>
  <c r="P78" i="32"/>
  <c r="BA14" i="32"/>
  <c r="BA15" i="32"/>
  <c r="BB14" i="32"/>
  <c r="BB15" i="32"/>
  <c r="B4" i="32"/>
  <c r="B5" i="32"/>
  <c r="B6" i="32"/>
  <c r="B7" i="32"/>
  <c r="B8" i="32"/>
  <c r="B9" i="32"/>
  <c r="B10" i="32"/>
  <c r="B11" i="32"/>
  <c r="B12" i="32"/>
  <c r="B13" i="32"/>
  <c r="B14" i="32"/>
  <c r="B15" i="32"/>
  <c r="B16" i="32"/>
  <c r="B17" i="32"/>
  <c r="B18" i="32"/>
  <c r="B19" i="32"/>
  <c r="B20" i="32"/>
  <c r="B21" i="32"/>
  <c r="B22" i="32"/>
  <c r="B23" i="32"/>
  <c r="B24" i="32"/>
  <c r="B25" i="32"/>
  <c r="B26" i="32"/>
  <c r="B27" i="32"/>
  <c r="B28" i="32"/>
  <c r="B29" i="32"/>
  <c r="B30" i="32"/>
  <c r="B31" i="32"/>
  <c r="B32" i="32"/>
  <c r="B33" i="32"/>
  <c r="B34" i="32"/>
  <c r="B35" i="32"/>
  <c r="B36" i="32"/>
  <c r="B37" i="32"/>
  <c r="B38" i="32"/>
  <c r="B39" i="32"/>
  <c r="B40" i="32"/>
  <c r="B41" i="32"/>
  <c r="B42" i="32"/>
  <c r="B43" i="32"/>
  <c r="B44" i="32"/>
  <c r="B45" i="32"/>
  <c r="B46" i="32"/>
  <c r="B47" i="32"/>
  <c r="B48" i="32"/>
  <c r="B49" i="32"/>
  <c r="B50" i="32"/>
  <c r="B51" i="32"/>
  <c r="B52" i="32"/>
  <c r="B53" i="32"/>
  <c r="B3" i="32"/>
  <c r="E4" i="32"/>
  <c r="E5" i="32"/>
  <c r="E6" i="32"/>
  <c r="E7" i="32"/>
  <c r="E8" i="32"/>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3" i="32"/>
  <c r="C56" i="31"/>
  <c r="D56" i="31" s="1"/>
  <c r="C57" i="31"/>
  <c r="D57" i="31" s="1"/>
  <c r="C60" i="31"/>
  <c r="D60" i="31" s="1"/>
  <c r="C61" i="31"/>
  <c r="D61" i="31" s="1"/>
  <c r="E62" i="31"/>
  <c r="E63" i="31"/>
  <c r="C64" i="31"/>
  <c r="D64" i="31" s="1"/>
  <c r="C65" i="31"/>
  <c r="D65" i="31" s="1"/>
  <c r="C68" i="31"/>
  <c r="D68" i="31" s="1"/>
  <c r="C69" i="31"/>
  <c r="D69" i="31" s="1"/>
  <c r="E71" i="31"/>
  <c r="C72" i="31"/>
  <c r="D72" i="31" s="1"/>
  <c r="C73" i="31"/>
  <c r="D73" i="31" s="1"/>
  <c r="E74" i="31"/>
  <c r="E75" i="31"/>
  <c r="C76" i="31"/>
  <c r="D76" i="31" s="1"/>
  <c r="B54" i="31"/>
  <c r="B55" i="31"/>
  <c r="B56" i="31"/>
  <c r="B57" i="31"/>
  <c r="B58" i="31"/>
  <c r="B59" i="31"/>
  <c r="B60" i="31"/>
  <c r="B61" i="31"/>
  <c r="B62" i="31"/>
  <c r="B63" i="31"/>
  <c r="B64" i="31"/>
  <c r="B65" i="31"/>
  <c r="B66" i="31"/>
  <c r="B67" i="31"/>
  <c r="B68" i="31"/>
  <c r="B69" i="31"/>
  <c r="B70" i="31"/>
  <c r="B71" i="31"/>
  <c r="B72" i="31"/>
  <c r="B73" i="31"/>
  <c r="B74" i="31"/>
  <c r="B75" i="31"/>
  <c r="B76" i="31"/>
  <c r="C55" i="31"/>
  <c r="D55" i="31" s="1"/>
  <c r="C59" i="31"/>
  <c r="D59" i="31" s="1"/>
  <c r="C67" i="31"/>
  <c r="D67" i="31" s="1"/>
  <c r="C71" i="31"/>
  <c r="D71" i="31" s="1"/>
  <c r="E55" i="31"/>
  <c r="E56" i="31"/>
  <c r="E57" i="31"/>
  <c r="E59" i="31"/>
  <c r="E60" i="31"/>
  <c r="E61" i="31"/>
  <c r="E67" i="31"/>
  <c r="E68" i="31"/>
  <c r="E69" i="31"/>
  <c r="E72" i="31"/>
  <c r="E73" i="31"/>
  <c r="E4" i="31"/>
  <c r="E5" i="31"/>
  <c r="E11" i="31"/>
  <c r="E15" i="31"/>
  <c r="E17" i="31"/>
  <c r="E23" i="31"/>
  <c r="E27" i="31"/>
  <c r="E28" i="31"/>
  <c r="E29" i="31"/>
  <c r="E33" i="31"/>
  <c r="E35" i="31"/>
  <c r="E39" i="31"/>
  <c r="E47" i="31"/>
  <c r="E50" i="31"/>
  <c r="E51" i="31"/>
  <c r="E52" i="31"/>
  <c r="P59" i="31"/>
  <c r="P60" i="31"/>
  <c r="M60" i="31" s="1"/>
  <c r="P61" i="31"/>
  <c r="M61" i="31" s="1"/>
  <c r="P62" i="31"/>
  <c r="P63" i="31"/>
  <c r="P64" i="31"/>
  <c r="M64" i="31" s="1"/>
  <c r="P65" i="31"/>
  <c r="M65" i="31" s="1"/>
  <c r="P66" i="31"/>
  <c r="M66" i="31" s="1"/>
  <c r="P67" i="31"/>
  <c r="P68" i="31"/>
  <c r="P69" i="31"/>
  <c r="M69" i="31" s="1"/>
  <c r="P70" i="31"/>
  <c r="P71" i="31"/>
  <c r="P72" i="31"/>
  <c r="M72" i="31" s="1"/>
  <c r="P73" i="31"/>
  <c r="M73" i="31" s="1"/>
  <c r="P74" i="31"/>
  <c r="P75" i="31"/>
  <c r="P76" i="31"/>
  <c r="M76" i="31" s="1"/>
  <c r="P77" i="31"/>
  <c r="M77" i="31" s="1"/>
  <c r="P78" i="31"/>
  <c r="M78" i="31" s="1"/>
  <c r="P79" i="31"/>
  <c r="P80" i="31"/>
  <c r="P81" i="31"/>
  <c r="M81" i="31" s="1"/>
  <c r="P82" i="31"/>
  <c r="BA11" i="31"/>
  <c r="BB11" i="31" s="1"/>
  <c r="BA12" i="31"/>
  <c r="BB12" i="31" s="1"/>
  <c r="B4" i="31"/>
  <c r="B5" i="31"/>
  <c r="B6" i="31"/>
  <c r="E6" i="31" s="1"/>
  <c r="B7" i="31"/>
  <c r="E7" i="31" s="1"/>
  <c r="B8" i="31"/>
  <c r="E8" i="31" s="1"/>
  <c r="B9" i="31"/>
  <c r="E9" i="31" s="1"/>
  <c r="B10" i="31"/>
  <c r="E10" i="31" s="1"/>
  <c r="B11" i="31"/>
  <c r="B12" i="31"/>
  <c r="B13" i="31"/>
  <c r="E13" i="31" s="1"/>
  <c r="B14" i="31"/>
  <c r="E14" i="31" s="1"/>
  <c r="B15" i="31"/>
  <c r="B16" i="31"/>
  <c r="B17" i="31"/>
  <c r="B18" i="31"/>
  <c r="E18" i="31" s="1"/>
  <c r="B19" i="31"/>
  <c r="E19" i="31" s="1"/>
  <c r="B20" i="31"/>
  <c r="E20" i="31" s="1"/>
  <c r="B21" i="31"/>
  <c r="E21" i="31" s="1"/>
  <c r="B22" i="31"/>
  <c r="E22" i="31" s="1"/>
  <c r="B23" i="31"/>
  <c r="B24" i="31"/>
  <c r="C24" i="31" s="1"/>
  <c r="D24" i="31" s="1"/>
  <c r="B25" i="31"/>
  <c r="E25" i="31" s="1"/>
  <c r="B26" i="31"/>
  <c r="E26" i="31" s="1"/>
  <c r="B27" i="31"/>
  <c r="B28" i="31"/>
  <c r="B29" i="31"/>
  <c r="B30" i="31"/>
  <c r="E30" i="31" s="1"/>
  <c r="B31" i="31"/>
  <c r="B32" i="31"/>
  <c r="E32" i="31" s="1"/>
  <c r="B33" i="31"/>
  <c r="B34" i="31"/>
  <c r="E34" i="31" s="1"/>
  <c r="B35" i="31"/>
  <c r="B36" i="31"/>
  <c r="E36" i="31" s="1"/>
  <c r="B37" i="31"/>
  <c r="E37" i="31" s="1"/>
  <c r="B38" i="31"/>
  <c r="E38" i="31" s="1"/>
  <c r="B39" i="31"/>
  <c r="B40" i="31"/>
  <c r="E40" i="31" s="1"/>
  <c r="B41" i="31"/>
  <c r="E41" i="31" s="1"/>
  <c r="B42" i="31"/>
  <c r="E42" i="31" s="1"/>
  <c r="B43" i="31"/>
  <c r="E43" i="31" s="1"/>
  <c r="B44" i="31"/>
  <c r="E44" i="31" s="1"/>
  <c r="B45" i="31"/>
  <c r="E45" i="31" s="1"/>
  <c r="B46" i="31"/>
  <c r="E46" i="31" s="1"/>
  <c r="B47" i="31"/>
  <c r="B48" i="31"/>
  <c r="E48" i="31" s="1"/>
  <c r="B49" i="31"/>
  <c r="E49" i="31" s="1"/>
  <c r="B50" i="31"/>
  <c r="B51" i="31"/>
  <c r="B52" i="31"/>
  <c r="B53" i="31"/>
  <c r="E53" i="31" s="1"/>
  <c r="E16" i="31"/>
  <c r="B3" i="31"/>
  <c r="E3" i="31" s="1"/>
  <c r="P58" i="32"/>
  <c r="P57" i="32"/>
  <c r="M57" i="32" s="1"/>
  <c r="P56" i="32"/>
  <c r="P55" i="32"/>
  <c r="P54" i="32"/>
  <c r="P53" i="32"/>
  <c r="P52" i="32"/>
  <c r="P51" i="32"/>
  <c r="M51" i="32" s="1"/>
  <c r="P50" i="32"/>
  <c r="M50" i="32" s="1"/>
  <c r="P49" i="32"/>
  <c r="M49" i="32" s="1"/>
  <c r="P48" i="32"/>
  <c r="M48" i="32" s="1"/>
  <c r="P47" i="32"/>
  <c r="M47" i="32" s="1"/>
  <c r="P46" i="32"/>
  <c r="P45" i="32"/>
  <c r="M45" i="32" s="1"/>
  <c r="P44" i="32"/>
  <c r="P43" i="32"/>
  <c r="P42" i="32"/>
  <c r="P41" i="32"/>
  <c r="P40" i="32"/>
  <c r="P39" i="32"/>
  <c r="M39" i="32" s="1"/>
  <c r="P38" i="32"/>
  <c r="M38" i="32" s="1"/>
  <c r="P37" i="32"/>
  <c r="M37" i="32" s="1"/>
  <c r="P36" i="32"/>
  <c r="M36" i="32" s="1"/>
  <c r="P35" i="32"/>
  <c r="M35" i="32" s="1"/>
  <c r="P34" i="32"/>
  <c r="P33" i="32"/>
  <c r="M33" i="32" s="1"/>
  <c r="P32" i="32"/>
  <c r="P31" i="32"/>
  <c r="P30" i="32"/>
  <c r="P29" i="32"/>
  <c r="P28" i="32"/>
  <c r="P27" i="32"/>
  <c r="M27" i="32" s="1"/>
  <c r="P26" i="32"/>
  <c r="M26" i="32" s="1"/>
  <c r="P25" i="32"/>
  <c r="M25" i="32" s="1"/>
  <c r="P24" i="32"/>
  <c r="M24" i="32" s="1"/>
  <c r="P23" i="32"/>
  <c r="M23" i="32" s="1"/>
  <c r="P22" i="32"/>
  <c r="M22" i="32"/>
  <c r="P21" i="32"/>
  <c r="M21" i="32" s="1"/>
  <c r="P20" i="32"/>
  <c r="P19" i="32"/>
  <c r="P18" i="32"/>
  <c r="P17" i="32"/>
  <c r="P16" i="32"/>
  <c r="M16" i="32" s="1"/>
  <c r="P15" i="32"/>
  <c r="M15" i="32" s="1"/>
  <c r="P14" i="32"/>
  <c r="M14" i="32" s="1"/>
  <c r="BA13" i="32"/>
  <c r="BB13" i="32" s="1"/>
  <c r="P13" i="32"/>
  <c r="M13" i="32" s="1"/>
  <c r="BA12" i="32"/>
  <c r="BB12" i="32" s="1"/>
  <c r="P12" i="32"/>
  <c r="BA11" i="32"/>
  <c r="BB11" i="32" s="1"/>
  <c r="P11" i="32"/>
  <c r="M11" i="32" s="1"/>
  <c r="BA10" i="32"/>
  <c r="BB10" i="32" s="1"/>
  <c r="P10" i="32"/>
  <c r="M10" i="32" s="1"/>
  <c r="BA9" i="32"/>
  <c r="BB9" i="32" s="1"/>
  <c r="P9" i="32"/>
  <c r="M9" i="32" s="1"/>
  <c r="P58" i="31"/>
  <c r="M58" i="31" s="1"/>
  <c r="P57" i="31"/>
  <c r="M57" i="31" s="1"/>
  <c r="P56" i="31"/>
  <c r="P55" i="31"/>
  <c r="P54" i="31"/>
  <c r="P53" i="31"/>
  <c r="M53" i="31" s="1"/>
  <c r="P52" i="31"/>
  <c r="M52" i="31" s="1"/>
  <c r="P51" i="31"/>
  <c r="M51" i="31" s="1"/>
  <c r="P50" i="31"/>
  <c r="M50" i="31" s="1"/>
  <c r="P49" i="31"/>
  <c r="M49" i="31" s="1"/>
  <c r="P48" i="31"/>
  <c r="M48" i="31" s="1"/>
  <c r="P47" i="31"/>
  <c r="M47" i="31" s="1"/>
  <c r="P46" i="31"/>
  <c r="M46" i="31" s="1"/>
  <c r="P45" i="31"/>
  <c r="M45" i="31" s="1"/>
  <c r="P44" i="31"/>
  <c r="P43" i="31"/>
  <c r="P42" i="31"/>
  <c r="P41" i="31"/>
  <c r="M41" i="31" s="1"/>
  <c r="P40" i="31"/>
  <c r="M40" i="31" s="1"/>
  <c r="P39" i="31"/>
  <c r="M39" i="31" s="1"/>
  <c r="P38" i="31"/>
  <c r="M38" i="31" s="1"/>
  <c r="P37" i="31"/>
  <c r="M37" i="31" s="1"/>
  <c r="P36" i="31"/>
  <c r="M36" i="31" s="1"/>
  <c r="P35" i="31"/>
  <c r="M35" i="31" s="1"/>
  <c r="P34" i="31"/>
  <c r="M34" i="31" s="1"/>
  <c r="P33" i="31"/>
  <c r="M33" i="31" s="1"/>
  <c r="P32" i="31"/>
  <c r="P31" i="31"/>
  <c r="P30" i="31"/>
  <c r="P29" i="31"/>
  <c r="M29" i="31" s="1"/>
  <c r="P28" i="31"/>
  <c r="M28" i="31" s="1"/>
  <c r="P27" i="31"/>
  <c r="P26" i="31"/>
  <c r="P25" i="31"/>
  <c r="M25" i="31" s="1"/>
  <c r="P24" i="31"/>
  <c r="M24" i="31" s="1"/>
  <c r="P23" i="31"/>
  <c r="M23" i="31" s="1"/>
  <c r="P22" i="31"/>
  <c r="M22" i="31" s="1"/>
  <c r="P21" i="31"/>
  <c r="M21" i="31" s="1"/>
  <c r="P20" i="31"/>
  <c r="P19" i="31"/>
  <c r="M19" i="31" s="1"/>
  <c r="P18" i="31"/>
  <c r="M18" i="31" s="1"/>
  <c r="P17" i="31"/>
  <c r="M17" i="31" s="1"/>
  <c r="P16" i="31"/>
  <c r="M16" i="31" s="1"/>
  <c r="P15" i="31"/>
  <c r="P14" i="31"/>
  <c r="BA14" i="31"/>
  <c r="BB14" i="31" s="1"/>
  <c r="P13" i="31"/>
  <c r="M13" i="31" s="1"/>
  <c r="BA10" i="31"/>
  <c r="BB10" i="31" s="1"/>
  <c r="P12" i="31"/>
  <c r="M12" i="31" s="1"/>
  <c r="BA9" i="31"/>
  <c r="BB9" i="31" s="1"/>
  <c r="P11" i="31"/>
  <c r="M11" i="31" s="1"/>
  <c r="BA13" i="31"/>
  <c r="BB13" i="31" s="1"/>
  <c r="P10" i="31"/>
  <c r="M10" i="31" s="1"/>
  <c r="BA15" i="31"/>
  <c r="BB15" i="31" s="1"/>
  <c r="P9" i="31"/>
  <c r="M9" i="31" s="1"/>
  <c r="B8" i="30"/>
  <c r="B9" i="30"/>
  <c r="B10" i="30"/>
  <c r="B11" i="30"/>
  <c r="B12" i="30"/>
  <c r="B13" i="30"/>
  <c r="B14" i="30"/>
  <c r="B15" i="30"/>
  <c r="B16" i="30"/>
  <c r="B17" i="30"/>
  <c r="B18" i="30"/>
  <c r="B19" i="30"/>
  <c r="B20" i="30"/>
  <c r="B21" i="30"/>
  <c r="B22" i="30"/>
  <c r="B23" i="30"/>
  <c r="B24" i="30"/>
  <c r="B25" i="30"/>
  <c r="B26" i="30"/>
  <c r="B27" i="30"/>
  <c r="B28" i="30"/>
  <c r="B29" i="30"/>
  <c r="B30" i="30"/>
  <c r="B31" i="30"/>
  <c r="B32" i="30"/>
  <c r="B33" i="30"/>
  <c r="B34" i="30"/>
  <c r="B35" i="30"/>
  <c r="B36" i="30"/>
  <c r="B37" i="30"/>
  <c r="B38" i="30"/>
  <c r="B39" i="30"/>
  <c r="B40" i="30"/>
  <c r="B41" i="30"/>
  <c r="B42" i="30"/>
  <c r="B43" i="30"/>
  <c r="B44" i="30"/>
  <c r="B45" i="30"/>
  <c r="B46" i="30"/>
  <c r="B47" i="30"/>
  <c r="B48" i="30"/>
  <c r="B49" i="30"/>
  <c r="B50" i="30"/>
  <c r="B51" i="30"/>
  <c r="B52" i="30"/>
  <c r="B53" i="30"/>
  <c r="B54" i="30"/>
  <c r="B55" i="30"/>
  <c r="B56" i="30"/>
  <c r="B7" i="30"/>
  <c r="B6" i="30"/>
  <c r="B5" i="30"/>
  <c r="B4" i="30"/>
  <c r="B3" i="30"/>
  <c r="A8" i="30"/>
  <c r="C8" i="30" s="1"/>
  <c r="D8" i="30" s="1"/>
  <c r="A9" i="30"/>
  <c r="C9" i="30" s="1"/>
  <c r="D9" i="30" s="1"/>
  <c r="A10" i="30"/>
  <c r="C10" i="30" s="1"/>
  <c r="D10" i="30" s="1"/>
  <c r="A11" i="30"/>
  <c r="C11" i="30" s="1"/>
  <c r="D11" i="30" s="1"/>
  <c r="A12" i="30"/>
  <c r="C12" i="30" s="1"/>
  <c r="D12" i="30" s="1"/>
  <c r="A13" i="30"/>
  <c r="C13" i="30" s="1"/>
  <c r="A14" i="30"/>
  <c r="C14" i="30" s="1"/>
  <c r="A15" i="30"/>
  <c r="C15" i="30" s="1"/>
  <c r="A16" i="30"/>
  <c r="C16" i="30" s="1"/>
  <c r="A17" i="30"/>
  <c r="C17" i="30" s="1"/>
  <c r="D17" i="30" s="1"/>
  <c r="A18" i="30"/>
  <c r="C18" i="30" s="1"/>
  <c r="D18" i="30" s="1"/>
  <c r="A19" i="30"/>
  <c r="C19" i="30" s="1"/>
  <c r="D19" i="30" s="1"/>
  <c r="A20" i="30"/>
  <c r="C20" i="30" s="1"/>
  <c r="D20" i="30" s="1"/>
  <c r="A21" i="30"/>
  <c r="C21" i="30" s="1"/>
  <c r="A22" i="30"/>
  <c r="C22" i="30" s="1"/>
  <c r="D22" i="30" s="1"/>
  <c r="A23" i="30"/>
  <c r="C23" i="30" s="1"/>
  <c r="D23" i="30" s="1"/>
  <c r="A24" i="30"/>
  <c r="C24" i="30" s="1"/>
  <c r="D24" i="30" s="1"/>
  <c r="A25" i="30"/>
  <c r="C25" i="30" s="1"/>
  <c r="A26" i="30"/>
  <c r="C26" i="30" s="1"/>
  <c r="A27" i="30"/>
  <c r="C27" i="30" s="1"/>
  <c r="A28" i="30"/>
  <c r="C28" i="30" s="1"/>
  <c r="D28" i="30" s="1"/>
  <c r="A29" i="30"/>
  <c r="C29" i="30" s="1"/>
  <c r="A30" i="30"/>
  <c r="C30" i="30" s="1"/>
  <c r="A31" i="30"/>
  <c r="C31" i="30" s="1"/>
  <c r="D31" i="30" s="1"/>
  <c r="A32" i="30"/>
  <c r="C32" i="30" s="1"/>
  <c r="D32" i="30" s="1"/>
  <c r="A33" i="30"/>
  <c r="C33" i="30" s="1"/>
  <c r="D33" i="30" s="1"/>
  <c r="A34" i="30"/>
  <c r="C34" i="30" s="1"/>
  <c r="D34" i="30" s="1"/>
  <c r="A35" i="30"/>
  <c r="C35" i="30" s="1"/>
  <c r="D35" i="30" s="1"/>
  <c r="A36" i="30"/>
  <c r="C36" i="30" s="1"/>
  <c r="D36" i="30" s="1"/>
  <c r="A37" i="30"/>
  <c r="C37" i="30" s="1"/>
  <c r="A38" i="30"/>
  <c r="C38" i="30" s="1"/>
  <c r="A39" i="30"/>
  <c r="C39" i="30" s="1"/>
  <c r="A40" i="30"/>
  <c r="C40" i="30" s="1"/>
  <c r="D40" i="30" s="1"/>
  <c r="A41" i="30"/>
  <c r="C41" i="30" s="1"/>
  <c r="A42" i="30"/>
  <c r="C42" i="30" s="1"/>
  <c r="A43" i="30"/>
  <c r="C43" i="30" s="1"/>
  <c r="D43" i="30" s="1"/>
  <c r="A44" i="30"/>
  <c r="C44" i="30" s="1"/>
  <c r="D44" i="30" s="1"/>
  <c r="A45" i="30"/>
  <c r="C45" i="30" s="1"/>
  <c r="D45" i="30" s="1"/>
  <c r="A46" i="30"/>
  <c r="C46" i="30" s="1"/>
  <c r="D46" i="30" s="1"/>
  <c r="A47" i="30"/>
  <c r="C47" i="30" s="1"/>
  <c r="D47" i="30" s="1"/>
  <c r="A48" i="30"/>
  <c r="C48" i="30" s="1"/>
  <c r="D48" i="30" s="1"/>
  <c r="A49" i="30"/>
  <c r="C49" i="30" s="1"/>
  <c r="A50" i="30"/>
  <c r="C50" i="30" s="1"/>
  <c r="A51" i="30"/>
  <c r="C51" i="30" s="1"/>
  <c r="A52" i="30"/>
  <c r="C52" i="30" s="1"/>
  <c r="D52" i="30" s="1"/>
  <c r="A53" i="30"/>
  <c r="C53" i="30" s="1"/>
  <c r="D53" i="30" s="1"/>
  <c r="A54" i="30"/>
  <c r="C54" i="30" s="1"/>
  <c r="D54" i="30" s="1"/>
  <c r="A55" i="30"/>
  <c r="C55" i="30" s="1"/>
  <c r="D55" i="30" s="1"/>
  <c r="A56" i="30"/>
  <c r="C56" i="30" s="1"/>
  <c r="D56" i="30" s="1"/>
  <c r="A7" i="30"/>
  <c r="C7" i="30" s="1"/>
  <c r="D7" i="30" s="1"/>
  <c r="C6" i="30"/>
  <c r="D6" i="30" s="1"/>
  <c r="A5" i="30"/>
  <c r="A4" i="30"/>
  <c r="A3" i="30"/>
  <c r="P57" i="30"/>
  <c r="M57" i="30" s="1"/>
  <c r="P58" i="30"/>
  <c r="M58" i="30" s="1"/>
  <c r="P59" i="30"/>
  <c r="M59" i="30" s="1"/>
  <c r="P54" i="30"/>
  <c r="M54" i="30" s="1"/>
  <c r="P55" i="30"/>
  <c r="M55" i="30" s="1"/>
  <c r="P56" i="30"/>
  <c r="M56" i="30" s="1"/>
  <c r="P51" i="30"/>
  <c r="M51" i="30" s="1"/>
  <c r="P52" i="30"/>
  <c r="M52" i="30" s="1"/>
  <c r="P53" i="30"/>
  <c r="M53" i="30" s="1"/>
  <c r="P49" i="30"/>
  <c r="M49" i="30" s="1"/>
  <c r="P50" i="30"/>
  <c r="M50" i="30" s="1"/>
  <c r="P47" i="30"/>
  <c r="M47" i="30" s="1"/>
  <c r="P48" i="30"/>
  <c r="M48" i="30" s="1"/>
  <c r="P45" i="30"/>
  <c r="M45" i="30" s="1"/>
  <c r="P46" i="30"/>
  <c r="M46" i="30" s="1"/>
  <c r="P43" i="30"/>
  <c r="M43" i="30" s="1"/>
  <c r="P44" i="30"/>
  <c r="M44" i="30" s="1"/>
  <c r="P41" i="30"/>
  <c r="M41" i="30" s="1"/>
  <c r="P42" i="30"/>
  <c r="M42" i="30" s="1"/>
  <c r="P39" i="30"/>
  <c r="M39" i="30" s="1"/>
  <c r="P40" i="30"/>
  <c r="M40" i="30" s="1"/>
  <c r="P37" i="30"/>
  <c r="M37" i="30" s="1"/>
  <c r="P38" i="30"/>
  <c r="M38" i="30" s="1"/>
  <c r="P34" i="30"/>
  <c r="M34" i="30" s="1"/>
  <c r="P35" i="30"/>
  <c r="M35" i="30" s="1"/>
  <c r="P36" i="30"/>
  <c r="M36" i="30" s="1"/>
  <c r="P31" i="30"/>
  <c r="M31" i="30" s="1"/>
  <c r="P32" i="30"/>
  <c r="M32" i="30" s="1"/>
  <c r="P33" i="30"/>
  <c r="M33" i="30" s="1"/>
  <c r="P28" i="30"/>
  <c r="M28" i="30" s="1"/>
  <c r="P29" i="30"/>
  <c r="M29" i="30" s="1"/>
  <c r="P30" i="30"/>
  <c r="M30" i="30" s="1"/>
  <c r="P23" i="30"/>
  <c r="M23" i="30" s="1"/>
  <c r="P24" i="30"/>
  <c r="M24" i="30" s="1"/>
  <c r="P25" i="30"/>
  <c r="M25" i="30" s="1"/>
  <c r="P26" i="30"/>
  <c r="M26" i="30" s="1"/>
  <c r="P27" i="30"/>
  <c r="M27" i="30" s="1"/>
  <c r="P15" i="30"/>
  <c r="M15" i="30" s="1"/>
  <c r="P16" i="30"/>
  <c r="M16" i="30" s="1"/>
  <c r="P17" i="30"/>
  <c r="M17" i="30" s="1"/>
  <c r="P18" i="30"/>
  <c r="M18" i="30" s="1"/>
  <c r="P19" i="30"/>
  <c r="M19" i="30" s="1"/>
  <c r="P20" i="30"/>
  <c r="M20" i="30" s="1"/>
  <c r="P21" i="30"/>
  <c r="M21" i="30" s="1"/>
  <c r="P22" i="30"/>
  <c r="M22" i="30" s="1"/>
  <c r="P10" i="30"/>
  <c r="M10" i="30" s="1"/>
  <c r="P11" i="30"/>
  <c r="M11" i="30" s="1"/>
  <c r="P12" i="30"/>
  <c r="M12" i="30" s="1"/>
  <c r="P13" i="30"/>
  <c r="M13" i="30" s="1"/>
  <c r="P14" i="30"/>
  <c r="M14" i="30" s="1"/>
  <c r="P9" i="30"/>
  <c r="M9" i="30" s="1"/>
  <c r="BA10" i="30"/>
  <c r="BB10" i="30" s="1"/>
  <c r="BA11" i="30"/>
  <c r="BB11" i="30" s="1"/>
  <c r="BA12" i="30"/>
  <c r="BB12" i="30" s="1"/>
  <c r="BA13" i="30"/>
  <c r="BB13" i="30" s="1"/>
  <c r="BA9" i="30"/>
  <c r="BB9" i="30" s="1"/>
  <c r="A185" i="22"/>
  <c r="A186" i="22"/>
  <c r="A187" i="22"/>
  <c r="A188" i="22"/>
  <c r="A184" i="22"/>
  <c r="A12" i="10"/>
  <c r="A13" i="10"/>
  <c r="A14" i="10"/>
  <c r="A15" i="10"/>
  <c r="A16" i="10"/>
  <c r="A17" i="10"/>
  <c r="A18" i="10"/>
  <c r="A19" i="10"/>
  <c r="A20" i="10"/>
  <c r="A21" i="10"/>
  <c r="A22" i="10"/>
  <c r="A23" i="10"/>
  <c r="A24" i="10"/>
  <c r="A25" i="10"/>
  <c r="A26" i="10"/>
  <c r="A27" i="10"/>
  <c r="A28" i="10"/>
  <c r="A29" i="10"/>
  <c r="A30" i="10"/>
  <c r="A31" i="10"/>
  <c r="A32" i="10"/>
  <c r="A33" i="10"/>
  <c r="A34" i="10"/>
  <c r="A35" i="10"/>
  <c r="A36" i="10"/>
  <c r="A37" i="10"/>
  <c r="A38" i="10"/>
  <c r="A39" i="10"/>
  <c r="A40" i="10"/>
  <c r="A41" i="10"/>
  <c r="A42" i="10"/>
  <c r="A43" i="10"/>
  <c r="A44" i="10"/>
  <c r="A45" i="10"/>
  <c r="A46" i="10"/>
  <c r="A47" i="10"/>
  <c r="A48" i="10"/>
  <c r="A49" i="10"/>
  <c r="A50" i="10"/>
  <c r="A51" i="10"/>
  <c r="A52" i="10"/>
  <c r="A53" i="10"/>
  <c r="A54" i="10"/>
  <c r="A55" i="10"/>
  <c r="A56" i="10"/>
  <c r="A57" i="10"/>
  <c r="A58" i="10"/>
  <c r="A59" i="10"/>
  <c r="A60" i="10"/>
  <c r="A61" i="10"/>
  <c r="A62" i="10"/>
  <c r="A63" i="10"/>
  <c r="A64" i="10"/>
  <c r="A65" i="10"/>
  <c r="A66" i="10"/>
  <c r="A67" i="10"/>
  <c r="A68" i="10"/>
  <c r="A69" i="10"/>
  <c r="A70" i="10"/>
  <c r="A71" i="10"/>
  <c r="A72" i="10"/>
  <c r="A73" i="10"/>
  <c r="A74" i="10"/>
  <c r="A75" i="10"/>
  <c r="A76" i="10"/>
  <c r="A77" i="10"/>
  <c r="A78" i="10"/>
  <c r="A79" i="10"/>
  <c r="A80" i="10"/>
  <c r="A81" i="10"/>
  <c r="A82" i="10"/>
  <c r="A83" i="10"/>
  <c r="A84" i="10"/>
  <c r="A85" i="10"/>
  <c r="A86" i="10"/>
  <c r="A87" i="10"/>
  <c r="A88" i="10"/>
  <c r="A89" i="10"/>
  <c r="A90" i="10"/>
  <c r="A91" i="10"/>
  <c r="A11" i="10"/>
  <c r="A4" i="10"/>
  <c r="A5" i="10"/>
  <c r="A6" i="10"/>
  <c r="A7" i="10"/>
  <c r="A8" i="10"/>
  <c r="A9" i="10"/>
  <c r="A10" i="10"/>
  <c r="A3" i="10"/>
  <c r="A4" i="16"/>
  <c r="A5" i="16"/>
  <c r="A6" i="16"/>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A61" i="16"/>
  <c r="A62" i="16"/>
  <c r="A63" i="16"/>
  <c r="A64" i="16"/>
  <c r="A65" i="16"/>
  <c r="A66" i="16"/>
  <c r="A67" i="16"/>
  <c r="A68" i="16"/>
  <c r="A69" i="16"/>
  <c r="A70" i="16"/>
  <c r="A71" i="16"/>
  <c r="A72" i="16"/>
  <c r="A73" i="16"/>
  <c r="A74" i="16"/>
  <c r="C74" i="16" s="1"/>
  <c r="A75" i="16"/>
  <c r="C75" i="16" s="1"/>
  <c r="D75" i="16" s="1"/>
  <c r="A76" i="16"/>
  <c r="A3" i="16"/>
  <c r="P15" i="16"/>
  <c r="M15" i="16" s="1"/>
  <c r="P16" i="16"/>
  <c r="M16" i="16" s="1"/>
  <c r="P17" i="16"/>
  <c r="M17" i="16" s="1"/>
  <c r="P18" i="16"/>
  <c r="M18" i="16" s="1"/>
  <c r="P19" i="16"/>
  <c r="M19" i="16" s="1"/>
  <c r="P20" i="16"/>
  <c r="M20" i="16" s="1"/>
  <c r="P25" i="16"/>
  <c r="M25" i="16" s="1"/>
  <c r="P26" i="16"/>
  <c r="M26" i="16" s="1"/>
  <c r="P27" i="16"/>
  <c r="M27" i="16" s="1"/>
  <c r="P28" i="16"/>
  <c r="M28" i="16" s="1"/>
  <c r="P29" i="16"/>
  <c r="M29" i="16" s="1"/>
  <c r="P30" i="16"/>
  <c r="M30" i="16" s="1"/>
  <c r="P31" i="16"/>
  <c r="M31" i="16" s="1"/>
  <c r="P32" i="16"/>
  <c r="M32" i="16" s="1"/>
  <c r="P35" i="16"/>
  <c r="M35" i="16" s="1"/>
  <c r="P40" i="16"/>
  <c r="M40" i="16" s="1"/>
  <c r="P41" i="16"/>
  <c r="M41" i="16" s="1"/>
  <c r="P42" i="16"/>
  <c r="M42" i="16" s="1"/>
  <c r="P43" i="16"/>
  <c r="M43" i="16" s="1"/>
  <c r="P44" i="16"/>
  <c r="M44" i="16" s="1"/>
  <c r="P47" i="16"/>
  <c r="M47" i="16" s="1"/>
  <c r="P65" i="16"/>
  <c r="M65" i="16" s="1"/>
  <c r="P66" i="16"/>
  <c r="M66" i="16" s="1"/>
  <c r="P67" i="16"/>
  <c r="M67" i="16" s="1"/>
  <c r="P68" i="16"/>
  <c r="M68" i="16" s="1"/>
  <c r="P70" i="16"/>
  <c r="M70" i="16" s="1"/>
  <c r="P71" i="16"/>
  <c r="M71" i="16" s="1"/>
  <c r="P74" i="16"/>
  <c r="M74" i="16" s="1"/>
  <c r="P75" i="16"/>
  <c r="M75" i="16" s="1"/>
  <c r="P76" i="16"/>
  <c r="M76" i="16" s="1"/>
  <c r="P77" i="16"/>
  <c r="M77" i="16" s="1"/>
  <c r="P78" i="16"/>
  <c r="M78" i="16" s="1"/>
  <c r="P79" i="16"/>
  <c r="M79" i="16" s="1"/>
  <c r="P80" i="16"/>
  <c r="M80" i="16" s="1"/>
  <c r="P14" i="16"/>
  <c r="M14" i="16" s="1"/>
  <c r="P22" i="16"/>
  <c r="M22" i="16" s="1"/>
  <c r="P23" i="16"/>
  <c r="M23" i="16" s="1"/>
  <c r="P24" i="16"/>
  <c r="M24" i="16" s="1"/>
  <c r="P36" i="16"/>
  <c r="M36" i="16" s="1"/>
  <c r="P37" i="16"/>
  <c r="M37" i="16" s="1"/>
  <c r="P38" i="16"/>
  <c r="M38" i="16" s="1"/>
  <c r="P39" i="16"/>
  <c r="M39" i="16" s="1"/>
  <c r="P49" i="16"/>
  <c r="M49" i="16" s="1"/>
  <c r="P50" i="16"/>
  <c r="M50" i="16" s="1"/>
  <c r="P51" i="16"/>
  <c r="M51" i="16" s="1"/>
  <c r="P52" i="16"/>
  <c r="M52" i="16" s="1"/>
  <c r="P53" i="16"/>
  <c r="M53" i="16" s="1"/>
  <c r="P55" i="16"/>
  <c r="M55" i="16" s="1"/>
  <c r="P56" i="16"/>
  <c r="M56" i="16" s="1"/>
  <c r="P57" i="16"/>
  <c r="M57" i="16" s="1"/>
  <c r="P58" i="16"/>
  <c r="M58" i="16" s="1"/>
  <c r="P59" i="16"/>
  <c r="M59" i="16" s="1"/>
  <c r="P60" i="16"/>
  <c r="M60" i="16" s="1"/>
  <c r="P61" i="16"/>
  <c r="M61" i="16" s="1"/>
  <c r="P62" i="16"/>
  <c r="M62" i="16" s="1"/>
  <c r="P63" i="16"/>
  <c r="M63" i="16" s="1"/>
  <c r="P69" i="16"/>
  <c r="M69" i="16" s="1"/>
  <c r="P81" i="16"/>
  <c r="M81" i="16" s="1"/>
  <c r="P82" i="16"/>
  <c r="P64" i="16"/>
  <c r="P54" i="16"/>
  <c r="M54" i="16" s="1"/>
  <c r="C76" i="16"/>
  <c r="D76" i="16" s="1"/>
  <c r="P9" i="16"/>
  <c r="P10" i="16"/>
  <c r="M10" i="16" s="1"/>
  <c r="P12" i="16"/>
  <c r="M12" i="16" s="1"/>
  <c r="P13" i="16"/>
  <c r="M13" i="16" s="1"/>
  <c r="P21" i="16"/>
  <c r="M21" i="16" s="1"/>
  <c r="P33" i="16"/>
  <c r="M33" i="16" s="1"/>
  <c r="P34" i="16"/>
  <c r="M34" i="16" s="1"/>
  <c r="P45" i="16"/>
  <c r="M45" i="16" s="1"/>
  <c r="P46" i="16"/>
  <c r="M46" i="16" s="1"/>
  <c r="P48" i="16"/>
  <c r="M48" i="16" s="1"/>
  <c r="P73" i="16"/>
  <c r="M73" i="16" s="1"/>
  <c r="BA13" i="16"/>
  <c r="BB13" i="16" s="1"/>
  <c r="BA9" i="16"/>
  <c r="BB9" i="16" s="1"/>
  <c r="BA10" i="16"/>
  <c r="BB10" i="16" s="1"/>
  <c r="BA14" i="16"/>
  <c r="BB14" i="16" s="1"/>
  <c r="BA11" i="16"/>
  <c r="BB11" i="16" s="1"/>
  <c r="BA12" i="16"/>
  <c r="BB12" i="16" s="1"/>
  <c r="BA15" i="16"/>
  <c r="BB15" i="16" s="1"/>
  <c r="P11" i="16"/>
  <c r="M11" i="16" s="1"/>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6" i="12"/>
  <c r="A37" i="12"/>
  <c r="A38" i="12"/>
  <c r="A39" i="12"/>
  <c r="A40" i="12"/>
  <c r="A41" i="12"/>
  <c r="A42" i="12"/>
  <c r="A43" i="12"/>
  <c r="A44" i="12"/>
  <c r="A45" i="12"/>
  <c r="A46" i="12"/>
  <c r="A47" i="12"/>
  <c r="A48" i="12"/>
  <c r="A49" i="12"/>
  <c r="A50" i="12"/>
  <c r="A51" i="12"/>
  <c r="A52" i="12"/>
  <c r="A53" i="12"/>
  <c r="A54" i="12"/>
  <c r="A55" i="12"/>
  <c r="A56" i="12"/>
  <c r="A57" i="12"/>
  <c r="A58" i="12"/>
  <c r="A59" i="12"/>
  <c r="A60" i="12"/>
  <c r="A61" i="12"/>
  <c r="A62" i="12"/>
  <c r="A63" i="12"/>
  <c r="A64" i="12"/>
  <c r="A65" i="12"/>
  <c r="A66" i="12"/>
  <c r="A67" i="12"/>
  <c r="A68" i="12"/>
  <c r="A69" i="12"/>
  <c r="A70" i="12"/>
  <c r="A71" i="12"/>
  <c r="A72" i="12"/>
  <c r="A3" i="12"/>
  <c r="BA9" i="12"/>
  <c r="BB9" i="12" s="1"/>
  <c r="BA10" i="12"/>
  <c r="BB10" i="12" s="1"/>
  <c r="BA11" i="12"/>
  <c r="BB11" i="12" s="1"/>
  <c r="BA12" i="12"/>
  <c r="BB12" i="12" s="1"/>
  <c r="BA13" i="12"/>
  <c r="BB13" i="12" s="1"/>
  <c r="BA15" i="12"/>
  <c r="BB15" i="12" s="1"/>
  <c r="BA14" i="12"/>
  <c r="BB14" i="12" s="1"/>
  <c r="P10" i="12"/>
  <c r="M10" i="12" s="1"/>
  <c r="N10" i="12" s="1"/>
  <c r="P11" i="12"/>
  <c r="M11" i="12" s="1"/>
  <c r="N11" i="12" s="1"/>
  <c r="P12" i="12"/>
  <c r="M12" i="12" s="1"/>
  <c r="N12" i="12" s="1"/>
  <c r="P13" i="12"/>
  <c r="M13" i="12" s="1"/>
  <c r="N13" i="12" s="1"/>
  <c r="P14" i="12"/>
  <c r="M14" i="12" s="1"/>
  <c r="N14" i="12" s="1"/>
  <c r="P15" i="12"/>
  <c r="M15" i="12" s="1"/>
  <c r="N15" i="12" s="1"/>
  <c r="P16" i="12"/>
  <c r="M16" i="12" s="1"/>
  <c r="N16" i="12" s="1"/>
  <c r="P17" i="12"/>
  <c r="M17" i="12" s="1"/>
  <c r="N17" i="12" s="1"/>
  <c r="P18" i="12"/>
  <c r="M18" i="12" s="1"/>
  <c r="N18" i="12" s="1"/>
  <c r="P19" i="12"/>
  <c r="M19" i="12" s="1"/>
  <c r="N19" i="12" s="1"/>
  <c r="P20" i="12"/>
  <c r="M20" i="12" s="1"/>
  <c r="N20" i="12" s="1"/>
  <c r="P21" i="12"/>
  <c r="M21" i="12" s="1"/>
  <c r="N21" i="12" s="1"/>
  <c r="P22" i="12"/>
  <c r="M22" i="12" s="1"/>
  <c r="N22" i="12" s="1"/>
  <c r="P23" i="12"/>
  <c r="M23" i="12" s="1"/>
  <c r="N23" i="12" s="1"/>
  <c r="P24" i="12"/>
  <c r="M24" i="12" s="1"/>
  <c r="N24" i="12" s="1"/>
  <c r="P25" i="12"/>
  <c r="M25" i="12" s="1"/>
  <c r="N25" i="12" s="1"/>
  <c r="P26" i="12"/>
  <c r="M26" i="12" s="1"/>
  <c r="N26" i="12" s="1"/>
  <c r="P27" i="12"/>
  <c r="M27" i="12" s="1"/>
  <c r="N27" i="12" s="1"/>
  <c r="P28" i="12"/>
  <c r="M28" i="12" s="1"/>
  <c r="N28" i="12" s="1"/>
  <c r="P29" i="12"/>
  <c r="M29" i="12" s="1"/>
  <c r="N29" i="12" s="1"/>
  <c r="P30" i="12"/>
  <c r="M30" i="12" s="1"/>
  <c r="N30" i="12" s="1"/>
  <c r="P31" i="12"/>
  <c r="M31" i="12" s="1"/>
  <c r="N31" i="12" s="1"/>
  <c r="P32" i="12"/>
  <c r="M32" i="12" s="1"/>
  <c r="N32" i="12" s="1"/>
  <c r="P33" i="12"/>
  <c r="M33" i="12" s="1"/>
  <c r="N33" i="12" s="1"/>
  <c r="P34" i="12"/>
  <c r="M34" i="12" s="1"/>
  <c r="N34" i="12" s="1"/>
  <c r="P35" i="12"/>
  <c r="M35" i="12" s="1"/>
  <c r="N35" i="12" s="1"/>
  <c r="P36" i="12"/>
  <c r="M36" i="12" s="1"/>
  <c r="N36" i="12" s="1"/>
  <c r="P37" i="12"/>
  <c r="M37" i="12" s="1"/>
  <c r="N37" i="12" s="1"/>
  <c r="P38" i="12"/>
  <c r="M38" i="12" s="1"/>
  <c r="N38" i="12" s="1"/>
  <c r="P39" i="12"/>
  <c r="M39" i="12" s="1"/>
  <c r="N39" i="12" s="1"/>
  <c r="P40" i="12"/>
  <c r="M40" i="12" s="1"/>
  <c r="N40" i="12" s="1"/>
  <c r="P41" i="12"/>
  <c r="M41" i="12" s="1"/>
  <c r="N41" i="12" s="1"/>
  <c r="P42" i="12"/>
  <c r="M42" i="12" s="1"/>
  <c r="N42" i="12" s="1"/>
  <c r="P43" i="12"/>
  <c r="M43" i="12" s="1"/>
  <c r="N43" i="12" s="1"/>
  <c r="P44" i="12"/>
  <c r="M44" i="12" s="1"/>
  <c r="N44" i="12" s="1"/>
  <c r="P45" i="12"/>
  <c r="M45" i="12" s="1"/>
  <c r="N45" i="12" s="1"/>
  <c r="P46" i="12"/>
  <c r="M46" i="12" s="1"/>
  <c r="N46" i="12" s="1"/>
  <c r="P47" i="12"/>
  <c r="M47" i="12" s="1"/>
  <c r="N47" i="12" s="1"/>
  <c r="P48" i="12"/>
  <c r="M48" i="12" s="1"/>
  <c r="N48" i="12" s="1"/>
  <c r="P49" i="12"/>
  <c r="M49" i="12" s="1"/>
  <c r="N49" i="12" s="1"/>
  <c r="P50" i="12"/>
  <c r="M50" i="12" s="1"/>
  <c r="N50" i="12" s="1"/>
  <c r="P51" i="12"/>
  <c r="M51" i="12" s="1"/>
  <c r="N51" i="12" s="1"/>
  <c r="P52" i="12"/>
  <c r="M52" i="12" s="1"/>
  <c r="N52" i="12" s="1"/>
  <c r="P53" i="12"/>
  <c r="M53" i="12" s="1"/>
  <c r="N53" i="12" s="1"/>
  <c r="P54" i="12"/>
  <c r="M54" i="12" s="1"/>
  <c r="N54" i="12" s="1"/>
  <c r="P55" i="12"/>
  <c r="M55" i="12" s="1"/>
  <c r="N55" i="12" s="1"/>
  <c r="P56" i="12"/>
  <c r="M56" i="12" s="1"/>
  <c r="N56" i="12" s="1"/>
  <c r="P57" i="12"/>
  <c r="M57" i="12" s="1"/>
  <c r="N57" i="12" s="1"/>
  <c r="P58" i="12"/>
  <c r="M58" i="12" s="1"/>
  <c r="N58" i="12" s="1"/>
  <c r="P59" i="12"/>
  <c r="M59" i="12" s="1"/>
  <c r="N59" i="12" s="1"/>
  <c r="P60" i="12"/>
  <c r="M60" i="12" s="1"/>
  <c r="N60" i="12" s="1"/>
  <c r="P61" i="12"/>
  <c r="M61" i="12" s="1"/>
  <c r="N61" i="12" s="1"/>
  <c r="P62" i="12"/>
  <c r="M62" i="12" s="1"/>
  <c r="N62" i="12" s="1"/>
  <c r="P63" i="12"/>
  <c r="M63" i="12" s="1"/>
  <c r="N63" i="12" s="1"/>
  <c r="P64" i="12"/>
  <c r="M64" i="12" s="1"/>
  <c r="N64" i="12" s="1"/>
  <c r="P65" i="12"/>
  <c r="M65" i="12" s="1"/>
  <c r="N65" i="12" s="1"/>
  <c r="P66" i="12"/>
  <c r="M66" i="12" s="1"/>
  <c r="N66" i="12" s="1"/>
  <c r="P67" i="12"/>
  <c r="M67" i="12" s="1"/>
  <c r="N67" i="12" s="1"/>
  <c r="P68" i="12"/>
  <c r="M68" i="12" s="1"/>
  <c r="N68" i="12" s="1"/>
  <c r="P69" i="12"/>
  <c r="M69" i="12" s="1"/>
  <c r="N69" i="12" s="1"/>
  <c r="P70" i="12"/>
  <c r="M70" i="12" s="1"/>
  <c r="N70" i="12" s="1"/>
  <c r="P71" i="12"/>
  <c r="M71" i="12" s="1"/>
  <c r="N71" i="12" s="1"/>
  <c r="P72" i="12"/>
  <c r="M72" i="12" s="1"/>
  <c r="N72" i="12" s="1"/>
  <c r="P73" i="12"/>
  <c r="M73" i="12" s="1"/>
  <c r="N73" i="12" s="1"/>
  <c r="P74" i="12"/>
  <c r="M74" i="12" s="1"/>
  <c r="N74" i="12" s="1"/>
  <c r="P75" i="12"/>
  <c r="M75" i="12" s="1"/>
  <c r="N75" i="12" s="1"/>
  <c r="P76" i="12"/>
  <c r="M76" i="12" s="1"/>
  <c r="N76" i="12" s="1"/>
  <c r="P77" i="12"/>
  <c r="M77" i="12" s="1"/>
  <c r="N77" i="12" s="1"/>
  <c r="P78" i="12"/>
  <c r="M78" i="12" s="1"/>
  <c r="N78" i="12" s="1"/>
  <c r="P9" i="12"/>
  <c r="M9" i="12" s="1"/>
  <c r="N9" i="12" s="1"/>
  <c r="BA10" i="13"/>
  <c r="BB10" i="13" s="1"/>
  <c r="BA11" i="13"/>
  <c r="BB11" i="13" s="1"/>
  <c r="BA12" i="13"/>
  <c r="BB12" i="13" s="1"/>
  <c r="BA13" i="13"/>
  <c r="BB13" i="13" s="1"/>
  <c r="BA14" i="13"/>
  <c r="BB14" i="13" s="1"/>
  <c r="BA15" i="13"/>
  <c r="BB15" i="13" s="1"/>
  <c r="BA9" i="13"/>
  <c r="BB9" i="13" s="1"/>
  <c r="P10" i="13"/>
  <c r="M10" i="13" s="1"/>
  <c r="N10" i="13" s="1"/>
  <c r="P11" i="13"/>
  <c r="M11" i="13" s="1"/>
  <c r="N11" i="13" s="1"/>
  <c r="P12" i="13"/>
  <c r="M12" i="13" s="1"/>
  <c r="N12" i="13" s="1"/>
  <c r="P13" i="13"/>
  <c r="M13" i="13" s="1"/>
  <c r="N13" i="13" s="1"/>
  <c r="P14" i="13"/>
  <c r="M14" i="13" s="1"/>
  <c r="N14" i="13" s="1"/>
  <c r="P15" i="13"/>
  <c r="P16" i="13"/>
  <c r="M16" i="13" s="1"/>
  <c r="N16" i="13" s="1"/>
  <c r="P17" i="13"/>
  <c r="P18" i="13"/>
  <c r="M18" i="13" s="1"/>
  <c r="N18" i="13" s="1"/>
  <c r="P19" i="13"/>
  <c r="M19" i="13" s="1"/>
  <c r="N19" i="13" s="1"/>
  <c r="P20" i="13"/>
  <c r="M20" i="13" s="1"/>
  <c r="N20" i="13" s="1"/>
  <c r="P21" i="13"/>
  <c r="M21" i="13" s="1"/>
  <c r="N21" i="13" s="1"/>
  <c r="P22" i="13"/>
  <c r="M22" i="13" s="1"/>
  <c r="N22" i="13" s="1"/>
  <c r="P23" i="13"/>
  <c r="M23" i="13" s="1"/>
  <c r="N23" i="13" s="1"/>
  <c r="P24" i="13"/>
  <c r="M24" i="13" s="1"/>
  <c r="N24" i="13" s="1"/>
  <c r="P25" i="13"/>
  <c r="M25" i="13" s="1"/>
  <c r="N25" i="13" s="1"/>
  <c r="P26" i="13"/>
  <c r="M26" i="13" s="1"/>
  <c r="N26" i="13" s="1"/>
  <c r="P27" i="13"/>
  <c r="M27" i="13" s="1"/>
  <c r="N27" i="13" s="1"/>
  <c r="P28" i="13"/>
  <c r="M28" i="13" s="1"/>
  <c r="N28" i="13" s="1"/>
  <c r="P29" i="13"/>
  <c r="M29" i="13" s="1"/>
  <c r="N29" i="13" s="1"/>
  <c r="P30" i="13"/>
  <c r="M30" i="13" s="1"/>
  <c r="N30" i="13" s="1"/>
  <c r="P31" i="13"/>
  <c r="M31" i="13" s="1"/>
  <c r="N31" i="13" s="1"/>
  <c r="P32" i="13"/>
  <c r="M32" i="13" s="1"/>
  <c r="N32" i="13" s="1"/>
  <c r="P33" i="13"/>
  <c r="M33" i="13" s="1"/>
  <c r="N33" i="13" s="1"/>
  <c r="P34" i="13"/>
  <c r="M34" i="13" s="1"/>
  <c r="N34" i="13" s="1"/>
  <c r="P35" i="13"/>
  <c r="M35" i="13" s="1"/>
  <c r="N35" i="13" s="1"/>
  <c r="P36" i="13"/>
  <c r="M36" i="13" s="1"/>
  <c r="N36" i="13" s="1"/>
  <c r="P37" i="13"/>
  <c r="M37" i="13" s="1"/>
  <c r="N37" i="13" s="1"/>
  <c r="P38" i="13"/>
  <c r="M38" i="13" s="1"/>
  <c r="N38" i="13" s="1"/>
  <c r="P39" i="13"/>
  <c r="M39" i="13" s="1"/>
  <c r="N39" i="13" s="1"/>
  <c r="P40" i="13"/>
  <c r="M40" i="13" s="1"/>
  <c r="N40" i="13" s="1"/>
  <c r="P41" i="13"/>
  <c r="M41" i="13" s="1"/>
  <c r="N41" i="13" s="1"/>
  <c r="P42" i="13"/>
  <c r="M42" i="13" s="1"/>
  <c r="N42" i="13" s="1"/>
  <c r="P43" i="13"/>
  <c r="M43" i="13" s="1"/>
  <c r="N43" i="13" s="1"/>
  <c r="P44" i="13"/>
  <c r="M44" i="13" s="1"/>
  <c r="N44" i="13" s="1"/>
  <c r="P45" i="13"/>
  <c r="M45" i="13" s="1"/>
  <c r="N45" i="13" s="1"/>
  <c r="P46" i="13"/>
  <c r="M46" i="13" s="1"/>
  <c r="N46" i="13" s="1"/>
  <c r="P47" i="13"/>
  <c r="P48" i="13"/>
  <c r="M48" i="13" s="1"/>
  <c r="N48" i="13" s="1"/>
  <c r="P49" i="13"/>
  <c r="P50" i="13"/>
  <c r="M50" i="13" s="1"/>
  <c r="N50" i="13" s="1"/>
  <c r="P51" i="13"/>
  <c r="M51" i="13" s="1"/>
  <c r="N51" i="13" s="1"/>
  <c r="P52" i="13"/>
  <c r="M52" i="13" s="1"/>
  <c r="N52" i="13" s="1"/>
  <c r="P53" i="13"/>
  <c r="M53" i="13" s="1"/>
  <c r="N53" i="13" s="1"/>
  <c r="P54" i="13"/>
  <c r="M54" i="13" s="1"/>
  <c r="N54" i="13" s="1"/>
  <c r="P55" i="13"/>
  <c r="M55" i="13" s="1"/>
  <c r="N55" i="13" s="1"/>
  <c r="P56" i="13"/>
  <c r="M56" i="13" s="1"/>
  <c r="N56" i="13" s="1"/>
  <c r="P57" i="13"/>
  <c r="M57" i="13" s="1"/>
  <c r="N57" i="13" s="1"/>
  <c r="P58" i="13"/>
  <c r="M58" i="13" s="1"/>
  <c r="N58" i="13" s="1"/>
  <c r="P59" i="13"/>
  <c r="M59" i="13" s="1"/>
  <c r="N59" i="13" s="1"/>
  <c r="P60" i="13"/>
  <c r="M60" i="13" s="1"/>
  <c r="N60" i="13" s="1"/>
  <c r="P61" i="13"/>
  <c r="M61" i="13" s="1"/>
  <c r="N61" i="13" s="1"/>
  <c r="P62" i="13"/>
  <c r="M62" i="13" s="1"/>
  <c r="N62" i="13" s="1"/>
  <c r="P63" i="13"/>
  <c r="M63" i="13" s="1"/>
  <c r="N63" i="13" s="1"/>
  <c r="P64" i="13"/>
  <c r="M64" i="13" s="1"/>
  <c r="N64" i="13" s="1"/>
  <c r="P65" i="13"/>
  <c r="M65" i="13" s="1"/>
  <c r="N65" i="13" s="1"/>
  <c r="P66" i="13"/>
  <c r="M66" i="13" s="1"/>
  <c r="N66" i="13" s="1"/>
  <c r="P67" i="13"/>
  <c r="M67" i="13" s="1"/>
  <c r="N67" i="13" s="1"/>
  <c r="P68" i="13"/>
  <c r="M68" i="13" s="1"/>
  <c r="N68" i="13" s="1"/>
  <c r="P69" i="13"/>
  <c r="M69" i="13" s="1"/>
  <c r="N69" i="13" s="1"/>
  <c r="P70" i="13"/>
  <c r="M70" i="13" s="1"/>
  <c r="N70" i="13" s="1"/>
  <c r="P71" i="13"/>
  <c r="M71" i="13" s="1"/>
  <c r="N71" i="13" s="1"/>
  <c r="P72" i="13"/>
  <c r="M72" i="13" s="1"/>
  <c r="N72" i="13" s="1"/>
  <c r="P73" i="13"/>
  <c r="M73" i="13" s="1"/>
  <c r="N73" i="13" s="1"/>
  <c r="P74" i="13"/>
  <c r="M74" i="13" s="1"/>
  <c r="N74" i="13" s="1"/>
  <c r="P75" i="13"/>
  <c r="M75" i="13" s="1"/>
  <c r="N75" i="13" s="1"/>
  <c r="P76" i="13"/>
  <c r="M76" i="13" s="1"/>
  <c r="N76" i="13" s="1"/>
  <c r="P77" i="13"/>
  <c r="M77" i="13" s="1"/>
  <c r="N77" i="13" s="1"/>
  <c r="P78" i="13"/>
  <c r="M78" i="13" s="1"/>
  <c r="N78" i="13" s="1"/>
  <c r="P79" i="13"/>
  <c r="M79" i="13" s="1"/>
  <c r="N79" i="13" s="1"/>
  <c r="P80" i="13"/>
  <c r="M80" i="13" s="1"/>
  <c r="N80" i="13" s="1"/>
  <c r="P81" i="13"/>
  <c r="M81" i="13" s="1"/>
  <c r="N81" i="13" s="1"/>
  <c r="P82" i="13"/>
  <c r="M82" i="13" s="1"/>
  <c r="N82" i="13" s="1"/>
  <c r="P83" i="13"/>
  <c r="M83" i="13" s="1"/>
  <c r="N83" i="13" s="1"/>
  <c r="P84" i="13"/>
  <c r="M84" i="13" s="1"/>
  <c r="N84" i="13" s="1"/>
  <c r="P85" i="13"/>
  <c r="M85" i="13" s="1"/>
  <c r="N85" i="13" s="1"/>
  <c r="P9" i="13"/>
  <c r="M9" i="13" s="1"/>
  <c r="M15" i="13"/>
  <c r="N15" i="13" s="1"/>
  <c r="M17" i="13"/>
  <c r="N17" i="13" s="1"/>
  <c r="B78" i="13"/>
  <c r="B79" i="13"/>
  <c r="A78" i="13"/>
  <c r="C78" i="13" s="1"/>
  <c r="D78" i="13" s="1"/>
  <c r="A79" i="13"/>
  <c r="C79" i="13" s="1"/>
  <c r="D79" i="13" s="1"/>
  <c r="B76" i="13"/>
  <c r="B77" i="13"/>
  <c r="A77" i="13"/>
  <c r="C77" i="13" s="1"/>
  <c r="A76" i="13"/>
  <c r="C76" i="13" s="1"/>
  <c r="D76" i="13" s="1"/>
  <c r="M47" i="13"/>
  <c r="N47" i="13" s="1"/>
  <c r="B75" i="13"/>
  <c r="C75" i="13"/>
  <c r="D75" i="13" s="1"/>
  <c r="M49" i="13"/>
  <c r="N49" i="13" s="1"/>
  <c r="P9" i="15"/>
  <c r="M9" i="15" s="1"/>
  <c r="P10" i="15"/>
  <c r="M10" i="15" s="1"/>
  <c r="P11" i="15"/>
  <c r="M11" i="15" s="1"/>
  <c r="P12" i="15"/>
  <c r="M12" i="15" s="1"/>
  <c r="P13" i="15"/>
  <c r="M13" i="15" s="1"/>
  <c r="P14" i="15"/>
  <c r="P15" i="15"/>
  <c r="P16" i="15"/>
  <c r="P17" i="15"/>
  <c r="P18" i="15"/>
  <c r="P19" i="15"/>
  <c r="M19" i="15" s="1"/>
  <c r="P20" i="15"/>
  <c r="M20" i="15" s="1"/>
  <c r="P21" i="15"/>
  <c r="M21" i="15" s="1"/>
  <c r="P22" i="15"/>
  <c r="M22" i="15" s="1"/>
  <c r="P23" i="15"/>
  <c r="M23" i="15" s="1"/>
  <c r="P24" i="15"/>
  <c r="M24" i="15" s="1"/>
  <c r="P25" i="15"/>
  <c r="M25" i="15" s="1"/>
  <c r="P26" i="15"/>
  <c r="M26" i="15" s="1"/>
  <c r="P27" i="15"/>
  <c r="M27" i="15" s="1"/>
  <c r="P28" i="15"/>
  <c r="M28" i="15" s="1"/>
  <c r="P29" i="15"/>
  <c r="M29" i="15" s="1"/>
  <c r="P30" i="15"/>
  <c r="M30" i="15" s="1"/>
  <c r="P31" i="15"/>
  <c r="M31" i="15" s="1"/>
  <c r="P32" i="15"/>
  <c r="M32" i="15" s="1"/>
  <c r="P33" i="15"/>
  <c r="M33" i="15" s="1"/>
  <c r="P34" i="15"/>
  <c r="M34" i="15" s="1"/>
  <c r="P35" i="15"/>
  <c r="M35" i="15" s="1"/>
  <c r="P36" i="15"/>
  <c r="M36" i="15" s="1"/>
  <c r="P37" i="15"/>
  <c r="M37" i="15" s="1"/>
  <c r="P38" i="15"/>
  <c r="P39" i="15"/>
  <c r="P40" i="15"/>
  <c r="P41" i="15"/>
  <c r="P42" i="15"/>
  <c r="M42" i="15" s="1"/>
  <c r="P43" i="15"/>
  <c r="M43" i="15" s="1"/>
  <c r="P44" i="15"/>
  <c r="M44" i="15" s="1"/>
  <c r="P45" i="15"/>
  <c r="M45" i="15" s="1"/>
  <c r="P46" i="15"/>
  <c r="M46" i="15" s="1"/>
  <c r="P47" i="15"/>
  <c r="M47" i="15" s="1"/>
  <c r="P48" i="15"/>
  <c r="M48" i="15" s="1"/>
  <c r="P49" i="15"/>
  <c r="M49" i="15" s="1"/>
  <c r="P50" i="15"/>
  <c r="M50" i="15" s="1"/>
  <c r="P51" i="15"/>
  <c r="M51" i="15" s="1"/>
  <c r="P52" i="15"/>
  <c r="M52" i="15" s="1"/>
  <c r="P53" i="15"/>
  <c r="M53" i="15" s="1"/>
  <c r="P54" i="15"/>
  <c r="M54" i="15" s="1"/>
  <c r="P55" i="15"/>
  <c r="M55" i="15" s="1"/>
  <c r="P56" i="15"/>
  <c r="M56" i="15" s="1"/>
  <c r="P57" i="15"/>
  <c r="M57" i="15" s="1"/>
  <c r="P58" i="15"/>
  <c r="M58" i="15" s="1"/>
  <c r="P59" i="15"/>
  <c r="M59" i="15" s="1"/>
  <c r="P60" i="15"/>
  <c r="M60" i="15" s="1"/>
  <c r="P61" i="15"/>
  <c r="M61" i="15" s="1"/>
  <c r="P62" i="15"/>
  <c r="P63" i="15"/>
  <c r="P64" i="15"/>
  <c r="P65" i="15"/>
  <c r="P66" i="15"/>
  <c r="M66" i="15" s="1"/>
  <c r="P67" i="15"/>
  <c r="M67" i="15" s="1"/>
  <c r="P68" i="15"/>
  <c r="M68" i="15" s="1"/>
  <c r="P69" i="15"/>
  <c r="M69" i="15" s="1"/>
  <c r="P70" i="15"/>
  <c r="M70" i="15" s="1"/>
  <c r="P71" i="15"/>
  <c r="M71" i="15" s="1"/>
  <c r="P72" i="15"/>
  <c r="M72" i="15" s="1"/>
  <c r="P73" i="15"/>
  <c r="M73" i="15" s="1"/>
  <c r="P74" i="15"/>
  <c r="M74" i="15" s="1"/>
  <c r="P75" i="15"/>
  <c r="M75" i="15" s="1"/>
  <c r="BA10" i="15"/>
  <c r="BB10" i="15" s="1"/>
  <c r="BA11" i="15"/>
  <c r="BB11" i="15" s="1"/>
  <c r="BA12" i="15"/>
  <c r="BB12" i="15" s="1"/>
  <c r="BA13" i="15"/>
  <c r="BB13" i="15" s="1"/>
  <c r="BA14" i="15"/>
  <c r="BB14" i="15" s="1"/>
  <c r="BA15" i="15"/>
  <c r="BB15" i="15" s="1"/>
  <c r="BA16" i="15"/>
  <c r="BB16" i="15" s="1"/>
  <c r="BA9" i="15"/>
  <c r="BB9" i="15" s="1"/>
  <c r="N9" i="30" l="1"/>
  <c r="N12" i="30"/>
  <c r="N10" i="30"/>
  <c r="N21" i="30"/>
  <c r="N13" i="30"/>
  <c r="N57" i="30"/>
  <c r="N58" i="30"/>
  <c r="N59" i="30"/>
  <c r="N54" i="30"/>
  <c r="N55" i="30"/>
  <c r="N56" i="30"/>
  <c r="N51" i="30"/>
  <c r="N52" i="30"/>
  <c r="N53" i="30"/>
  <c r="N49" i="30"/>
  <c r="N50" i="30"/>
  <c r="N47" i="30"/>
  <c r="N48" i="30"/>
  <c r="N45" i="30"/>
  <c r="N46" i="30"/>
  <c r="N43" i="30"/>
  <c r="N44" i="30"/>
  <c r="N41" i="30"/>
  <c r="N42" i="30"/>
  <c r="N39" i="30"/>
  <c r="N40" i="30"/>
  <c r="N37" i="30"/>
  <c r="N38" i="30"/>
  <c r="N34" i="30"/>
  <c r="N35" i="30"/>
  <c r="N36" i="30"/>
  <c r="N31" i="30"/>
  <c r="N32" i="30"/>
  <c r="N33" i="30"/>
  <c r="N28" i="30"/>
  <c r="N29" i="30"/>
  <c r="N30" i="30"/>
  <c r="N23" i="30"/>
  <c r="N24" i="30"/>
  <c r="N25" i="30"/>
  <c r="N26" i="30"/>
  <c r="N27" i="30"/>
  <c r="N15" i="30"/>
  <c r="N16" i="30"/>
  <c r="N17" i="30"/>
  <c r="N18" i="30"/>
  <c r="N19" i="30"/>
  <c r="N20" i="30"/>
  <c r="N22" i="30"/>
  <c r="N11" i="30"/>
  <c r="N14" i="30"/>
  <c r="N9" i="13"/>
  <c r="M15" i="15"/>
  <c r="M14" i="15"/>
  <c r="M16" i="15"/>
  <c r="M17" i="15"/>
  <c r="M18" i="15"/>
  <c r="M38" i="15"/>
  <c r="M39" i="15"/>
  <c r="M40" i="15"/>
  <c r="M41" i="15"/>
  <c r="M62" i="15"/>
  <c r="M63" i="15"/>
  <c r="N63" i="15" s="1"/>
  <c r="M64" i="15"/>
  <c r="M65" i="15"/>
  <c r="N65" i="15" s="1"/>
  <c r="E29" i="17"/>
  <c r="E14" i="17"/>
  <c r="E25" i="17"/>
  <c r="E26" i="17"/>
  <c r="E28" i="17"/>
  <c r="E27" i="17"/>
  <c r="O14" i="33"/>
  <c r="O36" i="33"/>
  <c r="O18" i="33"/>
  <c r="O15" i="33"/>
  <c r="C37" i="33"/>
  <c r="D37" i="33" s="1"/>
  <c r="O38" i="33"/>
  <c r="O47" i="33"/>
  <c r="O20" i="33"/>
  <c r="O39" i="33"/>
  <c r="O51" i="33"/>
  <c r="O54" i="33"/>
  <c r="O34" i="33"/>
  <c r="O48" i="33"/>
  <c r="O29" i="33"/>
  <c r="O21" i="33"/>
  <c r="O13" i="33"/>
  <c r="O10" i="33"/>
  <c r="O59" i="33"/>
  <c r="O53" i="33"/>
  <c r="O41" i="33"/>
  <c r="O23" i="33"/>
  <c r="O11" i="33"/>
  <c r="O43" i="33"/>
  <c r="O40" i="33"/>
  <c r="A3" i="33"/>
  <c r="O9" i="33"/>
  <c r="O30" i="33"/>
  <c r="O27" i="33"/>
  <c r="O57" i="33"/>
  <c r="O25" i="33"/>
  <c r="O42" i="33"/>
  <c r="A4" i="33"/>
  <c r="A7" i="33"/>
  <c r="O31" i="33"/>
  <c r="O44" i="33"/>
  <c r="O33" i="33"/>
  <c r="C34" i="33"/>
  <c r="D34" i="33" s="1"/>
  <c r="O46" i="33"/>
  <c r="O22" i="33"/>
  <c r="O35" i="33"/>
  <c r="O50" i="33"/>
  <c r="O24" i="33"/>
  <c r="O37" i="33"/>
  <c r="O55" i="33"/>
  <c r="O58" i="33"/>
  <c r="A5" i="33"/>
  <c r="O26" i="33"/>
  <c r="O17" i="33"/>
  <c r="O28" i="33"/>
  <c r="O16" i="33"/>
  <c r="O12" i="33"/>
  <c r="O32" i="33"/>
  <c r="O49" i="33"/>
  <c r="C55" i="33"/>
  <c r="D55" i="33" s="1"/>
  <c r="O56" i="33"/>
  <c r="C51" i="33"/>
  <c r="D51" i="33" s="1"/>
  <c r="O52" i="33"/>
  <c r="O45" i="33"/>
  <c r="O19" i="33"/>
  <c r="D21" i="30"/>
  <c r="D42" i="30"/>
  <c r="D30" i="30"/>
  <c r="D41" i="30"/>
  <c r="D29" i="30"/>
  <c r="D16" i="30"/>
  <c r="D39" i="30"/>
  <c r="D50" i="30"/>
  <c r="D38" i="30"/>
  <c r="D26" i="30"/>
  <c r="D14" i="30"/>
  <c r="D51" i="30"/>
  <c r="D27" i="30"/>
  <c r="D15" i="30"/>
  <c r="D49" i="30"/>
  <c r="D37" i="30"/>
  <c r="D25" i="30"/>
  <c r="D13" i="30"/>
  <c r="M17" i="32"/>
  <c r="N17" i="32" s="1"/>
  <c r="M28" i="32"/>
  <c r="N28" i="32" s="1"/>
  <c r="M40" i="32"/>
  <c r="N40" i="32" s="1"/>
  <c r="M52" i="32"/>
  <c r="N52" i="32" s="1"/>
  <c r="M68" i="32"/>
  <c r="N68" i="32" s="1"/>
  <c r="M18" i="32"/>
  <c r="N18" i="32" s="1"/>
  <c r="M29" i="32"/>
  <c r="N29" i="32" s="1"/>
  <c r="M41" i="32"/>
  <c r="N41" i="32" s="1"/>
  <c r="M53" i="32"/>
  <c r="N53" i="32" s="1"/>
  <c r="M67" i="32"/>
  <c r="N67" i="32" s="1"/>
  <c r="M19" i="32"/>
  <c r="N19" i="32" s="1"/>
  <c r="M30" i="32"/>
  <c r="N30" i="32" s="1"/>
  <c r="M42" i="32"/>
  <c r="N42" i="32" s="1"/>
  <c r="M54" i="32"/>
  <c r="N54" i="32" s="1"/>
  <c r="M78" i="32"/>
  <c r="N78" i="32" s="1"/>
  <c r="M66" i="32"/>
  <c r="N66" i="32" s="1"/>
  <c r="M20" i="32"/>
  <c r="N20" i="32" s="1"/>
  <c r="M31" i="32"/>
  <c r="N31" i="32" s="1"/>
  <c r="M43" i="32"/>
  <c r="N43" i="32" s="1"/>
  <c r="M55" i="32"/>
  <c r="N55" i="32" s="1"/>
  <c r="M77" i="32"/>
  <c r="N77" i="32" s="1"/>
  <c r="M65" i="32"/>
  <c r="N65" i="32" s="1"/>
  <c r="M32" i="32"/>
  <c r="N32" i="32" s="1"/>
  <c r="M44" i="32"/>
  <c r="N44" i="32" s="1"/>
  <c r="M56" i="32"/>
  <c r="N56" i="32" s="1"/>
  <c r="M76" i="32"/>
  <c r="N76" i="32" s="1"/>
  <c r="M64" i="32"/>
  <c r="N64" i="32" s="1"/>
  <c r="M12" i="32"/>
  <c r="M75" i="32"/>
  <c r="N75" i="32" s="1"/>
  <c r="M63" i="32"/>
  <c r="N63" i="32" s="1"/>
  <c r="M34" i="32"/>
  <c r="N34" i="32" s="1"/>
  <c r="M46" i="32"/>
  <c r="N46" i="32" s="1"/>
  <c r="M58" i="32"/>
  <c r="N58" i="32" s="1"/>
  <c r="M74" i="32"/>
  <c r="N74" i="32" s="1"/>
  <c r="M62" i="32"/>
  <c r="N62" i="32" s="1"/>
  <c r="C53" i="32"/>
  <c r="D53" i="32" s="1"/>
  <c r="C24" i="32"/>
  <c r="D24" i="32" s="1"/>
  <c r="C25" i="32"/>
  <c r="D25" i="32" s="1"/>
  <c r="C48" i="32"/>
  <c r="D48" i="32" s="1"/>
  <c r="C26" i="32"/>
  <c r="D26" i="32" s="1"/>
  <c r="C21" i="32"/>
  <c r="D21" i="32" s="1"/>
  <c r="C28" i="32"/>
  <c r="D28" i="32" s="1"/>
  <c r="C52" i="32"/>
  <c r="D52" i="32" s="1"/>
  <c r="C19" i="32"/>
  <c r="D19" i="32" s="1"/>
  <c r="C30" i="32"/>
  <c r="D30" i="32" s="1"/>
  <c r="C36" i="32"/>
  <c r="D36" i="32" s="1"/>
  <c r="C41" i="32"/>
  <c r="D41" i="32" s="1"/>
  <c r="C47" i="32"/>
  <c r="D47" i="32" s="1"/>
  <c r="C10" i="32"/>
  <c r="D10" i="32" s="1"/>
  <c r="C14" i="32"/>
  <c r="D14" i="32" s="1"/>
  <c r="C20" i="32"/>
  <c r="D20" i="32" s="1"/>
  <c r="C31" i="32"/>
  <c r="D31" i="32" s="1"/>
  <c r="C37" i="32"/>
  <c r="D37" i="32" s="1"/>
  <c r="C42" i="32"/>
  <c r="D42" i="32" s="1"/>
  <c r="C15" i="32"/>
  <c r="D15" i="32" s="1"/>
  <c r="C3" i="32"/>
  <c r="D3" i="32" s="1"/>
  <c r="C11" i="32"/>
  <c r="D11" i="32" s="1"/>
  <c r="C32" i="32"/>
  <c r="D32" i="32" s="1"/>
  <c r="C43" i="32"/>
  <c r="D43" i="32" s="1"/>
  <c r="C49" i="32"/>
  <c r="D49" i="32" s="1"/>
  <c r="C4" i="32"/>
  <c r="D4" i="32" s="1"/>
  <c r="C16" i="32"/>
  <c r="D16" i="32" s="1"/>
  <c r="C27" i="32"/>
  <c r="D27" i="32" s="1"/>
  <c r="C38" i="32"/>
  <c r="D38" i="32" s="1"/>
  <c r="C5" i="32"/>
  <c r="D5" i="32" s="1"/>
  <c r="C22" i="32"/>
  <c r="D22" i="32" s="1"/>
  <c r="C33" i="32"/>
  <c r="D33" i="32" s="1"/>
  <c r="C44" i="32"/>
  <c r="D44" i="32" s="1"/>
  <c r="C50" i="32"/>
  <c r="D50" i="32" s="1"/>
  <c r="C12" i="32"/>
  <c r="D12" i="32" s="1"/>
  <c r="C6" i="32"/>
  <c r="D6" i="32" s="1"/>
  <c r="C17" i="32"/>
  <c r="D17" i="32" s="1"/>
  <c r="C34" i="32"/>
  <c r="D34" i="32" s="1"/>
  <c r="C39" i="32"/>
  <c r="D39" i="32" s="1"/>
  <c r="C45" i="32"/>
  <c r="D45" i="32" s="1"/>
  <c r="C51" i="32"/>
  <c r="D51" i="32" s="1"/>
  <c r="C8" i="32"/>
  <c r="D8" i="32" s="1"/>
  <c r="C23" i="32"/>
  <c r="D23" i="32" s="1"/>
  <c r="C7" i="32"/>
  <c r="D7" i="32" s="1"/>
  <c r="C9" i="32"/>
  <c r="D9" i="32" s="1"/>
  <c r="C13" i="32"/>
  <c r="D13" i="32" s="1"/>
  <c r="C18" i="32"/>
  <c r="D18" i="32" s="1"/>
  <c r="C29" i="32"/>
  <c r="D29" i="32" s="1"/>
  <c r="C35" i="32"/>
  <c r="D35" i="32" s="1"/>
  <c r="C40" i="32"/>
  <c r="D40" i="32" s="1"/>
  <c r="C46" i="32"/>
  <c r="D46" i="32" s="1"/>
  <c r="E58" i="31"/>
  <c r="C58" i="31"/>
  <c r="D58" i="31" s="1"/>
  <c r="E66" i="31"/>
  <c r="C66" i="31"/>
  <c r="D66" i="31" s="1"/>
  <c r="E54" i="31"/>
  <c r="C54" i="31"/>
  <c r="D54" i="31" s="1"/>
  <c r="E70" i="31"/>
  <c r="C70" i="31"/>
  <c r="D70" i="31" s="1"/>
  <c r="E65" i="31"/>
  <c r="C75" i="31"/>
  <c r="D75" i="31" s="1"/>
  <c r="C63" i="31"/>
  <c r="D63" i="31" s="1"/>
  <c r="E76" i="31"/>
  <c r="E64" i="31"/>
  <c r="C74" i="31"/>
  <c r="D74" i="31" s="1"/>
  <c r="C62" i="31"/>
  <c r="D62" i="31" s="1"/>
  <c r="E12" i="31"/>
  <c r="C12" i="31"/>
  <c r="D12" i="31" s="1"/>
  <c r="E31" i="31"/>
  <c r="C31" i="31"/>
  <c r="D31" i="31" s="1"/>
  <c r="C29" i="31"/>
  <c r="D29" i="31" s="1"/>
  <c r="C17" i="31"/>
  <c r="D17" i="31" s="1"/>
  <c r="C25" i="31"/>
  <c r="D25" i="31" s="1"/>
  <c r="E24" i="31"/>
  <c r="M30" i="31"/>
  <c r="N30" i="31" s="1"/>
  <c r="M75" i="31"/>
  <c r="N75" i="31" s="1"/>
  <c r="M63" i="31"/>
  <c r="N63" i="31" s="1"/>
  <c r="M20" i="31"/>
  <c r="N20" i="31" s="1"/>
  <c r="M42" i="31"/>
  <c r="N42" i="31" s="1"/>
  <c r="M54" i="31"/>
  <c r="N54" i="31" s="1"/>
  <c r="M74" i="31"/>
  <c r="N74" i="31" s="1"/>
  <c r="M62" i="31"/>
  <c r="N62" i="31" s="1"/>
  <c r="M71" i="31"/>
  <c r="N71" i="31" s="1"/>
  <c r="M59" i="31"/>
  <c r="N59" i="31" s="1"/>
  <c r="M31" i="31"/>
  <c r="N31" i="31" s="1"/>
  <c r="M43" i="31"/>
  <c r="N43" i="31" s="1"/>
  <c r="M55" i="31"/>
  <c r="N55" i="31" s="1"/>
  <c r="M32" i="31"/>
  <c r="N32" i="31" s="1"/>
  <c r="M44" i="31"/>
  <c r="N44" i="31" s="1"/>
  <c r="M56" i="31"/>
  <c r="N56" i="31" s="1"/>
  <c r="M14" i="31"/>
  <c r="M82" i="31"/>
  <c r="N82" i="31" s="1"/>
  <c r="M70" i="31"/>
  <c r="N70" i="31" s="1"/>
  <c r="C27" i="31"/>
  <c r="D27" i="31" s="1"/>
  <c r="M26" i="31"/>
  <c r="N26" i="31" s="1"/>
  <c r="M80" i="31"/>
  <c r="N80" i="31" s="1"/>
  <c r="M68" i="31"/>
  <c r="N68" i="31" s="1"/>
  <c r="M15" i="31"/>
  <c r="N15" i="31" s="1"/>
  <c r="M27" i="31"/>
  <c r="N27" i="31" s="1"/>
  <c r="M79" i="31"/>
  <c r="N79" i="31" s="1"/>
  <c r="M67" i="31"/>
  <c r="N67" i="31" s="1"/>
  <c r="C13" i="31"/>
  <c r="D13" i="31" s="1"/>
  <c r="C18" i="31"/>
  <c r="D18" i="31" s="1"/>
  <c r="C36" i="31"/>
  <c r="D36" i="31" s="1"/>
  <c r="C37" i="31"/>
  <c r="D37" i="31" s="1"/>
  <c r="C19" i="31"/>
  <c r="D19" i="31" s="1"/>
  <c r="C30" i="31"/>
  <c r="D30" i="31" s="1"/>
  <c r="C35" i="31"/>
  <c r="D35" i="31" s="1"/>
  <c r="C9" i="31"/>
  <c r="D9" i="31" s="1"/>
  <c r="C23" i="31"/>
  <c r="D23" i="31" s="1"/>
  <c r="C53" i="31"/>
  <c r="D53" i="31" s="1"/>
  <c r="C48" i="31"/>
  <c r="D48" i="31" s="1"/>
  <c r="C49" i="31"/>
  <c r="D49" i="31" s="1"/>
  <c r="C51" i="31"/>
  <c r="D51" i="31" s="1"/>
  <c r="C52" i="31"/>
  <c r="D52" i="31" s="1"/>
  <c r="C7" i="31"/>
  <c r="D7" i="31" s="1"/>
  <c r="C8" i="31"/>
  <c r="D8" i="31" s="1"/>
  <c r="C42" i="31"/>
  <c r="D42" i="31" s="1"/>
  <c r="C10" i="31"/>
  <c r="D10" i="31" s="1"/>
  <c r="C14" i="31"/>
  <c r="D14" i="31" s="1"/>
  <c r="C20" i="31"/>
  <c r="D20" i="31" s="1"/>
  <c r="C26" i="31"/>
  <c r="D26" i="31" s="1"/>
  <c r="C32" i="31"/>
  <c r="D32" i="31" s="1"/>
  <c r="C38" i="31"/>
  <c r="D38" i="31" s="1"/>
  <c r="C44" i="31"/>
  <c r="D44" i="31" s="1"/>
  <c r="C50" i="31"/>
  <c r="D50" i="31" s="1"/>
  <c r="C5" i="31"/>
  <c r="D5" i="31" s="1"/>
  <c r="C6" i="31"/>
  <c r="D6" i="31" s="1"/>
  <c r="C41" i="31"/>
  <c r="D41" i="31" s="1"/>
  <c r="C47" i="31"/>
  <c r="D47" i="31" s="1"/>
  <c r="C33" i="31"/>
  <c r="D33" i="31" s="1"/>
  <c r="C39" i="31"/>
  <c r="D39" i="31" s="1"/>
  <c r="C45" i="31"/>
  <c r="D45" i="31" s="1"/>
  <c r="C11" i="31"/>
  <c r="D11" i="31" s="1"/>
  <c r="C43" i="31"/>
  <c r="D43" i="31" s="1"/>
  <c r="C15" i="31"/>
  <c r="D15" i="31" s="1"/>
  <c r="C21" i="31"/>
  <c r="D21" i="31" s="1"/>
  <c r="C3" i="31"/>
  <c r="D3" i="31" s="1"/>
  <c r="C4" i="31"/>
  <c r="D4" i="31" s="1"/>
  <c r="C16" i="31"/>
  <c r="D16" i="31" s="1"/>
  <c r="C22" i="31"/>
  <c r="D22" i="31" s="1"/>
  <c r="C28" i="31"/>
  <c r="D28" i="31" s="1"/>
  <c r="C34" i="31"/>
  <c r="D34" i="31" s="1"/>
  <c r="C40" i="31"/>
  <c r="D40" i="31" s="1"/>
  <c r="C46" i="31"/>
  <c r="D46" i="31" s="1"/>
  <c r="D74" i="16"/>
  <c r="P72" i="16"/>
  <c r="M72" i="16" s="1"/>
  <c r="M64" i="16"/>
  <c r="M82" i="16"/>
  <c r="D77" i="13"/>
  <c r="BA15" i="14"/>
  <c r="BB15" i="14" s="1"/>
  <c r="BA11" i="14"/>
  <c r="BB11" i="14" s="1"/>
  <c r="BA12" i="14"/>
  <c r="BB12" i="14" s="1"/>
  <c r="BA13" i="14"/>
  <c r="BB13" i="14" s="1"/>
  <c r="BA14" i="14"/>
  <c r="BB14" i="14" s="1"/>
  <c r="BA10" i="14"/>
  <c r="BB10" i="14" s="1"/>
  <c r="BA9" i="14"/>
  <c r="BB9" i="14" s="1"/>
  <c r="BA16" i="14"/>
  <c r="BB16" i="14" s="1"/>
  <c r="P9" i="14"/>
  <c r="M9" i="14" s="1"/>
  <c r="P10" i="14"/>
  <c r="M10" i="14" s="1"/>
  <c r="P11" i="14"/>
  <c r="M11" i="14" s="1"/>
  <c r="P12" i="14"/>
  <c r="M12" i="14" s="1"/>
  <c r="P13" i="14"/>
  <c r="M13" i="14" s="1"/>
  <c r="P14" i="14"/>
  <c r="M14" i="14" s="1"/>
  <c r="P15" i="14"/>
  <c r="M15" i="14" s="1"/>
  <c r="P16" i="14"/>
  <c r="M16" i="14" s="1"/>
  <c r="P17" i="14"/>
  <c r="M17" i="14" s="1"/>
  <c r="P18" i="14"/>
  <c r="P19" i="14"/>
  <c r="M19" i="14" s="1"/>
  <c r="P20" i="14"/>
  <c r="M20" i="14" s="1"/>
  <c r="P21" i="14"/>
  <c r="M21" i="14" s="1"/>
  <c r="P22" i="14"/>
  <c r="M22" i="14" s="1"/>
  <c r="P23" i="14"/>
  <c r="M23" i="14" s="1"/>
  <c r="P24" i="14"/>
  <c r="M24" i="14" s="1"/>
  <c r="P25" i="14"/>
  <c r="M25" i="14" s="1"/>
  <c r="P26" i="14"/>
  <c r="M26" i="14" s="1"/>
  <c r="P27" i="14"/>
  <c r="M27" i="14" s="1"/>
  <c r="P28" i="14"/>
  <c r="M28" i="14" s="1"/>
  <c r="P29" i="14"/>
  <c r="M29" i="14" s="1"/>
  <c r="P30" i="14"/>
  <c r="M30" i="14" s="1"/>
  <c r="P31" i="14"/>
  <c r="M31" i="14" s="1"/>
  <c r="P32" i="14"/>
  <c r="M32" i="14" s="1"/>
  <c r="P33" i="14"/>
  <c r="M33" i="14" s="1"/>
  <c r="P34" i="14"/>
  <c r="M34" i="14" s="1"/>
  <c r="P35" i="14"/>
  <c r="M35" i="14" s="1"/>
  <c r="P36" i="14"/>
  <c r="M36" i="14" s="1"/>
  <c r="P37" i="14"/>
  <c r="M37" i="14" s="1"/>
  <c r="P38" i="14"/>
  <c r="M38" i="14" s="1"/>
  <c r="P39" i="14"/>
  <c r="M39" i="14" s="1"/>
  <c r="P40" i="14"/>
  <c r="P41" i="14"/>
  <c r="M41" i="14" s="1"/>
  <c r="P42" i="14"/>
  <c r="M42" i="14" s="1"/>
  <c r="P43" i="14"/>
  <c r="M43" i="14" s="1"/>
  <c r="P44" i="14"/>
  <c r="P45" i="14"/>
  <c r="P46" i="14"/>
  <c r="M46" i="14" s="1"/>
  <c r="P47" i="14"/>
  <c r="M47" i="14" s="1"/>
  <c r="P48" i="14"/>
  <c r="M48" i="14" s="1"/>
  <c r="P49" i="14"/>
  <c r="M49" i="14" s="1"/>
  <c r="P50" i="14"/>
  <c r="M50" i="14" s="1"/>
  <c r="P51" i="14"/>
  <c r="M51" i="14" s="1"/>
  <c r="P52" i="14"/>
  <c r="M52" i="14" s="1"/>
  <c r="P53" i="14"/>
  <c r="M53" i="14" s="1"/>
  <c r="P54" i="14"/>
  <c r="M54" i="14" s="1"/>
  <c r="P55" i="14"/>
  <c r="P56" i="14"/>
  <c r="M56" i="14" s="1"/>
  <c r="P57" i="14"/>
  <c r="M57" i="14" s="1"/>
  <c r="P58" i="14"/>
  <c r="M58" i="14" s="1"/>
  <c r="P59" i="14"/>
  <c r="M59" i="14" s="1"/>
  <c r="P60" i="14"/>
  <c r="M60" i="14" s="1"/>
  <c r="P61" i="14"/>
  <c r="M61" i="14" s="1"/>
  <c r="P62" i="14"/>
  <c r="M62" i="14" s="1"/>
  <c r="P63" i="14"/>
  <c r="M63" i="14" s="1"/>
  <c r="P64" i="14"/>
  <c r="M64" i="14" s="1"/>
  <c r="P65" i="14"/>
  <c r="M65" i="14" s="1"/>
  <c r="P66" i="14"/>
  <c r="M66" i="14" s="1"/>
  <c r="P67" i="14"/>
  <c r="M67" i="14" s="1"/>
  <c r="P68" i="14"/>
  <c r="M68" i="14" s="1"/>
  <c r="P69" i="14"/>
  <c r="M69" i="14" s="1"/>
  <c r="P70" i="14"/>
  <c r="M70" i="14" s="1"/>
  <c r="P71" i="14"/>
  <c r="M71" i="14" s="1"/>
  <c r="P72" i="14"/>
  <c r="M72" i="14" s="1"/>
  <c r="P73" i="14"/>
  <c r="M73" i="14" s="1"/>
  <c r="P74" i="14"/>
  <c r="M74" i="14" s="1"/>
  <c r="P75" i="14"/>
  <c r="M75" i="14" s="1"/>
  <c r="P76" i="14"/>
  <c r="M76" i="14" s="1"/>
  <c r="P77" i="14"/>
  <c r="M77" i="14" s="1"/>
  <c r="P78" i="14"/>
  <c r="M78" i="14" s="1"/>
  <c r="P79" i="14"/>
  <c r="M79" i="14" s="1"/>
  <c r="P80" i="14"/>
  <c r="M80" i="14" s="1"/>
  <c r="P81" i="14"/>
  <c r="M81" i="14" s="1"/>
  <c r="P82" i="14"/>
  <c r="M82" i="14" s="1"/>
  <c r="P83" i="14"/>
  <c r="M83" i="14" s="1"/>
  <c r="P84" i="14"/>
  <c r="M84" i="14" s="1"/>
  <c r="BA12" i="23"/>
  <c r="BB12" i="23" s="1"/>
  <c r="BA9" i="23"/>
  <c r="BB9" i="23" s="1"/>
  <c r="BA10" i="23"/>
  <c r="BB10" i="23" s="1"/>
  <c r="BA11" i="23"/>
  <c r="BB11" i="23" s="1"/>
  <c r="BA13" i="23"/>
  <c r="BB13" i="23" s="1"/>
  <c r="P12" i="23"/>
  <c r="M12" i="23" s="1"/>
  <c r="N12" i="23" s="1"/>
  <c r="P16" i="23"/>
  <c r="M16" i="23" s="1"/>
  <c r="N16" i="23" s="1"/>
  <c r="P17" i="23"/>
  <c r="M17" i="23" s="1"/>
  <c r="N17" i="23" s="1"/>
  <c r="P18" i="23"/>
  <c r="M18" i="23" s="1"/>
  <c r="N18" i="23" s="1"/>
  <c r="P19" i="23"/>
  <c r="M19" i="23" s="1"/>
  <c r="N19" i="23" s="1"/>
  <c r="P20" i="23"/>
  <c r="M20" i="23" s="1"/>
  <c r="N20" i="23" s="1"/>
  <c r="P28" i="23"/>
  <c r="M28" i="23" s="1"/>
  <c r="N28" i="23" s="1"/>
  <c r="P30" i="23"/>
  <c r="M30" i="23" s="1"/>
  <c r="N30" i="23" s="1"/>
  <c r="P31" i="23"/>
  <c r="M31" i="23" s="1"/>
  <c r="N31" i="23" s="1"/>
  <c r="P32" i="23"/>
  <c r="M32" i="23" s="1"/>
  <c r="N32" i="23" s="1"/>
  <c r="P36" i="23"/>
  <c r="M36" i="23" s="1"/>
  <c r="N36" i="23" s="1"/>
  <c r="P39" i="23"/>
  <c r="M39" i="23" s="1"/>
  <c r="N39" i="23" s="1"/>
  <c r="P40" i="23"/>
  <c r="M40" i="23" s="1"/>
  <c r="N40" i="23" s="1"/>
  <c r="P41" i="23"/>
  <c r="M41" i="23" s="1"/>
  <c r="N41" i="23" s="1"/>
  <c r="P42" i="23"/>
  <c r="M42" i="23" s="1"/>
  <c r="N42" i="23" s="1"/>
  <c r="P43" i="23"/>
  <c r="M43" i="23" s="1"/>
  <c r="N43" i="23" s="1"/>
  <c r="P44" i="23"/>
  <c r="M44" i="23" s="1"/>
  <c r="N44" i="23" s="1"/>
  <c r="P55" i="23"/>
  <c r="M55" i="23" s="1"/>
  <c r="N55" i="23" s="1"/>
  <c r="P56" i="23"/>
  <c r="M56" i="23" s="1"/>
  <c r="N56" i="23" s="1"/>
  <c r="P24" i="23"/>
  <c r="M24" i="23" s="1"/>
  <c r="N24" i="23" s="1"/>
  <c r="P25" i="23"/>
  <c r="M25" i="23" s="1"/>
  <c r="N25" i="23" s="1"/>
  <c r="P26" i="23"/>
  <c r="M26" i="23" s="1"/>
  <c r="N26" i="23" s="1"/>
  <c r="P27" i="23"/>
  <c r="M27" i="23" s="1"/>
  <c r="N27" i="23" s="1"/>
  <c r="P49" i="23"/>
  <c r="M49" i="23" s="1"/>
  <c r="N49" i="23" s="1"/>
  <c r="P50" i="23"/>
  <c r="M50" i="23" s="1"/>
  <c r="N50" i="23" s="1"/>
  <c r="P52" i="23"/>
  <c r="M52" i="23" s="1"/>
  <c r="N52" i="23" s="1"/>
  <c r="P54" i="23"/>
  <c r="M54" i="23" s="1"/>
  <c r="N54" i="23" s="1"/>
  <c r="P38" i="23"/>
  <c r="M38" i="23" s="1"/>
  <c r="N38" i="23" s="1"/>
  <c r="P15" i="23"/>
  <c r="M15" i="23" s="1"/>
  <c r="N15" i="23" s="1"/>
  <c r="P33" i="23"/>
  <c r="M33" i="23" s="1"/>
  <c r="N33" i="23" s="1"/>
  <c r="P53" i="23"/>
  <c r="M53" i="23" s="1"/>
  <c r="N53" i="23" s="1"/>
  <c r="P48" i="23"/>
  <c r="M48" i="23" s="1"/>
  <c r="N48" i="23" s="1"/>
  <c r="P9" i="23"/>
  <c r="M9" i="23" s="1"/>
  <c r="N9" i="23" s="1"/>
  <c r="P21" i="23"/>
  <c r="M21" i="23" s="1"/>
  <c r="N21" i="23" s="1"/>
  <c r="P58" i="23"/>
  <c r="M58" i="23" s="1"/>
  <c r="N58" i="23" s="1"/>
  <c r="P34" i="23"/>
  <c r="M34" i="23" s="1"/>
  <c r="N34" i="23" s="1"/>
  <c r="P23" i="23"/>
  <c r="M23" i="23" s="1"/>
  <c r="N23" i="23" s="1"/>
  <c r="P35" i="23"/>
  <c r="M35" i="23" s="1"/>
  <c r="N35" i="23" s="1"/>
  <c r="P46" i="23"/>
  <c r="M46" i="23" s="1"/>
  <c r="N46" i="23" s="1"/>
  <c r="P22" i="23"/>
  <c r="M22" i="23" s="1"/>
  <c r="N22" i="23" s="1"/>
  <c r="P47" i="23"/>
  <c r="M47" i="23" s="1"/>
  <c r="N47" i="23" s="1"/>
  <c r="P13" i="23"/>
  <c r="M13" i="23" s="1"/>
  <c r="N13" i="23" s="1"/>
  <c r="P45" i="23"/>
  <c r="M45" i="23" s="1"/>
  <c r="N45" i="23" s="1"/>
  <c r="P59" i="23"/>
  <c r="M59" i="23" s="1"/>
  <c r="N59" i="23" s="1"/>
  <c r="P51" i="23"/>
  <c r="M51" i="23" s="1"/>
  <c r="N51" i="23" s="1"/>
  <c r="P37" i="23"/>
  <c r="M37" i="23" s="1"/>
  <c r="N37" i="23" s="1"/>
  <c r="P57" i="23"/>
  <c r="M57" i="23" s="1"/>
  <c r="N57" i="23" s="1"/>
  <c r="P11" i="23"/>
  <c r="M11" i="23" s="1"/>
  <c r="N11" i="23" s="1"/>
  <c r="P10" i="23"/>
  <c r="M10" i="23" s="1"/>
  <c r="N10" i="23" s="1"/>
  <c r="P29" i="23"/>
  <c r="M29" i="23" s="1"/>
  <c r="N29" i="23" s="1"/>
  <c r="P14" i="23"/>
  <c r="M14" i="23" s="1"/>
  <c r="N14" i="23" s="1"/>
  <c r="P14" i="21"/>
  <c r="M14" i="21" s="1"/>
  <c r="N14" i="21" s="1"/>
  <c r="P15" i="21"/>
  <c r="M15" i="21" s="1"/>
  <c r="N15" i="21" s="1"/>
  <c r="P16" i="21"/>
  <c r="M16" i="21" s="1"/>
  <c r="N16" i="21" s="1"/>
  <c r="P17" i="21"/>
  <c r="M17" i="21" s="1"/>
  <c r="N17" i="21" s="1"/>
  <c r="P18" i="21"/>
  <c r="M18" i="21" s="1"/>
  <c r="N18" i="21" s="1"/>
  <c r="P19" i="21"/>
  <c r="M19" i="21" s="1"/>
  <c r="N19" i="21" s="1"/>
  <c r="P20" i="21"/>
  <c r="M20" i="21" s="1"/>
  <c r="N20" i="21" s="1"/>
  <c r="P30" i="21"/>
  <c r="M30" i="21" s="1"/>
  <c r="N30" i="21" s="1"/>
  <c r="P32" i="21"/>
  <c r="M32" i="21" s="1"/>
  <c r="N32" i="21" s="1"/>
  <c r="P38" i="21"/>
  <c r="M38" i="21" s="1"/>
  <c r="N38" i="21" s="1"/>
  <c r="P39" i="21"/>
  <c r="M39" i="21" s="1"/>
  <c r="N39" i="21" s="1"/>
  <c r="P40" i="21"/>
  <c r="M40" i="21" s="1"/>
  <c r="N40" i="21" s="1"/>
  <c r="P41" i="21"/>
  <c r="M41" i="21" s="1"/>
  <c r="N41" i="21" s="1"/>
  <c r="P42" i="21"/>
  <c r="M42" i="21" s="1"/>
  <c r="N42" i="21" s="1"/>
  <c r="P43" i="21"/>
  <c r="M43" i="21" s="1"/>
  <c r="N43" i="21" s="1"/>
  <c r="P44" i="21"/>
  <c r="M44" i="21" s="1"/>
  <c r="N44" i="21" s="1"/>
  <c r="P48" i="21"/>
  <c r="M48" i="21" s="1"/>
  <c r="N48" i="21" s="1"/>
  <c r="P49" i="21"/>
  <c r="M49" i="21" s="1"/>
  <c r="N49" i="21" s="1"/>
  <c r="P50" i="21"/>
  <c r="M50" i="21" s="1"/>
  <c r="N50" i="21" s="1"/>
  <c r="P51" i="21"/>
  <c r="M51" i="21" s="1"/>
  <c r="N51" i="21" s="1"/>
  <c r="P53" i="21"/>
  <c r="M53" i="21" s="1"/>
  <c r="N53" i="21" s="1"/>
  <c r="P54" i="21"/>
  <c r="M54" i="21" s="1"/>
  <c r="N54" i="21" s="1"/>
  <c r="P55" i="21"/>
  <c r="M55" i="21" s="1"/>
  <c r="N55" i="21" s="1"/>
  <c r="P56" i="21"/>
  <c r="M56" i="21" s="1"/>
  <c r="N56" i="21" s="1"/>
  <c r="P64" i="21"/>
  <c r="M64" i="21" s="1"/>
  <c r="N64" i="21" s="1"/>
  <c r="P66" i="21"/>
  <c r="M66" i="21" s="1"/>
  <c r="N66" i="21" s="1"/>
  <c r="P25" i="21"/>
  <c r="M25" i="21" s="1"/>
  <c r="N25" i="21" s="1"/>
  <c r="P26" i="21"/>
  <c r="M26" i="21" s="1"/>
  <c r="N26" i="21" s="1"/>
  <c r="P28" i="21"/>
  <c r="M28" i="21" s="1"/>
  <c r="N28" i="21" s="1"/>
  <c r="P29" i="21"/>
  <c r="M29" i="21" s="1"/>
  <c r="N29" i="21" s="1"/>
  <c r="P31" i="21"/>
  <c r="M31" i="21" s="1"/>
  <c r="N31" i="21" s="1"/>
  <c r="P67" i="21"/>
  <c r="M67" i="21" s="1"/>
  <c r="N67" i="21" s="1"/>
  <c r="P68" i="21"/>
  <c r="M68" i="21" s="1"/>
  <c r="N68" i="21" s="1"/>
  <c r="BA13" i="21"/>
  <c r="BB13" i="21" s="1"/>
  <c r="BA9" i="21"/>
  <c r="BB9" i="21" s="1"/>
  <c r="BA10" i="21"/>
  <c r="BB10" i="21" s="1"/>
  <c r="BA11" i="21"/>
  <c r="BB11" i="21" s="1"/>
  <c r="BA12" i="21"/>
  <c r="BB12" i="21" s="1"/>
  <c r="BA14" i="21"/>
  <c r="BB14" i="21" s="1"/>
  <c r="P61" i="21"/>
  <c r="M61" i="21" s="1"/>
  <c r="N61" i="21" s="1"/>
  <c r="P47" i="21"/>
  <c r="M47" i="21" s="1"/>
  <c r="N47" i="21" s="1"/>
  <c r="P57" i="21"/>
  <c r="M57" i="21" s="1"/>
  <c r="N57" i="21" s="1"/>
  <c r="P12" i="21"/>
  <c r="M12" i="21" s="1"/>
  <c r="N12" i="21" s="1"/>
  <c r="P58" i="21"/>
  <c r="M58" i="21" s="1"/>
  <c r="N58" i="21" s="1"/>
  <c r="P36" i="21"/>
  <c r="M36" i="21" s="1"/>
  <c r="N36" i="21" s="1"/>
  <c r="P10" i="21"/>
  <c r="M10" i="21" s="1"/>
  <c r="N10" i="21" s="1"/>
  <c r="P60" i="21"/>
  <c r="M60" i="21" s="1"/>
  <c r="N60" i="21" s="1"/>
  <c r="P45" i="21"/>
  <c r="M45" i="21" s="1"/>
  <c r="N45" i="21" s="1"/>
  <c r="P37" i="21"/>
  <c r="M37" i="21" s="1"/>
  <c r="N37" i="21" s="1"/>
  <c r="P9" i="21"/>
  <c r="M9" i="21" s="1"/>
  <c r="N9" i="21" s="1"/>
  <c r="P27" i="21"/>
  <c r="M27" i="21" s="1"/>
  <c r="N27" i="21" s="1"/>
  <c r="P21" i="21"/>
  <c r="M21" i="21" s="1"/>
  <c r="N21" i="21" s="1"/>
  <c r="P65" i="21"/>
  <c r="M65" i="21" s="1"/>
  <c r="N65" i="21" s="1"/>
  <c r="P59" i="21"/>
  <c r="M59" i="21" s="1"/>
  <c r="N59" i="21" s="1"/>
  <c r="P24" i="21"/>
  <c r="M24" i="21" s="1"/>
  <c r="N24" i="21" s="1"/>
  <c r="P13" i="21"/>
  <c r="M13" i="21" s="1"/>
  <c r="N13" i="21" s="1"/>
  <c r="P63" i="21"/>
  <c r="M63" i="21" s="1"/>
  <c r="N63" i="21" s="1"/>
  <c r="P22" i="21"/>
  <c r="M22" i="21" s="1"/>
  <c r="N22" i="21" s="1"/>
  <c r="P11" i="21"/>
  <c r="M11" i="21" s="1"/>
  <c r="N11" i="21" s="1"/>
  <c r="P23" i="21"/>
  <c r="M23" i="21" s="1"/>
  <c r="N23" i="21" s="1"/>
  <c r="P46" i="21"/>
  <c r="M46" i="21" s="1"/>
  <c r="N46" i="21" s="1"/>
  <c r="P52" i="21"/>
  <c r="M52" i="21" s="1"/>
  <c r="N52" i="21" s="1"/>
  <c r="P34" i="21"/>
  <c r="M34" i="21" s="1"/>
  <c r="N34" i="21" s="1"/>
  <c r="P33" i="21"/>
  <c r="M33" i="21" s="1"/>
  <c r="N33" i="21" s="1"/>
  <c r="P35" i="21"/>
  <c r="M35" i="21" s="1"/>
  <c r="N35" i="21" s="1"/>
  <c r="P62" i="21"/>
  <c r="M62" i="21" s="1"/>
  <c r="N62" i="21" s="1"/>
  <c r="P51" i="18"/>
  <c r="C79" i="18"/>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A3" i="22"/>
  <c r="A2" i="22"/>
  <c r="C23" i="23"/>
  <c r="D23" i="23" s="1"/>
  <c r="C48" i="23"/>
  <c r="D48" i="23" s="1"/>
  <c r="C8" i="23"/>
  <c r="D8" i="23" s="1"/>
  <c r="C51" i="23"/>
  <c r="C19" i="23"/>
  <c r="C13" i="23"/>
  <c r="C18" i="23"/>
  <c r="D18" i="23" s="1"/>
  <c r="C10" i="23"/>
  <c r="C4" i="23"/>
  <c r="D4" i="23" s="1"/>
  <c r="C31" i="23"/>
  <c r="D31" i="23" s="1"/>
  <c r="C46" i="23"/>
  <c r="C25" i="23"/>
  <c r="D25" i="23" s="1"/>
  <c r="C5" i="23"/>
  <c r="D5" i="23" s="1"/>
  <c r="C45" i="23"/>
  <c r="D45" i="23" s="1"/>
  <c r="C38" i="23"/>
  <c r="D38" i="23" s="1"/>
  <c r="C7" i="23"/>
  <c r="C39" i="23"/>
  <c r="C50" i="23"/>
  <c r="C22" i="23"/>
  <c r="D22" i="23" s="1"/>
  <c r="C36" i="23"/>
  <c r="C41" i="23"/>
  <c r="D41" i="23" s="1"/>
  <c r="C53" i="23"/>
  <c r="D53" i="23" s="1"/>
  <c r="C29" i="23"/>
  <c r="C34" i="23"/>
  <c r="D34" i="23" s="1"/>
  <c r="C40" i="23"/>
  <c r="D40" i="23" s="1"/>
  <c r="C28" i="23"/>
  <c r="D28" i="23" s="1"/>
  <c r="C16" i="23"/>
  <c r="D16" i="23" s="1"/>
  <c r="C21" i="23"/>
  <c r="C37" i="23"/>
  <c r="C20" i="23"/>
  <c r="C17" i="23"/>
  <c r="D17" i="23" s="1"/>
  <c r="C35" i="23"/>
  <c r="C24" i="23"/>
  <c r="D24" i="23" s="1"/>
  <c r="C43" i="23"/>
  <c r="D43" i="23" s="1"/>
  <c r="C15" i="23"/>
  <c r="C27" i="23"/>
  <c r="D27" i="23" s="1"/>
  <c r="C52" i="23"/>
  <c r="D52" i="23" s="1"/>
  <c r="C3" i="23"/>
  <c r="D3" i="23" s="1"/>
  <c r="C11" i="23"/>
  <c r="D11" i="23" s="1"/>
  <c r="C6" i="23"/>
  <c r="C47" i="23"/>
  <c r="C42" i="23"/>
  <c r="C14" i="23"/>
  <c r="D14" i="23" s="1"/>
  <c r="C32" i="23"/>
  <c r="C30" i="23"/>
  <c r="D30" i="23" s="1"/>
  <c r="C12" i="23"/>
  <c r="D12" i="23" s="1"/>
  <c r="C49" i="23"/>
  <c r="C33" i="23"/>
  <c r="D33" i="23" s="1"/>
  <c r="C44" i="23"/>
  <c r="D44" i="23" s="1"/>
  <c r="C26" i="23"/>
  <c r="D26" i="23" s="1"/>
  <c r="C9" i="23"/>
  <c r="D9" i="23" s="1"/>
  <c r="C66" i="21"/>
  <c r="D66" i="21" s="1"/>
  <c r="C65" i="21"/>
  <c r="D65" i="21" s="1"/>
  <c r="C64" i="21"/>
  <c r="D64" i="21" s="1"/>
  <c r="C63" i="21"/>
  <c r="D63" i="21" s="1"/>
  <c r="C62" i="21"/>
  <c r="C61" i="21"/>
  <c r="C60" i="21"/>
  <c r="C59" i="21"/>
  <c r="C58" i="21"/>
  <c r="C57" i="21"/>
  <c r="D57" i="21" s="1"/>
  <c r="C56" i="21"/>
  <c r="D56" i="21" s="1"/>
  <c r="C55" i="21"/>
  <c r="D55" i="21" s="1"/>
  <c r="C54" i="21"/>
  <c r="D54" i="21" s="1"/>
  <c r="C53" i="21"/>
  <c r="D53" i="21" s="1"/>
  <c r="C52" i="21"/>
  <c r="D52" i="21" s="1"/>
  <c r="C51" i="21"/>
  <c r="D51" i="21" s="1"/>
  <c r="C50" i="21"/>
  <c r="C49" i="21"/>
  <c r="C48" i="21"/>
  <c r="C47" i="21"/>
  <c r="C46" i="21"/>
  <c r="C45" i="21"/>
  <c r="D45" i="21" s="1"/>
  <c r="C44" i="21"/>
  <c r="D44" i="21" s="1"/>
  <c r="C43" i="21"/>
  <c r="D43" i="21" s="1"/>
  <c r="C42" i="21"/>
  <c r="D42" i="21" s="1"/>
  <c r="C41" i="21"/>
  <c r="D41" i="21" s="1"/>
  <c r="C40" i="21"/>
  <c r="D40" i="21" s="1"/>
  <c r="C39" i="21"/>
  <c r="D39" i="21" s="1"/>
  <c r="C38" i="21"/>
  <c r="C37" i="21"/>
  <c r="C36" i="21"/>
  <c r="C35" i="21"/>
  <c r="C34" i="21"/>
  <c r="C33" i="21"/>
  <c r="D33" i="21" s="1"/>
  <c r="C32" i="21"/>
  <c r="D32" i="21" s="1"/>
  <c r="C31" i="21"/>
  <c r="D31" i="21" s="1"/>
  <c r="C30" i="21"/>
  <c r="D30" i="21" s="1"/>
  <c r="C29" i="21"/>
  <c r="D29" i="21" s="1"/>
  <c r="C28" i="21"/>
  <c r="D28" i="21" s="1"/>
  <c r="C27" i="21"/>
  <c r="D27" i="21" s="1"/>
  <c r="C26" i="21"/>
  <c r="C25" i="21"/>
  <c r="C24" i="21"/>
  <c r="C23" i="21"/>
  <c r="C22" i="21"/>
  <c r="C21" i="21"/>
  <c r="D21" i="21" s="1"/>
  <c r="C20" i="21"/>
  <c r="D20" i="21" s="1"/>
  <c r="C19" i="21"/>
  <c r="D19" i="21" s="1"/>
  <c r="C18" i="21"/>
  <c r="D18" i="21" s="1"/>
  <c r="C17" i="21"/>
  <c r="D17" i="21" s="1"/>
  <c r="C16" i="21"/>
  <c r="D16" i="21" s="1"/>
  <c r="C15" i="21"/>
  <c r="D15" i="21" s="1"/>
  <c r="C14" i="21"/>
  <c r="C13" i="21"/>
  <c r="C12" i="21"/>
  <c r="C11" i="21"/>
  <c r="C10" i="21"/>
  <c r="C9" i="21"/>
  <c r="D9" i="21" s="1"/>
  <c r="C8" i="21"/>
  <c r="D8" i="21" s="1"/>
  <c r="C7" i="21"/>
  <c r="D7" i="21" s="1"/>
  <c r="P52" i="18"/>
  <c r="C78" i="18"/>
  <c r="P41" i="18"/>
  <c r="C77" i="18"/>
  <c r="P12" i="18"/>
  <c r="C76" i="18"/>
  <c r="P49" i="18"/>
  <c r="C75" i="18"/>
  <c r="D75" i="18" s="1"/>
  <c r="P34" i="18"/>
  <c r="M34" i="18" s="1"/>
  <c r="C74" i="18"/>
  <c r="P29" i="18"/>
  <c r="C73" i="18"/>
  <c r="P36" i="18"/>
  <c r="C72" i="18"/>
  <c r="P75" i="18"/>
  <c r="C71" i="18"/>
  <c r="D71" i="18" s="1"/>
  <c r="P19" i="18"/>
  <c r="C70" i="18"/>
  <c r="D70" i="18" s="1"/>
  <c r="P23" i="18"/>
  <c r="C69" i="18"/>
  <c r="P42" i="18"/>
  <c r="C68" i="18"/>
  <c r="P61" i="18"/>
  <c r="C67" i="18"/>
  <c r="D67" i="18" s="1"/>
  <c r="P39" i="18"/>
  <c r="C66" i="18"/>
  <c r="P32" i="18"/>
  <c r="C65" i="18"/>
  <c r="P78" i="18"/>
  <c r="C64" i="18"/>
  <c r="P79" i="18"/>
  <c r="C63" i="18"/>
  <c r="D63" i="18" s="1"/>
  <c r="P25" i="18"/>
  <c r="C62" i="18"/>
  <c r="P22" i="18"/>
  <c r="C61" i="18"/>
  <c r="P47" i="18"/>
  <c r="C60" i="18"/>
  <c r="P9" i="18"/>
  <c r="C59" i="18"/>
  <c r="D59" i="18" s="1"/>
  <c r="P30" i="18"/>
  <c r="C58" i="18"/>
  <c r="D58" i="18" s="1"/>
  <c r="P11" i="18"/>
  <c r="C57" i="18"/>
  <c r="P67" i="18"/>
  <c r="C56" i="18"/>
  <c r="P10" i="18"/>
  <c r="C55" i="18"/>
  <c r="P13" i="18"/>
  <c r="C54" i="18"/>
  <c r="P16" i="18"/>
  <c r="C53" i="18"/>
  <c r="P56" i="18"/>
  <c r="C52" i="18"/>
  <c r="P58" i="18"/>
  <c r="C51" i="18"/>
  <c r="D51" i="18" s="1"/>
  <c r="P65" i="18"/>
  <c r="C50" i="18"/>
  <c r="P59" i="18"/>
  <c r="C49" i="18"/>
  <c r="P17" i="18"/>
  <c r="C48" i="18"/>
  <c r="P76" i="18"/>
  <c r="C47" i="18"/>
  <c r="D47" i="18" s="1"/>
  <c r="P28" i="18"/>
  <c r="C46" i="18"/>
  <c r="D46" i="18" s="1"/>
  <c r="P63" i="18"/>
  <c r="C45" i="18"/>
  <c r="P66" i="18"/>
  <c r="C44" i="18"/>
  <c r="P26" i="18"/>
  <c r="C43" i="18"/>
  <c r="P73" i="18"/>
  <c r="C42" i="18"/>
  <c r="P44" i="18"/>
  <c r="C41" i="18"/>
  <c r="P45" i="18"/>
  <c r="C40" i="18"/>
  <c r="D40" i="18" s="1"/>
  <c r="P70" i="18"/>
  <c r="C39" i="18"/>
  <c r="D39" i="18" s="1"/>
  <c r="P55" i="18"/>
  <c r="C38" i="18"/>
  <c r="P27" i="18"/>
  <c r="C37" i="18"/>
  <c r="P21" i="18"/>
  <c r="C36" i="18"/>
  <c r="P74" i="18"/>
  <c r="C35" i="18"/>
  <c r="D35" i="18" s="1"/>
  <c r="P33" i="18"/>
  <c r="C34" i="18"/>
  <c r="P62" i="18"/>
  <c r="C33" i="18"/>
  <c r="P14" i="18"/>
  <c r="C32" i="18"/>
  <c r="D32" i="18" s="1"/>
  <c r="P31" i="18"/>
  <c r="C31" i="18"/>
  <c r="P68" i="18"/>
  <c r="C30" i="18"/>
  <c r="P46" i="18"/>
  <c r="C29" i="18"/>
  <c r="P18" i="18"/>
  <c r="C28" i="18"/>
  <c r="D28" i="18" s="1"/>
  <c r="P43" i="18"/>
  <c r="C27" i="18"/>
  <c r="D27" i="18" s="1"/>
  <c r="P40" i="18"/>
  <c r="C26" i="18"/>
  <c r="P15" i="18"/>
  <c r="C25" i="18"/>
  <c r="P69" i="18"/>
  <c r="C24" i="18"/>
  <c r="P38" i="18"/>
  <c r="C23" i="18"/>
  <c r="D23" i="18" s="1"/>
  <c r="P64" i="18"/>
  <c r="C22" i="18"/>
  <c r="P50" i="18"/>
  <c r="C21" i="18"/>
  <c r="P35" i="18"/>
  <c r="C20" i="18"/>
  <c r="D20" i="18" s="1"/>
  <c r="P24" i="18"/>
  <c r="C19" i="18"/>
  <c r="P57" i="18"/>
  <c r="C18" i="18"/>
  <c r="P20" i="18"/>
  <c r="C17" i="18"/>
  <c r="BA16" i="18"/>
  <c r="P48" i="18"/>
  <c r="C16" i="18"/>
  <c r="D16" i="18" s="1"/>
  <c r="BA15" i="18"/>
  <c r="P53" i="18"/>
  <c r="C15" i="18"/>
  <c r="BA14" i="18"/>
  <c r="P71" i="18"/>
  <c r="C14" i="18"/>
  <c r="BA13" i="18"/>
  <c r="P72" i="18"/>
  <c r="C13" i="18"/>
  <c r="BA12" i="18"/>
  <c r="P60" i="18"/>
  <c r="C12" i="18"/>
  <c r="BA11" i="18"/>
  <c r="P77" i="18"/>
  <c r="C11" i="18"/>
  <c r="BA10" i="18"/>
  <c r="P37" i="18"/>
  <c r="C10" i="18"/>
  <c r="D10" i="18" s="1"/>
  <c r="BA9" i="18"/>
  <c r="P54" i="18"/>
  <c r="C9" i="18"/>
  <c r="D9" i="18" s="1"/>
  <c r="C91" i="10"/>
  <c r="D91" i="10" s="1"/>
  <c r="B91" i="10"/>
  <c r="C90" i="10"/>
  <c r="D90" i="10" s="1"/>
  <c r="P89" i="10"/>
  <c r="M89" i="10" s="1"/>
  <c r="N89" i="10" s="1"/>
  <c r="C89" i="10"/>
  <c r="D89" i="10" s="1"/>
  <c r="P88" i="10"/>
  <c r="M88" i="10" s="1"/>
  <c r="N88" i="10" s="1"/>
  <c r="C88" i="10"/>
  <c r="D88" i="10" s="1"/>
  <c r="P87" i="10"/>
  <c r="M87" i="10" s="1"/>
  <c r="N87" i="10" s="1"/>
  <c r="C87" i="10"/>
  <c r="D87" i="10" s="1"/>
  <c r="P86" i="10"/>
  <c r="M86" i="10" s="1"/>
  <c r="N86" i="10" s="1"/>
  <c r="C86" i="10"/>
  <c r="D86" i="10" s="1"/>
  <c r="P85" i="10"/>
  <c r="M85" i="10" s="1"/>
  <c r="N85" i="10" s="1"/>
  <c r="C85" i="10"/>
  <c r="D85" i="10" s="1"/>
  <c r="P84" i="10"/>
  <c r="M84" i="10" s="1"/>
  <c r="N84" i="10" s="1"/>
  <c r="C84" i="10"/>
  <c r="D84" i="10" s="1"/>
  <c r="P83" i="10"/>
  <c r="M83" i="10"/>
  <c r="N83" i="10" s="1"/>
  <c r="C83" i="10"/>
  <c r="D83" i="10" s="1"/>
  <c r="P82" i="10"/>
  <c r="M82" i="10" s="1"/>
  <c r="N82" i="10" s="1"/>
  <c r="C82" i="10"/>
  <c r="D82" i="10" s="1"/>
  <c r="P81" i="10"/>
  <c r="M81" i="10" s="1"/>
  <c r="N81" i="10" s="1"/>
  <c r="C81" i="10"/>
  <c r="D81" i="10" s="1"/>
  <c r="P80" i="10"/>
  <c r="M80" i="10" s="1"/>
  <c r="N80" i="10" s="1"/>
  <c r="C80" i="10"/>
  <c r="D80" i="10" s="1"/>
  <c r="P79" i="10"/>
  <c r="M79" i="10" s="1"/>
  <c r="N79" i="10" s="1"/>
  <c r="C79" i="10"/>
  <c r="D79" i="10" s="1"/>
  <c r="P78" i="10"/>
  <c r="M78" i="10" s="1"/>
  <c r="N78" i="10" s="1"/>
  <c r="C78" i="10"/>
  <c r="D78" i="10" s="1"/>
  <c r="P77" i="10"/>
  <c r="M77" i="10" s="1"/>
  <c r="N77" i="10" s="1"/>
  <c r="C77" i="10"/>
  <c r="D77" i="10" s="1"/>
  <c r="P76" i="10"/>
  <c r="M76" i="10" s="1"/>
  <c r="N76" i="10" s="1"/>
  <c r="C76" i="10"/>
  <c r="D76" i="10" s="1"/>
  <c r="P75" i="10"/>
  <c r="M75" i="10" s="1"/>
  <c r="N75" i="10" s="1"/>
  <c r="C75" i="10"/>
  <c r="D75" i="10" s="1"/>
  <c r="P74" i="10"/>
  <c r="M74" i="10" s="1"/>
  <c r="N74" i="10" s="1"/>
  <c r="C74" i="10"/>
  <c r="D74" i="10" s="1"/>
  <c r="P73" i="10"/>
  <c r="M73" i="10" s="1"/>
  <c r="N73" i="10" s="1"/>
  <c r="C73" i="10"/>
  <c r="D73" i="10" s="1"/>
  <c r="P72" i="10"/>
  <c r="M72" i="10" s="1"/>
  <c r="N72" i="10" s="1"/>
  <c r="C72" i="10"/>
  <c r="D72" i="10" s="1"/>
  <c r="P71" i="10"/>
  <c r="M71" i="10" s="1"/>
  <c r="N71" i="10" s="1"/>
  <c r="C71" i="10"/>
  <c r="D71" i="10" s="1"/>
  <c r="P70" i="10"/>
  <c r="M70" i="10" s="1"/>
  <c r="N70" i="10" s="1"/>
  <c r="C70" i="10"/>
  <c r="D70" i="10" s="1"/>
  <c r="P69" i="10"/>
  <c r="M69" i="10" s="1"/>
  <c r="N69" i="10" s="1"/>
  <c r="C69" i="10"/>
  <c r="D69" i="10" s="1"/>
  <c r="P68" i="10"/>
  <c r="M68" i="10" s="1"/>
  <c r="N68" i="10" s="1"/>
  <c r="C68" i="10"/>
  <c r="D68" i="10" s="1"/>
  <c r="P67" i="10"/>
  <c r="M67" i="10" s="1"/>
  <c r="N67" i="10" s="1"/>
  <c r="C67" i="10"/>
  <c r="D67" i="10" s="1"/>
  <c r="P66" i="10"/>
  <c r="M66" i="10" s="1"/>
  <c r="N66" i="10" s="1"/>
  <c r="C66" i="10"/>
  <c r="D66" i="10" s="1"/>
  <c r="P65" i="10"/>
  <c r="M65" i="10" s="1"/>
  <c r="N65" i="10" s="1"/>
  <c r="C65" i="10"/>
  <c r="D65" i="10" s="1"/>
  <c r="P64" i="10"/>
  <c r="M64" i="10" s="1"/>
  <c r="N64" i="10" s="1"/>
  <c r="C64" i="10"/>
  <c r="D64" i="10" s="1"/>
  <c r="P63" i="10"/>
  <c r="M63" i="10" s="1"/>
  <c r="N63" i="10" s="1"/>
  <c r="C63" i="10"/>
  <c r="D63" i="10" s="1"/>
  <c r="P62" i="10"/>
  <c r="M62" i="10" s="1"/>
  <c r="N62" i="10" s="1"/>
  <c r="C62" i="10"/>
  <c r="D62" i="10" s="1"/>
  <c r="P61" i="10"/>
  <c r="M61" i="10" s="1"/>
  <c r="N61" i="10" s="1"/>
  <c r="C61" i="10"/>
  <c r="D61" i="10" s="1"/>
  <c r="P60" i="10"/>
  <c r="M60" i="10" s="1"/>
  <c r="N60" i="10" s="1"/>
  <c r="C60" i="10"/>
  <c r="D60" i="10" s="1"/>
  <c r="P59" i="10"/>
  <c r="M59" i="10" s="1"/>
  <c r="N59" i="10" s="1"/>
  <c r="C59" i="10"/>
  <c r="D59" i="10" s="1"/>
  <c r="P58" i="10"/>
  <c r="M58" i="10" s="1"/>
  <c r="N58" i="10" s="1"/>
  <c r="C58" i="10"/>
  <c r="D58" i="10" s="1"/>
  <c r="P57" i="10"/>
  <c r="M57" i="10" s="1"/>
  <c r="N57" i="10" s="1"/>
  <c r="C57" i="10"/>
  <c r="D57" i="10" s="1"/>
  <c r="P56" i="10"/>
  <c r="M56" i="10" s="1"/>
  <c r="N56" i="10" s="1"/>
  <c r="C56" i="10"/>
  <c r="D56" i="10" s="1"/>
  <c r="P55" i="10"/>
  <c r="M55" i="10" s="1"/>
  <c r="N55" i="10" s="1"/>
  <c r="C55" i="10"/>
  <c r="D55" i="10" s="1"/>
  <c r="P54" i="10"/>
  <c r="M54" i="10" s="1"/>
  <c r="N54" i="10" s="1"/>
  <c r="C54" i="10"/>
  <c r="D54" i="10" s="1"/>
  <c r="P53" i="10"/>
  <c r="M53" i="10" s="1"/>
  <c r="N53" i="10" s="1"/>
  <c r="C53" i="10"/>
  <c r="D53" i="10" s="1"/>
  <c r="P52" i="10"/>
  <c r="M52" i="10" s="1"/>
  <c r="N52" i="10" s="1"/>
  <c r="C52" i="10"/>
  <c r="D52" i="10" s="1"/>
  <c r="P51" i="10"/>
  <c r="M51" i="10"/>
  <c r="N51" i="10" s="1"/>
  <c r="C51" i="10"/>
  <c r="D51" i="10" s="1"/>
  <c r="P50" i="10"/>
  <c r="M50" i="10" s="1"/>
  <c r="N50" i="10" s="1"/>
  <c r="C50" i="10"/>
  <c r="D50" i="10" s="1"/>
  <c r="P49" i="10"/>
  <c r="M49" i="10" s="1"/>
  <c r="N49" i="10" s="1"/>
  <c r="C49" i="10"/>
  <c r="D49" i="10" s="1"/>
  <c r="P48" i="10"/>
  <c r="M48" i="10" s="1"/>
  <c r="N48" i="10" s="1"/>
  <c r="C48" i="10"/>
  <c r="D48" i="10" s="1"/>
  <c r="P47" i="10"/>
  <c r="M47" i="10" s="1"/>
  <c r="N47" i="10" s="1"/>
  <c r="C47" i="10"/>
  <c r="D47" i="10" s="1"/>
  <c r="P46" i="10"/>
  <c r="M46" i="10" s="1"/>
  <c r="N46" i="10" s="1"/>
  <c r="C46" i="10"/>
  <c r="D46" i="10" s="1"/>
  <c r="P45" i="10"/>
  <c r="M45" i="10" s="1"/>
  <c r="N45" i="10" s="1"/>
  <c r="C45" i="10"/>
  <c r="D45" i="10" s="1"/>
  <c r="P44" i="10"/>
  <c r="M44" i="10" s="1"/>
  <c r="N44" i="10" s="1"/>
  <c r="C44" i="10"/>
  <c r="D44" i="10" s="1"/>
  <c r="P43" i="10"/>
  <c r="M43" i="10" s="1"/>
  <c r="N43" i="10" s="1"/>
  <c r="C43" i="10"/>
  <c r="D43" i="10" s="1"/>
  <c r="P42" i="10"/>
  <c r="M42" i="10" s="1"/>
  <c r="N42" i="10" s="1"/>
  <c r="C42" i="10"/>
  <c r="D42" i="10" s="1"/>
  <c r="P41" i="10"/>
  <c r="M41" i="10" s="1"/>
  <c r="N41" i="10" s="1"/>
  <c r="C41" i="10"/>
  <c r="D41" i="10" s="1"/>
  <c r="P40" i="10"/>
  <c r="M40" i="10" s="1"/>
  <c r="N40" i="10" s="1"/>
  <c r="C40" i="10"/>
  <c r="D40" i="10" s="1"/>
  <c r="P39" i="10"/>
  <c r="M39" i="10" s="1"/>
  <c r="N39" i="10" s="1"/>
  <c r="C39" i="10"/>
  <c r="D39" i="10" s="1"/>
  <c r="P38" i="10"/>
  <c r="M38" i="10" s="1"/>
  <c r="N38" i="10" s="1"/>
  <c r="C38" i="10"/>
  <c r="D38" i="10" s="1"/>
  <c r="P37" i="10"/>
  <c r="M37" i="10" s="1"/>
  <c r="N37" i="10" s="1"/>
  <c r="C37" i="10"/>
  <c r="D37" i="10" s="1"/>
  <c r="P36" i="10"/>
  <c r="M36" i="10" s="1"/>
  <c r="N36" i="10" s="1"/>
  <c r="C36" i="10"/>
  <c r="D36" i="10" s="1"/>
  <c r="P35" i="10"/>
  <c r="M35" i="10" s="1"/>
  <c r="N35" i="10" s="1"/>
  <c r="C35" i="10"/>
  <c r="D35" i="10" s="1"/>
  <c r="P34" i="10"/>
  <c r="M34" i="10" s="1"/>
  <c r="N34" i="10" s="1"/>
  <c r="C34" i="10"/>
  <c r="D34" i="10" s="1"/>
  <c r="P33" i="10"/>
  <c r="M33" i="10" s="1"/>
  <c r="N33" i="10" s="1"/>
  <c r="C33" i="10"/>
  <c r="D33" i="10" s="1"/>
  <c r="P32" i="10"/>
  <c r="M32" i="10" s="1"/>
  <c r="N32" i="10" s="1"/>
  <c r="C32" i="10"/>
  <c r="D32" i="10" s="1"/>
  <c r="P31" i="10"/>
  <c r="M31" i="10" s="1"/>
  <c r="N31" i="10" s="1"/>
  <c r="C31" i="10"/>
  <c r="D31" i="10" s="1"/>
  <c r="P30" i="10"/>
  <c r="M30" i="10" s="1"/>
  <c r="N30" i="10" s="1"/>
  <c r="C30" i="10"/>
  <c r="D30" i="10" s="1"/>
  <c r="P29" i="10"/>
  <c r="M29" i="10" s="1"/>
  <c r="N29" i="10" s="1"/>
  <c r="C29" i="10"/>
  <c r="D29" i="10" s="1"/>
  <c r="P28" i="10"/>
  <c r="M28" i="10" s="1"/>
  <c r="N28" i="10" s="1"/>
  <c r="C28" i="10"/>
  <c r="D28" i="10" s="1"/>
  <c r="P27" i="10"/>
  <c r="M27" i="10" s="1"/>
  <c r="N27" i="10" s="1"/>
  <c r="C27" i="10"/>
  <c r="D27" i="10" s="1"/>
  <c r="P26" i="10"/>
  <c r="M26" i="10" s="1"/>
  <c r="N26" i="10" s="1"/>
  <c r="C26" i="10"/>
  <c r="D26" i="10" s="1"/>
  <c r="P25" i="10"/>
  <c r="M25" i="10" s="1"/>
  <c r="N25" i="10" s="1"/>
  <c r="C25" i="10"/>
  <c r="D25" i="10" s="1"/>
  <c r="P24" i="10"/>
  <c r="M24" i="10" s="1"/>
  <c r="N24" i="10" s="1"/>
  <c r="C24" i="10"/>
  <c r="D24" i="10" s="1"/>
  <c r="P23" i="10"/>
  <c r="M23" i="10" s="1"/>
  <c r="N23" i="10" s="1"/>
  <c r="C23" i="10"/>
  <c r="D23" i="10" s="1"/>
  <c r="P22" i="10"/>
  <c r="M22" i="10" s="1"/>
  <c r="N22" i="10" s="1"/>
  <c r="C22" i="10"/>
  <c r="D22" i="10" s="1"/>
  <c r="P21" i="10"/>
  <c r="M21" i="10" s="1"/>
  <c r="N21" i="10" s="1"/>
  <c r="C21" i="10"/>
  <c r="D21" i="10" s="1"/>
  <c r="P20" i="10"/>
  <c r="M20" i="10" s="1"/>
  <c r="N20" i="10" s="1"/>
  <c r="C20" i="10"/>
  <c r="D20" i="10" s="1"/>
  <c r="P19" i="10"/>
  <c r="M19" i="10" s="1"/>
  <c r="N19" i="10" s="1"/>
  <c r="C19" i="10"/>
  <c r="D19" i="10" s="1"/>
  <c r="P18" i="10"/>
  <c r="M18" i="10" s="1"/>
  <c r="N18" i="10" s="1"/>
  <c r="C18" i="10"/>
  <c r="D18" i="10" s="1"/>
  <c r="P17" i="10"/>
  <c r="M17" i="10" s="1"/>
  <c r="N17" i="10" s="1"/>
  <c r="C17" i="10"/>
  <c r="D17" i="10" s="1"/>
  <c r="BA16" i="10"/>
  <c r="BB16" i="10" s="1"/>
  <c r="P16" i="10"/>
  <c r="M16" i="10" s="1"/>
  <c r="N16" i="10" s="1"/>
  <c r="C16" i="10"/>
  <c r="D16" i="10" s="1"/>
  <c r="BA15" i="10"/>
  <c r="BB15" i="10" s="1"/>
  <c r="P15" i="10"/>
  <c r="M15" i="10" s="1"/>
  <c r="N15" i="10" s="1"/>
  <c r="C15" i="10"/>
  <c r="D15" i="10" s="1"/>
  <c r="BA14" i="10"/>
  <c r="BB14" i="10" s="1"/>
  <c r="P14" i="10"/>
  <c r="M14" i="10" s="1"/>
  <c r="N14" i="10" s="1"/>
  <c r="C14" i="10"/>
  <c r="D14" i="10" s="1"/>
  <c r="BA13" i="10"/>
  <c r="BB13" i="10" s="1"/>
  <c r="P13" i="10"/>
  <c r="M13" i="10" s="1"/>
  <c r="N13" i="10" s="1"/>
  <c r="C13" i="10"/>
  <c r="D13" i="10" s="1"/>
  <c r="BA12" i="10"/>
  <c r="BB12" i="10" s="1"/>
  <c r="P12" i="10"/>
  <c r="M12" i="10" s="1"/>
  <c r="N12" i="10" s="1"/>
  <c r="C12" i="10"/>
  <c r="D12" i="10" s="1"/>
  <c r="BA11" i="10"/>
  <c r="BB11" i="10" s="1"/>
  <c r="P11" i="10"/>
  <c r="M11" i="10"/>
  <c r="N11" i="10" s="1"/>
  <c r="C11" i="10"/>
  <c r="D11" i="10" s="1"/>
  <c r="BA10" i="10"/>
  <c r="BB10" i="10" s="1"/>
  <c r="P10" i="10"/>
  <c r="M10" i="10" s="1"/>
  <c r="N10" i="10" s="1"/>
  <c r="BA9" i="10"/>
  <c r="BB9" i="10" s="1"/>
  <c r="P9" i="10"/>
  <c r="M9" i="10" s="1"/>
  <c r="N9" i="10" s="1"/>
  <c r="P89" i="3"/>
  <c r="M89" i="3" s="1"/>
  <c r="P88" i="3"/>
  <c r="M88" i="3" s="1"/>
  <c r="P87" i="3"/>
  <c r="M87" i="3"/>
  <c r="P86" i="3"/>
  <c r="M86" i="3"/>
  <c r="P85" i="3"/>
  <c r="M85" i="3"/>
  <c r="A85" i="3"/>
  <c r="C85" i="3" s="1"/>
  <c r="D85" i="3" s="1"/>
  <c r="P84" i="3"/>
  <c r="M84" i="3" s="1"/>
  <c r="A84" i="3"/>
  <c r="C84" i="3" s="1"/>
  <c r="D84" i="3" s="1"/>
  <c r="P83" i="3"/>
  <c r="M83" i="3"/>
  <c r="A83" i="3"/>
  <c r="C83" i="3" s="1"/>
  <c r="D83" i="3" s="1"/>
  <c r="P82" i="3"/>
  <c r="M82" i="3" s="1"/>
  <c r="A82" i="3"/>
  <c r="C82" i="3" s="1"/>
  <c r="D82" i="3" s="1"/>
  <c r="P81" i="3"/>
  <c r="M81" i="3" s="1"/>
  <c r="A81" i="3"/>
  <c r="C81" i="3" s="1"/>
  <c r="D81" i="3" s="1"/>
  <c r="P80" i="3"/>
  <c r="M80" i="3" s="1"/>
  <c r="A80" i="3"/>
  <c r="C80" i="3" s="1"/>
  <c r="D80" i="3" s="1"/>
  <c r="P79" i="3"/>
  <c r="A79" i="3"/>
  <c r="C79" i="3" s="1"/>
  <c r="D79" i="3" s="1"/>
  <c r="P78" i="3"/>
  <c r="M78" i="3" s="1"/>
  <c r="A78" i="3"/>
  <c r="C78" i="3" s="1"/>
  <c r="D78" i="3" s="1"/>
  <c r="P77" i="3"/>
  <c r="M77" i="3"/>
  <c r="A77" i="3"/>
  <c r="C77" i="3" s="1"/>
  <c r="D77" i="3" s="1"/>
  <c r="P76" i="3"/>
  <c r="M76" i="3" s="1"/>
  <c r="A76" i="3"/>
  <c r="C76" i="3" s="1"/>
  <c r="D76" i="3" s="1"/>
  <c r="P75" i="3"/>
  <c r="M75" i="3" s="1"/>
  <c r="A75" i="3"/>
  <c r="C75" i="3" s="1"/>
  <c r="D75" i="3" s="1"/>
  <c r="P74" i="3"/>
  <c r="M74" i="3" s="1"/>
  <c r="A74" i="3"/>
  <c r="C74" i="3" s="1"/>
  <c r="D74" i="3" s="1"/>
  <c r="P73" i="3"/>
  <c r="M73" i="3"/>
  <c r="A73" i="3"/>
  <c r="C73" i="3" s="1"/>
  <c r="D73" i="3" s="1"/>
  <c r="P72" i="3"/>
  <c r="M72" i="3" s="1"/>
  <c r="A72" i="3"/>
  <c r="C72" i="3" s="1"/>
  <c r="D72" i="3" s="1"/>
  <c r="P71" i="3"/>
  <c r="M71" i="3"/>
  <c r="A71" i="3"/>
  <c r="C71" i="3" s="1"/>
  <c r="D71" i="3" s="1"/>
  <c r="P70" i="3"/>
  <c r="M70" i="3" s="1"/>
  <c r="A70" i="3"/>
  <c r="C70" i="3" s="1"/>
  <c r="D70" i="3" s="1"/>
  <c r="P69" i="3"/>
  <c r="M69" i="3" s="1"/>
  <c r="A69" i="3"/>
  <c r="C69" i="3" s="1"/>
  <c r="D69" i="3" s="1"/>
  <c r="P68" i="3"/>
  <c r="M68" i="3" s="1"/>
  <c r="A68" i="3"/>
  <c r="C68" i="3" s="1"/>
  <c r="D68" i="3" s="1"/>
  <c r="P67" i="3"/>
  <c r="M67" i="3"/>
  <c r="A67" i="3"/>
  <c r="C67" i="3" s="1"/>
  <c r="D67" i="3" s="1"/>
  <c r="P66" i="3"/>
  <c r="M66" i="3" s="1"/>
  <c r="A66" i="3"/>
  <c r="C66" i="3" s="1"/>
  <c r="D66" i="3" s="1"/>
  <c r="P65" i="3"/>
  <c r="M65" i="3"/>
  <c r="A65" i="3"/>
  <c r="C65" i="3" s="1"/>
  <c r="D65" i="3" s="1"/>
  <c r="P64" i="3"/>
  <c r="M64" i="3" s="1"/>
  <c r="A64" i="3"/>
  <c r="C64" i="3" s="1"/>
  <c r="D64" i="3" s="1"/>
  <c r="P63" i="3"/>
  <c r="M63" i="3" s="1"/>
  <c r="A63" i="3"/>
  <c r="C63" i="3" s="1"/>
  <c r="D63" i="3" s="1"/>
  <c r="P62" i="3"/>
  <c r="M62" i="3" s="1"/>
  <c r="A62" i="3"/>
  <c r="C62" i="3" s="1"/>
  <c r="D62" i="3" s="1"/>
  <c r="P61" i="3"/>
  <c r="M61" i="3"/>
  <c r="A61" i="3"/>
  <c r="C61" i="3" s="1"/>
  <c r="D61" i="3" s="1"/>
  <c r="P60" i="3"/>
  <c r="M60" i="3" s="1"/>
  <c r="A60" i="3"/>
  <c r="C60" i="3" s="1"/>
  <c r="D60" i="3" s="1"/>
  <c r="P59" i="3"/>
  <c r="M59" i="3"/>
  <c r="A59" i="3"/>
  <c r="C59" i="3" s="1"/>
  <c r="D59" i="3" s="1"/>
  <c r="P58" i="3"/>
  <c r="M58" i="3" s="1"/>
  <c r="A58" i="3"/>
  <c r="C58" i="3" s="1"/>
  <c r="D58" i="3" s="1"/>
  <c r="P57" i="3"/>
  <c r="M57" i="3" s="1"/>
  <c r="A57" i="3"/>
  <c r="C57" i="3" s="1"/>
  <c r="D57" i="3" s="1"/>
  <c r="P56" i="3"/>
  <c r="M56" i="3" s="1"/>
  <c r="A56" i="3"/>
  <c r="C56" i="3" s="1"/>
  <c r="D56" i="3" s="1"/>
  <c r="P55" i="3"/>
  <c r="A55" i="3"/>
  <c r="C55" i="3" s="1"/>
  <c r="D55" i="3" s="1"/>
  <c r="P54" i="3"/>
  <c r="M54" i="3" s="1"/>
  <c r="A54" i="3"/>
  <c r="C54" i="3" s="1"/>
  <c r="D54" i="3" s="1"/>
  <c r="P53" i="3"/>
  <c r="M53" i="3"/>
  <c r="A53" i="3"/>
  <c r="C53" i="3" s="1"/>
  <c r="D53" i="3" s="1"/>
  <c r="P52" i="3"/>
  <c r="M52" i="3" s="1"/>
  <c r="A52" i="3"/>
  <c r="C52" i="3" s="1"/>
  <c r="D52" i="3" s="1"/>
  <c r="P51" i="3"/>
  <c r="M51" i="3" s="1"/>
  <c r="A51" i="3"/>
  <c r="C51" i="3" s="1"/>
  <c r="D51" i="3" s="1"/>
  <c r="P50" i="3"/>
  <c r="M50" i="3" s="1"/>
  <c r="A50" i="3"/>
  <c r="C50" i="3" s="1"/>
  <c r="D50" i="3" s="1"/>
  <c r="P49" i="3"/>
  <c r="M49" i="3"/>
  <c r="A49" i="3"/>
  <c r="C49" i="3" s="1"/>
  <c r="D49" i="3" s="1"/>
  <c r="P48" i="3"/>
  <c r="M48" i="3" s="1"/>
  <c r="A48" i="3"/>
  <c r="C48" i="3" s="1"/>
  <c r="D48" i="3" s="1"/>
  <c r="P47" i="3"/>
  <c r="M47" i="3"/>
  <c r="A47" i="3"/>
  <c r="C47" i="3" s="1"/>
  <c r="D47" i="3" s="1"/>
  <c r="P46" i="3"/>
  <c r="M46" i="3" s="1"/>
  <c r="A46" i="3"/>
  <c r="C46" i="3" s="1"/>
  <c r="D46" i="3" s="1"/>
  <c r="P45" i="3"/>
  <c r="M45" i="3" s="1"/>
  <c r="A45" i="3"/>
  <c r="C45" i="3" s="1"/>
  <c r="D45" i="3" s="1"/>
  <c r="P44" i="3"/>
  <c r="M44" i="3" s="1"/>
  <c r="A44" i="3"/>
  <c r="C44" i="3" s="1"/>
  <c r="D44" i="3" s="1"/>
  <c r="P43" i="3"/>
  <c r="M43" i="3"/>
  <c r="A43" i="3"/>
  <c r="C43" i="3" s="1"/>
  <c r="D43" i="3" s="1"/>
  <c r="P42" i="3"/>
  <c r="M42" i="3" s="1"/>
  <c r="A42" i="3"/>
  <c r="C42" i="3" s="1"/>
  <c r="D42" i="3" s="1"/>
  <c r="P41" i="3"/>
  <c r="M41" i="3"/>
  <c r="A41" i="3"/>
  <c r="C41" i="3" s="1"/>
  <c r="D41" i="3" s="1"/>
  <c r="P40" i="3"/>
  <c r="M40" i="3" s="1"/>
  <c r="A40" i="3"/>
  <c r="C40" i="3" s="1"/>
  <c r="D40" i="3" s="1"/>
  <c r="P39" i="3"/>
  <c r="M39" i="3" s="1"/>
  <c r="A39" i="3"/>
  <c r="C39" i="3" s="1"/>
  <c r="D39" i="3" s="1"/>
  <c r="P38" i="3"/>
  <c r="M38" i="3" s="1"/>
  <c r="A38" i="3"/>
  <c r="C38" i="3" s="1"/>
  <c r="D38" i="3" s="1"/>
  <c r="P37" i="3"/>
  <c r="M37" i="3"/>
  <c r="A37" i="3"/>
  <c r="C37" i="3" s="1"/>
  <c r="D37" i="3" s="1"/>
  <c r="P36" i="3"/>
  <c r="M36" i="3" s="1"/>
  <c r="A36" i="3"/>
  <c r="C36" i="3" s="1"/>
  <c r="D36" i="3" s="1"/>
  <c r="P35" i="3"/>
  <c r="M35" i="3" s="1"/>
  <c r="A35" i="3"/>
  <c r="C35" i="3" s="1"/>
  <c r="D35" i="3" s="1"/>
  <c r="P34" i="3"/>
  <c r="M34" i="3" s="1"/>
  <c r="A34" i="3"/>
  <c r="C34" i="3" s="1"/>
  <c r="D34" i="3" s="1"/>
  <c r="P33" i="3"/>
  <c r="M33" i="3" s="1"/>
  <c r="A33" i="3"/>
  <c r="C33" i="3" s="1"/>
  <c r="D33" i="3" s="1"/>
  <c r="P32" i="3"/>
  <c r="M32" i="3" s="1"/>
  <c r="A32" i="3"/>
  <c r="C32" i="3" s="1"/>
  <c r="D32" i="3" s="1"/>
  <c r="P31" i="3"/>
  <c r="M31" i="3"/>
  <c r="A31" i="3"/>
  <c r="C31" i="3" s="1"/>
  <c r="D31" i="3" s="1"/>
  <c r="P30" i="3"/>
  <c r="M30" i="3" s="1"/>
  <c r="A30" i="3"/>
  <c r="C30" i="3" s="1"/>
  <c r="D30" i="3" s="1"/>
  <c r="P29" i="3"/>
  <c r="M29" i="3"/>
  <c r="A29" i="3"/>
  <c r="C29" i="3" s="1"/>
  <c r="D29" i="3" s="1"/>
  <c r="P28" i="3"/>
  <c r="M28" i="3" s="1"/>
  <c r="A28" i="3"/>
  <c r="C28" i="3" s="1"/>
  <c r="D28" i="3" s="1"/>
  <c r="P27" i="3"/>
  <c r="M27" i="3" s="1"/>
  <c r="A27" i="3"/>
  <c r="C27" i="3" s="1"/>
  <c r="D27" i="3" s="1"/>
  <c r="P26" i="3"/>
  <c r="M26" i="3" s="1"/>
  <c r="A26" i="3"/>
  <c r="C26" i="3" s="1"/>
  <c r="D26" i="3" s="1"/>
  <c r="P25" i="3"/>
  <c r="M25" i="3"/>
  <c r="A25" i="3"/>
  <c r="C25" i="3" s="1"/>
  <c r="D25" i="3" s="1"/>
  <c r="P24" i="3"/>
  <c r="M24" i="3" s="1"/>
  <c r="A24" i="3"/>
  <c r="C24" i="3" s="1"/>
  <c r="D24" i="3" s="1"/>
  <c r="P23" i="3"/>
  <c r="M23" i="3"/>
  <c r="A23" i="3"/>
  <c r="C23" i="3" s="1"/>
  <c r="D23" i="3" s="1"/>
  <c r="P22" i="3"/>
  <c r="M22" i="3" s="1"/>
  <c r="A22" i="3"/>
  <c r="C22" i="3" s="1"/>
  <c r="D22" i="3" s="1"/>
  <c r="P21" i="3"/>
  <c r="M21" i="3" s="1"/>
  <c r="A21" i="3"/>
  <c r="C21" i="3" s="1"/>
  <c r="D21" i="3" s="1"/>
  <c r="P20" i="3"/>
  <c r="M20" i="3" s="1"/>
  <c r="A20" i="3"/>
  <c r="C20" i="3" s="1"/>
  <c r="D20" i="3" s="1"/>
  <c r="P19" i="3"/>
  <c r="M19" i="3"/>
  <c r="A19" i="3"/>
  <c r="C19" i="3" s="1"/>
  <c r="D19" i="3" s="1"/>
  <c r="P18" i="3"/>
  <c r="M18" i="3" s="1"/>
  <c r="A18" i="3"/>
  <c r="C18" i="3" s="1"/>
  <c r="D18" i="3" s="1"/>
  <c r="P17" i="3"/>
  <c r="M17" i="3"/>
  <c r="A17" i="3"/>
  <c r="C17" i="3" s="1"/>
  <c r="D17" i="3" s="1"/>
  <c r="BB16" i="3"/>
  <c r="P16" i="3"/>
  <c r="M16" i="3" s="1"/>
  <c r="A16" i="3"/>
  <c r="C16" i="3" s="1"/>
  <c r="D16" i="3" s="1"/>
  <c r="BB15" i="3"/>
  <c r="P15" i="3"/>
  <c r="M15" i="3" s="1"/>
  <c r="A15" i="3"/>
  <c r="C15" i="3" s="1"/>
  <c r="D15" i="3" s="1"/>
  <c r="BB14" i="3"/>
  <c r="P14" i="3"/>
  <c r="A14" i="3"/>
  <c r="C14" i="3" s="1"/>
  <c r="D14" i="3" s="1"/>
  <c r="BB13" i="3"/>
  <c r="P13" i="3"/>
  <c r="M13" i="3" s="1"/>
  <c r="A13" i="3"/>
  <c r="C13" i="3" s="1"/>
  <c r="D13" i="3" s="1"/>
  <c r="BB12" i="3"/>
  <c r="P12" i="3"/>
  <c r="M12" i="3" s="1"/>
  <c r="A12" i="3"/>
  <c r="C12" i="3" s="1"/>
  <c r="D12" i="3" s="1"/>
  <c r="BB11" i="3"/>
  <c r="P11" i="3"/>
  <c r="M11" i="3" s="1"/>
  <c r="A11" i="3"/>
  <c r="C11" i="3" s="1"/>
  <c r="D11" i="3" s="1"/>
  <c r="BB10" i="3"/>
  <c r="P10" i="3"/>
  <c r="M10" i="3"/>
  <c r="A10" i="3"/>
  <c r="C10" i="3" s="1"/>
  <c r="D10" i="3" s="1"/>
  <c r="BB9" i="3"/>
  <c r="P9" i="3"/>
  <c r="M9" i="3"/>
  <c r="A9" i="3"/>
  <c r="C9" i="3" s="1"/>
  <c r="D9" i="3" s="1"/>
  <c r="A8" i="3"/>
  <c r="C8" i="3" s="1"/>
  <c r="D8" i="3" s="1"/>
  <c r="A7" i="3"/>
  <c r="C7" i="3" s="1"/>
  <c r="D7" i="3" s="1"/>
  <c r="A6" i="3"/>
  <c r="C6" i="3" s="1"/>
  <c r="D6" i="3" s="1"/>
  <c r="A5" i="3"/>
  <c r="C5" i="3" s="1"/>
  <c r="D5" i="3" s="1"/>
  <c r="A4" i="3"/>
  <c r="C4" i="3" s="1"/>
  <c r="D4" i="3" s="1"/>
  <c r="A3" i="3"/>
  <c r="C3" i="3" s="1"/>
  <c r="D3" i="3" s="1"/>
  <c r="P83" i="11"/>
  <c r="M83" i="11" s="1"/>
  <c r="C83" i="11"/>
  <c r="D83" i="11" s="1"/>
  <c r="P82" i="11"/>
  <c r="M82" i="11" s="1"/>
  <c r="C82" i="11"/>
  <c r="D82" i="11" s="1"/>
  <c r="P81" i="11"/>
  <c r="M81" i="11" s="1"/>
  <c r="C81" i="11"/>
  <c r="D81" i="11" s="1"/>
  <c r="P80" i="11"/>
  <c r="M80" i="11" s="1"/>
  <c r="C80" i="11"/>
  <c r="D80" i="11" s="1"/>
  <c r="P79" i="11"/>
  <c r="C79" i="11"/>
  <c r="D79" i="11" s="1"/>
  <c r="P78" i="11"/>
  <c r="M78" i="11" s="1"/>
  <c r="C78" i="11"/>
  <c r="D78" i="11" s="1"/>
  <c r="P77" i="11"/>
  <c r="M77" i="11"/>
  <c r="C77" i="11"/>
  <c r="D77" i="11" s="1"/>
  <c r="P76" i="11"/>
  <c r="M76" i="11" s="1"/>
  <c r="C76" i="11"/>
  <c r="D76" i="11" s="1"/>
  <c r="P75" i="11"/>
  <c r="M75" i="11" s="1"/>
  <c r="C75" i="11"/>
  <c r="D75" i="11" s="1"/>
  <c r="P74" i="11"/>
  <c r="M74" i="11" s="1"/>
  <c r="C74" i="11"/>
  <c r="D74" i="11" s="1"/>
  <c r="P73" i="11"/>
  <c r="M73" i="11" s="1"/>
  <c r="C73" i="11"/>
  <c r="D73" i="11" s="1"/>
  <c r="P72" i="11"/>
  <c r="M72" i="11" s="1"/>
  <c r="C72" i="11"/>
  <c r="D72" i="11" s="1"/>
  <c r="P71" i="11"/>
  <c r="M71" i="11" s="1"/>
  <c r="C71" i="11"/>
  <c r="D71" i="11" s="1"/>
  <c r="P70" i="11"/>
  <c r="M70" i="11"/>
  <c r="C70" i="11"/>
  <c r="D70" i="11" s="1"/>
  <c r="P69" i="11"/>
  <c r="M69" i="11" s="1"/>
  <c r="C69" i="11"/>
  <c r="D69" i="11" s="1"/>
  <c r="P68" i="11"/>
  <c r="C68" i="11"/>
  <c r="D68" i="11" s="1"/>
  <c r="P67" i="11"/>
  <c r="M67" i="11" s="1"/>
  <c r="C67" i="11"/>
  <c r="D67" i="11" s="1"/>
  <c r="P66" i="11"/>
  <c r="M66" i="11" s="1"/>
  <c r="C66" i="11"/>
  <c r="D66" i="11" s="1"/>
  <c r="P65" i="11"/>
  <c r="M65" i="11" s="1"/>
  <c r="C65" i="11"/>
  <c r="D65" i="11" s="1"/>
  <c r="P64" i="11"/>
  <c r="M64" i="11" s="1"/>
  <c r="C64" i="11"/>
  <c r="D64" i="11" s="1"/>
  <c r="P63" i="11"/>
  <c r="M63" i="11" s="1"/>
  <c r="C63" i="11"/>
  <c r="D63" i="11" s="1"/>
  <c r="P62" i="11"/>
  <c r="M62" i="11" s="1"/>
  <c r="C62" i="11"/>
  <c r="D62" i="11" s="1"/>
  <c r="P61" i="11"/>
  <c r="M61" i="11"/>
  <c r="C61" i="11"/>
  <c r="D61" i="11" s="1"/>
  <c r="P60" i="11"/>
  <c r="M60" i="11" s="1"/>
  <c r="C60" i="11"/>
  <c r="D60" i="11" s="1"/>
  <c r="P59" i="11"/>
  <c r="C59" i="11"/>
  <c r="D59" i="11" s="1"/>
  <c r="P58" i="11"/>
  <c r="C58" i="11"/>
  <c r="D58" i="11" s="1"/>
  <c r="P57" i="11"/>
  <c r="M57" i="11" s="1"/>
  <c r="C57" i="11"/>
  <c r="D57" i="11" s="1"/>
  <c r="P56" i="11"/>
  <c r="M56" i="11"/>
  <c r="C56" i="11"/>
  <c r="D56" i="11" s="1"/>
  <c r="P55" i="11"/>
  <c r="M55" i="11"/>
  <c r="C55" i="11"/>
  <c r="D55" i="11" s="1"/>
  <c r="P54" i="11"/>
  <c r="M54" i="11" s="1"/>
  <c r="C54" i="11"/>
  <c r="D54" i="11" s="1"/>
  <c r="P53" i="11"/>
  <c r="M53" i="11" s="1"/>
  <c r="C53" i="11"/>
  <c r="D53" i="11" s="1"/>
  <c r="P52" i="11"/>
  <c r="M52" i="11" s="1"/>
  <c r="C52" i="11"/>
  <c r="D52" i="11" s="1"/>
  <c r="P51" i="11"/>
  <c r="M51" i="11" s="1"/>
  <c r="C51" i="11"/>
  <c r="D51" i="11" s="1"/>
  <c r="P50" i="11"/>
  <c r="M50" i="11"/>
  <c r="C50" i="11"/>
  <c r="D50" i="11" s="1"/>
  <c r="P49" i="11"/>
  <c r="M49" i="11" s="1"/>
  <c r="C49" i="11"/>
  <c r="D49" i="11" s="1"/>
  <c r="P48" i="11"/>
  <c r="M48" i="11" s="1"/>
  <c r="C48" i="11"/>
  <c r="D48" i="11" s="1"/>
  <c r="P47" i="11"/>
  <c r="M47" i="11" s="1"/>
  <c r="C47" i="11"/>
  <c r="D47" i="11" s="1"/>
  <c r="P46" i="11"/>
  <c r="M46" i="11" s="1"/>
  <c r="C46" i="11"/>
  <c r="D46" i="11" s="1"/>
  <c r="P45" i="11"/>
  <c r="M45" i="11" s="1"/>
  <c r="C45" i="11"/>
  <c r="D45" i="11" s="1"/>
  <c r="P44" i="11"/>
  <c r="M44" i="11" s="1"/>
  <c r="C44" i="11"/>
  <c r="D44" i="11" s="1"/>
  <c r="P43" i="11"/>
  <c r="M43" i="11" s="1"/>
  <c r="C43" i="11"/>
  <c r="D43" i="11" s="1"/>
  <c r="P42" i="11"/>
  <c r="M42" i="11" s="1"/>
  <c r="C42" i="11"/>
  <c r="D42" i="11" s="1"/>
  <c r="P41" i="11"/>
  <c r="M41" i="11"/>
  <c r="C41" i="11"/>
  <c r="D41" i="11" s="1"/>
  <c r="P40" i="11"/>
  <c r="M40" i="11" s="1"/>
  <c r="C40" i="11"/>
  <c r="D40" i="11" s="1"/>
  <c r="P39" i="11"/>
  <c r="M39" i="11" s="1"/>
  <c r="C39" i="11"/>
  <c r="D39" i="11" s="1"/>
  <c r="P38" i="11"/>
  <c r="C38" i="11"/>
  <c r="D38" i="11" s="1"/>
  <c r="P37" i="11"/>
  <c r="M37" i="11" s="1"/>
  <c r="C37" i="11"/>
  <c r="D37" i="11" s="1"/>
  <c r="P36" i="11"/>
  <c r="M36" i="11" s="1"/>
  <c r="C36" i="11"/>
  <c r="D36" i="11" s="1"/>
  <c r="P35" i="11"/>
  <c r="M35" i="11" s="1"/>
  <c r="C35" i="11"/>
  <c r="D35" i="11" s="1"/>
  <c r="P34" i="11"/>
  <c r="M34" i="11" s="1"/>
  <c r="C34" i="11"/>
  <c r="D34" i="11" s="1"/>
  <c r="P33" i="11"/>
  <c r="M33" i="11" s="1"/>
  <c r="C33" i="11"/>
  <c r="D33" i="11" s="1"/>
  <c r="P32" i="11"/>
  <c r="M32" i="11" s="1"/>
  <c r="C32" i="11"/>
  <c r="D32" i="11" s="1"/>
  <c r="P31" i="11"/>
  <c r="M31" i="11"/>
  <c r="C31" i="11"/>
  <c r="D31" i="11" s="1"/>
  <c r="P30" i="11"/>
  <c r="M30" i="11" s="1"/>
  <c r="C30" i="11"/>
  <c r="D30" i="11" s="1"/>
  <c r="P29" i="11"/>
  <c r="M29" i="11"/>
  <c r="C29" i="11"/>
  <c r="D29" i="11" s="1"/>
  <c r="P28" i="11"/>
  <c r="M28" i="11" s="1"/>
  <c r="C28" i="11"/>
  <c r="D28" i="11" s="1"/>
  <c r="P27" i="11"/>
  <c r="M27" i="11" s="1"/>
  <c r="C27" i="11"/>
  <c r="D27" i="11" s="1"/>
  <c r="P26" i="11"/>
  <c r="M26" i="11" s="1"/>
  <c r="C26" i="11"/>
  <c r="D26" i="11" s="1"/>
  <c r="P25" i="11"/>
  <c r="M25" i="11" s="1"/>
  <c r="C25" i="11"/>
  <c r="D25" i="11" s="1"/>
  <c r="P24" i="11"/>
  <c r="M24" i="11" s="1"/>
  <c r="C24" i="11"/>
  <c r="D24" i="11" s="1"/>
  <c r="P23" i="11"/>
  <c r="C23" i="11"/>
  <c r="D23" i="11" s="1"/>
  <c r="P22" i="11"/>
  <c r="M22" i="11" s="1"/>
  <c r="C22" i="11"/>
  <c r="D22" i="11" s="1"/>
  <c r="P21" i="11"/>
  <c r="M21" i="11" s="1"/>
  <c r="C21" i="11"/>
  <c r="D21" i="11" s="1"/>
  <c r="P20" i="11"/>
  <c r="M20" i="11"/>
  <c r="C20" i="11"/>
  <c r="D20" i="11" s="1"/>
  <c r="P19" i="11"/>
  <c r="M19" i="11"/>
  <c r="C19" i="11"/>
  <c r="D19" i="11" s="1"/>
  <c r="P18" i="11"/>
  <c r="M18" i="11" s="1"/>
  <c r="C18" i="11"/>
  <c r="D18" i="11" s="1"/>
  <c r="P17" i="11"/>
  <c r="M17" i="11" s="1"/>
  <c r="C17" i="11"/>
  <c r="D17" i="11" s="1"/>
  <c r="BB16" i="11"/>
  <c r="P16" i="11"/>
  <c r="M16" i="11"/>
  <c r="C16" i="11"/>
  <c r="D16" i="11" s="1"/>
  <c r="BB15" i="11"/>
  <c r="P15" i="11"/>
  <c r="M15" i="11" s="1"/>
  <c r="C15" i="11"/>
  <c r="D15" i="11" s="1"/>
  <c r="BB14" i="11"/>
  <c r="P14" i="11"/>
  <c r="M14" i="11" s="1"/>
  <c r="C14" i="11"/>
  <c r="D14" i="11" s="1"/>
  <c r="BB13" i="11"/>
  <c r="P13" i="11"/>
  <c r="M13" i="11" s="1"/>
  <c r="C13" i="11"/>
  <c r="D13" i="11" s="1"/>
  <c r="BB12" i="11"/>
  <c r="P12" i="11"/>
  <c r="M12" i="11" s="1"/>
  <c r="C12" i="11"/>
  <c r="D12" i="11" s="1"/>
  <c r="BB11" i="11"/>
  <c r="P11" i="11"/>
  <c r="M11" i="11" s="1"/>
  <c r="C11" i="11"/>
  <c r="D11" i="11" s="1"/>
  <c r="BB10" i="11"/>
  <c r="P10" i="11"/>
  <c r="M10" i="11" s="1"/>
  <c r="C10" i="11"/>
  <c r="D10" i="11" s="1"/>
  <c r="BB9" i="11"/>
  <c r="P9" i="11"/>
  <c r="M9" i="11" s="1"/>
  <c r="C9" i="11"/>
  <c r="D9" i="11" s="1"/>
  <c r="C78" i="14"/>
  <c r="D78" i="14" s="1"/>
  <c r="C77" i="14"/>
  <c r="D77" i="14" s="1"/>
  <c r="C76" i="14"/>
  <c r="D76" i="14" s="1"/>
  <c r="C75" i="14"/>
  <c r="D75" i="14" s="1"/>
  <c r="C74" i="14"/>
  <c r="D74" i="14" s="1"/>
  <c r="C73" i="14"/>
  <c r="D73" i="14" s="1"/>
  <c r="C72" i="14"/>
  <c r="D72" i="14" s="1"/>
  <c r="C71" i="14"/>
  <c r="D71" i="14" s="1"/>
  <c r="C70" i="14"/>
  <c r="D70" i="14" s="1"/>
  <c r="C69" i="14"/>
  <c r="D69" i="14" s="1"/>
  <c r="C68" i="14"/>
  <c r="D68" i="14" s="1"/>
  <c r="C67" i="14"/>
  <c r="D67" i="14" s="1"/>
  <c r="C66" i="14"/>
  <c r="D66" i="14" s="1"/>
  <c r="C65" i="14"/>
  <c r="D65" i="14" s="1"/>
  <c r="C64" i="14"/>
  <c r="D64" i="14" s="1"/>
  <c r="C63" i="14"/>
  <c r="D63" i="14" s="1"/>
  <c r="C62" i="14"/>
  <c r="D62" i="14" s="1"/>
  <c r="C61" i="14"/>
  <c r="D61" i="14" s="1"/>
  <c r="C60" i="14"/>
  <c r="D60" i="14" s="1"/>
  <c r="C59" i="14"/>
  <c r="D59" i="14" s="1"/>
  <c r="C58" i="14"/>
  <c r="D58" i="14" s="1"/>
  <c r="C57" i="14"/>
  <c r="D57" i="14" s="1"/>
  <c r="C56" i="14"/>
  <c r="D56" i="14" s="1"/>
  <c r="C55" i="14"/>
  <c r="D55" i="14" s="1"/>
  <c r="C54" i="14"/>
  <c r="D54" i="14" s="1"/>
  <c r="C53" i="14"/>
  <c r="D53" i="14" s="1"/>
  <c r="C52" i="14"/>
  <c r="D52" i="14" s="1"/>
  <c r="C51" i="14"/>
  <c r="D51" i="14" s="1"/>
  <c r="C50" i="14"/>
  <c r="D50" i="14" s="1"/>
  <c r="C49" i="14"/>
  <c r="D49" i="14" s="1"/>
  <c r="C48" i="14"/>
  <c r="D48" i="14" s="1"/>
  <c r="C47" i="14"/>
  <c r="D47" i="14" s="1"/>
  <c r="C46" i="14"/>
  <c r="D46" i="14" s="1"/>
  <c r="C45" i="14"/>
  <c r="D45" i="14" s="1"/>
  <c r="C44" i="14"/>
  <c r="D44" i="14" s="1"/>
  <c r="C43" i="14"/>
  <c r="D43" i="14" s="1"/>
  <c r="C42" i="14"/>
  <c r="D42" i="14" s="1"/>
  <c r="C41" i="14"/>
  <c r="D41" i="14" s="1"/>
  <c r="C40" i="14"/>
  <c r="D40" i="14" s="1"/>
  <c r="C39" i="14"/>
  <c r="D39" i="14" s="1"/>
  <c r="C38" i="14"/>
  <c r="D38" i="14" s="1"/>
  <c r="C37" i="14"/>
  <c r="D37" i="14" s="1"/>
  <c r="C36" i="14"/>
  <c r="D36" i="14" s="1"/>
  <c r="C35" i="14"/>
  <c r="D35" i="14" s="1"/>
  <c r="C34" i="14"/>
  <c r="D34" i="14" s="1"/>
  <c r="C33" i="14"/>
  <c r="D33" i="14" s="1"/>
  <c r="C32" i="14"/>
  <c r="D32" i="14" s="1"/>
  <c r="C31" i="14"/>
  <c r="D31" i="14" s="1"/>
  <c r="C30" i="14"/>
  <c r="D30" i="14" s="1"/>
  <c r="C29" i="14"/>
  <c r="D29" i="14" s="1"/>
  <c r="C28" i="14"/>
  <c r="D28" i="14" s="1"/>
  <c r="C27" i="14"/>
  <c r="D27" i="14" s="1"/>
  <c r="C26" i="14"/>
  <c r="D26" i="14" s="1"/>
  <c r="C25" i="14"/>
  <c r="D25" i="14" s="1"/>
  <c r="C24" i="14"/>
  <c r="D24" i="14" s="1"/>
  <c r="C23" i="14"/>
  <c r="D23" i="14" s="1"/>
  <c r="C22" i="14"/>
  <c r="D22" i="14" s="1"/>
  <c r="C21" i="14"/>
  <c r="D21" i="14" s="1"/>
  <c r="C20" i="14"/>
  <c r="D20" i="14" s="1"/>
  <c r="C19" i="14"/>
  <c r="D19" i="14" s="1"/>
  <c r="C18" i="14"/>
  <c r="D18" i="14" s="1"/>
  <c r="C17" i="14"/>
  <c r="D17" i="14" s="1"/>
  <c r="C16" i="14"/>
  <c r="D16" i="14" s="1"/>
  <c r="C15" i="14"/>
  <c r="D15" i="14" s="1"/>
  <c r="C14" i="14"/>
  <c r="D14" i="14" s="1"/>
  <c r="C13" i="14"/>
  <c r="D13" i="14" s="1"/>
  <c r="C12" i="14"/>
  <c r="D12" i="14" s="1"/>
  <c r="C11" i="14"/>
  <c r="D11" i="14" s="1"/>
  <c r="C10" i="14"/>
  <c r="D10" i="14" s="1"/>
  <c r="C9" i="14"/>
  <c r="D9" i="14" s="1"/>
  <c r="C8" i="14"/>
  <c r="D8" i="14" s="1"/>
  <c r="C7" i="14"/>
  <c r="D7" i="14" s="1"/>
  <c r="C6" i="14"/>
  <c r="D6" i="14" s="1"/>
  <c r="C5" i="14"/>
  <c r="D5" i="14" s="1"/>
  <c r="C4" i="14"/>
  <c r="D4" i="14" s="1"/>
  <c r="C3" i="14"/>
  <c r="D3" i="14" s="1"/>
  <c r="C69" i="15"/>
  <c r="D69" i="15" s="1"/>
  <c r="C68" i="15"/>
  <c r="D68" i="15" s="1"/>
  <c r="C67" i="15"/>
  <c r="D67" i="15" s="1"/>
  <c r="C66" i="15"/>
  <c r="D66" i="15" s="1"/>
  <c r="C65" i="15"/>
  <c r="D65" i="15" s="1"/>
  <c r="C64" i="15"/>
  <c r="D64" i="15" s="1"/>
  <c r="C63" i="15"/>
  <c r="D63" i="15" s="1"/>
  <c r="C62" i="15"/>
  <c r="D62" i="15" s="1"/>
  <c r="C61" i="15"/>
  <c r="D61" i="15" s="1"/>
  <c r="C60" i="15"/>
  <c r="D60" i="15" s="1"/>
  <c r="C59" i="15"/>
  <c r="D59" i="15" s="1"/>
  <c r="C58" i="15"/>
  <c r="D58" i="15" s="1"/>
  <c r="C57" i="15"/>
  <c r="D57" i="15" s="1"/>
  <c r="C56" i="15"/>
  <c r="D56" i="15" s="1"/>
  <c r="C55" i="15"/>
  <c r="D55" i="15" s="1"/>
  <c r="C54" i="15"/>
  <c r="D54" i="15" s="1"/>
  <c r="C53" i="15"/>
  <c r="D53" i="15" s="1"/>
  <c r="C52" i="15"/>
  <c r="D52" i="15" s="1"/>
  <c r="C51" i="15"/>
  <c r="D51" i="15" s="1"/>
  <c r="C50" i="15"/>
  <c r="D50" i="15" s="1"/>
  <c r="C49" i="15"/>
  <c r="D49" i="15" s="1"/>
  <c r="C48" i="15"/>
  <c r="D48" i="15" s="1"/>
  <c r="C47" i="15"/>
  <c r="D47" i="15" s="1"/>
  <c r="C46" i="15"/>
  <c r="D46" i="15" s="1"/>
  <c r="C45" i="15"/>
  <c r="D45" i="15" s="1"/>
  <c r="C44" i="15"/>
  <c r="D44" i="15" s="1"/>
  <c r="C43" i="15"/>
  <c r="D43" i="15" s="1"/>
  <c r="C42" i="15"/>
  <c r="D42" i="15" s="1"/>
  <c r="C41" i="15"/>
  <c r="D41" i="15" s="1"/>
  <c r="C40" i="15"/>
  <c r="D40" i="15" s="1"/>
  <c r="C39" i="15"/>
  <c r="D39" i="15" s="1"/>
  <c r="C38" i="15"/>
  <c r="D38" i="15" s="1"/>
  <c r="C37" i="15"/>
  <c r="D37" i="15" s="1"/>
  <c r="C36" i="15"/>
  <c r="D36" i="15" s="1"/>
  <c r="C35" i="15"/>
  <c r="D35" i="15" s="1"/>
  <c r="C34" i="15"/>
  <c r="D34" i="15" s="1"/>
  <c r="C33" i="15"/>
  <c r="D33" i="15" s="1"/>
  <c r="C32" i="15"/>
  <c r="D32" i="15" s="1"/>
  <c r="C31" i="15"/>
  <c r="D31" i="15" s="1"/>
  <c r="C30" i="15"/>
  <c r="D30" i="15" s="1"/>
  <c r="C29" i="15"/>
  <c r="D29" i="15" s="1"/>
  <c r="C28" i="15"/>
  <c r="D28" i="15" s="1"/>
  <c r="C27" i="15"/>
  <c r="D27" i="15" s="1"/>
  <c r="C26" i="15"/>
  <c r="D26" i="15" s="1"/>
  <c r="C25" i="15"/>
  <c r="D25" i="15" s="1"/>
  <c r="C24" i="15"/>
  <c r="D24" i="15" s="1"/>
  <c r="C23" i="15"/>
  <c r="D23" i="15" s="1"/>
  <c r="C22" i="15"/>
  <c r="D22" i="15" s="1"/>
  <c r="C21" i="15"/>
  <c r="D21" i="15" s="1"/>
  <c r="C20" i="15"/>
  <c r="D20" i="15" s="1"/>
  <c r="C19" i="15"/>
  <c r="D19" i="15" s="1"/>
  <c r="C18" i="15"/>
  <c r="D18" i="15" s="1"/>
  <c r="C17" i="15"/>
  <c r="D17" i="15" s="1"/>
  <c r="C16" i="15"/>
  <c r="D16" i="15" s="1"/>
  <c r="C15" i="15"/>
  <c r="D15" i="15" s="1"/>
  <c r="C14" i="15"/>
  <c r="D14" i="15" s="1"/>
  <c r="C13" i="15"/>
  <c r="D13" i="15" s="1"/>
  <c r="C12" i="15"/>
  <c r="D12" i="15" s="1"/>
  <c r="C11" i="15"/>
  <c r="D11" i="15" s="1"/>
  <c r="C10" i="15"/>
  <c r="D10" i="15" s="1"/>
  <c r="C9" i="15"/>
  <c r="D9" i="15" s="1"/>
  <c r="C8" i="15"/>
  <c r="D8" i="15" s="1"/>
  <c r="C7" i="15"/>
  <c r="D7" i="15" s="1"/>
  <c r="C6" i="15"/>
  <c r="D6" i="15" s="1"/>
  <c r="C5" i="15"/>
  <c r="D5" i="15" s="1"/>
  <c r="C4" i="15"/>
  <c r="D4" i="15" s="1"/>
  <c r="C3" i="15"/>
  <c r="D3" i="15" s="1"/>
  <c r="C74" i="13"/>
  <c r="D74" i="13" s="1"/>
  <c r="C73" i="13"/>
  <c r="D73" i="13" s="1"/>
  <c r="C72" i="13"/>
  <c r="D72" i="13" s="1"/>
  <c r="C71" i="13"/>
  <c r="D71" i="13" s="1"/>
  <c r="C70" i="13"/>
  <c r="D70" i="13" s="1"/>
  <c r="C69" i="13"/>
  <c r="D69" i="13" s="1"/>
  <c r="C68" i="13"/>
  <c r="D68" i="13" s="1"/>
  <c r="C67" i="13"/>
  <c r="D67" i="13" s="1"/>
  <c r="C66" i="13"/>
  <c r="D66" i="13" s="1"/>
  <c r="C65" i="13"/>
  <c r="D65" i="13" s="1"/>
  <c r="C64" i="13"/>
  <c r="D64" i="13" s="1"/>
  <c r="C63" i="13"/>
  <c r="D63" i="13" s="1"/>
  <c r="C62" i="13"/>
  <c r="D62" i="13" s="1"/>
  <c r="C61" i="13"/>
  <c r="D61" i="13" s="1"/>
  <c r="C60" i="13"/>
  <c r="D60" i="13" s="1"/>
  <c r="C59" i="13"/>
  <c r="D59" i="13" s="1"/>
  <c r="C58" i="13"/>
  <c r="D58" i="13" s="1"/>
  <c r="C57" i="13"/>
  <c r="D57" i="13" s="1"/>
  <c r="C56" i="13"/>
  <c r="D56" i="13" s="1"/>
  <c r="C55" i="13"/>
  <c r="D55" i="13" s="1"/>
  <c r="C54" i="13"/>
  <c r="D54" i="13" s="1"/>
  <c r="C53" i="13"/>
  <c r="D53" i="13" s="1"/>
  <c r="C52" i="13"/>
  <c r="D52" i="13" s="1"/>
  <c r="C51" i="13"/>
  <c r="D51" i="13" s="1"/>
  <c r="C50" i="13"/>
  <c r="D50" i="13" s="1"/>
  <c r="C49" i="13"/>
  <c r="D49" i="13" s="1"/>
  <c r="C48" i="13"/>
  <c r="D48" i="13" s="1"/>
  <c r="C47" i="13"/>
  <c r="D47" i="13" s="1"/>
  <c r="C46" i="13"/>
  <c r="D46" i="13" s="1"/>
  <c r="C45" i="13"/>
  <c r="D45" i="13" s="1"/>
  <c r="C44" i="13"/>
  <c r="D44" i="13" s="1"/>
  <c r="C43" i="13"/>
  <c r="D43" i="13" s="1"/>
  <c r="C42" i="13"/>
  <c r="D42" i="13" s="1"/>
  <c r="C41" i="13"/>
  <c r="D41" i="13" s="1"/>
  <c r="C40" i="13"/>
  <c r="D40" i="13" s="1"/>
  <c r="C39" i="13"/>
  <c r="D39" i="13" s="1"/>
  <c r="C38" i="13"/>
  <c r="D38" i="13" s="1"/>
  <c r="C37" i="13"/>
  <c r="D37" i="13" s="1"/>
  <c r="C36" i="13"/>
  <c r="D36" i="13" s="1"/>
  <c r="C35" i="13"/>
  <c r="D35" i="13" s="1"/>
  <c r="C34" i="13"/>
  <c r="D34" i="13" s="1"/>
  <c r="C33" i="13"/>
  <c r="D33" i="13" s="1"/>
  <c r="C32" i="13"/>
  <c r="D32" i="13" s="1"/>
  <c r="C31" i="13"/>
  <c r="D31" i="13" s="1"/>
  <c r="C30" i="13"/>
  <c r="D30" i="13" s="1"/>
  <c r="C29" i="13"/>
  <c r="D29" i="13" s="1"/>
  <c r="C28" i="13"/>
  <c r="D28" i="13" s="1"/>
  <c r="C27" i="13"/>
  <c r="D27" i="13" s="1"/>
  <c r="C26" i="13"/>
  <c r="D26" i="13" s="1"/>
  <c r="C25" i="13"/>
  <c r="D25" i="13" s="1"/>
  <c r="C24" i="13"/>
  <c r="D24" i="13" s="1"/>
  <c r="C23" i="13"/>
  <c r="D23" i="13" s="1"/>
  <c r="C22" i="13"/>
  <c r="D22" i="13" s="1"/>
  <c r="C21" i="13"/>
  <c r="D21" i="13" s="1"/>
  <c r="C20" i="13"/>
  <c r="D20" i="13" s="1"/>
  <c r="C19" i="13"/>
  <c r="D19" i="13" s="1"/>
  <c r="C18" i="13"/>
  <c r="D18" i="13" s="1"/>
  <c r="C17" i="13"/>
  <c r="D17" i="13" s="1"/>
  <c r="C16" i="13"/>
  <c r="D16" i="13" s="1"/>
  <c r="C15" i="13"/>
  <c r="D15" i="13" s="1"/>
  <c r="C14" i="13"/>
  <c r="D14" i="13" s="1"/>
  <c r="C13" i="13"/>
  <c r="D13" i="13" s="1"/>
  <c r="C12" i="13"/>
  <c r="D12" i="13" s="1"/>
  <c r="C11" i="13"/>
  <c r="D11" i="13" s="1"/>
  <c r="C10" i="13"/>
  <c r="D10" i="13" s="1"/>
  <c r="C9" i="13"/>
  <c r="D9" i="13" s="1"/>
  <c r="C8" i="13"/>
  <c r="D8" i="13" s="1"/>
  <c r="C7" i="13"/>
  <c r="D7" i="13" s="1"/>
  <c r="C6" i="13"/>
  <c r="D6" i="13" s="1"/>
  <c r="C5" i="13"/>
  <c r="D5" i="13" s="1"/>
  <c r="C4" i="13"/>
  <c r="D4" i="13" s="1"/>
  <c r="C3" i="13"/>
  <c r="D3" i="13" s="1"/>
  <c r="C72" i="12"/>
  <c r="D72" i="12" s="1"/>
  <c r="C71" i="12"/>
  <c r="D71" i="12" s="1"/>
  <c r="C70" i="12"/>
  <c r="D70" i="12" s="1"/>
  <c r="C69" i="12"/>
  <c r="D69" i="12" s="1"/>
  <c r="C68" i="12"/>
  <c r="D68" i="12" s="1"/>
  <c r="C67" i="12"/>
  <c r="D67" i="12" s="1"/>
  <c r="C66" i="12"/>
  <c r="D66" i="12" s="1"/>
  <c r="C65" i="12"/>
  <c r="D65" i="12" s="1"/>
  <c r="C64" i="12"/>
  <c r="D64" i="12" s="1"/>
  <c r="C63" i="12"/>
  <c r="D63" i="12" s="1"/>
  <c r="C62" i="12"/>
  <c r="D62" i="12" s="1"/>
  <c r="C61" i="12"/>
  <c r="D61" i="12" s="1"/>
  <c r="C60" i="12"/>
  <c r="D60" i="12" s="1"/>
  <c r="C59" i="12"/>
  <c r="D59" i="12" s="1"/>
  <c r="C58" i="12"/>
  <c r="D58" i="12" s="1"/>
  <c r="C57" i="12"/>
  <c r="D57" i="12" s="1"/>
  <c r="C56" i="12"/>
  <c r="D56" i="12" s="1"/>
  <c r="C55" i="12"/>
  <c r="D55" i="12" s="1"/>
  <c r="C54" i="12"/>
  <c r="D54" i="12" s="1"/>
  <c r="C53" i="12"/>
  <c r="D53" i="12" s="1"/>
  <c r="C52" i="12"/>
  <c r="D52" i="12" s="1"/>
  <c r="C51" i="12"/>
  <c r="D51" i="12" s="1"/>
  <c r="C50" i="12"/>
  <c r="D50" i="12" s="1"/>
  <c r="C49" i="12"/>
  <c r="D49" i="12" s="1"/>
  <c r="C48" i="12"/>
  <c r="D48" i="12" s="1"/>
  <c r="C47" i="12"/>
  <c r="D47" i="12" s="1"/>
  <c r="C46" i="12"/>
  <c r="D46" i="12" s="1"/>
  <c r="C45" i="12"/>
  <c r="D45" i="12" s="1"/>
  <c r="C44" i="12"/>
  <c r="D44" i="12" s="1"/>
  <c r="C43" i="12"/>
  <c r="D43" i="12" s="1"/>
  <c r="C42" i="12"/>
  <c r="D42" i="12" s="1"/>
  <c r="C41" i="12"/>
  <c r="D41" i="12" s="1"/>
  <c r="C40" i="12"/>
  <c r="D40" i="12" s="1"/>
  <c r="C39" i="12"/>
  <c r="D39" i="12" s="1"/>
  <c r="C38" i="12"/>
  <c r="D38" i="12" s="1"/>
  <c r="C37" i="12"/>
  <c r="D37" i="12" s="1"/>
  <c r="C36" i="12"/>
  <c r="D36" i="12" s="1"/>
  <c r="C35" i="12"/>
  <c r="D35" i="12" s="1"/>
  <c r="C34" i="12"/>
  <c r="D34" i="12" s="1"/>
  <c r="C33" i="12"/>
  <c r="D33" i="12" s="1"/>
  <c r="C32" i="12"/>
  <c r="D32" i="12" s="1"/>
  <c r="C31" i="12"/>
  <c r="D31" i="12" s="1"/>
  <c r="C30" i="12"/>
  <c r="D30" i="12" s="1"/>
  <c r="C29" i="12"/>
  <c r="D29" i="12" s="1"/>
  <c r="C28" i="12"/>
  <c r="D28" i="12" s="1"/>
  <c r="C27" i="12"/>
  <c r="D27" i="12" s="1"/>
  <c r="C26" i="12"/>
  <c r="D26" i="12" s="1"/>
  <c r="C25" i="12"/>
  <c r="D25" i="12" s="1"/>
  <c r="C24" i="12"/>
  <c r="D24" i="12" s="1"/>
  <c r="C23" i="12"/>
  <c r="D23" i="12" s="1"/>
  <c r="C22" i="12"/>
  <c r="D22" i="12" s="1"/>
  <c r="C21" i="12"/>
  <c r="D21" i="12" s="1"/>
  <c r="C20" i="12"/>
  <c r="D20" i="12" s="1"/>
  <c r="C19" i="12"/>
  <c r="D19" i="12" s="1"/>
  <c r="C18" i="12"/>
  <c r="D18" i="12" s="1"/>
  <c r="C17" i="12"/>
  <c r="D17" i="12" s="1"/>
  <c r="C16" i="12"/>
  <c r="D16" i="12" s="1"/>
  <c r="C15" i="12"/>
  <c r="D15" i="12" s="1"/>
  <c r="C14" i="12"/>
  <c r="D14" i="12" s="1"/>
  <c r="C13" i="12"/>
  <c r="D13" i="12" s="1"/>
  <c r="C12" i="12"/>
  <c r="D12" i="12" s="1"/>
  <c r="C11" i="12"/>
  <c r="D11" i="12" s="1"/>
  <c r="C10" i="12"/>
  <c r="D10" i="12" s="1"/>
  <c r="C9" i="12"/>
  <c r="D9" i="12" s="1"/>
  <c r="C8" i="12"/>
  <c r="D8" i="12" s="1"/>
  <c r="C7" i="12"/>
  <c r="D7" i="12" s="1"/>
  <c r="C6" i="12"/>
  <c r="D6" i="12" s="1"/>
  <c r="C5" i="12"/>
  <c r="D5" i="12" s="1"/>
  <c r="C4" i="12"/>
  <c r="D4" i="12" s="1"/>
  <c r="C3" i="12"/>
  <c r="D3" i="12" s="1"/>
  <c r="C73" i="16"/>
  <c r="D73" i="16" s="1"/>
  <c r="C72" i="16"/>
  <c r="D72" i="16" s="1"/>
  <c r="C71" i="16"/>
  <c r="D71" i="16" s="1"/>
  <c r="C70" i="16"/>
  <c r="D70" i="16" s="1"/>
  <c r="C69" i="16"/>
  <c r="D69" i="16" s="1"/>
  <c r="C68" i="16"/>
  <c r="D68" i="16" s="1"/>
  <c r="C67" i="16"/>
  <c r="D67" i="16" s="1"/>
  <c r="C66" i="16"/>
  <c r="D66" i="16" s="1"/>
  <c r="C65" i="16"/>
  <c r="D65" i="16" s="1"/>
  <c r="C54" i="16"/>
  <c r="D54" i="16" s="1"/>
  <c r="C53" i="16"/>
  <c r="D53" i="16" s="1"/>
  <c r="C52" i="16"/>
  <c r="D52" i="16" s="1"/>
  <c r="C51" i="16"/>
  <c r="D51" i="16" s="1"/>
  <c r="C50" i="16"/>
  <c r="D50" i="16" s="1"/>
  <c r="C49" i="16"/>
  <c r="D49" i="16" s="1"/>
  <c r="C48" i="16"/>
  <c r="D48" i="16" s="1"/>
  <c r="C47" i="16"/>
  <c r="D47" i="16" s="1"/>
  <c r="C46" i="16"/>
  <c r="D46" i="16" s="1"/>
  <c r="C45" i="16"/>
  <c r="D45" i="16" s="1"/>
  <c r="C44" i="16"/>
  <c r="D44" i="16" s="1"/>
  <c r="C43" i="16"/>
  <c r="D43" i="16" s="1"/>
  <c r="C42" i="16"/>
  <c r="D42" i="16" s="1"/>
  <c r="C41" i="16"/>
  <c r="D41" i="16" s="1"/>
  <c r="C40" i="16"/>
  <c r="D40" i="16" s="1"/>
  <c r="C39" i="16"/>
  <c r="D39" i="16" s="1"/>
  <c r="C38" i="16"/>
  <c r="D38" i="16" s="1"/>
  <c r="C37" i="16"/>
  <c r="D37" i="16" s="1"/>
  <c r="C36" i="16"/>
  <c r="D36" i="16" s="1"/>
  <c r="C35" i="16"/>
  <c r="D35" i="16" s="1"/>
  <c r="C34" i="16"/>
  <c r="D34" i="16" s="1"/>
  <c r="C33" i="16"/>
  <c r="D33" i="16" s="1"/>
  <c r="C32" i="16"/>
  <c r="D32" i="16" s="1"/>
  <c r="C31" i="16"/>
  <c r="D31" i="16" s="1"/>
  <c r="C30" i="16"/>
  <c r="D30" i="16" s="1"/>
  <c r="C29" i="16"/>
  <c r="D29" i="16" s="1"/>
  <c r="C28" i="16"/>
  <c r="D28" i="16" s="1"/>
  <c r="C27" i="16"/>
  <c r="D27" i="16" s="1"/>
  <c r="C26" i="16"/>
  <c r="D26" i="16" s="1"/>
  <c r="C25" i="16"/>
  <c r="D25" i="16" s="1"/>
  <c r="C24" i="16"/>
  <c r="D24" i="16" s="1"/>
  <c r="C23" i="16"/>
  <c r="D23" i="16" s="1"/>
  <c r="C22" i="16"/>
  <c r="D22" i="16" s="1"/>
  <c r="C21" i="16"/>
  <c r="D21" i="16" s="1"/>
  <c r="C20" i="16"/>
  <c r="D20" i="16" s="1"/>
  <c r="C19" i="16"/>
  <c r="D19" i="16" s="1"/>
  <c r="C18" i="16"/>
  <c r="D18" i="16" s="1"/>
  <c r="C17" i="16"/>
  <c r="D17" i="16" s="1"/>
  <c r="C16" i="16"/>
  <c r="D16" i="16" s="1"/>
  <c r="C15" i="16"/>
  <c r="D15" i="16" s="1"/>
  <c r="C14" i="16"/>
  <c r="D14" i="16" s="1"/>
  <c r="C13" i="16"/>
  <c r="D13" i="16" s="1"/>
  <c r="C12" i="16"/>
  <c r="D12" i="16" s="1"/>
  <c r="C11" i="16"/>
  <c r="D11" i="16" s="1"/>
  <c r="C10" i="16"/>
  <c r="D10" i="16" s="1"/>
  <c r="C9" i="16"/>
  <c r="D9" i="16" s="1"/>
  <c r="C8" i="16"/>
  <c r="D8" i="16" s="1"/>
  <c r="C7" i="16"/>
  <c r="D7" i="16" s="1"/>
  <c r="C6" i="16"/>
  <c r="D6" i="16" s="1"/>
  <c r="C5" i="16"/>
  <c r="D5" i="16" s="1"/>
  <c r="C4" i="16"/>
  <c r="D4" i="16" s="1"/>
  <c r="C3" i="16"/>
  <c r="D3" i="16" s="1"/>
  <c r="AY10" i="37" l="1"/>
  <c r="BA10" i="37" s="1"/>
  <c r="AY13" i="37"/>
  <c r="BA13" i="37" s="1"/>
  <c r="AY9" i="37"/>
  <c r="BA9" i="37" s="1"/>
  <c r="CE9" i="35"/>
  <c r="AY9" i="35" s="1"/>
  <c r="CE11" i="35"/>
  <c r="AY11" i="35" s="1"/>
  <c r="CE12" i="35"/>
  <c r="AY12" i="35" s="1"/>
  <c r="AY11" i="37"/>
  <c r="BA11" i="37" s="1"/>
  <c r="AY12" i="37"/>
  <c r="BA12" i="37" s="1"/>
  <c r="CE10" i="35"/>
  <c r="AY10" i="35" s="1"/>
  <c r="CE13" i="35"/>
  <c r="AY13" i="35" s="1"/>
  <c r="C41" i="17" a="1"/>
  <c r="D41" i="17" s="1"/>
  <c r="C42" i="17" a="1"/>
  <c r="D42" i="17" s="1"/>
  <c r="C43" i="17" a="1"/>
  <c r="D43" i="17" s="1"/>
  <c r="C10" i="37" a="1"/>
  <c r="C12" i="37" a="1"/>
  <c r="C14" i="37" a="1"/>
  <c r="C16" i="37" a="1"/>
  <c r="C18" i="37" a="1"/>
  <c r="C20" i="37" a="1"/>
  <c r="C22" i="37" a="1"/>
  <c r="C24" i="37" a="1"/>
  <c r="C26" i="37" a="1"/>
  <c r="C28" i="37" a="1"/>
  <c r="C30" i="37" a="1"/>
  <c r="C32" i="37" a="1"/>
  <c r="C34" i="37" a="1"/>
  <c r="C36" i="37" a="1"/>
  <c r="C38" i="37" a="1"/>
  <c r="C40" i="37" a="1"/>
  <c r="C42" i="37" a="1"/>
  <c r="C44" i="37" a="1"/>
  <c r="C46" i="37" a="1"/>
  <c r="C48" i="37" a="1"/>
  <c r="C50" i="37" a="1"/>
  <c r="C52" i="37" a="1"/>
  <c r="C54" i="37" a="1"/>
  <c r="C55" i="37" a="1"/>
  <c r="C58" i="36" a="1"/>
  <c r="D58" i="36" s="1"/>
  <c r="C35" i="17" a="1"/>
  <c r="D35" i="17" s="1"/>
  <c r="C40" i="17" a="1"/>
  <c r="D40" i="17" s="1"/>
  <c r="C9" i="37" a="1"/>
  <c r="C11" i="37" a="1"/>
  <c r="C13" i="37" a="1"/>
  <c r="C15" i="37" a="1"/>
  <c r="C17" i="37" a="1"/>
  <c r="C19" i="37" a="1"/>
  <c r="C21" i="37" a="1"/>
  <c r="C23" i="37" a="1"/>
  <c r="C25" i="37" a="1"/>
  <c r="C27" i="37" a="1"/>
  <c r="C29" i="37" a="1"/>
  <c r="C31" i="37" a="1"/>
  <c r="C33" i="37" a="1"/>
  <c r="C35" i="37" a="1"/>
  <c r="C37" i="37" a="1"/>
  <c r="C39" i="37" a="1"/>
  <c r="C41" i="37" a="1"/>
  <c r="C43" i="37" a="1"/>
  <c r="C45" i="37" a="1"/>
  <c r="C47" i="37" a="1"/>
  <c r="C49" i="37" a="1"/>
  <c r="C51" i="37" a="1"/>
  <c r="C53" i="37" a="1"/>
  <c r="C8" i="37" a="1"/>
  <c r="C56" i="37" a="1"/>
  <c r="C39" i="17" a="1"/>
  <c r="N26" i="32"/>
  <c r="N25" i="32"/>
  <c r="N23" i="32"/>
  <c r="N12" i="32"/>
  <c r="N21" i="32"/>
  <c r="N15" i="32"/>
  <c r="N13" i="32"/>
  <c r="N10" i="32"/>
  <c r="N57" i="32"/>
  <c r="N45" i="32"/>
  <c r="N36" i="32"/>
  <c r="N27" i="32"/>
  <c r="N24" i="32"/>
  <c r="N22" i="32"/>
  <c r="N16" i="32"/>
  <c r="N14" i="32"/>
  <c r="N11" i="32"/>
  <c r="N9" i="32"/>
  <c r="N59" i="32"/>
  <c r="N60" i="32"/>
  <c r="N61" i="32"/>
  <c r="N69" i="32"/>
  <c r="N70" i="32"/>
  <c r="N71" i="32"/>
  <c r="N72" i="32"/>
  <c r="N73" i="32"/>
  <c r="N51" i="32"/>
  <c r="N50" i="32"/>
  <c r="N49" i="32"/>
  <c r="N48" i="32"/>
  <c r="N47" i="32"/>
  <c r="N39" i="32"/>
  <c r="N38" i="32"/>
  <c r="N37" i="32"/>
  <c r="N35" i="32"/>
  <c r="N33" i="32"/>
  <c r="N9" i="31"/>
  <c r="N77" i="31"/>
  <c r="N38" i="31"/>
  <c r="N14" i="31"/>
  <c r="N33" i="31"/>
  <c r="N25" i="31"/>
  <c r="N22" i="31"/>
  <c r="N18" i="31"/>
  <c r="N13" i="31"/>
  <c r="N10" i="31"/>
  <c r="N60" i="31"/>
  <c r="N61" i="31"/>
  <c r="N64" i="31"/>
  <c r="N65" i="31"/>
  <c r="N66" i="31"/>
  <c r="N69" i="31"/>
  <c r="N72" i="31"/>
  <c r="N73" i="31"/>
  <c r="N76" i="31"/>
  <c r="N78" i="31"/>
  <c r="N81" i="31"/>
  <c r="N58" i="31"/>
  <c r="N57" i="31"/>
  <c r="N53" i="31"/>
  <c r="N52" i="31"/>
  <c r="N51" i="31"/>
  <c r="N50" i="31"/>
  <c r="N49" i="31"/>
  <c r="N48" i="31"/>
  <c r="N47" i="31"/>
  <c r="N46" i="31"/>
  <c r="N45" i="31"/>
  <c r="N41" i="31"/>
  <c r="N40" i="31"/>
  <c r="N39" i="31"/>
  <c r="N37" i="31"/>
  <c r="N36" i="31"/>
  <c r="N35" i="31"/>
  <c r="N34" i="31"/>
  <c r="N29" i="31"/>
  <c r="N28" i="31"/>
  <c r="N24" i="31"/>
  <c r="N23" i="31"/>
  <c r="N21" i="31"/>
  <c r="N19" i="31"/>
  <c r="N17" i="31"/>
  <c r="N16" i="31"/>
  <c r="N12" i="31"/>
  <c r="N11" i="31"/>
  <c r="N75" i="15"/>
  <c r="N74" i="15"/>
  <c r="N73" i="15"/>
  <c r="N72" i="15"/>
  <c r="N71" i="15"/>
  <c r="N70" i="15"/>
  <c r="N69" i="15"/>
  <c r="N68" i="15"/>
  <c r="N67" i="15"/>
  <c r="N66" i="15"/>
  <c r="N61" i="15"/>
  <c r="N60" i="15"/>
  <c r="N59" i="15"/>
  <c r="N58" i="15"/>
  <c r="N57" i="15"/>
  <c r="N56" i="15"/>
  <c r="N55" i="15"/>
  <c r="N54" i="15"/>
  <c r="N53" i="15"/>
  <c r="N52" i="15"/>
  <c r="N51" i="15"/>
  <c r="N50" i="15"/>
  <c r="N49" i="15"/>
  <c r="N48" i="15"/>
  <c r="N47" i="15"/>
  <c r="N46" i="15"/>
  <c r="N45" i="15"/>
  <c r="N44" i="15"/>
  <c r="N43" i="15"/>
  <c r="N42" i="15"/>
  <c r="N37" i="15"/>
  <c r="N36" i="15"/>
  <c r="N35" i="15"/>
  <c r="N34" i="15"/>
  <c r="N33" i="15"/>
  <c r="N32" i="15"/>
  <c r="N31" i="15"/>
  <c r="N30" i="15"/>
  <c r="N29" i="15"/>
  <c r="N28" i="15"/>
  <c r="N27" i="15"/>
  <c r="N26" i="15"/>
  <c r="N25" i="15"/>
  <c r="N24" i="15"/>
  <c r="N23" i="15"/>
  <c r="N22" i="15"/>
  <c r="N21" i="15"/>
  <c r="N20" i="15"/>
  <c r="N19" i="15"/>
  <c r="N13" i="15"/>
  <c r="N12" i="15"/>
  <c r="N11" i="15"/>
  <c r="N10" i="15"/>
  <c r="N9" i="15"/>
  <c r="N14" i="15"/>
  <c r="N15" i="15"/>
  <c r="N17" i="15"/>
  <c r="N18" i="15"/>
  <c r="N38" i="15"/>
  <c r="N39" i="15"/>
  <c r="N40" i="15"/>
  <c r="N62" i="15"/>
  <c r="N64" i="15"/>
  <c r="N16" i="15"/>
  <c r="N41" i="15"/>
  <c r="M18" i="14"/>
  <c r="M40" i="14"/>
  <c r="M44" i="14"/>
  <c r="M45" i="14"/>
  <c r="N45" i="14" s="1"/>
  <c r="M55" i="14"/>
  <c r="N55" i="14" s="1"/>
  <c r="M79" i="11"/>
  <c r="M59" i="11"/>
  <c r="M38" i="11"/>
  <c r="M23" i="11"/>
  <c r="M68" i="11"/>
  <c r="M58" i="11"/>
  <c r="N58" i="11" s="1"/>
  <c r="M79" i="3"/>
  <c r="M14" i="3"/>
  <c r="M55" i="3"/>
  <c r="N55" i="3" s="1"/>
  <c r="M57" i="18"/>
  <c r="N57" i="18" s="1"/>
  <c r="G6" i="38"/>
  <c r="C38" i="17" a="1"/>
  <c r="G44" i="38" s="1"/>
  <c r="G12" i="38"/>
  <c r="C30" i="17" a="1"/>
  <c r="C37" i="17" a="1"/>
  <c r="G24" i="38" s="1"/>
  <c r="C57" i="36" a="1"/>
  <c r="C53" i="36" a="1"/>
  <c r="D53" i="36" s="1"/>
  <c r="C54" i="36" a="1"/>
  <c r="D54" i="36" s="1"/>
  <c r="C56" i="36" a="1"/>
  <c r="Q58" i="36" s="1"/>
  <c r="M58" i="36" s="1"/>
  <c r="C55" i="36" a="1"/>
  <c r="D55" i="36" s="1"/>
  <c r="C52" i="36" a="1"/>
  <c r="D52" i="36" s="1"/>
  <c r="C29" i="17" a="1"/>
  <c r="G16" i="38"/>
  <c r="C33" i="17" a="1"/>
  <c r="AU13" i="36"/>
  <c r="AW13" i="36" s="1"/>
  <c r="AU12" i="36"/>
  <c r="AW12" i="36" s="1"/>
  <c r="AU11" i="36"/>
  <c r="AW11" i="36" s="1"/>
  <c r="AU10" i="36"/>
  <c r="AW10" i="36" s="1"/>
  <c r="AU9" i="36"/>
  <c r="AW9" i="36" s="1"/>
  <c r="AX13" i="35"/>
  <c r="AX12" i="35"/>
  <c r="AX11" i="35"/>
  <c r="AX10" i="35"/>
  <c r="AX9" i="35"/>
  <c r="C34" i="17" a="1"/>
  <c r="C47" i="36" a="1"/>
  <c r="C46" i="36" a="1"/>
  <c r="C45" i="36" a="1"/>
  <c r="C44" i="36" a="1"/>
  <c r="C43" i="36" a="1"/>
  <c r="C42" i="36" a="1"/>
  <c r="C41" i="36" a="1"/>
  <c r="C40" i="36" a="1"/>
  <c r="C39" i="36" a="1"/>
  <c r="C38" i="36" a="1"/>
  <c r="C37" i="36" a="1"/>
  <c r="C36" i="36" a="1"/>
  <c r="C35" i="36" a="1"/>
  <c r="C34" i="36" a="1"/>
  <c r="C33" i="36" a="1"/>
  <c r="C32" i="36" a="1"/>
  <c r="C31" i="36" a="1"/>
  <c r="C30" i="36" a="1"/>
  <c r="C29" i="36" a="1"/>
  <c r="C28" i="36" a="1"/>
  <c r="C27" i="36" a="1"/>
  <c r="C26" i="36" a="1"/>
  <c r="C25" i="36" a="1"/>
  <c r="C24" i="36" a="1"/>
  <c r="C23" i="36" a="1"/>
  <c r="C22" i="36" a="1"/>
  <c r="C21" i="36" a="1"/>
  <c r="C20" i="36" a="1"/>
  <c r="C19" i="36" a="1"/>
  <c r="C18" i="36" a="1"/>
  <c r="C17" i="36" a="1"/>
  <c r="C16" i="36" a="1"/>
  <c r="C15" i="36" a="1"/>
  <c r="C14" i="36" a="1"/>
  <c r="C13" i="36" a="1"/>
  <c r="C12" i="36" a="1"/>
  <c r="C11" i="36" a="1"/>
  <c r="C10" i="36" a="1"/>
  <c r="C9" i="36" a="1"/>
  <c r="C8" i="36" a="1"/>
  <c r="C7" i="36" a="1"/>
  <c r="C6" i="36" a="1"/>
  <c r="C5" i="36" a="1"/>
  <c r="C4" i="36" a="1"/>
  <c r="C3" i="36" a="1"/>
  <c r="C59" i="35" a="1"/>
  <c r="C58" i="35" a="1"/>
  <c r="C57" i="35" a="1"/>
  <c r="C56" i="35" a="1"/>
  <c r="C55" i="35" a="1"/>
  <c r="C54" i="35" a="1"/>
  <c r="C53" i="35" a="1"/>
  <c r="C52" i="35" a="1"/>
  <c r="C51" i="35" a="1"/>
  <c r="C50" i="35" a="1"/>
  <c r="C49" i="35" a="1"/>
  <c r="C48" i="35" a="1"/>
  <c r="C47" i="35" a="1"/>
  <c r="C46" i="35" a="1"/>
  <c r="C45" i="35" a="1"/>
  <c r="C44" i="35" a="1"/>
  <c r="C43" i="35" a="1"/>
  <c r="C42" i="35" a="1"/>
  <c r="C41" i="35" a="1"/>
  <c r="C40" i="35" a="1"/>
  <c r="C39" i="35" a="1"/>
  <c r="C38" i="35" a="1"/>
  <c r="C9" i="35" a="1"/>
  <c r="C8" i="35" a="1"/>
  <c r="C6" i="35" a="1"/>
  <c r="C5" i="35" a="1"/>
  <c r="C3" i="35" a="1"/>
  <c r="C36" i="17" a="1"/>
  <c r="G28" i="38" s="1"/>
  <c r="C50" i="36" a="1"/>
  <c r="C49" i="36" a="1"/>
  <c r="C37" i="35" a="1"/>
  <c r="C36" i="35" a="1"/>
  <c r="C35" i="35" a="1"/>
  <c r="C34" i="35" a="1"/>
  <c r="C33" i="35" a="1"/>
  <c r="C32" i="35" a="1"/>
  <c r="C31" i="35" a="1"/>
  <c r="C30" i="35" a="1"/>
  <c r="C29" i="35" a="1"/>
  <c r="C28" i="35" a="1"/>
  <c r="C27" i="35" a="1"/>
  <c r="C26" i="35" a="1"/>
  <c r="C25" i="35" a="1"/>
  <c r="C24" i="35" a="1"/>
  <c r="C23" i="35" a="1"/>
  <c r="C22" i="35" a="1"/>
  <c r="C21" i="35" a="1"/>
  <c r="C20" i="35" a="1"/>
  <c r="C19" i="35" a="1"/>
  <c r="C18" i="35" a="1"/>
  <c r="C17" i="35" a="1"/>
  <c r="C16" i="35" a="1"/>
  <c r="C15" i="35" a="1"/>
  <c r="C14" i="35" a="1"/>
  <c r="C13" i="35" a="1"/>
  <c r="C12" i="35" a="1"/>
  <c r="C11" i="35" a="1"/>
  <c r="C10" i="35" a="1"/>
  <c r="Q58" i="35" s="1"/>
  <c r="M58" i="35" s="1"/>
  <c r="C7" i="35" a="1"/>
  <c r="C4" i="35" a="1"/>
  <c r="C51" i="36" a="1"/>
  <c r="C48" i="36" a="1"/>
  <c r="C23" i="17" a="1"/>
  <c r="G10" i="38" s="1"/>
  <c r="C18" i="17" a="1"/>
  <c r="G42" i="38" s="1"/>
  <c r="C10" i="17" a="1"/>
  <c r="C5" i="17" a="1"/>
  <c r="C4" i="17" a="1"/>
  <c r="C17" i="17" a="1"/>
  <c r="G29" i="38" s="1"/>
  <c r="C14" i="17" a="1"/>
  <c r="C3" i="17" a="1"/>
  <c r="C8" i="17" a="1"/>
  <c r="C21" i="17" a="1"/>
  <c r="G33" i="38" s="1"/>
  <c r="C9" i="17" a="1"/>
  <c r="C25" i="17" a="1"/>
  <c r="C31" i="17" a="1"/>
  <c r="C22" i="17" a="1"/>
  <c r="C20" i="17" a="1"/>
  <c r="G48" i="38" s="1"/>
  <c r="C11" i="17" a="1"/>
  <c r="G9" i="38" s="1"/>
  <c r="G25" i="38"/>
  <c r="C28" i="17" a="1"/>
  <c r="C27" i="17" a="1"/>
  <c r="G18" i="38"/>
  <c r="C19" i="17" a="1"/>
  <c r="G26" i="38" s="1"/>
  <c r="C24" i="17" a="1"/>
  <c r="C15" i="17" a="1"/>
  <c r="C7" i="17" a="1"/>
  <c r="C12" i="17" a="1"/>
  <c r="C13" i="17" a="1"/>
  <c r="C16" i="17" a="1"/>
  <c r="AQ11" i="17"/>
  <c r="AQ12" i="17"/>
  <c r="AQ13" i="17"/>
  <c r="AQ9" i="17"/>
  <c r="AQ10" i="17"/>
  <c r="C26" i="17" a="1"/>
  <c r="C6" i="17" a="1"/>
  <c r="C32" i="17" a="1"/>
  <c r="E24" i="17"/>
  <c r="E23" i="17"/>
  <c r="C8" i="33"/>
  <c r="D8" i="33" s="1"/>
  <c r="C52" i="33"/>
  <c r="D52" i="33" s="1"/>
  <c r="C32" i="33"/>
  <c r="Q33" i="33" s="1"/>
  <c r="M33" i="33" s="1"/>
  <c r="C46" i="33"/>
  <c r="D46" i="33" s="1"/>
  <c r="C40" i="33"/>
  <c r="Q41" i="33" s="1"/>
  <c r="M41" i="33" s="1"/>
  <c r="C21" i="33"/>
  <c r="D21" i="33" s="1"/>
  <c r="C39" i="33"/>
  <c r="Q40" i="33" s="1"/>
  <c r="M40" i="33" s="1"/>
  <c r="C23" i="33"/>
  <c r="D23" i="33" s="1"/>
  <c r="C45" i="33"/>
  <c r="D45" i="33" s="1"/>
  <c r="C22" i="33"/>
  <c r="D22" i="33" s="1"/>
  <c r="C57" i="33"/>
  <c r="D57" i="33" s="1"/>
  <c r="C53" i="33"/>
  <c r="D53" i="33" s="1"/>
  <c r="C27" i="33"/>
  <c r="D27" i="33" s="1"/>
  <c r="C24" i="33"/>
  <c r="D24" i="33" s="1"/>
  <c r="C14" i="33"/>
  <c r="D14" i="33" s="1"/>
  <c r="C10" i="33"/>
  <c r="D10" i="33" s="1"/>
  <c r="C36" i="33"/>
  <c r="Q37" i="33" s="1"/>
  <c r="M37" i="33" s="1"/>
  <c r="C50" i="33"/>
  <c r="Q51" i="33" s="1"/>
  <c r="M51" i="33" s="1"/>
  <c r="C17" i="33"/>
  <c r="D17" i="33" s="1"/>
  <c r="C9" i="33"/>
  <c r="D9" i="33" s="1"/>
  <c r="C48" i="33"/>
  <c r="D48" i="33" s="1"/>
  <c r="C16" i="33"/>
  <c r="Q17" i="33" s="1"/>
  <c r="M17" i="33" s="1"/>
  <c r="C29" i="33"/>
  <c r="Q30" i="33" s="1"/>
  <c r="M30" i="33" s="1"/>
  <c r="C38" i="33"/>
  <c r="D38" i="33" s="1"/>
  <c r="C31" i="33"/>
  <c r="D31" i="33" s="1"/>
  <c r="C43" i="33"/>
  <c r="D43" i="33" s="1"/>
  <c r="AR9" i="17"/>
  <c r="CI12" i="33"/>
  <c r="BA12" i="33" s="1"/>
  <c r="CI10" i="33"/>
  <c r="BA10" i="33" s="1"/>
  <c r="AZ12" i="33"/>
  <c r="AZ10" i="33"/>
  <c r="CI11" i="33"/>
  <c r="BA11" i="33" s="1"/>
  <c r="CI9" i="33"/>
  <c r="BA9" i="33" s="1"/>
  <c r="CI13" i="33"/>
  <c r="BA13" i="33" s="1"/>
  <c r="AR13" i="17"/>
  <c r="AZ11" i="33"/>
  <c r="AZ9" i="33"/>
  <c r="AR12" i="17"/>
  <c r="AZ13" i="33"/>
  <c r="AR11" i="17"/>
  <c r="AR10" i="17"/>
  <c r="C15" i="33"/>
  <c r="D15" i="33" s="1"/>
  <c r="C25" i="33"/>
  <c r="D25" i="33" s="1"/>
  <c r="C58" i="33"/>
  <c r="D58" i="33" s="1"/>
  <c r="C56" i="33"/>
  <c r="D56" i="33" s="1"/>
  <c r="C33" i="33"/>
  <c r="D33" i="33" s="1"/>
  <c r="C26" i="33"/>
  <c r="D26" i="33" s="1"/>
  <c r="C44" i="33"/>
  <c r="D44" i="33" s="1"/>
  <c r="C18" i="33"/>
  <c r="D18" i="33" s="1"/>
  <c r="C49" i="33"/>
  <c r="D49" i="33" s="1"/>
  <c r="C41" i="33"/>
  <c r="D41" i="33" s="1"/>
  <c r="C35" i="33"/>
  <c r="D35" i="33" s="1"/>
  <c r="C42" i="33"/>
  <c r="D42" i="33" s="1"/>
  <c r="C11" i="33"/>
  <c r="D11" i="33" s="1"/>
  <c r="C28" i="33"/>
  <c r="D28" i="33" s="1"/>
  <c r="C19" i="33"/>
  <c r="D19" i="33" s="1"/>
  <c r="C20" i="33"/>
  <c r="D20" i="33" s="1"/>
  <c r="C54" i="33"/>
  <c r="D54" i="33" s="1"/>
  <c r="C30" i="33"/>
  <c r="D30" i="33" s="1"/>
  <c r="C47" i="33"/>
  <c r="D47" i="33" s="1"/>
  <c r="C12" i="33"/>
  <c r="D12" i="33" s="1"/>
  <c r="C13" i="33"/>
  <c r="D13" i="33" s="1"/>
  <c r="Q52" i="33"/>
  <c r="M52" i="33" s="1"/>
  <c r="Q35" i="33"/>
  <c r="M35" i="33" s="1"/>
  <c r="Q38" i="33"/>
  <c r="M38" i="33" s="1"/>
  <c r="Q56" i="33"/>
  <c r="M56" i="33" s="1"/>
  <c r="AZ15" i="18"/>
  <c r="BB15" i="18" s="1"/>
  <c r="E6" i="17"/>
  <c r="AZ11" i="18"/>
  <c r="BB11" i="18" s="1"/>
  <c r="CI13" i="18"/>
  <c r="AZ16" i="18"/>
  <c r="BB16" i="18" s="1"/>
  <c r="CI11" i="18"/>
  <c r="AZ14" i="18"/>
  <c r="BB14" i="18" s="1"/>
  <c r="CI10" i="18"/>
  <c r="CI15" i="18"/>
  <c r="CI16" i="18"/>
  <c r="CI9" i="18"/>
  <c r="AZ12" i="18"/>
  <c r="BB12" i="18" s="1"/>
  <c r="CI14" i="18"/>
  <c r="AZ13" i="18"/>
  <c r="BB13" i="18" s="1"/>
  <c r="AZ9" i="18"/>
  <c r="BB9" i="18" s="1"/>
  <c r="AZ10" i="18"/>
  <c r="BB10" i="18" s="1"/>
  <c r="CI12" i="18"/>
  <c r="M24" i="18"/>
  <c r="N24" i="18" s="1"/>
  <c r="M15" i="18"/>
  <c r="N15" i="18" s="1"/>
  <c r="M31" i="18"/>
  <c r="N31" i="18" s="1"/>
  <c r="M39" i="18"/>
  <c r="N39" i="18" s="1"/>
  <c r="M77" i="18"/>
  <c r="N77" i="18" s="1"/>
  <c r="M26" i="18"/>
  <c r="N26" i="18" s="1"/>
  <c r="M59" i="18"/>
  <c r="N59" i="18" s="1"/>
  <c r="M10" i="18"/>
  <c r="N10" i="18" s="1"/>
  <c r="M22" i="18"/>
  <c r="N22" i="18" s="1"/>
  <c r="M48" i="18"/>
  <c r="N48" i="18" s="1"/>
  <c r="M40" i="18"/>
  <c r="N40" i="18" s="1"/>
  <c r="M29" i="18"/>
  <c r="N29" i="18" s="1"/>
  <c r="M54" i="18"/>
  <c r="N54" i="18" s="1"/>
  <c r="M66" i="18"/>
  <c r="N66" i="18" s="1"/>
  <c r="M67" i="18"/>
  <c r="N67" i="18" s="1"/>
  <c r="M25" i="18"/>
  <c r="N25" i="18" s="1"/>
  <c r="M51" i="18"/>
  <c r="N51" i="18" s="1"/>
  <c r="M71" i="18"/>
  <c r="N71" i="18" s="1"/>
  <c r="M50" i="18"/>
  <c r="N50" i="18" s="1"/>
  <c r="M43" i="18"/>
  <c r="N43" i="18" s="1"/>
  <c r="M62" i="18"/>
  <c r="N62" i="18" s="1"/>
  <c r="M70" i="18"/>
  <c r="N70" i="18" s="1"/>
  <c r="M63" i="18"/>
  <c r="N63" i="18" s="1"/>
  <c r="M58" i="18"/>
  <c r="N58" i="18" s="1"/>
  <c r="M11" i="18"/>
  <c r="N11" i="18" s="1"/>
  <c r="M60" i="18"/>
  <c r="N60" i="18" s="1"/>
  <c r="M64" i="18"/>
  <c r="N64" i="18" s="1"/>
  <c r="M18" i="18"/>
  <c r="N18" i="18" s="1"/>
  <c r="M33" i="18"/>
  <c r="N33" i="18" s="1"/>
  <c r="M45" i="18"/>
  <c r="N45" i="18" s="1"/>
  <c r="M79" i="18"/>
  <c r="N79" i="18" s="1"/>
  <c r="M23" i="18"/>
  <c r="N23" i="18" s="1"/>
  <c r="M20" i="18"/>
  <c r="N20" i="18" s="1"/>
  <c r="M28" i="18"/>
  <c r="N28" i="18" s="1"/>
  <c r="M56" i="18"/>
  <c r="N56" i="18" s="1"/>
  <c r="M30" i="18"/>
  <c r="N30" i="18" s="1"/>
  <c r="M49" i="18"/>
  <c r="N49" i="18" s="1"/>
  <c r="M37" i="18"/>
  <c r="N37" i="18" s="1"/>
  <c r="M38" i="18"/>
  <c r="N38" i="18" s="1"/>
  <c r="M46" i="18"/>
  <c r="N46" i="18" s="1"/>
  <c r="M74" i="18"/>
  <c r="N74" i="18" s="1"/>
  <c r="M44" i="18"/>
  <c r="N44" i="18" s="1"/>
  <c r="M78" i="18"/>
  <c r="N78" i="18" s="1"/>
  <c r="M19" i="18"/>
  <c r="N19" i="18" s="1"/>
  <c r="M27" i="18"/>
  <c r="N27" i="18" s="1"/>
  <c r="M36" i="18"/>
  <c r="N36" i="18" s="1"/>
  <c r="M52" i="18"/>
  <c r="N52" i="18" s="1"/>
  <c r="M35" i="18"/>
  <c r="N35" i="18" s="1"/>
  <c r="M14" i="18"/>
  <c r="N14" i="18" s="1"/>
  <c r="M55" i="18"/>
  <c r="N55" i="18" s="1"/>
  <c r="M61" i="18"/>
  <c r="N61" i="18" s="1"/>
  <c r="M65" i="18"/>
  <c r="N65" i="18" s="1"/>
  <c r="M42" i="18"/>
  <c r="N42" i="18" s="1"/>
  <c r="M53" i="18"/>
  <c r="N53" i="18" s="1"/>
  <c r="M76" i="18"/>
  <c r="N76" i="18" s="1"/>
  <c r="M16" i="18"/>
  <c r="N16" i="18" s="1"/>
  <c r="M9" i="18"/>
  <c r="M12" i="18"/>
  <c r="N12" i="18" s="1"/>
  <c r="M69" i="18"/>
  <c r="N69" i="18" s="1"/>
  <c r="M68" i="18"/>
  <c r="N68" i="18" s="1"/>
  <c r="M21" i="18"/>
  <c r="N21" i="18" s="1"/>
  <c r="M32" i="18"/>
  <c r="N32" i="18" s="1"/>
  <c r="M75" i="18"/>
  <c r="N75" i="18" s="1"/>
  <c r="M72" i="18"/>
  <c r="N72" i="18" s="1"/>
  <c r="M73" i="18"/>
  <c r="N73" i="18" s="1"/>
  <c r="M17" i="18"/>
  <c r="N17" i="18" s="1"/>
  <c r="M13" i="18"/>
  <c r="N13" i="18" s="1"/>
  <c r="M47" i="18"/>
  <c r="N47" i="18" s="1"/>
  <c r="M41" i="18"/>
  <c r="N41" i="18" s="1"/>
  <c r="E3" i="17"/>
  <c r="E5" i="17"/>
  <c r="E4" i="17"/>
  <c r="E22" i="17"/>
  <c r="O45" i="17" s="1"/>
  <c r="D49" i="23"/>
  <c r="D15" i="23"/>
  <c r="D29" i="23"/>
  <c r="D46" i="23"/>
  <c r="D32" i="23"/>
  <c r="D35" i="23"/>
  <c r="D36" i="23"/>
  <c r="D10" i="23"/>
  <c r="D47" i="23"/>
  <c r="D37" i="23"/>
  <c r="D39" i="23"/>
  <c r="D19" i="23"/>
  <c r="D6" i="23"/>
  <c r="D21" i="23"/>
  <c r="D7" i="23"/>
  <c r="D51" i="23"/>
  <c r="D42" i="23"/>
  <c r="D20" i="23"/>
  <c r="D50" i="23"/>
  <c r="D13" i="23"/>
  <c r="D10" i="21"/>
  <c r="D22" i="21"/>
  <c r="D34" i="21"/>
  <c r="D46" i="21"/>
  <c r="D58" i="21"/>
  <c r="D11" i="21"/>
  <c r="D35" i="21"/>
  <c r="D47" i="21"/>
  <c r="D59" i="21"/>
  <c r="D12" i="21"/>
  <c r="D24" i="21"/>
  <c r="D36" i="21"/>
  <c r="D48" i="21"/>
  <c r="D60" i="21"/>
  <c r="D13" i="21"/>
  <c r="D25" i="21"/>
  <c r="D37" i="21"/>
  <c r="D49" i="21"/>
  <c r="D61" i="21"/>
  <c r="D23" i="21"/>
  <c r="D50" i="21"/>
  <c r="D14" i="21"/>
  <c r="D26" i="21"/>
  <c r="D38" i="21"/>
  <c r="D62" i="21"/>
  <c r="D44" i="18"/>
  <c r="D56" i="18"/>
  <c r="D68" i="18"/>
  <c r="D17" i="18"/>
  <c r="D52" i="18"/>
  <c r="D29" i="18"/>
  <c r="D41" i="18"/>
  <c r="D64" i="18"/>
  <c r="D15" i="18"/>
  <c r="D18" i="18"/>
  <c r="D53" i="18"/>
  <c r="D76" i="18"/>
  <c r="D30" i="18"/>
  <c r="D65" i="18"/>
  <c r="D42" i="18"/>
  <c r="D54" i="18"/>
  <c r="D77" i="18"/>
  <c r="D66" i="18"/>
  <c r="D24" i="18"/>
  <c r="D36" i="18"/>
  <c r="D13" i="18"/>
  <c r="D48" i="18"/>
  <c r="D60" i="18"/>
  <c r="D19" i="18"/>
  <c r="D25" i="18"/>
  <c r="D31" i="18"/>
  <c r="D37" i="18"/>
  <c r="D72" i="18"/>
  <c r="D11" i="18"/>
  <c r="D43" i="18"/>
  <c r="D49" i="18"/>
  <c r="D55" i="18"/>
  <c r="D61" i="18"/>
  <c r="D78" i="18"/>
  <c r="D14" i="18"/>
  <c r="D21" i="18"/>
  <c r="D33" i="18"/>
  <c r="D74" i="18"/>
  <c r="D79" i="18"/>
  <c r="D45" i="18"/>
  <c r="D57" i="18"/>
  <c r="D26" i="18"/>
  <c r="D38" i="18"/>
  <c r="D73" i="18"/>
  <c r="D50" i="18"/>
  <c r="D62" i="18"/>
  <c r="D12" i="18"/>
  <c r="D22" i="18"/>
  <c r="D34" i="18"/>
  <c r="D69" i="18"/>
  <c r="Q51" i="17" l="1"/>
  <c r="M51" i="17" s="1"/>
  <c r="G14" i="38"/>
  <c r="Q52" i="17"/>
  <c r="M52" i="17" s="1"/>
  <c r="G20" i="38"/>
  <c r="Q48" i="17"/>
  <c r="M48" i="17" s="1"/>
  <c r="G50" i="38"/>
  <c r="Q49" i="17"/>
  <c r="M49" i="17" s="1"/>
  <c r="G17" i="38"/>
  <c r="Q50" i="17"/>
  <c r="M50" i="17" s="1"/>
  <c r="G8" i="38"/>
  <c r="G34" i="38"/>
  <c r="Q47" i="17"/>
  <c r="M47" i="17" s="1"/>
  <c r="G37" i="38"/>
  <c r="Q45" i="17"/>
  <c r="M45" i="17" s="1"/>
  <c r="Q46" i="17"/>
  <c r="M46" i="17" s="1"/>
  <c r="G22" i="38"/>
  <c r="Q44" i="17"/>
  <c r="M44" i="17" s="1"/>
  <c r="Q42" i="17"/>
  <c r="M42" i="17" s="1"/>
  <c r="G38" i="38"/>
  <c r="Q43" i="17"/>
  <c r="M43" i="17" s="1"/>
  <c r="G40" i="38"/>
  <c r="Q41" i="17"/>
  <c r="M41" i="17" s="1"/>
  <c r="AZ9" i="35"/>
  <c r="AZ12" i="35"/>
  <c r="AZ10" i="35"/>
  <c r="AZ13" i="35"/>
  <c r="AZ11" i="35"/>
  <c r="Q21" i="37"/>
  <c r="M21" i="37" s="1"/>
  <c r="D10" i="37"/>
  <c r="D12" i="37"/>
  <c r="Q44" i="37"/>
  <c r="M44" i="37" s="1"/>
  <c r="Q30" i="37"/>
  <c r="M30" i="37" s="1"/>
  <c r="D14" i="37"/>
  <c r="Q42" i="37"/>
  <c r="M42" i="37" s="1"/>
  <c r="D16" i="37"/>
  <c r="Q52" i="37"/>
  <c r="M52" i="37" s="1"/>
  <c r="D18" i="37"/>
  <c r="D20" i="37"/>
  <c r="Q40" i="37"/>
  <c r="M40" i="37" s="1"/>
  <c r="D22" i="37"/>
  <c r="Q15" i="37"/>
  <c r="M15" i="37" s="1"/>
  <c r="D24" i="37"/>
  <c r="Q48" i="37"/>
  <c r="M48" i="37" s="1"/>
  <c r="Q33" i="37"/>
  <c r="M33" i="37" s="1"/>
  <c r="D26" i="37"/>
  <c r="Q35" i="37"/>
  <c r="M35" i="37" s="1"/>
  <c r="D28" i="37"/>
  <c r="Q10" i="37"/>
  <c r="M10" i="37" s="1"/>
  <c r="D30" i="37"/>
  <c r="D32" i="37"/>
  <c r="Q13" i="37"/>
  <c r="M13" i="37" s="1"/>
  <c r="D34" i="37"/>
  <c r="Q16" i="37"/>
  <c r="M16" i="37" s="1"/>
  <c r="Q57" i="37"/>
  <c r="M57" i="37" s="1"/>
  <c r="D36" i="37"/>
  <c r="D38" i="37"/>
  <c r="Q49" i="37"/>
  <c r="M49" i="37" s="1"/>
  <c r="Q54" i="37"/>
  <c r="M54" i="37" s="1"/>
  <c r="D40" i="37"/>
  <c r="Q19" i="37"/>
  <c r="M19" i="37" s="1"/>
  <c r="D42" i="37"/>
  <c r="Q31" i="37"/>
  <c r="M31" i="37" s="1"/>
  <c r="D44" i="37"/>
  <c r="Q51" i="37"/>
  <c r="M51" i="37" s="1"/>
  <c r="D46" i="37"/>
  <c r="Q9" i="37"/>
  <c r="M9" i="37" s="1"/>
  <c r="D48" i="37"/>
  <c r="Q12" i="37"/>
  <c r="M12" i="37" s="1"/>
  <c r="D50" i="37"/>
  <c r="Q26" i="37"/>
  <c r="M26" i="37" s="1"/>
  <c r="D52" i="37"/>
  <c r="Q45" i="37"/>
  <c r="M45" i="37" s="1"/>
  <c r="D54" i="37"/>
  <c r="Q27" i="37"/>
  <c r="M27" i="37" s="1"/>
  <c r="D55" i="37"/>
  <c r="Q23" i="37"/>
  <c r="M23" i="37" s="1"/>
  <c r="D9" i="37"/>
  <c r="D11" i="37"/>
  <c r="Q55" i="37"/>
  <c r="M55" i="37" s="1"/>
  <c r="Q36" i="37"/>
  <c r="M36" i="37" s="1"/>
  <c r="D13" i="37"/>
  <c r="D15" i="37"/>
  <c r="Q37" i="37"/>
  <c r="M37" i="37" s="1"/>
  <c r="D17" i="37"/>
  <c r="Q50" i="37"/>
  <c r="M50" i="37" s="1"/>
  <c r="Q47" i="37"/>
  <c r="M47" i="37" s="1"/>
  <c r="D19" i="37"/>
  <c r="Q24" i="37"/>
  <c r="M24" i="37" s="1"/>
  <c r="D21" i="37"/>
  <c r="Q56" i="37"/>
  <c r="M56" i="37" s="1"/>
  <c r="D23" i="37"/>
  <c r="Q43" i="37"/>
  <c r="M43" i="37" s="1"/>
  <c r="D25" i="37"/>
  <c r="D27" i="37"/>
  <c r="Q25" i="37"/>
  <c r="M25" i="37" s="1"/>
  <c r="D29" i="37"/>
  <c r="Q41" i="37"/>
  <c r="M41" i="37" s="1"/>
  <c r="Q29" i="37"/>
  <c r="M29" i="37" s="1"/>
  <c r="D31" i="37"/>
  <c r="Q46" i="37"/>
  <c r="M46" i="37" s="1"/>
  <c r="D33" i="37"/>
  <c r="D35" i="37"/>
  <c r="Q38" i="37"/>
  <c r="M38" i="37" s="1"/>
  <c r="D37" i="37"/>
  <c r="Q34" i="37"/>
  <c r="M34" i="37" s="1"/>
  <c r="Q39" i="37"/>
  <c r="M39" i="37" s="1"/>
  <c r="D39" i="37"/>
  <c r="D41" i="37"/>
  <c r="Q11" i="37"/>
  <c r="M11" i="37" s="1"/>
  <c r="D43" i="37"/>
  <c r="Q22" i="37"/>
  <c r="M22" i="37" s="1"/>
  <c r="D45" i="37"/>
  <c r="Q53" i="37"/>
  <c r="M53" i="37" s="1"/>
  <c r="D47" i="37"/>
  <c r="Q17" i="37"/>
  <c r="M17" i="37" s="1"/>
  <c r="D49" i="37"/>
  <c r="Q18" i="37"/>
  <c r="M18" i="37" s="1"/>
  <c r="D51" i="37"/>
  <c r="Q20" i="37"/>
  <c r="M20" i="37" s="1"/>
  <c r="D53" i="37"/>
  <c r="Q32" i="37"/>
  <c r="M32" i="37" s="1"/>
  <c r="Q28" i="37"/>
  <c r="M28" i="37" s="1"/>
  <c r="D8" i="37"/>
  <c r="Q14" i="37"/>
  <c r="M14" i="37" s="1"/>
  <c r="D56" i="37"/>
  <c r="D39" i="17"/>
  <c r="G30" i="38"/>
  <c r="Q40" i="17"/>
  <c r="M40" i="17" s="1"/>
  <c r="Q39" i="17"/>
  <c r="M39" i="17" s="1"/>
  <c r="G5" i="38"/>
  <c r="Q34" i="17"/>
  <c r="M34" i="17" s="1"/>
  <c r="G23" i="38"/>
  <c r="J12" i="38"/>
  <c r="L12" i="38" s="1"/>
  <c r="D34" i="17"/>
  <c r="G36" i="38"/>
  <c r="G43" i="38"/>
  <c r="D29" i="17"/>
  <c r="G3" i="38"/>
  <c r="D33" i="17"/>
  <c r="D31" i="17"/>
  <c r="G46" i="38"/>
  <c r="D28" i="17"/>
  <c r="G45" i="38"/>
  <c r="D32" i="17"/>
  <c r="G32" i="38"/>
  <c r="D25" i="17"/>
  <c r="G49" i="38"/>
  <c r="G47" i="38"/>
  <c r="J6" i="38"/>
  <c r="L6" i="38" s="1"/>
  <c r="G15" i="38"/>
  <c r="J8" i="38"/>
  <c r="L8" i="38" s="1"/>
  <c r="G2" i="38"/>
  <c r="J2" i="38"/>
  <c r="L2" i="38" s="1"/>
  <c r="D24" i="17"/>
  <c r="G13" i="38"/>
  <c r="G19" i="38"/>
  <c r="J10" i="38"/>
  <c r="L10" i="38" s="1"/>
  <c r="G35" i="38"/>
  <c r="J11" i="38"/>
  <c r="L11" i="38" s="1"/>
  <c r="G7" i="38"/>
  <c r="J3" i="38"/>
  <c r="L3" i="38" s="1"/>
  <c r="N83" i="14"/>
  <c r="N81" i="14"/>
  <c r="N80" i="14"/>
  <c r="N78" i="14"/>
  <c r="N76" i="14"/>
  <c r="N71" i="14"/>
  <c r="N84" i="14"/>
  <c r="N82" i="14"/>
  <c r="N79" i="14"/>
  <c r="N77" i="14"/>
  <c r="N75" i="14"/>
  <c r="N74" i="14"/>
  <c r="N73" i="14"/>
  <c r="N72" i="14"/>
  <c r="N70" i="14"/>
  <c r="N69" i="14"/>
  <c r="N68" i="14"/>
  <c r="N67" i="14"/>
  <c r="N66" i="14"/>
  <c r="N65" i="14"/>
  <c r="N64" i="14"/>
  <c r="N63" i="14"/>
  <c r="N62" i="14"/>
  <c r="N61" i="14"/>
  <c r="N60" i="14"/>
  <c r="N59" i="14"/>
  <c r="N58" i="14"/>
  <c r="N57" i="14"/>
  <c r="N56" i="14"/>
  <c r="N54" i="14"/>
  <c r="N53" i="14"/>
  <c r="N52" i="14"/>
  <c r="N51" i="14"/>
  <c r="N50" i="14"/>
  <c r="N49" i="14"/>
  <c r="N48" i="14"/>
  <c r="N47" i="14"/>
  <c r="N46" i="14"/>
  <c r="N43" i="14"/>
  <c r="N42" i="14"/>
  <c r="N41" i="14"/>
  <c r="N39" i="14"/>
  <c r="N38" i="14"/>
  <c r="N37" i="14"/>
  <c r="N36" i="14"/>
  <c r="N35" i="14"/>
  <c r="N34" i="14"/>
  <c r="N33" i="14"/>
  <c r="N32" i="14"/>
  <c r="N31" i="14"/>
  <c r="N30" i="14"/>
  <c r="N29" i="14"/>
  <c r="N28" i="14"/>
  <c r="N27" i="14"/>
  <c r="N26" i="14"/>
  <c r="N25" i="14"/>
  <c r="N24" i="14"/>
  <c r="N23" i="14"/>
  <c r="N22" i="14"/>
  <c r="N21" i="14"/>
  <c r="N20" i="14"/>
  <c r="N19" i="14"/>
  <c r="N17" i="14"/>
  <c r="N16" i="14"/>
  <c r="N15" i="14"/>
  <c r="N14" i="14"/>
  <c r="N13" i="14"/>
  <c r="N12" i="14"/>
  <c r="N11" i="14"/>
  <c r="N10" i="14"/>
  <c r="N9" i="14"/>
  <c r="N18" i="14"/>
  <c r="N40" i="14"/>
  <c r="N44" i="14"/>
  <c r="N10" i="11"/>
  <c r="N14" i="11"/>
  <c r="N17" i="11"/>
  <c r="N21" i="11"/>
  <c r="N25" i="11"/>
  <c r="N29" i="11"/>
  <c r="N35" i="11"/>
  <c r="N41" i="11"/>
  <c r="N62" i="11"/>
  <c r="N11" i="11"/>
  <c r="N15" i="11"/>
  <c r="N19" i="11"/>
  <c r="N22" i="11"/>
  <c r="N27" i="11"/>
  <c r="N31" i="11"/>
  <c r="N34" i="11"/>
  <c r="N39" i="11"/>
  <c r="N42" i="11"/>
  <c r="N45" i="11"/>
  <c r="N48" i="11"/>
  <c r="N51" i="11"/>
  <c r="N54" i="11"/>
  <c r="N60" i="11"/>
  <c r="N65" i="11"/>
  <c r="N82" i="11"/>
  <c r="N9" i="11"/>
  <c r="N12" i="11"/>
  <c r="N13" i="11"/>
  <c r="N16" i="11"/>
  <c r="N18" i="11"/>
  <c r="N20" i="11"/>
  <c r="N24" i="11"/>
  <c r="N26" i="11"/>
  <c r="N28" i="11"/>
  <c r="N30" i="11"/>
  <c r="N32" i="11"/>
  <c r="N33" i="11"/>
  <c r="N36" i="11"/>
  <c r="N37" i="11"/>
  <c r="N40" i="11"/>
  <c r="N43" i="11"/>
  <c r="N44" i="11"/>
  <c r="N46" i="11"/>
  <c r="N47" i="11"/>
  <c r="N49" i="11"/>
  <c r="N50" i="11"/>
  <c r="N52" i="11"/>
  <c r="N53" i="11"/>
  <c r="N55" i="11"/>
  <c r="N56" i="11"/>
  <c r="N57" i="11"/>
  <c r="N61" i="11"/>
  <c r="N63" i="11"/>
  <c r="N64" i="11"/>
  <c r="N66" i="11"/>
  <c r="N67" i="11"/>
  <c r="N69" i="11"/>
  <c r="N70" i="11"/>
  <c r="N71" i="11"/>
  <c r="N72" i="11"/>
  <c r="N73" i="11"/>
  <c r="N74" i="11"/>
  <c r="N75" i="11"/>
  <c r="N76" i="11"/>
  <c r="N77" i="11"/>
  <c r="N78" i="11"/>
  <c r="N80" i="11"/>
  <c r="N81" i="11"/>
  <c r="N83" i="11"/>
  <c r="N23" i="11"/>
  <c r="N79" i="11"/>
  <c r="N59" i="11"/>
  <c r="N38" i="11"/>
  <c r="N68" i="11"/>
  <c r="N9" i="3"/>
  <c r="N10" i="3"/>
  <c r="N11" i="3"/>
  <c r="N12" i="3"/>
  <c r="N13"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6" i="3"/>
  <c r="N57" i="3"/>
  <c r="N58" i="3"/>
  <c r="N59" i="3"/>
  <c r="N60" i="3"/>
  <c r="N61" i="3"/>
  <c r="N62" i="3"/>
  <c r="N63" i="3"/>
  <c r="N64" i="3"/>
  <c r="N65" i="3"/>
  <c r="N66" i="3"/>
  <c r="N67" i="3"/>
  <c r="N68" i="3"/>
  <c r="N69" i="3"/>
  <c r="N70" i="3"/>
  <c r="N71" i="3"/>
  <c r="N72" i="3"/>
  <c r="N73" i="3"/>
  <c r="N74" i="3"/>
  <c r="N75" i="3"/>
  <c r="N76" i="3"/>
  <c r="N77" i="3"/>
  <c r="N78" i="3"/>
  <c r="N80" i="3"/>
  <c r="N81" i="3"/>
  <c r="N82" i="3"/>
  <c r="N83" i="3"/>
  <c r="N84" i="3"/>
  <c r="N85" i="3"/>
  <c r="N86" i="3"/>
  <c r="N87" i="3"/>
  <c r="N88" i="3"/>
  <c r="N89" i="3"/>
  <c r="N14" i="3"/>
  <c r="N79" i="3"/>
  <c r="N9" i="18"/>
  <c r="N34" i="18"/>
  <c r="Q53" i="35"/>
  <c r="M53" i="35" s="1"/>
  <c r="Q54" i="35"/>
  <c r="M54" i="35" s="1"/>
  <c r="Q56" i="35"/>
  <c r="M56" i="35" s="1"/>
  <c r="Q60" i="35"/>
  <c r="M60" i="35" s="1"/>
  <c r="Q55" i="35"/>
  <c r="M55" i="35" s="1"/>
  <c r="Q59" i="35"/>
  <c r="M59" i="35" s="1"/>
  <c r="Q57" i="35"/>
  <c r="M57" i="35" s="1"/>
  <c r="Q61" i="35"/>
  <c r="M61" i="35" s="1"/>
  <c r="Q56" i="36"/>
  <c r="M56" i="36" s="1"/>
  <c r="Q60" i="36"/>
  <c r="M60" i="36" s="1"/>
  <c r="Q54" i="36"/>
  <c r="M54" i="36" s="1"/>
  <c r="Q57" i="36"/>
  <c r="M57" i="36" s="1"/>
  <c r="Q55" i="36"/>
  <c r="M55" i="36" s="1"/>
  <c r="Q59" i="36"/>
  <c r="M59" i="36" s="1"/>
  <c r="Q49" i="36"/>
  <c r="M49" i="36" s="1"/>
  <c r="Q50" i="36"/>
  <c r="M50" i="36" s="1"/>
  <c r="Q45" i="36"/>
  <c r="M45" i="36" s="1"/>
  <c r="Q53" i="36"/>
  <c r="M53" i="36" s="1"/>
  <c r="Q46" i="36"/>
  <c r="M46" i="36" s="1"/>
  <c r="Q51" i="36"/>
  <c r="M51" i="36" s="1"/>
  <c r="Q48" i="36"/>
  <c r="M48" i="36" s="1"/>
  <c r="Q52" i="36"/>
  <c r="M52" i="36" s="1"/>
  <c r="D57" i="36"/>
  <c r="Q44" i="36"/>
  <c r="M44" i="36" s="1"/>
  <c r="D56" i="36"/>
  <c r="Q47" i="36"/>
  <c r="M47" i="36" s="1"/>
  <c r="D30" i="17"/>
  <c r="Q37" i="17"/>
  <c r="M37" i="17" s="1"/>
  <c r="Q35" i="17"/>
  <c r="M35" i="17" s="1"/>
  <c r="D38" i="17"/>
  <c r="Q36" i="17"/>
  <c r="M36" i="17" s="1"/>
  <c r="D36" i="17"/>
  <c r="Q38" i="17"/>
  <c r="M38" i="17" s="1"/>
  <c r="D37" i="17"/>
  <c r="Q33" i="17"/>
  <c r="M33" i="17" s="1"/>
  <c r="Q32" i="17"/>
  <c r="M32" i="17" s="1"/>
  <c r="Q11" i="36"/>
  <c r="M11" i="36" s="1"/>
  <c r="D47" i="36"/>
  <c r="D46" i="36"/>
  <c r="D45" i="36"/>
  <c r="Q28" i="36"/>
  <c r="M28" i="36" s="1"/>
  <c r="D44" i="36"/>
  <c r="Q27" i="36"/>
  <c r="M27" i="36" s="1"/>
  <c r="Q26" i="36"/>
  <c r="M26" i="36" s="1"/>
  <c r="D43" i="36"/>
  <c r="D42" i="36"/>
  <c r="Q24" i="36"/>
  <c r="M24" i="36" s="1"/>
  <c r="Q25" i="36"/>
  <c r="M25" i="36" s="1"/>
  <c r="D41" i="36"/>
  <c r="Q23" i="36"/>
  <c r="M23" i="36" s="1"/>
  <c r="D40" i="36"/>
  <c r="Q22" i="36"/>
  <c r="M22" i="36" s="1"/>
  <c r="Q21" i="36"/>
  <c r="M21" i="36" s="1"/>
  <c r="D39" i="36"/>
  <c r="D38" i="36"/>
  <c r="Q20" i="36"/>
  <c r="M20" i="36" s="1"/>
  <c r="D37" i="36"/>
  <c r="Q30" i="36"/>
  <c r="M30" i="36" s="1"/>
  <c r="D36" i="36"/>
  <c r="Q33" i="36"/>
  <c r="M33" i="36" s="1"/>
  <c r="Q31" i="36"/>
  <c r="M31" i="36" s="1"/>
  <c r="D35" i="36"/>
  <c r="D34" i="36"/>
  <c r="Q29" i="36"/>
  <c r="M29" i="36" s="1"/>
  <c r="D33" i="36"/>
  <c r="Q32" i="36"/>
  <c r="M32" i="36" s="1"/>
  <c r="Q36" i="36"/>
  <c r="M36" i="36" s="1"/>
  <c r="D32" i="36"/>
  <c r="D31" i="36"/>
  <c r="Q37" i="36"/>
  <c r="M37" i="36" s="1"/>
  <c r="D30" i="36"/>
  <c r="Q38" i="36"/>
  <c r="M38" i="36" s="1"/>
  <c r="D29" i="36"/>
  <c r="D28" i="36"/>
  <c r="Q35" i="36"/>
  <c r="M35" i="36" s="1"/>
  <c r="D27" i="36"/>
  <c r="Q34" i="36"/>
  <c r="M34" i="36" s="1"/>
  <c r="D26" i="36"/>
  <c r="D25" i="36"/>
  <c r="D24" i="36"/>
  <c r="D23" i="36"/>
  <c r="D22" i="36"/>
  <c r="D21" i="36"/>
  <c r="D20" i="36"/>
  <c r="D19" i="36"/>
  <c r="Q39" i="36"/>
  <c r="M39" i="36" s="1"/>
  <c r="D18" i="36"/>
  <c r="D17" i="36"/>
  <c r="D16" i="36"/>
  <c r="Q43" i="36"/>
  <c r="M43" i="36" s="1"/>
  <c r="Q41" i="36"/>
  <c r="M41" i="36" s="1"/>
  <c r="D15" i="36"/>
  <c r="D14" i="36"/>
  <c r="Q40" i="36"/>
  <c r="M40" i="36" s="1"/>
  <c r="Q42" i="36"/>
  <c r="M42" i="36" s="1"/>
  <c r="D13" i="36"/>
  <c r="D12" i="36"/>
  <c r="D11" i="36"/>
  <c r="D10" i="36"/>
  <c r="D9" i="36"/>
  <c r="D8" i="36"/>
  <c r="D7" i="36"/>
  <c r="Q14" i="35"/>
  <c r="M14" i="35" s="1"/>
  <c r="D59" i="35"/>
  <c r="D58" i="35"/>
  <c r="Q9" i="35"/>
  <c r="M9" i="35" s="1"/>
  <c r="D57" i="35"/>
  <c r="Q18" i="35"/>
  <c r="M18" i="35" s="1"/>
  <c r="D56" i="35"/>
  <c r="Q10" i="35"/>
  <c r="M10" i="35" s="1"/>
  <c r="D55" i="35"/>
  <c r="Q12" i="35"/>
  <c r="M12" i="35" s="1"/>
  <c r="D54" i="35"/>
  <c r="Q15" i="35"/>
  <c r="M15" i="35" s="1"/>
  <c r="D53" i="35"/>
  <c r="Q17" i="35"/>
  <c r="M17" i="35" s="1"/>
  <c r="D52" i="35"/>
  <c r="Q13" i="35"/>
  <c r="M13" i="35" s="1"/>
  <c r="D51" i="35"/>
  <c r="Q16" i="35"/>
  <c r="M16" i="35" s="1"/>
  <c r="D50" i="35"/>
  <c r="D49" i="35"/>
  <c r="Q11" i="35"/>
  <c r="M11" i="35" s="1"/>
  <c r="D48" i="35"/>
  <c r="Q27" i="35"/>
  <c r="M27" i="35" s="1"/>
  <c r="D47" i="35"/>
  <c r="Q29" i="35"/>
  <c r="M29" i="35" s="1"/>
  <c r="D46" i="35"/>
  <c r="Q26" i="35"/>
  <c r="M26" i="35" s="1"/>
  <c r="D45" i="35"/>
  <c r="Q25" i="35"/>
  <c r="M25" i="35" s="1"/>
  <c r="D44" i="35"/>
  <c r="Q23" i="35"/>
  <c r="M23" i="35" s="1"/>
  <c r="D43" i="35"/>
  <c r="Q24" i="35"/>
  <c r="M24" i="35" s="1"/>
  <c r="D42" i="35"/>
  <c r="Q22" i="35"/>
  <c r="M22" i="35" s="1"/>
  <c r="D41" i="35"/>
  <c r="Q21" i="35"/>
  <c r="M21" i="35" s="1"/>
  <c r="D40" i="35"/>
  <c r="Q20" i="35"/>
  <c r="M20" i="35" s="1"/>
  <c r="D39" i="35"/>
  <c r="Q28" i="35"/>
  <c r="M28" i="35" s="1"/>
  <c r="D38" i="35"/>
  <c r="Q19" i="35"/>
  <c r="M19" i="35" s="1"/>
  <c r="Q44" i="35"/>
  <c r="M44" i="35" s="1"/>
  <c r="D9" i="35"/>
  <c r="D8" i="35"/>
  <c r="Q45" i="35"/>
  <c r="M45" i="35" s="1"/>
  <c r="Q14" i="36"/>
  <c r="M14" i="36" s="1"/>
  <c r="Q9" i="36"/>
  <c r="M9" i="36" s="1"/>
  <c r="Q19" i="36"/>
  <c r="M19" i="36" s="1"/>
  <c r="Q10" i="36"/>
  <c r="M10" i="36" s="1"/>
  <c r="Q12" i="36"/>
  <c r="M12" i="36" s="1"/>
  <c r="Q15" i="36"/>
  <c r="M15" i="36" s="1"/>
  <c r="D50" i="36"/>
  <c r="Q13" i="36"/>
  <c r="M13" i="36" s="1"/>
  <c r="Q16" i="36"/>
  <c r="M16" i="36" s="1"/>
  <c r="D49" i="36"/>
  <c r="D37" i="35"/>
  <c r="Q31" i="35"/>
  <c r="M31" i="35" s="1"/>
  <c r="D36" i="35"/>
  <c r="Q34" i="35"/>
  <c r="M34" i="35" s="1"/>
  <c r="D35" i="35"/>
  <c r="Q32" i="35"/>
  <c r="M32" i="35" s="1"/>
  <c r="D34" i="35"/>
  <c r="Q30" i="35"/>
  <c r="M30" i="35" s="1"/>
  <c r="D33" i="35"/>
  <c r="Q33" i="35"/>
  <c r="M33" i="35" s="1"/>
  <c r="D32" i="35"/>
  <c r="D31" i="35"/>
  <c r="Q38" i="35"/>
  <c r="M38" i="35" s="1"/>
  <c r="D30" i="35"/>
  <c r="Q36" i="35"/>
  <c r="M36" i="35" s="1"/>
  <c r="D29" i="35"/>
  <c r="Q39" i="35"/>
  <c r="M39" i="35" s="1"/>
  <c r="Q37" i="35"/>
  <c r="M37" i="35" s="1"/>
  <c r="D28" i="35"/>
  <c r="D27" i="35"/>
  <c r="Q35" i="35"/>
  <c r="M35" i="35" s="1"/>
  <c r="D26" i="35"/>
  <c r="Q43" i="35"/>
  <c r="M43" i="35" s="1"/>
  <c r="D25" i="35"/>
  <c r="D24" i="35"/>
  <c r="Q42" i="35"/>
  <c r="M42" i="35" s="1"/>
  <c r="D23" i="35"/>
  <c r="D22" i="35"/>
  <c r="Q41" i="35"/>
  <c r="M41" i="35" s="1"/>
  <c r="D21" i="35"/>
  <c r="D20" i="35"/>
  <c r="D19" i="35"/>
  <c r="D18" i="35"/>
  <c r="D17" i="35"/>
  <c r="Q40" i="35"/>
  <c r="M40" i="35" s="1"/>
  <c r="Q51" i="35"/>
  <c r="M51" i="35" s="1"/>
  <c r="D16" i="35"/>
  <c r="D15" i="35"/>
  <c r="Q47" i="35"/>
  <c r="M47" i="35" s="1"/>
  <c r="D14" i="35"/>
  <c r="D13" i="35"/>
  <c r="Q50" i="35"/>
  <c r="M50" i="35" s="1"/>
  <c r="D12" i="35"/>
  <c r="Q49" i="35"/>
  <c r="M49" i="35" s="1"/>
  <c r="Q48" i="35"/>
  <c r="M48" i="35" s="1"/>
  <c r="D11" i="35"/>
  <c r="D10" i="35"/>
  <c r="Q52" i="35"/>
  <c r="M52" i="35" s="1"/>
  <c r="D7" i="35"/>
  <c r="Q46" i="35"/>
  <c r="M46" i="35" s="1"/>
  <c r="Q17" i="36"/>
  <c r="M17" i="36" s="1"/>
  <c r="D51" i="36"/>
  <c r="D48" i="36"/>
  <c r="Q18" i="36"/>
  <c r="M18" i="36" s="1"/>
  <c r="Q28" i="17"/>
  <c r="M28" i="17" s="1"/>
  <c r="Q29" i="17"/>
  <c r="M29" i="17" s="1"/>
  <c r="Q26" i="17"/>
  <c r="M26" i="17" s="1"/>
  <c r="Q25" i="17"/>
  <c r="M25" i="17" s="1"/>
  <c r="Q27" i="17"/>
  <c r="M27" i="17" s="1"/>
  <c r="D14" i="17"/>
  <c r="Q31" i="17"/>
  <c r="M31" i="17" s="1"/>
  <c r="Q30" i="17"/>
  <c r="M30" i="17" s="1"/>
  <c r="D26" i="17"/>
  <c r="D27" i="17"/>
  <c r="D23" i="17"/>
  <c r="O48" i="17"/>
  <c r="D13" i="17"/>
  <c r="E15" i="17"/>
  <c r="D15" i="17"/>
  <c r="E21" i="17"/>
  <c r="D21" i="17"/>
  <c r="E20" i="17"/>
  <c r="D20" i="17"/>
  <c r="E19" i="17"/>
  <c r="O43" i="17" s="1"/>
  <c r="D19" i="17"/>
  <c r="E17" i="17"/>
  <c r="O39" i="17" s="1"/>
  <c r="E16" i="17"/>
  <c r="D16" i="17"/>
  <c r="D11" i="17"/>
  <c r="E18" i="17"/>
  <c r="O40" i="17" s="1"/>
  <c r="D18" i="17"/>
  <c r="D12" i="17"/>
  <c r="D9" i="17"/>
  <c r="D10" i="17"/>
  <c r="D8" i="17"/>
  <c r="D7" i="17"/>
  <c r="D22" i="17"/>
  <c r="Q9" i="33"/>
  <c r="M9" i="33" s="1"/>
  <c r="D39" i="33"/>
  <c r="D16" i="33"/>
  <c r="BB13" i="33"/>
  <c r="D40" i="33"/>
  <c r="BB9" i="33"/>
  <c r="Q49" i="33"/>
  <c r="M49" i="33" s="1"/>
  <c r="Q14" i="33"/>
  <c r="M14" i="33" s="1"/>
  <c r="Q13" i="33"/>
  <c r="M13" i="33" s="1"/>
  <c r="Q58" i="33"/>
  <c r="M58" i="33" s="1"/>
  <c r="Q24" i="33"/>
  <c r="M24" i="33" s="1"/>
  <c r="Q29" i="33"/>
  <c r="M29" i="33" s="1"/>
  <c r="D29" i="33"/>
  <c r="Q12" i="33"/>
  <c r="M12" i="33" s="1"/>
  <c r="Q45" i="33"/>
  <c r="M45" i="33" s="1"/>
  <c r="D50" i="33"/>
  <c r="Q11" i="33"/>
  <c r="M11" i="33" s="1"/>
  <c r="Q22" i="33"/>
  <c r="M22" i="33" s="1"/>
  <c r="Q34" i="33"/>
  <c r="M34" i="33" s="1"/>
  <c r="Q43" i="33"/>
  <c r="M43" i="33" s="1"/>
  <c r="Q27" i="33"/>
  <c r="M27" i="33" s="1"/>
  <c r="Q55" i="33"/>
  <c r="M55" i="33" s="1"/>
  <c r="Q26" i="33"/>
  <c r="M26" i="33" s="1"/>
  <c r="Q42" i="33"/>
  <c r="M42" i="33" s="1"/>
  <c r="Q20" i="33"/>
  <c r="M20" i="33" s="1"/>
  <c r="D36" i="33"/>
  <c r="Q19" i="33"/>
  <c r="M19" i="33" s="1"/>
  <c r="Q54" i="33"/>
  <c r="M54" i="33" s="1"/>
  <c r="Q50" i="33"/>
  <c r="M50" i="33" s="1"/>
  <c r="D32" i="33"/>
  <c r="Q47" i="33"/>
  <c r="M47" i="33" s="1"/>
  <c r="BB11" i="33"/>
  <c r="Q18" i="33"/>
  <c r="M18" i="33" s="1"/>
  <c r="Q10" i="33"/>
  <c r="M10" i="33" s="1"/>
  <c r="Q15" i="33"/>
  <c r="M15" i="33" s="1"/>
  <c r="Q21" i="33"/>
  <c r="M21" i="33" s="1"/>
  <c r="Q25" i="33"/>
  <c r="M25" i="33" s="1"/>
  <c r="Q31" i="33"/>
  <c r="M31" i="33" s="1"/>
  <c r="Q28" i="33"/>
  <c r="M28" i="33" s="1"/>
  <c r="Q48" i="33"/>
  <c r="M48" i="33" s="1"/>
  <c r="Q32" i="33"/>
  <c r="M32" i="33" s="1"/>
  <c r="Q53" i="33"/>
  <c r="M53" i="33" s="1"/>
  <c r="Q16" i="33"/>
  <c r="M16" i="33" s="1"/>
  <c r="BB10" i="33"/>
  <c r="Q39" i="33"/>
  <c r="M39" i="33" s="1"/>
  <c r="Q36" i="33"/>
  <c r="M36" i="33" s="1"/>
  <c r="BB12" i="33"/>
  <c r="Q23" i="33"/>
  <c r="M23" i="33" s="1"/>
  <c r="Q57" i="33"/>
  <c r="M57" i="33" s="1"/>
  <c r="Q46" i="33"/>
  <c r="M46" i="33" s="1"/>
  <c r="Q44" i="33"/>
  <c r="M44" i="33" s="1"/>
  <c r="Q59" i="33"/>
  <c r="M59" i="33" s="1"/>
  <c r="AS11" i="17"/>
  <c r="AS9" i="17"/>
  <c r="AS10" i="17"/>
  <c r="AS13" i="17"/>
  <c r="AS12" i="17"/>
  <c r="O46" i="17" l="1"/>
  <c r="O44" i="17"/>
  <c r="O41" i="17"/>
  <c r="O47" i="17"/>
  <c r="O42" i="17"/>
  <c r="O36" i="17"/>
  <c r="O37" i="17"/>
  <c r="O35" i="17"/>
  <c r="O34" i="17"/>
  <c r="N17" i="37"/>
  <c r="N44" i="37"/>
  <c r="N24" i="37"/>
  <c r="N43" i="37"/>
  <c r="N41" i="37"/>
  <c r="N38" i="37"/>
  <c r="N11" i="37"/>
  <c r="N53" i="37"/>
  <c r="N32" i="37"/>
  <c r="N14" i="37"/>
  <c r="N30" i="37"/>
  <c r="N52" i="37"/>
  <c r="N15" i="37"/>
  <c r="N35" i="37"/>
  <c r="N16" i="37"/>
  <c r="N49" i="37"/>
  <c r="N31" i="37"/>
  <c r="N9" i="37"/>
  <c r="N26" i="37"/>
  <c r="N34" i="37"/>
  <c r="N18" i="37"/>
  <c r="N21" i="37"/>
  <c r="N42" i="37"/>
  <c r="N40" i="37"/>
  <c r="N48" i="37"/>
  <c r="N33" i="37"/>
  <c r="N10" i="37"/>
  <c r="N13" i="37"/>
  <c r="N57" i="37"/>
  <c r="N54" i="37"/>
  <c r="N19" i="37"/>
  <c r="N51" i="37"/>
  <c r="N12" i="37"/>
  <c r="N45" i="37"/>
  <c r="N27" i="37"/>
  <c r="N23" i="37"/>
  <c r="N55" i="37"/>
  <c r="N36" i="37"/>
  <c r="N37" i="37"/>
  <c r="N50" i="37"/>
  <c r="N47" i="37"/>
  <c r="N56" i="37"/>
  <c r="N25" i="37"/>
  <c r="N29" i="37"/>
  <c r="N46" i="37"/>
  <c r="N39" i="37"/>
  <c r="N22" i="37"/>
  <c r="N20" i="37"/>
  <c r="N28" i="37"/>
  <c r="N55" i="33"/>
  <c r="O38" i="17"/>
  <c r="N20" i="35"/>
  <c r="N12" i="36"/>
  <c r="N26" i="33"/>
  <c r="N42" i="33"/>
  <c r="N20" i="33"/>
  <c r="N59" i="36"/>
  <c r="N45" i="36"/>
  <c r="N51" i="36"/>
  <c r="N44" i="36"/>
  <c r="N23" i="35"/>
  <c r="N19" i="35"/>
  <c r="N19" i="36"/>
  <c r="N55" i="36"/>
  <c r="N53" i="36"/>
  <c r="N48" i="36"/>
  <c r="N24" i="35"/>
  <c r="N14" i="36"/>
  <c r="N15" i="36"/>
  <c r="N53" i="35"/>
  <c r="N54" i="35"/>
  <c r="N56" i="35"/>
  <c r="N60" i="35"/>
  <c r="N55" i="35"/>
  <c r="N59" i="35"/>
  <c r="N57" i="35"/>
  <c r="N61" i="35"/>
  <c r="N56" i="36"/>
  <c r="N60" i="36"/>
  <c r="N54" i="36"/>
  <c r="N57" i="36"/>
  <c r="N49" i="36"/>
  <c r="N50" i="36"/>
  <c r="N46" i="36"/>
  <c r="N52" i="36"/>
  <c r="N47" i="36"/>
  <c r="N37" i="36"/>
  <c r="N28" i="35"/>
  <c r="N10" i="36"/>
  <c r="N38" i="36"/>
  <c r="N11" i="36"/>
  <c r="N28" i="36"/>
  <c r="N27" i="36"/>
  <c r="N26" i="36"/>
  <c r="N24" i="36"/>
  <c r="N25" i="36"/>
  <c r="N23" i="36"/>
  <c r="N22" i="36"/>
  <c r="N21" i="36"/>
  <c r="N20" i="36"/>
  <c r="N30" i="36"/>
  <c r="N33" i="36"/>
  <c r="N31" i="36"/>
  <c r="N29" i="36"/>
  <c r="N32" i="36"/>
  <c r="N36" i="36"/>
  <c r="N25" i="35"/>
  <c r="N21" i="35"/>
  <c r="N44" i="35"/>
  <c r="N35" i="36"/>
  <c r="N34" i="36"/>
  <c r="N39" i="36"/>
  <c r="N43" i="36"/>
  <c r="N41" i="36"/>
  <c r="N40" i="36"/>
  <c r="N42" i="36"/>
  <c r="N14" i="35"/>
  <c r="N18" i="35"/>
  <c r="N10" i="35"/>
  <c r="N12" i="35"/>
  <c r="N15" i="35"/>
  <c r="N17" i="35"/>
  <c r="N13" i="35"/>
  <c r="N16" i="35"/>
  <c r="N11" i="35"/>
  <c r="N27" i="35"/>
  <c r="N29" i="35"/>
  <c r="N26" i="35"/>
  <c r="N22" i="35"/>
  <c r="N45" i="35"/>
  <c r="N13" i="36"/>
  <c r="N16" i="36"/>
  <c r="N31" i="35"/>
  <c r="N34" i="35"/>
  <c r="N32" i="35"/>
  <c r="N30" i="35"/>
  <c r="N33" i="35"/>
  <c r="N38" i="35"/>
  <c r="N36" i="35"/>
  <c r="N39" i="35"/>
  <c r="N37" i="35"/>
  <c r="N35" i="35"/>
  <c r="N43" i="35"/>
  <c r="N42" i="35"/>
  <c r="N41" i="35"/>
  <c r="N40" i="35"/>
  <c r="N51" i="35"/>
  <c r="N24" i="33"/>
  <c r="N45" i="33"/>
  <c r="N22" i="33"/>
  <c r="N27" i="33"/>
  <c r="N47" i="35"/>
  <c r="N50" i="35"/>
  <c r="N49" i="35"/>
  <c r="N48" i="35"/>
  <c r="N52" i="35"/>
  <c r="N46" i="35"/>
  <c r="N17" i="36"/>
  <c r="N18" i="36"/>
  <c r="N12" i="33"/>
  <c r="N34" i="33"/>
  <c r="N49" i="33"/>
  <c r="N14" i="33"/>
  <c r="N13" i="33"/>
  <c r="N58" i="33"/>
  <c r="N29" i="33"/>
  <c r="N11" i="33"/>
  <c r="N43" i="33"/>
  <c r="N19" i="33"/>
  <c r="N54" i="33"/>
  <c r="N50" i="33"/>
  <c r="N47" i="33"/>
  <c r="N18" i="33"/>
  <c r="N10" i="33"/>
  <c r="N15" i="33"/>
  <c r="N21" i="33"/>
  <c r="N25" i="33"/>
  <c r="N31" i="33"/>
  <c r="N28" i="33"/>
  <c r="N48" i="33"/>
  <c r="N32" i="33"/>
  <c r="N53" i="33"/>
  <c r="N16" i="33"/>
  <c r="N39" i="33"/>
  <c r="N36" i="33"/>
  <c r="N23" i="33"/>
  <c r="N57" i="33"/>
  <c r="N46" i="33"/>
  <c r="N44" i="33"/>
  <c r="N59" i="33"/>
  <c r="J7" i="38"/>
  <c r="L7" i="38" s="1"/>
  <c r="G11" i="38"/>
  <c r="J5" i="38"/>
  <c r="L5" i="38" s="1"/>
  <c r="G31" i="38"/>
  <c r="J13" i="38"/>
  <c r="L13" i="38" s="1"/>
  <c r="G39" i="38"/>
  <c r="J9" i="38"/>
  <c r="L9" i="38" s="1"/>
  <c r="G27" i="38"/>
  <c r="J4" i="38"/>
  <c r="L4" i="38" s="1"/>
  <c r="N9" i="33"/>
  <c r="N33" i="33"/>
  <c r="N30" i="33"/>
  <c r="N17" i="33"/>
  <c r="N51" i="33"/>
  <c r="N37" i="33"/>
  <c r="N40" i="33"/>
  <c r="N41" i="33"/>
  <c r="N56" i="33"/>
  <c r="N38" i="33"/>
  <c r="N35" i="33"/>
  <c r="N52" i="33"/>
  <c r="N9" i="35"/>
  <c r="N58" i="35"/>
  <c r="N9" i="36"/>
  <c r="N58" i="36"/>
  <c r="O27" i="17"/>
  <c r="O33" i="17"/>
  <c r="O26" i="17"/>
  <c r="O29" i="17"/>
  <c r="O32" i="17"/>
  <c r="O30" i="17"/>
  <c r="O28" i="17"/>
  <c r="O25" i="17"/>
  <c r="O31" i="17"/>
  <c r="O15" i="17"/>
  <c r="O10" i="17"/>
  <c r="O23" i="17"/>
  <c r="O22" i="17"/>
  <c r="O24" i="17"/>
  <c r="O13" i="17"/>
  <c r="O11" i="17"/>
  <c r="O12" i="17"/>
  <c r="O18" i="17"/>
  <c r="O16" i="17"/>
  <c r="O17" i="17"/>
  <c r="O14" i="17"/>
  <c r="O20" i="17"/>
  <c r="O19" i="17"/>
  <c r="O21" i="17"/>
  <c r="O9" i="17"/>
  <c r="Q24" i="17"/>
  <c r="M24" i="17" s="1"/>
  <c r="D17" i="17"/>
  <c r="Q23" i="17"/>
  <c r="M23" i="17" s="1"/>
  <c r="Q10" i="17"/>
  <c r="M10" i="17" s="1"/>
  <c r="Q9" i="17"/>
  <c r="M9" i="17" s="1"/>
  <c r="Q21" i="17"/>
  <c r="M21" i="17" s="1"/>
  <c r="Q18" i="17"/>
  <c r="M18" i="17" s="1"/>
  <c r="Q11" i="17"/>
  <c r="M11" i="17" s="1"/>
  <c r="Q14" i="17"/>
  <c r="M14" i="17" s="1"/>
  <c r="Q13" i="17"/>
  <c r="M13" i="17" s="1"/>
  <c r="Q12" i="17"/>
  <c r="M12" i="17" s="1"/>
  <c r="Q20" i="17"/>
  <c r="M20" i="17" s="1"/>
  <c r="Q19" i="17"/>
  <c r="M19" i="17" s="1"/>
  <c r="Q17" i="17"/>
  <c r="M17" i="17" s="1"/>
  <c r="Q22" i="17"/>
  <c r="M22" i="17" s="1"/>
  <c r="Q16" i="17"/>
  <c r="M16" i="17" s="1"/>
  <c r="Q15" i="17"/>
  <c r="M15" i="17" s="1"/>
  <c r="C58" i="16"/>
  <c r="D58" i="16" s="1"/>
  <c r="C60" i="16"/>
  <c r="D60" i="16" s="1"/>
  <c r="C62" i="16"/>
  <c r="D62" i="16" s="1"/>
  <c r="C63" i="16"/>
  <c r="D63" i="16" s="1"/>
  <c r="C59" i="16"/>
  <c r="D59" i="16" s="1"/>
  <c r="C57" i="16"/>
  <c r="D57" i="16" s="1"/>
  <c r="C61" i="16"/>
  <c r="D61" i="16" s="1"/>
  <c r="C64" i="16"/>
  <c r="D64" i="16" s="1"/>
  <c r="C55" i="16"/>
  <c r="D55" i="16" s="1"/>
  <c r="C56" i="16"/>
  <c r="D56" i="16" s="1"/>
  <c r="M9" i="16"/>
  <c r="N54" i="17" l="1"/>
  <c r="N56" i="17"/>
  <c r="N55" i="17"/>
  <c r="N52" i="17"/>
  <c r="N53" i="17"/>
  <c r="N51" i="17"/>
  <c r="N50" i="17"/>
  <c r="N49" i="17"/>
  <c r="N48" i="17"/>
  <c r="N47" i="17"/>
  <c r="N44" i="17"/>
  <c r="N45" i="17"/>
  <c r="N46" i="17"/>
  <c r="N41" i="17"/>
  <c r="N42" i="17"/>
  <c r="N43" i="17"/>
  <c r="N34" i="17"/>
  <c r="N39" i="17"/>
  <c r="N40" i="17"/>
  <c r="N9" i="16"/>
  <c r="N15" i="16"/>
  <c r="N16" i="16"/>
  <c r="N17" i="16"/>
  <c r="N18" i="16"/>
  <c r="N19" i="16"/>
  <c r="N20" i="16"/>
  <c r="N25" i="16"/>
  <c r="N26" i="16"/>
  <c r="N27" i="16"/>
  <c r="N28" i="16"/>
  <c r="N29" i="16"/>
  <c r="N30" i="16"/>
  <c r="N31" i="16"/>
  <c r="N32" i="16"/>
  <c r="N35" i="16"/>
  <c r="N40" i="16"/>
  <c r="N41" i="16"/>
  <c r="N42" i="16"/>
  <c r="N43" i="16"/>
  <c r="N44" i="16"/>
  <c r="N47" i="16"/>
  <c r="N65" i="16"/>
  <c r="N66" i="16"/>
  <c r="N67" i="16"/>
  <c r="N68" i="16"/>
  <c r="N70" i="16"/>
  <c r="N71" i="16"/>
  <c r="N74" i="16"/>
  <c r="N75" i="16"/>
  <c r="N76" i="16"/>
  <c r="N77" i="16"/>
  <c r="N78" i="16"/>
  <c r="N79" i="16"/>
  <c r="N80" i="16"/>
  <c r="N14" i="16"/>
  <c r="N22" i="16"/>
  <c r="N23" i="16"/>
  <c r="N24" i="16"/>
  <c r="N36" i="16"/>
  <c r="N37" i="16"/>
  <c r="N38" i="16"/>
  <c r="N39" i="16"/>
  <c r="N49" i="16"/>
  <c r="N50" i="16"/>
  <c r="N51" i="16"/>
  <c r="N52" i="16"/>
  <c r="N53" i="16"/>
  <c r="N55" i="16"/>
  <c r="N56" i="16"/>
  <c r="N57" i="16"/>
  <c r="N58" i="16"/>
  <c r="N59" i="16"/>
  <c r="N60" i="16"/>
  <c r="N61" i="16"/>
  <c r="N62" i="16"/>
  <c r="N63" i="16"/>
  <c r="N69" i="16"/>
  <c r="N81" i="16"/>
  <c r="N54" i="16"/>
  <c r="N10" i="16"/>
  <c r="N12" i="16"/>
  <c r="N13" i="16"/>
  <c r="N21" i="16"/>
  <c r="N33" i="16"/>
  <c r="N34" i="16"/>
  <c r="N45" i="16"/>
  <c r="N46" i="16"/>
  <c r="N48" i="16"/>
  <c r="N73" i="16"/>
  <c r="N11" i="16"/>
  <c r="N72" i="16"/>
  <c r="N64" i="16"/>
  <c r="N82" i="16"/>
  <c r="N13" i="17"/>
  <c r="N24" i="17"/>
  <c r="N23" i="17"/>
  <c r="N14" i="17"/>
  <c r="N21" i="17"/>
  <c r="N18" i="17"/>
  <c r="N20" i="17"/>
  <c r="N22" i="17"/>
  <c r="N16" i="17"/>
  <c r="N15" i="17"/>
  <c r="N11" i="17"/>
  <c r="N12" i="17"/>
  <c r="N10" i="17"/>
  <c r="N19" i="17"/>
  <c r="N17" i="17"/>
  <c r="N28" i="17"/>
  <c r="N33" i="17"/>
  <c r="N32" i="17"/>
  <c r="N36" i="17"/>
  <c r="N27" i="17"/>
  <c r="N25" i="17"/>
  <c r="N26" i="17"/>
  <c r="N29" i="17"/>
  <c r="N30" i="17"/>
  <c r="N9" i="17"/>
  <c r="N31" i="17"/>
  <c r="N37" i="17"/>
  <c r="N35" i="17"/>
  <c r="N38"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193816F-A19D-472A-93CE-591922F27A6B}" keepAlive="1" name="Consulta - BD_ASGINACION_JUNIO" description="Conexión a la consulta 'BD_ASGINACION_JUNIO' en el libro." type="5" refreshedVersion="8" background="1" saveData="1">
    <dbPr connection="Provider=Microsoft.Mashup.OleDb.1;Data Source=$Workbook$;Location=BD_ASGINACION_JUNIO;Extended Properties=&quot;&quot;" command="SELECT * FROM [BD_ASGINACION_JUNIO]"/>
  </connection>
  <connection id="2" xr16:uid="{BA79DDCB-7D92-4243-9E32-C046A97EAE0B}" keepAlive="1" name="Consulta - BD_TOIND" description="Conexión a la consulta 'BD_TOIND' en el libro." type="5" refreshedVersion="0" background="1">
    <dbPr connection="Provider=Microsoft.Mashup.OleDb.1;Data Source=$Workbook$;Location=BD_TOIND;Extended Properties=&quot;&quot;" command="SELECT * FROM [BD_TOIND]"/>
  </connection>
  <connection id="3" xr16:uid="{80332F41-D965-439B-B058-BD720FCCD5D2}" keepAlive="1" name="Consulta - CAL_IND_JUNIO" description="Conexión a la consulta 'CAL_IND_JUNIO' en el libro." type="5" refreshedVersion="0" background="1">
    <dbPr connection="Provider=Microsoft.Mashup.OleDb.1;Data Source=$Workbook$;Location=CAL_IND_JUNIO;Extended Properties=&quot;&quot;" command="SELECT * FROM [CAL_IND_JUNIO]"/>
  </connection>
  <connection id="4" xr16:uid="{A8EC78C3-FDF3-4375-9169-8CA14F011FE8}" keepAlive="1" name="Consulta - CAL_IND_JUNIO(1)" description="Conexión a la consulta 'CAL_IND_JUNIO' en el libro." type="5" refreshedVersion="0" background="1">
    <dbPr connection="Provider=Microsoft.Mashup.OleDb.1;Data Source=$Workbook$;Location=CAL_IND_JUNIO;Extended Properties=&quot;&quot;" command="SELECT * FROM [CAL_IND_JUNIO]"/>
  </connection>
  <connection id="5" xr16:uid="{A2FDA4B6-E0B8-4582-AAD6-8D3CD288FA8C}"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6" xr16:uid="{26630D5D-F353-44D1-AC2C-3A9CB11FBD80}" keepAlive="1" name="Consulta - IND_CEFUnico" description="Conexión a la consulta 'IND_CEFUnico' en el libro." type="5" refreshedVersion="0" background="1">
    <dbPr connection="Provider=Microsoft.Mashup.OleDb.1;Data Source=$Workbook$;Location=IND_CEFUnico;Extended Properties=&quot;&quot;" command="SELECT * FROM [IND_CEFUnico]"/>
  </connection>
  <connection id="7" xr16:uid="{7B99088F-BAC4-451C-99CB-9795DAB14F17}" keepAlive="1" name="Consulta - IND_CEFUnico(1)" description="Conexión a la consulta 'IND_CEFUnico' en el libro." type="5" refreshedVersion="0" background="1">
    <dbPr connection="Provider=Microsoft.Mashup.OleDb.1;Data Source=$Workbook$;Location=IND_CEFUnico;Extended Properties=&quot;&quot;" command="SELECT * FROM [IND_CEFUnico]"/>
  </connection>
  <connection id="8" xr16:uid="{C6E14E75-5542-4D27-AC8F-DCC0203C3F80}" keepAlive="1" name="Consulta - IND_MontoPDP" description="Conexión a la consulta 'IND_MontoPDP' en el libro." type="5" refreshedVersion="0" background="1">
    <dbPr connection="Provider=Microsoft.Mashup.OleDb.1;Data Source=$Workbook$;Location=IND_MontoPDP;Extended Properties=&quot;&quot;" command="SELECT * FROM [IND_MontoPDP]"/>
  </connection>
  <connection id="9" xr16:uid="{DC3D9D8B-60FF-404B-8BCF-AE3BE1C5B44D}" keepAlive="1" name="Consulta - IND_MontoPDP(1)" description="Conexión a la consulta 'IND_MontoPDP' en el libro." type="5" refreshedVersion="0" background="1">
    <dbPr connection="Provider=Microsoft.Mashup.OleDb.1;Data Source=$Workbook$;Location=IND_MontoPDP;Extended Properties=&quot;&quot;" command="SELECT * FROM [IND_MontoPDP]"/>
  </connection>
  <connection id="10" xr16:uid="{53170547-4A16-4F0A-B40E-BFEA260C99E9}" keepAlive="1" name="Consulta - IND_PDP" description="Conexión a la consulta 'IND_PDP' en el libro." type="5" refreshedVersion="0" background="1">
    <dbPr connection="Provider=Microsoft.Mashup.OleDb.1;Data Source=$Workbook$;Location=IND_PDP;Extended Properties=&quot;&quot;" command="SELECT * FROM [IND_PDP]"/>
  </connection>
  <connection id="11" xr16:uid="{8BD6B4D5-A859-42E6-A3F0-57F848E02AEF}" keepAlive="1" name="Consulta - IND_PDP(1)" description="Conexión a la consulta 'IND_PDP' en el libro." type="5" refreshedVersion="0" background="1">
    <dbPr connection="Provider=Microsoft.Mashup.OleDb.1;Data Source=$Workbook$;Location=IND_PDP;Extended Properties=&quot;&quot;" command="SELECT * FROM [IND_PDP]"/>
  </connection>
  <connection id="12" xr16:uid="{FB6111DB-CB56-4FA1-B08E-59437F3C8962}" keepAlive="1" name="Consulta - pbi ListaEmpleadosExpertis" description="Conexión a la consulta 'pbi ListaEmpleadosExpertis' en el libro." type="5" refreshedVersion="8" background="1" saveData="1">
    <dbPr connection="Provider=Microsoft.Mashup.OleDb.1;Data Source=$Workbook$;Location=&quot;pbi ListaEmpleadosExpertis&quot;;Extended Properties=&quot;&quot;" command="SELECT * FROM [pbi ListaEmpleadosExpertis]"/>
  </connection>
  <connection id="13" xr16:uid="{E2671889-E1D0-40BF-AFC0-1DF1615ECB2E}" keepAlive="1" name="Consulta - PLANTILLA" description="Conexión a la consulta 'PLANTILLA' en el libro." type="5" refreshedVersion="8" background="1" saveData="1">
    <dbPr connection="Provider=Microsoft.Mashup.OleDb.1;Data Source=$Workbook$;Location=PLANTILLA;Extended Properties=&quot;&quot;" command="SELECT * FROM [PLANTILL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<sst xmlns="http://schemas.openxmlformats.org/spreadsheetml/2006/main" count="54874" uniqueCount="23026">
  <si>
    <t>ASESOR</t>
  </si>
  <si>
    <t>ALCANCE</t>
  </si>
  <si>
    <t>JORGE</t>
  </si>
  <si>
    <t>SANDY</t>
  </si>
  <si>
    <t>MELINA</t>
  </si>
  <si>
    <t>JORDAN</t>
  </si>
  <si>
    <t>KENNETH</t>
  </si>
  <si>
    <t>LEONOR</t>
  </si>
  <si>
    <t>BRYAN</t>
  </si>
  <si>
    <t>LUIS</t>
  </si>
  <si>
    <t>VERONICA TASAYCO</t>
  </si>
  <si>
    <t>MILAGROS QUIO</t>
  </si>
  <si>
    <t>GENESIS VICUNA</t>
  </si>
  <si>
    <t>GIANFRANCO PINEDO</t>
  </si>
  <si>
    <t>BRINA SOTO</t>
  </si>
  <si>
    <t>ANDERSON RODRIGUEZ</t>
  </si>
  <si>
    <t>FRANS TACSI</t>
  </si>
  <si>
    <t>MARGARITA PIANCHACHI</t>
  </si>
  <si>
    <t>ALEIDITH GUEVARA</t>
  </si>
  <si>
    <t>CARMEN PUMA</t>
  </si>
  <si>
    <t>JHOVANA TORRES</t>
  </si>
  <si>
    <t>ALEJANDRA AVILA</t>
  </si>
  <si>
    <t>EVELY TENORIO</t>
  </si>
  <si>
    <t>LISELY MERA</t>
  </si>
  <si>
    <t>FRANCO HUAMANI</t>
  </si>
  <si>
    <t>MALORY MONTEBLANCO</t>
  </si>
  <si>
    <t>JENY LAZARO</t>
  </si>
  <si>
    <t>GABRIELA APONTE</t>
  </si>
  <si>
    <t>ERICK PORTILLA</t>
  </si>
  <si>
    <t>LUIS VALLADARES</t>
  </si>
  <si>
    <t>TERRY ECHEVARRIA</t>
  </si>
  <si>
    <t>LUIS CENTENO</t>
  </si>
  <si>
    <t>GIANNINA AGUILAR</t>
  </si>
  <si>
    <t>LINDA TUESTA</t>
  </si>
  <si>
    <t>STWUAR MACURI</t>
  </si>
  <si>
    <t>JUAN LOZA</t>
  </si>
  <si>
    <t>MEDALITH NESTARES</t>
  </si>
  <si>
    <t>JIMENA MEDINA</t>
  </si>
  <si>
    <t>MARIA HUARCAYA</t>
  </si>
  <si>
    <t>YENNY INGA</t>
  </si>
  <si>
    <t>DARYL FERREL</t>
  </si>
  <si>
    <t>CHRISTIAN ALVARADO</t>
  </si>
  <si>
    <t>HAROLD FLORES</t>
  </si>
  <si>
    <t>LYNDA PEREZ</t>
  </si>
  <si>
    <t>GINA HUAMANI</t>
  </si>
  <si>
    <t>KATHLEEN FLORES</t>
  </si>
  <si>
    <t>KATYUSCA LEVANO</t>
  </si>
  <si>
    <t>DARY VICHARRA</t>
  </si>
  <si>
    <t>VERONICA HUARCA</t>
  </si>
  <si>
    <t>JANETH PORTOCARRERO</t>
  </si>
  <si>
    <t>KIARA CANEPA</t>
  </si>
  <si>
    <t>GERALDINE ARROYO</t>
  </si>
  <si>
    <t>MARCO QUISPE</t>
  </si>
  <si>
    <t>CHRISTIAN ALBUJAR</t>
  </si>
  <si>
    <t>ANABEL SIHUE</t>
  </si>
  <si>
    <t>MAYRA AVALOS</t>
  </si>
  <si>
    <t>YEYMY HUERTA</t>
  </si>
  <si>
    <t>JAIR MARTINEZ</t>
  </si>
  <si>
    <t>ALEJANDRA QUISPE</t>
  </si>
  <si>
    <t>PIERINA TESEN</t>
  </si>
  <si>
    <t>ANALUCIA PONCE</t>
  </si>
  <si>
    <t>CRISTINA TICONA</t>
  </si>
  <si>
    <t>MELISSA GUERRERO</t>
  </si>
  <si>
    <t>RICHARD RODRIGUEZ</t>
  </si>
  <si>
    <t>MICAELA PEREZ</t>
  </si>
  <si>
    <t>JHONATAN CHAVEZ</t>
  </si>
  <si>
    <t>GILBERTO PURIZACA</t>
  </si>
  <si>
    <t>AURORA FAUSTOR</t>
  </si>
  <si>
    <t>LUCERO JORDAN</t>
  </si>
  <si>
    <t>ANTHONY TORRES</t>
  </si>
  <si>
    <t>MERLY CORONEL</t>
  </si>
  <si>
    <t>GIULIANA QUISPE</t>
  </si>
  <si>
    <t>ERIKA VILLAR</t>
  </si>
  <si>
    <t>SARITA GARAY</t>
  </si>
  <si>
    <t>NARDIA URPIS</t>
  </si>
  <si>
    <t>MARIA TINTAYA</t>
  </si>
  <si>
    <t>VICTOR RAMIREZ</t>
  </si>
  <si>
    <t>JUAN ALANOCCA</t>
  </si>
  <si>
    <t>URSULA CENTENO</t>
  </si>
  <si>
    <t>NATALIA MARIN</t>
  </si>
  <si>
    <t>DANIEL ZAPATA</t>
  </si>
  <si>
    <t>DAVID SANCHEZ</t>
  </si>
  <si>
    <t>CINTHYA PAUCAR</t>
  </si>
  <si>
    <t>ISABEL BEJARANO</t>
  </si>
  <si>
    <t>RAQUEL RICO</t>
  </si>
  <si>
    <t>ANTHONY VICENTE</t>
  </si>
  <si>
    <t>SOLMAIRA BRAVO</t>
  </si>
  <si>
    <t>AL_AC</t>
  </si>
  <si>
    <t>ASER_</t>
  </si>
  <si>
    <t>CLASIFICACIÓN</t>
  </si>
  <si>
    <t>META</t>
  </si>
  <si>
    <t>MISHEL MORALES</t>
  </si>
  <si>
    <t>ANGELO SUAREZ</t>
  </si>
  <si>
    <t>GERSON LAZARO</t>
  </si>
  <si>
    <t>SUPER</t>
  </si>
  <si>
    <t>RECUPERO</t>
  </si>
  <si>
    <t>JESSICA MELGAREJO</t>
  </si>
  <si>
    <t>NOEMI CHUQUILIN</t>
  </si>
  <si>
    <t>JHOHAN CONTRERAS</t>
  </si>
  <si>
    <t>LUPITA HIDALGO</t>
  </si>
  <si>
    <t>JAIME TUMIALAN</t>
  </si>
  <si>
    <t>LUIS RUIZ</t>
  </si>
  <si>
    <t>ROBERTO RODRIGUEZ</t>
  </si>
  <si>
    <t>ROCIO TERRONES</t>
  </si>
  <si>
    <t>CARLOS CALAGUA</t>
  </si>
  <si>
    <t>FRANK PACORA</t>
  </si>
  <si>
    <t>JOANA GIL</t>
  </si>
  <si>
    <t>MICHAEL TAFUR</t>
  </si>
  <si>
    <t>ASESOR_CRR</t>
  </si>
  <si>
    <t>ALEJANDRO GONZALES</t>
  </si>
  <si>
    <t>MARCO SARMIENTO</t>
  </si>
  <si>
    <t>ANDREA ALEJOS</t>
  </si>
  <si>
    <t>JOSUE VILCHEZ</t>
  </si>
  <si>
    <t>ROSA ROJAS</t>
  </si>
  <si>
    <t>JACQUELINE COLLAHUACHO</t>
  </si>
  <si>
    <t>MELITA</t>
  </si>
  <si>
    <t>JERSON RIVERA</t>
  </si>
  <si>
    <t>PAMELA ALBITES</t>
  </si>
  <si>
    <t>BRYAN VELASQUEZ</t>
  </si>
  <si>
    <t>MARIA GONZALES</t>
  </si>
  <si>
    <t>MAURICIO MARTINEZ</t>
  </si>
  <si>
    <t>MARCELIT LOPEZ</t>
  </si>
  <si>
    <t>JEREMIAS ROJAS</t>
  </si>
  <si>
    <t>JOSUE CHOCCE</t>
  </si>
  <si>
    <t>GUSTAVO</t>
  </si>
  <si>
    <t>JOHAN</t>
  </si>
  <si>
    <t>ORIANA ARANA</t>
  </si>
  <si>
    <t>HARLINGTON VIDAL</t>
  </si>
  <si>
    <t>ROGGER RODRIGUEZ</t>
  </si>
  <si>
    <t>EDSON MAMANI</t>
  </si>
  <si>
    <t>ESTRELLA TINTAYA</t>
  </si>
  <si>
    <t>LIZETH RAMIREZ</t>
  </si>
  <si>
    <t>MIRYAM YAPU</t>
  </si>
  <si>
    <t>SUPERVISOR</t>
  </si>
  <si>
    <t>CARTERA</t>
  </si>
  <si>
    <t>META SUPER</t>
  </si>
  <si>
    <t>MES</t>
  </si>
  <si>
    <t>RECUPERO SUPERVISOR</t>
  </si>
  <si>
    <t>ALCANCE SUPERVISOR</t>
  </si>
  <si>
    <t>ENERO</t>
  </si>
  <si>
    <t>FEBRERO</t>
  </si>
  <si>
    <t>MARZO</t>
  </si>
  <si>
    <t>ABRIL</t>
  </si>
  <si>
    <t>MAYO</t>
  </si>
  <si>
    <t>JUNIO</t>
  </si>
  <si>
    <t>JULIO</t>
  </si>
  <si>
    <t>AGOSTO</t>
  </si>
  <si>
    <t>SETIEMBRE</t>
  </si>
  <si>
    <t>OCTUBRE</t>
  </si>
  <si>
    <t>NOVIEMBRE</t>
  </si>
  <si>
    <t>BBVA</t>
  </si>
  <si>
    <t>TRU-LAN</t>
  </si>
  <si>
    <t>IBK</t>
  </si>
  <si>
    <t>MIX</t>
  </si>
  <si>
    <t>OH-TRU</t>
  </si>
  <si>
    <t>BBVA - NUEVO</t>
  </si>
  <si>
    <t>IBK - NUEVO</t>
  </si>
  <si>
    <t>S3 - 4</t>
  </si>
  <si>
    <t>S2</t>
  </si>
  <si>
    <t>S1</t>
  </si>
  <si>
    <t>S3-4</t>
  </si>
  <si>
    <t>IBK/BBVA - NUEVO</t>
  </si>
  <si>
    <t>&gt;100%</t>
  </si>
  <si>
    <t>&gt;70%</t>
  </si>
  <si>
    <t>&gt;40%</t>
  </si>
  <si>
    <t>&gt;0%</t>
  </si>
  <si>
    <t>AÑO</t>
  </si>
  <si>
    <t>mes</t>
  </si>
  <si>
    <t>Equipo</t>
  </si>
  <si>
    <t>Meta_Equipo</t>
  </si>
  <si>
    <t>Meta_Asesor</t>
  </si>
  <si>
    <t>2025</t>
  </si>
  <si>
    <t>2023</t>
  </si>
  <si>
    <t>2024</t>
  </si>
  <si>
    <t>CARLA VALENCIA</t>
  </si>
  <si>
    <t>S2-3-4</t>
  </si>
  <si>
    <t>DICIEMBRE</t>
  </si>
  <si>
    <t>CONCAT</t>
  </si>
  <si>
    <t>RECUP</t>
  </si>
  <si>
    <t>SEGG</t>
  </si>
  <si>
    <t>1-Set</t>
  </si>
  <si>
    <t>2-Set</t>
  </si>
  <si>
    <t>3-Set</t>
  </si>
  <si>
    <t>4-Set</t>
  </si>
  <si>
    <t>5-Set</t>
  </si>
  <si>
    <t>8-Set</t>
  </si>
  <si>
    <t>9-Set</t>
  </si>
  <si>
    <t>10-Set</t>
  </si>
  <si>
    <t>11-Set</t>
  </si>
  <si>
    <t>12-Set</t>
  </si>
  <si>
    <t>15-Set</t>
  </si>
  <si>
    <t>16-Set</t>
  </si>
  <si>
    <t>17-Set</t>
  </si>
  <si>
    <t>18-Set</t>
  </si>
  <si>
    <t>19-Set</t>
  </si>
  <si>
    <t>22-Set</t>
  </si>
  <si>
    <t>23-Set</t>
  </si>
  <si>
    <t>24-Set</t>
  </si>
  <si>
    <t>25-Set</t>
  </si>
  <si>
    <t>26-Set</t>
  </si>
  <si>
    <t>29-Set</t>
  </si>
  <si>
    <t>30-Set</t>
  </si>
  <si>
    <t>SUPER2</t>
  </si>
  <si>
    <t>S0 - Set</t>
  </si>
  <si>
    <t>S0 - Nov</t>
  </si>
  <si>
    <t>DÍAS LABORABLES</t>
  </si>
  <si>
    <t>MARTIN VARGAS</t>
  </si>
  <si>
    <t>MARIA BARRIONUEVO</t>
  </si>
  <si>
    <t>2026</t>
  </si>
  <si>
    <t>S0</t>
  </si>
  <si>
    <t>alias</t>
  </si>
  <si>
    <t>LISELY ARIADNA MERA DAVILA</t>
  </si>
  <si>
    <t>JORDAN MAYA</t>
  </si>
  <si>
    <t>JORDAN JAVIER MAYA BALDEON</t>
  </si>
  <si>
    <t>LEONOR NAVARRO</t>
  </si>
  <si>
    <t>LEONOR MODESTA ÑAHUI NAVARRO</t>
  </si>
  <si>
    <t>ALEJANDRA QUISPE MAMANI</t>
  </si>
  <si>
    <t>JANETT MARIA PORTOCARRERO TORRES</t>
  </si>
  <si>
    <t>JIMENA MEDINA MAMANI</t>
  </si>
  <si>
    <t>KENNETH CUBA</t>
  </si>
  <si>
    <t>KENNETH KATZUO CUBA RODRIGUEZ</t>
  </si>
  <si>
    <t>JENY ROBERTA LAZARO FERNANDEZ</t>
  </si>
  <si>
    <t>JOHAN MAYA</t>
  </si>
  <si>
    <t>JOHAN DANIEL MAYA BALDEON</t>
  </si>
  <si>
    <t>MELINA AYRE</t>
  </si>
  <si>
    <t>MELINA NANCY AYRE VIVAS</t>
  </si>
  <si>
    <t>SANDY LOPEZ</t>
  </si>
  <si>
    <t>SANDY BEATRIZ LOPEZ BALVIN</t>
  </si>
  <si>
    <t>JULIO HIGA</t>
  </si>
  <si>
    <t>JULIO KAZUTO HIGA UCHIDA</t>
  </si>
  <si>
    <t>MAYRA LLIMPE</t>
  </si>
  <si>
    <t>MAYRA LLIMPE AUCCAPINA</t>
  </si>
  <si>
    <t>JOSE RAMOS</t>
  </si>
  <si>
    <t>JOSE LUIS RAMOS CARDENAS</t>
  </si>
  <si>
    <t>ALEJANDRO PORTURAS</t>
  </si>
  <si>
    <t>ALEJANDRO ENRIQUE PORTURAS SUSSONI</t>
  </si>
  <si>
    <t>ANGEL MARTINEZ</t>
  </si>
  <si>
    <t>ANGEL JESÚS MARTINEZ POMA</t>
  </si>
  <si>
    <t>CESAR MENACHO</t>
  </si>
  <si>
    <t>CESAR ANIBAL MENACHO PICON</t>
  </si>
  <si>
    <t>CAROLINA PICHILINGUE</t>
  </si>
  <si>
    <t>RITA CAROLINA PICHILINGUE FASÍL</t>
  </si>
  <si>
    <t>YVAN LUCERO</t>
  </si>
  <si>
    <t>YVAN ERICK LUCERO BUSTINZA</t>
  </si>
  <si>
    <t>NATALIA JASMIN MARIN SANCHEZ</t>
  </si>
  <si>
    <t>JESUS CHRISTIAN ANIBAL ALVARADO HUARANGA</t>
  </si>
  <si>
    <t>FRANK ANTONIO PACORA GARCIA</t>
  </si>
  <si>
    <t>CARMEN ROSA PUMA GALLEGOS</t>
  </si>
  <si>
    <t>JORGE PALOMINO</t>
  </si>
  <si>
    <t>JORGE ANTONIO PALOMINO DE LA CRUZ</t>
  </si>
  <si>
    <t>LUIS MIGUEL VALLADARES TAIPE</t>
  </si>
  <si>
    <t>MARIA VERONICA TASAYCO PACHECO DE MEZA</t>
  </si>
  <si>
    <t>FLOR MARIA TINTAYA PUMACAYO</t>
  </si>
  <si>
    <t>ANDERSON RODRIGUEZ MUÑOZ</t>
  </si>
  <si>
    <t>JUAN CARLOS LOZA DIAZ</t>
  </si>
  <si>
    <t>VERONICA ELSA HUARCA TABOADA</t>
  </si>
  <si>
    <t>GIANFRANCO PINEDO FLORES</t>
  </si>
  <si>
    <t>VICTOR ORLANDO RAMIREZ TORRES</t>
  </si>
  <si>
    <t>MALORY CRISTEL MONTEBLANCO CHICOMA</t>
  </si>
  <si>
    <t>JUAN MANUEL ALANOCCA LAUREANO</t>
  </si>
  <si>
    <t>EDWARD ESPINOZA</t>
  </si>
  <si>
    <t>EDWARD ESPINOZA TORRES</t>
  </si>
  <si>
    <t>GENESIS LEONOR  VICUÑA ARCASI</t>
  </si>
  <si>
    <t>MARGARITA PIANCHACHI DIAZ</t>
  </si>
  <si>
    <t>CRISTINA  TICONA LARICO</t>
  </si>
  <si>
    <t>URSULA GRACIELA CENTENO POMALAZA</t>
  </si>
  <si>
    <t>JHONATAN ALEXIS HECTOR CHAVEZ TINEO</t>
  </si>
  <si>
    <t>JEREMIAS HAGEO ROJAS HUAMAN</t>
  </si>
  <si>
    <t>ERIKA ROSSANA VILLAR ARIRUA</t>
  </si>
  <si>
    <t>ALEIDITH GUEVARA CHAVEZ</t>
  </si>
  <si>
    <t>SARITA JAQUELINE GARAY JURADO</t>
  </si>
  <si>
    <t>LUIS STWUAR MACURI SARAVIA</t>
  </si>
  <si>
    <t>SALVADOR CERNA</t>
  </si>
  <si>
    <t>SALVADOR ALEXIS CERNA NOMBERTO</t>
  </si>
  <si>
    <t>DANIEL ENRIQUE ZAPATA MOGOLLON</t>
  </si>
  <si>
    <t>EVELY JENNIFER TENORIO MIDMA</t>
  </si>
  <si>
    <t>JONATAN PACORA</t>
  </si>
  <si>
    <t>JONATÁN ELÍ PACORA VEGA</t>
  </si>
  <si>
    <t>ANALUCIA DEL CIELO PONCE LADINES</t>
  </si>
  <si>
    <t>ALEJANDRO ANDRES GONZALES SAYAN</t>
  </si>
  <si>
    <t>FRANCO JUAN HUAMANI CUCHO</t>
  </si>
  <si>
    <t>PIERINA MICHEL TESEN ESPINOZA</t>
  </si>
  <si>
    <t>LUCERO JAZMIN JORDAN SARAVIA</t>
  </si>
  <si>
    <t>MILAGROS QUIO HERRERA</t>
  </si>
  <si>
    <t>HAROLD ELIAS FLORES FLORES</t>
  </si>
  <si>
    <t>ROBERTO ARAKAKI</t>
  </si>
  <si>
    <t>ROBERTO HIROSHI ARAKAKI RODRIGUEZ</t>
  </si>
  <si>
    <t>DAVID CHRISTIANS SANCHEZ SANCHEZ</t>
  </si>
  <si>
    <t>KIARA ESTEFANIA CANEPA IGLESIAS</t>
  </si>
  <si>
    <t>GIANNINA RAQUEL AGUILAR MEGO</t>
  </si>
  <si>
    <t>ROBERTO INZUA</t>
  </si>
  <si>
    <t>ROBERTO CARLOS INZUA ABANTO</t>
  </si>
  <si>
    <t>JHON PULACHE</t>
  </si>
  <si>
    <t>JHON ALEXANDER PULACHE CHANTA</t>
  </si>
  <si>
    <t>GINA GEORFFINO</t>
  </si>
  <si>
    <t>GINA SOFIA GEORFFINO TOLEDO</t>
  </si>
  <si>
    <t>ALONSO PRADO</t>
  </si>
  <si>
    <t>PRADO CHIRA ALONSO</t>
  </si>
  <si>
    <t>JORGE CAPRISTAN</t>
  </si>
  <si>
    <t>JORGE ESTEBAN CAPRISTAN CACERES</t>
  </si>
  <si>
    <t>LUIS CUSTODIO</t>
  </si>
  <si>
    <t>CUSTODIO GARCIA LUIS ANTONIO</t>
  </si>
  <si>
    <t>JESSICA GABRIELA MELGAREJO CAJAHUANCA</t>
  </si>
  <si>
    <t>GERALDINE ARROYO TENORIO</t>
  </si>
  <si>
    <t>ANDERSON MELGAREJO</t>
  </si>
  <si>
    <t>YAREN ANDERSON MELGAREJO CUENCA</t>
  </si>
  <si>
    <t>KATTERIN HIDALGO</t>
  </si>
  <si>
    <t>KATTERIN HIDALGO MORAN</t>
  </si>
  <si>
    <t>ALEJANDRO ROMERO</t>
  </si>
  <si>
    <t>LUIS ALEJANDRO ROMERO ESPEJO</t>
  </si>
  <si>
    <t>MARIA DEL CARMEN HUARCAYA ZORRILLA</t>
  </si>
  <si>
    <t>MAYRA LEYVIS ELIZABETH AVALOS LAZO</t>
  </si>
  <si>
    <t>JORGE VASQUEZ</t>
  </si>
  <si>
    <t>JORGE LUIS VASQUEZ  PEZO</t>
  </si>
  <si>
    <t>MATIAS SUAREZ</t>
  </si>
  <si>
    <t>MATIAS ALEJANDRO SUAREZ MONROY</t>
  </si>
  <si>
    <t>NOEMI CHUQUILIN MENDOZA</t>
  </si>
  <si>
    <t>NIELS MALLQUI</t>
  </si>
  <si>
    <t>NIELS RANDY MALLQUI PARRA</t>
  </si>
  <si>
    <t>BRYAN MANSILLA</t>
  </si>
  <si>
    <t>BRYAN AXEL MANSILLA CHOCCETOY</t>
  </si>
  <si>
    <t>MADELEINE MACHADO</t>
  </si>
  <si>
    <t>MADELEINE JENNIFER MACHADO LUCAS</t>
  </si>
  <si>
    <t>MAURO ADAUTO</t>
  </si>
  <si>
    <t>MAURO IMANOL OBERMEYER  ADAUTO ANGULO</t>
  </si>
  <si>
    <t>SCOTT ORELLANA</t>
  </si>
  <si>
    <t>SCOTT  ORELLANA ACOSTA</t>
  </si>
  <si>
    <t>ERNESTO PIZARRO</t>
  </si>
  <si>
    <t>ERNESTO  PIZARRO CAMPOS</t>
  </si>
  <si>
    <t>ROBERT MANGUINURI</t>
  </si>
  <si>
    <t>ROBERT BRANDO MANGUINURI SANCHEZ</t>
  </si>
  <si>
    <t>GABRIEL CABANA</t>
  </si>
  <si>
    <t>GABRIEL ALESSANDRO CABANA CAZANI</t>
  </si>
  <si>
    <t>ALISTER VENTO</t>
  </si>
  <si>
    <t>ALISTER VENTO TAPIA</t>
  </si>
  <si>
    <t>CARLA ESTEFANIA VAALENCIA NUÑEZ</t>
  </si>
  <si>
    <t>RODRIGO PAREDES</t>
  </si>
  <si>
    <t>HERNAN RODRIGO PAREDES ROCA</t>
  </si>
  <si>
    <t>JORGE LAURA</t>
  </si>
  <si>
    <t>JORGE ENRIQUE LAURA LEON</t>
  </si>
  <si>
    <t>NOMBRE</t>
  </si>
  <si>
    <t>FEC_NAC</t>
  </si>
  <si>
    <t>STAFF</t>
  </si>
  <si>
    <t>PUESTO</t>
  </si>
  <si>
    <t>DIA</t>
  </si>
  <si>
    <t>PUESTO REAL</t>
  </si>
  <si>
    <t>ASESOR DE COBRANZA</t>
  </si>
  <si>
    <t>ANALISTA DE FINANZAS</t>
  </si>
  <si>
    <t>ANALISTA DE ESTRATEGIA DE PORTAFOLIO</t>
  </si>
  <si>
    <t>ASISTENTE EJECUTIVA</t>
  </si>
  <si>
    <t>GERENTE DE OPERACIONES</t>
  </si>
  <si>
    <t>ANALISTA ESTRATÉGICO DE INFORMACIÓN</t>
  </si>
  <si>
    <t>SUBGERENTE DE ESTRATEGIA DE PORTAFOLIOS</t>
  </si>
  <si>
    <t>ANALISTA DE ESTRATEGIA Y DESEMPEÑO</t>
  </si>
  <si>
    <t>ASISTENTE DE GERENCIA</t>
  </si>
  <si>
    <t>GERENTE DE PROYECTOS Y CONSULTORIA</t>
  </si>
  <si>
    <t>ANALISTA DE SOPORTE Y TI</t>
  </si>
  <si>
    <t>ANALISTA DE OPERACIONES</t>
  </si>
  <si>
    <t>SUPERVISOR SENIOR DE COBRANZAS – BPO</t>
  </si>
  <si>
    <t>SUBGERENTE DE TI Y PROCESOS</t>
  </si>
  <si>
    <t>ANALISTA DE TESORERIA</t>
  </si>
  <si>
    <t>ASISTENTE DE ARCHIVO</t>
  </si>
  <si>
    <t>PRACTICANTE DE ESTRATEGIA Y DESARROLLO</t>
  </si>
  <si>
    <t>TRABAJADORA SOCIAL</t>
  </si>
  <si>
    <t>ANALISTA DE ESTRATEGIA DE COBRANZAS</t>
  </si>
  <si>
    <t>BACK OFFICE</t>
  </si>
  <si>
    <t>PRACTICANTE JUDICIAL Y LEGAL</t>
  </si>
  <si>
    <t>CONTADOR</t>
  </si>
  <si>
    <t>ANALISTA GTR - SENIOR</t>
  </si>
  <si>
    <t>ASISTENTE CONTABLE</t>
  </si>
  <si>
    <t>PRACTICANTE DE DESARROLLO Y MEJORA CONTINUA</t>
  </si>
  <si>
    <t>JEFE DE ESTRATEGIA</t>
  </si>
  <si>
    <t>ANALISTA DE INNOVACION</t>
  </si>
  <si>
    <t>PRACTICANTE DE ESTRATEGIA DE COBRANZAS</t>
  </si>
  <si>
    <t>ANALISTA DE TI</t>
  </si>
  <si>
    <t>ABOGADO</t>
  </si>
  <si>
    <t>DNI</t>
  </si>
  <si>
    <t>ELVIS GUERRERA</t>
  </si>
  <si>
    <t>FECHA DE INGRESO</t>
  </si>
  <si>
    <t>73930771</t>
  </si>
  <si>
    <t>70477743</t>
  </si>
  <si>
    <t>09880053</t>
  </si>
  <si>
    <t>72512391</t>
  </si>
  <si>
    <t>46819930</t>
  </si>
  <si>
    <t>77256395</t>
  </si>
  <si>
    <t>70876605</t>
  </si>
  <si>
    <t>76936674</t>
  </si>
  <si>
    <t>46461021</t>
  </si>
  <si>
    <t>47029782</t>
  </si>
  <si>
    <t>45262585</t>
  </si>
  <si>
    <t>48584670</t>
  </si>
  <si>
    <t>41005089</t>
  </si>
  <si>
    <t>72197469</t>
  </si>
  <si>
    <t>42251780</t>
  </si>
  <si>
    <t>72162930</t>
  </si>
  <si>
    <t>70135127</t>
  </si>
  <si>
    <t>46191595</t>
  </si>
  <si>
    <t>10706451</t>
  </si>
  <si>
    <t>74318905</t>
  </si>
  <si>
    <t>76656128</t>
  </si>
  <si>
    <t>70988976</t>
  </si>
  <si>
    <t>10491198</t>
  </si>
  <si>
    <t>72733809</t>
  </si>
  <si>
    <t>75882265</t>
  </si>
  <si>
    <t>76547598</t>
  </si>
  <si>
    <t>72287957</t>
  </si>
  <si>
    <t>76917479</t>
  </si>
  <si>
    <t>76824571</t>
  </si>
  <si>
    <t>60914051</t>
  </si>
  <si>
    <t>44042880</t>
  </si>
  <si>
    <t>47587400</t>
  </si>
  <si>
    <t>44001162</t>
  </si>
  <si>
    <t>73203775</t>
  </si>
  <si>
    <t>76089925</t>
  </si>
  <si>
    <t>45596891</t>
  </si>
  <si>
    <t>73725129</t>
  </si>
  <si>
    <t>72758956</t>
  </si>
  <si>
    <t>73507270</t>
  </si>
  <si>
    <t>47982910</t>
  </si>
  <si>
    <t>47218693</t>
  </si>
  <si>
    <t>40318129</t>
  </si>
  <si>
    <t>43307898</t>
  </si>
  <si>
    <t>74626735</t>
  </si>
  <si>
    <t>72839865</t>
  </si>
  <si>
    <t>60976055</t>
  </si>
  <si>
    <t>72716299</t>
  </si>
  <si>
    <t>76586998</t>
  </si>
  <si>
    <t>48307357</t>
  </si>
  <si>
    <t>71264767</t>
  </si>
  <si>
    <t>45139159</t>
  </si>
  <si>
    <t>60870839</t>
  </si>
  <si>
    <t>76214436</t>
  </si>
  <si>
    <t>10133668</t>
  </si>
  <si>
    <t>45084594</t>
  </si>
  <si>
    <t>43614775</t>
  </si>
  <si>
    <t>43749189</t>
  </si>
  <si>
    <t>40702064</t>
  </si>
  <si>
    <t>46793103</t>
  </si>
  <si>
    <t>47659267</t>
  </si>
  <si>
    <t>80689573</t>
  </si>
  <si>
    <t>73257316</t>
  </si>
  <si>
    <t>72519113</t>
  </si>
  <si>
    <t>70551168</t>
  </si>
  <si>
    <t>74996029</t>
  </si>
  <si>
    <t>48352539</t>
  </si>
  <si>
    <t>72413556</t>
  </si>
  <si>
    <t>72373931</t>
  </si>
  <si>
    <t>48090652</t>
  </si>
  <si>
    <t>71918087</t>
  </si>
  <si>
    <t>40980108</t>
  </si>
  <si>
    <t>47690367</t>
  </si>
  <si>
    <t>81647899</t>
  </si>
  <si>
    <t>40061791</t>
  </si>
  <si>
    <t>71262377</t>
  </si>
  <si>
    <t>43611146</t>
  </si>
  <si>
    <t>70710152</t>
  </si>
  <si>
    <t>72074706</t>
  </si>
  <si>
    <t>46587976</t>
  </si>
  <si>
    <t>70187203</t>
  </si>
  <si>
    <t>46593072</t>
  </si>
  <si>
    <t>72845450</t>
  </si>
  <si>
    <t>30960782</t>
  </si>
  <si>
    <t>70451474</t>
  </si>
  <si>
    <t>48344037</t>
  </si>
  <si>
    <t>44470294</t>
  </si>
  <si>
    <t>43326332</t>
  </si>
  <si>
    <t>70761943</t>
  </si>
  <si>
    <t>45468175</t>
  </si>
  <si>
    <t>75439643</t>
  </si>
  <si>
    <t>47411966</t>
  </si>
  <si>
    <t>77655074</t>
  </si>
  <si>
    <t>74799185</t>
  </si>
  <si>
    <t>48663317</t>
  </si>
  <si>
    <t>77017205</t>
  </si>
  <si>
    <t>70155949</t>
  </si>
  <si>
    <t>45119892</t>
  </si>
  <si>
    <t>73725149</t>
  </si>
  <si>
    <t>70065038</t>
  </si>
  <si>
    <t>70951123</t>
  </si>
  <si>
    <t>47902379</t>
  </si>
  <si>
    <t>45413266</t>
  </si>
  <si>
    <t>09996175</t>
  </si>
  <si>
    <t>47322258</t>
  </si>
  <si>
    <t>75346810</t>
  </si>
  <si>
    <t>73708621</t>
  </si>
  <si>
    <t>74602206</t>
  </si>
  <si>
    <t>73040632</t>
  </si>
  <si>
    <t>71210210</t>
  </si>
  <si>
    <t>46938414</t>
  </si>
  <si>
    <t>41285428</t>
  </si>
  <si>
    <t>47005973</t>
  </si>
  <si>
    <t>42466102</t>
  </si>
  <si>
    <t>46994661</t>
  </si>
  <si>
    <t>GENESIS PALACIOS</t>
  </si>
  <si>
    <t>GENESIS DUBEISY PALACIOS ALAMA</t>
  </si>
  <si>
    <t>ERIKA PANTA</t>
  </si>
  <si>
    <t>ERIKA YESMIN PANTA MONTALVAN</t>
  </si>
  <si>
    <t>PAOLA SANTOS</t>
  </si>
  <si>
    <t>09668687</t>
  </si>
  <si>
    <t>ESTADO</t>
  </si>
  <si>
    <t>VACACIONES</t>
  </si>
  <si>
    <t>CALL</t>
  </si>
  <si>
    <t>CARTERA ASESOR</t>
  </si>
  <si>
    <t>2</t>
  </si>
  <si>
    <t>5</t>
  </si>
  <si>
    <t>6</t>
  </si>
  <si>
    <t>7</t>
  </si>
  <si>
    <t>8</t>
  </si>
  <si>
    <t>9</t>
  </si>
  <si>
    <t>12</t>
  </si>
  <si>
    <t>13</t>
  </si>
  <si>
    <t>14</t>
  </si>
  <si>
    <t>15</t>
  </si>
  <si>
    <t>16</t>
  </si>
  <si>
    <t>19</t>
  </si>
  <si>
    <t>20</t>
  </si>
  <si>
    <t>21</t>
  </si>
  <si>
    <t>22</t>
  </si>
  <si>
    <t>23</t>
  </si>
  <si>
    <t>26</t>
  </si>
  <si>
    <t>27</t>
  </si>
  <si>
    <t>28</t>
  </si>
  <si>
    <t>29</t>
  </si>
  <si>
    <t>30</t>
  </si>
  <si>
    <t>31</t>
  </si>
  <si>
    <t>3</t>
  </si>
  <si>
    <t>10</t>
  </si>
  <si>
    <t>17</t>
  </si>
  <si>
    <t>24</t>
  </si>
  <si>
    <t>4</t>
  </si>
  <si>
    <t>11</t>
  </si>
  <si>
    <t>18</t>
  </si>
  <si>
    <t>25</t>
  </si>
  <si>
    <t>1</t>
  </si>
  <si>
    <t>44883074</t>
  </si>
  <si>
    <t>47497410</t>
  </si>
  <si>
    <t>75069320</t>
  </si>
  <si>
    <t>MARISOL FERNANDEZ</t>
  </si>
  <si>
    <t>PAULO CIUDAD</t>
  </si>
  <si>
    <t>77429428</t>
  </si>
  <si>
    <t>75717060</t>
  </si>
  <si>
    <t>LISBETH RODRIGUEZ</t>
  </si>
  <si>
    <t>47499807</t>
  </si>
  <si>
    <t>ANTHONY DEYVIS VICENTE LUYO</t>
  </si>
  <si>
    <t>ROBERTO HUILLCA</t>
  </si>
  <si>
    <t>75026229</t>
  </si>
  <si>
    <t>62792399</t>
  </si>
  <si>
    <t>75197920</t>
  </si>
  <si>
    <t/>
  </si>
  <si>
    <t>JOSELIN MONTALVO</t>
  </si>
  <si>
    <t>73233992 </t>
  </si>
  <si>
    <t>JESSICA CASTRO</t>
  </si>
  <si>
    <t>LIZ INGA</t>
  </si>
  <si>
    <t>46420334</t>
  </si>
  <si>
    <t>48484524</t>
  </si>
  <si>
    <t>RICHARD TORRES</t>
  </si>
  <si>
    <t>76257288</t>
  </si>
  <si>
    <t>SONIA SULLA</t>
  </si>
  <si>
    <t>FECHA DE INICIO</t>
  </si>
  <si>
    <t>ANALISTA DE PLANILLAS</t>
  </si>
  <si>
    <t>ASESOR DE COBRANZAS</t>
  </si>
  <si>
    <t>JOSELIN MARIVEL MONTALVO GASPAR</t>
  </si>
  <si>
    <t>SONIA ISELA SULLA MARTINEZ</t>
  </si>
  <si>
    <t>JEAN ARTEAGA</t>
  </si>
  <si>
    <t>JENY QUINONES</t>
  </si>
  <si>
    <t>JESSYKA GARCIA</t>
  </si>
  <si>
    <t>NICOLE CAURURO</t>
  </si>
  <si>
    <t>SEGMENTO</t>
  </si>
  <si>
    <t>FECHA</t>
  </si>
  <si>
    <t>EQUIPO</t>
  </si>
  <si>
    <t>CONDICION</t>
  </si>
  <si>
    <t>TIPO</t>
  </si>
  <si>
    <t>MESES ANTIGÜEDAD</t>
  </si>
  <si>
    <t>FECHA DE CESE</t>
  </si>
  <si>
    <t>2025_10</t>
  </si>
  <si>
    <t>FIJO</t>
  </si>
  <si>
    <t>LUIS AGUANAR</t>
  </si>
  <si>
    <t>CESADO</t>
  </si>
  <si>
    <t>2025_11</t>
  </si>
  <si>
    <t>2025_12</t>
  </si>
  <si>
    <t>2026_1</t>
  </si>
  <si>
    <t>2026_2</t>
  </si>
  <si>
    <t>GUSTAVO TORRES</t>
  </si>
  <si>
    <t>S0 - IBK</t>
  </si>
  <si>
    <t>S0 - BBVA</t>
  </si>
  <si>
    <t>2026_3</t>
  </si>
  <si>
    <t>S2-3-4 BANCO</t>
  </si>
  <si>
    <t>S2-3-4 MIX</t>
  </si>
  <si>
    <t>DIGITAL</t>
  </si>
  <si>
    <t>CESAR GONZALES</t>
  </si>
  <si>
    <t>CESAR MANUEL GONZALES ARONES</t>
  </si>
  <si>
    <t>SEBASTIAN GUZMAN</t>
  </si>
  <si>
    <t>PRACTICANTE DE DESARROLLO WEB</t>
  </si>
  <si>
    <t>SEBASTIAN ANDRES GUZMAN SOTO</t>
  </si>
  <si>
    <t>CARLOS QUINTANILLA</t>
  </si>
  <si>
    <t>ANALISTA GTR</t>
  </si>
  <si>
    <t>CARLOS QUINTANILLA CASTRO</t>
  </si>
  <si>
    <t>NICOLE KARINA CAURURO TAMARA</t>
  </si>
  <si>
    <t>2026_4</t>
  </si>
  <si>
    <t>JEREMY RODRIGUEZ</t>
  </si>
  <si>
    <t>FERNANDA APAZA</t>
  </si>
  <si>
    <t>ZAYDA CORTEZ</t>
  </si>
  <si>
    <t>LICENCIA</t>
  </si>
  <si>
    <t xml:space="preserve">FERNANDA APAZA </t>
  </si>
  <si>
    <t>LISELY</t>
  </si>
  <si>
    <t>2026_5</t>
  </si>
  <si>
    <t>MAIZA FERNANDA APAZA QUISPE</t>
  </si>
  <si>
    <t>LUIS MARIO CENTENO LEGUIA</t>
  </si>
  <si>
    <t>JEREMY GIANCARLO RODRIGUEZ LOZADA</t>
  </si>
  <si>
    <t>JOSE ISLA</t>
  </si>
  <si>
    <t>ANALISTA PLANIFICACION FINANCIERA</t>
  </si>
  <si>
    <t>JOSE OCTAVIO ISLA LOPEZ</t>
  </si>
  <si>
    <t>PATRICIA BENITES</t>
  </si>
  <si>
    <t>ANALISTA JUNIOR DE TESORERIA</t>
  </si>
  <si>
    <t>PATRICIA GERALDINE BENITES PURIZACA</t>
  </si>
  <si>
    <t>XIMENA SALDARRIAGA</t>
  </si>
  <si>
    <t>ANALISTA DE PROCESOS</t>
  </si>
  <si>
    <t>XIMENA SALDARRIAGA ZULUAGA</t>
  </si>
  <si>
    <t>DIXOR GAYOSO</t>
  </si>
  <si>
    <t>ANALISTA DE SOPORTE E INFRAESTRUCTURA</t>
  </si>
  <si>
    <t>DIXOR RONALD GAYOSO PEREZ</t>
  </si>
  <si>
    <t>VALERIA VALVERDE</t>
  </si>
  <si>
    <t>VALERIA YALI VALVERDE FLORES</t>
  </si>
  <si>
    <t>ZAYDA ALEXANDRA CORTEZ DIAZ</t>
  </si>
  <si>
    <t>ANALISTA BUSINESS INTELLIGENCE</t>
  </si>
  <si>
    <t>ANALISTA DE INVERSIONES</t>
  </si>
  <si>
    <t>CONSTRUCCION</t>
  </si>
  <si>
    <t>VISTA</t>
  </si>
  <si>
    <t>2026_6</t>
  </si>
  <si>
    <t>COINVERSIÓN</t>
  </si>
  <si>
    <t>KATHERINE QUISPE</t>
  </si>
  <si>
    <t xml:space="preserve">JIMENA MEDINA </t>
  </si>
  <si>
    <t xml:space="preserve">JEREMY RODRIGUEZ </t>
  </si>
  <si>
    <t xml:space="preserve">KIARA CANEPA </t>
  </si>
  <si>
    <t xml:space="preserve">SARITA GARAY </t>
  </si>
  <si>
    <t>INDICADORES</t>
  </si>
  <si>
    <t>EXPERTIS</t>
  </si>
  <si>
    <t>Infinity</t>
  </si>
  <si>
    <t>JENY QUIÑONES</t>
  </si>
  <si>
    <t>IND_canal</t>
  </si>
  <si>
    <t>IND_equipo</t>
  </si>
  <si>
    <t>IND_alias</t>
  </si>
  <si>
    <t>IND_Fecha</t>
  </si>
  <si>
    <t>IND_Cantidad Asesores</t>
  </si>
  <si>
    <t>IND_Tardanza</t>
  </si>
  <si>
    <t>IND_%puntualidad</t>
  </si>
  <si>
    <t>IND_%Falta</t>
  </si>
  <si>
    <t>IND_Tiempo Tardanza - Promedio</t>
  </si>
  <si>
    <t>IND_Tardanza Tiempo</t>
  </si>
  <si>
    <t>IND_Tiempo Manual</t>
  </si>
  <si>
    <t>IND_Tiempo Discador</t>
  </si>
  <si>
    <t>IND_Clientes Gestionados</t>
  </si>
  <si>
    <t>IND_Gestiones</t>
  </si>
  <si>
    <t>IND_CEF Unico</t>
  </si>
  <si>
    <t>IND_Intensidad CEF</t>
  </si>
  <si>
    <t>IND_Ticket CEF</t>
  </si>
  <si>
    <t>IND_Contactabilidad</t>
  </si>
  <si>
    <t>IND_PDP</t>
  </si>
  <si>
    <t>IND_Cierre</t>
  </si>
  <si>
    <t>IND_Ticket PDP</t>
  </si>
  <si>
    <t>IND_Recupero</t>
  </si>
  <si>
    <t>IND_Ticket Pago</t>
  </si>
  <si>
    <t>IND_Calidad PDP</t>
  </si>
  <si>
    <t>IND_Condonacion</t>
  </si>
  <si>
    <t>IND_Score</t>
  </si>
  <si>
    <t>CIERRE</t>
  </si>
  <si>
    <t>CALIDAD</t>
  </si>
  <si>
    <t>PUNT</t>
  </si>
  <si>
    <t>IND_DIASLAB</t>
  </si>
  <si>
    <t>IND_MontoPDP</t>
  </si>
  <si>
    <t>1.9411764705882353</t>
  </si>
  <si>
    <t>2.6363636363636362</t>
  </si>
  <si>
    <t>2.1333333333333333</t>
  </si>
  <si>
    <t>1.6363636363636365</t>
  </si>
  <si>
    <t>1.6666666666666667</t>
  </si>
  <si>
    <t>1.4516129032258065</t>
  </si>
  <si>
    <t>1.7037037037037037</t>
  </si>
  <si>
    <t>1.3529411764705883</t>
  </si>
  <si>
    <t>2.0952380952380953</t>
  </si>
  <si>
    <t>1.8571428571428572</t>
  </si>
  <si>
    <t>1.4545454545454546</t>
  </si>
  <si>
    <t>2.0454545454545454</t>
  </si>
  <si>
    <t>1.4210526315789473</t>
  </si>
  <si>
    <t>1.894736842105263</t>
  </si>
  <si>
    <t>2.5714285714285716</t>
  </si>
  <si>
    <t>2.0789473684210527</t>
  </si>
  <si>
    <t>2.1176470588235294</t>
  </si>
  <si>
    <t>2.3333333333333335</t>
  </si>
  <si>
    <t>1.1176470588235294</t>
  </si>
  <si>
    <t>2.1666666666666665</t>
  </si>
  <si>
    <t>1.8888888888888888</t>
  </si>
  <si>
    <t>1.5789473684210527</t>
  </si>
  <si>
    <t>1.0869565217391304</t>
  </si>
  <si>
    <t>1.0909090909090908</t>
  </si>
  <si>
    <t>1.1428571428571428</t>
  </si>
  <si>
    <t>1.7272727272727273</t>
  </si>
  <si>
    <t>1.903225806451613</t>
  </si>
  <si>
    <t>1.4444444444444444</t>
  </si>
  <si>
    <t>1.5909090909090908</t>
  </si>
  <si>
    <t>2.2941176470588234</t>
  </si>
  <si>
    <t>2.142857142857143</t>
  </si>
  <si>
    <t>1.696969696969697</t>
  </si>
  <si>
    <t>2.5652173913043477</t>
  </si>
  <si>
    <t>1.8333333333333333</t>
  </si>
  <si>
    <t>1.5384615384615385</t>
  </si>
  <si>
    <t>1.9285714285714286</t>
  </si>
  <si>
    <t>2.111111111111111</t>
  </si>
  <si>
    <t>2.2222222222222223</t>
  </si>
  <si>
    <t>1.9230769230769231</t>
  </si>
  <si>
    <t>1.1153846153846154</t>
  </si>
  <si>
    <t>2.2666666666666666</t>
  </si>
  <si>
    <t>1.6923076923076923</t>
  </si>
  <si>
    <t>1.4166666666666667</t>
  </si>
  <si>
    <t>2.235294117647059</t>
  </si>
  <si>
    <t>1.8695652173913044</t>
  </si>
  <si>
    <t>1.6111111111111112</t>
  </si>
  <si>
    <t>1.9166666666666667</t>
  </si>
  <si>
    <t>1.4090909090909092</t>
  </si>
  <si>
    <t>1.3333333333333333</t>
  </si>
  <si>
    <t>2.6296296296296298</t>
  </si>
  <si>
    <t>2.0357142857142856</t>
  </si>
  <si>
    <t>1.7894736842105263</t>
  </si>
  <si>
    <t>1.6071428571428572</t>
  </si>
  <si>
    <t>1.4666666666666666</t>
  </si>
  <si>
    <t>2.130434782608696</t>
  </si>
  <si>
    <t>1.736842105263158</t>
  </si>
  <si>
    <t>1.5555555555555556</t>
  </si>
  <si>
    <t>1.7692307692307692</t>
  </si>
  <si>
    <t>1.5294117647058822</t>
  </si>
  <si>
    <t>2.2142857142857144</t>
  </si>
  <si>
    <t>1.2857142857142858</t>
  </si>
  <si>
    <t>1.7916666666666667</t>
  </si>
  <si>
    <t>1.0833333333333333</t>
  </si>
  <si>
    <t>1.7307692307692308</t>
  </si>
  <si>
    <t>1.3076923076923077</t>
  </si>
  <si>
    <t>2.0714285714285716</t>
  </si>
  <si>
    <t>1.9583333333333333</t>
  </si>
  <si>
    <t>2.2857142857142856</t>
  </si>
  <si>
    <t>1.9655172413793103</t>
  </si>
  <si>
    <t>1.8666666666666667</t>
  </si>
  <si>
    <t>1.7727272727272727</t>
  </si>
  <si>
    <t>2.107142857142857</t>
  </si>
  <si>
    <t>1.7333333333333334</t>
  </si>
  <si>
    <t>1.4615384615384615</t>
  </si>
  <si>
    <t>1.8823529411764706</t>
  </si>
  <si>
    <t>1.5714285714285714</t>
  </si>
  <si>
    <t>2.1052631578947367</t>
  </si>
  <si>
    <t>1.7826086956521738</t>
  </si>
  <si>
    <t>1.826086956521739</t>
  </si>
  <si>
    <t>1.7777777777777777</t>
  </si>
  <si>
    <t>1.6774193548387097</t>
  </si>
  <si>
    <t>2.6842105263157894</t>
  </si>
  <si>
    <t>1.8095238095238095</t>
  </si>
  <si>
    <t>2.7142857142857144</t>
  </si>
  <si>
    <t>2.3846153846153846</t>
  </si>
  <si>
    <t>1.7222222222222223</t>
  </si>
  <si>
    <t>2.0833333333333335</t>
  </si>
  <si>
    <t>1.8076923076923077</t>
  </si>
  <si>
    <t>1.9743589743589745</t>
  </si>
  <si>
    <t>1.967741935483871</t>
  </si>
  <si>
    <t>1.8043478260869565</t>
  </si>
  <si>
    <t>1.8928571428571428</t>
  </si>
  <si>
    <t>1.6428571428571428</t>
  </si>
  <si>
    <t>2.263157894736842</t>
  </si>
  <si>
    <t>2.076923076923077</t>
  </si>
  <si>
    <t>2.6666666666666665</t>
  </si>
  <si>
    <t>1.7575757575757576</t>
  </si>
  <si>
    <t>1.2222222222222223</t>
  </si>
  <si>
    <t>1.5862068965517242</t>
  </si>
  <si>
    <t>1.1111111111111112</t>
  </si>
  <si>
    <t>2.5454545454545454</t>
  </si>
  <si>
    <t>1.8148148148148149</t>
  </si>
  <si>
    <t>2.0588235294117645</t>
  </si>
  <si>
    <t>1.0476190476190477</t>
  </si>
  <si>
    <t>1.7419354838709677</t>
  </si>
  <si>
    <t>2.739130434782609</t>
  </si>
  <si>
    <t>2.1739130434782608</t>
  </si>
  <si>
    <t>1.8518518518518519</t>
  </si>
  <si>
    <t>1.8285714285714285</t>
  </si>
  <si>
    <t>1.6538461538461537</t>
  </si>
  <si>
    <t>2.1538461538461537</t>
  </si>
  <si>
    <t>1.1666666666666667</t>
  </si>
  <si>
    <t>1.7058823529411764</t>
  </si>
  <si>
    <t>1.2777777777777777</t>
  </si>
  <si>
    <t>1.4642857142857142</t>
  </si>
  <si>
    <t>1.6764705882352942</t>
  </si>
  <si>
    <t>2.090909090909091</t>
  </si>
  <si>
    <t>1.8461538461538463</t>
  </si>
  <si>
    <t>1.9047619047619047</t>
  </si>
  <si>
    <t>1.9705882352941178</t>
  </si>
  <si>
    <t>2.0476190476190474</t>
  </si>
  <si>
    <t>1.8421052631578947</t>
  </si>
  <si>
    <t>1.6842105263157894</t>
  </si>
  <si>
    <t>1.4722222222222223</t>
  </si>
  <si>
    <t>1.3888888888888888</t>
  </si>
  <si>
    <t>1.7352941176470589</t>
  </si>
  <si>
    <t>1.7857142857142858</t>
  </si>
  <si>
    <t>1.565217391304348</t>
  </si>
  <si>
    <t>1.8064516129032258</t>
  </si>
  <si>
    <t>1.6153846153846154</t>
  </si>
  <si>
    <t>1.7297297297297298</t>
  </si>
  <si>
    <t>2.0384615384615383</t>
  </si>
  <si>
    <t>1.8235294117647058</t>
  </si>
  <si>
    <t>1.7142857142857142</t>
  </si>
  <si>
    <t>1.2352941176470589</t>
  </si>
  <si>
    <t>1.5769230769230769</t>
  </si>
  <si>
    <t>1.9545454545454546</t>
  </si>
  <si>
    <t>1.8181818181818181</t>
  </si>
  <si>
    <t>2.066666666666667</t>
  </si>
  <si>
    <t>1.4782608695652173</t>
  </si>
  <si>
    <t>1.7666666666666666</t>
  </si>
  <si>
    <t>1.5833333333333333</t>
  </si>
  <si>
    <t>1.457142857142857</t>
  </si>
  <si>
    <t>1.7804878048780488</t>
  </si>
  <si>
    <t>1.744186046511628</t>
  </si>
  <si>
    <t>2.5142857142857142</t>
  </si>
  <si>
    <t>1.8596491228070176</t>
  </si>
  <si>
    <t>1.619047619047619</t>
  </si>
  <si>
    <t>2.1379310344827585</t>
  </si>
  <si>
    <t>2.6956521739130435</t>
  </si>
  <si>
    <t>1.4705882352941178</t>
  </si>
  <si>
    <t>1.7647058823529411</t>
  </si>
  <si>
    <t>1.5675675675675675</t>
  </si>
  <si>
    <t>1.9615384615384615</t>
  </si>
  <si>
    <t>2.473684210526316</t>
  </si>
  <si>
    <t>1.0666666666666667</t>
  </si>
  <si>
    <t>1.9130434782608696</t>
  </si>
  <si>
    <t>1.608695652173913</t>
  </si>
  <si>
    <t>1.6756756756756757</t>
  </si>
  <si>
    <t>1.6296296296296295</t>
  </si>
  <si>
    <t>1.9777777777777779</t>
  </si>
  <si>
    <t>1.9428571428571428</t>
  </si>
  <si>
    <t>1.9722222222222223</t>
  </si>
  <si>
    <t>1.6451612903225807</t>
  </si>
  <si>
    <t>1.7428571428571429</t>
  </si>
  <si>
    <t>2.217391304347826</t>
  </si>
  <si>
    <t>1.631578947368421</t>
  </si>
  <si>
    <t>1.9393939393939394</t>
  </si>
  <si>
    <t>2.1363636363636362</t>
  </si>
  <si>
    <t>1.588235294117647</t>
  </si>
  <si>
    <t>2.259259259259259</t>
  </si>
  <si>
    <t>1.7714285714285714</t>
  </si>
  <si>
    <t>1.9310344827586208</t>
  </si>
  <si>
    <t>1.3846153846153846</t>
  </si>
  <si>
    <t>1.411764705882353</t>
  </si>
  <si>
    <t>1.5238095238095237</t>
  </si>
  <si>
    <t>1.5161290322580645</t>
  </si>
  <si>
    <t>1.5454545454545454</t>
  </si>
  <si>
    <t>1.3650793650793651</t>
  </si>
  <si>
    <t>1.6956521739130435</t>
  </si>
  <si>
    <t>1.4285714285714286</t>
  </si>
  <si>
    <t>2.074074074074074</t>
  </si>
  <si>
    <t>1.9090909090909092</t>
  </si>
  <si>
    <t>2.0869565217391304</t>
  </si>
  <si>
    <t>1.9565217391304348</t>
  </si>
  <si>
    <t>2.0416666666666665</t>
  </si>
  <si>
    <t>1.5217391304347827</t>
  </si>
  <si>
    <t>1.2666666666666666</t>
  </si>
  <si>
    <t>1.2380952380952381</t>
  </si>
  <si>
    <t>1.9333333333333333</t>
  </si>
  <si>
    <t>1.4150943396226414</t>
  </si>
  <si>
    <t>1.368421052631579</t>
  </si>
  <si>
    <t>1.7843137254901962</t>
  </si>
  <si>
    <t>2.033333333333333</t>
  </si>
  <si>
    <t>1.6818181818181819</t>
  </si>
  <si>
    <t>1.7407407407407407</t>
  </si>
  <si>
    <t>1.5517241379310345</t>
  </si>
  <si>
    <t>1.6206896551724137</t>
  </si>
  <si>
    <t>2.388888888888889</t>
  </si>
  <si>
    <t>1.5416666666666667</t>
  </si>
  <si>
    <t>1.9268292682926829</t>
  </si>
  <si>
    <t>1.5357142857142858</t>
  </si>
  <si>
    <t>1.829268292682927</t>
  </si>
  <si>
    <t>1.8636363636363635</t>
  </si>
  <si>
    <t>2.5384615384615383</t>
  </si>
  <si>
    <t>1.3714285714285714</t>
  </si>
  <si>
    <t>1.9523809523809523</t>
  </si>
  <si>
    <t>1.0714285714285714</t>
  </si>
  <si>
    <t>2.1463414634146343</t>
  </si>
  <si>
    <t>1.2307692307692308</t>
  </si>
  <si>
    <t>1.7424242424242424</t>
  </si>
  <si>
    <t>1.8275862068965518</t>
  </si>
  <si>
    <t>1.542857142857143</t>
  </si>
  <si>
    <t>2.5675675675675675</t>
  </si>
  <si>
    <t>2.1923076923076925</t>
  </si>
  <si>
    <t>2.484848484848485</t>
  </si>
  <si>
    <t>1.1538461538461537</t>
  </si>
  <si>
    <t>1.6382978723404256</t>
  </si>
  <si>
    <t>1.4827586206896552</t>
  </si>
  <si>
    <t>1.5757575757575757</t>
  </si>
  <si>
    <t>1.0588235294117647</t>
  </si>
  <si>
    <t>1.6470588235294117</t>
  </si>
  <si>
    <t>1.5945945945945945</t>
  </si>
  <si>
    <t>2.4523809523809526</t>
  </si>
  <si>
    <t>2.5166666666666666</t>
  </si>
  <si>
    <t>1.7391304347826086</t>
  </si>
  <si>
    <t>1.6785714285714286</t>
  </si>
  <si>
    <t>1.9454545454545455</t>
  </si>
  <si>
    <t>1.5333333333333334</t>
  </si>
  <si>
    <t>1.5526315789473684</t>
  </si>
  <si>
    <t>1.803921568627451</t>
  </si>
  <si>
    <t>2.2758620689655173</t>
  </si>
  <si>
    <t>1.4482758620689655</t>
  </si>
  <si>
    <t>1.653061224489796</t>
  </si>
  <si>
    <t>1.7741935483870968</t>
  </si>
  <si>
    <t>2.3636363636363638</t>
  </si>
  <si>
    <t>1.6285714285714286</t>
  </si>
  <si>
    <t>1.5952380952380953</t>
  </si>
  <si>
    <t>1.6585365853658536</t>
  </si>
  <si>
    <t>1.6136363636363635</t>
  </si>
  <si>
    <t>1.3870967741935485</t>
  </si>
  <si>
    <t>1.7246376811594204</t>
  </si>
  <si>
    <t>1.489795918367347</t>
  </si>
  <si>
    <t>1.7317073170731707</t>
  </si>
  <si>
    <t>1.945945945945946</t>
  </si>
  <si>
    <t>1.4864864864864864</t>
  </si>
  <si>
    <t>1.7547169811320755</t>
  </si>
  <si>
    <t>2.4838709677419355</t>
  </si>
  <si>
    <t>1.6571428571428573</t>
  </si>
  <si>
    <t>1.4583333333333333</t>
  </si>
  <si>
    <t>1.8857142857142857</t>
  </si>
  <si>
    <t>1.4736842105263157</t>
  </si>
  <si>
    <t>1.5806451612903225</t>
  </si>
  <si>
    <t>1.9714285714285715</t>
  </si>
  <si>
    <t>1.673913043478261</t>
  </si>
  <si>
    <t>1.6904761904761905</t>
  </si>
  <si>
    <t>1.7291666666666667</t>
  </si>
  <si>
    <t>1.4814814814814814</t>
  </si>
  <si>
    <t>2.0533333333333332</t>
  </si>
  <si>
    <t>2.3564356435643563</t>
  </si>
  <si>
    <t>1.9142857142857144</t>
  </si>
  <si>
    <t>2.2058823529411766</t>
  </si>
  <si>
    <t>2.391304347826087</t>
  </si>
  <si>
    <t>1.7674418604651163</t>
  </si>
  <si>
    <t>1.3225806451612903</t>
  </si>
  <si>
    <t>1.8055555555555556</t>
  </si>
  <si>
    <t>1.3157894736842106</t>
  </si>
  <si>
    <t>1.8846153846153846</t>
  </si>
  <si>
    <t>1.6595744680851063</t>
  </si>
  <si>
    <t>1.5609756097560976</t>
  </si>
  <si>
    <t>1.3783783783783783</t>
  </si>
  <si>
    <t>1.893939393939394</t>
  </si>
  <si>
    <t>2.048780487804878</t>
  </si>
  <si>
    <t>2.272727272727273</t>
  </si>
  <si>
    <t>2.1904761904761907</t>
  </si>
  <si>
    <t>1.7586206896551724</t>
  </si>
  <si>
    <t>1.5277777777777777</t>
  </si>
  <si>
    <t>1.7241379310344827</t>
  </si>
  <si>
    <t>2.392857142857143</t>
  </si>
  <si>
    <t>1.7083333333333333</t>
  </si>
  <si>
    <t>1.5263157894736843</t>
  </si>
  <si>
    <t>1.7105263157894737</t>
  </si>
  <si>
    <t>1.6744186046511629</t>
  </si>
  <si>
    <t>2.1842105263157894</t>
  </si>
  <si>
    <t>1.6521739130434783</t>
  </si>
  <si>
    <t>2.4285714285714284</t>
  </si>
  <si>
    <t>2.466666666666667</t>
  </si>
  <si>
    <t>2.064516129032258</t>
  </si>
  <si>
    <t>1.8775510204081634</t>
  </si>
  <si>
    <t>2.085714285714286</t>
  </si>
  <si>
    <t>1.9444444444444444</t>
  </si>
  <si>
    <t>2.0526315789473686</t>
  </si>
  <si>
    <t>1.7619047619047619</t>
  </si>
  <si>
    <t>1.9473684210526316</t>
  </si>
  <si>
    <t>1.9189189189189189</t>
  </si>
  <si>
    <t>2.7777777777777777</t>
  </si>
  <si>
    <t>1.7941176470588236</t>
  </si>
  <si>
    <t>1.6896551724137931</t>
  </si>
  <si>
    <t>1.263157894736842</t>
  </si>
  <si>
    <t>1.3448275862068966</t>
  </si>
  <si>
    <t>1.4193548387096775</t>
  </si>
  <si>
    <t>1.896551724137931</t>
  </si>
  <si>
    <t>1.7096774193548387</t>
  </si>
  <si>
    <t>1.878787878787879</t>
  </si>
  <si>
    <t>1.7878787878787878</t>
  </si>
  <si>
    <t>1.434782608695652</t>
  </si>
  <si>
    <t>1.8409090909090908</t>
  </si>
  <si>
    <t>1.6129032258064515</t>
  </si>
  <si>
    <t>2.0555555555555554</t>
  </si>
  <si>
    <t>1.5151515151515151</t>
  </si>
  <si>
    <t>2.0294117647058822</t>
  </si>
  <si>
    <t>1.8620689655172413</t>
  </si>
  <si>
    <t>1.380952380952381</t>
  </si>
  <si>
    <t>1.3636363636363635</t>
  </si>
  <si>
    <t>1.6551724137931034</t>
  </si>
  <si>
    <t>1.4333333333333333</t>
  </si>
  <si>
    <t>1.2142857142857142</t>
  </si>
  <si>
    <t>1.1578947368421053</t>
  </si>
  <si>
    <t>1.3571428571428572</t>
  </si>
  <si>
    <t>2.0285714285714285</t>
  </si>
  <si>
    <t>2.230769230769231</t>
  </si>
  <si>
    <t>1.3703703703703705</t>
  </si>
  <si>
    <t>1.6857142857142857</t>
  </si>
  <si>
    <t>1.605263157894737</t>
  </si>
  <si>
    <t>1.6944444444444444</t>
  </si>
  <si>
    <t>1.8108108108108107</t>
  </si>
  <si>
    <t>1.8214285714285714</t>
  </si>
  <si>
    <t>1.6176470588235294</t>
  </si>
  <si>
    <t>1.5185185185185186</t>
  </si>
  <si>
    <t>1.6388888888888888</t>
  </si>
  <si>
    <t>1.5483870967741935</t>
  </si>
  <si>
    <t>1.7073170731707317</t>
  </si>
  <si>
    <t>1.8048780487804879</t>
  </si>
  <si>
    <t>1.8611111111111112</t>
  </si>
  <si>
    <t>1.962962962962963</t>
  </si>
  <si>
    <t>1.4594594594594594</t>
  </si>
  <si>
    <t>1.793103448275862</t>
  </si>
  <si>
    <t>2.4545454545454546</t>
  </si>
  <si>
    <t>1.1333333333333333</t>
  </si>
  <si>
    <t>1.4761904761904763</t>
  </si>
  <si>
    <t>1.7380952380952381</t>
  </si>
  <si>
    <t>1.6333333333333333</t>
  </si>
  <si>
    <t>1.4230769230769231</t>
  </si>
  <si>
    <t>1.2727272727272727</t>
  </si>
  <si>
    <t>1.9024390243902438</t>
  </si>
  <si>
    <t>2.933333333333333</t>
  </si>
  <si>
    <t>2.4782608695652173</t>
  </si>
  <si>
    <t>2.4444444444444446</t>
  </si>
  <si>
    <t>2.357142857142857</t>
  </si>
  <si>
    <t>1.4838709677419355</t>
  </si>
  <si>
    <t>2.1818181818181817</t>
  </si>
  <si>
    <t>2.1481481481481484</t>
  </si>
  <si>
    <t>2.4166666666666665</t>
  </si>
  <si>
    <t>1.4242424242424243</t>
  </si>
  <si>
    <t>1.2916666666666667</t>
  </si>
  <si>
    <t>2.176470588235294</t>
  </si>
  <si>
    <t>1.9666666666666666</t>
  </si>
  <si>
    <t>1.7027027027027026</t>
  </si>
  <si>
    <t>1.7903225806451613</t>
  </si>
  <si>
    <t>1.706896551724138</t>
  </si>
  <si>
    <t>1.9111111111111112</t>
  </si>
  <si>
    <t>1.7555555555555555</t>
  </si>
  <si>
    <t>1.1935483870967742</t>
  </si>
  <si>
    <t>1.641025641025641</t>
  </si>
  <si>
    <t>1.2105263157894737</t>
  </si>
  <si>
    <t>2.5833333333333335</t>
  </si>
  <si>
    <t>1.8727272727272728</t>
  </si>
  <si>
    <t>1.3181818181818181</t>
  </si>
  <si>
    <t>1.2765957446808511</t>
  </si>
  <si>
    <t>1.3793103448275863</t>
  </si>
  <si>
    <t>1.7735849056603774</t>
  </si>
  <si>
    <t>2.097560975609756</t>
  </si>
  <si>
    <t>1.4222222222222223</t>
  </si>
  <si>
    <t>1.6304347826086956</t>
  </si>
  <si>
    <t>1.8604651162790697</t>
  </si>
  <si>
    <t>3.111111111111111</t>
  </si>
  <si>
    <t>1.7045454545454546</t>
  </si>
  <si>
    <t>2.411764705882353</t>
  </si>
  <si>
    <t>1.851063829787234</t>
  </si>
  <si>
    <t>1.5178571428571428</t>
  </si>
  <si>
    <t>1.4492753623188406</t>
  </si>
  <si>
    <t>1.8205128205128205</t>
  </si>
  <si>
    <t>1.9295774647887325</t>
  </si>
  <si>
    <t>1.7837837837837838</t>
  </si>
  <si>
    <t>1.5666666666666667</t>
  </si>
  <si>
    <t>2.2083333333333335</t>
  </si>
  <si>
    <t>1.864864864864865</t>
  </si>
  <si>
    <t>1.8979591836734695</t>
  </si>
  <si>
    <t>2.051282051282051</t>
  </si>
  <si>
    <t>1.3478260869565217</t>
  </si>
  <si>
    <t>1.9259259259259258</t>
  </si>
  <si>
    <t>1.7954545454545454</t>
  </si>
  <si>
    <t>1.119047619047619</t>
  </si>
  <si>
    <t>1.813953488372093</t>
  </si>
  <si>
    <t>2.116279069767442</t>
  </si>
  <si>
    <t>1.8363636363636364</t>
  </si>
  <si>
    <t>1.8653846153846154</t>
  </si>
  <si>
    <t>2.103448275862069</t>
  </si>
  <si>
    <t>1.0769230769230769</t>
  </si>
  <si>
    <t>1.4473684210526316</t>
  </si>
  <si>
    <t>1.8780487804878048</t>
  </si>
  <si>
    <t>1.5227272727272727</t>
  </si>
  <si>
    <t>1.3095238095238095</t>
  </si>
  <si>
    <t>1.2549019607843137</t>
  </si>
  <si>
    <t>1.0416666666666667</t>
  </si>
  <si>
    <t>1.606060606060606</t>
  </si>
  <si>
    <t>1.2619047619047619</t>
  </si>
  <si>
    <t>1.5172413793103448</t>
  </si>
  <si>
    <t>1.6511627906976745</t>
  </si>
  <si>
    <t>1.4878048780487805</t>
  </si>
  <si>
    <t>1.1923076923076923</t>
  </si>
  <si>
    <t>2.206896551724138</t>
  </si>
  <si>
    <t>1.105263157894737</t>
  </si>
  <si>
    <t>1.131578947368421</t>
  </si>
  <si>
    <t>2.4210526315789473</t>
  </si>
  <si>
    <t>1.4146341463414633</t>
  </si>
  <si>
    <t>1.951219512195122</t>
  </si>
  <si>
    <t>1.8387096774193548</t>
  </si>
  <si>
    <t>1.5925925925925926</t>
  </si>
  <si>
    <t>1.1818181818181819</t>
  </si>
  <si>
    <t>1.7567567567567568</t>
  </si>
  <si>
    <t>2.1515151515151514</t>
  </si>
  <si>
    <t>2.210526315789474</t>
  </si>
  <si>
    <t>2.1951219512195124</t>
  </si>
  <si>
    <t>1.8529411764705883</t>
  </si>
  <si>
    <t>2.109090909090909</t>
  </si>
  <si>
    <t>2.0185185185185186</t>
  </si>
  <si>
    <t>1.6274509803921569</t>
  </si>
  <si>
    <t>2.212121212121212</t>
  </si>
  <si>
    <t>1.3428571428571427</t>
  </si>
  <si>
    <t>1.6216216216216217</t>
  </si>
  <si>
    <t>3.1666666666666665</t>
  </si>
  <si>
    <t>1.4787234042553192</t>
  </si>
  <si>
    <t>2.5294117647058822</t>
  </si>
  <si>
    <t>1.6097560975609757</t>
  </si>
  <si>
    <t>1.5128205128205128</t>
  </si>
  <si>
    <t>1.8837209302325582</t>
  </si>
  <si>
    <t>1.5319148936170213</t>
  </si>
  <si>
    <t>1.2608695652173914</t>
  </si>
  <si>
    <t>2.2777777777777777</t>
  </si>
  <si>
    <t>1.7346938775510203</t>
  </si>
  <si>
    <t>1.5476190476190477</t>
  </si>
  <si>
    <t>1.9607843137254901</t>
  </si>
  <si>
    <t>1.9152542372881356</t>
  </si>
  <si>
    <t>1.507462686567164</t>
  </si>
  <si>
    <t>1.5636363636363637</t>
  </si>
  <si>
    <t>1.4074074074074074</t>
  </si>
  <si>
    <t>1.3461538461538463</t>
  </si>
  <si>
    <t>1.391304347826087</t>
  </si>
  <si>
    <t>1.7659574468085106</t>
  </si>
  <si>
    <t>1.1764705882352942</t>
  </si>
  <si>
    <t>2.3529411764705883</t>
  </si>
  <si>
    <t>1.794871794871795</t>
  </si>
  <si>
    <t>1.5348837209302326</t>
  </si>
  <si>
    <t>2.3626373626373627</t>
  </si>
  <si>
    <t>2.122448979591837</t>
  </si>
  <si>
    <t>1.103448275862069</t>
  </si>
  <si>
    <t>1.3214285714285714</t>
  </si>
  <si>
    <t>1.2173913043478262</t>
  </si>
  <si>
    <t>1.5208333333333333</t>
  </si>
  <si>
    <t>1.911764705882353</t>
  </si>
  <si>
    <t>1.8484848484848484</t>
  </si>
  <si>
    <t>1.0526315789473684</t>
  </si>
  <si>
    <t>Q_ALC</t>
  </si>
  <si>
    <t>ESPAÑA</t>
  </si>
  <si>
    <t>AUSTRALIA</t>
  </si>
  <si>
    <t>ESTADOS UNIDOS</t>
  </si>
  <si>
    <t>PAISES BAJOS</t>
  </si>
  <si>
    <t>ARABIA SAUDITA</t>
  </si>
  <si>
    <t>JAPON</t>
  </si>
  <si>
    <t>ALEMANIA</t>
  </si>
  <si>
    <t>PORTUGAL</t>
  </si>
  <si>
    <t>ECUADOR</t>
  </si>
  <si>
    <t>BRASIL</t>
  </si>
  <si>
    <t>ESCOCIA</t>
  </si>
  <si>
    <t>MEXICO</t>
  </si>
  <si>
    <t>PAISES</t>
  </si>
  <si>
    <t>EQUIPOS</t>
  </si>
  <si>
    <t>METAS</t>
  </si>
  <si>
    <t>RECUPEROS</t>
  </si>
  <si>
    <t>ALCANCES</t>
  </si>
  <si>
    <t>EQUIPOS_T</t>
  </si>
  <si>
    <t>META_T</t>
  </si>
  <si>
    <t>RECUPERO_T</t>
  </si>
  <si>
    <t>ALCANCES_T</t>
  </si>
  <si>
    <t>JAIRO VILLASECA</t>
  </si>
  <si>
    <t>JEFFERSON GRADOS</t>
  </si>
  <si>
    <t>CALEB SOTO</t>
  </si>
  <si>
    <t>DAYENAIRA DEL POZO</t>
  </si>
  <si>
    <t>CANDY PARRAVICINI</t>
  </si>
  <si>
    <t>ANA OLIVERA</t>
  </si>
  <si>
    <t>BLANCA HERHUAY</t>
  </si>
  <si>
    <t>MAYRA GONZALES</t>
  </si>
  <si>
    <t>ALCIDES VASQUEZ</t>
  </si>
  <si>
    <t>PATRICIA ALEGRIA</t>
  </si>
  <si>
    <t>OSCAR DELGADO</t>
  </si>
  <si>
    <t>SANDRA VILLAMIL</t>
  </si>
  <si>
    <t>YENNIFER VASQUEZ</t>
  </si>
  <si>
    <t>JUAN VIGO</t>
  </si>
  <si>
    <t>JORGE UGARTE</t>
  </si>
  <si>
    <t>HUGO YACTAY</t>
  </si>
  <si>
    <t>FRANKLIN SOLOGUREN</t>
  </si>
  <si>
    <t>SINDY MORA</t>
  </si>
  <si>
    <t>SEBASTIAN BAILLY</t>
  </si>
  <si>
    <t>CRISTINA BELENO</t>
  </si>
  <si>
    <t>ANGELA CABRERA</t>
  </si>
  <si>
    <t>WHEENY ORTEGA</t>
  </si>
  <si>
    <t>GIAN GOMEZ</t>
  </si>
  <si>
    <t>JOHAN CHUQUILIN</t>
  </si>
  <si>
    <t>PAOLA RODRIGUEZ</t>
  </si>
  <si>
    <t>LUPIDA HIDALGO</t>
  </si>
  <si>
    <t>LENA ALVARADO</t>
  </si>
  <si>
    <t>RICARDO ASCOY</t>
  </si>
  <si>
    <t>ORQUIDEA TEMOCHE</t>
  </si>
  <si>
    <t>DEISY LLONTOP</t>
  </si>
  <si>
    <t>SANDRO RODRIGUEZ</t>
  </si>
  <si>
    <t>LIXY GONZALES</t>
  </si>
  <si>
    <t>ANNETTE VALDEZ</t>
  </si>
  <si>
    <t>LISTHER QUISPE</t>
  </si>
  <si>
    <t>LUIS MALDONADO</t>
  </si>
  <si>
    <t>MILAGROS OBREGON</t>
  </si>
  <si>
    <t>JOEL ALFARO</t>
  </si>
  <si>
    <t>ROMINA RUIZ</t>
  </si>
  <si>
    <t>ROBERT MILLA</t>
  </si>
  <si>
    <t>MELIZA CHAVEZ</t>
  </si>
  <si>
    <t>SHARON CHAICO</t>
  </si>
  <si>
    <t>GINA PINA</t>
  </si>
  <si>
    <t>CYNTHIA OSORIO</t>
  </si>
  <si>
    <t>EQUIPO 1 - BPO</t>
  </si>
  <si>
    <t>EQUIPO 2 - BPO</t>
  </si>
  <si>
    <t>EQUIPO 3 - BPO</t>
  </si>
  <si>
    <t>EQUIPO 4 - BPO</t>
  </si>
  <si>
    <t>EQUIPO 5 - BPO</t>
  </si>
  <si>
    <t>EQUIPO 6 - BPO</t>
  </si>
  <si>
    <t>EQUIPO 7 - BPO</t>
  </si>
  <si>
    <t>EQUIPO 8 - BPO</t>
  </si>
  <si>
    <t>EQUIPO 9 - BPO</t>
  </si>
  <si>
    <t>EQUIPO 10 - BPO</t>
  </si>
  <si>
    <t>EQUIPO 11 - BPO</t>
  </si>
  <si>
    <t>EQUIPO 13 - BPO</t>
  </si>
  <si>
    <t>EQUIPO 12 - BPO</t>
  </si>
  <si>
    <t>CARMEN BAHAMONDE</t>
  </si>
  <si>
    <t>ADELAIDA VILLANUEVA</t>
  </si>
  <si>
    <t>TELMO ROJAS</t>
  </si>
  <si>
    <t>PATRICIA VEGA</t>
  </si>
  <si>
    <t>COREA DEL SUR</t>
  </si>
  <si>
    <t>PARAGUAY</t>
  </si>
  <si>
    <t>MARRUECOS</t>
  </si>
  <si>
    <t>CANADA</t>
  </si>
  <si>
    <t>FRANCIA</t>
  </si>
  <si>
    <t>ARGENTINA</t>
  </si>
  <si>
    <t>CROACIA</t>
  </si>
  <si>
    <t>URUGUAY</t>
  </si>
  <si>
    <t>SUIZA</t>
  </si>
  <si>
    <t>BELGICA</t>
  </si>
  <si>
    <t>COLOMBIA</t>
  </si>
  <si>
    <t>INGLATERRA</t>
  </si>
  <si>
    <t>NORUEGA</t>
  </si>
  <si>
    <t>EQUIPO 1 - SURCO</t>
  </si>
  <si>
    <t>EQUIPO 2 - SURCO</t>
  </si>
  <si>
    <t>EQUIPO 3 - SURCO</t>
  </si>
  <si>
    <t>EQUIPO 4 - SURCO</t>
  </si>
  <si>
    <t>EQUIPO 5 - SURCO</t>
  </si>
  <si>
    <t>EQUIPO 6 - SURCO</t>
  </si>
  <si>
    <t>EQUIPO 7 - SURCO</t>
  </si>
  <si>
    <t>EQUIPO 8 - SURCO</t>
  </si>
  <si>
    <t>EQUIPO 9 - SURCO</t>
  </si>
  <si>
    <t>EQUIPO 10 - SURCO</t>
  </si>
  <si>
    <t>EQUIPO 11 - SURCO</t>
  </si>
  <si>
    <t>EQUIPO 12 - SURCO</t>
  </si>
  <si>
    <t>SEDE</t>
  </si>
  <si>
    <t>SURCO</t>
  </si>
  <si>
    <t>LIMA</t>
  </si>
  <si>
    <t>R_M</t>
  </si>
  <si>
    <t>S1 - IND</t>
  </si>
  <si>
    <t>DK</t>
  </si>
  <si>
    <t>COND</t>
  </si>
  <si>
    <t>Ticket_PDP</t>
  </si>
  <si>
    <t>Johan</t>
  </si>
  <si>
    <t>Jorge</t>
  </si>
  <si>
    <t>Kenneth</t>
  </si>
  <si>
    <t>Leonor</t>
  </si>
  <si>
    <t>Sandy</t>
  </si>
  <si>
    <t>Sandy - CI</t>
  </si>
  <si>
    <t>Dia calendario</t>
  </si>
  <si>
    <t>Meta</t>
  </si>
  <si>
    <t>Columna1</t>
  </si>
  <si>
    <t>IND_CANTFalta</t>
  </si>
  <si>
    <t>NULL</t>
  </si>
  <si>
    <t xml:space="preserve">       DT; 1800           PPC:350</t>
  </si>
  <si>
    <t>IMP: .TAT INDICA Q NO PAGO POR SUS PROPREBLAMAS ECON.</t>
  </si>
  <si>
    <t xml:space="preserve">947656014 / 18168953 </t>
  </si>
  <si>
    <t>COMPROMISO DE CANCELACION POR 350 SOLES // SE VALIDA QUE ESTA TRABAJANDO *DISCADOR*</t>
  </si>
  <si>
    <t xml:space="preserve">   DT 900 MINIMO DE 500 (PPC DE 500 HASTA EL 06/12 500)</t>
  </si>
  <si>
    <t xml:space="preserve">  Fecha de Pago: 10/01/20</t>
  </si>
  <si>
    <t>DT: 277         DK: NO S EINFORMA PPC 100 SOLES</t>
  </si>
  <si>
    <t xml:space="preserve">Sustento: TAT PAGARA 100 SOLES CANCELACION DE SU DEUDA ESTE MES / </t>
  </si>
  <si>
    <t>DT: 400         DK:200   ppc :150</t>
  </si>
  <si>
    <t xml:space="preserve">Sustento: correcion,, de gestion no es par es ppc 150 soles no se le puede sacar mas por que en la agencia de crdinka el abogado le dijo a la sr. lucero que solo tiene que pagar 149.00  se le inidca que no es ese importe tamto rebatir con 150 soles se le acepta / clienta llamo al movil blanco 1 oojo no especulen que /NO ME GUSTA/ </t>
  </si>
  <si>
    <t xml:space="preserve">  Fecha de Pago: 13/01/20</t>
  </si>
  <si>
    <t xml:space="preserve">DT: 3,192     DK: 1,530  PPC 1380.00  </t>
  </si>
  <si>
    <t xml:space="preserve">Sustento: TAT INDICA QUE PREFIERE HACER SUCANCELACION DE SU DEUDA CON 1380 SOLES QUE IR PAGANDO ABONOS, INDICA QUE LE DARAN UN DINERO EL DIA VIERNES10 /01/20 DE UNA JUNTA UN DINERITO Y CON ESO VA HA CANCELAR PERO INDICA QUE EN CASO NO LE DAN/ LUEGO S ELE INDICA SI ES SEGURO PARA EL VIERNES INCA TAT QUE MEJOR LUNES Y SI LE DAN EL DIA VIERNES PAGARA ADELANTADO // </t>
  </si>
  <si>
    <t xml:space="preserve">  Fecha de Pago: 15 / 01/20</t>
  </si>
  <si>
    <t xml:space="preserve">DT: 700    DK:XX    PPC 500 </t>
  </si>
  <si>
    <t>Sustento: INBOUND 500 SOLES SR, JOEL GARCIA OCAS ENCARGADO D EPAGO (HIJO)</t>
  </si>
  <si>
    <t xml:space="preserve">  Fecha de Pago: 15/01/20</t>
  </si>
  <si>
    <t xml:space="preserve">DT:  2,239        DK: XXXX  PPC 650.00  </t>
  </si>
  <si>
    <t>Sustento: INDICA QUE TRABAJA D EAYUDANTE DE COSINA Y LE PAGAN 14 DE CADA MES 500 SOLES Y LA DIFERENCIA SE VA BUSCAR / INDICA QUE NO PAGO POR UN TEMA DE SALUD // PAGARA EN CUSCO EL DIA 13 LLEGA SEARCH: 31 AÑOS BANCO FINANCIERO DEL PERÚ</t>
  </si>
  <si>
    <t>BANCO FALABELLA PERÚ S A</t>
  </si>
  <si>
    <t>AMERICA MOVIL PERU S.A.C.</t>
  </si>
  <si>
    <t xml:space="preserve">  Fecha de Pago: 2/01/20</t>
  </si>
  <si>
    <t xml:space="preserve">DT: 1383         DK: NO S EL EINFORMA  PPC 470 SOLES </t>
  </si>
  <si>
    <t>Sustento: TAT INDIC A QUE PAGARA SU CUENTA CON 470 SOLES YA LE HABIAN OFRECIDO ESE IMPORTE I CA QUE COMO BAJARA DE LA SELVA PAGARA SU CUENTA Y SU CUENTA D ESU MAMA EL SE HACE CARGO DE SU HERMANA MENOR POR ESO AUN PAGARA PARA 23/01</t>
  </si>
  <si>
    <t xml:space="preserve">  Fecha de Pago: 20/01/20</t>
  </si>
  <si>
    <t>DT:  6,032        DK: 3029    PPC 1400</t>
  </si>
  <si>
    <t xml:space="preserve">Sustento: TAT INDICA HOY PAGARA 1000 SOLE SY EL DIA 20/01/20 ESTARIA PAGANDO 400 SOLES / SE LE CONFIRMA SU DEUDA EXCEPCION SOLO HASTA EL DIA 20/01/20 </t>
  </si>
  <si>
    <t>DT:2,310          DK: 1,034  PPC 850</t>
  </si>
  <si>
    <t>Sustento:TAT INDICA MEJOR CANCELA LA DEUDA CON 850 YA QUE LE VAN A PAGAR SU SUELDO/</t>
  </si>
  <si>
    <t xml:space="preserve">  Fecha de Pago: 23/01/20</t>
  </si>
  <si>
    <t>DT: 1,458      DK:NO S ELE INFORMA PPC 399</t>
  </si>
  <si>
    <t>Sustento: SU HIJO76950651 CONDORI MENDOZA JUVENAL OCTAVIO 24 AÑOS ENCARGADO DE PAGO DE LA CUENTA D ESU MAMA IDNCA PAGAR ESTE MES SU CANCELACION SU C UENTA, TRABAJA EN LE BOCQUE INDICA / SEARCH 24</t>
  </si>
  <si>
    <t xml:space="preserve">  Fecha de Pago: 27/01/20</t>
  </si>
  <si>
    <t>DT: 1,214         DK: XX  PPC 500 SOLES</t>
  </si>
  <si>
    <t>Sustento: SEÑORA DELIA MENDOZA  TAFUR PAGARA LA CUENTA DEL TAT CON 500 SOLES CAMPAÑA ASIGNADA  HOY</t>
  </si>
  <si>
    <t xml:space="preserve">  Fecha de Pago: 28/12/19</t>
  </si>
  <si>
    <t>DT: 5,203     DK: 4.200.00</t>
  </si>
  <si>
    <t>Sustento:TAT LE LLEGO UN SMS POR1800 SOLES, TAT NEGOCIO PAGAR 1500 SE LE APRUEBA LA EXCEPCION POR JULIO SOLICITA NEGOCIAR POR 1700 , RESUMEN TAT PAGA 1700 SOLES POR BCP PAGO EL DIA SABADO 28/12/19  INDICA QUE ERA POLICIA TUBO UN PROBLEMA Y LO RETIRARON</t>
  </si>
  <si>
    <t xml:space="preserve">  Fecha de Pago: 30/01/20</t>
  </si>
  <si>
    <t>DT:  1595        DK: 700   PPC 700</t>
  </si>
  <si>
    <t>Sustento: TAT INDICA QUE PAGARA 700 SOLES  EL DIA 17 ADELANTA DE PAGO 350 YA  QUE ESTA BAJANDO DEL SECTOR DE IBOCHOTA A QUILLABAMBA . Y EL DIA 30 O 31 ESTARIA BAJANDO A QULLABAMBA UNA PARTE DEL DINERO SERA DE SU PAGO DEL TRABAJO,</t>
  </si>
  <si>
    <t xml:space="preserve">DT: 1,386         DK: XX  PPC 500 SOLES </t>
  </si>
  <si>
    <t xml:space="preserve">Sustento DE PAGO: LE PAGARAN SU SUELDO CON ELLO PAGARA/ </t>
  </si>
  <si>
    <t xml:space="preserve">TAT TRABAJA COMO OBRERO 53 AÑOS </t>
  </si>
  <si>
    <t>DT: 2,100         DK: XX    PPC 650</t>
  </si>
  <si>
    <t xml:space="preserve">Sustento: TAT CONFIRMA PAGO DE 650 SOLES INDICA QUE ESTRIA PAGANDO A IN DE MES SE LE SOLICITA UN ADELANTO ANTES DE FIN DE MES DE 200   / </t>
  </si>
  <si>
    <t>DT: 2,299     DK: XXX  PPC 850</t>
  </si>
  <si>
    <t>Sustento:TAT INDICA QUE PAGARA LA DEUDA PRIMEO DE LA TARJETA OH LUEGO EN FEBRERO EL BANCO INTERBAKN SE LE HACE MENCION D ELA CAMPAÑA DEL BANCO INTERBANK 1750 APROX / INIDCA QUE EL DINERO PARA PAGAR LA DEUDA DE LA TARDEJATA OH SERA DE SU SUELDO A ELLA LE PAGAN EN 15 SENAS Y FIN DE MES / TIENE 1 HIJO 34 AÑOS</t>
  </si>
  <si>
    <t xml:space="preserve">DT: XXX    DK: 21,118   PPC: 2000 EXCEPCION JULIO </t>
  </si>
  <si>
    <t xml:space="preserve">Sustento: SR. NESTOR INDICA QUE PAGARA EL DIA 30/01/20 EN CASO INCUMPLA EL DIA 31 QUE E SSU DIA DE GRACIA DE LE INDICA QUE ES LA CANCELACION TOTAL DE SU DEUDA DE LA SEÑORA YOBANA ESPOSA . ESTA INVIRTIENDO EL DINERO EN SU PEQUEÑO NEGOCIO </t>
  </si>
  <si>
    <t>DT:4016   DK: 1884</t>
  </si>
  <si>
    <t>Sustento: SE LE APRUEVA LA SOLICITUD DE EXCEPCION SOLICITADO POR 450 SOLES  APRUEBA POR MARIANGELA / AL CUAL SE PAGARA EN DOS CUOTAS DE 225 SOLES EL DIA 15/01/20 Y 225 EL DIA 30/01/20 O 31 // ESE EL DINERO PARTE D ESU SUELDO.</t>
  </si>
  <si>
    <t xml:space="preserve">  Fecha de Pago: 30/12/19</t>
  </si>
  <si>
    <t xml:space="preserve">DT:  5,608      DK: NO S ELE INFORMA </t>
  </si>
  <si>
    <t>Sustento:TAT LE LLEGO UN SMS EL DIA VIERNES POR EL MIN 1 INDICA QUE SE HACERCO APOAGAR Y NO LE ACEPTARON EN LA AGENCIA / HOY NO TENDRA TIEMPO DE IR PERO SIN FALTA PAGARA EL DIA 30/12/19 ELLA ES MAESTRA *PRFESORA*</t>
  </si>
  <si>
    <t xml:space="preserve">  Fecha de Pago: 31/12/19</t>
  </si>
  <si>
    <t>DT:1386     DK: NO SE LE INFORMARA  PPC 1000.00</t>
  </si>
  <si>
    <t xml:space="preserve">Sustento: TAT PAGO EN LA AGENCIA QAPAQ  500 SOLES COMO ADELANTO DE PAGO PARA EL DIA 31/12/19  500.00 SOLES </t>
  </si>
  <si>
    <t xml:space="preserve"> </t>
  </si>
  <si>
    <t>DT 2900  DK 1500</t>
  </si>
  <si>
    <t xml:space="preserve"> CAMPAÑA 350 </t>
  </si>
  <si>
    <t>TT INTERESADO DICE  QUE YA ESTE DMES CANBCELA SU  DEUDA  EL MES PASADO NO LO LLAMARON , SE ACUERDA EN  CANCELAICON</t>
  </si>
  <si>
    <t xml:space="preserve"> SEARCH </t>
  </si>
  <si>
    <t xml:space="preserve">EDAD   37 //   TRABAJO : NO REGISTRA  //  DEUDAS   0  /// HIJOS  0 // VEHICULO DAEWOO </t>
  </si>
  <si>
    <t xml:space="preserve"> 24-1</t>
  </si>
  <si>
    <t>DT   835.30 CAMPAÑA 758.88</t>
  </si>
  <si>
    <t>TT REALIZARA  PPC HOY CON 835.30</t>
  </si>
  <si>
    <t xml:space="preserve"> CAMPAÑA 292 150 7/12  142 14/12  TT DESEA CARTA DE NO ADEUDO  SE LO ENVIEN AL WHATSA`P</t>
  </si>
  <si>
    <t xml:space="preserve"> CLIENTE MENCIONA QUE NO CANCELO CON IMPORTE POR QUE PASO UN PERCANCE </t>
  </si>
  <si>
    <t>DT:2000</t>
  </si>
  <si>
    <t>CAMPAÑA:500</t>
  </si>
  <si>
    <t xml:space="preserve">SEARCH </t>
  </si>
  <si>
    <t>EDAD:58</t>
  </si>
  <si>
    <t xml:space="preserve">HERMANOS 4 </t>
  </si>
  <si>
    <t xml:space="preserve">1 HIJO </t>
  </si>
  <si>
    <t xml:space="preserve">recibe mensualemente </t>
  </si>
  <si>
    <t xml:space="preserve">OFICINA DE NORMALIZACION PREVISIONAL ONP </t>
  </si>
  <si>
    <t xml:space="preserve"> CONTRAPROPUESTA ) 1000 SOLES  (IMBOUND)</t>
  </si>
  <si>
    <t>DT: 4 MIL SOLES</t>
  </si>
  <si>
    <t>DK: 2,800 SOLES</t>
  </si>
  <si>
    <t>CAMPAÑA: 2,100</t>
  </si>
  <si>
    <t>MOTIVO NO PAGO : INDICA QUE NO PUDO PAGAR PO MOTIVOS PERSONALES .</t>
  </si>
  <si>
    <t xml:space="preserve">CNTRAPROPUESTA , SOLO CUENTA CON 1,000  SOLES PARA PODER CANCELAR. </t>
  </si>
  <si>
    <t>SEARCH:</t>
  </si>
  <si>
    <t>EDAD: 43 años</t>
  </si>
  <si>
    <t>ENTIDADES: 2 .. PROEMPRESA EN PERDIDA Y LA OTRA NORMAL .</t>
  </si>
  <si>
    <t xml:space="preserve">NO TRABAJA .. VIVE DE LAS PROPINAS , SU FAMILIA LE AYUDARA CON 1000 SOLES. </t>
  </si>
  <si>
    <t xml:space="preserve"> del discador //</t>
  </si>
  <si>
    <t xml:space="preserve">fecha de pago 25/01/2020 </t>
  </si>
  <si>
    <t>adelanta 100 soles el dia miercoles 08 /01</t>
  </si>
  <si>
    <t xml:space="preserve">DT: 7628 </t>
  </si>
  <si>
    <t>DK: 2341.30</t>
  </si>
  <si>
    <t xml:space="preserve">CAMPAÑA:  1480 </t>
  </si>
  <si>
    <t xml:space="preserve">menciona que un familiar tubo accidente su familiar se desaparecio en el rio se ahogado en el rio // su primo hermano fallecio </t>
  </si>
  <si>
    <t xml:space="preserve"> accidente // </t>
  </si>
  <si>
    <t xml:space="preserve"> dt 1000 campaña  de 680 ,  esta trabajando y este jeuves deposita los ppc de 680</t>
  </si>
  <si>
    <t xml:space="preserve"> DT 3088 DK 2000  CAMPAÑA MS 1365 </t>
  </si>
  <si>
    <t xml:space="preserve"> MSJ DE TEXTO </t>
  </si>
  <si>
    <t xml:space="preserve">PPC DE 1365 </t>
  </si>
  <si>
    <t>SUSTENTO :</t>
  </si>
  <si>
    <t xml:space="preserve"> TT SE COMUNICA A COORPORATIVO POR QUE LE LLEGO MSJ CON MONTO DE CAMPAÑA , DETALLA QUE EL MES PASADO NO PUDO CUMPLOR CON PAGO POR QUE NO LLEGO A LA CIUDAD , CONFIRMA PAGO EL 31/01 CON MONTO DE CAMPAÑA </t>
  </si>
  <si>
    <t>EDAD 22</t>
  </si>
  <si>
    <t>HIJOS  0</t>
  </si>
  <si>
    <t xml:space="preserve"> DEUDAS : NO REPORTA DEUDA </t>
  </si>
  <si>
    <t xml:space="preserve"> DT: 4,263     DK:2,590                        campaÑa: 700</t>
  </si>
  <si>
    <t xml:space="preserve">IMP: ind que la deuda se genero por otra persona conversara./ </t>
  </si>
  <si>
    <t>INDICA Q UNA SEÑORITA LE INFORMA DE LA CAMPAÑA PERO NO LE ENTENDIO-</t>
  </si>
  <si>
    <t>STP: DINERO EN MANO-</t>
  </si>
  <si>
    <t>EL DIA LUNES ESTARA PAGANDO ANTES ESTA VALIDANDO</t>
  </si>
  <si>
    <t xml:space="preserve">-951494421 - </t>
  </si>
  <si>
    <t xml:space="preserve"> en cargado wilson ,se aprueba expecion por el importe de s/1700.00 / hata el dia 20/12 , el dia sabado genera pago de s/500.00 y el saldo restante el dia 20/12</t>
  </si>
  <si>
    <t xml:space="preserve"> Fecha de Pago:  20/01/20</t>
  </si>
  <si>
    <t>DT: 3.493         DK: 1.898.00  PPC 850</t>
  </si>
  <si>
    <t>Sustento DE PAGO A EL LE PAGAN(SUELGO) EL DIA 30 /01 TEMPRANO Y EL PAGARA EN LA TARDE PLAN DE 5 PM</t>
  </si>
  <si>
    <t xml:space="preserve"> Fecha de Pago:  27/01/20</t>
  </si>
  <si>
    <t>DT:   1206       DK:XX   PPC EXCEPCION 550 SOLES HOY PAGA</t>
  </si>
  <si>
    <t>Sustento: SU HERMANA LE PRESTO 500 SOLES Y EL DIO 50 SOLES MAS</t>
  </si>
  <si>
    <t xml:space="preserve"> Fecha de Pago: 03/03/20</t>
  </si>
  <si>
    <t>DT: 2,521         DK: 1,659 PPC 500 HOY</t>
  </si>
  <si>
    <t xml:space="preserve">CAMPAÑA 500 SOLES INDICA QUE SE ACOPLA A LA EXCEPCION* </t>
  </si>
  <si>
    <t xml:space="preserve"> Fecha de Pago: 10/03/20</t>
  </si>
  <si>
    <t>DT:167       ppc 167</t>
  </si>
  <si>
    <t>Sustento: sueldo*</t>
  </si>
  <si>
    <t>indica que no pago por que no le an pagado*</t>
  </si>
  <si>
    <t xml:space="preserve"> Fecha de Pago: 11/03/20</t>
  </si>
  <si>
    <t>DT: 2,537     DK: XX PPC 350</t>
  </si>
  <si>
    <t>Sustento: LE AN PAGADO*</t>
  </si>
  <si>
    <t xml:space="preserve">LE APRUEBAN PAGAR 300 SOLES Y SE CIERRA CON 350 SOLES INDICA QUE SI, </t>
  </si>
  <si>
    <t>S ELE ENVIA POR SMS LOS NUMERO DE CUENTA.</t>
  </si>
  <si>
    <t>HOY</t>
  </si>
  <si>
    <t xml:space="preserve"> Fecha de Pago: 12/03/20</t>
  </si>
  <si>
    <t xml:space="preserve">DT: 290       CAMPAÑA 100 SOLES </t>
  </si>
  <si>
    <t>Sustento: YA LE PAGARON SU SUELDO*</t>
  </si>
  <si>
    <t>*TAT INDICA QUE NO PAGO * NO L ENVIARON LA CUENTA DEL BCP YA QUE EL ESTA LEJOS DE LA FINANCIERA</t>
  </si>
  <si>
    <t xml:space="preserve">DT: 290       XX CANCELA CON 100 SOLES </t>
  </si>
  <si>
    <t xml:space="preserve"> Fecha de Pago: 15/01/20</t>
  </si>
  <si>
    <t>DT: 1,758       DK: 800  CAMPAÑA 500  INICIAL 50// 24/01/20</t>
  </si>
  <si>
    <t xml:space="preserve">SUSTENTO DE PAGO: ESPOSA SOLEDAD INDICA QUE CANCELARAN KA DEUDA CON EL SUELDO DE SU ESPOSO* </t>
  </si>
  <si>
    <t xml:space="preserve"> Fecha de Pago: 20/01/20</t>
  </si>
  <si>
    <t>DT: 1469         DK: XX  PPC 600 EXCEPCION</t>
  </si>
  <si>
    <t>Sustento: TIENE AHORRADO 500 SOLES  Y 600 LE VANA  PRESTAR PPC 600 SOLES HOY</t>
  </si>
  <si>
    <t xml:space="preserve"> Fecha de Pago: 28/01/20</t>
  </si>
  <si>
    <t>DT: 5,450         DK: 3541    PPC 3000 SOLES</t>
  </si>
  <si>
    <t xml:space="preserve">Sustento SE PAGO : TIEN AHORRADO 1000 SOLES,  Y SU FAMILIAR LE PRESTARA 2000 SOLES SOLO QUIERE CANCELAR POR EL SMS QUE LE LLEGO / IDICA QUE ELLA HACE TIEMPOR QUERIA PAGAR CON 1000 ABONAR PERO NO LE ACEPTO EL ANALISTA LE ACONSEJO QUE ESPERA A QUE ESTE EN CASTIGO SU DEUDA * AHORA DICE QUE SE ACERCARA A PAGAR 3000 SOLES * </t>
  </si>
  <si>
    <t xml:space="preserve">SEACH:  42 AÑOS </t>
  </si>
  <si>
    <t>DEUDA EN AGOPRECUARIO 4313.05</t>
  </si>
  <si>
    <t xml:space="preserve"> Fecha de Pago: 31/12/19</t>
  </si>
  <si>
    <t>DT:   1,963       DK: NO S ELE INFORMA PPC 430 EXCEPCION JULIO</t>
  </si>
  <si>
    <t>Sustento: TAT LE LLEGO UN SMS POR 500 SOLES AL CUAL SOLICITA PAGAR MAÑNA CON 400 SOLES INDICA QUE NO TRABAJA (QUIERE SU CARTA NO ADEUDO PARA QUE NO LE ESTEN LLAMANDO</t>
  </si>
  <si>
    <t xml:space="preserve"> Fecha de Pago:30/01/20</t>
  </si>
  <si>
    <t>DT:  5870      DK: 2,843 PPC 131.50 ULTIM CUOTA</t>
  </si>
  <si>
    <t>Sustento: TAT SLICTA PAGAR LA 1 ULTIMAS CUOTAS D ESU CRONOGRMA DE PAGO ASIGNADO POR INB***</t>
  </si>
  <si>
    <t xml:space="preserve"> FECHA DE PAGO:7-2</t>
  </si>
  <si>
    <t xml:space="preserve">DT 1500  CAMPAÑA 160 </t>
  </si>
  <si>
    <t>TT DICE QUE HARA PAGO A MAS TARDAR EL DIA 7-2 DESEA CDNA A SU WHSTSAPP</t>
  </si>
  <si>
    <t xml:space="preserve"> FERNANDO HERMANO DE TT , RESPONSA DE PAGO CANCELARA DEUDA CON EL IMPORTE DE 700 SOLES 16/12.</t>
  </si>
  <si>
    <t xml:space="preserve"> GESTION INSERTADA</t>
  </si>
  <si>
    <t xml:space="preserve"> indica que estuvo hospitalizada ya que salio embarazada ,DT 500 CANC 210 . SOLICITA SE LE ENVIE SU CARTA DE NO ADEUDO EN FISICO </t>
  </si>
  <si>
    <t xml:space="preserve"> indico  fracc&gt;   3,120.00 soles    //12 cuotas de 260  cuotas//    </t>
  </si>
  <si>
    <t xml:space="preserve">ultima cuota es en enero de 260 adelantara cuota para cancelar //  se acrcara a oficina porque tiene dudas de pagar su ultima cuota ya que requiere carta de no adeudo al instante y se le indico 15 dias habiles // </t>
  </si>
  <si>
    <t xml:space="preserve"> INIDCIA QUE VA CANCELAR EN UNA SOLA CUOTA DE 900 SOLES CUENTA DE SU HIJO GERERDO PAPA:JULIO</t>
  </si>
  <si>
    <t xml:space="preserve"> PAGARA 1000 SOLES 31-03 EN CREDINKA, SE LE MENCIONA PENALIDAD, SE ENVIARA MENSAJE DE TEXTO A SU NUMERO. // RESPONSABLE CUÑADA. </t>
  </si>
  <si>
    <t xml:space="preserve"> PPC -  500 SOLES , ULTIMA CUOTA. </t>
  </si>
  <si>
    <t xml:space="preserve">(SE MODIFICO PPM A PPC) </t>
  </si>
  <si>
    <t>SE CONVERSA CON TT :</t>
  </si>
  <si>
    <t>DT: 19 MIL SOLES</t>
  </si>
  <si>
    <t xml:space="preserve">DK: 16 MIL SOLES </t>
  </si>
  <si>
    <t>CAMPAÑA 5 MIL</t>
  </si>
  <si>
    <t>MOLESTO INDICA QUE TUVO CONVENIO CON IVR PAGABA MENSUAL 500 SOLES</t>
  </si>
  <si>
    <t>CADA 30 .</t>
  </si>
  <si>
    <t xml:space="preserve">HASTA NOVIENBRE ESTUVO PAGANDO NORMAL EN DICIEMRBE YA NO LE RECIBIRON ... </t>
  </si>
  <si>
    <t xml:space="preserve">CRONOGRAMA 17 MIL APROX / HASTA LA FECHA ABONADO CASI 7 MIL DE MANERA PUNTUAL .. </t>
  </si>
  <si>
    <t>INDICA QUIERE SEGUIR CON CRONOGRAMA DE PAGO .</t>
  </si>
  <si>
    <t>MOTIVO DE NO PAGO : NO LE RECIBIERON DINERO YA QU ELO MANDABAN A VARIAS EMPRESAS .</t>
  </si>
  <si>
    <t xml:space="preserve">CORREO: PERCYGABRIEL27@HOTMAIL.COM </t>
  </si>
  <si>
    <t xml:space="preserve">SEARCH: </t>
  </si>
  <si>
    <t>TRABAJO : UNIVERSIDAD ANDINA NESTOR CACERES VELASQ UEZ</t>
  </si>
  <si>
    <t xml:space="preserve">SUELDO : 1,350 SOLES </t>
  </si>
  <si>
    <t xml:space="preserve"> PPC 1075 937585397 ESPOSA KARINA </t>
  </si>
  <si>
    <t xml:space="preserve"> PPC 500 APROBADO CON MARIANGELA</t>
  </si>
  <si>
    <t xml:space="preserve"> ppc 962</t>
  </si>
  <si>
    <t xml:space="preserve">tt  esta en la agencia interbank </t>
  </si>
  <si>
    <t xml:space="preserve"> se converso con titular indica que saliendo de su trabajo cancelqara la      deuda por credinka</t>
  </si>
  <si>
    <t xml:space="preserve"> SE DIJO DT1000 DK 6500 DC 3000  DI ELE LLEGO MSJ X 2588  SOLES  PAGA ADEUDA CN GRATI ESTE VIERNES  LE PAGARAN  CEL 1988307469</t>
  </si>
  <si>
    <t xml:space="preserve"> SE INGRESA NUEVAMENTE  YA QUE REGISTRE PAR Y ES PPC</t>
  </si>
  <si>
    <t xml:space="preserve"> TT CONFIRMA CANCELACION DT 400 ACUERDO 250 , MUY SEGURA DE PAGAR LA DEUDA , TIENE  68 AÑOS , NO TIENE MAS DEUDAS VERIFICADO EN SEARCH . VLL DIAS ANTES PARA RECORD</t>
  </si>
  <si>
    <t xml:space="preserve"> tt nos menciona que dejo de pagar proque le fue mal en un negocio tuvo poblemas economicos, se le sigue mantemiento la campaña ofrecita de 1100 deuda total:6400. nos menciona que el ya tiene la plata pero cuando se le dice porque no paga ahora dice que el 31 si le comfirmaran el pago. (pretamo) searc: 43 años, solo tiene deuda en financiera OH, no tiene trabajo en planila,  pagara el 31/01 </t>
  </si>
  <si>
    <t xml:space="preserve"> tuvo problema y se quedo sin empleo , tiene un hijo que esta en universidad , se encuentra trabajando por ello sacaria e dinero dt 12946 canc 500 , tiene una deuda mas con ban bif </t>
  </si>
  <si>
    <t xml:space="preserve"> DT 6,979 DK 5000  CAMPAÑA 900  </t>
  </si>
  <si>
    <t>PPC DE 900 31/01</t>
  </si>
  <si>
    <t>SUSTENTO</t>
  </si>
  <si>
    <t xml:space="preserve"> por problemas  economicos  , NO PUDO CANCELAR , ESTE MES SE ENCUENTRA TRABAJANDO Y QUIERE CANCELAR DEUDA </t>
  </si>
  <si>
    <t>DE DONDE SACA DINERO :</t>
  </si>
  <si>
    <t xml:space="preserve">SUELDO </t>
  </si>
  <si>
    <t xml:space="preserve">  SEARCH</t>
  </si>
  <si>
    <t>EDAD  33</t>
  </si>
  <si>
    <t xml:space="preserve">HIJOS 0 </t>
  </si>
  <si>
    <t>HABERES 930</t>
  </si>
  <si>
    <t>DEUDAS   0</t>
  </si>
  <si>
    <t>DT 1100</t>
  </si>
  <si>
    <t>DK 470</t>
  </si>
  <si>
    <t>MC 340</t>
  </si>
  <si>
    <t xml:space="preserve">NO CANCELO POR MOTIVPOS ECONOMICOS, SIN EMBARGO CANCELARA PORQUE A LA OTRA SEMANA RECIBIRA UN SUELDO DE SU TRABAJO </t>
  </si>
  <si>
    <t>EL CLIENTE PAGARA EL 11 DE MARZO EL MONTO DE 340 SOLES.</t>
  </si>
  <si>
    <t>SEARCH</t>
  </si>
  <si>
    <t>DATOS LABORALES DIRECCION REGIONAL DE SALUD TUMBES</t>
  </si>
  <si>
    <t>EDAD 39 AÑOS</t>
  </si>
  <si>
    <t>DEUDAS EN OTRAS FINANCIERAS</t>
  </si>
  <si>
    <t>NO SE REGISTRA HIJOS</t>
  </si>
  <si>
    <t>HERNAN ELOY FLORES TUMPI</t>
  </si>
  <si>
    <t>DT 13800</t>
  </si>
  <si>
    <t>DC 5000</t>
  </si>
  <si>
    <t>NO PAGO POR PROBL FINANCIERO Y FAMILIARES ,TRABAJA DE  DOCENTE ,FAMILIA - 3 HIJOS - 2 MENORES DE EDAD 1 MAYOR DE EDAD - SE  PRESTARIA PARA  CANCELAR SU DEUDA</t>
  </si>
  <si>
    <t>SERCH SIN DEUDASDS - 53</t>
  </si>
  <si>
    <t>SE CIERRA DISCADOR</t>
  </si>
  <si>
    <t xml:space="preserve">dt 900 campaña 350 </t>
  </si>
  <si>
    <t>tt trabaja en chacra le pagan los primeros de cada mes acuerdo con tt hara cancelacion de  350 el 18-1</t>
  </si>
  <si>
    <t>tt confirma donde desea cdna el dia que hara el pago</t>
  </si>
  <si>
    <t>Fecha de Pago 28/01</t>
  </si>
  <si>
    <t>DT  290.85</t>
  </si>
  <si>
    <t>DK 102.98</t>
  </si>
  <si>
    <t>CAMPAÑA 103</t>
  </si>
  <si>
    <t xml:space="preserve">Sustento  </t>
  </si>
  <si>
    <t>Search  28 AÑOS // SIN TRABAJO</t>
  </si>
  <si>
    <t>TT INDICA HABER CANCELADO DEUDA TOTAL Y NO SABE PORQUE SALDO</t>
  </si>
  <si>
    <t>DT 2226.52</t>
  </si>
  <si>
    <t>CAMPAÑA 356</t>
  </si>
  <si>
    <t xml:space="preserve">SE CONTACTA ESPOSO DE TT SR. SILVA NO DESEA BRINDA DATOS COMPLETOS </t>
  </si>
  <si>
    <t xml:space="preserve">PPC 356 // SE BRINDA Nº DE CUENTA </t>
  </si>
  <si>
    <t>TT SOLICITA CONTACTARLA A CEL REGISTRADO</t>
  </si>
  <si>
    <t>dt 530</t>
  </si>
  <si>
    <t>dk 225</t>
  </si>
  <si>
    <t>mc 200</t>
  </si>
  <si>
    <t xml:space="preserve">tt comenta que dejom de pagar por dinero y trabajom en este tiempo que no tiene por la cuarentena sin emnargo pagara ese monto ya que conseguiria el dinero por trabajo´pagara el 30 de mayo </t>
  </si>
  <si>
    <t>DT:18,757,16  DK:10,582.02</t>
  </si>
  <si>
    <t xml:space="preserve">MDI: ENFERMEDAD DE SU FAMILIAR NO PUDO PAGAR DEUDA Y ELLA SE HARA CARGO DE AHORA REGULARIZAR DEUDA </t>
  </si>
  <si>
    <t>se le  manifest? a tt  cancelar con s/. 1700 o pagar   282 por  12 meses, pero indica que tt  esta delicada de salud ella la  esta apoyando y solo puede reunir 1000 y se realizo excepcion para cancelar dicho monto DE CANCELACION el dia 31/03/2020 excepcion</t>
  </si>
  <si>
    <t>PPC DE 1000</t>
  </si>
  <si>
    <t xml:space="preserve">Encargada de pago Sra Carrazco </t>
  </si>
  <si>
    <t>F PAGO:20/04</t>
  </si>
  <si>
    <t>DT: 1,289.21</t>
  </si>
  <si>
    <t>DK:537.54</t>
  </si>
  <si>
    <t>ACUERDO:PPC</t>
  </si>
  <si>
    <t>CAMPAÑA: CREDINKA</t>
  </si>
  <si>
    <t xml:space="preserve">SE LE OFRECE  C ANCELACION A BASE DE 550  PERO CAMBIA FECHA DE PAGO YA QUE POR LA CUARENTENA  SOLO LE PAGARAN POR LOS DIAS TRABAJADOS </t>
  </si>
  <si>
    <t>SE VALIDA TRABAJO ESTABLE NO CUENTA CON CARGA FAMILIAR Y MANTIENE OTRAS DEUDAS PENDIENTES DE PAGOS</t>
  </si>
  <si>
    <t>Institucion</t>
  </si>
  <si>
    <t>Monto</t>
  </si>
  <si>
    <t>Dias Vencidos</t>
  </si>
  <si>
    <t>COOPERATIVA DE AHORRO Y CREDITO NUESTRA FAMILIA COOPAC NF - TARJETA ESTILOS</t>
  </si>
  <si>
    <t>TELEFONICA DEL PERU SAA</t>
  </si>
  <si>
    <t>Fecha de Pago  28/12</t>
  </si>
  <si>
    <t>DT  600</t>
  </si>
  <si>
    <t>DK  500</t>
  </si>
  <si>
    <t>CAMPAÑA 450</t>
  </si>
  <si>
    <t xml:space="preserve">PPC DE 450 </t>
  </si>
  <si>
    <t>Sustento</t>
  </si>
  <si>
    <t xml:space="preserve">TT MENCIONA QUE ESTABA EN EL ESTRANGERO Y NO LO PAGARON </t>
  </si>
  <si>
    <t>Donde sacara el dinero</t>
  </si>
  <si>
    <t xml:space="preserve">EL DINERO LO SACARA DE SU SUELDO  , </t>
  </si>
  <si>
    <t>Search:</t>
  </si>
  <si>
    <t>Edad 31</t>
  </si>
  <si>
    <t>Hijos  0</t>
  </si>
  <si>
    <t xml:space="preserve">Haberes 1650 </t>
  </si>
  <si>
    <t xml:space="preserve">entidades reportadas </t>
  </si>
  <si>
    <t>Fecha de Pago:15/04/20</t>
  </si>
  <si>
    <t>DT:S/5,700</t>
  </si>
  <si>
    <t>DK:s/2,293</t>
  </si>
  <si>
    <t>Campaña: s/800</t>
  </si>
  <si>
    <t>Sustento de pago: TT SE ACOJE A CAMPAÑA Y REALIZARA EL ABONO EN INTERBANK / DISCADOR</t>
  </si>
  <si>
    <t xml:space="preserve">sra de 62 años // no tiene ingresos </t>
  </si>
  <si>
    <t>deuda tiene mas de 5 años de retraso</t>
  </si>
  <si>
    <t xml:space="preserve">propone s/1 000 en un sola  cuota para mas tardar el 16/03 </t>
  </si>
  <si>
    <t xml:space="preserve">inbound aisgnado por mariangela </t>
  </si>
  <si>
    <t>se comunica asesora jackeline chambi 989728968</t>
  </si>
  <si>
    <t xml:space="preserve">llamada cell morado </t>
  </si>
  <si>
    <t>TT INDICA TRABAJA EN CONSTRUCCION Y LE DEBEN MAS DE 4 MESES , DINER LO RECIBIRA PARA FIN DE MES Y CON ELLO DESEA LIQUIDAR SOLO DK // DESEA LIBERARSE DE DEUDA LO MAS PRONTO.// SE VLL PARA QUE ABONE ANTES</t>
  </si>
  <si>
    <t>DT 4848</t>
  </si>
  <si>
    <t>DK 2860</t>
  </si>
  <si>
    <t>NO CARGA SEARCH</t>
  </si>
  <si>
    <t>PPC 2860</t>
  </si>
  <si>
    <t xml:space="preserve">( numero, tacita manuel ) Deuda total: 4900 campaña: 1414 ( la misma campaña que ya le habian ofrecido) sra es cortante dic que esta ocupada, en la llamada se le pregnta de donde sacaria el dinero paar estar seguro de la cancelacion y responde que eso a nosotros no nos importa pero que activemos el descueto que ira a pagar el lunes 27/01 .se le enviara imformacion por mensaje y se menciona penalidad. search: 37 años, labora en CORTE SUPERIOR DE JUSTICIA DE LIMA ESTE, tiene credito en BANCO DE LA NACION estado dudoso y en financiera OH credito castigado. no registra hijos. </t>
  </si>
  <si>
    <t xml:space="preserve">( SE LLAMA MANUAL) SE LE MENCIONA QUE YA SE APROBO LA EXECELCOPN DE 100 SOLES 10/01 EL DINERO ES DE SU GUARADO. ( EN CREDINKA DE ICA O SINO EN BCP) INF SE LE ENVIA POR MENSAJE DE TEXTO. SE LE MENCIONA LA PENALIDAD. LA CARTA DE NO ADECUDO LO QUIERE AL WHSAP DE SU HIJO. </t>
  </si>
  <si>
    <t>(APROBADO POR MARIANGELA)</t>
  </si>
  <si>
    <t xml:space="preserve">SE GENERA COMPROMISO CON EL IMPORTE DE 400 SOLES </t>
  </si>
  <si>
    <t>15/05 - 100 SOLES</t>
  </si>
  <si>
    <t>29/05 - 300 SOLES</t>
  </si>
  <si>
    <t xml:space="preserve">(INBOUND) TT PAGARA EL DIA DE MAÑANA 06/02 PROMOCION DE 557 SOLES, SE LE MANDA MENSAJE DE TEXTO Y POR WHASAP PARA FIDELIZAR LO CONVERSADO // SEARCH 34 AÑOS // DEUDA CAJA MUNICIPAL DE 610 SOLES NO FIGURA LUGAR DE TRABAJO </t>
  </si>
  <si>
    <t>(ppc anterior invalido )</t>
  </si>
  <si>
    <t>PPC: 300 SOLES  21/02 - 100 SOLES    //      27/02 - 200 SOLES</t>
  </si>
  <si>
    <t xml:space="preserve">DT: 1000 SOLES </t>
  </si>
  <si>
    <t xml:space="preserve">CAMPAÑA : 300 SOLE </t>
  </si>
  <si>
    <t xml:space="preserve">motivo de no pago: dicde que ya pago y que le sorprende que lo llamen .. </t>
  </si>
  <si>
    <t>si el tiene todos los voucher qu ecancleo deuda.</t>
  </si>
  <si>
    <t xml:space="preserve">Edad: 48 años </t>
  </si>
  <si>
    <t>entidades : 1</t>
  </si>
  <si>
    <t xml:space="preserve">hermanos: 2 </t>
  </si>
  <si>
    <t>(TT REALIZARA ABONO DE 500 SOLES EL DIA 16/03.)</t>
  </si>
  <si>
    <t>CANCELARA FINES DE MARZO CON EL IMPORTE DE 10,500 MIL SOLES COMO ACORDO EL MES PASADO  )</t>
  </si>
  <si>
    <t>HABLO CON SU PRIMO Y LE CONFIRMO PAGO YA QUE NO QUIERE PERDER LA FACILIDAD , (se le indico que solo por este mes tiene esa opcion ) SI INCUMPLE SE ANULA.</t>
  </si>
  <si>
    <t>DT: 27 MIL SOLES //</t>
  </si>
  <si>
    <t>DK: 15 MIL SOLES</t>
  </si>
  <si>
    <t xml:space="preserve"> CAMPAÑA: 14 MIL SOLES </t>
  </si>
  <si>
    <t>SUSTENTO : DINERO LO SACARA DE COSECHA.</t>
  </si>
  <si>
    <t>SEARCH :</t>
  </si>
  <si>
    <t>EDAD: 41 AÑOS</t>
  </si>
  <si>
    <t xml:space="preserve">ENTIDADES : 2 </t>
  </si>
  <si>
    <t xml:space="preserve">TRABAJO: JUNTA DE PROPIETARIOS DE PUERTO MADERO// </t>
  </si>
  <si>
    <t>SUELDO : 1,358 SOLES</t>
  </si>
  <si>
    <t>.</t>
  </si>
  <si>
    <t xml:space="preserve">/dt: 1900.00 </t>
  </si>
  <si>
    <t>dk: 1002.00</t>
  </si>
  <si>
    <t>se le indica sobre la deuda , se habla sobre campaña de s/200.00  , indica que si puede acogerse para el dia 29/05 , sustento lo saca de hijo de tt , edad 49 años , soltera , no tiene dds</t>
  </si>
  <si>
    <t xml:space="preserve">+5695432319, Titular se comunica indicando que consiguió la totalidad de s/ 5000 para el día de hoy 27/07. Se envía acuerdo de pago. </t>
  </si>
  <si>
    <t>&lt;fecha de pago 29/05</t>
  </si>
  <si>
    <t>dt 900</t>
  </si>
  <si>
    <t>expertis 300</t>
  </si>
  <si>
    <t xml:space="preserve">tt indica que le enviaron sms para que cancele deuda y muestra interes y lo realizara este fin de mes </t>
  </si>
  <si>
    <t>02/09 SR: ROBERTO CONFIRMA PAGO DE LA ULTIMA CUOTA DE 500 SOLES SE GENERA PPC .</t>
  </si>
  <si>
    <t xml:space="preserve">dt 2779 dk 1084 campaña 868 </t>
  </si>
  <si>
    <t>se conversa con tt por whatsapp dice que realizara cancelacion con excepcion de 300  soles el dia de mañana 3-1 , tt desea carta de no adeudo en su whatsapp</t>
  </si>
  <si>
    <t>DT 6380</t>
  </si>
  <si>
    <t>DK 1700</t>
  </si>
  <si>
    <t>EXPERTIS 1360</t>
  </si>
  <si>
    <t xml:space="preserve">NO SUSTENTA PAGO //INDICA QUE HARA EL PAGO EL DIA DE MAÑANA-/ </t>
  </si>
  <si>
    <t>28 AÑOS / REGISTRA 2 DEUDAS //NO REGISTRA INFORMACION LABORAL/</t>
  </si>
  <si>
    <t>LLAMADA MANUAL</t>
  </si>
  <si>
    <t>DT 700</t>
  </si>
  <si>
    <t>EXPERTIS 355</t>
  </si>
  <si>
    <t>SE MENCIONA QUE POR NO CUMPLIR CON LAS FACILIDADES QUE SE LE OTORGO , LA DEUDA INCREMENTA CON INTERESES Y PENALIDADES///</t>
  </si>
  <si>
    <t xml:space="preserve">INDICA QUE SI CUENTA CON EL DINERO PERO NO CUENTA CON SUS DOCUMENTOS /TARJETAS//DEBIDO A QUE EL DIA SABADO PERDIO SUS OBJETOS PERSONALES Y SUS TARJETAS///SE LE INDICA QUE PUEDE REALIZAR EL PAGO POR BANCA MOVIL //SE ENVIARA NRO DE CUENTA BCP </t>
  </si>
  <si>
    <t xml:space="preserve">LLAMADA MANUAL </t>
  </si>
  <si>
    <t>1.Fecha de Pago : 05/03</t>
  </si>
  <si>
    <t>2.DT 3,800 y DK 1,900 DC 1,100</t>
  </si>
  <si>
    <t xml:space="preserve">3.Sustento:  Cliente confirma pago del monto de 1,100 soles en excepcion aprobado para el dia de mañana 05/03 ya que le llego por sms ya que solo pudo juntar ese monto ya que anteriormente le ofrecieron menos / ppc </t>
  </si>
  <si>
    <t>4.Search ( edad 32 años, no tiene registro de trabajo)</t>
  </si>
  <si>
    <t xml:space="preserve">1.Fecha de Pago : 12/02 </t>
  </si>
  <si>
    <t xml:space="preserve">2.DT 7200 y DK 6000 DC 1200 </t>
  </si>
  <si>
    <t>3.Sustento: CLIENTE CONFIRMA PAGO PARA EL DIA DE MAÑANA A MAS TARDAR DEL MONTO DE 1200 SOLES A LA CANCELACION DE LA DEUDA DE LA TARJETA OH INDICA QUE CAPAZ PUEDE HACER EL DIA DE HOY PORQUE QUIERE LIQUIDAR LO MAS RAPIDO POSIBLE / PPC</t>
  </si>
  <si>
    <t>4.Search ( EDAD 54 AÑOS, MEDIA RADIO TV S.A.C.SUELDO S/ 1000 )</t>
  </si>
  <si>
    <t xml:space="preserve">LLAMADA FUE POR DISCADOR SE FUE LA FICHA </t>
  </si>
  <si>
    <t xml:space="preserve">1.Fecha de Pago : 14/03 </t>
  </si>
  <si>
    <t>2.DT 1000 y DK 400 DC 450</t>
  </si>
  <si>
    <t xml:space="preserve">3.Sustento:  Cliente indica que esta a la espera del pago del monto a la cancelación del pago S/ 450 soles para la liquidacion de la deuda ya que en esa semana le harán el pago de su trabajo / ppc  </t>
  </si>
  <si>
    <t>4.Search ( edad 52 años, no tiene registro de trabajo)</t>
  </si>
  <si>
    <t xml:space="preserve">1.Fecha de Pago : 16/01 </t>
  </si>
  <si>
    <t>2.DT 1100 y DK 415 DC 83</t>
  </si>
  <si>
    <t xml:space="preserve">3.Sustento: Cliente indica que le llego un correo y se acercaba a plaza vea pero le indicaban que no habia campaña, ahora cancelara el dia de mañana 16/01 con el monto de 83 soles a la cancelacion de la deuda, pagara </t>
  </si>
  <si>
    <t>4.Search ( tiene trabajo en la municipalidad 1093 , edad 63 años )</t>
  </si>
  <si>
    <t>1.Fecha de Pago :10/02</t>
  </si>
  <si>
    <t>2.DT 720 y DK 470 DC 270</t>
  </si>
  <si>
    <t>3.Sustento: cliente indica que por un tema accidente que tuvo en la pierna no pudo hacer el pago ya que se le incrementa penalidad por incumplimiento de pago el monto a la cancelacion es con S/ 270 soles para el dia lunes 10 de febrero / ppc</t>
  </si>
  <si>
    <t>4.Search ( edad 41 años, no tiene registro de trabajo)</t>
  </si>
  <si>
    <t>1.Fecha de Pago 15/01</t>
  </si>
  <si>
    <t>2.DT 15,760 y DK 9,240 DC 4,066</t>
  </si>
  <si>
    <t>3.Sustento: cliente cancelara deuda en base al sms de diciembre ya que le aceptaron la propuesta, ahora pagara el dia 15/01 a las 3 pm ya que su mama ya que brindara el dinero para la cancelacion de su caja de ahorros sura ya que esa caja le da en 24 horas el dinero a su mama / ppc</t>
  </si>
  <si>
    <t>4.Search ( edad 35 años, no registra trabajo actualmente , tiene una deuda pendiente con banco cencosud )</t>
  </si>
  <si>
    <t>1.Fecha de Pago 30/12/2019</t>
  </si>
  <si>
    <t>2.DT 1800 y DK 740</t>
  </si>
  <si>
    <t xml:space="preserve">3.Sustento: cliente indica que pagara a el dia 30 </t>
  </si>
  <si>
    <t xml:space="preserve">4.Search: edad 37 años, no tiene trabajo actualizado </t>
  </si>
  <si>
    <t>1.Fecha de Pago: 04/02</t>
  </si>
  <si>
    <t>2.DT 3600 y DC 1900</t>
  </si>
  <si>
    <t xml:space="preserve">3.Sustento: tt indica que hara el pago del monto de S/ 1900 soles a la liquidacion de la deuda de la cual su esposo hara la transferencia de app bcp a nuestra cuenta ya que la titular esta lejos por chosica / ppc </t>
  </si>
  <si>
    <t>4.Search ( edad 39 años, no tiene registro de trabajo)</t>
  </si>
  <si>
    <t>1.Fecha de Pago: 06/04</t>
  </si>
  <si>
    <t>2.DT 412 y DK 412 DC 141</t>
  </si>
  <si>
    <t xml:space="preserve">3.Sustento: CLIENTE CONFIRMA PAGO DE LA ULTIMA CUOTA DEL MONTO DE 141 SOLES PARA LA CANCELACION DE LA DEUDA PARA EL DIA 06/04 // PPC </t>
  </si>
  <si>
    <t>4.Search ( edad 60 años, no tiene registro de trabajo)</t>
  </si>
  <si>
    <t>1.Fecha de Pago: 07/02</t>
  </si>
  <si>
    <t>2.DT 150 y DK 110 DC 76</t>
  </si>
  <si>
    <t>3.Sustento: CLIENTE SE LE COBRA EL SALDO PENDIENTE DE 40 SOLES CONFIRMA PAGO PARA EL DIA 07/02 COMO LA LIQUIDACION DE LA DEUDA / PPC</t>
  </si>
  <si>
    <t>4.Search ( NO HAY SEARCH)</t>
  </si>
  <si>
    <t>1.Fecha de Pago: 09/03</t>
  </si>
  <si>
    <t xml:space="preserve">2.DT 8900 y DK 6385 DC 4468 </t>
  </si>
  <si>
    <t xml:space="preserve">3.Sustento:  Cliente se acerco a la financiera cdk en la agencia de pedregal converso la jefa de operacion Briggite Pacheco que le pidio apoyo por que el cliente estaba en dudas de la cual indica que pagara el dia lunes 09/03 a las 09 am ya que el dinero lo tiene en arequipa y el solo va los fines de semana por eso pagara el lunes 09/03 con el monto que le llego como sms / ppc </t>
  </si>
  <si>
    <t>4.Search ( edad 23 años, no tiene registro de trabajo)</t>
  </si>
  <si>
    <t xml:space="preserve">1.Fecha de Pago: 10/02 </t>
  </si>
  <si>
    <t xml:space="preserve">2.DT 1600 y DK 650 DC 1000 </t>
  </si>
  <si>
    <t xml:space="preserve">3.Sustento: CLIENTE CONFIRMA PAGO DEL MONTO DE S/ 1,000 SOLES PARA LA LIQUIDACION DE LA DEUDA YA QUE ESO ES EL MONTO QUE TIENE EN MANO PAGARA A LAS 6 PM APROX YA QUE EL SALE DE SU TRABAJO A ESA HORA / PPC </t>
  </si>
  <si>
    <t>4.Search ( edad 47 años, tiene trabajo en GOBIERNO REGIONAL PIURA sueldo S/ 1,100 )</t>
  </si>
  <si>
    <t>1.Fecha de Pago: 10/03</t>
  </si>
  <si>
    <t>2.DT 890 y DK 530 DC 382</t>
  </si>
  <si>
    <t xml:space="preserve">3.Sustento:  Cliente se comunica por un sms que le enviaron del monto de S/ 382 soles para el dia de mañana ya que indica que pagara en el horario de 4pm a 5pm aprox. / ppc </t>
  </si>
  <si>
    <t>4.Search ( edad 30 años, UNIDAD DE GESTION EDUCATIVA EL COLLAO 201909 A 1365)</t>
  </si>
  <si>
    <t>1.Fecha de Pago: 10/1</t>
  </si>
  <si>
    <t>2.DT 2100 y DK 706 DC 150</t>
  </si>
  <si>
    <t>3.Sustento: cliente acepta pago del monto de 150 soles ya que se elevo propuesta pagara hoy por la tarde / ppc</t>
  </si>
  <si>
    <t>4.Search ( no tiene registro de trabajao , edad 34 años)</t>
  </si>
  <si>
    <t>1.Fecha de Pago: 11/02</t>
  </si>
  <si>
    <t>2.DT 7500  y DK 4000 DC 4000</t>
  </si>
  <si>
    <t xml:space="preserve">3.Sustento: CLIENTE HARA LA CANCELACION CON EL MONTO DE S/ 4000 MIL SOLES A LA LIQUIDACION DE LA DEUDA / PPC </t>
  </si>
  <si>
    <t>4.Search ( edad 33 años, no tiene registro de trabajo)</t>
  </si>
  <si>
    <t>1.Fecha de Pago: 11/03</t>
  </si>
  <si>
    <t>2.DT 1600 y DK 760 DC 760</t>
  </si>
  <si>
    <t>3.Sustento:  Cliente se comunica por la cuenta con financiera tarjeta oh de la cual se le brinda monto de cancelacion de S/ 760 soles indica que el dia miercoles 11/03 hara el pago de la cancelacion de la cual antes que pague pasara a la oficina a poder recoger su acuerdo de cancelacion / ppc</t>
  </si>
  <si>
    <t xml:space="preserve">4.Search ( edad 41 años, MUNICIPALIDAD DISTRITAL DE ATE 201909 A 6592) </t>
  </si>
  <si>
    <t xml:space="preserve">1.Fecha de Pago: 13/03 </t>
  </si>
  <si>
    <t>2.DT 6000 y DK 3300 DC 2400</t>
  </si>
  <si>
    <t>3.Sustento: Tia betty encargada de pagos se compromete a pagar el dia de mañana 13/03 el monto aprobado como excepcion de mil soles de la cual lo hara en el banco interbank / ppc</t>
  </si>
  <si>
    <t>4.Search ( no carga search 09:26)</t>
  </si>
  <si>
    <t>1.Fecha de Pago: 13/03</t>
  </si>
  <si>
    <t>2.DT 2202 y DK 2000 DC 600</t>
  </si>
  <si>
    <t>3.Sustento:  Cliente confirma pago para el dia 13/03 del monto de S/ 600 soles ya que sigue la excepcion del mes pasado que le aprobaron / ppc</t>
  </si>
  <si>
    <t>4.Search ( edad 23 años, ECOVITACA LTDA 201909 A 1213)</t>
  </si>
  <si>
    <t xml:space="preserve">* levantado de asignacion de lisbeth,melina,sandy </t>
  </si>
  <si>
    <t>1.Fecha de Pago: 14/02</t>
  </si>
  <si>
    <t>2.DT 1000 y  DK 735 DC 650</t>
  </si>
  <si>
    <t>3.Sustento: Cliente compromete a pagar el dia viernes 14/02 el monto de cancelación S/ 650 soles en la tarde , ya que el dinero le dio a su papa entonces pedira que le ayude para que liquide la deuda / ppc</t>
  </si>
  <si>
    <t>4.Search ( edad 33 años , no tiene registro laboral ,)</t>
  </si>
  <si>
    <t>1.Fecha de Pago: 15/01</t>
  </si>
  <si>
    <t>2.DT 4500 y DK 2860 DC 572</t>
  </si>
  <si>
    <t>3.Sustento: CLIENTE SE COMUNICA POR UN SMS QUE LE ENVIARON POR EL MONTO DE 572 PARA LA CANCELACION DE LA DEUDA PARA EL DIA DE MAÑANA 15/01 / PPC</t>
  </si>
  <si>
    <t>4.Search ( tiene registro de trabajo hasta septiembre 7323 , edad 50 años)</t>
  </si>
  <si>
    <t>1.Fecha de Pago: 15/02</t>
  </si>
  <si>
    <t>2.DT 312 y DK 150 DC 157</t>
  </si>
  <si>
    <t>3.Sustento: Cliente se compromete a pagar el monto a la liquidacion de la deuda con el monto de S/ 157 soles a la cancelacion de la deuda / ppc</t>
  </si>
  <si>
    <t>4.Search ( no tiene registro de trabajo, edad  32 años)</t>
  </si>
  <si>
    <t>2.DT 6500 y DK 3000 dc 1000</t>
  </si>
  <si>
    <t xml:space="preserve">3.Sustento: cliente indica que el dia 15/02 con el monto de S/ 1,000 soles a la liquidacion de la deuda ya que el mes pasado se le brindo una excepcion de la cual indica que hasta la quincena porque anda en gastos porque ya tiene que matricular a sus hijos / ppc </t>
  </si>
  <si>
    <t>4.Search ( edad 46 años, no tiene registro de trabajo)</t>
  </si>
  <si>
    <t>1.Fecha de Pago: 16/01</t>
  </si>
  <si>
    <t xml:space="preserve">2.DT 1255  y DK 1255 DC 276 </t>
  </si>
  <si>
    <t xml:space="preserve">3.Sustento: CLIENTE CONFIRMA PAGO PARA EL DIA 16 YA QUE EL DIA 15 LE PAGAN A SU ESPOSO PAGARA CON CAMPAÑA DE 276 SOLES A LA CANCELACION DE SU DEUDA / PPC </t>
  </si>
  <si>
    <t>4.Search ( NO TIENE REGISTRO DE TRABAJO )</t>
  </si>
  <si>
    <t>2.DT 1300  y DK 750</t>
  </si>
  <si>
    <t>3.Sustento: Cliente indica que pagara el monto de la deuda con el importe de 750 soles a la cancelación de la deuda, en el transcurso del dia / ppc</t>
  </si>
  <si>
    <t xml:space="preserve">4.Sustento de No pago: cliente dejo de pagar porque se puso mal de su columna </t>
  </si>
  <si>
    <t xml:space="preserve">4.Search ( no hay search) </t>
  </si>
  <si>
    <t>5. telefono adicional de la Sra. Betty: 965438876</t>
  </si>
  <si>
    <t>1.Fecha de Pago: 16/03</t>
  </si>
  <si>
    <t xml:space="preserve">2.DT 1200 y DC 150 </t>
  </si>
  <si>
    <t xml:space="preserve">3.Sustento:  Cliente indica que no pago porque esta en el campo en espinar de la cual se le brinda facilidad de S/ 150 soles para la cancelacion de la deuda indica que mandara a un familiar que le haga el favor / ppc </t>
  </si>
  <si>
    <t xml:space="preserve">4.Search ( edad 49 años, no tiene registro de trabajo) </t>
  </si>
  <si>
    <t xml:space="preserve">* levantado de asignacion de tacita </t>
  </si>
  <si>
    <t>2.DT 3,500 y DK 1,300 DC 950</t>
  </si>
  <si>
    <t xml:space="preserve">3.Sustento:  Cliente confirma pago del monto de S/ 500 soles se le dicta numero de cuenta de pago para la cancelacion de la deuda excepcion aporbada / ppc </t>
  </si>
  <si>
    <t>4.Search ( edad 70 años, OFICINA DE NORMALIZACION PREVISIONAL ONP 201909 A 415)</t>
  </si>
  <si>
    <t>1.Fecha de Pago: 18/01</t>
  </si>
  <si>
    <t>2.DT 2621 y DK 1100 DC: 500</t>
  </si>
  <si>
    <t xml:space="preserve">3.Sustento: sobrino FRANK SANDOVAL GUTIERREZ se compromete a pagar la deuda de su tia la sra. dora de la cual propone cancelar con el monto de 500 soles para el dia de mañana sabado 18/01 a la cancelacion de su deuda / ppc </t>
  </si>
  <si>
    <t>4.Search ( edad 64 años, trabaja en el hospital regional de pucallpa 1276)</t>
  </si>
  <si>
    <t>1.Fecha de Pago: 18/02</t>
  </si>
  <si>
    <t>2.DT 1,300 y DK 463 DC 280</t>
  </si>
  <si>
    <t>3.Sustento: Cliente confirma pago del monto S/ 280 soles a la cancelacion de la deuda en el banco ibk para el dia 18/02 / ppc</t>
  </si>
  <si>
    <t>4.Search ( edad 31 años, no tiene registro de trabajo)</t>
  </si>
  <si>
    <t>1.Fecha de Pago: 18/12</t>
  </si>
  <si>
    <t>2.DT 1000 y DK 700</t>
  </si>
  <si>
    <t xml:space="preserve">3.Sustento: cliente solo cuenta con el importe de 280 soles ya no tiene trabjo / ppc </t>
  </si>
  <si>
    <t xml:space="preserve">4.Search ( no tiene registro de trabajo </t>
  </si>
  <si>
    <t xml:space="preserve">1.Fecha de Pago: 2 DE ENERO </t>
  </si>
  <si>
    <t>2.DT 580  DC 350</t>
  </si>
  <si>
    <t>3.Sustento: cliente indica que tiene a la mano 350 soles para la cancelacion de la deuda se le acepta porque esta dentro de lo minimos entonces no se menciona monto porque pagara mas de lo que esta en descuento / ppc</t>
  </si>
  <si>
    <t>4.Search ( no tiene registro de trabajo, tiene 31 años)</t>
  </si>
  <si>
    <t>1.Fecha de Pago: 20 de diciembre</t>
  </si>
  <si>
    <t>2.DT 1800 y DK 1210</t>
  </si>
  <si>
    <t>3.Sustento: cliente se comunica con un sms que le enviaron por el monto a cancelacion del importe de 1309 soles pagara ese dia ya qiue recibe un dinero.</t>
  </si>
  <si>
    <t xml:space="preserve">4.Search: no tiene registro de trabajo , tiene 33 años es soltero </t>
  </si>
  <si>
    <t>1.Fecha de Pago: 20/02</t>
  </si>
  <si>
    <t>2.DT 1400 y DK 570 DC 350</t>
  </si>
  <si>
    <t>3.Sustento: CLIENTE CONFIRMA PAGO PARA LA LIQUIDACION DE LA DEUDA CON EL MONTO S7 350 SOLLES / PPC</t>
  </si>
  <si>
    <t>4.Search ( TENGO INCONVENIENTES CON SEARCH)</t>
  </si>
  <si>
    <t xml:space="preserve">2.DT 6000  y DK 6000 DC 401 </t>
  </si>
  <si>
    <t>3.Sustento: Cliente vino a oficina converso con Mariangela de la cual confirmaron que la clienta realizo todo sus pagos de la cual solo este mes le resta pagar el monto S/ 401 soles para la liquidacion de la deuda / ppc</t>
  </si>
  <si>
    <t>4.Search ( edad 72 años, no tiene registro laboral)</t>
  </si>
  <si>
    <t>1.Fecha de Pago: 20/03</t>
  </si>
  <si>
    <t xml:space="preserve">2.DT 3090.24  y DK 1400 DC 1050 </t>
  </si>
  <si>
    <t xml:space="preserve">3.Sustento:  Cliente indica que el dinero lo tiene ya que no pago por el tema que habia mucha gente en la cola y como tenia poco tiempo por el tema de su trabajo por eso no pago pero el dia 20/03 en el banco de la nacion  / ppc </t>
  </si>
  <si>
    <t>4.Search ( edad 28 años, UNIDAD DE GESTION EDUCATIVA SAN IGNACIO 201909 A 1365 )</t>
  </si>
  <si>
    <t>1.Fecha de Pago: 20/1</t>
  </si>
  <si>
    <t>2.DT 700  y DK 361 DC 320</t>
  </si>
  <si>
    <t xml:space="preserve">3.Sustento: Cliente confirma pago del monto de 320 soles como cancelacion de la deuda ya que pagara el dia 20/01 a la cancelacion pagara por la tarde en la misma oficina de mibanco / ppc </t>
  </si>
  <si>
    <t>4.Search ( edad 33 años , no tiene registro de trabajo)</t>
  </si>
  <si>
    <t>1.Fecha de Pago: 20/12/2019</t>
  </si>
  <si>
    <t>2.DT 10, 200 y DK 9700 , DEUDA DE CAMPAÑA;: 7090</t>
  </si>
  <si>
    <t>3.Sustento: hijo henry indica que anteriormente se comunico de la cual cancelara con el monto de 5000 mil soles ya que ahora  a la mano tiene 4 mil soles mañana cancelara todo ya que tt esta internado en el hospital por una recaida por que le dieron dos veces derrame cerebral entonces quieren ayudarlo por la hipoteca que tiene entonces ya que tt esta muy grave entonces se eleva la excepcion aprobada por mariangela / ppc</t>
  </si>
  <si>
    <t xml:space="preserve">4.Search ( tiene una pension de 53 soles del afp, tiene 76 años,tiene otra financiera reportada) </t>
  </si>
  <si>
    <t xml:space="preserve">obs del hijo responsable de pago segun el search </t>
  </si>
  <si>
    <t>42444692  : (actualmente no tiene registro de trabajo, tiene 35 años, estado soltero)</t>
  </si>
  <si>
    <t xml:space="preserve">1.Fecha de Pago: 21/02 </t>
  </si>
  <si>
    <t>2.DT 250</t>
  </si>
  <si>
    <t xml:space="preserve">3.Sustento: Cliente confirma pago del monto S/ 250 soles a la cancelacion de la dueda indica que recien a juntado el dinero mañana a primera hora hara el pago /  ppc </t>
  </si>
  <si>
    <t>4.Search ( edad 69 años, no tiene registro de trabajo)</t>
  </si>
  <si>
    <t>1.Fecha de Pago: 21/02</t>
  </si>
  <si>
    <t>2.DT 6000  y DK 3700 DC : 2300</t>
  </si>
  <si>
    <t>3.Sustento: Cliente se le brinda excepcion del monto S/ 2300 soles a la cancelacion de la deuda  / ppc</t>
  </si>
  <si>
    <t>4.Search ( edad 35 años, no tiene trabajo actualizado ultimo fue 2019-09)</t>
  </si>
  <si>
    <t>1.Fecha de Pago: 21/12/2019</t>
  </si>
  <si>
    <t>2.DT 200 y DC 50</t>
  </si>
  <si>
    <t>3.Sustento: cliente indica que el dia sabado le estaran pagando se le cobra 50 soles para la cancelación de la deuda / rpp</t>
  </si>
  <si>
    <t>4.Search ( si trabaja gana sueldo 1034, edad 43 años)</t>
  </si>
  <si>
    <t>1.Fecha de Pago: 22/01</t>
  </si>
  <si>
    <t>2.DT 6000 y DK 3500 DC 1700</t>
  </si>
  <si>
    <t>3.Sustento: cliente se le acepta excepcion con el monto de 1700 soles a la cancelacion de la deuda en la oficina de caja arequipa  de sjm a las 5:30 aprox. / ppc</t>
  </si>
  <si>
    <t>4.Search ( edad 47 años, si tiene registro de trabajo en prosegur, tiene mas de dos financieras reportada como cliente en perdida)</t>
  </si>
  <si>
    <t>2.DT 6800 y DK 3500 DC 700</t>
  </si>
  <si>
    <t>3.Sustento: cliente se le brindo excepcion con el monto de 700 soles ya que anteriormente le llego un correo electronico de la cual se le acepta entonces ya que ella se dedica a limpiar casas lo pagara el dia de hoy a las 4pm aprox. / ppc</t>
  </si>
  <si>
    <t>4.Search ( edad 44 años, si tiene trabajo de limpieza)</t>
  </si>
  <si>
    <t>1.Fecha de Pago: 22/02</t>
  </si>
  <si>
    <t>2.DT  5200 y DK  2420 DC 484</t>
  </si>
  <si>
    <t>3.Sustento: Cliente indica que no pago porque esta en el braem lo cancelara el dia sabado 22/02 el monto de 484 soles a la cancelacion de la deuda / ppc</t>
  </si>
  <si>
    <t>4.Search ( edad 34 años, no tiene registro de trabajo)</t>
  </si>
  <si>
    <t>1.Fecha de Pago: 24/02</t>
  </si>
  <si>
    <t xml:space="preserve">2.DT 200  y DC 50 </t>
  </si>
  <si>
    <t xml:space="preserve">3.Sustento: Cliente confirma pago del monto de S/ 50 soles ella indica que cancelo todo pero por su tranquilidad pagara porque su error fue no pedir su carta de no adeudo / ppc </t>
  </si>
  <si>
    <t>4.Search ( edad 58 años, no tiene registro de trabajo)</t>
  </si>
  <si>
    <t>2.DT 4500 y DK 2770 DC 850</t>
  </si>
  <si>
    <t xml:space="preserve">3.Sustento: Cliente confirma pago del monto de S/ 850 soles a la cancelacion de la deuda para el  dia lunes 24/02 / ppc </t>
  </si>
  <si>
    <t>4.Search ( edad 49 años, COMPAÑIA DE SEGUROS DE VIDA CAMARA S.A. - SEGUROS DE VIDA CAMARA 2019-09 S/ 589)</t>
  </si>
  <si>
    <t>1.Fecha de Pago: 25 DE ENERO</t>
  </si>
  <si>
    <t>2.DT 2900 y DK 2070 DC 1500</t>
  </si>
  <si>
    <t xml:space="preserve">3.Sustento: Cliente se compromete a pagar el monto de 1500 soles ya que trabaja en la mina pagara en el banco de la nacion , abonara el dia 15/1 el monto de 200 soles y lo restante para el dia 25/1 1300 soles / ppc </t>
  </si>
  <si>
    <t>4.Search (no tiene registro de trabajo, edad 44 años)</t>
  </si>
  <si>
    <t>1.Fecha de Pago: 25/01</t>
  </si>
  <si>
    <t>2.DT 1800 y DK 952 DC 210</t>
  </si>
  <si>
    <t>3.Sustento: Cliente indica que el motivo de impago fue que dejo de pagar por motivos personales , entonces confirma el pago para el dia sabado 25/01 antes del medio cancelara la deuda con el monto de 210 soles / rpp</t>
  </si>
  <si>
    <t>4.Search ( no tiene registro  actualizado de trabajo , edad 26 años )</t>
  </si>
  <si>
    <t>Nª TELEFONO TT :914822533</t>
  </si>
  <si>
    <t>2.DT 2700 y DK 1,500 DC 320</t>
  </si>
  <si>
    <t>3.Sustento: Cliente indica que dejo de pagar ya que estaba en lima ya que su madre a fallecido porque tenia cancer , ahora se compromete a pagar el monto de 320 soles a la cancelacion de la deuda / ppc</t>
  </si>
  <si>
    <t>4.Search ( tiene registro de trabajo , edad 42 años)</t>
  </si>
  <si>
    <t>nª 946831005</t>
  </si>
  <si>
    <t>1.Fecha de Pago: 25/02</t>
  </si>
  <si>
    <t>2.DT 2500 y DK 1800 DC 1370</t>
  </si>
  <si>
    <t xml:space="preserve">3.Sustento: Cliente se comunica por un sms que le enviaron con el monto de cancelacion s/ 1370 soles indica que el pago lo hara su esposa en la misma oficina de proempresa / ppc </t>
  </si>
  <si>
    <t xml:space="preserve">2.DT 2500 y DK 1800 DC 1377 </t>
  </si>
  <si>
    <t xml:space="preserve">3.Sustento: Cliente se comunica por un sms que le enviaron con el monto de cancelacion s/ 1377 soles indica que el pago lo hara su esposa en la misma oficina de proempresa / ppc </t>
  </si>
  <si>
    <t xml:space="preserve">1.Fecha de Pago: 26/02 </t>
  </si>
  <si>
    <t xml:space="preserve">2.DT 15610 y DK 7170 DC 1600 </t>
  </si>
  <si>
    <t xml:space="preserve">3.Sustento: Cliente hara el pago con el monto de campaña S/ 1,600 soles con excepcion de julio , de la cual lo realiza en lka agencia de pedregal / ppc </t>
  </si>
  <si>
    <t>4.Search ( edad 33 años, FUNDO AMERICA SAC. 201909 A 1643)</t>
  </si>
  <si>
    <t xml:space="preserve">1.Fecha de Pago: 27/01 </t>
  </si>
  <si>
    <t xml:space="preserve">2.DT 2,500 y DK 1800 DC 600 </t>
  </si>
  <si>
    <t xml:space="preserve">3.Sustento: Esposa Reyna confirma pago del monto de 600 soles porque le llego un sms ya que el dia 23/1 le saldra un prestamo por eso cancelara la deuda </t>
  </si>
  <si>
    <t>4.Search ( no hay search 19:02 )</t>
  </si>
  <si>
    <t>2.DT 4500 y DK 2300 DC 400</t>
  </si>
  <si>
    <t>3.Sustento: Cliente se comunica por whatsapp que ya conseguio los 400 soles ahora se le acepta el monto ya que fue aprovado entonces pagara hoy a las 2 pm a mas tardar / ppc</t>
  </si>
  <si>
    <t>4.Search ( edad 35 años, no tiene trabajo actualizado sueldo 2093)</t>
  </si>
  <si>
    <t>1.Fecha de Pago: 27/01</t>
  </si>
  <si>
    <t>2.DT 12,500 y DK 7695 DC 1200</t>
  </si>
  <si>
    <t>3.Sustento: Cliente confirma pago del monto de1200 soles aprobado por Mariangela entonces se le brinda descuento lo pagara a las 5 pm en el banco interbank asi mismo quiere la carta de no adeudo en fisico / ppc</t>
  </si>
  <si>
    <t>4.Search ( edad 56 años, ministerio de transporte sueldo 297)</t>
  </si>
  <si>
    <t>2.DT 2500 y DK 2100 DC 500</t>
  </si>
  <si>
    <t xml:space="preserve">3.Sustento: cliente se le aprueba el monto de 500 soles entonces pagara el dia de hoy / ppc </t>
  </si>
  <si>
    <t>2.DT 3200 y DK 1420 DC 469</t>
  </si>
  <si>
    <t xml:space="preserve">3.Sustento: cliente se comunica por sms ya que se le brinda beneficio a la cancelacion con el monto de 469 soles a la cancelacion total de su deuda para el dia 27/1 / ppc </t>
  </si>
  <si>
    <t>4.Search ( no tiene registro de trabajo )</t>
  </si>
  <si>
    <t>1.Fecha de Pago: 28/01</t>
  </si>
  <si>
    <t>2.DT 2400 y DC 808</t>
  </si>
  <si>
    <t>3.Sustento: cliente cancela deuda con el monto de sms que le enviaron con el importe de 808 soles a la cancelacion de su deuda fecha de pago hasta el dia 28/01 / ppc</t>
  </si>
  <si>
    <t>4.Search (edad 32 años, no tiene registro actualizado de trabajo)</t>
  </si>
  <si>
    <t xml:space="preserve">2.DT 5500 y DK 3100 DC 950 </t>
  </si>
  <si>
    <t>3.Sustento: Cliente se comunica porque le llego un sms con el monto de 950 soles a la cancelacion de la deuda pagara el dia 28/01 ya que su sueldo porque es policia le pagan todos los 27 entonces pagara el dia 28 a las 1 pm aprox. / ppc</t>
  </si>
  <si>
    <t>4.Search ( edad 58 años, no tiene registro de sueldo pero es policia)</t>
  </si>
  <si>
    <t xml:space="preserve">1.Fecha de Pago: 28/02 </t>
  </si>
  <si>
    <t>2.DT 1000 y DK 810 DC 700</t>
  </si>
  <si>
    <t xml:space="preserve">3.Sustento: Cliente confirma pago para el dia de mañana 28/02 del monto de S/ 400 soles para la cancelacion de la deuda , pagara mañana por la tarde en mibanco / ppc </t>
  </si>
  <si>
    <t>4.Search ( edad 39 años, UNIDAD DE GESTION EDUCATIVA LOCAL UGEL CAJAMARCA</t>
  </si>
  <si>
    <t xml:space="preserve">201909 A 1365) </t>
  </si>
  <si>
    <t>1.Fecha de Pago: 28/02</t>
  </si>
  <si>
    <t xml:space="preserve">2.DT 4000 y DK 1598 DC 320 </t>
  </si>
  <si>
    <t>3.Sustento: Cliente confirma pago del monto de S/ 320 soles a la cancelacion de la deuda indica que ya conseguio el dinero para poder pagar indica que mañana por la mañana estara efectuando el pago / ppc</t>
  </si>
  <si>
    <t>4.Search ( edad 35 años, no tiene regiastro de trabajo actualmente)</t>
  </si>
  <si>
    <t>2.DT 600 y  DK 110 DC 300</t>
  </si>
  <si>
    <t xml:space="preserve">3.Sustento: CLIENTE CONFIRMA PAGO DEL MONTO DE S/ 300 SOLES A LA CANCELACION DE LA DUEDA INDICA QUE HARA EL PAGO EL DIA 28/02 EN LA MISMA OFICINA DE CDK / PPC </t>
  </si>
  <si>
    <t>4.Search ( Edad 26 años, no tiene registro de trabajo)</t>
  </si>
  <si>
    <t xml:space="preserve">(cliente gestionado de la base manual tacita) </t>
  </si>
  <si>
    <t>1.Fecha de Pago: 28/03</t>
  </si>
  <si>
    <t>2.DT 12800  y DK 5200 DC 500</t>
  </si>
  <si>
    <t xml:space="preserve">3.Sustento: Cliente acaba este mes con convenio de pago del monto S/ 500 soles la ultima cuota que es la nª 18 , lo realizara el dia 28/02 en la misma oficina de cdk / ppc </t>
  </si>
  <si>
    <t>4.Search ( edad 49 años, no tiene registro de trabajo)</t>
  </si>
  <si>
    <t>1.Fecha de Pago: 29/01</t>
  </si>
  <si>
    <t>2.DT 1500 y DK 867 DC 449</t>
  </si>
  <si>
    <t xml:space="preserve">3.Sustento: cliente indica le llego un sms con el monto de 449 soles a la cancelacion de la deuda ya que se acopla al beneficio para el dia miercoles 29/01 ya que pagara por caja sullana su mama o por el bcp en transferencia / ppc </t>
  </si>
  <si>
    <t>4.Search ( edad 31 años, no tiene resgistro de trabajo actualizado)</t>
  </si>
  <si>
    <t>1.Fecha de Pago: 29/02</t>
  </si>
  <si>
    <t>2.DT 1300 y DK 980 DC 298</t>
  </si>
  <si>
    <t xml:space="preserve">3.Sustento: CLIENTE PAGA LA DIFERENCIA DE 158 SOLES A LA LIQUIDACION YA QUE AUN NO SE ACTUALIZA BASE DE DATOS DE PRODUCTOS / PPC </t>
  </si>
  <si>
    <t>4.Search ( edad 37 años, UNIDAD EJECUTORA 402 "HOSPITAL REGIONAL JOSE ALFREDO MENDOZA OLAVARRIA" JAMO II - 2 sueldo 1905 )</t>
  </si>
  <si>
    <t xml:space="preserve">1.Fecha de Pago: 30/01 </t>
  </si>
  <si>
    <t>2.DT 1400 y DK 635 DC 364</t>
  </si>
  <si>
    <t xml:space="preserve">3.Sustento: Cliente se comunica por sms enviado del monto de 364 soles para el dia 30/01 ya que quiere liquidar si anteriormente no a pagado solo porque pagaba su universidad ya que ahora ya esta trabajando / ppc </t>
  </si>
  <si>
    <t>4.Search ( edad 40 años, no tiene registro de trabajo actualizado, no tiene mas deudas pendientes)</t>
  </si>
  <si>
    <t>1.Fecha de Pago: 30/01</t>
  </si>
  <si>
    <t xml:space="preserve">2.DT 1000 y DC 256 </t>
  </si>
  <si>
    <t>3.Sustento: Cliente indica que le llego un sms por 256 soles a la cancelacion de la deuda ya que pagara el dia jueves 30/01 por la tarde / ppc</t>
  </si>
  <si>
    <t>4.Search (edad 31 años, no tiene registro de trabajo)</t>
  </si>
  <si>
    <t xml:space="preserve">3.Sustento: tt indica que no a podido pagar por que le van a operar hoy dia a su esposa de poligrafaso del higado entonces no a tenido tiempo entonces a tenido gastos , entonces mañana le entregaran el prestamo que a solicitado entonces pagara el dia jueves antes del medio dia / ppc  </t>
  </si>
  <si>
    <t>2.DT 3500 y DK 1720 DC 380</t>
  </si>
  <si>
    <t>3.Sustento: Cliente confirma pago de 380 soles por que le enviaron un sms liquidara la deuda el dia de mañana 30/01 en un agente bcp a las 8 am / ppc 4.Search ( edad 58 años, no tiene registro actualizado a la fecha)</t>
  </si>
  <si>
    <t>2.DT 6600 y DK 3000</t>
  </si>
  <si>
    <t xml:space="preserve">3.Sustento: Cliente indica que pagara la deuda ya que esta juntando el dinero que sus familiares le facilitaran en prestado ya que si se le da facilidad de cancelar con el monto de 3 mil soles ya que le parece un buen descuento por eso acopla al beneficio pagara en la misma oficina de qapaq por la tarde si en caso consigue antes el dinero pagara antes pero fecha tope hasta el dia 30/01 </t>
  </si>
  <si>
    <t>4.Search ( edad 46 años, no tiene registro de trabajo , no tiene mas deudas reportadas)</t>
  </si>
  <si>
    <t>1.Fecha de Pago: 30/12/2019</t>
  </si>
  <si>
    <t xml:space="preserve">2.DT 3570 , DK 2900 Y DC 870 </t>
  </si>
  <si>
    <t xml:space="preserve">3.Sustento: Cliente cancelara el dia de hoy el monto de 870 soles para la cancelacion ya que se a prestado el dinero para que una vez ya cancele toda la deuda </t>
  </si>
  <si>
    <t>4.Search ( no tiene registro de trabajo , 37 años , reportado una financiera mas)</t>
  </si>
  <si>
    <t xml:space="preserve">1.Fecha de Pago: 31/01 </t>
  </si>
  <si>
    <t>2.DT 7500 y DK 3400</t>
  </si>
  <si>
    <t xml:space="preserve">3.Sustento: cliente se comunica por un correo electronico con el monto de cancelacion de 668 soles , para el dia 31/01 a las 16:00 hrs / ppc </t>
  </si>
  <si>
    <t>4.Search ( edad 27 años, es militar )</t>
  </si>
  <si>
    <t>1.Fecha de Pago: 31/01</t>
  </si>
  <si>
    <t>2.DT 2200 y DK 950 DC 672</t>
  </si>
  <si>
    <t xml:space="preserve">3.Sustento: cliente se comunica porque le llego un sms que le enviaron que el dia de mañana cancelara por la tarde / ppc </t>
  </si>
  <si>
    <t>4.Search (edad 41 años, trabajo en ASOCIACION PERUANA DE LA IGLESIA DE JESUCRISTO DE LOS SANTOS DE LOS ULTIMOS DIAS sueldo 2310)</t>
  </si>
  <si>
    <t>2.DT 9200y DK 5200 DC 1557</t>
  </si>
  <si>
    <t xml:space="preserve">3.Sustento: Esposo Faustino Matta se compromete a pagar la deuda porque le llego un sms que le enviaron para que liquide con el monto de 1557 soles ya que el dia lunes 27/01 estaria pagando el monto de 800 soles y la diferencia para fin de mes / ppc </t>
  </si>
  <si>
    <t>4.Search ( edad 50 años, no tiene registro de trabajo actualmente)</t>
  </si>
  <si>
    <t>1.Fecha de Pago: 31/03</t>
  </si>
  <si>
    <t>2.DT 823 y DK 250 DC 420</t>
  </si>
  <si>
    <t xml:space="preserve">3.Sustento: Cliente confirma pago para el dia de hoy del monto de S/ 140 soles 2/03 , para fin de mes cancelara los 280 soles para la liquidacion de la deuda / ppc </t>
  </si>
  <si>
    <t xml:space="preserve">1.Fecha de Pago: 6/1 </t>
  </si>
  <si>
    <t>2.DT 850 y DK 370 DC 300 EXCEPCION</t>
  </si>
  <si>
    <t>3.Sustento: CLIENTE CON DINERO EN MANO DEL MONTO DE 300 SOLES YA QUE LE URGE LA CARTA DE NO ADEUDO YA QUE VIAJARA ENTONCES SE LE ACEPTA APROBACION POR JULIO / PPC</t>
  </si>
  <si>
    <t>4.Search ( TIENE REGISTRO DE TRABAJO PROMOTORA SUELDO DE 1,070, EDAD 47 AÑOS)</t>
  </si>
  <si>
    <t xml:space="preserve">1.Fecha de Pago: 8/02 </t>
  </si>
  <si>
    <t>2.DT 810 y DC 165</t>
  </si>
  <si>
    <t>3.Sustento: Cliente confirma pago del monto S/ 165 soles a la cancelacion de la deuda por transferencia de la banca movil interbank / ppc</t>
  </si>
  <si>
    <t>4.Search ( edad 48 años)</t>
  </si>
  <si>
    <t>10/09 Se confirma excepcion aprobada por Cesar , tt cancelara mañana 11/09 PPC X 8,500 se solicitara la carta en 24hora conforme  //</t>
  </si>
  <si>
    <t>1000 SOLES PPC CANCELACION TOTAL</t>
  </si>
  <si>
    <t>1DT1900 CAMPAÑA 230</t>
  </si>
  <si>
    <t>TT INDICA QUE SE VA A CONSEGUIR EL DINERO A MAS TARDAR EL DIA 10-1</t>
  </si>
  <si>
    <t>DT 350 CAMPAÑA 100 10-1</t>
  </si>
  <si>
    <t xml:space="preserve">TT DICE QUE MAÑANA REALIZARA CANCELACION EN LA TARDE CON 100VIGENCIA CAMPAÑA 10-1/SE ME FUE LA FICHA </t>
  </si>
  <si>
    <t xml:space="preserve">110 PPC </t>
  </si>
  <si>
    <t xml:space="preserve">DT 700 CAMPAÑA 180 </t>
  </si>
  <si>
    <t>TT ESTA TRABAJANDO  Y QUE COM SU TRABAJO PAGARA CAMPAÑA 180 EL PAGO LO HARA EL DIA 11-1 EN AGENCIA DE CREDINKA</t>
  </si>
  <si>
    <t>TT DESEA CDNA EN SU WHATSAPP</t>
  </si>
  <si>
    <t>1200 TT ABONARA EL DIA VIERNES 1000 SOLES / IRA A PAGARA A LA CAJA SULLANA DE AREQUIPA</t>
  </si>
  <si>
    <t xml:space="preserve">13011531 TT DT S/2,000 - DK S/900 - CAMPAÑA S/270 </t>
  </si>
  <si>
    <t xml:space="preserve">SEARCH :  36 AÑOS, TIENE OTRA DEUDA - GANA S/1,023 </t>
  </si>
  <si>
    <t xml:space="preserve">SDP : PAGA ESA FECHA - BRINDA NRO DE CEL 993358659 - PIDE ENVIAR INFO A SU CORREO : diamelaportugal25@gmail.com - opciones de pago bcp , agentes bcp , banco Interbank - se llamo del discador - se adjunta audio </t>
  </si>
  <si>
    <t>DT 11000 CAMPAÑA 3400</t>
  </si>
  <si>
    <t>BERTHA HUAMANI HIJA DE TT DICE QUE EL PAGO DE LA EXCEPCION DE 1800 LO REALIZARA A  MAS TARDAR MAÑANA 11-1 EN UN AGENCIA DE CREDINKA SE LE DA DE PLAZO HASTA EL 13-1 . DESEA CDNA AL NRO 985191913</t>
  </si>
  <si>
    <t>DT 3432  CAMPAÑA 882</t>
  </si>
  <si>
    <t>TT DICE QUE REALIZARA PAGO CON CAMPAÑA 882 POSIBLEMENTE EL DIA DE MAÑANA, SE LE DA DE PLAZO HASTA EL 13-1</t>
  </si>
  <si>
    <t>TT DESEA DOCUMENTO DE ACUERDO DE  CANCELACION</t>
  </si>
  <si>
    <t xml:space="preserve">TT DESEA CDNA A SU WHATSAPP, </t>
  </si>
  <si>
    <t>DT 4530 CAMPAÑA 750</t>
  </si>
  <si>
    <t>TT INDICA QUE CANCELARA A MAS TARDAR EL DIA 13-1</t>
  </si>
  <si>
    <t>TT DESEA CDNA A SU WHATSAPP</t>
  </si>
  <si>
    <t>TT TRABAJA EN UNIDAD DE GESTION EDUCATIVA LOCAL DE CORONEL PORTILLO</t>
  </si>
  <si>
    <t>TIENE DEUA CON OTRA ENTIDAD FINANIERA</t>
  </si>
  <si>
    <t xml:space="preserve">14/01 991404469 DT 1500 DK 600 DC 200 </t>
  </si>
  <si>
    <t xml:space="preserve">TT SE LE MENCIONE QUE CANCELE CON EL MONTO DE 200 SOLES HASTA EL DIA DE 25/01 PAGARA POR LA MAÑANA YA QUE CAE EL DÍA SÁBADO PARA LA CANCELACION DE SU DEUDA </t>
  </si>
  <si>
    <t>SEARCH: NO TIENE REGISTRO DE TRABAJO ACTUALMENTE , EDAD 49 AÑOS (LLAMADA EN SISTEMA)</t>
  </si>
  <si>
    <t xml:space="preserve">1400 SOLES EXCEPCION MARIANGELA </t>
  </si>
  <si>
    <t>DT 10861 DK 7592 CAMPAÑA 1600</t>
  </si>
  <si>
    <t>tt dice le ofrecieron en financeria oh cancelar con 1520 15-1</t>
  </si>
  <si>
    <t xml:space="preserve">tt tiene negocio independiente </t>
  </si>
  <si>
    <t>SE LE APRUEBA EXCEPCION PARA CANCELAR CON 1500 CON PLAZO HASTA  EL DIA 14-1</t>
  </si>
  <si>
    <t>tt brinda nro tt desea cdna al nro 994185543</t>
  </si>
  <si>
    <t>tt tiene deuda con otra entidad financiera</t>
  </si>
  <si>
    <t xml:space="preserve">DT 5000 CAMPAÑA 2500 </t>
  </si>
  <si>
    <t>TT DICE NO TIENE PLATA AHORITA,  TT DICE TENDRA DINERO PARA EL 14-1 TT ESTA TRABAJANDO HACE TEJIDOS TT DESEA CDNA AL WHATSAPP  NUMERO DE SU HIJO</t>
  </si>
  <si>
    <t xml:space="preserve">14108119 tt f. de pago viernes 07/02 - s/400.00 </t>
  </si>
  <si>
    <t xml:space="preserve">dt s/3,600 dk s/  1,800  campaña s/400 </t>
  </si>
  <si>
    <t xml:space="preserve">rdm : otro - ocupado </t>
  </si>
  <si>
    <t xml:space="preserve">sdp : contara con el efectivo  en ibjk pagara, brinda nro de el 939211044 // </t>
  </si>
  <si>
    <t>search : 41 años , soltero, con auto, sin hijos, sobreendeudado , sin trabajo en planilla // del discador cayo.</t>
  </si>
  <si>
    <t xml:space="preserve">search : 41 años , soltero, con auto, sin hijos, sobreendeudado , sin trabajo en planilla // del discador cayo. // se corrigio f . de pago </t>
  </si>
  <si>
    <t xml:space="preserve">CONTESTA TT SE INFORMA DEUDA </t>
  </si>
  <si>
    <t>DT 3085</t>
  </si>
  <si>
    <t>EXPERTIS 950</t>
  </si>
  <si>
    <t xml:space="preserve">CONSEGUIRA DINERO DEL PAGO DE SUS HABERES// </t>
  </si>
  <si>
    <t xml:space="preserve">36 AÑOS/INF LABORAL (PECUARIA SAN FRANCISCO SOCIEDAD ANONIMA CERRADA - PECUARIA SAN FRANCISCO S.A.C. ING MENSUAL 682)/NO REGISTRA INF FAMILIAR /NO REGISTRA DEUDAS </t>
  </si>
  <si>
    <t>contesta tt se informa deuda //</t>
  </si>
  <si>
    <t>DT 1811</t>
  </si>
  <si>
    <t>EXPERTIS 250</t>
  </si>
  <si>
    <t>MENCIONA QUE NO PUDO ACCEDER A LA CAMPAÑA PORQUE ESTUVO DE VIAJE ///JUNTARA EL DINERO PARA PODER PAGAR 250</t>
  </si>
  <si>
    <t>ENVIAR INFORMACION DONO_95@HOTMAIL.COM///</t>
  </si>
  <si>
    <t>BRINDO NRO CELULAR 916276031</t>
  </si>
  <si>
    <t>DT 2850</t>
  </si>
  <si>
    <t>EXPERTIS 360</t>
  </si>
  <si>
    <t xml:space="preserve">SE MENCIONA CAMPAÑA DE CANCELACION //ACCEDE HASTA QUINCENA A CANCELAR DEUDA </t>
  </si>
  <si>
    <t>43 AÑOS///3 HIJOS /POSEE 1 VEHICULO// INFORMACION LABORAL :COSTE?O ALIMENTOS S.A.C. INGRESO MENSUAL 6242</t>
  </si>
  <si>
    <t>DT 3806</t>
  </si>
  <si>
    <t>EXPERTIS 800</t>
  </si>
  <si>
    <t xml:space="preserve">REALIZARA CANCELACION DE LA DEUDA SEGUN CAMPAÑA DE DESCUENTO </t>
  </si>
  <si>
    <t>29 AÑOS /INDEPENDIENTE/NO REGISTRA INF LABORAL///REGISTRA 2 VEHICULOS A SU NOMBRE //REGISTRA 3 DEUDAS //</t>
  </si>
  <si>
    <t>SE MENCIONA DT 1611</t>
  </si>
  <si>
    <t>EXPERTIS 660</t>
  </si>
  <si>
    <t>INDICA QUE QUIERE ACOGERSE A LA CAMPAÑA DE DESCUENTO POR 660</t>
  </si>
  <si>
    <t>36 AÑOS//NO REGISTRA INFORMACION LABORAL //NO REGISTRA DEUDA S/</t>
  </si>
  <si>
    <t>tt hizo abono de S/. 1500 /// cancelara 400 de campaña de descuento /con el pago de mercaderia</t>
  </si>
  <si>
    <t>150 SOLES PPC ABONO 50 SOLES</t>
  </si>
  <si>
    <t>1500 PARA EL DIA 29/08/19 SE LE ENVIA ACUERDO DE CANCELACION</t>
  </si>
  <si>
    <t>1500 PPC SE LE ENVIA ACUERDO DE CANCELACION</t>
  </si>
  <si>
    <t xml:space="preserve">DT 20778 DK 917 CAMPAÑA 210 </t>
  </si>
  <si>
    <t>TT DICE QUE LE PAGAN EN QUINCENA Y QUE EL DIA 15 REALIZA CANCELACION CON 210 SOLES TT DESEA CDNA A SU WHATSAPP</t>
  </si>
  <si>
    <t>TT DICE QUE LE PAGAN EN QUINCENA Y QUE EL DIA 15 REALIZA CANCELACION CON 210 SOLES TT DESEA CDNA A SU WHATSAPP (SE ME FUE LA FICHA)</t>
  </si>
  <si>
    <t>dt 4200 dk 2159 campaña 500</t>
  </si>
  <si>
    <t xml:space="preserve">tt dice que le dijeron el mes pasado pagar con s/.432 </t>
  </si>
  <si>
    <t>se llega a acuerdo con tt para cancelar deuda con s/.432 el dia 15-1</t>
  </si>
  <si>
    <t>tt dice que el dia 15 le pagan y que con eso pagara deuda</t>
  </si>
  <si>
    <t>dt 560 dk 539 campaña 458</t>
  </si>
  <si>
    <t>tt indica que recibira un dinero y que con eso podra pagar campaña en dos partes 250 15-1 y 208 el dia 30</t>
  </si>
  <si>
    <t xml:space="preserve">dt 7200 dk 5516 campaña 1150 </t>
  </si>
  <si>
    <t>tt dice que el dinero lo sacara de su ingreso mensual y de trabajos eventuales, tt desea CDNA  a su whatsapp</t>
  </si>
  <si>
    <t>SE MENCIONA DEUDAS DE 4 ENTIDADES -(SULLANA, INTERBANK, AREQUIPA Y OH)</t>
  </si>
  <si>
    <t xml:space="preserve">MENCIONA QUE INICIARA PAGANDO OH////DT 2453//EXPERTIS  360/// DICE QUE PERDIO SU TARJETA //NO PUEDE VIAJAR POR ESO NO PAGO ACTIEMPO//SE COMPROMETE A REALIZAR EL PAGO EL DIA DE MAÑANA </t>
  </si>
  <si>
    <t>160 SOLES PPC YA ABONO 50 SOLES  *ES MUSICO ESTA INTERESADO EN PAGAR *</t>
  </si>
  <si>
    <t>DT 1200</t>
  </si>
  <si>
    <t>EXPERTIS 500</t>
  </si>
  <si>
    <t>MENCIONA QUE SE ACOGERA A LA CAMPAÑA DE CANCELACION DE 500 SOLES HASTA EL DIA 17/01</t>
  </si>
  <si>
    <t>36 AÑOS //NO REGISTRA INF LABORAL DESDE EL 2018</t>
  </si>
  <si>
    <t>DT 1700</t>
  </si>
  <si>
    <t>EXPERTIS 210</t>
  </si>
  <si>
    <t>SE ACOGERA A LA CAMPAÑA DE CANCELACION DE 210 SOLES HASTA EL DIA 17/01</t>
  </si>
  <si>
    <t>51 AÑOS //REGISTRA 4 DEUDAS //INF LABORAL:COLEGIO SANTO DOMINGO E.I.R.L. ING MENSUAL 1000</t>
  </si>
  <si>
    <t xml:space="preserve">17/10 cliente llama al inboud cel rosado por un sms con monto de 256 soles hara la cancelacion de la deuda con un adelanto para mañana de 50 soles // ppc </t>
  </si>
  <si>
    <t xml:space="preserve">DT 1900 CAMPAÑA 897 </t>
  </si>
  <si>
    <t>TT TRABAJA DE MANERA EVENTUAL DICE QUE HARA PAGO EL DIA 17-2</t>
  </si>
  <si>
    <t>dt 14173 dk 8214 campaña 2500</t>
  </si>
  <si>
    <t>tt dice que va a vender una casa y que a mediados de enero podra cancelar con campaña de 2500 soles , se le da de plazo hasta el dia 18 de enero para cancelar con campaña</t>
  </si>
  <si>
    <t>19/09 Cel blanco , tt confirma cancelaciòn de 200 soles al 25/09 si puede pagara antes  //</t>
  </si>
  <si>
    <t xml:space="preserve">1910339700  TT YA NO LABORA EN LA EMPRESA Q SALE PERO HARA CANCELACIONDE DEUDA </t>
  </si>
  <si>
    <t>DT 4200 DK 4200 CAMPAÑA 550</t>
  </si>
  <si>
    <t>MSJ DE TEXTO 416</t>
  </si>
  <si>
    <t xml:space="preserve"> SE QUEDO SIN TRABAJO  , Y ACTUALMENTE SU ESPOSO LA ESTA AYUDANDO A PAGAR SUS DEUDAS  CONFIRMA PAGO A LAS 6 PM </t>
  </si>
  <si>
    <t xml:space="preserve"> DE DONDE SACA DINERO </t>
  </si>
  <si>
    <t>PRESTAMO DE ESPOSO</t>
  </si>
  <si>
    <t>SERCH</t>
  </si>
  <si>
    <t xml:space="preserve">EDAD 36 </t>
  </si>
  <si>
    <t>HIJOS 0</t>
  </si>
  <si>
    <t xml:space="preserve">HABERES NO TRABAJA </t>
  </si>
  <si>
    <t xml:space="preserve">DEUDAS </t>
  </si>
  <si>
    <t>CAJA MUNICIPAL DE AHORRO Y CREDITO DE PIURA - CMAC PIURA</t>
  </si>
  <si>
    <t>ENEL DISTRIBUCION PERU S.A.A.</t>
  </si>
  <si>
    <t xml:space="preserve">1938462484 tt f. dep ago 31/01/2020 - s/450 </t>
  </si>
  <si>
    <t>dt s/1,300 - campaña  s/450 .00</t>
  </si>
  <si>
    <t xml:space="preserve"> - 50  14/01 - s/400.00 fin de mes </t>
  </si>
  <si>
    <t xml:space="preserve">search : 61 años , sin deudas, sin hijos </t>
  </si>
  <si>
    <t xml:space="preserve">ppc s/450 - en dos armadas - mart 14/01 - s/50 el saldo s/400 31/01 - se enviara formato de pago whatsapp , en caja sullana, quiere terminar de pagar - se omite sdp ,  apurado , en la calle </t>
  </si>
  <si>
    <t>2/09 TT CONFIRMA QJUE ABONARA EL 20/09 LOS 311 SOLES SE GENERA PPC .</t>
  </si>
  <si>
    <t xml:space="preserve">2/09 TT CONFORME PAGARA LOS 2000 SOLES AL 30/09 CL CONFORME </t>
  </si>
  <si>
    <t>EXPERTIS 650</t>
  </si>
  <si>
    <t>MENCIONABA EN LLAMADA ANTERIOR QUE SOLO TENIA 500 A LA MANO //PERO CAMPAÑA YA NO ESTABA ACTIVA //SE INFORMO QUE SE SOLICITARIA LA EXCEPCION PARA ACTIVACION DE CAMPÑA //SE INFORMO 680 PERO NO TIENE //</t>
  </si>
  <si>
    <t>NECESITA SU CNA PARA PODER TRABAJAR CON EL BANCO ////</t>
  </si>
  <si>
    <t xml:space="preserve">44 AÑOS //TIENE 2 VEHICULOS ///REGISTRA 2 DEUDAS </t>
  </si>
  <si>
    <t>200 ABONO 200 SOLES Y EN OCT QUIERE CANCELAR LA DEUDA</t>
  </si>
  <si>
    <t>200 HOY Y 1400 MAÑANA // TOTAL 1600 SOLES PPC EXCEPCION MARIANGELA* FIJO OFC</t>
  </si>
  <si>
    <t>200 PPC</t>
  </si>
  <si>
    <t>200 PPC  EXCEPCION MARIANGELA</t>
  </si>
  <si>
    <t>200 PPC CANCELACION TT CARLOS /*-*</t>
  </si>
  <si>
    <t>200 SOLES // ESPOSA JUANI // ENVIAR SU MIB SOLES</t>
  </si>
  <si>
    <t>DT 1500 CAMPAÑA  300</t>
  </si>
  <si>
    <t>TT INDICA QUE CANCELAR DEUDA CON CAMPAÑA EL DIA 20-1 Y QUE PREGUNTARA POR PROPIEDAD DE SU DEUDA EN FINANCIERA OH</t>
  </si>
  <si>
    <t xml:space="preserve">dt 3000 campaña 1400 </t>
  </si>
  <si>
    <t>tt trabaja en el campo dice que con lo que gana hara cancelacion</t>
  </si>
  <si>
    <t>tt su tlf solo recibe sms</t>
  </si>
  <si>
    <t>DT 3800 CAMPAÑA 359</t>
  </si>
  <si>
    <t>TT CANCELARA CON CAMPAÑA 359 EL DIA 20</t>
  </si>
  <si>
    <t>MUNICIPALIDAD PROVINCIAL DE CELENDIN</t>
  </si>
  <si>
    <t>A</t>
  </si>
  <si>
    <t>dt 6900 dk 4281 campaña 900</t>
  </si>
  <si>
    <t xml:space="preserve">tt indica que hoy 2-1 realizara cancelacion con excepcion de 612 en la tarde </t>
  </si>
  <si>
    <t xml:space="preserve">21/11 CLIENTE COFIRMA PAGO DEL IMPORTE DE 7 MIL SOLES YA QUE SE LE BRINDA EXCEPCION DE MARIANGELA PAGO  LO REALIZARA A LAS 10 AM YA QUE TAMBIEN QUIERE QUE EL MISMO DIA QUE SE LE ENVIE LA CARTA DE NO ADEUDO / PPC </t>
  </si>
  <si>
    <t>21/11 CLIENTE CONFIRMA PAGO DEL IMPORTE DE 300 SOLES YA QUE DEJO DE PAGAR PORQUE SU MADRE SE ENCUENTRA MAL Y A SU NIÑO LE HAN OPERADO  PORQUE LE ENCONTRARON CUAJOS DE SANGRE EN SU CABEZA ENTONCES POR ESO ES EL MOTIVO YA QUE AHORA SE ENCUENTRA UN POCO RECUPERADA PAGAR CON CAMPAÑA EL MONTO DE 300 SOLES / PPC</t>
  </si>
  <si>
    <t>dt 3457 campaña 320 2</t>
  </si>
  <si>
    <t xml:space="preserve">tt cancelara con campaña el dia 21-1 </t>
  </si>
  <si>
    <t>tt desea recoger a oficina cdna(se me fue la ficha)</t>
  </si>
  <si>
    <t xml:space="preserve">22/11 cancelara deuda con el importe de 1200 soles / inboud </t>
  </si>
  <si>
    <t xml:space="preserve">22/11 CLIENTE CONFIRMA PAGO PARA EL DIA 29/11 YA QUE SE LE DA FACILIDAD DE PAGAR CON EL MONTO DE 670 PARA LA CANCELACION DE LA DEUDA // RPP </t>
  </si>
  <si>
    <t>22/11 CLIENTE INDICA QUE DEJO DE PAGAR POR MOTIVOS DE PROBLEMA EN SU CASA , YA QUE SE LE PROPONE CANCELAR LA DEUDA CON EL IMPORTE DE 1800 SOLES PAGANDO EL DIA LUNES 25/11 900 SOLES Y PARA FIN DE MES 30/11 LO RESTANTE ENTONCES SE LE GENERA CANCELACION A SU DEUDA //  PPC (AUDIO EN SISTEMA)</t>
  </si>
  <si>
    <t xml:space="preserve">22/11 CLIENTE LLAMA POR UN SMS CON EL MONTO DE 502 A LA CANCELACION DE LA DEUDA / PPC </t>
  </si>
  <si>
    <t>DT 300 CAMPAÑA 200</t>
  </si>
  <si>
    <t>SE LE INDICA CAMPAÑA 200 TT DICE HARA HOY CANCELACION CONFIRMAR LUEGO DEL PAGO DONDE DESEA CDNA</t>
  </si>
  <si>
    <t xml:space="preserve">23/08 946745262  CLIENTE INDICA QUE DARÁ UN ADELANTO EL DÍA 26/08 DEL IMPORTE DE 100 SOLES LO RESTANTE PAGARIA ANTES EL DIA 29/08 PAGARA LO RESTANTE , CLIENTE PAGARA EL DIA 29/08 A LAS 5 PM // PPC </t>
  </si>
  <si>
    <t>233** PPC</t>
  </si>
  <si>
    <t>DT 150</t>
  </si>
  <si>
    <t>se menciona informacion que brindo en enero //DEUDA 150 SOLES ///</t>
  </si>
  <si>
    <t>46 años /no registra informacion laboral ni familiar//registra 1 deuda en caja cuzco</t>
  </si>
  <si>
    <t xml:space="preserve">DT 2300 campaña 300 </t>
  </si>
  <si>
    <t>tt en la selva</t>
  </si>
  <si>
    <t>TT INDICA QUE REALIZARA PAGO A MAS TARDAR EL 24-1</t>
  </si>
  <si>
    <t>TT DESEA CDNA AL WHATSAPP</t>
  </si>
  <si>
    <t xml:space="preserve">DT 6000 CAMPAÑA 2200 </t>
  </si>
  <si>
    <t>TT DICE HARA UN ESFUERZO Y VIAJARA PARA VENDER UNOS ANIMALES Y REGRESA EL 23 EN LA TARDE Y EL DIA 24 HARA CANCELACION CON CAMPAÑA DE 2200</t>
  </si>
  <si>
    <t xml:space="preserve">250 PPC CANCELACION // </t>
  </si>
  <si>
    <t xml:space="preserve">DT 6200 2000 </t>
  </si>
  <si>
    <t>TT ESTA EN EL CAMPO ESTA EN JAEN DICE QUE EL DIA SABADO 25-1 HARA PAGO  DE CAMPAÑA DE 2000</t>
  </si>
  <si>
    <t>2550 PPC EXCEPCION MARIANGELA</t>
  </si>
  <si>
    <t xml:space="preserve">26/08 966676670 CLIENTE CONFIRMA PAGO CON EL IMPORTE DE 200 SOLES PARA LA CANCELACIÓN DE SU DEUDA A BASE DE UN IMPORTE DE 200 SOLES EXCEPCION DE MARIANGELA / PPC </t>
  </si>
  <si>
    <t>26/08 Excepcion aprobada por Mariangela , se genera PPC x 700 soles mañana 27/08 , conforme  //</t>
  </si>
  <si>
    <t>2600 SOLES PPC INDICA QUE ENTRE HOY Y MAÑANA LE PAGARAN LA GRATIFICADION DE SU TRABAJO S ELE INFORMA D ELA PENALIDAD * MANUAL*</t>
  </si>
  <si>
    <t xml:space="preserve">27/08 CLIENTE CONFIRMA PAGO DEL IMPORTE DE 2650 SOLES PARA LA CANCELACION DE SU DEUDA A LAS 10 AM // PPC (EXCEPCION DE MARIANGELA) </t>
  </si>
  <si>
    <t>270 SOLES  7/12 TT INDICA CANCELARA CON 270 EL DIA 17/12</t>
  </si>
  <si>
    <t xml:space="preserve">DT 600 CAMPAÑA 350 </t>
  </si>
  <si>
    <t>TT DICE QUE REALIZARA CANCELACION EL DIA 27-1 EN LA TARDE, DICE QUE SU TLF NO TIENE WHATSAPP Y QUE CDNA SE LE ENVIARA A OTRO NUMERO QUE TIENE WHATSAPP</t>
  </si>
  <si>
    <t xml:space="preserve">28/08 CLIENTE CONFIRMA PAGO POR BANCO BCP EL IMPORTE DE 600 SOLES PARA LA CANCELACION DE LA DEUDA // PPC CEL MORADO </t>
  </si>
  <si>
    <t xml:space="preserve">28/12 CLIENTE CONFIRMA PAGO DEL MONTO DE 1500 SOLES YA QUE PARA EL DIA LUNES PAGARA A LAS 12 DEL MEDIO DIA / EXCEPCION FUE APROBRADA POR JULIO EL DIA 27/12 / PPC </t>
  </si>
  <si>
    <t>DT 1800 CAMPAÑA 221</t>
  </si>
  <si>
    <t>TT INFORMACION Y CDNA A SU NRO DE WHATSAPP 961655364</t>
  </si>
  <si>
    <t xml:space="preserve">dt 2294 campaña 682 </t>
  </si>
  <si>
    <t>tt dice que ahce 3 dias recibio sms parac ancelar con 682</t>
  </si>
  <si>
    <t>tt dice que tiene trabajos eventuales y de lo que le pagan con eso cancelara con 682</t>
  </si>
  <si>
    <t>dt  2300 dk 1338 campaña 300 30-12</t>
  </si>
  <si>
    <t>tt indica que realizara cancelacion de campaña 300 el dia de mañana (se me fue la ficha)</t>
  </si>
  <si>
    <t>DT 2800 DK 1500 CAMPAÑA 1180</t>
  </si>
  <si>
    <t>TT INDICA QUE HOY 3-2 ABONARA 300 Y DIFERENCA DE 880 PARA EL DIA 28-2</t>
  </si>
  <si>
    <t>DT 2320</t>
  </si>
  <si>
    <t>LE PAGARAN EN ESAS FECHAS //</t>
  </si>
  <si>
    <t>35AÑOS//NO REGISTRA INF FAMILIAR//SOLO REGISTRA 1 DEUDA//</t>
  </si>
  <si>
    <t xml:space="preserve">DT 2000 DT 1310 </t>
  </si>
  <si>
    <t>tt esta lejos por juliaca no tiene agencia de MIBANCO cerca</t>
  </si>
  <si>
    <t>tt desea cdna a su numero de celular</t>
  </si>
  <si>
    <t xml:space="preserve">tt dice enviara a tercero a hacer el pago , tt dice que el pago lo hara hoy en la tarde o mañana </t>
  </si>
  <si>
    <t>29-2</t>
  </si>
  <si>
    <t>DT 2500 CAMPAÑA 1200</t>
  </si>
  <si>
    <t>TT INDICA QUE PAGARA IMPORTE DE EXCEPCION 600 EN DOS PARTES: 300 EL DIA 17-2 Y 300 EL DIA 29-2</t>
  </si>
  <si>
    <t>DT 1818</t>
  </si>
  <si>
    <t>DK 1121</t>
  </si>
  <si>
    <t>CAMPAÑA 800</t>
  </si>
  <si>
    <t>67 AÑOS // SIN TRABAJ</t>
  </si>
  <si>
    <t xml:space="preserve">TT SACARA DINERO DE TRABAJOS QUE REALIZA JUANTA HASTA ANTES DE FIN DE MES </t>
  </si>
  <si>
    <t>PPC 800</t>
  </si>
  <si>
    <t xml:space="preserve">SE ACOGERA A CAMPAÑA DE DESCUENTO </t>
  </si>
  <si>
    <t>43 AÑOS//REGISTRA 3 DEUDAS//INF LABORAL:UNIDAD DE GESTION EDUCATIVA /LOCAL DE CORONEL PORTILLO A 1365////</t>
  </si>
  <si>
    <t xml:space="preserve">300 PPC / </t>
  </si>
  <si>
    <t>DT 2000 PROMOCION 350</t>
  </si>
  <si>
    <t>ESPOSA DICE QUE VERA COMO CONSIGUE EL DINERO DICE QUE LE DEN PLAZO HASTA EL DIA 30-1 BRINDA NRO DONDE DESEA INFORMACION Y CDNA 920121032</t>
  </si>
  <si>
    <t>ESPOSA DE TT ANGELICA INES DE LA CRUZ TEJADA 41089394</t>
  </si>
  <si>
    <t xml:space="preserve">DT 1400 DK 464CAMPAÑA 300  </t>
  </si>
  <si>
    <t xml:space="preserve">TT DICE QUE QUE REALIZARA CANCELACION EL DIA 30-12 </t>
  </si>
  <si>
    <t>dt 2159 dk 1015 campaña 300</t>
  </si>
  <si>
    <t>tt dice que realizara cancelacion el dia 30-12 desea cdna a su whatsapp</t>
  </si>
  <si>
    <t>DT 14246</t>
  </si>
  <si>
    <t>DK 9930</t>
  </si>
  <si>
    <t>CAMPAÑA 2500</t>
  </si>
  <si>
    <t xml:space="preserve">39 AÑOS </t>
  </si>
  <si>
    <t>SUPERMERCADOS PERUANOS SOCIEDAD ANONIMA</t>
  </si>
  <si>
    <t>TT INDICA QUE DEJO DE CANCELAR POR RECLAMO DE COSUMO DE TRAJETA</t>
  </si>
  <si>
    <t xml:space="preserve">CANCELARA FIN DE MES CON SUELDO // AUN CON DSC MEDICO // TACITA FALLANDO </t>
  </si>
  <si>
    <t>DK 809</t>
  </si>
  <si>
    <t>EXPERTIS 170</t>
  </si>
  <si>
    <t>MENCIONA QUE SE ACOGERA A LA CAMPAÑA DE CANCELACION POR 170</t>
  </si>
  <si>
    <t>26 AÑOS//NO REGISTRA INF FAMILIAR //</t>
  </si>
  <si>
    <t>DK 900</t>
  </si>
  <si>
    <t>EXPERTIS 400</t>
  </si>
  <si>
    <t>SE ACOGERA A CAMPAÑA DE CANCELACION SEGUN SUS POSIBILIDADES ECONOMICAS</t>
  </si>
  <si>
    <t>29 AÑOS //REGISTRA 1 DEUDA ///NO REGISTRA INF LABORAL NI FAMILIAR //</t>
  </si>
  <si>
    <t>SE GENERA PROMESA VIA WHATSAPP //SOLO CONTESTA POR ESE MEDIO</t>
  </si>
  <si>
    <t xml:space="preserve">TT CONFIRMA PAGO PARA LA CANCELACION DE LA DEUDA DE CAJA SULLANADA CON EL IMPORTE DE 100 SOLES </t>
  </si>
  <si>
    <t>DT 9000 CAMPAÑA 3600</t>
  </si>
  <si>
    <t>TT DICE QUE LLEGA DE VIAJE EN 2 HORAS Y HARA EL PAGO CON CAMPAÑA 3600</t>
  </si>
  <si>
    <t xml:space="preserve">DT 1178 CAMPAÑA 760 </t>
  </si>
  <si>
    <t>TT TRABAJA DE SERENAZGO LE PAGAN A FIN DE MES  CON SU SUELDO PAGARA DEUDA TT DICE NO PUEDE HACER PAGO DE ADELANTO</t>
  </si>
  <si>
    <t xml:space="preserve">DT 1400 CAMPAÑA 584 </t>
  </si>
  <si>
    <t>TT DICE QUE EL DIA 31-1 LE PAGAN EN SU TRABAJO Y QUE ESE DIA HACE CANCELACION CON 584</t>
  </si>
  <si>
    <t xml:space="preserve">DT 2300 CAMPAÑA 750 </t>
  </si>
  <si>
    <t>ACUERDO CON TT CAMPAÑA 750 350 el 23-1 y  400 el 31-1</t>
  </si>
  <si>
    <t>TT DICE  TRABAJA EN UN PUEBLO LE PAGAN CADA 23 y que estara pagando en los dias acordados/se me fue la ficha</t>
  </si>
  <si>
    <t xml:space="preserve">DT 2400  CAMPAÑA 550 </t>
  </si>
  <si>
    <t>ACUERDO CON TT CAMPAÑA 550 EN 2 PARTES 275 22-1 275 31-1</t>
  </si>
  <si>
    <t xml:space="preserve">TT TRABAJA </t>
  </si>
  <si>
    <t xml:space="preserve">DT 3500 CAMPAÑA 1600 </t>
  </si>
  <si>
    <t>ACUERDO CON TT PAGAR CAMPAÑA 1600 EN DOS PARTES 200 EL 23-1 Y 1400 EL 31-1</t>
  </si>
  <si>
    <t>DT 6000 EXCEPCION  2200</t>
  </si>
  <si>
    <t>SE GENERO PPC CON TT POR 2200 PARA EL DIA 24-1 TT REALIZO HOY ABONO DE 800 QUEDANDO UN PENDIENTE DE 1400 SE LE  DA DE PLAZO A TT HASTA EL DIA 31-1</t>
  </si>
  <si>
    <t>DT 6000 SALDO PENDIENTE 1400(PPC 2200)</t>
  </si>
  <si>
    <t xml:space="preserve">350 /PPC INDICS WUE BAJARA PARA FIN DE  MES Y PAGARA LOS 350 SOLES </t>
  </si>
  <si>
    <t xml:space="preserve">351 ** PPC </t>
  </si>
  <si>
    <t xml:space="preserve">3593427SE HABLA CON EL TT SE LE MENCIONA LA DT:4012.96  DC:1867CAM:600 CLIENTE CUENTA CON TRABAJO Y NOS DICE Q TIENE UN DINERO GUARDADO Y SE LE MENCIONA A Q HORA LO HARIA NOS INDICA Q MAÑANA VA A ABONAR 300 Y EL VIERNES CANCELA TODA LA DEUDA  TIENE 32 AÑOSY SI TRABAJA . </t>
  </si>
  <si>
    <t xml:space="preserve">39 11/09 INBOUD GRIS </t>
  </si>
  <si>
    <t>3ERA CUOTA S/.760</t>
  </si>
  <si>
    <t>TT MENCIONA QUE LOS ESTARÀ REALIZANDO EL 14/02 ESTARÀ REALIZANDO EL PAGO DE SU ULTIMA CUOTA//SE ESPECIFICA SOBRE LA CARTA DE NO ADEUDO Y NO ESCUCHA BIEN//TT MENCIONA QUE UNA VEZ PAGUE QUE SE LE VUELVA A EXPLICAR LA ENTREGA DE LA CARTA</t>
  </si>
  <si>
    <t>33 AÑOS//NO TRABAJA EN PLANILLA//NO TIENE DEUDA CON OTRAS ENTIDADES</t>
  </si>
  <si>
    <t xml:space="preserve">400 PPC </t>
  </si>
  <si>
    <t xml:space="preserve">45236530  JOSE SANCHEZ AVAL PAGARA LOS 240 SOLE DIA MIERCOLES 30/10 </t>
  </si>
  <si>
    <t xml:space="preserve">46410807 Maria Izquierdo Rudas (hija) le llego mensaje de promocion por 567 soles DT/1500 SOLES de la tt indica que estaria haciendo la cancelacion de la deuda el dia viernes 31 a las 3 de la tarde  EDAD 50 AÑOS NO TIENE DEUDA EN EL SISTEMA FINANCIERO </t>
  </si>
  <si>
    <t xml:space="preserve">50 PAR Y 30/09/19 100 PARA UNA PPC </t>
  </si>
  <si>
    <t>50 SOLES PPC /INDICACA QUE HACE TIEMPO QUERIA PAGAR CON 50 SOLES Y NO KLE ACEPTARON AHORA ESTA FUERA D ECAJAMARCA Y QUE SOLO PUED EPAGAR A FIN D EMES QUE LLEGA /DISCADOR*</t>
  </si>
  <si>
    <t>500 PPC</t>
  </si>
  <si>
    <t>500 PPC EXCEPCION MARIANGELA</t>
  </si>
  <si>
    <t>500 ppc indicia que apartir d elas 12:30 ya que sale del trabajo</t>
  </si>
  <si>
    <t>5000 PPC PARA EL DIA LUNES 23/09/19 YA QUE CONFIRMA QUE EL BANCO LE A APROBADO EL CREDITO QUE A SOLICITADO</t>
  </si>
  <si>
    <t>500PPC EXCEPCION MARIANGELA</t>
  </si>
  <si>
    <t xml:space="preserve">5200 SOLES PPC PARA EL DIA 30/10/19 TT MERCERDES / </t>
  </si>
  <si>
    <t xml:space="preserve">CORREO : MERCEDES_TECSIP@HOTMAIL.COM </t>
  </si>
  <si>
    <t>//984002198 ENVIAR ACUERDO DE PAGO A SU HIJA.</t>
  </si>
  <si>
    <t xml:space="preserve">550 PARA EL DIA 29/11/19 Y 50 ADELANTO PARA EL DIA 25/11/19 INDICA QUE QUIERE SU CARTA NO ADEUDO </t>
  </si>
  <si>
    <t xml:space="preserve">550 PPC SE LE ENVIA LA CUENTA DE C.SULLANA </t>
  </si>
  <si>
    <t>561 PPC</t>
  </si>
  <si>
    <t>564 SOLES PPC ENVIARLE SU ACUERDO DE CANCELADO</t>
  </si>
  <si>
    <t>6/09 TT pagara 274 soles al 20/09 menciona que el si habia regulariza la cancelacion con CDK  , se informara envio de carta por correo  //</t>
  </si>
  <si>
    <t>DT 5000 CAMPAÑA 1490</t>
  </si>
  <si>
    <t>TT INDICA QUE ESTA REGRESANDO DE VIAJE MAÑANA Y QUE EL DIA JUEVES 6-2 HARA EL PAGO</t>
  </si>
  <si>
    <t>TT TIENE NEGOCIO PROPIO</t>
  </si>
  <si>
    <t>650PPC ULTIMA CUOTA / 3*650 CUOTA  INDICA QUE NEGOCIACION DEL MES DE SETIEMBRE S EVALIDA EN LOS PRODUCTOS COMO CUOTA MINI EN 650*3 MESES</t>
  </si>
  <si>
    <t>650PPC ULTIMA CUOTA / 3*650 CUOTA  INDICA QUE NEGOCIACION DEL MES DE SETIEMBRE S EVALIDA EN LOS PRODUCTOS COMO CUOTA MINI EN 650*3 MESES **SE CORRIGE FECHA DE PAGO**</t>
  </si>
  <si>
    <t xml:space="preserve">675 ppc </t>
  </si>
  <si>
    <t xml:space="preserve">7/10 CLIENTE INDICA QUE TUVO QUE VIAJAR POR EMERGENCIA RECIEN A VENIDO HOY YA MAÑANA HARA LA CANCELACION DE SU  DEUDA // PPC </t>
  </si>
  <si>
    <t>700 SOLES EL DIA 11/09/19</t>
  </si>
  <si>
    <t>700 SOLES PPC EXCEPCION SE TRABAJAN CON LOS PRODUCTOS DEL MES DE SETIEMBRE.</t>
  </si>
  <si>
    <t>2995 DK 1225 CAMPAÑA 245</t>
  </si>
  <si>
    <t>TT DICE QUE HARA PAGO EL DIA VIERNES 7-2</t>
  </si>
  <si>
    <t>TT DESCOFIADO DESEA ACUERDO DE CANCELACION</t>
  </si>
  <si>
    <t>TT CONFIRMARA LUEGO DONDE DESEA CDNA</t>
  </si>
  <si>
    <t xml:space="preserve">84588054 tt dt s/ 1600 dk s/650  - ppc  lunes 16/12 - s/530 -- liquida -- 10 am //    no tiene cel - sdp : pdh </t>
  </si>
  <si>
    <t xml:space="preserve">search : s/1,431.00 </t>
  </si>
  <si>
    <t>Fecha de Pago 31/01</t>
  </si>
  <si>
    <t>DT 6,100</t>
  </si>
  <si>
    <t>DK 3000</t>
  </si>
  <si>
    <t>CAMPAÑA   600</t>
  </si>
  <si>
    <t xml:space="preserve">TT NO0 ESTABA  trabajando , actualmente trabaja como albañil   , se le ofrece 1500 pero no accede ,  se le detalla que se le dara ersta campaña solo por  notar intencion de pago y vence el 31/01 </t>
  </si>
  <si>
    <t xml:space="preserve">Donde sacara el dineron </t>
  </si>
  <si>
    <t xml:space="preserve">le pagan semanal . </t>
  </si>
  <si>
    <t>Edad 47</t>
  </si>
  <si>
    <t xml:space="preserve">Hijos </t>
  </si>
  <si>
    <t xml:space="preserve">Haberes </t>
  </si>
  <si>
    <t>FINANCIERA UNO</t>
  </si>
  <si>
    <t>CREDISCOTIA FINANCIERA</t>
  </si>
  <si>
    <t>DT 600 DK 400 CAMPAÑA 250</t>
  </si>
  <si>
    <t>PPC 250 22/02</t>
  </si>
  <si>
    <t xml:space="preserve"> SACO LA TARJETA EN EL 2015 NO LA UTILIZO  Y DESPUÉS DE DOS AÑOS QUIZO UTILIZARLA Y LE DIJERON QUE ESTABA EN DEUDA  POR QUE SE LE ESTABA COBRANDO POR UN SEGURO PRESENTO UN RECLAMO .</t>
  </si>
  <si>
    <t xml:space="preserve">ACTUALMENTE TRABAJANDO  , PARA EL ESTADO </t>
  </si>
  <si>
    <t>DT 1000 DK 900 CAMPAÑA 600</t>
  </si>
  <si>
    <t xml:space="preserve">SUSTENTO </t>
  </si>
  <si>
    <t xml:space="preserve">VIAJO  Y DEJO ENCARGADA A OTRA PERSONA  PERO NO PAGO </t>
  </si>
  <si>
    <t>DONDE ELLA SE ENCUENTRA NO HAY AGENCIA DE CREDNKA PERO VIENE A FIN DE MES A PAGAR CON CAMPAÑA</t>
  </si>
  <si>
    <t>EDAD 28</t>
  </si>
  <si>
    <t xml:space="preserve">NO FIGURA DEUDAS </t>
  </si>
  <si>
    <t>Fecha de Pago 21/12</t>
  </si>
  <si>
    <t>DT  300</t>
  </si>
  <si>
    <t>DK  200</t>
  </si>
  <si>
    <t>CAMPAÑA 150</t>
  </si>
  <si>
    <t xml:space="preserve">TT MENCIONA QUE NO PUDO PAGAR POR QUE SE ENFERMO DURANTE DOS AÑOS EN EL CUAL NO PUDO CAMINAR NI TRABAJAR </t>
  </si>
  <si>
    <t xml:space="preserve">Donde sacara el dinero : </t>
  </si>
  <si>
    <t xml:space="preserve"> LE PAGAN EL 21 EL JORNAL SEMANAL YA QUE TRABAJA EN AGRICULTURA </t>
  </si>
  <si>
    <t>Edad  26</t>
  </si>
  <si>
    <t>Hijos 0</t>
  </si>
  <si>
    <t xml:space="preserve">Haberes  NO FIGURA </t>
  </si>
  <si>
    <t xml:space="preserve">DT 1290 DK 1008 CAMPAÑA 876 </t>
  </si>
  <si>
    <t>TT TIENE TRABAJO EVENTUAL PERO DICE QUE PODRA PAGAR CAMPAÑA 876 EN DOS PARTES:200   EL DIA 9-1 Y DIFERENCIA DE  676 EL  31-1 (SE FUE LA FICHA ,LLAMADA SE ESCUCHABA ENTRECORTADA Y SE TUVO QUE CORTAR Y LLAMAR DE CELULAR CORPORATIVO PARA CERRAR EL COMPROMISO)</t>
  </si>
  <si>
    <t>910175936 NUMERO DEL RESPONSABLE DE PAGO, CANCELARA TOTAL EL DIA 1200 DEUDA TOTAL, NO LLAMAR A MADRE PORQUE ESTA HIPERTENSA</t>
  </si>
  <si>
    <t>FECHA 16/03</t>
  </si>
  <si>
    <t>DT 1,322.32</t>
  </si>
  <si>
    <t>DK  528.17</t>
  </si>
  <si>
    <t>CAMPAÑA 390</t>
  </si>
  <si>
    <t>SUSTENDO SUELDO</t>
  </si>
  <si>
    <t xml:space="preserve">SEARCH 35 AÑOS // 0 HIJOS // 0 DEUDAS </t>
  </si>
  <si>
    <t xml:space="preserve">PPC 190 </t>
  </si>
  <si>
    <t>914164589  TT PAGARA  750 // MDNP : ESTA A LA ESPERA DE SU LIQUIDACION //  EL DIA 11/09  ABONARA 375  Y A FIN DE MES LO RESTANTE   NO BRINDA ·</t>
  </si>
  <si>
    <t xml:space="preserve">914240712  TTPAGO YA 600  QUEDA 400 CANCELA AUDIO EN MI CELULAR  AUDIO EN MI CELULAR .  </t>
  </si>
  <si>
    <t xml:space="preserve">914240712  TTPAGO YA 600  QUEDA 400 CANCELA AUDIO EN MI CELULAR  PERSONAL.  </t>
  </si>
  <si>
    <t>914240712  TTPAGO YA 600  QUEDA 400 CANCELA AUDIO EN MI CELULAR</t>
  </si>
  <si>
    <t xml:space="preserve">FECHA 13/01 </t>
  </si>
  <si>
    <t>DT 1,134.12</t>
  </si>
  <si>
    <t>DK  532.41</t>
  </si>
  <si>
    <t>CAMPAÑA 700</t>
  </si>
  <si>
    <t xml:space="preserve">DEJO DE CANCELAR POR MOTIVOS PERSONALES Y DERRUMBE </t>
  </si>
  <si>
    <t>50 AÑOS UNIDAD DE GESTIÓN EDUCATIVA OXAPAMPA</t>
  </si>
  <si>
    <t xml:space="preserve">EL DINERO LO OBTIENE DE TRABAJO // YA TIENE EL DINERO </t>
  </si>
  <si>
    <t>915226674 se habla con el tt por mensaje de whatssap , y nos confirma el pago y se le envia el acuerdo de la cancelacion total .</t>
  </si>
  <si>
    <t xml:space="preserve">para el lunes . 10 </t>
  </si>
  <si>
    <t>dt:2200.</t>
  </si>
  <si>
    <t>camp:5540</t>
  </si>
  <si>
    <t xml:space="preserve">ya se le hizo llegar al correo q nos emitio la carta de cancelacion . esta aprobado por julio . </t>
  </si>
  <si>
    <t xml:space="preserve">915909808 PPC 27/01 - S/1,700 -  3 PM CDK </t>
  </si>
  <si>
    <t xml:space="preserve">  dt s/3,700 - dk s/3,000 - campaña s/1,700 </t>
  </si>
  <si>
    <t>search : tt 34 años , soltero , sin otra deuda , gana s/1,300 - sin hijos /</t>
  </si>
  <si>
    <t xml:space="preserve">SDP : CUENTA CON EFECTIVO , tiene que viajar  a arequipa , sabado no llega , lunes 27/01 paga - cdk - llamo al cel </t>
  </si>
  <si>
    <t>917286937 TT F. DE PAGO 15/01/2020</t>
  </si>
  <si>
    <t xml:space="preserve">DT S/1,500  DK S/1,400 - CAMPAÑA S/340 </t>
  </si>
  <si>
    <t>PPC 15/01 - S/340 - EN BCO O AGENTE BCP - PIDE ENVIAR INFO A SU CEL POR WHATSAPP 917286937</t>
  </si>
  <si>
    <t xml:space="preserve">SEARCH : 26 AÑOS , PAGA PUNTUAL OTRO CREDITO , NO TIENE HIJOS, NI TRABAJO EN PLANILLA - SE LLAMA DEL DISCADOR </t>
  </si>
  <si>
    <t xml:space="preserve">SDP : PAGA EN BCO O AGENTE BCP - APURADA </t>
  </si>
  <si>
    <t xml:space="preserve">917539002 TT F. DE PAGO 07/02  -S/300 </t>
  </si>
  <si>
    <t xml:space="preserve"> DT S/1,000 CAMPAÑA S/300 </t>
  </si>
  <si>
    <t xml:space="preserve">RDM :  VINO PAGANDO PERO NO VEÍA QUE BAJE , SE QUEDO SIN TRABAJO , ELLA PAGABA PUNTUAL , HABIA HECHO COMPRAS </t>
  </si>
  <si>
    <t xml:space="preserve">SEARCH : 28 AÑOS  - SOLTERO - GANA S/1,700 - SIN HIJOS - SIN OTRA DEUDA -  </t>
  </si>
  <si>
    <t xml:space="preserve">SDP : CONTARA CON SU PAGO - ABONARA CON CAMPAÑA DE ENERO / DISCADOR </t>
  </si>
  <si>
    <t xml:space="preserve">917685487  tt rdm : se retraso su patrona  - ppc s/1,350.00 -  miercoles - 04/12/19  - sdp : le pagan su sueldo // confirmo cp tt via whatsapp </t>
  </si>
  <si>
    <t xml:space="preserve">917685487 TT CONFIRMA VIA WHATSAPP PAGAR S/1,300.00 FIN DE MES - SE ADJUNTA FOTOS --- NC  -SE LLAMO HOY 23/11 </t>
  </si>
  <si>
    <t xml:space="preserve">917721637 tt del cel corporativo . confirma pagar h oy 19/12 s/800  a las 1:34 pm -- ayer no lo pudo hacer por que estaba en una reunión // enviara la foto de su comprobante  // ( se omite ingresar y brindar info al tt dt - dk - campaña y demas datos- la tasita estaba cerrada - incoveniente interno ) se adjunta audio </t>
  </si>
  <si>
    <t xml:space="preserve">917721637 tt rdm : otro  // PPC 18/12  S/800.00  SDP : RECIBIRA SU GRATIFICACION  // SE ADJUNTA AUDIO DEL DISCADOR </t>
  </si>
  <si>
    <t>DT:2300</t>
  </si>
  <si>
    <t>DK:</t>
  </si>
  <si>
    <t>CAM:1000</t>
  </si>
  <si>
    <t>ABO:</t>
  </si>
  <si>
    <t>SUSTENTO:CLIENTE SE ACOGERA A LA CANCELACION NOS DICE Q POR MOTIVO DE NEGOCIO NO PUDO CANCELAR EL MES PASADO DE IGUAL MANERA ESTE MES SI O SI LO HARA , NOS LLAMO LA SOBRINA WENDY.</t>
  </si>
  <si>
    <t>LA ENCARGADA SERA SU CUÑADA LINA PANPAMALCA SANLLUCA</t>
  </si>
  <si>
    <t>EDAD:</t>
  </si>
  <si>
    <t>FECHA DE PAGO:7/02 PAGARA 200 Y 21/02 800</t>
  </si>
  <si>
    <t xml:space="preserve">EL NO PAGO: NO PAGO PORQ NO TENIA EL DINERO YA Q NISIQUIERA PUDIERON JUNTARLO </t>
  </si>
  <si>
    <t>DONDE FUE LA LLAMA:FUE UN IMBOUNDWENDY NOS MENCIONA Q SI VAN A PAGAR PORQ VAN A OBTENERLO POR LA VENTA DE UNAS COSAS Q TIENEN.</t>
  </si>
  <si>
    <t xml:space="preserve">Fecha de Pago  22/01 </t>
  </si>
  <si>
    <t>DT  1,247.76</t>
  </si>
  <si>
    <t xml:space="preserve">DK  526.98 </t>
  </si>
  <si>
    <t>PPC ULTIMA CUOTA 205</t>
  </si>
  <si>
    <t>Sustento  TT INDICA QUE SE DEDICA AUXILIAR DE TRANSPORTE A DOMINCILIO // INDEPENDIENTE</t>
  </si>
  <si>
    <t>Search 49 AÑOS // CONTADOR</t>
  </si>
  <si>
    <t xml:space="preserve">TT INDICA QUE DEUDA ES DE S/.120 SE APERSONO A OFICINAS DE INTERBANK DE HILO </t>
  </si>
  <si>
    <t>JUANKA.LAFUENTE@GMAIL.COM</t>
  </si>
  <si>
    <t xml:space="preserve">Dt:5200  </t>
  </si>
  <si>
    <t xml:space="preserve">Dk:2100 </t>
  </si>
  <si>
    <t>Campaña:1700</t>
  </si>
  <si>
    <t>Contrapropuesta en mano S/.1000</t>
  </si>
  <si>
    <t>Castigo:4 años</t>
  </si>
  <si>
    <t>Historial:vll.</t>
  </si>
  <si>
    <t xml:space="preserve">Planilla :no </t>
  </si>
  <si>
    <t>Deudas:1 entiendes.</t>
  </si>
  <si>
    <t>Sustento de Pago:</t>
  </si>
  <si>
    <t>CLIENTE TIENE EL DINERITO PARA PAGAR EN LA MISMA FINANCIERA Y NOS DICE Q LO HARA SIN NINGUN PROBLEMA PERO Q LE AYUDEMOS CON EL IMPORTE .</t>
  </si>
  <si>
    <t>CLIENTE TIENE EL DINERITO PARA PAGAR EN LA MISMA FINANCIERA Y NOS DICE Q LO HARA SIN NINGUN PROBLEMA PERO Q LE AYUDEMOS CON EL IMPORTE .NOS RESPONDE POR WHATSSAP</t>
  </si>
  <si>
    <t>921290214 tt rdm : otro // cp 28/11 s/300.00 -  en dos armadas sab 25/1 - s/100. el saldo 28/11 - liquida - enviar info al whatsapp acuerdpo</t>
  </si>
  <si>
    <t>921696751 tt dt s/1,620 s/700 cancela con s/250 abonara en bcp, enviara por whatsapp el comprobante de pago. (inbound)</t>
  </si>
  <si>
    <t>921982250 tt - sal cel verde -- ppc 30/11 - s/1553.00 - recibio sms con ese monto de campaña -  validado por mariangela - sdp  : contara con efectivo - antes del medio dia  // se adjunta audio // cna entrega 03/12 martes</t>
  </si>
  <si>
    <t>922047774 TT F. DE PAGO LUN 09/03 - S/500 - PPC</t>
  </si>
  <si>
    <t>DT S/3,221.11 - DK S/ 1,200 - CAMPAÑA OTRA</t>
  </si>
  <si>
    <t>CLIENTE HABIA YA CONVERSADO CON MELINA</t>
  </si>
  <si>
    <t>RDM : SU ESPOSA NO PUDO GIRARLE - EL DIA LUNES 09/0 - S/500 ABONA - SE PEDIRA EXCEPCION.</t>
  </si>
  <si>
    <t xml:space="preserve">SDP : GIRO DE SU ESPOSA CON SEGURIDAD </t>
  </si>
  <si>
    <t>SEARCH : 55 AÑOS , SOLTERO , SIN HIJOS, SIN TRABAJO EN PLANILLA // CON EXCEPCION APROBADA // DEL CEL / NO PERDERE EL BENEFICIO , AYUDA.</t>
  </si>
  <si>
    <t xml:space="preserve">922951143  f. de pago 02/04 - s/700 - ppc </t>
  </si>
  <si>
    <t xml:space="preserve">dt s/3,000 - dk s/ 2,500 campaña s/700.00 </t>
  </si>
  <si>
    <t>mdi : otro</t>
  </si>
  <si>
    <t>stp : llamo cliente confirmando que pagara si no es hoy mismo por el tema de la hora- la coyuntura maximo 02/04/20 - cancela- consiguio el efectivo.</t>
  </si>
  <si>
    <t>search : no se valida</t>
  </si>
  <si>
    <t xml:space="preserve">observ:  cliente regreso la llamada a mi nro personal - confirmando que paga maximo 02/04 -s/700 ppc - quiere cna via whatsapp ( se aclaro entrega 15 dias utiles maximo ) </t>
  </si>
  <si>
    <t>DT:1852</t>
  </si>
  <si>
    <t>DK:617</t>
  </si>
  <si>
    <t>CAMPAÑA 300</t>
  </si>
  <si>
    <t xml:space="preserve">SE LLEGO ACUERDO DE PAGO S/ 50 04/03 Y S/ 250 13/03 TT INDICA QUE NO PUEDO CANCELAR ANTERIOR TRATO POR OLIVIDO Y CUENTA CON DEUDA PERSONAS </t>
  </si>
  <si>
    <t>EDAD: 42 AÑOS</t>
  </si>
  <si>
    <t>LABORA INDUSTRIAS CELENDINAS S.A.C. - INDUCEL S.A.C. SUELDO - S/1100</t>
  </si>
  <si>
    <t xml:space="preserve">NO CUENTA CON DEUDA EN OTRA ENTIDADES </t>
  </si>
  <si>
    <t xml:space="preserve">923294245  TT CONFIRMA VIA WHATSAPP PAGAR ESTE 28/12/19 - S/525.00 LIQUIDA </t>
  </si>
  <si>
    <t xml:space="preserve">923294245  TT CONFIRMA VIA WHATSAPP PAGAR ESTE 31/12/19 - S/525.00 LIQUIDA </t>
  </si>
  <si>
    <t xml:space="preserve">923394876 -  </t>
  </si>
  <si>
    <t>DT: 1000</t>
  </si>
  <si>
    <t>CAMPAÑA: 330</t>
  </si>
  <si>
    <t>FECHA DE PAGO: 30-01</t>
  </si>
  <si>
    <t>MOTIVO DE NO PAGO: RECIBO MAL TRATO DE LA FINANCIERA, Y DICE QUE LE ESTAFARON (NO QUERIA PAGAR PERO SE CONVENCIO)</t>
  </si>
  <si>
    <t>EL PRÉSTAMO LO USO PARA: GASTO PERSONAL</t>
  </si>
  <si>
    <t>EDAD DE TT: 49</t>
  </si>
  <si>
    <t>RUBRO: NO TRABAJA</t>
  </si>
  <si>
    <t>PPC 900</t>
  </si>
  <si>
    <t>PPC 2000</t>
  </si>
  <si>
    <t>TT CANCELARA MAÑANA 07/12  POR BCP // EXCEPC APROB</t>
  </si>
  <si>
    <t>DT:3.911.41</t>
  </si>
  <si>
    <t>CAM:1400</t>
  </si>
  <si>
    <t xml:space="preserve">EXCEPCION:1000 </t>
  </si>
  <si>
    <t>MAMA DEL TT LA SEÑORA MARIA CRUZ DNI:29327823</t>
  </si>
  <si>
    <t xml:space="preserve">SE COMUNICA MAMA DE LA TT Y NOS DICE Q SU HIJO DEJO DE TRABAJAR TIENE  26 AÑOS  Y ESTA EN LA UNIVERSIDAD EL NO ESTA TRABAJANDO Y PORQ YA VA A ACABAR SU CARRERA , Y QUIERE TRABAJAR EN UN BANCO , NOS DICE LA MAMA QUE ELLA VA A SER LA RESPONSABLE Y QUIERE DAR SOLUCION AL CASO </t>
  </si>
  <si>
    <t xml:space="preserve">SE ELAVA LA PROPUESTA Y TIENE 800 EN ESTA SEMANA Y 200 A FIN DE MES . </t>
  </si>
  <si>
    <t>FECHA DE PAGO:28/02/2020</t>
  </si>
  <si>
    <t xml:space="preserve">LLAMA AL MORADO . </t>
  </si>
  <si>
    <t xml:space="preserve"> JULIO APROVO LA CAMPAÑA </t>
  </si>
  <si>
    <t>SE ATRASO POR TRABAJO , ULTIMOS CICLOS DE LS UNIVERSIDAD , TRABAJO EN CAJA DE PROMART , ACTUALMENTE TRABAJA EN UN SUPERMERCADO , SE ASERCARA A INTERBANK</t>
  </si>
  <si>
    <t>DK 410</t>
  </si>
  <si>
    <t>DC 100</t>
  </si>
  <si>
    <t>SERCH 25</t>
  </si>
  <si>
    <t xml:space="preserve">925395639 f. de pago viern 13/03/20  s/1,500  -PPC  ( EXCEPCION APROBADA) </t>
  </si>
  <si>
    <t xml:space="preserve"> tt dt s/55,506.00  dk s/  4,000      campaña s/3,000</t>
  </si>
  <si>
    <t xml:space="preserve">rdm : quebro negocio - tiene 4 hijos , dejo debiendo s/3,200  y subio s/900 mas // su propuesta es que sus hermanos lo puedan apoyar prestamo  s/1,500 propone  f. de pago seria el viernes 13/02 </t>
  </si>
  <si>
    <t xml:space="preserve">sdp : prestamo de familiares , lo mencion en llamada anterior , hermanos, y de lo que el trabaja tbm coo ayudante // DEL DISCADOR </t>
  </si>
  <si>
    <t xml:space="preserve">MARIA COAQUIRA OXA  </t>
  </si>
  <si>
    <t>EDAD 46</t>
  </si>
  <si>
    <t>DT 750</t>
  </si>
  <si>
    <t>DK 300</t>
  </si>
  <si>
    <t>DC 270</t>
  </si>
  <si>
    <t>26 27</t>
  </si>
  <si>
    <t>SE DEMORO DE POR SALUD ,EL PRESTAMO FUE PAra un NEGOCIO Y LE FUE MAL POR SU MAL ESTADO DE SALUD , EL DINERO SE PRESTARA DE UN FAMILIAR</t>
  </si>
  <si>
    <t xml:space="preserve">926142102 tt rdm : otro // cp 11/12 - s/630.00 sdp : cuenta con efectivo  - hoy no puede por que esta trabajando // se envia por whatsapp info para el pago  -- en oficina de caja sullana </t>
  </si>
  <si>
    <t>926311621 TT INDICA QUE DEJO DE PAGAR PORQUE SOLO PAGO UNA PARTE DE SU ULTIMA CUOTA , MAÑANA ESTARA LLEGANDO A LA CUIDAD HARA EL PAGO A LA CANCELACION DE SU DEUDA CON EL MONTO TOTAL DE 250 SOLES A LAS 9:30 APROX. // RPP</t>
  </si>
  <si>
    <t>Dt:1635</t>
  </si>
  <si>
    <t xml:space="preserve">Dk:500  </t>
  </si>
  <si>
    <t>Campaña:400</t>
  </si>
  <si>
    <t>Contrapropuesta en mano S/200</t>
  </si>
  <si>
    <t>Castigo:5 AÑOS A +</t>
  </si>
  <si>
    <t>Historial:NUNCA TUVIERON CONTACTO CON EL</t>
  </si>
  <si>
    <t>Planilla :NO</t>
  </si>
  <si>
    <t>Deudas:0</t>
  </si>
  <si>
    <t>Sustento de Pago:SACO EL DINERO PARA SU HERMANA HACE TIEMPO Y SOLO FUE DE 500 SOLES QUIERE CANGELARLO HOY MISMO. SE HARA UN CAMBIO DE FECHA POR EL MOTIVO DE LA RONDA Q NO PUEDE SALIR.</t>
  </si>
  <si>
    <t>927096990 F. DE PAGO 21/02 - S/25 - PPC</t>
  </si>
  <si>
    <t>DT S/100 DK S/80 CAMPAÑA S/25</t>
  </si>
  <si>
    <t xml:space="preserve">RDP : HERMANA FELICITA RIOS REYMUNDO  DNI : 8015836  - CANCELA HOY 21/02 S/25 </t>
  </si>
  <si>
    <t>SDP : EFECTIVO // CNA AL CEL : 976796582 // INBOUND</t>
  </si>
  <si>
    <t>RDM : OTRO</t>
  </si>
  <si>
    <t>CAM:250</t>
  </si>
  <si>
    <t xml:space="preserve">NOS DICE Q NO PUDO PAGAR PORQ DONDE SE ENCUENTRA NO HAY AGENCIAS , PERO Q ANTES DEL LUNES EL ESTARA EN LIMA PARA PODER CANCELAR LA DEUDA YA Q EL AHORA DE ENCUENTRA EN CHILCA MAS ALFONDO , TRABAJANDO . </t>
  </si>
  <si>
    <t xml:space="preserve">NOS DICE Q ES ESTUDIANTE </t>
  </si>
  <si>
    <t>EDAD:36 AÑOS</t>
  </si>
  <si>
    <t xml:space="preserve">CAE POR DISCADOR . </t>
  </si>
  <si>
    <t xml:space="preserve">SE VA FICHA . </t>
  </si>
  <si>
    <t>929459511 // DISCADOR</t>
  </si>
  <si>
    <t xml:space="preserve">CREDITO NO FUE PARA TT //  INDICA QUE PARA FIN DE MES RECIBIRÁ SUELDO MUNICIPALIDAD EN PAITA  </t>
  </si>
  <si>
    <t>DT 594.76</t>
  </si>
  <si>
    <t xml:space="preserve">CAMPAÑA 300 </t>
  </si>
  <si>
    <t xml:space="preserve">PPC 300 </t>
  </si>
  <si>
    <t xml:space="preserve">ABONARA 100 16/01 + 200 31/01 </t>
  </si>
  <si>
    <t>929757047 ppc 700 mencipona que el viernes le pagan su aginaldo  por eso el dia lunes deposita 700</t>
  </si>
  <si>
    <t xml:space="preserve">930912723 tt f. de pago 26/03 - s/450 ( aprobado en linea por melina en linea con el cliente ) </t>
  </si>
  <si>
    <t xml:space="preserve"> dt s/ 1,2000 dk s/  700         campaña s/700 </t>
  </si>
  <si>
    <t xml:space="preserve">mdi : otro--- </t>
  </si>
  <si>
    <t>STP : tiene dinero a mano , paga en ckd - antes 2 pm</t>
  </si>
  <si>
    <t>search : no utiliz</t>
  </si>
  <si>
    <t xml:space="preserve">observ:  cliente contrapropone s/400 pagar su deuda hoy mismo - se le indica minimo s/500 -  mejora propuesta s/450 .0 se mantiene a espera de rpta  // quiere compromiso de pago por whatsapp - sab 28/03 cna </t>
  </si>
  <si>
    <t xml:space="preserve">932094852 F. DE PAGO 24/02 - S/300 - PPC / BCO NACION </t>
  </si>
  <si>
    <t xml:space="preserve"> TT DT S/700 DK S/500    CAMPAÑA S/300 </t>
  </si>
  <si>
    <t xml:space="preserve">RDM : ENCARGO EL PAGO SU HERMANO </t>
  </si>
  <si>
    <t xml:space="preserve">SEARCH : 39 AÑOS , SOLTERO /, SIN HIJOS, UNICA DEUDA, NO TIENE TRABAJO EN PLANILLA </t>
  </si>
  <si>
    <t xml:space="preserve">SDP : CUENTA CON EFECTIVO  , PERO NO CENTROS BANCARIOS, VIAJARA- PAGA EN BANCO DE LA NACION </t>
  </si>
  <si>
    <t xml:space="preserve">933532075 tt  f. de pago   22/01/2020  s/223.00  //  </t>
  </si>
  <si>
    <t xml:space="preserve">dt s/  2,800 dk s/1,200  campaña s/223.00  </t>
  </si>
  <si>
    <t xml:space="preserve">sdp : miercoles cobra // vedra si paga en bcp o interbank , queire acuerdo de cancelacion , direc de oficina miercoles ira a oh </t>
  </si>
  <si>
    <t>search : 36 años , soltero ,sin hijos , unica deuda- gana s/1,218</t>
  </si>
  <si>
    <t xml:space="preserve">933886907 F. DE PAGO 04/02/2020  - S/200.00 </t>
  </si>
  <si>
    <t>RDM : ENCARGO EL PAGO A UN 3RO</t>
  </si>
  <si>
    <t xml:space="preserve">SDP :  COBRARA UN CHEQUE , TRABAJA VIAJANDO DE NO HACERLO HOY Y GANARLE EL TIEMPO , PAGA MAÑANA 04/02/2020 </t>
  </si>
  <si>
    <t>SEARCH : 26 AÑOS , SOLTERO , GANA S/1,296 , SIN HIJOS ,  TIENE OTRA CTA PAGA PUNTUAL // DEL DISCADOR SE ADJUNTA AUDIO - INBOUND</t>
  </si>
  <si>
    <t>934456608 DT 4200 DC 498 SOLES</t>
  </si>
  <si>
    <t xml:space="preserve">FECHA DE PAGO 30/12 </t>
  </si>
  <si>
    <t xml:space="preserve">SUSTENTO: CLIENTE INDICA QUE NO LE ENVIARON EL NUMERO DE CUENTA PARA QUE PUEDA PAGAR YA QUE LE BRINDARON ESA FACILIDAD </t>
  </si>
  <si>
    <t>SCREARCH  NO TIENE REGISTRO DE TRABAJO, TIENE 45 AÑOS / PPC</t>
  </si>
  <si>
    <t>TT NO PUDO PAGAR ANTERIORMENTE POR PROBLEMAS EN SU TIERRA , ESTA DEACUERDO EN PAGAR 2200 , DT 6300 , SE DICA A VENDER SU GANADITO ESTE FIN DE SEMANA - SE ENVIA INFORMACION DE PAGO SMS Y WSP AL NUMERO DEL TT - PAGARA  LUNES 16 ALAS 3 PM  - GRABACION DISCADOR</t>
  </si>
  <si>
    <t>TT NO PUDO PAGAR ANTERIORMENTE POR PROBLEMAS EN SU TIERRA , ESTA DEACUERDO EN PAGAR 2300 , DT 6300 , SE DICA A VENDER SU GANADITO ESTE FIN DE SEMANA - SE ENVIA INFORMACION DE PAGO SMS Y WSP AL NUMERO DEL TT - PAGARA  LUNES 16 ALAS 3 PM  - GRABACION DISCADOR</t>
  </si>
  <si>
    <t xml:space="preserve">935250576  tt rdm : otro - interesada por la campaña s/220.00 - ppc - 31/10-  s/220.00 - oficina - cdk - cobra fin de mes - enviar whatsapp </t>
  </si>
  <si>
    <t>Fecha de Pago  23/12</t>
  </si>
  <si>
    <t>DT 600</t>
  </si>
  <si>
    <t>DK 500</t>
  </si>
  <si>
    <t xml:space="preserve">DICE QUE NO PUDO CUMPLIR , ESTE MES LE DAN UN PAGO DE SU BAQUITO  EL DIA SABADO Y A  MAS TARDAR EL LUNES ESTA DEPOSITANDO </t>
  </si>
  <si>
    <t>Donde sacara el dinero  BANQUITO (AHORRO MENSUAL )</t>
  </si>
  <si>
    <t xml:space="preserve">Search:  </t>
  </si>
  <si>
    <t>Edad  36</t>
  </si>
  <si>
    <t xml:space="preserve">Haberes  </t>
  </si>
  <si>
    <t>BCO AZTECA DEL PERU</t>
  </si>
  <si>
    <t>C.A.C SANTO DOMINGO DE GUZMAN DEL CUSCO LTDA</t>
  </si>
  <si>
    <t>C.A.C. DE INTELECTUALES, LIDERES Y EMPRESARIOS</t>
  </si>
  <si>
    <t>936215784 f. de pago 25/03 - s/100 - PPM</t>
  </si>
  <si>
    <t xml:space="preserve"> dt s/1,300 dk s/ 1,000  campaña s/1,000</t>
  </si>
  <si>
    <t xml:space="preserve">rdm :  tiene que pagar una mercaderia - </t>
  </si>
  <si>
    <t>sdp :  pdh</t>
  </si>
  <si>
    <t>search : 33 años , soltero , sin hijso , sin trabajo en planilla, sobreendeudado - su cna por  correo  / se llamo del cel - se adjunta audio //</t>
  </si>
  <si>
    <t xml:space="preserve">aprobado por angel </t>
  </si>
  <si>
    <t>936215784 f. de pago 28/02 - s/912.00 ppc</t>
  </si>
  <si>
    <t xml:space="preserve"> dt s/1,300 dk s/ 1,000  campaña s/912 - recibio por correo la campaña</t>
  </si>
  <si>
    <t>rdm : trabaja independiente , se cerraron - quebro - le debio una empresa s/10,000</t>
  </si>
  <si>
    <t xml:space="preserve">sdp :  recibe su pago - liquida s/912 - sab 22/02 - s/200 -  y fin de mes  28/02 </t>
  </si>
  <si>
    <t xml:space="preserve">search : 33 años , soltero , sin hijso , sin trabajo en planilla, sobreendeudado - su cna por  correo  / se llamo del cel </t>
  </si>
  <si>
    <t xml:space="preserve">936359920  // PPC -350  - (IMB) </t>
  </si>
  <si>
    <t>DT: 500</t>
  </si>
  <si>
    <t>CAMPAÑA: 350 SOLES</t>
  </si>
  <si>
    <t>ENTIDADES: 2</t>
  </si>
  <si>
    <t>937240453 // DT: 1800  CAMPAÑA: 200 TT DICE QUE TUVO PROBLEMAS ECONOMICOS POR ESO NO PUDO CANCELAR LE ABONARAN A SU CUENTA - SE LE OFRECIO CAMPAÑANA DE 200 REALIZARA UN PAGO EL 17/01 $50 Y 24/01 $150  // SEARCH: EDAD: 40  DEUDAS: SCOTIABANK PERU S A - BANCO CENCOSUD S.A. TRABAJO: MINISTERIO DE CULTURA</t>
  </si>
  <si>
    <t>937427421 hija rdp  MARILIA ALVAREZ TELLO DNI : 48038837 -- ppc 10/12 - s/3,000.00 - sdp : cuenta con el efectivo , esta hoy ocupada con el evento de la promocion de su hijo // sdp  confirmar pago 11-12 del medio dia  // se llamo del cel corporativo se adjunta audio</t>
  </si>
  <si>
    <t>FECHA DE PAGO  25/02</t>
  </si>
  <si>
    <t>DT :  2,937.46</t>
  </si>
  <si>
    <t>DK    1,246.34</t>
  </si>
  <si>
    <t>CAMP 500</t>
  </si>
  <si>
    <t>Sustento :  SUELDO</t>
  </si>
  <si>
    <t>SearcH  33 AÑOS // ADECCO CONSULTING S.A.</t>
  </si>
  <si>
    <t>SE ENVIARA Nº DE CUENTA</t>
  </si>
  <si>
    <t xml:space="preserve">938157630  F. DE PAGO 28/02 - S/197 --PPC </t>
  </si>
  <si>
    <t>TT DT S/2,200 DK S/ 1,000 CAMPAÑA S/197</t>
  </si>
  <si>
    <t xml:space="preserve">RDM : PROBLEMAS // </t>
  </si>
  <si>
    <t>SDP : PDH  // ENVIARA POR WHATSAPP CORREO PARA LA CNA , NO DEFINE SI PAGA EN BCP O IBK</t>
  </si>
  <si>
    <t>SEARCH : 52 AÑOS, SOLTERO , SIN HIJOS , UNICA DEUDA // SIN TRABAJO EN PLANILLA</t>
  </si>
  <si>
    <t>DT:2900</t>
  </si>
  <si>
    <t>CAMP:300</t>
  </si>
  <si>
    <t xml:space="preserve">SUSTENTO:CLIENTE NO PAGO PORQ NO LABORABA,AHORA YA EMPEZO RECIEN ESTE MES, A TRABAJAR Y EN FIN DE MES VA A CANCELAR LA DEUDA . </t>
  </si>
  <si>
    <t>EDAD:28 AÑOS</t>
  </si>
  <si>
    <t>EMPEZO A LABORAR Y DE ESA MANERA VA A CANCELAR.</t>
  </si>
  <si>
    <t>CAE POR DISCADOR .</t>
  </si>
  <si>
    <t>FECHA DE PAGO :28/02/2020</t>
  </si>
  <si>
    <t xml:space="preserve">940079281 tt fecha de compromiso  13/01/2020   s/300 </t>
  </si>
  <si>
    <t xml:space="preserve"> dt s/ 2,860  campaña s/300 </t>
  </si>
  <si>
    <t xml:space="preserve">search : 37 años - trabaja en planilla gana s/1,312 -  </t>
  </si>
  <si>
    <t xml:space="preserve">sdp : cobra el 13/01/202 - paga interbaj </t>
  </si>
  <si>
    <t xml:space="preserve">941008391 / MELINA  PPC 300 SOLES /* </t>
  </si>
  <si>
    <t xml:space="preserve">941636844  tt  dt s/ 1,600 campaña s/150 - </t>
  </si>
  <si>
    <t>search : 42 años - unica deuda - gana s/930 planilla</t>
  </si>
  <si>
    <t xml:space="preserve">sdp : cuenta con efectivo , maximo paga el sab 28/12/19 en ibk  </t>
  </si>
  <si>
    <t>sdp : cuenta con efectivo , maximo paga el sab 28/12/19 en ibk  ( RECTIFICACION DEL CP</t>
  </si>
  <si>
    <t>Fecha de Pago 30/01</t>
  </si>
  <si>
    <t>DT  2,912.65</t>
  </si>
  <si>
    <t>DK 2,000.00</t>
  </si>
  <si>
    <t xml:space="preserve">CAMPAÑA 1600 </t>
  </si>
  <si>
    <t xml:space="preserve">Sustento  TRABAJO INDEPENDIENTE </t>
  </si>
  <si>
    <t>Search 41 AÑOS // SIN TRABAJA</t>
  </si>
  <si>
    <t>CRÉDITO FUE PARA AMIGA JESSICA CARRANZA // NO TENIA CONOCIMIENTO QUE AMIGA NUNCA LLEGO A LIQUIDAR</t>
  </si>
  <si>
    <t>CAM:2150.50</t>
  </si>
  <si>
    <t>DT:2150.50</t>
  </si>
  <si>
    <t>DC:893.19</t>
  </si>
  <si>
    <t>ABO:NO</t>
  </si>
  <si>
    <t>SUSTENTO:CLIENTE SACARA EL DINERO CON EL BANCO DEL COMERCIO Q LE BRINDA EL DESEMBOLSO EL DIA 7/02/2020</t>
  </si>
  <si>
    <t>FECHA DE PAGO: 7/02/2020</t>
  </si>
  <si>
    <t>EL NO PAGO:NO PAGO PORQ NO QUERIAN APROBARLE EN EL EJERCITO</t>
  </si>
  <si>
    <t>DONDE FUE LA LLAMA:SE COMUNICA CON NOSOTROS POR EL MORADO .</t>
  </si>
  <si>
    <t>DT:4899.51</t>
  </si>
  <si>
    <t>DC:</t>
  </si>
  <si>
    <t>CAMP:1550</t>
  </si>
  <si>
    <t xml:space="preserve">SE HABLO CON EL TT Y QUIERE CANCELAR LA DEUDA , ELLA DEJA DE PAGAR POR EL MOTIVO DE Q QUISO ADELANTAR SUS CUOTAS </t>
  </si>
  <si>
    <t>CAYO ENFERMA Y POR ESO NADIE SE COMUNICO CON ELLA.</t>
  </si>
  <si>
    <t>FECHA DE PAGO:15/02</t>
  </si>
  <si>
    <t>SE ME FUE LA FICHA .</t>
  </si>
  <si>
    <t xml:space="preserve">942810497 del cel verde // esposo sr de la cruz pasa a  tt rdm :  no tenia , llego a un acuerdo de pago - ella solo reconocia s/17,000.00 - ppc   28/11/19 - s/8,000.00 ----  sdp :  confirmar pago jueves 11 am // vendio cosas - prestamo de familiar // se adjunta audio del cel verde // es una mujer de palabra  </t>
  </si>
  <si>
    <t xml:space="preserve">942849549 tt f. de pago viernes 17/01 - s/750 ppc </t>
  </si>
  <si>
    <t xml:space="preserve"> dt s/1,500    dk  -s/1,000   campaña s/750 </t>
  </si>
  <si>
    <t xml:space="preserve">sdp : llega a lima - cobra </t>
  </si>
  <si>
    <t xml:space="preserve">search :  54 años ,  gana   s/1917.00 - sobreendeudado - soltero - en oficina </t>
  </si>
  <si>
    <t>942933351 TT F. DE PAGO 21/01 - S/632 APROBADO POR EXCEPCION</t>
  </si>
  <si>
    <t xml:space="preserve"> DT S/3,200 - DK S/2,600 CAMAPÑA POR EXCEPCION S/632</t>
  </si>
  <si>
    <t xml:space="preserve">SDP : LO HARA EN MISMO BANCO BCP - CUENTA CON EFECTIVO A MANO </t>
  </si>
  <si>
    <t xml:space="preserve">SEARCH : 34 AÑOS , SOLTERO , SIN HIJOS, SIN TRABAJO EN PLANILLA, UNICA DEUDA // SE LLAMO DEL CEL </t>
  </si>
  <si>
    <t>942978244 tt f- de pago 03/02 - s/400</t>
  </si>
  <si>
    <t xml:space="preserve">rdm :  problemas en el trabajo </t>
  </si>
  <si>
    <t>dt s/1,200 campaña s/400 excepcion se le dice  ya que se pidio s/460</t>
  </si>
  <si>
    <t xml:space="preserve">sdp : cuenta con efectivo a mano - en oficina de cdk paga </t>
  </si>
  <si>
    <t xml:space="preserve">search : 24  años , soltero, otras deuda,s sin trabajo en planilla, sin hijos </t>
  </si>
  <si>
    <t>943049359 f.d e pago lunes 27/01 - s/300 - ppc</t>
  </si>
  <si>
    <t xml:space="preserve"> esposa 16156034   luz maria  ramos aucallanchi - rdp </t>
  </si>
  <si>
    <t>rdm : tt sufrio robo , no le daban info a ella por no ser tt , ni para el  pago , ni recibia estado de cuenta , tt viaja mucho por trabajo</t>
  </si>
  <si>
    <t xml:space="preserve">sdp : quiere dar solucion , juntara de cualquier forma para pagar // ella ya pago su adicional de tarjeta oh de su papa hace unos dias- maximo paga 27/01  , solo trabaja hasta el viernes - se enviara info al whatsapp </t>
  </si>
  <si>
    <t xml:space="preserve">search : 33 años , soltero , sin hijos , sin record crediticio , sin trabajo en planilla  // se llamo del cel </t>
  </si>
  <si>
    <t>943057475 tt rdm : problemaas con asesora de f. credinka - pdp 24/10 - s/250.00 - 4 pm - pagara -  (excepcion aprobada por superv.) -  enviara foto al whatsapp de su comprobante // confirma por whatsapp estar trabajando que pagara</t>
  </si>
  <si>
    <t>943096883 padre - dni : 03678012  - oswaldo clavijo heras  //</t>
  </si>
  <si>
    <t>search : --</t>
  </si>
  <si>
    <t xml:space="preserve">stp : cuenta con efectivo - pagan mi banco - antes 2 pm observ:  desean tener el acuerdo de pago por correo ( enviarlo al correo de su hijo-tt )  formato de pago en mi banco tambien - por whatsapp el formato de pago - </t>
  </si>
  <si>
    <t>DT: 1100</t>
  </si>
  <si>
    <t>CAMPAÑA: 250</t>
  </si>
  <si>
    <t>FECHA DE PAGO: 28/02</t>
  </si>
  <si>
    <t xml:space="preserve">MOTIVO DE NO PAGO: SE RETRASÓ  Y LE PUSIERON MUCHOS INTERESES, </t>
  </si>
  <si>
    <t>EDAD DE TT: ESTUDIA - EL PAGO LO REALIZARÁ CON DEPÓSITOS DE SU PAPA</t>
  </si>
  <si>
    <t>RUBRO:  TRABAJABA EN BEMBOS - 943372944</t>
  </si>
  <si>
    <t>944781872 tt  fecha de pago 30/12/19  - s/2,196</t>
  </si>
  <si>
    <t>search : 64 años - sobreendeuda - nno trabaja en planilla</t>
  </si>
  <si>
    <t xml:space="preserve">pdp 30/12 - s/2,196- sdp : cuenta con efectivo - en mi banco - 10 am paga - recibio campaña via sms </t>
  </si>
  <si>
    <t xml:space="preserve">945041089 F. DE PAGO 25/02 - S/600 - PPC </t>
  </si>
  <si>
    <t xml:space="preserve"> DT S/ 4,000 DK S/1,800   CAMPAÑA S/ 600 </t>
  </si>
  <si>
    <t xml:space="preserve">RDM : PROBLEMAS FINANCIEROS </t>
  </si>
  <si>
    <t xml:space="preserve">SEARCH : 39 AÑOS ,  GANA S/1,274 ,  CON HIJOS, CON AUTO ,  SIN OTRA DEUDA  // DEL CEL </t>
  </si>
  <si>
    <t xml:space="preserve">SDP : TIEN EFECTIVO , PAGA EN BANCO O AGENTE BCP </t>
  </si>
  <si>
    <t xml:space="preserve">945835669 TT DT S/1,600 - CAMPAÑA S/960 - 20/12 - LO CANCELARIA ANTES // OCUPADO EN EL MERCADO  //  NO TIENE WHATSAPP - ABONA EN AGENTE BCP </t>
  </si>
  <si>
    <t>dt 2700 dk  1500 campaña 300</t>
  </si>
  <si>
    <t xml:space="preserve">tiene empresa de transportes   le demoraron en algunos pagos ahora ya quiere pagar y salir de deudas  por que quiere estar bien en el sistema financiero  , se le detalla que la campaña este mes es de 450 pero ya que esta solicitando que le  consideren campaña anterior solo si es abonado hsta el 19/03 </t>
  </si>
  <si>
    <t>datos search</t>
  </si>
  <si>
    <t xml:space="preserve">Edad 43 //   deudas 3 //trabajo :  empresa de transportes// hijos:no figura   </t>
  </si>
  <si>
    <t xml:space="preserve">946686495  TT PAGARA  1000 // A LA ESPERA DE UN PAGO // QUIERE SALIR DE LA DEUDA //  NO BRINDA (SISTEMA). </t>
  </si>
  <si>
    <t>dt 1200 campaña 450</t>
  </si>
  <si>
    <t xml:space="preserve">PPC 450 </t>
  </si>
  <si>
    <t xml:space="preserve">sustento ; tt menciona que el le dio el dinero a su esposa para que pague pero ella no lo hizo y ahora estan separado , recien se entera que tiene la deuda </t>
  </si>
  <si>
    <t xml:space="preserve"> por el momento  no esta trabajando , por le emergecia </t>
  </si>
  <si>
    <t xml:space="preserve">946823387//   TT REALIZARA CANCELACION CON CAMPA;A &gt; 350 SOLES EL DIA 18/12. </t>
  </si>
  <si>
    <t xml:space="preserve">946895409 llamo . f de pago 21/02 - s/900 - ppc </t>
  </si>
  <si>
    <t xml:space="preserve">DT 2300 DK 2000  CAMPAÑA 900 </t>
  </si>
  <si>
    <t>rdm : saco el credito para un tercero , hoy lo atendio el licencia alan molina en cdk av el sol . - cusco confirmo la cta esta con expertis , campaña</t>
  </si>
  <si>
    <t xml:space="preserve">sdp : tiene efectivo a  mano , ahora mismo paga, quiere cna al whatsapp </t>
  </si>
  <si>
    <t>search : 24 años , soltero , tiene otras ctas paga puntual , sin hijos , sin trabajo en planilla --</t>
  </si>
  <si>
    <t xml:space="preserve">947545731 tt rdm : problema oncologico - pdp 29/10- s/2,000.00 sdp : confirmara pago 5 pm --- se genera pdp por whatsapp </t>
  </si>
  <si>
    <t>948010400 // Nos comunicamos con titular pero solo habla quechua. Analista Fredy (agencia puno) nos ayuda para transmitirle la información a tt dt: s/ 2,723.03 , mc: s/ 1600. Indica que tt se acogerá a la campaña de cancelación con el importe de s/1600 para el día de hoy 30/11 .</t>
  </si>
  <si>
    <t>948777120  TT CANCELARA EL 29/08 LOS 160 SOLES CL CONFORME</t>
  </si>
  <si>
    <t>949229104  tt f. de pago 13/01/2020</t>
  </si>
  <si>
    <t xml:space="preserve">dt s/9,980.00 - campaña s/3,750 - campaña </t>
  </si>
  <si>
    <t xml:space="preserve">search :  36 años  , trabaja en planilla , gana s/2,038 -  </t>
  </si>
  <si>
    <t>ppc 14/01 - s/3,750 -    abonara 10/01/2020 - s/ 100.00 - agente bcp // se enviara al whatsapp formato de pago - acuerdo de pago .</t>
  </si>
  <si>
    <t>sdp : recibe su sueldo , sale del trabajo 5 pm -  // cayo del discador</t>
  </si>
  <si>
    <t>950 PPC</t>
  </si>
  <si>
    <t xml:space="preserve">950 PPC INIDCA QUE HOY SI PAGARA </t>
  </si>
  <si>
    <t xml:space="preserve">FECHA DE PAGO 28/02 </t>
  </si>
  <si>
    <t>DT : 2,034.54</t>
  </si>
  <si>
    <t>DK   1,098.28</t>
  </si>
  <si>
    <t xml:space="preserve">CAMP   300 </t>
  </si>
  <si>
    <t>Sustento : TT GESTANDO NO LABORA // SUELDO DE ESPOSO</t>
  </si>
  <si>
    <t>SearcH  NO CARGA</t>
  </si>
  <si>
    <t>TT INDICA QUE EL LUNES A FINANIERA OH PARA CONFIRMAR DEUDA YA QUE TIENE DUDA POR MALA INFORMACION QE BRNDARON EN PLATAFORMA PORQUE INDICA QUE EMPRESA ERA FRAUDE //  SE INDICA QUE CAMPAÑA ANTERIOR DE DIO DE BAJA Y AHORA TIENE QUE REGULARIZAR CON IMPORTE DE 300</t>
  </si>
  <si>
    <t>950221842 TT F. DE PAGO 15/01 - S/180 PPC</t>
  </si>
  <si>
    <t xml:space="preserve">DT S/1,800 - DK S/800  CAMPAÑA S/200 - VIGENTE 15/01 </t>
  </si>
  <si>
    <t>SDP : TIENE SALDO BBVA - HARIA TRANSF. BCP - CCI O AGENTE BCP</t>
  </si>
  <si>
    <t xml:space="preserve">SEARCH : 31 AÑOS -  SOLTERO, SIN TRABAJO EN PLANILLA, DEBE TBM A CENCOSUD </t>
  </si>
  <si>
    <t>DT 44,406.10</t>
  </si>
  <si>
    <t xml:space="preserve">CAMP: 15000 </t>
  </si>
  <si>
    <t xml:space="preserve">EDAD:36 AÑOS  </t>
  </si>
  <si>
    <t>CLIENTE SE COMUNICA PORQ LE LLEGO UN MENSAJE A SU MAMA CON CAMPAÑA DE 21,702.00</t>
  </si>
  <si>
    <t>CLIENTE TIENE UN NEGOCIO DE TIENDAS , NOS DICE Q SACO EL DINERO PARA LA COMPRA DE UN VEHICULO SUZUKI ALTO DEL AÑO . ESE VECHICULO SUFRIO UN ACCIDENTE VEHICULAR DE LO CUAL SUFRIO UNA PERDIDA DE UNA PERSONA EXTRANGERA Y TUVO DE INDEMNIZAR A LA FAMILIA DEL EXTRANGERO Y QUIERE AHORA DAR SOLUCION DE PODER CANCELAR .</t>
  </si>
  <si>
    <t>FECHA DE PAGO :25/02 Y 28/02</t>
  </si>
  <si>
    <t>NOS LLAMO AL MORADO , SE ELEVA LA PROPUESTA DE CANCELAR LA DEUDA CON EL MONTO DE 16.000</t>
  </si>
  <si>
    <t xml:space="preserve">NOS LLAMARA HOY O MAÑANA PARA QUE CANCELE. </t>
  </si>
  <si>
    <t xml:space="preserve"> NO TOCAR. </t>
  </si>
  <si>
    <t xml:space="preserve">PAGARA EN AGENCIA DE CUZCO. </t>
  </si>
  <si>
    <t>TIENE 2 ENTIDADES REPORTADAS.   BCP Y CREDISCOTIA</t>
  </si>
  <si>
    <t>TIENE VEHICULO                                   PLACA:C2N251</t>
  </si>
  <si>
    <t xml:space="preserve">EL AUDIO EVALUADO POR MARIBEL . </t>
  </si>
  <si>
    <t xml:space="preserve">950375021  f. de pago  05/02 - s/60 </t>
  </si>
  <si>
    <t>TT DT S/  300 CAMPAÑA S/ 90.00 MINIMO</t>
  </si>
  <si>
    <t xml:space="preserve">RDM : NO PAGO POR QUE NO LE RECIBIERON  SU PAGO DE S/50 - HIZO DENUNCIA  POR QUE NO LE ACEPTARON , RECARGO DE 4  DIAS POR S/30.00 -  NO LE ALCANZO , HIZO UNA DENUNCIA, SE LE INDICA SE APROBO POR S/60 - VIGENTE 05/02 </t>
  </si>
  <si>
    <t>SEARCH : 66 AÑOS , CASADO ,  SIN TRABAJO EN PLANILLA ,  NI OTRA DUEDA REPORTADA  , NO PUEDE PAGAR --</t>
  </si>
  <si>
    <t xml:space="preserve">SDP : CUENTA CON EFECTIVO A MANO , VIAJARA, PAGARA EN CDK // SE LLAMO DEL CEL </t>
  </si>
  <si>
    <t xml:space="preserve">950442211 // TT INDICA QUE ESTABA ENFERMO DE LA ESPALDA ... DT&gt; 2, MIL / CAMPA;;A &gt; 1,300 SOLES // ABONARA 400 MA;ANA 12/12... Y 900 FIN DE MES </t>
  </si>
  <si>
    <t>FECHA 25/03</t>
  </si>
  <si>
    <t>DT  2,040.06</t>
  </si>
  <si>
    <t>SUSTENTO SUELDO</t>
  </si>
  <si>
    <t>SEARCH 38 AÑOS // SERVICIOS EDUCATIVOS JOSE DE ARIMATEA S.R.L. // 0 DEUDAS</t>
  </si>
  <si>
    <t>PPC 300</t>
  </si>
  <si>
    <t>INDICA NO CANCELO ANTERIORMENTE PORQUE TENIA GASTOS DE ESTUDIOS</t>
  </si>
  <si>
    <t>951389713 // DISCADOR SE FUE LA FICHA</t>
  </si>
  <si>
    <t>DT 928.19</t>
  </si>
  <si>
    <t>DK 323.19</t>
  </si>
  <si>
    <t xml:space="preserve">CAMPAÑA 100 </t>
  </si>
  <si>
    <t>DEJO DE CANCELAR POR MOTIVOS PERSONALES // SE ENVIA WHATS</t>
  </si>
  <si>
    <t>951472974 tt fecha de pago   31/12/19</t>
  </si>
  <si>
    <t xml:space="preserve">  dt s/2,200 -  campaña s/1,520 -  </t>
  </si>
  <si>
    <t>search : 39 años , sobreendeudado con mas bancos, sin trabajo en planilla</t>
  </si>
  <si>
    <t xml:space="preserve">brinda nro personal     986710136  - liquida 31/12 - s/1,520  - algo apurado se despide  -  pagaria en mi banco - 12 pm es la atencion se le dijo </t>
  </si>
  <si>
    <t>952255927 tt  f. de pago 24/01/2020 - s/1,200  -</t>
  </si>
  <si>
    <t xml:space="preserve">dt s/2,500 - dk s/ 1,500   campaña s/1,200 - </t>
  </si>
  <si>
    <t>search : -- no carga la pagina</t>
  </si>
  <si>
    <t>rdm : accidente, no puede mover bien , esta medio paralizado</t>
  </si>
  <si>
    <t xml:space="preserve">sdp : se prestara para poder pagar - abonara s/200 - viern 17/01 - el saldo de s/1,000 - 24/01 </t>
  </si>
  <si>
    <t xml:space="preserve">952535783 F. DE PAGO 24/02 - S/180 - PPC </t>
  </si>
  <si>
    <t xml:space="preserve">DT A/1,500 DK S/ 200  CAMPAÑA S/ 250 </t>
  </si>
  <si>
    <t xml:space="preserve">RDM : DEJO PENDIENTE S/180 //  PROPONE ELLO PAGAR // </t>
  </si>
  <si>
    <t xml:space="preserve">SEARCH : 67 AÑOS, CASADO // SOBREENDEUDADO // SIN HIJOS // SIN TRABAJO EN PLANILLA </t>
  </si>
  <si>
    <t xml:space="preserve">952656432 f. de pago 12/03 - s/311.00 - ppc </t>
  </si>
  <si>
    <t xml:space="preserve"> tt   dt s/   850  dk s/ 500   campaña s/311</t>
  </si>
  <si>
    <t xml:space="preserve">rdm :OTRO // le pagan fuera de fecha // </t>
  </si>
  <si>
    <t xml:space="preserve">sdp : municipalidad- le demoran en pagar // cobra hoy o el dia lunes  09/03 - limite 12/03 se le da // paga en ibk </t>
  </si>
  <si>
    <t xml:space="preserve">search : 45  a?os , soltero , gana s/1,000 , sobreendeudado , no figura hijos , </t>
  </si>
  <si>
    <t xml:space="preserve">952964848 tt  28/12 - s/190.00 </t>
  </si>
  <si>
    <t xml:space="preserve">dt  s/2,100  campaña s/190 ---    pdp 28/12 - s/190.00 banco interbank // </t>
  </si>
  <si>
    <t xml:space="preserve">search : 51 años -  sobreendeudao - sin planilla </t>
  </si>
  <si>
    <t xml:space="preserve">sdp :  confirma pagar en interbank </t>
  </si>
  <si>
    <t xml:space="preserve">952964848 tt  31/12 - s/190.00 </t>
  </si>
  <si>
    <t xml:space="preserve">dt  s/2,100  campaña s/190 ---    pdp 31/12 - s/190.00 banco interbank // </t>
  </si>
  <si>
    <t>search : 51 años -  sobreendeudao - sin planilla -</t>
  </si>
  <si>
    <t xml:space="preserve">sdp :  por fiestas invirtio su capital - confirma pagar antes del medio dia interbank - via watsapp  </t>
  </si>
  <si>
    <t>Dt:1520</t>
  </si>
  <si>
    <t>Dk:800</t>
  </si>
  <si>
    <t>Campaña:714.20</t>
  </si>
  <si>
    <t>Contrapropuesta en mano S/.200 ABONARA MAÑANA .</t>
  </si>
  <si>
    <t>Castigo:2 AÑOS</t>
  </si>
  <si>
    <t>Historial:DESCONOCIDO</t>
  </si>
  <si>
    <t xml:space="preserve">Planilla :NO </t>
  </si>
  <si>
    <t>Deudas:NO</t>
  </si>
  <si>
    <t xml:space="preserve">Sustento de Pago: CLIENTE SE COMUNICA CON NOSOTROS 200 MAÑANA MISMO Y  VA A ABONAR LO RESTANTE EL 29. EN EL AGENTE BCP.EL DINERO SE LO PRESTARA .AUDIO  </t>
  </si>
  <si>
    <t>953653596 tt confirma via whatsapp pagar hoy 29/10/19 - s/4,500.00 - en caja sullana antes 5:30 pm - liquidar su cuenta, enviara foto de comprobante ( excepcion validado por superv)</t>
  </si>
  <si>
    <t xml:space="preserve">954513775 SE LE INDICA Q SE LE ACEPTARA EL PAGO DE LOS 500 SOLES Y Q QUIERE Q LE MANDEMOS UN DOCUMENTO EN LA AGENCIA DE CAJA AREQUIPA PARA Q ELLOS LE ENTREGUEN Y LE BRINDA LA CANCELACION YA Q TAMBIEN SE LE MENCIONA SOBRE LA CARTA DE NO ADEUDOR. YA Q ESE ES LA ULTIMA PROPUESTA PARA CANCELAR . </t>
  </si>
  <si>
    <t xml:space="preserve">954846291  TT LIQUIDA  SAB 28/12  -S/1,800 - - YA HABIAMOS QUEDADO EN ALGO - CUMPLIRA,   YA ABONO AYER 09/12 - S/200  // SE LLAMA DEL DISCADOR - SE ADJUNTA AUDIO </t>
  </si>
  <si>
    <t>DT:6,151.44</t>
  </si>
  <si>
    <t>CAMP:2800</t>
  </si>
  <si>
    <t xml:space="preserve">CLIENTE SE COMUNICA CON NOSOTROS Y NOS PIDE Q QUIERE Q LE OTORGEMOS LA CAMPAÑA DE DESCUENTO Y NOS DICE Q JUNTO ESE IMPORTE Q EL QUIERE LA CARTA DE CANCELACION Y Q QUIERE QUE LE AYUDEMOS DE ESA MANERA Q TIENE LA PLATA EN MANO </t>
  </si>
  <si>
    <t>EDAD:42 AÑOS</t>
  </si>
  <si>
    <t>NOS LLAMA AL MORADITO .</t>
  </si>
  <si>
    <t>FECHA DE PAGO:26/02/2020</t>
  </si>
  <si>
    <t xml:space="preserve">NO PAGO PORQ NO TENIA TRABAJO Y MENOS SOLVENCIA </t>
  </si>
  <si>
    <t xml:space="preserve">Y NOS DICE Q SE ACERCARA A LA AGENCIA DE JULIACA I O II </t>
  </si>
  <si>
    <t>YA ESTA EN LA OFICINA</t>
  </si>
  <si>
    <t xml:space="preserve">956044111 TT  SE LLAMA DEL CEL VERDE // - CP 29/11 - S/180.00 LIQUIDA - SE ENVIA WHATSAPP FORMATO DE PAGO </t>
  </si>
  <si>
    <t>Fecha de Pago 31/03</t>
  </si>
  <si>
    <t>DT   1,541.09</t>
  </si>
  <si>
    <t>DK 1,011.31</t>
  </si>
  <si>
    <t>CAMPAÑA  700</t>
  </si>
  <si>
    <t>Sustento TRABAJA DE AMBULANTE TUNA</t>
  </si>
  <si>
    <t xml:space="preserve">Search  50 AÑOS // SIN RESUMEN LABORAL </t>
  </si>
  <si>
    <t>PPC 400 EXCEP</t>
  </si>
  <si>
    <t xml:space="preserve">956372518 f. de pago 17/01- s/400 - excepcion aprobada </t>
  </si>
  <si>
    <t>4 tt dt s/3,600 - dk s/2,300 - campaña  s/455.00 , días atras envio la foto de su cronograma de pagos y su ultimo pago //  quedando restante 2 cuotas c/u de s/227.00</t>
  </si>
  <si>
    <t xml:space="preserve">search : 49 años ,sobreendeudo - no figura hijos - sin trabajo en planilla </t>
  </si>
  <si>
    <t xml:space="preserve">sdp : entre el 15 aprox recibe su pago // se enviara formato de pago interbank y bcp - se llamo del cel corporativo - se adjunta audio </t>
  </si>
  <si>
    <t xml:space="preserve">956634139 Fecha de Pago   30/12/19  DT   s/11,000   s/ y DK s/  6,000        CAMPAÑA S/  2,500 //  enviar el acuerdo de cancelación ---   trabaja en mina </t>
  </si>
  <si>
    <t>sustento : tiene el dinero</t>
  </si>
  <si>
    <t xml:space="preserve">search : 28 años - trabaja en mina : J &amp; V RESGUARDO S.A.C. - gana s/1,642.00  -  no figura deuda reportada - no tiene hijos- enviar acuerdo a su correo  : quispeveracesar@gmail.com   </t>
  </si>
  <si>
    <t xml:space="preserve">956634139 TT CONFIRMA PAGAR  HOY 06/01/2020 - S/2,500 - </t>
  </si>
  <si>
    <t xml:space="preserve">SEARCH ; 28 AÑOS , SIN HIJOS , GANA EN PLANILLA S/1,642.00 </t>
  </si>
  <si>
    <t xml:space="preserve">SDP : ABONARA EN EL BANCO INTERBNANK MISMO - ENVIARA LA FOTO AL WHATSAPP // SE LLAMO DEL DISCADOR </t>
  </si>
  <si>
    <t xml:space="preserve">957200785 tt f. de pago 05/02  s/200.00  ppc </t>
  </si>
  <si>
    <t xml:space="preserve">dt s/ 800  campaña s/200   </t>
  </si>
  <si>
    <t xml:space="preserve">rdm : lo llamaron y le dijeron que debia s/400 - que page a oh o plaza vea - y cierra todo - solo pago s/240.00 </t>
  </si>
  <si>
    <t xml:space="preserve">search : 59 años , casado , gana s/1,150.00 -  sin hijos , unica deuda </t>
  </si>
  <si>
    <t xml:space="preserve">sdp : mandara a hermana a pagar maximo 05/02 - cuenta con efectivo </t>
  </si>
  <si>
    <t>dt:2,950</t>
  </si>
  <si>
    <t>campaña:290</t>
  </si>
  <si>
    <t xml:space="preserve">tt cancela deuda con s/290 el 16/03  , nos indica que no se encuentra laborando que el dinero lo retirara de sus ahorros pero ya retornara a laborar, quiere pagar porque quiere trabajar con los bancos , search edad:30 años // una entidad reportada aprox s/2,400 </t>
  </si>
  <si>
    <t xml:space="preserve">llamada de discador </t>
  </si>
  <si>
    <t xml:space="preserve">958328656 tt  f. de pago 30/01 - s/170 </t>
  </si>
  <si>
    <t xml:space="preserve">dt s/400 - campaña s/170 </t>
  </si>
  <si>
    <t xml:space="preserve">rdm : solo reconoce s/170 , no sabia que se habia dejado una letra pendiente </t>
  </si>
  <si>
    <t>sdp  : contarian con el efectivo // pasa a esposo , el anota nro de cuenta del banco de la nacion - se enviara por sms no tiene whatsapp</t>
  </si>
  <si>
    <t xml:space="preserve">search : 38 años , soltero ,  sin hijos , no figura otra deuda , ni trabaja en planilla </t>
  </si>
  <si>
    <t xml:space="preserve">958603019 F. DE PAGO  JUEV 30/01 - S/300 PPC </t>
  </si>
  <si>
    <t xml:space="preserve">TT DT S/800  - CAMPAÑA S/ 390 </t>
  </si>
  <si>
    <t>RDM : TRABAJO , SALUD DE SU MAMÁ ESTA EN EL HOSPITAL</t>
  </si>
  <si>
    <t xml:space="preserve">SDP : CUENTA CON EFECTIVO , ESTA ACOMPAÑANDO A SU MAMA HOY , MAÑANA </t>
  </si>
  <si>
    <t xml:space="preserve">SEARCH : 53 AÑOS, SOLTERO , SIN TRABAJO EN PLANILLA , TIENE OTRA DEUDA . </t>
  </si>
  <si>
    <t>958606209 tt cp 29/11 - 8 am - s/350.00 liquida, no tiene whatsapp  - mas tarde devolvera llamada para indicarnos su correo electronico , enviarle acuerdo de cancelación -  y carta de no adeudo en 15 dias utiles - llamada del discador se adjunta audio</t>
  </si>
  <si>
    <t xml:space="preserve">959255100 // </t>
  </si>
  <si>
    <t>TT INDICA QUE POR MOTIVOS DE SALUD NO PUDO GENERAR CANCELACION EL MES PASO // CONFIRMA PPC 3007  PARA EL SABADO 07/12 EN CREDINKA</t>
  </si>
  <si>
    <t xml:space="preserve">959957230 TT  fecha de pago : 28/12/19 </t>
  </si>
  <si>
    <t xml:space="preserve"> DT  S/   2,000 - DK S/1,200 -  CAMPAÑA S/700 </t>
  </si>
  <si>
    <t xml:space="preserve">SEARCH : 30 AÑOS, SIN DEUDA  - SIN TRABAJO EN PLANILLA ACTUAL - SIN HIJOS - CONTRA PROPUESTA S/250 - fue aprobada // cliente confirma via whatsapp que cancela este 28/12/19 - s/250 </t>
  </si>
  <si>
    <t xml:space="preserve">960162087 tt d. de pago 08/01/2020 </t>
  </si>
  <si>
    <t xml:space="preserve"> contrapropuesta s/400 - 08/01/2020  - aprobado</t>
  </si>
  <si>
    <t xml:space="preserve"> dt s/1,500 campaña s/800 </t>
  </si>
  <si>
    <t xml:space="preserve">search : 49 años , casado , con hijos </t>
  </si>
  <si>
    <t xml:space="preserve">pdp 08/01/20/20 - s/400 sdp : lo abona en interbank - vendra a oficina a recoger su carta de no adeudo - cuenta con el efectivo  - confirma via whatsapp </t>
  </si>
  <si>
    <t>960362114 f. de pago 25/01/19 - s/3,500 aprobado - excepcion</t>
  </si>
  <si>
    <t xml:space="preserve"> DT S/25,000 - CAPITAL S/18,000 - campaña s/3,500</t>
  </si>
  <si>
    <t>SEARCH : 63 AÑOS , CASADO , JUBILADA - TIENE OTRA DEUDA MENOR CON BANCO DE LA NACION}</t>
  </si>
  <si>
    <t>SDP : PAGO DE SU ONP + VENTA DE SU JOYA - ABONA S/1000 - 10/01 - SALDO S/3,400 25/01/2020 - DEL CEL CORPORATIVO</t>
  </si>
  <si>
    <t>tt  indica que  el dia de  mañana  25/04 realizara  la  cancelacion  s/. 500</t>
  </si>
  <si>
    <t xml:space="preserve">961417645 tt   fecha de pago sab 28/12 </t>
  </si>
  <si>
    <t xml:space="preserve">dt s/1,600 -  - campaña s/180 - </t>
  </si>
  <si>
    <t xml:space="preserve">search : 38 años --  unica deuda  -- no trabaj en planilla </t>
  </si>
  <si>
    <t xml:space="preserve">ppc 28/12 - s/180 - interbnk - info al whatsapp </t>
  </si>
  <si>
    <t>961437427// DT: 1900 CAMPAÑA: 210 // CANCELARA CON CAMPAÑA SRA ADELANTARA 50 SOLES EL 17/1 Y EL RESTANTE EL 31/1 / TT DICE QUE TUVO INCONFORMIDAD CON SU PAGO POR ESO DEJO DE PAGAR // SEARCH : EDAD: 38 TRABAJA: POR RECIBO POR HONORARIOS  DEUDA: EMPRESA FINANCIERA CREDITOS AREQUIPA S A - FINANCIERA CREAR - BANCO FALABELLA PERÚ S A</t>
  </si>
  <si>
    <t xml:space="preserve">962154452 TT RDM :  OTRO // CAMPAÑA DE S/350.00    PDP  10/12/19  - S/350.00 - SDP : CONTARA CON SU PAGO -  CEL :     952559514  //   IRA IGUAL A OFICINA A VERIFICAR QUE LA CUENTA ESTE CON NOSOTROS -  DT S/1290.00  - DK S/350.00 </t>
  </si>
  <si>
    <t xml:space="preserve">962397483 F. DE PAGO  18/02 - S/300 - PPC </t>
  </si>
  <si>
    <t xml:space="preserve"> TT DT S/1,000 DK S/ 500    CAMPAÑA S/  300.00  VIGENCIA 18/02 </t>
  </si>
  <si>
    <t>RDM :  INCOVENIENTES</t>
  </si>
  <si>
    <t xml:space="preserve">SPP : UN PAGO </t>
  </si>
  <si>
    <t xml:space="preserve">SEARCH : 45 AÑOS ,SOLTERO , SIN TRABAJO EN PLANILLA, SIN HIJOS, UNICA DEUDA </t>
  </si>
  <si>
    <t>962488782 f. de pago 21/02 - s/120 ppc</t>
  </si>
  <si>
    <t xml:space="preserve"> tt dt s/ 500 dk s/ 300 campaña s/120</t>
  </si>
  <si>
    <t xml:space="preserve">rdm : viaje // otro </t>
  </si>
  <si>
    <t xml:space="preserve">search :  : 42 años, gana s/930 , sin hijos, unica deuda </t>
  </si>
  <si>
    <t xml:space="preserve">sdp // no apura se despide ya dijo paga el viernes 21/02 - s/120 - cna al whatsapp </t>
  </si>
  <si>
    <t xml:space="preserve">962830324 TT F. DE PAGO  LUNES 13/01/2020 - S/160 </t>
  </si>
  <si>
    <t xml:space="preserve"> DT S/600 -  CAMPAÑA S/160.00 //  </t>
  </si>
  <si>
    <t>SEARCH : 53 AÑOS,  SIN TRABAJO EN PLANILLA, NI HIJOS , NI OTRA DEUDA</t>
  </si>
  <si>
    <t xml:space="preserve">SDP : JUNTARA -- PPC - AGENTE BCP -  SE ENVIARA SMS - NO TENIA CENTROS DE PAGO CERCA </t>
  </si>
  <si>
    <t xml:space="preserve">962830324 TT F. DE PAGO  martes 21/01/2020 - S/160 </t>
  </si>
  <si>
    <t xml:space="preserve">SDP : JUNTARA -- PPC - AGENTE BCP -  SE ENVIARA SMS - NO TENIA CENTROS DE PAGO CERCA - se llamo del cel </t>
  </si>
  <si>
    <t>FECHA DE PAGO 20/2/2020</t>
  </si>
  <si>
    <t>DT 2000</t>
  </si>
  <si>
    <t>TT INDICA QUE EL DIA JUEVES SE ESTARA ACERCANDO A LA OFICINA DE CREDINKA A PAGAR CON EL IMPORTE DE 650//DICE QUE CUANDO SE ACERCO A PAGAR NO LE ACEPTARON EL MONTO //</t>
  </si>
  <si>
    <t xml:space="preserve">41 AÑOS /NO REGISTRA DEUDA //NO REGISTRA INFORMACION LABORAL </t>
  </si>
  <si>
    <t xml:space="preserve">963811827 f. de pago  22/02 - s/30   ppc </t>
  </si>
  <si>
    <t xml:space="preserve"> dt s/100 dk s/500   campaña s/ 30</t>
  </si>
  <si>
    <t>rdm : no le infomaron sobre la deuda, pero sabe que le dijeron que debe s/100 // ella paga puntual , como va a dejar una deuda tan pequeña</t>
  </si>
  <si>
    <t xml:space="preserve">sdp : cuenta con efectivo //  por falta de tiempo no lo haria hoy </t>
  </si>
  <si>
    <t xml:space="preserve">search : 62 años , viudo , con auto , calificación  normal  con varios bancos., sin trabajo en planilla </t>
  </si>
  <si>
    <t xml:space="preserve">964293603  f. de pago 29/02 - s/100 ppm x 7 meses c/u </t>
  </si>
  <si>
    <t>DT S/  700 DK S/   CAMPAÑA S/300</t>
  </si>
  <si>
    <t xml:space="preserve">RDM : LO SACO PARA OTRA PERSONA - NO PAGO // SU EXESPOSA LO SOBRRENDEUDO // desea y puede solo pagar en base a s/700 EN 7 C/U DE S/100 MENSUAL </t>
  </si>
  <si>
    <t>SDP : COMENZARIA SAB 29/02  - EL 28/02 COBRA</t>
  </si>
  <si>
    <t xml:space="preserve">SEARCH : 45 A?OS CASADO // GANA S/1,731.00  , UNICA DEUDA,  </t>
  </si>
  <si>
    <t xml:space="preserve">EN JULIO PAGARIA S/300 // AHORA NO LO TIENE // PIDE PAGARLO S/700 EN 7 MESES DE S/100 C/U/ ASI TERMINARLO DE PAGAR // trabaja  FUERA DE LIMA // PARAMONGA </t>
  </si>
  <si>
    <t xml:space="preserve">CONFIRMA TRABAJAR A51 SECURITY S.A.C. // </t>
  </si>
  <si>
    <t>tt  realizara la  cancelacion  de la deuda con  el importe de s/. 2000 el dia  15/04/20 con  excepcion  aprobada enviar  las  cuentas  bcp y interbank</t>
  </si>
  <si>
    <t>tt realizara  la  cancelacion  con s/. 2000 el dia 30/04</t>
  </si>
  <si>
    <t xml:space="preserve">964939606  TT PAGARA  50 // CONVERSO CON MAYRA // IMBOUND  GANADO </t>
  </si>
  <si>
    <t>965427439 // DT&gt; 6 MIL // CAMPA;A &gt; 2300 MARTES 17/12.. INDICA QUE CANCELARA CON GRATFICACION /.</t>
  </si>
  <si>
    <t xml:space="preserve">965628256  F. DE PAGO SAB 22/02 - S/514.32 PPC </t>
  </si>
  <si>
    <t xml:space="preserve">TT DT S/1,250 DK S/  700   CAMPAÑA S/ 900 </t>
  </si>
  <si>
    <t xml:space="preserve">RDM :  DESAPARECIO ALTERNATIVA // DEJO DE PAGAR // NO LO NOTIFICARON //  </t>
  </si>
  <si>
    <t xml:space="preserve">SEARCH :  38 AÑOS , SOLTERO ,  CESADO ,  SIN HIJOS, UNICA DEUDA </t>
  </si>
  <si>
    <t>SDP : PDH MAXIMO SAB 22/02 - EN LA SEMANA PAGARIA, MANDARIA UN FAMILIAR DE LIMA A OFICINA - CORREO ;  ARODRIGUEZ_34@HOTMAILCOM  // DESCONFIA POR QUE LE DIERON OTRA INFO</t>
  </si>
  <si>
    <t>DT: 2500</t>
  </si>
  <si>
    <t>CAMPAÑA: 1700</t>
  </si>
  <si>
    <t>FECHA DE PAGO: 31-01</t>
  </si>
  <si>
    <t xml:space="preserve">-------- SUSTENTO -------- </t>
  </si>
  <si>
    <t>- MOTIVO DE NO PAGO: PRESTAMOS NO FUE PARA ELLA, AVAL</t>
  </si>
  <si>
    <t>- DE DONDE VA A SACAR EL DINERO: SOLITAR ,</t>
  </si>
  <si>
    <t xml:space="preserve">-------- SEARCH -------- </t>
  </si>
  <si>
    <t>- HIJOS: SI TIENE HIJOS</t>
  </si>
  <si>
    <t>- EDAD DE TT: 33 AÑOS</t>
  </si>
  <si>
    <t>- DEUDAS / SUELDO: SI TIENE</t>
  </si>
  <si>
    <t xml:space="preserve">965960440 TT F. DE PAGO 10/02 S/110.00 PPC </t>
  </si>
  <si>
    <t xml:space="preserve"> DT S/ 700 DK S/ 300  CAMPAÑA S/ 200 </t>
  </si>
  <si>
    <t xml:space="preserve">RDM : SOLO HIZO UNA SOLA COMPRA- MALA EXPERIENCIA , AL COMIENZO DIJO QUE NO USO - SOLO LE DIJERON QUE DEBIA S/59.00 // POR CENTIMOS QUE SE QUEDO DERREPENTE --- </t>
  </si>
  <si>
    <t xml:space="preserve">SEARCH : 61 AÑOS , SOLTERO , GANA S / 930   BUEN RECORD CREDITICIO -  TRABAJA EN PELUQUERIA DICE TT // </t>
  </si>
  <si>
    <t xml:space="preserve">RECLAMO , ESTA CON CANCER --- PROPONE S/100 </t>
  </si>
  <si>
    <t xml:space="preserve">SDP : TIENE EFECTIVO A MANO - POR TIEMPO , NO PUEDE PAGAR ANTES 10/02 EN BCP O INTERBANK </t>
  </si>
  <si>
    <t xml:space="preserve">TT CANCELA 2500 // VENDRA A OFC. EL MARTES 10 DE IURGENCIA POR OPERACION  // SE ENVIA DIRECCION </t>
  </si>
  <si>
    <t>DT:7500</t>
  </si>
  <si>
    <t>CAMPAÑA: 3800 -  27-01</t>
  </si>
  <si>
    <t>FECHA DE PAGO: 27-01</t>
  </si>
  <si>
    <t>MOTIVO DE NO PAGO: ESTABA GRABE CON EL DINERO Y ENDEUDADO.</t>
  </si>
  <si>
    <t>EL PRESTAMO LO USO PARA: GASTOS PERSONALES, EL DINERO LO SACARA MEDIANTE SU CHACRA, TIENE DEUDA CON MIBANCO.</t>
  </si>
  <si>
    <t>EDAD DE TT: 28 AÑOS</t>
  </si>
  <si>
    <t>RUBRO: INDEPENDIENTE - CHACRA</t>
  </si>
  <si>
    <t xml:space="preserve">966817859 fecha de compromiso 30/12 </t>
  </si>
  <si>
    <t xml:space="preserve">dt s/ 500   dk  s/300    campaña s/180  </t>
  </si>
  <si>
    <t xml:space="preserve">sdp : recibe pdh // </t>
  </si>
  <si>
    <t xml:space="preserve">search : 30 años - trabaja en planilla gana s/1,393.00 - deuda con falabella sin hijos - que se envie acuerdo al correo que brindara al whatsapp </t>
  </si>
  <si>
    <t xml:space="preserve">966914442 tt confirmo ayer pagar liquidar con s/780.00 en dos armadas -  este lunes 25/11 abona s/200.00 -  el saldo restante este 29/11 - se adjunta fotos de la confirmacion - se llamo del cel verde //  se adjunta audio </t>
  </si>
  <si>
    <t xml:space="preserve">966914442 tt confirmo ayer pagar liquidar con s/780.00 en dos armadas -  este lunes 25/11 abona s/200.00 -  el saldo restante este 29/11 - se adjunta fotos de la confirmacion - se llamo del cel verde //  se adjunta audio --- se reingresa compromiso , ya que no se coloco monto en el cp -- nc </t>
  </si>
  <si>
    <t xml:space="preserve">966944520 tt   fecha de pago 30/12 </t>
  </si>
  <si>
    <t xml:space="preserve">dt s/4,600 - campaña s/500  - 30/12  - sdp : contara con el efectivo - se enviarai nfo al whatsapp - por la tarde en ibk </t>
  </si>
  <si>
    <t xml:space="preserve">search : 31 años - unica deuda // </t>
  </si>
  <si>
    <t>DT 3,961.78</t>
  </si>
  <si>
    <t>43 AÑAOS // JUNTA DE PROPIETARIOS DEL MERCADO PRODUCTORES FIORI II ETAPA</t>
  </si>
  <si>
    <t>ESTA VENDIENDO TERRENO PARA LIQUIDAR // CANCELARA CON SUELDO EL 20/01</t>
  </si>
  <si>
    <t xml:space="preserve">TT INDICA QUE TUVO PROBLEMAS EN TRABAJO POR ELLO DEJO DE CANCELAR // INDICA CANCELARA NO SE SIENTE SEGURO // INDICA QUE YA CUENTA CON DINERO Y SE GENERARA CANCELACON POR LA MAÑANA </t>
  </si>
  <si>
    <t>DT 2,588.66</t>
  </si>
  <si>
    <t>DK  1,308.47</t>
  </si>
  <si>
    <t>31AÑOS SIN TRABAJO SEGUN SEARCH</t>
  </si>
  <si>
    <t xml:space="preserve">968364080 TT CONFIRMA PAGR S/250.00  -1712/19 - PARA LIQUIDAR SU CUENTA - 4 PM  // SE LLAMA DEL CEL NUEVO - SE AJDUNTA AUDIO </t>
  </si>
  <si>
    <t xml:space="preserve">HABLAMOS CON TT SE LE BRINDA MONTOS&gt;  DT &gt; 3 MIL SOLES ... INDICA QUE NO PAGO PORQUE QUEDO EN UN ACUERDO Y AL FINAL QUEDO EN NADA...  SE LE BRINDA  CAMPA;ÑA&gt; 1,300 SOLES PAGARA EN 2 PARTES   650 SOELS EL DIA  15 /01  Y EL DIA 30/01  650 RESTANTES . </t>
  </si>
  <si>
    <t xml:space="preserve">DINERO LO RECIBIRA DE SU TRABAJO.  </t>
  </si>
  <si>
    <t xml:space="preserve">969623814  tt informa no poder acerarse a oficina , en su trabajo no le dan permiso , no puede encargar el pago // cp 30/11 - s/130.00 antes del medio dia // confirma via whatsapp </t>
  </si>
  <si>
    <t>fecha de pago:07/03/20</t>
  </si>
  <si>
    <t>dt:130</t>
  </si>
  <si>
    <t>dk:125</t>
  </si>
  <si>
    <t>campañas:105</t>
  </si>
  <si>
    <t>Sustento:nos dice que ya regreso a laborar y que por ello realizara pago , pagara porque quiere trabajar con financieras otra vez y dejo de por el hecho que el prestamo fue grupal y se genero un conflicto. // whatsapp :920723902</t>
  </si>
  <si>
    <t>search: edad 29 años // no figura datos de hijos // no figura planilla // una entidad reportada aprox s/400.</t>
  </si>
  <si>
    <t>discador</t>
  </si>
  <si>
    <t xml:space="preserve">969623814 TT RDM : OTRO - PDP S/130.00 - LO LIQUIDA A MAS TARDAR MAÑANA 26/11 - 10 AM - PLAZO AL MEDIO DIA -- CEL WHATSAPP 920723902 - QUIERE CNA AL CORREO </t>
  </si>
  <si>
    <t>DT:15,600</t>
  </si>
  <si>
    <t>CAMP:7.500</t>
  </si>
  <si>
    <t>EDAD:65 AÑOS</t>
  </si>
  <si>
    <t>ENTIDAD:1 ENTIDAD ,1 Q ESTA EN DEFICIENTE.</t>
  </si>
  <si>
    <t>CONTRAPROPONE:5000</t>
  </si>
  <si>
    <t>se le acepto la propuesta de los 5000 mañana 4000 y 1000 a fin de mes .</t>
  </si>
  <si>
    <t>CLIENTE NOS COMENTA QUE ELLA SE DEDICA Q LA COSECHA DE FRUTA DE DURAZNO Y Q TIENE TODA LA INTENCION DE PODER LLEGAR A UNA CONCILIACION Y PODER CANCELAR LA DEUDA , NOS DICE Q NO PUDO CUMPLIR CON LA CUOTA DE MARZO PORQ NO HABIA VENDIDO LA FRUTA YA Q LA MITAD POR UN TEMA DE TIEMPO SE EXTROPIO Y AHORA , LE HAN DADO LAS INDICACIONES Q NISIQUIERA PUEDE PLANTAR NUEVOS FRUTOS , ESTARE A LA ESPERA DE UNA RESPUESTA . SE LE LLAMA DE TELEFONO PERSONAL DE LISBETH.</t>
  </si>
  <si>
    <t>DT:9000</t>
  </si>
  <si>
    <t>CAMP:3500</t>
  </si>
  <si>
    <t>CONTRAPROPONE:1100</t>
  </si>
  <si>
    <t>CLIENTE NOS COMENTA QUE ELLA SE DEDICA Q LA COSECHA EN ESTA OPORTUNIDAD ES COSECHA DE CAMOTE Y Q TIENE TODA LA INTENCION DE PODER LLEGAR A UNA CONCILIACION Y PODER CANCELAR LA DEUDA , NOS DICE Q POR FALTA DE DINERO NO PAGO EL ACUERDO COMPLETO DEL MES PASADO NO HABIA VENDIDO LA MITAD DE LA COSECHA Y ESTA VENDIENDO POR KILOS,SE COMUNICA A MI TELEFONO PERSONAL DE LISBETH.</t>
  </si>
  <si>
    <t xml:space="preserve">970441898 PPC 10/02  -S/135  </t>
  </si>
  <si>
    <t>TT DT S/ 700 DK S/ 150.00 CAMPAÑA S/135</t>
  </si>
  <si>
    <t xml:space="preserve">RDM: OTRO </t>
  </si>
  <si>
    <t xml:space="preserve">SDP : LO HARA HOY MISMO EN OFICINA DE CDK  // SE LE ACLARA DE NO CUMPLIR CON EL PAGO EL BENEFICIO </t>
  </si>
  <si>
    <t xml:space="preserve">SEARCH : 31 AÑOS, SOLTERO,  SIN HIJOS, SIN TRABAJO EN PLANILLA, UNICA DUEDA  // APURADO QUIERE NRO PARA QUE SE ENVIE LA INFO // POR ELLO NO SE CUMPLE CON LA PLANTILLA  // DISCADOR </t>
  </si>
  <si>
    <t xml:space="preserve">9704418984 PPC 10/02  -S/135  </t>
  </si>
  <si>
    <t>TT DT S/ 700 DK S/ 150.00 CAMPAÑA S/150</t>
  </si>
  <si>
    <t>RDM: PENSO QUE LE HABIAN UN DSCTO , SE LE EXPICO NO CUMPLIO CON EL PAGO TOTAL</t>
  </si>
  <si>
    <t xml:space="preserve">SDP : LO HARA HOY MISMO EN OFICINA </t>
  </si>
  <si>
    <t xml:space="preserve">970536878 tt f. de pago 18/01 - s/380 </t>
  </si>
  <si>
    <t xml:space="preserve">dt s/800 dk s/500    campaña   s/380.00 </t>
  </si>
  <si>
    <t xml:space="preserve">search : 29 años - sobreendeudado  , paga alguno puntual , otro con atraso - sin trabajo de planilla . ni hijos </t>
  </si>
  <si>
    <t>PPC 18/01 - S/380.00 EN QAPAQ</t>
  </si>
  <si>
    <t xml:space="preserve">sdp : recibe su pago - NO TIENE WHATSAPP </t>
  </si>
  <si>
    <t xml:space="preserve">971225004 f. de pago 05/02 - s/200 ppc </t>
  </si>
  <si>
    <t xml:space="preserve">rdm : no aceptaban su pago en oh , nien otro banco - </t>
  </si>
  <si>
    <t xml:space="preserve">dt s/1,600 campaña s/200 </t>
  </si>
  <si>
    <t xml:space="preserve">search : 27 años , soltero , gana s/1,272.00 - sobreendeudada </t>
  </si>
  <si>
    <t xml:space="preserve">sdp : banca movil bcp </t>
  </si>
  <si>
    <t>DT:8000</t>
  </si>
  <si>
    <t>CAMP:3200</t>
  </si>
  <si>
    <t>CONTRAPROPUESTA:1700</t>
  </si>
  <si>
    <t>SUSTENTO :CLIENTE NO PUDO CANCELAR PORQ , SU CUÑADO FALLECIO EN UNA OBRA YA Q SE DEDICABA A TRABAJAR EN LA MAQUINARIAS Y EL FALLECIO , SU HERMANA QUIEN FUE LA Q USO EL CREDITO NO PUEDE PAGAR Y LA TT LO HARA .</t>
  </si>
  <si>
    <t>EDAD:46 AÑOS</t>
  </si>
  <si>
    <t>TENIA 2 ENTIDADES PERO YA PAGO UNA CAJA DE RAIZ.</t>
  </si>
  <si>
    <t xml:space="preserve"> ES LA TT QUIEN SE NEGOCIO.</t>
  </si>
  <si>
    <t>ESTAVAMOS CON EXCEPCION DE UN LADO PARA OTRO Y NO TENEMOS AUDIO COMPLETO.</t>
  </si>
  <si>
    <t xml:space="preserve">971533636 ppc 24/02 - s/400 </t>
  </si>
  <si>
    <t xml:space="preserve"> dt s/ 800 dk s/600   campaña s/400</t>
  </si>
  <si>
    <t xml:space="preserve">rdm : problemas economicas // </t>
  </si>
  <si>
    <t xml:space="preserve">sdp : va a juntarlo // </t>
  </si>
  <si>
    <t xml:space="preserve">correo : zcv8888@hotmail.com </t>
  </si>
  <si>
    <t xml:space="preserve">search : 42 años, soltero , no tiene trabajo en planilla, unica deuda , sin hijos </t>
  </si>
  <si>
    <t xml:space="preserve">971824226 tt  f. de pago 15/01/2020 - s/80 </t>
  </si>
  <si>
    <t xml:space="preserve">dt s/ 4,600    dk s/ 2,000  campaña s/ 400 </t>
  </si>
  <si>
    <t xml:space="preserve">tt liquida s/400 - en dos armadas 15/01 - s/80 - saldo 20/01 </t>
  </si>
  <si>
    <t xml:space="preserve">sdp : cuenta con efectivo a mano // agentes bcp o interbank - sale del trabajo 5 pm </t>
  </si>
  <si>
    <t xml:space="preserve">search : 32 años - soltero , sin hijos, con otra deudas , sin trabajo en planilla - </t>
  </si>
  <si>
    <t xml:space="preserve">972470974 F. DE PAGO 03/03 - 800 PPC - EXCEPCION </t>
  </si>
  <si>
    <t>RDM :  TIENE GASTOS ESCOLARES POR SU HIJA // SOLO TIENE S/800 Y</t>
  </si>
  <si>
    <t xml:space="preserve"> ES LO MAXIMO QUE HA PODIDO JUNTAR EN SU VENTA.</t>
  </si>
  <si>
    <t xml:space="preserve">SDP : EFECTIVO A MANO DIJO EN ANTERIOR GESTION - LO HARA POR LA TARDE EN CDK </t>
  </si>
  <si>
    <t xml:space="preserve">SDP : TIENE LOS S/800 A MANO , NO PUEDE JUNTAR LOS S/850 PIDE UN APOYO ADICIONAL POR FAVOR </t>
  </si>
  <si>
    <t>SEARCH : 30 AÑOS, SOLTERO, NO FIGUURA  HIJOS , SOBREENDEUDADA , SIN TRABAJO EN PLANILLA //  DEL CEL -</t>
  </si>
  <si>
    <t>972470974 F. DE PAGO 27/02 - S/900 PPC</t>
  </si>
  <si>
    <t xml:space="preserve"> DT S/3,000 DK S/1,500 - CAMPAÑA S/900</t>
  </si>
  <si>
    <t>RDM : SALUD</t>
  </si>
  <si>
    <t>SDP : APOYO FAMILIAR , ABONARA EN PARTES LOS S/900 HASTA 27/02 COLMPLETARA</t>
  </si>
  <si>
    <t xml:space="preserve">SEARCH : 30 AÑOS, SOLTERO, SIN HIJOS , SOBREENDEUDADA , SIN TRABAJO EN PLANILLA // SE FUE FICHA // DIO NRO DE HIJA TIENE WHATSAPP : 983815699 PARA ENVIAR INFO ACUERDO DE PAGO </t>
  </si>
  <si>
    <t>974009732 TT INDICA CANCELARA CON CAMPAÑA 3197 EL DIA 23/11 A LAS 9 AM</t>
  </si>
  <si>
    <t>974535335 PPC 350 SOLES EXCEPCION MARIANGELA</t>
  </si>
  <si>
    <t>DT:1968.56</t>
  </si>
  <si>
    <t>CAM:400</t>
  </si>
  <si>
    <t>REFINANCIAMIENTO :250 * 2 CUOTAS</t>
  </si>
  <si>
    <t>SUSTENTO : CLIENTE SE MUDO A AREQUIPA Y POR ESO NO PAGO LA DEUDA A LA TOTALIDAD ,CLIENTE NO QUIERE PERDER LA CAMPAÑA PERO PORQ EL TRABAJA DE MANERA MENSUAL Y POR SEMANA A EL LE PAGAN , IGUAL SE LE LLAMARA EL DIA 19/02</t>
  </si>
  <si>
    <t xml:space="preserve">POR DISCADOR </t>
  </si>
  <si>
    <t xml:space="preserve">ES PADRE DE FAMILIA Y NO GANA MUCHO . </t>
  </si>
  <si>
    <t xml:space="preserve">CLIENTE NOS RESPONDE EN EL CHAT Y NOS DICE Q COMO ESTA EN LA MINA Y QUE EL DIA JUEVES VA A PAGAR , EL INCUMPLIO POR ESE MOTIVO NOS DICE EL MOTIVO QUE HABIAMOS ACORDADO. </t>
  </si>
  <si>
    <t>Fecha de Pago 04/02</t>
  </si>
  <si>
    <t>DT  491</t>
  </si>
  <si>
    <t>DK  112</t>
  </si>
  <si>
    <t xml:space="preserve">CAMPAÑA 112 </t>
  </si>
  <si>
    <t>Sustento SUELDO</t>
  </si>
  <si>
    <t>Search 32 AÑOS / 1 DEUDA</t>
  </si>
  <si>
    <t>975214558 f. de pago 07/03 - s/315 - ppc</t>
  </si>
  <si>
    <t xml:space="preserve"> tt f. de pago 07/03 - -s/315 - PPC </t>
  </si>
  <si>
    <t xml:space="preserve"> rdm : desconocia de la cta  fue vendida</t>
  </si>
  <si>
    <t xml:space="preserve">search : 68 años , casado , gana s/585.00 , con hijo , sobreendeudado -  cayo del discador </t>
  </si>
  <si>
    <t xml:space="preserve">sdp : HIja la apoya con el pago // en feb pago despues por que no le aceptaron el pago // asegura pagar el 07/03 // del cel </t>
  </si>
  <si>
    <t xml:space="preserve">975272254  LLAMADA DISCADOR </t>
  </si>
  <si>
    <t>DT 1500 DK  450 CAMPAÑA 450</t>
  </si>
  <si>
    <t xml:space="preserve">  SUSTENTO :  SACO LA TARJETA PARA OTRA PERSONA, Y COMO LE INCUMPLIO ELLA YA DEJON DE PAGAR AHORA YA QUIERE CANCELAR DEUDA :</t>
  </si>
  <si>
    <t xml:space="preserve">SERCH NO CARGA </t>
  </si>
  <si>
    <t xml:space="preserve">976139077 SE HABLA CON EL TT NOS DICE Q AYER NO BAJO PORQ NO TERMINO LA OBRA Y EL RELEBO Q LE INDICARON ES PARA EL VIERNES , NOS DICE Q LO HARA A ESO DE LA TARDE. </t>
  </si>
  <si>
    <t>976150292  F. DE PAGO 27/03- S/1,100 PPC</t>
  </si>
  <si>
    <t xml:space="preserve">rdm : otro  </t>
  </si>
  <si>
    <t xml:space="preserve">search : 50 años, soltero ,sin trabajo ,sin hijos, unica deuda </t>
  </si>
  <si>
    <t xml:space="preserve">se plantea pagar en dos armaas s/2,200 - 17/02 - s/1,100 y el saldo marzo // se solicitara excepcion // </t>
  </si>
  <si>
    <t xml:space="preserve">sdp : PDH // DEL CEL se adjunta audio </t>
  </si>
  <si>
    <t xml:space="preserve">976460808 f. de pago 28/02 - s/210 - ppc </t>
  </si>
  <si>
    <t xml:space="preserve">  TT DT S/ 600 DK S/ 300 CAMPAÑA S/ 210</t>
  </si>
  <si>
    <t xml:space="preserve">RDM : ENCARGO  EL PAGO  A UN 3RO , TUVO PROBLEMAS -ENFERMA </t>
  </si>
  <si>
    <t xml:space="preserve">SACO S/1,000 - DEJJO PENDIENTE S/100 // S/200 QUE QUEDE ALLI //  GASTO EN LA MATRICULA DE SU HIJA - SE COORDINA VIERN 21/02 - S/80 Y S/130 VIERN 28/02 - SE ENVIARA ACUERDO DE PAGO </t>
  </si>
  <si>
    <t xml:space="preserve">MINIMO SE LE DICE S/250.00 </t>
  </si>
  <si>
    <t>SEARCH : 50 AÑOS , SOLTERA , SIN HIJOS , SIN TRABAJO EN PLANILLA, UNICA DEUDA /</t>
  </si>
  <si>
    <t>SDP : LO HARA EN CDK // JUNTARA  // SE LLAMO CEL</t>
  </si>
  <si>
    <t>DT:600</t>
  </si>
  <si>
    <t>CAM:100</t>
  </si>
  <si>
    <t>NOS COMUNICAMOS CON EL TT Y NOS DICE Q TODAVIA NO LE HAN PAGADO A SU ESPOSO PERO ESPERA ESTA SEMANA Q LE PAGUEN O A MAS TARDAR ESTOS DIAS PARA Q LE PAGUEN Y QUE CANCELE CON EL IMPORTE DE LOS 100 Y CON ESO CANCELA LA DEUDA . SE LE LLAMA DE MI CELL PERSONAL , LISBETH.</t>
  </si>
  <si>
    <t xml:space="preserve">977494576 TT   07/01/2020 - S/350 </t>
  </si>
  <si>
    <t xml:space="preserve">DT S/ 1,300 //  CAMPAÑA S/350 - </t>
  </si>
  <si>
    <t>SEARCH :   67 AÑOSS //  TIENE AUTO - NO FIGURA TRABAJO EN PLANILLA</t>
  </si>
  <si>
    <t xml:space="preserve">SDP : PAGA EN INTERBANK - 2 PM APROX -  ENVIARA LA FOTO DE SU COMPROBANTE - SE ENVIARA INFO AL WHATSAPP </t>
  </si>
  <si>
    <t>978119158 TT PPC 28/10 - S/190.00 EN AGENTE BCP --- SE ENVIO FORMATO POR WHATSAPP - SDP : CONTARIA CON UN PAGO</t>
  </si>
  <si>
    <t xml:space="preserve">978119158 tt rdm : confusion por los montos que le brindamos varian -  cp 28/10 - s/190.00 -   se le dijo dt - s/350.00 - sdp : no quiere afectar su credito  que tiene actual - lo abona por bcp - whatsapp verde se envia info </t>
  </si>
  <si>
    <t>PPC 450</t>
  </si>
  <si>
    <t xml:space="preserve">Fecha de Pago 30/01 </t>
  </si>
  <si>
    <t>DT  4,409.57</t>
  </si>
  <si>
    <t>DK  1,816.65</t>
  </si>
  <si>
    <t xml:space="preserve">CAMPAÑA 400 </t>
  </si>
  <si>
    <t>Sustento CANCELA CON SUELDO FIN DE MES DE CENTRO DE COMPUTO DONDE TRABAJA //  SOLICTA ACUERDO A WHATS</t>
  </si>
  <si>
    <t>Search  31 AÑOS // TRABAJO EN CENTRO DE COMPUTO</t>
  </si>
  <si>
    <t xml:space="preserve">978880065//  TT INDICA QUE NO PAGO POR MOTIVOS DE LAS FIESTAS Y TUVO GASTOS  // DT: 1,300 SOLES // SE LE INDICA LA PENALIDAD CORRESPONDIENTE.. MONTO A CANCELAR :  650 SOLES //  </t>
  </si>
  <si>
    <t>SUSTENTO: DINERO LO SACARA DE SU TRABAJO YA QUE LE PAGAN EL 15.   SE LE ENVIARA SMS CON LO CONVERSADO .   (LLAMADA DISCADOR)</t>
  </si>
  <si>
    <t xml:space="preserve">978885603 tt confirma pagar hoy 25/11 - s/5,000.00 -  en banco bcp , se le hara llegar info al whatsapp carta  cesion - acuerdo de pago - confirmar pago 3 pm - contaba con s/3,000.00  a mano - ira a sacar mas para llegar a los s/5,000.00 </t>
  </si>
  <si>
    <t>979433799 TT CONFIRMA TENER A MANO S/450.00 ESTA VIENDO HOY EN LA NOCHE AFIANSARSE DE S/50 MAS - PPC 06/12 - S/500.00 ANTES DEL MEDIO DIA - SE ENVIO SMS , WHATSAPP NRO DE CTA BCP PARA LIQUIDAR  // SE LLAMA DEL CEL SE ADJUNTA AUDIO</t>
  </si>
  <si>
    <t>FECHA DE PAGO 17/02</t>
  </si>
  <si>
    <t>DT :  20100</t>
  </si>
  <si>
    <t>DK  9740</t>
  </si>
  <si>
    <t>CAMP 3000</t>
  </si>
  <si>
    <t>SearcH 53 AÑOS / 3 DEUDAS</t>
  </si>
  <si>
    <t>INBOUD 3000 CANCELO</t>
  </si>
  <si>
    <t>PPC 500</t>
  </si>
  <si>
    <t>TT INDICA QUE LIQUIDARA DEUDA EN SU TOTALIDAD CON AGUINALDO</t>
  </si>
  <si>
    <t xml:space="preserve">980578295 tt f. de pago 16/01/2020  s/400 </t>
  </si>
  <si>
    <t xml:space="preserve">dt s/900 - dk s/600 - campaña s/400 </t>
  </si>
  <si>
    <t>search : 23 años , soltero , sin hijos , sin trabajo en planilla - unica deuda</t>
  </si>
  <si>
    <t>sdp  cuenta con efectivo - esta dirigiendose a hacer el pago - inbound</t>
  </si>
  <si>
    <t>DT 3,000 DK 2000 CAMPAÑA 900</t>
  </si>
  <si>
    <t xml:space="preserve">  SUSTENTO .:</t>
  </si>
  <si>
    <t xml:space="preserve">SEÑORA MAL DE SALUD ,  SU HIJO ESTA PRESO EL ESTA TRABAJANDO DENTRO DEL PENAL ANTES DE QUE ESTE PRESO TENIA UNA CUENTA DE AHORROS  EN CREDINKA ELLA QUIERE SACAR EL DINERO PARA PAGAR LA DEUDA , ACTUALMENTE TIENE 500 SOLES EL LUNES SE ACERCA A LA AGENCIA A DEPOSITAR Y RESTA FIN DE MES </t>
  </si>
  <si>
    <t>DE DONDE SACA DINERO</t>
  </si>
  <si>
    <t xml:space="preserve">AHORROS </t>
  </si>
  <si>
    <t xml:space="preserve"> SEARCH  FALLANDO </t>
  </si>
  <si>
    <t xml:space="preserve">981605965 tt  f. de pago 30/10 </t>
  </si>
  <si>
    <t xml:space="preserve"> dt s/1,300 -- campaña s/100 - </t>
  </si>
  <si>
    <t xml:space="preserve">search : 34 años , debe a ripley, no trabaja en planilla </t>
  </si>
  <si>
    <t xml:space="preserve">sdp : cobra el sab - domingo - lo paga en agente bcp </t>
  </si>
  <si>
    <t>DT: 2000</t>
  </si>
  <si>
    <t>CAMPAÑA: 200 - PAGARA DE SU TRABAJO</t>
  </si>
  <si>
    <t>FECHA DE PAGO: VIERNES 14-01</t>
  </si>
  <si>
    <t>EDAD DE TT: 40</t>
  </si>
  <si>
    <t>RUBRO: INDEPENDIENTE - NEGOCIO</t>
  </si>
  <si>
    <t>982072756 tt dt s/ 1,700 dk s/ 600 campaña s/340.00</t>
  </si>
  <si>
    <t xml:space="preserve">mdi : otros - tiempo  </t>
  </si>
  <si>
    <t xml:space="preserve">stp : cuenta con efectivo </t>
  </si>
  <si>
    <t xml:space="preserve">search : no se valida </t>
  </si>
  <si>
    <t xml:space="preserve">observ: cliente confirma via whatsapp a mi cel personal  pagar mañana 02/04 - s/340.00 - en cdk - con total seguridad - hoy no lo pudo hacer por falta de tiempo // </t>
  </si>
  <si>
    <t>DT:2014</t>
  </si>
  <si>
    <t>CAMP:1027</t>
  </si>
  <si>
    <t>EXCEPCION:800</t>
  </si>
  <si>
    <t>CLIENTE ES TAXISTA SACO EL CREDITO PARA SU HERMANA Y NOS DICE Q NO PUEDE LLEGAR A UNA CONCILIACION .</t>
  </si>
  <si>
    <t>FECHA DE PAGO :25/02/2020</t>
  </si>
  <si>
    <t>LLAMO A UN CORPORATIVO 3</t>
  </si>
  <si>
    <t xml:space="preserve">QUIERE CANCELAR . </t>
  </si>
  <si>
    <t>SE ELEVA EXCEPCION</t>
  </si>
  <si>
    <t xml:space="preserve"> NOS RESPONDE LA CANCELACION POR MENSAJE DE WHATSSAP</t>
  </si>
  <si>
    <t xml:space="preserve">Dt:1985  </t>
  </si>
  <si>
    <t>Dk:1000</t>
  </si>
  <si>
    <t>Campaña:1000</t>
  </si>
  <si>
    <t>Contrapropuesta en mano S/.500.00</t>
  </si>
  <si>
    <t xml:space="preserve">Castigo:4 AÑOS </t>
  </si>
  <si>
    <t xml:space="preserve">Historial:TAT </t>
  </si>
  <si>
    <t xml:space="preserve">Planilla :SI </t>
  </si>
  <si>
    <t>Deudas:2 ENTIDADES</t>
  </si>
  <si>
    <t>CLIENTE ESTA EN EL CASERIO Y NOS DICE Q VIAJARA A CAJAMARCA EN LA PLAZA Y QUIERE Q LE ENVIEMOS SU CARTA DE CONVENIO DE CANCELACION,Y SE LE MANDA TODA LA INFO EN EL WHATSSAP.</t>
  </si>
  <si>
    <t>983010040 F. DE PAGO 10/03 - S/120 - PPC</t>
  </si>
  <si>
    <t xml:space="preserve">dt s/650              dk s/ 250        campaña s/120 </t>
  </si>
  <si>
    <t xml:space="preserve">RDM : ZONA - ADENTRO EN UNA PROVINCIA , SALE EL 15/03 - LO ENCARGARA HASTA EL MART 10/03 - PARA QUE LO PAGEN EN CDK </t>
  </si>
  <si>
    <t xml:space="preserve">SDP : ENCARGARA SU PAGO A UN 3RO - PARA QUE LO PAGEN EN CDK// SE ENVIARA INFO AL WHATSAPP  ( CNA AL WHATSAPP ) // PIDE INFO AL WHATSAPP </t>
  </si>
  <si>
    <t xml:space="preserve">SEARCH : 28 AÑOS, SOLTERO , NO FIGURA TRABAJO EN PLANILLA,  NO FIGURA HIJOS,  UNICA DEUDA </t>
  </si>
  <si>
    <t>983010040 F. DE PAGO 12/03 - S/120 - PPC</t>
  </si>
  <si>
    <t xml:space="preserve">RDM : no ha tenido tiempo para acercarse o mandar a alguien </t>
  </si>
  <si>
    <t xml:space="preserve">SDP : tiene efectivo , encargara pago en cdk , al medio dia estara pagado </t>
  </si>
  <si>
    <t xml:space="preserve">SEARCH : 28 AÑOS, SOLTERO , NO FIGURA TRABAJO EN PLANILLA,  NO FIGURA HIJOS,  UNICA DEUDA  // del cel se adjunta audio </t>
  </si>
  <si>
    <t>FECHA 30/03</t>
  </si>
  <si>
    <t>DT 181.72</t>
  </si>
  <si>
    <t>CAMPAÑA 190</t>
  </si>
  <si>
    <t xml:space="preserve">SUSTENTO  SUELDO </t>
  </si>
  <si>
    <t>SEARCH 37 AÑOS// 0 DEUDA/// NO PUEDE CANCELAR ANTES POR GASTOS ESCOLARES</t>
  </si>
  <si>
    <t>PPC 190</t>
  </si>
  <si>
    <t>DT:1400</t>
  </si>
  <si>
    <t>CAMP:500</t>
  </si>
  <si>
    <t xml:space="preserve">CAE POR DISCADOR </t>
  </si>
  <si>
    <t xml:space="preserve">CLIENTE SE NEGOCIO ,Y SE LLEGO A PODER CANCELAR LA DEUDA </t>
  </si>
  <si>
    <t>FECHA :14 DE FEBRERO</t>
  </si>
  <si>
    <t xml:space="preserve">SE NEGOCIO </t>
  </si>
  <si>
    <t>Fecha de Pago 25/02</t>
  </si>
  <si>
    <t>DT  2,766.44</t>
  </si>
  <si>
    <t>DK  1,455.51</t>
  </si>
  <si>
    <t xml:space="preserve">CAMPAÑA  1700 </t>
  </si>
  <si>
    <t>Sustento   TRABAJO INDEPENDIENTE</t>
  </si>
  <si>
    <t>Search 26 AÑOS // TRABAJO INDEPENDI</t>
  </si>
  <si>
    <t>DEJO DE CANCELAR PROBLEMAS PERSONALES</t>
  </si>
  <si>
    <t xml:space="preserve">FECHA DE PAGO 09 DE CADA MES </t>
  </si>
  <si>
    <t xml:space="preserve">PPM 12* 225 </t>
  </si>
  <si>
    <t>984154792  // PPC 2200</t>
  </si>
  <si>
    <t xml:space="preserve">984154792 //  TT INDICA QUE EL LUNES CANCELARA YA QUE ALCALDE AUTORIZO FIMRA DE CHEQUE PARA LA CANCEACION </t>
  </si>
  <si>
    <t>tt realizara  la  cancelacion  de  la  dueda  con el importe  de  s/. 650 el dia  08/05 (excepcion aprobada)</t>
  </si>
  <si>
    <t xml:space="preserve">PPC 250 </t>
  </si>
  <si>
    <t>984729730  F. DE PAGO  07/02/2020 - s/200 - PPC</t>
  </si>
  <si>
    <t xml:space="preserve">tt dt s/ 2,300 - campaña s/200 " por excepcion aprobada " se le dijo </t>
  </si>
  <si>
    <t xml:space="preserve">rdm :  sin trabajo , llego sms por s/190.00 , se valido </t>
  </si>
  <si>
    <t xml:space="preserve">search : 33 años  , soltero, sin trabajo en planilla , sin hijos , sobreendeudado -- </t>
  </si>
  <si>
    <t xml:space="preserve">SDP : HARIA TRANSFERENCIA BANCARIA DE SU CTA BCP // SE LLAMO DEL CEL -  DESCONFIADA QUIERE ACUERDO DE PAGO - E IR A OFICINA DE OH - </t>
  </si>
  <si>
    <t xml:space="preserve">Dt:5400  </t>
  </si>
  <si>
    <t>Dk:4000</t>
  </si>
  <si>
    <t>Campaña:3000</t>
  </si>
  <si>
    <t>Contrapropuesta en mano S/.2000 14/05 Y A FINES DEL MES 1000</t>
  </si>
  <si>
    <t>Castigo:4 AÑOS</t>
  </si>
  <si>
    <t>Historial:INCUMPLIMIENTOS</t>
  </si>
  <si>
    <t>Planilla :SI</t>
  </si>
  <si>
    <t xml:space="preserve">Deudas:NO </t>
  </si>
  <si>
    <t>Sustento de Pago:ES DOCENTE Y SIGUE TRABAJANDO NOS DICE Q QUIERE DAR SOLUCION SE LE OTORGA LA CAMPAÑA Y Q LA AREA DE VALIDACION LO LLAMARA PARA Q LE ACEPTEN LA CAMPAÑA POR EXTENCION YA Q DURA 24 HORAS. AV.LA CULTURA CUZCO . IRA A LA MISMA AGENCIA.LLAMARA MARIANGELA A VERIFICARLO . AUDIO .YA SE VALIDO LA PROPUESTA .</t>
  </si>
  <si>
    <t>984806266  f. de pago   viernes 21/02  s/ 520</t>
  </si>
  <si>
    <t xml:space="preserve">tt dt s/850   dk s/700 - campaña s/520 -  </t>
  </si>
  <si>
    <t xml:space="preserve">rdm :  no esta en arequipa , no puede viajar // </t>
  </si>
  <si>
    <t xml:space="preserve">sdp : cuenta con efectivo  / viajara a arequipa para pagar el mismo </t>
  </si>
  <si>
    <t xml:space="preserve">search : 50 años ,soltero , sin hijos, sin trabajo en planilla , unica deuda // </t>
  </si>
  <si>
    <t xml:space="preserve">984819322 tt f- de pago viernes 07/02 - s/80  ppc </t>
  </si>
  <si>
    <t xml:space="preserve">dt s/200 - campaña s/80 </t>
  </si>
  <si>
    <t>rdm :  otro -</t>
  </si>
  <si>
    <t xml:space="preserve">sdp : contara con su pago </t>
  </si>
  <si>
    <t xml:space="preserve">search : 40 años , casado -  sin otra deuda, ni trabajo en planilla, 0 hijos - se enviara por whatsapp info </t>
  </si>
  <si>
    <t>984930785 DT: 3500    PROMOCION: 1200</t>
  </si>
  <si>
    <t xml:space="preserve">TT DICE QUE NO TUVO DINERO PARA QUE PUEDA CANCELAR SE LE DIO LA OPCION DE CANCELAR CAMPAÑA 1200 Y DICE QUE LE PAGARAN Y CANCELARA HASTA EL 25/1 </t>
  </si>
  <si>
    <t xml:space="preserve">SEARCH  </t>
  </si>
  <si>
    <t>EDAD : 28    DEUDAS :NO REGISTRA</t>
  </si>
  <si>
    <t xml:space="preserve"> TRABAJA : UNIDAD DE GESTION EDUCATIVA SAN IGNACIO</t>
  </si>
  <si>
    <t>DT 17300</t>
  </si>
  <si>
    <t>DK 7200</t>
  </si>
  <si>
    <t>DC 4200</t>
  </si>
  <si>
    <t xml:space="preserve">EDADd 36 </t>
  </si>
  <si>
    <t>CONBTRA PROPUESTA 2000</t>
  </si>
  <si>
    <t>CLIENTE SE DEDICABA A COMERCIAR ABARROTES  , PARA ESO FUE EL PRESTAMO , SUFRIO UN ACCIDENTE DE TRANSITO LA CUAL , POR ESE MOTIVO NO PUDO RALIZAR EL PAGO , ACTUALMENTE SE SOLVENTA HACIENDO TAXIS , LA CONTRA PORPUESTA DEL CLI EST PODER ABONAR 2000 SOLES PARA  CERRAR LA DEUDA  NO CUENTA CN MAS , EL DINERO LE PODRA PRESTAR UN FAMILIAR PARA PODER SLAIR DE ESA DEUDA</t>
  </si>
  <si>
    <t>FECHA DSE PAGO VIERNES 27 - HASTA 3PM</t>
  </si>
  <si>
    <t xml:space="preserve">985225989 f. de pago 24/02 - s/100 - ppc </t>
  </si>
  <si>
    <t xml:space="preserve"> tt dt s/ 350 dk s/150  campaña s/100</t>
  </si>
  <si>
    <t>rdm : le dijeron page s/100 y le darian la cna , pero no le dieron</t>
  </si>
  <si>
    <t xml:space="preserve">sdp : contaria con efectivo , se le escucha intercortado por momentos // </t>
  </si>
  <si>
    <t xml:space="preserve">search : 23 años , soltero , sin hijos, unica deuda, sin trabajo en planilla // se llamo del cel </t>
  </si>
  <si>
    <t xml:space="preserve">DT 1200 DK 500 CAMPAÑA 350 </t>
  </si>
  <si>
    <t xml:space="preserve">PROBLEMAS ECONMOMICOS TENIA UNN NEGOCIO  Y SU SOCIO ESTABA HACIENDO UNOS MALOS MANEJOS Y CUANMDO EL SE ENTERO YA ESTABA EN DEUDA  , AHO0RA EL ESTA TRABAJANDO EN UNA EMPRESA </t>
  </si>
  <si>
    <t xml:space="preserve">Y QUIERE YA SALDAR SU DEUDA </t>
  </si>
  <si>
    <t>EDAD 28  // TRABAJA  SUELDO 1700// HIJOS 0// DEUDAS 1</t>
  </si>
  <si>
    <t>DT:1930</t>
  </si>
  <si>
    <t>CAM:320</t>
  </si>
  <si>
    <t>NOS DICE Q NO PAGO POR UN TEMA Q LE ESTAFARON PORQ EL HIZO UN CONVENIO DE 4 CUOTAS EN FRACCIONAMIENTO Y SE QUEDO EN UNA ULTIMA CUOTA,CON EL IMPORTE DE 200</t>
  </si>
  <si>
    <t xml:space="preserve">SE LE INDICA Q NO PAGO EL CONVENIO Y Q TIENE Q PAGAR </t>
  </si>
  <si>
    <t xml:space="preserve">CAE POR DISCOR . </t>
  </si>
  <si>
    <t>NO TIENE WHATSSAP</t>
  </si>
  <si>
    <t xml:space="preserve">SE ME VA LA FICHA </t>
  </si>
  <si>
    <t xml:space="preserve">PAGARA EN LA AGENCIA HARMELINDA Y AMERICA </t>
  </si>
  <si>
    <t>(TRUJILLO)</t>
  </si>
  <si>
    <t>FECHA DE PAGO:24/02/2020</t>
  </si>
  <si>
    <t xml:space="preserve">986211648 f. de pago 28/02 - s/460 ppc </t>
  </si>
  <si>
    <t xml:space="preserve">DT S/  1,049   DK S/ 560  CMPAÑA S//460 </t>
  </si>
  <si>
    <t xml:space="preserve">RDM ;  QUIEBRA </t>
  </si>
  <si>
    <t xml:space="preserve">SEARCH :   28 AÑOS , SOLTERO , SIN HIJOS, GANA S/2,574, UNICA DEUDA SDP : PDH // QUIZO PAGAR CON S/300 // SE ENVIARA INFO AL WHATSAPP </t>
  </si>
  <si>
    <t xml:space="preserve">DT S/  1,085  DK S/ 560  CAMPAÑA S//460 </t>
  </si>
  <si>
    <t xml:space="preserve">RDM ;  DESCONFIANZA POR QUE SE LE DIJO QUE PAGE EN BCP - EL LLAMO PARA PAGAR </t>
  </si>
  <si>
    <t>SEARCH :   28 AÑOS , SOLTERO , SIN HIJOS, GANA S/2,574, UNICA DEUDA SDP : PDH // QUIZO PAGAR CON S/300 // SE ENVIARA INFO AL WHATSAPP // CORREO : rider_1990@outlook.com.pe // para carta de no adeudo - lo envia al whatsapp  // correccion de la observ.</t>
  </si>
  <si>
    <t>986253038 - cliente està a la espera de un deposito de un amigo, comenta que el dia de mañana estara haciendo el deposito correspondiente</t>
  </si>
  <si>
    <t xml:space="preserve">987252038 //  TT INDICA QUE EL DIA 17/12. ESTARA CANCELANDO LA DEUDA CON SU GRATIFICACION// ASEGURA PAGO..  (LLAMADA DE DISCADOR) </t>
  </si>
  <si>
    <t xml:space="preserve">Dt:670  </t>
  </si>
  <si>
    <t>Dk:105</t>
  </si>
  <si>
    <t>Campaña:50</t>
  </si>
  <si>
    <t>Contrapropuesta en mano S/.</t>
  </si>
  <si>
    <t>Castigo:3 AÑOS</t>
  </si>
  <si>
    <t>Historial:PRIMER CONTACTO</t>
  </si>
  <si>
    <t>CLIENTE SE COMUNICA CON NOSOTROS AVERIGUAMOS Y NOS COMENTA Q NUNCA USO LA TARJETA NOS CUENTA COMO LE BRINDARON LA TARJETA Y NOS DICE Q QUIERE DAR SOLUCION DEL CASO Y Q EL VIERNES PAGARA LA CAMPAÑA .EN AGENTE BANCO DE LA NACION .AUDIO</t>
  </si>
  <si>
    <t>Fecha de Pago  23/03</t>
  </si>
  <si>
    <t>DT 2,013.37</t>
  </si>
  <si>
    <t>DK  776.60</t>
  </si>
  <si>
    <t>Sustento  SUELDO</t>
  </si>
  <si>
    <t>Search  35 AÑOS / UNIDAD DE GESTION EDUCATIVA LOCAL SAN MARCOS - UGEL SAN MARCOS // 2 DEUDAS</t>
  </si>
  <si>
    <t>TT INDICA QUE NO CANCELO PORQUE TUVO  CONFUNCION EN EL REGISTRO DE PAGOS Y NO RECIBIO SUELDO ESPERADO</t>
  </si>
  <si>
    <t xml:space="preserve">// SE INDICA SE GENERO PENALIDAD  POR INCUMPLIMIENTO, ACEPTA CANCELAR </t>
  </si>
  <si>
    <t>PPC 700</t>
  </si>
  <si>
    <t xml:space="preserve">Fecha de Pago  28/02 </t>
  </si>
  <si>
    <t>CAMPAÑA 650</t>
  </si>
  <si>
    <t>PPC 650</t>
  </si>
  <si>
    <t xml:space="preserve">987866727 CLIENTE NOS COMENTA Q NO PUDO EFECTUAR EL PAGO Q LO HARA EN BCP SE ELEVA PROPUESTA DE PODER CANCELAR CON 2150 Y NOS DICE Q VA A SER EL INTENTO COMO MIN , PARA HOY LO HARA EN EL BANCO BCP, SE ELEVO PROPUESTA CON JULIO HIGA Y NOS APRUEBA CON ESE IMPORTE </t>
  </si>
  <si>
    <t xml:space="preserve">987866727 NOS COMUNICAMOS CON EL TT PARA Q REALIZE LA CANCELACION EN EL BANCO INTERBANK, FUE APROVADO POR JULIO CON EL IMPORTE DE LOS 2300 Y VA A CANCELAR HOY MISMO POR LA TARDE , VIVE EN CHACLACAYO . </t>
  </si>
  <si>
    <t>988618822 dt s/  700 dk s/ 200 campaña s/100</t>
  </si>
  <si>
    <t>rdm : desconocia de la deuda, hasta hace poco que quiere sacar un credito , su hermana que trabaja en banco le dijo que esta con calif en negro - presento reclamo por que le dijeron que era el cobro de un seguro. // dice estar en una zona alejada trabajando , que su esposo abono a un familiar de ella pagarian el viern 06/03 - luego al decirle que page maximo mñn 05/3 banco de la nacion, dice que esposo ya no podra hacerlo, sino el viernes que baja su esposo el viern 06/03 - s/100 agente bcp // se reprograma pago</t>
  </si>
  <si>
    <t xml:space="preserve">sdp : cuenta con efectivo -AGENTE BCP - lo hara su esposo - // del cel </t>
  </si>
  <si>
    <t>search : 27 años soltero , gana s/1,100 - no figura otra deuda, ni figura hijos</t>
  </si>
  <si>
    <t>rdm : desconocia de la deuda, hasta hace poco que quiere sacar un credito , su hermana que trabaja en banco le dijo que esta con calif en negro - presento reclamo por que le dijeron que era el cobro de un seguro.</t>
  </si>
  <si>
    <t>sdp : cuenta con efectivo - paga en banco bco o agente, se enviara info por whatsapp</t>
  </si>
  <si>
    <t xml:space="preserve">del cel corporativo // </t>
  </si>
  <si>
    <t>TT CANCELARA EL LUNES 16/03, VENDRA A OFICINA POR LA MAÑANA YA QUE DESCONFIA</t>
  </si>
  <si>
    <t>PPC 3000</t>
  </si>
  <si>
    <t>DT:6300</t>
  </si>
  <si>
    <t>CAMP:650</t>
  </si>
  <si>
    <t xml:space="preserve">SE LE HABLA CON LA TT SE LE HACE EL SEGUIMIENTO Y NOS DICE Q VA A PAGAR LA DEUDA EN SISTEMA DE TRANSFERENCIA , CON EL IMPORTE DE 650 Y CANCELA LA DEUDA </t>
  </si>
  <si>
    <t>CLIENTE ESTA EN EL EXTRANJERO .</t>
  </si>
  <si>
    <t>991598820 F. DE PAGO 28/02 - S/350 - PPC</t>
  </si>
  <si>
    <t xml:space="preserve"> DT S/1,200 DK S/500   CAMPAÑA S/350 </t>
  </si>
  <si>
    <t xml:space="preserve">RDM : PROBLEMAS </t>
  </si>
  <si>
    <t>SDP : CONTARA CON SU PAGO // CDK JUNIN- HUANCAYO // SE ENVIARA ACUERDO DE PAGO</t>
  </si>
  <si>
    <t xml:space="preserve">SEARCH : 23 AÑOS, SOLTERO, SIN HIJOS, UNICA DEUDA </t>
  </si>
  <si>
    <t xml:space="preserve">992701459 f. de pago  21/02 - s/3,031 - ppc </t>
  </si>
  <si>
    <t xml:space="preserve"> tt dt s/  5,100 dk s/4,500    campaña s/ 3031 por sms recibio </t>
  </si>
  <si>
    <t>rdm :  accidente de su hijo se enefermo - lo operaron  , problemas  , quizo pagar hace unos meses, no tiene orficina de mi banco cercano</t>
  </si>
  <si>
    <t xml:space="preserve">rdm _ otro </t>
  </si>
  <si>
    <t xml:space="preserve">search :  54 años, soltero, sin hijos, sin trabajo en planilla, unica deuda //  viajara para pagar, mañana llamara para dar el nro de su hijo para enviar acuerdo de pago y cna </t>
  </si>
  <si>
    <t xml:space="preserve">sdp : tiene efectivo a mano // del cel personal </t>
  </si>
  <si>
    <t xml:space="preserve">993601262 llamo :  f. de pago  31/01/2020  s/601.00 ppc  </t>
  </si>
  <si>
    <t xml:space="preserve"> dt s/2,300 dk s/900 - campaña s/601.00 </t>
  </si>
  <si>
    <t>rdm : otro</t>
  </si>
  <si>
    <t xml:space="preserve">sdp : recibira pago unico </t>
  </si>
  <si>
    <t xml:space="preserve">search : 34 años , soltero ,  gana s/1,537.00 , tiene otra deuda, sin hijos  </t>
  </si>
  <si>
    <t>se habla con el tt y nos indica q el dia 22 de abril realiazara el paga de los 200 ya q sera su ultima cuota de pago y lo realizara por la tarde sin problema .</t>
  </si>
  <si>
    <t>995328880 F. DE PAGO 28/02 - S/202 - PPC</t>
  </si>
  <si>
    <t>RDM : TUVO UN CONVENIO VIGENTE // CONTINUARA CON SU ULTIMA CUOTA DE S/202</t>
  </si>
  <si>
    <t>SDP : OTRO</t>
  </si>
  <si>
    <t xml:space="preserve">SEARCH : 45 AÑOS ,S OLTERO , SIN HIJOS, SIN TRABAJO EN PLANILLA, SOBREENDEUDADO </t>
  </si>
  <si>
    <t xml:space="preserve">// INBOUND // SE ADJUNTA AUDIO </t>
  </si>
  <si>
    <t>DT  1,380.94</t>
  </si>
  <si>
    <t>DK  1,050.00</t>
  </si>
  <si>
    <t>CAMPAÑA  840</t>
  </si>
  <si>
    <t xml:space="preserve"> Sustento  RECIBIRA DINERO DE PAGO QUE DEBEN // TRABAJA CON HERMANO QUE SE DEDICA A LA VENTA DE CUERO SATINADOS </t>
  </si>
  <si>
    <t>Search 43  AÑOS // NO TIENE TRABAJO ESTABLE // UNICA DEUDA</t>
  </si>
  <si>
    <t>EL JUEVES POR LA MAÑANA CANCELACIÓN</t>
  </si>
  <si>
    <t>NO PUDO CANCELAR ANTERIORMENTE PORQUE TENIA PENSION DE MENOR HIJO PENDIENTE</t>
  </si>
  <si>
    <t xml:space="preserve">996533293   TT PAGARA  255 // MDNP : NO CUENTA CON DINERO //  16/09  NO BRINDA #  </t>
  </si>
  <si>
    <t xml:space="preserve">996533293   TT PAGARA  255 // MDNP : NO CUENTA CON DINERO //  16/09  NO BRINDA #  AUTORIZACION DE MARIANGELA . PARA CHANCAR . </t>
  </si>
  <si>
    <t xml:space="preserve">996567100  FT S/4,500 - CAMPAÑA S/1,700 </t>
  </si>
  <si>
    <t xml:space="preserve">TT INFORMA QUE DESEA LIQUIDAR CON S/1,700 PERO EL 05/02 -  </t>
  </si>
  <si>
    <t>RDM : OTRO , NO SE LE ESUCCA BIEN , EN LLAMADA ANTERIOR NO TIENE BUENA SEÑAL</t>
  </si>
  <si>
    <t xml:space="preserve">SDP  : RECIBE SU PAGO , LO  DIJO LA LLAMADA ANGTERIOR - TIENE PROBLEMAS DE SEÑAL MENCIONA - BANCO DE LA NACION , PAGARA, SE ENVIARA SMS, PEDIRA A UNA CAJERA QUE TOME FOTO DE SU COMPROBANTE // SE LLLAMO DEL CEL CORPORATIVO </t>
  </si>
  <si>
    <t>SEARCH : 34 AÑOS, SOLTERO , CON UN VEHICULO O MOTO, SIN HIJOS, SIN TRABAJO ACTUAL EN PLANILLA , SIN NINGUNA OTRA DEUDA ADICIONAL REPORTADA</t>
  </si>
  <si>
    <t>996567100  FT S/4,500 - DK S/2,700  CAMPAÑA S/1,700 DE ENERO</t>
  </si>
  <si>
    <t xml:space="preserve">RDM : ENCARGO DSD AYER 20/01 EN MI BANCO EL PAGO  A UN AMIGO - PRIMO </t>
  </si>
  <si>
    <t>SDP :  BUSCARA A LA OTRA PERSONA QUE ENCARGO EL PAGO , ESTA VIAJANDO HOY , EN UNA HORA LLEGA ESPINAR // DE NO HABER HECHO EL PAGO EL 3RO PAGA MÑN SAB 22/02  , SE LE ACLARA PAGARIA S/2,500 DE NO PAGAR MÑN SABADO POR LA REPROGRAMACIONES QUE TIENE ...</t>
  </si>
  <si>
    <t xml:space="preserve">SEARCH  : 34 AÑOS ,. SOLTERO , TIENE MOTO , NO FIGURA TRABAJO ACTUAL EN PLANILLA , UNICA DUEDA, APURADO DICE EL VUELVE A LLAMAR .. NO SE VALIDA POR ELLO LA PLANTILLA ACTUAL </t>
  </si>
  <si>
    <t xml:space="preserve">SEARCH : 34 AÑOS, SOLTERO , CON UN VEHICULO O MOTO, SIN HIJOS, SIN TRABAJO ACTUAL EN PLANILLA , SIN NINGUNA OTRA DEUDA ADICIONAL REPORTADA  // DEL CEL </t>
  </si>
  <si>
    <t>RDM : OTRO , INCUMPLIO CON SU PAGO , POR QUE FALLECIO SU MAMÀ Y LE GENERO GASTO - NO HA JUNTADO EL TOTAL PIDE HASTA EL 18/02 PLAZO - SE COMPROMETE PAGAR 11/02 - S/850 Y EL  20/02 - S/850.00 SI PUEDE JUNTAR MAS , ABONARA HOY MAS - LLAMO A MI CEL CORPORATIVO</t>
  </si>
  <si>
    <t xml:space="preserve">SDP : TIENE JUNTADO AHORA S/850.00 PARA AMORTIZAR, Y ESTA BUSCANDO PRESTAMO PARA EL RESTO - </t>
  </si>
  <si>
    <t>996567100 F. DE PAGO 02/03/20- S/700 - PPC</t>
  </si>
  <si>
    <t xml:space="preserve"> FT S/4,500 - DK S/2,700  CAMPAÑA S/1,700</t>
  </si>
  <si>
    <t>RDM : LLEGO TARDE LA PERSONA QUE ENCARGO EL PAGO EL DIA SABADO 29/02</t>
  </si>
  <si>
    <t>SDP : TIENE DINERO A MANO , EL MISMO LO HARA ANTES 1 PM - SINO PIERDE BENEFICIO.</t>
  </si>
  <si>
    <t>SEARCH  : 34 AÑOS ,. SOLTERO , TIENE MOTO , NO FIGURA TRABAJO ACTUAL EN PLANILLA ,</t>
  </si>
  <si>
    <t xml:space="preserve">SEARCH : 34 AÑOS, SOLTERO , CON UN VEHICULO O MOTO, SIN HIJOS, SIN TRABAJO ACTUAL EN PLANILLA , SIN NINGUNA OTRA DEUDA ADICIONAL REPORTADA  // DEL CEL  // SE ACOPLA A LA CAMPAÑA DE FEB  - EL SALDO RESTANTE </t>
  </si>
  <si>
    <t>996567100 F. DE PAGO 29/02 - S/700 - PPC</t>
  </si>
  <si>
    <t xml:space="preserve">SDP : PRESTAMO </t>
  </si>
  <si>
    <t xml:space="preserve">SEARCH  : 34 AÑOS ,. SOLTERO , TIENE MOTO , NO FIGURA TRABAJO ACTUAL EN PLANILLA , UNICA DUEDA, APURADO DICE EL VUELVE A LLAMAR .. </t>
  </si>
  <si>
    <t>996567100 llamo : f. de pago 27/02 - s/1,700 - ppc</t>
  </si>
  <si>
    <t xml:space="preserve"> tt dice que su amigo le dara el viernes 28/02 - s/1,700 - ( el supuestamo amigo - primo , se gasto el dinero la semana pasada en tomar con sus amigos, le daria el viernes por la noche) cliente siempre toma una escusa para dilatar mas el pago // </t>
  </si>
  <si>
    <t xml:space="preserve">sdp : amigo lo llamo hace un momento que pagara el día 27/02 por la tarde, ese mismo dia en espinar cdk pagara, se le indica ultimo plazo , que se presentara el audio como sustento que no hay mas plazo // insistio en llamadas para el plazo // </t>
  </si>
  <si>
    <t>996731358 f. de pago 29/01/2020 - s/1,400 - ppc excepcio</t>
  </si>
  <si>
    <t xml:space="preserve">  dt s/6,800 dk s/4700 - excepcion s/1,400</t>
  </si>
  <si>
    <t>dni : 45931202 // edwin ruiz  britto - hijo encargado de pagos, dice saldra del pais con tt sin retorno .</t>
  </si>
  <si>
    <t xml:space="preserve">rdm : otros </t>
  </si>
  <si>
    <t xml:space="preserve">sdp : cuenta con efectivo - lo retirara - paga en oficina de interbank , quiere acuerdo por correo y whatsapp //  carta de no adeudo el 31/01 de igual forma // se llamo del cel </t>
  </si>
  <si>
    <t xml:space="preserve">search : 54 años , soltero, no figura hijos, trabajo en planilla, paga puntual al bbva </t>
  </si>
  <si>
    <t>996731358 llamo :  f. de pago 30/01/2020 - s/1,400 - ppc excepcio</t>
  </si>
  <si>
    <t>996987674 f. de pago 30/03 s/220.00 campaña</t>
  </si>
  <si>
    <t xml:space="preserve">stp : pdh - lo informo ayer - cdk mismo </t>
  </si>
  <si>
    <t xml:space="preserve">observ : llame de mi cel personal - se adjunta audio // brinda su nro de cel - whatsapp : 919009921 - cliente corto por ello no se pudo continuar con el parametro  de la gestion  </t>
  </si>
  <si>
    <t xml:space="preserve">observ : llame de mi cel personal - se adjunta audio // brinda su nro de cel - whatsapp : 919009921 - cliente corto por ello no se pudo continuar con el parametro  de la gestion   ( corregido f, de pago 30/03 </t>
  </si>
  <si>
    <t>FECHA DE PAGO 17/02/2020</t>
  </si>
  <si>
    <t>DEUDA 130</t>
  </si>
  <si>
    <t>se confirma cancelacion de 130 para el dia 17/02-no indica porque motivo no cancelo //</t>
  </si>
  <si>
    <t>29 AÑOS /NO REGISTRA DEUDAS //NI INFORMACION LABORAL</t>
  </si>
  <si>
    <t xml:space="preserve">997212426 tt rdm : julio 2017 en oficina le dijeron que no debia nada //  pero ella tenia informacion que ella debia una cuota // hace un mes fue a oficina  // dt s/ 650.00 //  ppc s/250.00 sab 26/10 - dp : misma caja sulana , se enviara csd al whatsapp y formato de pago </t>
  </si>
  <si>
    <t>DT 3500 DK 1300 CAMPAÑA 270</t>
  </si>
  <si>
    <t>TT MENCIONA QUE SU HIJO TUVO UN  ACCIDENTE Y ESTUVO ENYESADO  VA A PAGAR SEMANAL  HASTA FIN DE MES EL TOTAL DE CAMPAÑA ,</t>
  </si>
  <si>
    <t>EDAD 37// HIJOS 1 // TRABAJO : NO REGISTRA // DEUDAS:0</t>
  </si>
  <si>
    <t xml:space="preserve">997935196 tt sr de edad ppc  lunes 16/12 - s/1100 campaña - en oficna qapaq - sdp : trabaja sabado y domingo y contara con efectivo - confirmar abono 11-12 pm </t>
  </si>
  <si>
    <t>998339911 O 934815671 ESPOSA.</t>
  </si>
  <si>
    <t>silvia.</t>
  </si>
  <si>
    <t xml:space="preserve">Dt:1105.09 </t>
  </si>
  <si>
    <t xml:space="preserve">Dk:352 </t>
  </si>
  <si>
    <t xml:space="preserve">Campaña:106.00 </t>
  </si>
  <si>
    <t>Contrapropuesta en mano S/.106.00</t>
  </si>
  <si>
    <t>Castigo:</t>
  </si>
  <si>
    <t xml:space="preserve">Historial:3 ENTIDADES . </t>
  </si>
  <si>
    <t xml:space="preserve">Planilla : </t>
  </si>
  <si>
    <t>Deudas:SI</t>
  </si>
  <si>
    <t xml:space="preserve">CLIENTE NOS DICE Q QUIERE DAR SOLUCION DEL TEMA Y NOS PASA CON LA ESPOSA DE LLEGAR A CONCILIAR .AUDIO </t>
  </si>
  <si>
    <t xml:space="preserve">998430533 tt f. de pago 08/01/2020  - s/190 </t>
  </si>
  <si>
    <t xml:space="preserve">dt s/2,400 - campaña s/190 - 08/01/2020 en oficina del banco interbank en el transcurso del dia - </t>
  </si>
  <si>
    <t xml:space="preserve">search : 59 años , sin hijos , no figura trabajo en planilla, paga otras cuentas, y otras no </t>
  </si>
  <si>
    <t xml:space="preserve">sdp  : lo paga en oficina de interbank - se llamo del discador - se adjunta audio </t>
  </si>
  <si>
    <t xml:space="preserve">Dt:8.400  </t>
  </si>
  <si>
    <t>Dk:6.222</t>
  </si>
  <si>
    <t>Campaña:1400</t>
  </si>
  <si>
    <t>Contrapropuesta en mano S/.1200</t>
  </si>
  <si>
    <t>Historial:PROMESA INCUMPLIDA</t>
  </si>
  <si>
    <t>Deudas:1</t>
  </si>
  <si>
    <t xml:space="preserve">Sustento de Pago:CLIENTA TRABAJA EN EL ESSALUD EN EL ARE DE LIMPIEZA ES CORDINADORA , NOS DICE Q LA SITUACION DE LA ENFERNA ESTA DURA PERO Q QUIERE LLEGAR A DAR SOLUCION A A LA DEUDA Q EL 25/05 LE ESTAN HACIENDO SU PAGO .REALIZARA EL PAGO EN EL BANCO DE LA NACION ,TIENE WHATSSAP, AUDIO </t>
  </si>
  <si>
    <t>DT:3500</t>
  </si>
  <si>
    <t>CAMP:1000</t>
  </si>
  <si>
    <t>CONTRAPROPUESTA :800</t>
  </si>
  <si>
    <t>EDAD:52 AÑOS</t>
  </si>
  <si>
    <t>SUSTENTO CLIENTE QUIERE CANCELAR , EL A PROPUESTO MILLL VECES EN PAGAR 500 SOLES Q ERA LO RESTANTE DE SU CONVENIO Q TUBO, SE LE EXPLICA Q NO ES ASI Y ESA CAMPAÑA YA PASO ,Y NOS DICE Q EL DINERO LO SACO PARA SU HERMANA , PERO ELLA NO PAGO NADA, EL TUVO MUCHA DESCONFIANZA Y DONDE VIVE NO HAY CERCANO UNA FINANCIERA CREDINKA Y LO Q DESEA ES CANCELARLO SE LE INDICA Q COMO MIN ES 1000 PERO NOS CONTRA PROPONE EN CANCELAR 800 .</t>
  </si>
  <si>
    <t>FECHA DE PAGO :21/02/2020</t>
  </si>
  <si>
    <t xml:space="preserve">DISCADOR   / SE ME FUE LA FICHA </t>
  </si>
  <si>
    <t>A LA ESPERA DE RESPUESTA DE EXCEPCION.</t>
  </si>
  <si>
    <t>999391998 f. de pago 14/02 - s/100 - par</t>
  </si>
  <si>
    <t>dt    s/4,300  dk s/ 3,300   campaña s/2,400</t>
  </si>
  <si>
    <t>rdm : operaron a su hija hace unos dias, por eso no pago ,ella se habia comprometido en pagar los 05</t>
  </si>
  <si>
    <t>sdp : solo tiene capacidad de s/100 pagar  - asi se comprometio y lo viene cumpliendo</t>
  </si>
  <si>
    <t xml:space="preserve">search : 33 años , soltero , sin hijos, sin trabajo en planilla, unica deuda  // whatsapp - cliente se comunica  - confirma pago 21/02 - s/100 --- en cdk </t>
  </si>
  <si>
    <t>DT 4700</t>
  </si>
  <si>
    <t>DC 578</t>
  </si>
  <si>
    <t>PETER HEYKOOP CORNEJO</t>
  </si>
  <si>
    <t xml:space="preserve">TT ESTABA PAGABDO LAS CUOTAS , PERDIO EL SEGUIMIENTO DE LAS CUOTAS , POR QUE LE LLAMARON Y LE INDICARON UE LE FALTABA UNA CUOTA Y LE GENERO DE DESCONFIANZA , TT CUENTA CON UN CRONOGRAMA DE PAGOS , LA CUAL LE FALTABA UNA CUOTA  , TT ESTA JUNATNDO PARA PODER PAGAR LA DEUDA , </t>
  </si>
  <si>
    <t>SERCH DEUDA CREDISCOTIA , Y FINANCIERA</t>
  </si>
  <si>
    <t>A las 4:30 estaria haciendo el abono</t>
  </si>
  <si>
    <t xml:space="preserve">Abogada del tt se comunico al corporativo para pedir Acuerdo de cancelacion y realizar el abono del monto total acordado el dia de hoy </t>
  </si>
  <si>
    <t>ABONA 200 SOLES MAÑANA Y LOS 250 SOLES PARA EL DIA 30/09/19</t>
  </si>
  <si>
    <t xml:space="preserve">Abona con gestion de CRDK </t>
  </si>
  <si>
    <t xml:space="preserve">ABONA SU ULTIMA CUOTA DE 1000 EL 31/12 </t>
  </si>
  <si>
    <t xml:space="preserve">Abonará   </t>
  </si>
  <si>
    <t>abonara 180 15/10 y diferencia a fin de mes, enviar nro de cta por sms</t>
  </si>
  <si>
    <t>ABONARA 300 SOLES EL JUEVES Y 250 HASTA EL 30-05, ENVIAR CTA BCP VIA WSP</t>
  </si>
  <si>
    <t xml:space="preserve">Abonará 500 </t>
  </si>
  <si>
    <t xml:space="preserve">Abonará 8000, en marzo: S/ 6,308. </t>
  </si>
  <si>
    <t xml:space="preserve">Abonará el monto de 3,000 soles hoy y restante a fines de mes. </t>
  </si>
  <si>
    <t>ABONARA HASTA 14-09 292 Y LA DIFERENCIA HASTA FIN DE MES</t>
  </si>
  <si>
    <t xml:space="preserve">abono 200 el dia miercoles 11/12/19 y 3300 soles ppc se le solicita el acuerdo de cancelacion* total a pagar 3500 soeles inb* </t>
  </si>
  <si>
    <t>ABONO 256.00 INDICA QUE EL DINERO ES D ESU SUELDO  PPC INDICA QUE EL 15 BAJARA A AREQUIPA</t>
  </si>
  <si>
    <t xml:space="preserve">ACEPTAN EXCEPCION DE PAGO 600 SOLES </t>
  </si>
  <si>
    <t>SOLICITA COMPROMISO DE PAGO AL CORREO</t>
  </si>
  <si>
    <t>ACUERDO DE PAGO CON TT PARA QUE CANCELE CON EXCEPCION DE 1000 EL DIA 9/11 TT DICE QUE SE ESTARAEL DIA LUNES  EN CHICLAYO EN LA MAÑANA Y QUE QUIERE PREGUNTARA EN AGENCIA DE ALTERNATIVA SOBRE SU DEUDA</t>
  </si>
  <si>
    <t xml:space="preserve">ACUERDO POR 1000 SOLES,SE GENERO COMPROMISO PAR POR 600 SOLES ABONO EL DIA 18/09 Y LA DIFERENCIA DE 400 SOLES LO ABONRA EL DIA 30/09 </t>
  </si>
  <si>
    <t xml:space="preserve">ADELANTA 100 SOLES PARA CAMPAÑA DE 100 SOLES </t>
  </si>
  <si>
    <t xml:space="preserve">adelanta el dia de hoy 200 soles por que no le cancelaron en su trabajo dice cancelar a fin de mes </t>
  </si>
  <si>
    <t xml:space="preserve">ADENTARA EL MONTO DE 200 SOLES DIA SABADO </t>
  </si>
  <si>
    <t xml:space="preserve">ALEJANDRA SALAZ SANCHEZ CONFIRMA PAGO DEL MONTO DE 1500 SOLES QUE SE LE APROBO COMO EXCEPCION PARA EL DIA DE MAÑANA A LAS 6PM PAGARA EN EL MISMO BANCO INTERBANK / PPC </t>
  </si>
  <si>
    <t xml:space="preserve">amortizara por el momento el proximo mes indico cancelar por 3 meses </t>
  </si>
  <si>
    <t>ANALISTA DE CDK SE COMUNICO QUE CLIENTE CANCELARA CON EL MONTO DE 366 SE LE NECOGIA EN BASE DT 700 DK 366 / PPC</t>
  </si>
  <si>
    <t xml:space="preserve">ANAYS HILARIO SULCA ENCARGADA   </t>
  </si>
  <si>
    <t>Fecha de Pago:  29/02</t>
  </si>
  <si>
    <t>MONTO A PAGAR :  600 PPC .   ULTIMO PAGO</t>
  </si>
  <si>
    <t>DT:  3915      DK : 2496</t>
  </si>
  <si>
    <t xml:space="preserve">Sustento: trabaja le pagan de sus sueldo , se sigue con convenio , le pagan el 29 </t>
  </si>
  <si>
    <t xml:space="preserve">Search :  29 , reporta 1 deuda </t>
  </si>
  <si>
    <t xml:space="preserve">ANGELLA PUICAN RESPONSABLE .   cerrado whatsapp </t>
  </si>
  <si>
    <t>Fecha de Pago:  17/02</t>
  </si>
  <si>
    <t xml:space="preserve">Monto : 1590   PPC </t>
  </si>
  <si>
    <t>DT: 2000    DK : 1800</t>
  </si>
  <si>
    <t>Sustento: va recibir un dinero para pagar el 17/02 , se viene haciendo seguimiento nos indica informacion por whatsapp  , ya anteriormente se converso con tt indico que angella puican era la encargada</t>
  </si>
  <si>
    <t xml:space="preserve">Search :  tt 39 años , reporta varias deudas </t>
  </si>
  <si>
    <t>Fecha de Pago:  23/03 PPC</t>
  </si>
  <si>
    <t xml:space="preserve">Sustento:  cliente indica que ya tiene una persona como aval , que avabando su credito el 15 , hasta el 18 ya puede sacar credito , se le da plazo hasta el 23/03 para que no pueda incumplir si encaso pasara la fecha se va aumentar . </t>
  </si>
  <si>
    <t>Fecha de Pago:  28/02</t>
  </si>
  <si>
    <t xml:space="preserve">Sustento: cliente iba realizar un desembolso , pero no le piden aval la sra de donde vive no le quizo apoyar por desconfianza , tiene otros contactos , el cual insiste en soluciona ya que es la encargada de pagos y no quiere que se entere su esposo . dise hacerlo el 28 o antes . 1590 . whatsapp </t>
  </si>
  <si>
    <t xml:space="preserve">ANTERIOR TIPIFICACION  ERA EROR ERA PPC :105 </t>
  </si>
  <si>
    <t>DT:150</t>
  </si>
  <si>
    <t>CAMPAÑA:105</t>
  </si>
  <si>
    <t xml:space="preserve">SEARC: </t>
  </si>
  <si>
    <t xml:space="preserve">EDAD:67 </t>
  </si>
  <si>
    <t xml:space="preserve">3 HERMANOS </t>
  </si>
  <si>
    <t xml:space="preserve">NO TIENE OTRA DEUDA </t>
  </si>
  <si>
    <t>ANTES NO PUDO PAGAR YA QUE LE DECIAN UNA FECHA Y NO CONTABA CON EL DINERO</t>
  </si>
  <si>
    <t>DT 1000</t>
  </si>
  <si>
    <t>CAMPAÑA : 250 - DISCADOR</t>
  </si>
  <si>
    <t xml:space="preserve">APROBACION CON MARIA ANGELA  // PAGARA SABADO EN EL AGENTE BCP   AUDIO EN EL SISTEMA  </t>
  </si>
  <si>
    <t xml:space="preserve">APROBADO  EXCEPCION  // TT PAGARA   CON SEGURIDAD //   </t>
  </si>
  <si>
    <t xml:space="preserve">ARMANDO HERMANO RESP VA PAGAR EL 30/11 MONTO 3257 PPC . MONTO DE SMS .  , ASEGURA DEPOSITO .  . NO SE GRABO SUBIRE CAPTURA  COMO SUSTENTO . </t>
  </si>
  <si>
    <t xml:space="preserve">ARREGLO PROGRAMADO CON AUTORIZACION DE SANDY : se le da facilidad al cliente paraque pueda realizar la cancelacion con 1200 hasta el dia 30 de diciembre realizando un primer abono de 1000 soles  para el dia 12 /12 y los 200 restantes el 30 dic , en caso de contar con los 1200 completos los abonara el dia 12-12 </t>
  </si>
  <si>
    <t xml:space="preserve">arturo coicosi menciona el tt se acercara a la oficina de mibanco para pagara los 170 </t>
  </si>
  <si>
    <t>ASESOR DEL TT ENCARGADO DE DEUDA INDICA CANCELACION CON AGUINALDO PPC*700 //EXCEPCION AUTORIZADO POR JULIO HIGA</t>
  </si>
  <si>
    <t xml:space="preserve">ASIGNADO POR MARIBEL// DEUDA TOTAL: 2100 CAMPAÑA: 1432 RESPONSABLE RUBEN NINA CAMPANA 43363967 ( ESPOSO) DEJO DE PAGAR PORQUE LA SRA SE FUE A OTRO PUEBLO, PRESTAMO LO SACO PARA UNA TIENDA QUE TENIAN, SE SACA ABONO PARA MÑANA 300 SOLES. . SEARCH: 26 AÑOS, NO REGISTRA TRABAJO EN PLANILLA, NO REGISTRA DEUDA. MAÑANA 8/02 ABONARA 300 29/02 1132 ( DIFERENCIA) EN CREDINKA, SE LE MENCIONA PENALIDAD. </t>
  </si>
  <si>
    <t xml:space="preserve">ASIGNADO TACITA// DEUDA TOTAL: 950 CAMPAÑA: 100 DEJO DE PAGAR PORQUE SE FUE DE VIAJE, PAGARA FIN DE MES 28/02 CUANDO LE PAGUEN SU SUELDO. SEARCH: 36 AÑOS, NO REGISTRA TRABAJO, TIENE DEUDA EN FALABELLA Y </t>
  </si>
  <si>
    <t xml:space="preserve">CAJA RURAL DE AHORRO Y CREDITO CAT PERÚ S.A. SE LE MENCIONA PENALIDAD. </t>
  </si>
  <si>
    <t xml:space="preserve">atiende su esposo armando castro castillo 47502798  dt 1300 can 500  , estuvo cursando el ultimo ciclo de su carrera , solo tiene deuda con financiera oh , edad 27 , el esposo es policia y de su sueldo sustentaria el pago para la cancelacion total de la deuda , tienen una hija , tt necesita su carta de no adeudo ya que se esta graduando y es un documento el cual le solicitan para un trabajo </t>
  </si>
  <si>
    <t xml:space="preserve">AUDIO DE DISCADOR , TT pagara 210 soles al 10/09 en oficinas de SLL </t>
  </si>
  <si>
    <t>AUDIO DEL ACR SE BORRO AL ARREGLAR CORP 16, SE SUBIRA OTRO AUDIO/ PAGO HASTA EL 29/02 MENCIONA QUE SE CONSIGUIRA 100 MAS. SR ESTABA CONDUCIENDO LA INF FUE BEVE. INF AL WHASAP.</t>
  </si>
  <si>
    <t>Audio del discador , tt pagara los 2,500 al 26/09 , menciona que trato de comunicarse para cancelar  // carta de no adeudo por fisico  .</t>
  </si>
  <si>
    <t xml:space="preserve">Audio discador , pagara 458 soles al 31/10 se genera PPC  , se hablara por wahstapp para confirmar </t>
  </si>
  <si>
    <t>Audio discador , TT pagara los 476 soles al 3/10 confirmara ese dia por correo o whatsapp la carta  //</t>
  </si>
  <si>
    <t>AUDIO EN DISCADOR TT INDICA QUE TUVO PROBLEMAS DE SALUD POR EL CUAL NO PUDO CANCELAR , MENCIONA SI CANCELARA, SE ENVIARA FORMA DE PAGO POR WS</t>
  </si>
  <si>
    <t xml:space="preserve">AUDIO/ JORDAN MAYA / SE SOLICITA AYUDA AL COMPAÑERO POR TEMAS QUE EL CLIENTE ES MUY ESPESO*** CLIENTE INFORMA QUE NO PAGO AYER POR QUE A PREFERIDO PAGAR A LA SUNAT POR QUE TENE DEUDA Y LE ESTAN PERFUDICANDO PAGO 5MIL ALCUAL SOLICITA PAGAR EL DIA 28/01/20  MARTES 4000 MIL  SOLES INDICA QUE ESE DINERO ES DE UNA PAGO PROGRAMADO PARA ESA FECHA DE SU NEGOCIO *** SI NO LE ACEPTAR EL MONTO A PAGAR  AHI SE QUEDARA LA DEUDA // INDICA TAT/  ** QUIERE PAGAR PERO NO MUCHO* AESPERA DE SUS BAUCHER D EPAGO D ELA SUNAT QUE ES EL SUSTENTO PARA PODER REPROGRAMR AL CLIENTE ** SE LE INFORMA A MARIANGELA PPC 4000 SOLES MARTES SIN FALTA, TESTICO JORDAN  // TAT ES MUY ESPECIAL TIENE INTENCION DE PAGO </t>
  </si>
  <si>
    <t xml:space="preserve">AVAL ABRAHAN HUAMAN SE HACE CARGO DE DEUDA HOY PAGA LOS 4000 Y LA CARTA SERA ENVIADA A SU WHATSAAP  , </t>
  </si>
  <si>
    <t xml:space="preserve">Aval realizará pago de 500 </t>
  </si>
  <si>
    <t xml:space="preserve">AVAL SABINA ROJAS CHALLCO VA PAGAR HOY 25/11 MONTO 3000 PPC EXCEPCION JULIO , INBOUND ASIGNADO MARIANGELA  // ASEGURA DEPOSITO SE ENVIARA ACUERDO , VA PAGAR ANTES DE LA 1PM . YA TIENE EL DINERO REUNIDO . </t>
  </si>
  <si>
    <t xml:space="preserve">bajo execpcion aceptada se acepta cancelacion con 30 soles para el dia lunes 20 </t>
  </si>
  <si>
    <t xml:space="preserve">BASE ASIGNADA MANUAL / </t>
  </si>
  <si>
    <t>DEUDA TOTAL:2100</t>
  </si>
  <si>
    <t>KAPITAL: 100</t>
  </si>
  <si>
    <t xml:space="preserve">CAMPAÑA: 340 </t>
  </si>
  <si>
    <t xml:space="preserve">MENCIONA QUE PAGARA EL VIERNES 13-03 CON EL DINERO QUE LE DEVOLVERAN ( ENTRE HOY O MAÑANA)  </t>
  </si>
  <si>
    <t xml:space="preserve">SEARCH: 33 AÑOS, NO REGISTRA TRABAJO EN PLANILLA, REGISTRA DEUDA EN MIBCO, CMAC PIURA MONTO TOTAL :24535.93   / SI PUUEDE HARA EL PAGO ANTES DE LA FECHA. MENCIONA QUE YA TIENE EL NUMERO DE CUENTA. </t>
  </si>
  <si>
    <t xml:space="preserve">base asigsanacion de sesado de Abril // tt menciona que trata de hacer lo posible para cancelar si no llega a conseguri amortizara con 50 soles se le menciono puede hacerlo en quincena y lo otro a fin de mes. </t>
  </si>
  <si>
    <t>dt:1300</t>
  </si>
  <si>
    <t>campaña:100</t>
  </si>
  <si>
    <t>sustento: del dinero diario pension de su hija</t>
  </si>
  <si>
    <t>BASE CAIDOS TACITA 11/03</t>
  </si>
  <si>
    <t xml:space="preserve">DT 700 DK 200 CAMPAÑA 100 + 10 PENALIDAD </t>
  </si>
  <si>
    <t xml:space="preserve"> TT MENCIONA QUE  NO PUDO PAGAR POR QUE NO HABIA CERCA U AGENTE Y SU ESPOSO TRABAJA LEJOS , TIENE INTENCION DE PAGO   EL 17/03 SE DETALLA QJUE SERIA EL ULTIMO ACUERDO Y SI LO INCUMPLE SE COBRARA DEUDA TOTAL , SOBRE PENALIDAD SE ESTA  CONSIDERANDO QUE ESTUVO INFORMANDO SOBRE LOS INCLUMPLIMIENTOS POR ESO SOLO SE LE COBRARA 10 SOLES , YA QUE NO  TIENE MAS ,</t>
  </si>
  <si>
    <t xml:space="preserve">EDAD 27 //SUELDO 1100  / DEUDAS 0 // HIJOS NO FIGURA </t>
  </si>
  <si>
    <t>BASE TACITA CAIDOS 10/03</t>
  </si>
  <si>
    <t>PPC DE 800</t>
  </si>
  <si>
    <t xml:space="preserve">SE LLAMA A TT MENCIONANDO MOTIVO DE INCUMPLIMIENTO DE PAGO , MENCIONA QUE  AYER NO PUDO PERO QUE EL DIA DE HOY SE ESTA ACERCANDO A LAS  11AM   A PAGAR  , </t>
  </si>
  <si>
    <t xml:space="preserve">SE SUBIRA AUDIO Y CAPTURA DE PANTALLA  VALIDADO CON MARIANGELA Y  JULIO </t>
  </si>
  <si>
    <t>SEARCH   :</t>
  </si>
  <si>
    <t>EDAD 47  TRABAJO : NO  REGISTRA / DEUDAS 0</t>
  </si>
  <si>
    <t>BASE TACITA CAIDOS 19/02</t>
  </si>
  <si>
    <t xml:space="preserve">DT 400 CAMPAÑA 180 </t>
  </si>
  <si>
    <t>TT TUVO UNOS PROBLEMAS FAMILIARES ,Y NO PUDO ABONAR TOTAL , SE LE MENCIONA QUE  HOY ABONE 50 HASTA LAS 4PM Y RESTANTE EL 25/02 PARA PODER MANTENER SU DESCUENTO .</t>
  </si>
  <si>
    <t xml:space="preserve">SEARCH  EDAD 34//  SIN DEUDAS // NO REPORTA TRABAJO </t>
  </si>
  <si>
    <t>BECKER ELOZABETH CHIPANA SE ACORDO EN QUE ABONA 200 SOLES EL DIA DE HOY POR LA TARDE Y LOS 300 SOLES EL DIA 30/12</t>
  </si>
  <si>
    <t xml:space="preserve">BRAYAN VALDIVIA CABRERA HIJO RESPONSABLE </t>
  </si>
  <si>
    <t xml:space="preserve">DT: 8100 DK : 1000 </t>
  </si>
  <si>
    <t>MONTO DE EXCEPCION 500 APROBADO POR ALEJANDRO .</t>
  </si>
  <si>
    <t xml:space="preserve">MOTIVO: NO PAGO POR SALUD , TT ENFERMA PERSONA DE EDAD </t>
  </si>
  <si>
    <t xml:space="preserve">SUSTENTO :SE COMUNICA A CORPORATIVO TIENE EL DINERO EN MANO Y REALIZARLO EL 18/03 PARA SACAR DE INFOCORP A SU MADRE . EL DIA DE MAÑANA SE VA ACERCAR CON SU MAMA . </t>
  </si>
  <si>
    <t>DT: 9700 DK : 1</t>
  </si>
  <si>
    <t>CAMPAÑA : 200</t>
  </si>
  <si>
    <t>SUSTENTO :SE COMUNICA A CORPORATIVO TIENE EL DINERO EN MANO Y REALIZARLO EL 18/03 PARA SACAR DE INFOCORP A SU MADRE . EL DIA DE MAÑANA SE VA ACERCAR CON SU MAMA .</t>
  </si>
  <si>
    <t xml:space="preserve">PROMESA SE INGRESA EL DIA DE HOY AYER NO SE PUDO PORQUE SE CERRO EL FORTICLIENT </t>
  </si>
  <si>
    <t>BRENDA HIJA DE TT CANCELA CON EL IMPORTE DE 120 SOLES               IMBOUT</t>
  </si>
  <si>
    <t xml:space="preserve">brindará adelanto de s/ 100 el 18/09 y el saldo restante para fin de mes. Cancelará en base a 500 </t>
  </si>
  <si>
    <t xml:space="preserve">CALLO LLAMADA POR DISCADOR CON Eva pero cliente  indica que solo quiere conversar con la asesora jennifer por lo cual me comunique con tt para indicarle lo que se habia hablado el mes pasado pero no contesta asi que se se le escribio por whasap donde nos indica que pagara segun a lo que se converso el mes pasado, pero sin embargo se le recordo la deuda total y la promocion por 630 y acepto en hacer la cancelacion a fines de mes por la promocion indicada// se coge plantilla generada el 25/02/2020 // no avisara si hace abonos durante el mes // se le recuerda penalidad </t>
  </si>
  <si>
    <t xml:space="preserve">CAMBIO DE TRABAJO Y LA SGUTE CONTRATACION NO SE DIO Y SE QUEDO SIN TRABAJO , RECIEN HA EMPEZADO A TRABAJAR DT 4498 CANC 450  , CL RECIEN LE PAGAN EL DIA 3 , CLIENTE YA CUENTA CON EL DINERO PARA REALIZAR LA CANCELACION DE LA DEUDA CON LOS 450 SOLES , EL DINERO LO TIENE DEL PAGO DE SU SUELDO QUE SON LOS DIAS 3 DE CADA MES </t>
  </si>
  <si>
    <t>CAMP: 423</t>
  </si>
  <si>
    <t>FECHA DE PAGO:  29/02</t>
  </si>
  <si>
    <t xml:space="preserve">SUSTENTO - </t>
  </si>
  <si>
    <t>Esposo Richard Ruiz indica que estaria realizando el pago hasta con campaña hasta fin de mes.</t>
  </si>
  <si>
    <t>SEARCH -</t>
  </si>
  <si>
    <t>HIJOS: NO REGISTRA</t>
  </si>
  <si>
    <t>EDAD DE TT:  39 AÑOS</t>
  </si>
  <si>
    <t>DEUDAS: NO REGISTRA</t>
  </si>
  <si>
    <t>SUELDO:  CENCOSUD RETAIL PERU S.A. - SUPERIOR AL BASICO</t>
  </si>
  <si>
    <t>Campaña  con excepcion 2200 Cancela</t>
  </si>
  <si>
    <t xml:space="preserve">CAMPAÑA 1400 ENVIAR CARTA DE NO ADEUDO AL jucevap15@gmail.com SE LE ENVIA CARTA DE CESION Y COMRPOMISO DE PAGO </t>
  </si>
  <si>
    <t>CAMPAÑA 1530</t>
  </si>
  <si>
    <t>MDI: TT ESTA DELICADA DE SALUD</t>
  </si>
  <si>
    <t>SEARCH: NO UTILZADO</t>
  </si>
  <si>
    <t>STP: ENCARGADO TIENE DINERO EN EL BANCO SOLO PARA RETIRAR Y PAGAR</t>
  </si>
  <si>
    <t xml:space="preserve">ESPOSO DE LA TT SE COMUNICA AL CORPORATIVO YA QUE SEÑORA LE BRINDO RECADO, ENCARGADO LUCHO COLQUEHUANCA OLVEA, ENCARGADO INDICA QUE QUIERE HACER EFECTIVA LA CANCELACION DE LA CAMPAÑA YA QUE SU SEÑORA ESTA QUE LE INCOMODA CON EL TEMA, LO HARA HOY SI PUEDE O MAS TARDAR EL DIA DE MAÑANA </t>
  </si>
  <si>
    <t>CAMPAÑA 200 EL MARTES 12</t>
  </si>
  <si>
    <t>MDI: NO PUDO CANCELAR A TIEMPO PORQUE ESTABA TRABAJANDOS, SE LE PASO UNA CUOTA PORQUE PENSO QUE PAGO TODO</t>
  </si>
  <si>
    <t xml:space="preserve">SEARCH: NO PRESENTA DEUDAS CON ATRASO </t>
  </si>
  <si>
    <t xml:space="preserve">STP: TRABAJA INDEPENDIENTEMENTE </t>
  </si>
  <si>
    <t>CAMPAÑA 244 6/12 TT INDICA CANCELARA EL DIA 10/12 CON 244 SOLES</t>
  </si>
  <si>
    <t>CAMPAÑA 270 SOLES  7/12 TT INDICA CANCELARA CON 270 EL DIA 17/12 (SE ME FUE LA FICHA)</t>
  </si>
  <si>
    <t>campaña 410 17-12 tt dice le den una llamada el dia 16-12 a las 8 am (se me fue la ficha</t>
  </si>
  <si>
    <t>CAMPAÑA 503</t>
  </si>
  <si>
    <t>TT SE COMUNICA AL WHATSAPP DEL CORPORATIVO 14</t>
  </si>
  <si>
    <t>INDICA QUE LE CONVIENE PAGAR BAJO CAMPAÑA YA QUE SON 100 SOLES MENOS</t>
  </si>
  <si>
    <t>STP: TRABAJA</t>
  </si>
  <si>
    <t>FDP: 22/05 ANTES DE LAS 10 AM</t>
  </si>
  <si>
    <t>OBS: PLANTILLA GENERADA EL DIA DE AYER</t>
  </si>
  <si>
    <t xml:space="preserve">CAMPAÑA 559 30/11 </t>
  </si>
  <si>
    <t>campaña 690 12 /12 tt dice la ham operado whatsapp y que mañana le dan de alta dice cancelara el dia 12/12</t>
  </si>
  <si>
    <t>campaña 690 12 /12 tt dice la ham operado whatsapp y que mañana le dan de alta dice cancelara el dia 12/12 (SE ME FUE LA FICHA)</t>
  </si>
  <si>
    <t>Campaña de descuento S/1300 para mañana se le enviar compromiso de pago al wahtssap</t>
  </si>
  <si>
    <t>CAMPAÑA DE DESCUENTO S/936.46 SE LE ENVIARA COMPROMISO DE PAGO AL CORREO   paulapk13@gmail.com Thaniahp@gmail.com</t>
  </si>
  <si>
    <t xml:space="preserve">CAMPAÑA S/ 1,200 </t>
  </si>
  <si>
    <t xml:space="preserve">MDI : CORONAVIRUS --- TRABAJOS EVENTUALES </t>
  </si>
  <si>
    <t>STP : CUENTA CON EFECTIVO S/400 A MANO - Y FIN DE MES S/800.00  (COBRARA TRABAJOS EVENTUALES)</t>
  </si>
  <si>
    <t>SEARCH : NO APLICA</t>
  </si>
  <si>
    <t>OBSERVACION : TT LIQUIDA EN BASE A S/1,200 - PAGA HOY 16/03 - S/400 EN CDK Y A FIN DE MES S/800.00 - TT YA NO PUEDE CANCELAR 19/03 -S/1,200- POR EL CORONAVIRUS , HIZO COMPRA DE ALIMENTOS- CUARENTENA- CON PROBLEMAS EN LA TACITA) APROBADO POR JULIO</t>
  </si>
  <si>
    <t xml:space="preserve">CAMPAÑA S/ 400 - ( APROBADO POR EXCEPCION DE JULIO ) </t>
  </si>
  <si>
    <t>MDI : CANCELACIÓN DE SHOWS INFANTILES- LO QUE TRABAJA ELLA - CORONAVIRUS</t>
  </si>
  <si>
    <t>STP : SOLICITA PAGAR S/400 EN DOS ARMADAS - 16/03 - S/100 - Y A FIN DE MES S/300 --- TIENE DISPONIBLE EN SU CTA BCP S/100 - PAGARA POR BANCA MOVIL BCP</t>
  </si>
  <si>
    <t>SEARCH : NO SE UTILIZA</t>
  </si>
  <si>
    <t>OBSERVACION : EXCEPCION APROBADA POR JULIO ( contacto vía WhatsApp y llamada con tt)</t>
  </si>
  <si>
    <t>CAMPAÑA S/.1,231</t>
  </si>
  <si>
    <t>FECHA DE PAGO: 12/03/20</t>
  </si>
  <si>
    <t>TT SE COMUNICA AL CORPORATIVO Y MENCIONA QUE LE LLEGÒ SMS CON CAMPAÑA//SE MENCIONA QUE CAMPAÑA DURA HASTA EL JUEVES 12/03/20//SE CONFIRMA INFORMACION//SE DEVUELVE LLAMADA Y SE MENCIONA COBRO DE PENALIDAD DE INCUMPLIR CON EL COMPROMISO//TT ASEGURA REALIZAR EL PAGO EN LA FECHA ACORDADA PARA EVITAR LAS LLAMADAS FRECUENTES</t>
  </si>
  <si>
    <t>26 AÑOS//DEUDA CON COMPARTAMOS//NO TRABAJA EN PLANILLA//NO FIGURA HIJOS</t>
  </si>
  <si>
    <t>campaña s/.120</t>
  </si>
  <si>
    <t>mdi: tt no esta trabajando y por eso dejò de pagar su ultima cuota</t>
  </si>
  <si>
    <t>sdp: se propuso cancelar con s/.120 para no extender compromiso//tt acepta ya que cuenta con s/.100 en mano y conseguirà s/.20//confirma que se acercarà a c QAPAQ hoy y enviarà voucher de pago por whatsapp//se brindò numero personal</t>
  </si>
  <si>
    <t xml:space="preserve">CAMPAÑA S/.220 </t>
  </si>
  <si>
    <t>MDI: TT NO ESTA LABORANDO POR EL ESTADO DE EMERGENCIA Y SOLO PUEDE HACER ABONOS MINIMOS</t>
  </si>
  <si>
    <t>SDP: TT MENCIONA QUE SE VA A PRESTA DE SU PAPÀ PARA TERMINAR DE CANCELAR DEUDA CON CAMPAÑA OFRECIDA</t>
  </si>
  <si>
    <t>Observacion:</t>
  </si>
  <si>
    <t>DEBIDO A QUE CLIENTE PROPUSO PAGAR EN PARTES LOS S/.325, SE PROPUSO UNA CAMPAÑA MEJOR PARA QUE TT CANCELE ESTE MES</t>
  </si>
  <si>
    <t>CAMPAÑA VIGENTE: 1500 / DT: TT 2080 COMENTA QUE TUVO PROBLEMAS PARA EL PAGO PROGRAMADO, TAMBIEN COMENTA QUE MAÑANA LE PAGARA UN BANCO Y CON ESO DEPOSITARA a las 3 PM, se envia SMS.</t>
  </si>
  <si>
    <t>CAMPAÑA. 914 soles</t>
  </si>
  <si>
    <t>realizara un adelando de su pago de 50 soles el 15-04-20 y la diferncia 864 soles el dia 29-04-20. llamada se realiza del discador.</t>
  </si>
  <si>
    <t>Motivo de no pago: Indica que por motivo de la situacion cuarentena no pudo cumplir y la persona que es su hermana le dara el dinero y no se encuentra en estos momento con ella.</t>
  </si>
  <si>
    <t>CAMPAÑA: 400</t>
  </si>
  <si>
    <t>TT DICE QUE ESTARIA REALIZANDO EL PAGO DE LOS 400 SOLES POR CAMPAÑA PRIMER PAGO PARA EL 7/03 50 SOLES Y  EL 30/03 350 SOLES PARA QUE CANCELE CON CAMPAÑA.</t>
  </si>
  <si>
    <t>EDAD DE TT:  34 AÑOS / SOLTERA</t>
  </si>
  <si>
    <t>DEUDAS:  NO TIENE OTRAS DEUDAS // NO REGISTRA SI TRABAJA POR PLANILLA</t>
  </si>
  <si>
    <t>CAMPAÑA: FINANCIERA OH</t>
  </si>
  <si>
    <t>CONTRAPROPUESTA EN MANO :S/. 380</t>
  </si>
  <si>
    <t>CASTIGO: 01-11-2017</t>
  </si>
  <si>
    <t>HISTORIAL:</t>
  </si>
  <si>
    <t>PLANILLA: NO TIENE TRABAJO</t>
  </si>
  <si>
    <t>DEUDAS: PAGADAS</t>
  </si>
  <si>
    <t>SUSTENTO DE PAGO:TT INDICA QUE DESEA PAGAR PERO EN MANO SOLO TIENE 380</t>
  </si>
  <si>
    <t xml:space="preserve">SE VALIDA QUE YA PAGO OTROS DEUDAS Y SOLO TIENE CON LA OH TRABAJA Y DE ALLI PAGARA </t>
  </si>
  <si>
    <t>CAMPAÑA: S/.1,100</t>
  </si>
  <si>
    <t>MDI: SE PIDIÒ A TT UN ABONO ANTES PARA CANCELAR Y MENCIONÒ QUE NO PUEDE REALIZARLO DEBIDO A QUE LE PAGAN A FIN DE MES//Y EL MES PASADO NO LE PAGARON</t>
  </si>
  <si>
    <t>SDP: MENCIONA QUE LE CONFIRMARON QUE PARA ESTE MES LE VAN A PAGAR Y SE MENCIONA QUE SERÀ LA ULTIMA VEZ QUE SE HACE EXCEPCION, YA QUE TIENE INCUMPLIMIENTOS ANTERIORMENTE//TT ESTA VIGILANTE Y GANA IMPORTE DE S/.2000 A LO QUE MANIFESTÒ</t>
  </si>
  <si>
    <t>campaña: s/.650</t>
  </si>
  <si>
    <t>mdi: tt menciona que se quedò sin trabajo por eso dejò de pagar</t>
  </si>
  <si>
    <t>sdp: tt trabaja y percibe sueldo</t>
  </si>
  <si>
    <t>observacion: se da alternativas de bancos para realizar el pago//se brindò numero de cta de interbank</t>
  </si>
  <si>
    <t>excecpion aprobada por Sandy Lopez</t>
  </si>
  <si>
    <t>Campaña:194</t>
  </si>
  <si>
    <t>Edad:24</t>
  </si>
  <si>
    <t xml:space="preserve">NO tiene deudas </t>
  </si>
  <si>
    <t>Labor:NO TIENE TRABAJO EN PLANILLA</t>
  </si>
  <si>
    <t xml:space="preserve">REALIZARA PAGO EL DIA A FIN DE MES, PARA MAYOR DETALLE NOS LLAMARA CUANDO SE ENCUENTRE EN LA  CAJA SULLANA, </t>
  </si>
  <si>
    <t>INFORMO QUE LE LLEGO UN MENSAJE CON LA PROMOCION DE 194</t>
  </si>
  <si>
    <t>DEUDAS:- NO TIENE</t>
  </si>
  <si>
    <t>CAMPAÑAS: 1500 ; DT: 2080, PAGARA EL DIA LUNES A LAS 10 AM [CLIENTE SE COMPROMETIO EN CANCELAR LA DEUDA DE LO CONTRARIO SE COBRARÁ UNA PENALIDAD DEL 10%] - 920827911, SE ENVIARA NUMERO DE CUENTA POR SMS</t>
  </si>
  <si>
    <t>CAN</t>
  </si>
  <si>
    <t>CAN CON 350 SOLES</t>
  </si>
  <si>
    <t>CAN CON 390 ENVIAR NRO DE CTA VIA SMS</t>
  </si>
  <si>
    <t>CANCEL EL 15/10  DEUDA TOTAL CON RECARO DE 50 POR INCLUMPLIMIENTO MES ANTERIOR</t>
  </si>
  <si>
    <t xml:space="preserve">CANCELA 1500 </t>
  </si>
  <si>
    <t xml:space="preserve">ANTICPO DE 800 15/02 + 700 28/02 </t>
  </si>
  <si>
    <t>SE SOLICITO EXCE</t>
  </si>
  <si>
    <t>CREDINKA // POR LA TARDE</t>
  </si>
  <si>
    <t>CANCELA 220</t>
  </si>
  <si>
    <t xml:space="preserve">cancela con 100 </t>
  </si>
  <si>
    <t xml:space="preserve">CANCELA CON 145 EL 27/04 </t>
  </si>
  <si>
    <t>dt:520</t>
  </si>
  <si>
    <t>dk:350</t>
  </si>
  <si>
    <t>campaña:145</t>
  </si>
  <si>
    <t>tt nos dice que dejo de pagar por temas de dinero y que el dinero le facilitara un camiliar , realizara pago en CREDINKA no cuenta con whatsapp se le envia msj numero de hijo</t>
  </si>
  <si>
    <t>llamada de discador</t>
  </si>
  <si>
    <t xml:space="preserve">Cancela con excepcion  de 2000 soles aprobada en caja sullana a primera hora. se le eenviara mensaje de texto con la informacion. 29-02 </t>
  </si>
  <si>
    <t xml:space="preserve">CANCELA CON IMPORTE DE EXCEPCION// </t>
  </si>
  <si>
    <t>CANCELA CON S/50</t>
  </si>
  <si>
    <t>CANCELA DD CON EL IMPORTE DE S/50.0</t>
  </si>
  <si>
    <t>CANCELA DEUDA CON 200  TTT SE ENCUENTRA MAL DE SALUD .. PPC DE 200 30/09</t>
  </si>
  <si>
    <t>CANCELA DEUDA EL DIA 14/11 , DINERO LO SACA DE UN PEUQEÑO NEGOCIO</t>
  </si>
  <si>
    <t>CANCELA EL DIA DE HOY QUIERE CANCELAR POR CAMPAÑA</t>
  </si>
  <si>
    <t>CANCELA HOY</t>
  </si>
  <si>
    <t>CANCELA HOY CON 300 SOLES</t>
  </si>
  <si>
    <t xml:space="preserve">Cancela hoy. </t>
  </si>
  <si>
    <t xml:space="preserve">CANCELA IMPORTE DE 300 SOLES APROBADO POR JULIO </t>
  </si>
  <si>
    <t>CANCELA LA DEUDA EN PPC DE 3000</t>
  </si>
  <si>
    <t>CANCELA POR CAMPAÑA DE 800 SOLES</t>
  </si>
  <si>
    <t>CANCELA ULTIMA CUOTA 2000 BHASTA EL 03/09</t>
  </si>
  <si>
    <t>CANCELA ULTIMA CUOTA, SE VUELVE  INGRESAR YA QUE NO APARECE PDP</t>
  </si>
  <si>
    <t>CANCELACION</t>
  </si>
  <si>
    <t xml:space="preserve">cancelacion con excepcion de 2000 soles, el dia de 4-03 menciona que en media hora esta yendo a pagar. </t>
  </si>
  <si>
    <t>CANCELACION CON MONTO DE DESCUENTO// SICONSIGUE ANTES CANCELA EL MARTES</t>
  </si>
  <si>
    <t xml:space="preserve">cancelacion sms : 600 soles//  tt abonara  150 el dia 23/10. y los restante 450 soles e dia 30/10.  </t>
  </si>
  <si>
    <t>CANCELACIONX1200 APROBADO POR MAYRA</t>
  </si>
  <si>
    <t>CANCELAR CON EXCEPCION DE 700 SOLES, APROBADO POR JULIO</t>
  </si>
  <si>
    <t xml:space="preserve">CANCELARA </t>
  </si>
  <si>
    <t xml:space="preserve">Cancelará </t>
  </si>
  <si>
    <t xml:space="preserve">Cancelará . </t>
  </si>
  <si>
    <t xml:space="preserve">Cancelará 1300 mañana 03/10. </t>
  </si>
  <si>
    <t>CANCELARA 17 DE FEBRERO</t>
  </si>
  <si>
    <t>dt 480</t>
  </si>
  <si>
    <t>dc 280</t>
  </si>
  <si>
    <t xml:space="preserve">tt no cancelo SU COMPROMISO `RO QUE NO LE ENVIARON EL NUMRO DE CUENTA ,PRESTAMO FUE para un negocio QUE NO RESULTO,TRABAJA DE chofer, tiene familia. </t>
  </si>
  <si>
    <t>serch 40 años</t>
  </si>
  <si>
    <t xml:space="preserve">DEUDA PERDIDA </t>
  </si>
  <si>
    <t>BANCO AZTECa</t>
  </si>
  <si>
    <t>CANCELARA 30/12 AUDIO POR DISCADOR, ENVIAR NRO DE CTA IBK POR SMS</t>
  </si>
  <si>
    <t>CANCELARA 300</t>
  </si>
  <si>
    <t>CANCELARA 8 DE FEBRERO</t>
  </si>
  <si>
    <t>DT 9600</t>
  </si>
  <si>
    <t>DC 1200</t>
  </si>
  <si>
    <t>NO CANCELO POR QUE ESTUBO ENFERMO , TT SE COMPROMETIO A PAGAR RECIBIO ACOSO DE COBRANZA SE OSTIGO CON TANTAS LLAMADAS RECIBIDAS DECIDIO NO CANCELAR, NO TRABAJA , PERCIBE UN SUELDO  DE SUS TRABAJOS PARTICULARES, TIENE FAMILIA 3 HIJOS Y ESPOSA , ESTUDIOS</t>
  </si>
  <si>
    <t>SERCH EDAD 58 AÑOS</t>
  </si>
  <si>
    <t>SCOTIABANK PERU S A A</t>
  </si>
  <si>
    <t>Tarjetas de crédito contratadas por disponibilidad en efectivo</t>
  </si>
  <si>
    <t>PER</t>
  </si>
  <si>
    <t>Tarjetas de crédito contratadas por compra</t>
  </si>
  <si>
    <t>Préstamos no revolventes para libre disponibilidad</t>
  </si>
  <si>
    <t>Préstamos con hipoteca inscrita</t>
  </si>
  <si>
    <t>(Provisión específica)</t>
  </si>
  <si>
    <t>Primeras hipotecas sobre inmuebles</t>
  </si>
  <si>
    <t>cancelara como maximo el lunes 23/09 esta a la espera de su pago de haberes</t>
  </si>
  <si>
    <t>CANCELARA CON 1000 SOLES, CDK DE AV EL SOL</t>
  </si>
  <si>
    <t xml:space="preserve">CANCELARA CON 400 SOLES </t>
  </si>
  <si>
    <t xml:space="preserve">CANCELARA CON 500 ADELANTO DE 100 SOLES </t>
  </si>
  <si>
    <t xml:space="preserve">CANCELARA CON 500 SOLES ESTE MES DE SETIEMBRE 250 Y EN OCTUBRE 250 </t>
  </si>
  <si>
    <t xml:space="preserve">CANCELARA CON 500 SOLES INDICO EL DIA DE MAÑANA YA QUE SE ACERCARA A CAJA SULLANA SE ENCUENTRA EN LIMA </t>
  </si>
  <si>
    <t>cancelara con 540 soles /inboud</t>
  </si>
  <si>
    <t xml:space="preserve">CANCELARA CON 800  </t>
  </si>
  <si>
    <t xml:space="preserve">CANCELARA CON CAMPAÑA DE 300 SOLES SE LE INDICO QUE SI INCUMPPLE EL PAGO NO SE LE BRINDARA EL MISMO MONTO </t>
  </si>
  <si>
    <t>CANCELARA CON DSCTO 160 SOLES, OF DE LOS OLIVOS</t>
  </si>
  <si>
    <t xml:space="preserve">cancelara con el importe 5000 de excepcion aprobado por julio // </t>
  </si>
  <si>
    <t>CANCELARA CON EL MONTO DE 325 ADELANTA EL MIERCOLES  50 SOLES</t>
  </si>
  <si>
    <t xml:space="preserve">CANCELARA CON EL MONTO DE CAMPAÑA DE 150 SOLES </t>
  </si>
  <si>
    <t xml:space="preserve">CANCELARA CON EL MONTO DE EL MES PASADO MONTO DE 600 SOLES </t>
  </si>
  <si>
    <t>CANCELARA CON EXCEPCION DE 4000 SOLES HOY, CONF QUE PAGARA EN UNA HORA Y MEDIA MAXIMO ENVIAR NRO DE CUENTA VIA SMS</t>
  </si>
  <si>
    <t xml:space="preserve">cancelara con excepcion indico cancelar el dia 18 de noviembre </t>
  </si>
  <si>
    <t xml:space="preserve">cancelara con importe de la campaña anterior menciono qe si o si deposita por que mantuvo  un percanse </t>
  </si>
  <si>
    <t xml:space="preserve">cancelara con monto campaña </t>
  </si>
  <si>
    <t>CANCELARA CON100</t>
  </si>
  <si>
    <t xml:space="preserve">CANCELARA DEUDA // PPC </t>
  </si>
  <si>
    <t>CANCELARA DEUDA 27/09 CONFIRMO ESPOSO PERCI</t>
  </si>
  <si>
    <t>CANCELARA DEUDA CON 400 SOLES, ENVIAR CARTA POR WSP</t>
  </si>
  <si>
    <t xml:space="preserve">cancelara deuda el 29/11  monto 300 soles </t>
  </si>
  <si>
    <t>CANCELARA DEUDA, CON EL DINERO DE SU COSECHA COMO MAXIMO EN 20 DIAS TRATARA DE HACERLO LO MAS PRONTO</t>
  </si>
  <si>
    <t>CANCELARA EL DIA 28 EL MONTO DE 500 SOLES</t>
  </si>
  <si>
    <t>Cancelará el día de hoy el monto de 14,000 soles.</t>
  </si>
  <si>
    <t>cancelara el dia sabado total 900s</t>
  </si>
  <si>
    <t>Cancelará el monto de 1,000 soles por app BCP.</t>
  </si>
  <si>
    <t xml:space="preserve">Cancelará el monto de 12,500 soles. </t>
  </si>
  <si>
    <t xml:space="preserve">CANCELARA EL MONTO DE 250 ECEPCION APROBADO POR MARIANGELA </t>
  </si>
  <si>
    <t xml:space="preserve">CANCELARA EL MONTO DE 286 EL DIA DE MAÑANA </t>
  </si>
  <si>
    <t xml:space="preserve">Cancelará el monto de S/32,000 soles </t>
  </si>
  <si>
    <t>CANCELARA EL PADRE DE TT YA QUE PARA EL FUE EL DINERO CANCELARA EL MONTO DE 1000 SOLES</t>
  </si>
  <si>
    <t>CANCELARA EL TOTAL DE LA DEUDA POR CAMAPAÑA DE DESCUENTO</t>
  </si>
  <si>
    <t xml:space="preserve">CANCELARA EN BASE A LA CAMPAÑA DE SETIEMBRE </t>
  </si>
  <si>
    <t xml:space="preserve">CANCELARA HIJO DE TT EN DOS PARTES 1250 AFIN DE MES Y EN OCTUBRE </t>
  </si>
  <si>
    <t xml:space="preserve">CANCELARÁ HOY </t>
  </si>
  <si>
    <t xml:space="preserve">Cancelará hoy con el importe de 9,000 soles. </t>
  </si>
  <si>
    <t xml:space="preserve">Cancelará hoy. </t>
  </si>
  <si>
    <t xml:space="preserve">CANCELARA LA DEUDA EL MES PASADO NO CANCELO POR QUE INDICO QUE SE ENCIONTRABA EN OTRO PUEBLO </t>
  </si>
  <si>
    <t xml:space="preserve">Cancelará mañana. </t>
  </si>
  <si>
    <t>Cancelará monto de 8000 soles</t>
  </si>
  <si>
    <t>cancelaria el  onto de 800 en 2 cuotas de 400 este fin de mes y lo restante antes de quincena aprobado por mariangela</t>
  </si>
  <si>
    <t xml:space="preserve">cancion total por la campaña </t>
  </si>
  <si>
    <t xml:space="preserve">CARLOS ALBERTO PADRE DE TT CANCELARA LA DEUDA PREVIO ADELANTO DE 200 LO DEMAS CANCELA A FIN DE MES </t>
  </si>
  <si>
    <t xml:space="preserve">cayo llamada de discador //tiene famiiares delicados de salud ancianos, ella sume la responsabilidad menciona que su sueldo es de 2600 - planilla seguro -400 -interbanck 900 el importe de 4000 mil soles es otro monto de hace años por el puesto sub gerente //actualmente no esta en ese puesto </t>
  </si>
  <si>
    <t>dt:2600</t>
  </si>
  <si>
    <t>campaña: 1500</t>
  </si>
  <si>
    <t xml:space="preserve">EDAD: 56 </t>
  </si>
  <si>
    <t>excepcion : 1000</t>
  </si>
  <si>
    <t xml:space="preserve">desea cancelar el 20 marzo </t>
  </si>
  <si>
    <t>deudas : interbank</t>
  </si>
  <si>
    <t>EL DIA DE MAÑANA ADELANTA 100 SOLES COMO ACTIVACION DE CAMPAÑA</t>
  </si>
  <si>
    <t>Cel blanco , se informa  deuda total 1,150 soles  , se solicita excepcion por 600 soles al 30/10 , tt no cuenta con posibilidades para cancelar , vive de cachuelos y del campo  .</t>
  </si>
  <si>
    <t xml:space="preserve">Cel negro , tt desea  informacion se genera PPC  x 371 al 26/08 conforme , se enviara carta de no adeudo al whatsapp </t>
  </si>
  <si>
    <t xml:space="preserve">cl  trabaja lejos  , y viaja por temporadas y cuando mandaa una persona a realizar los pagos le dicen que nos lo puede efectuar le dicen que pague la totalidad ,dt 3000 canc 1100 , sustentaria el pago de sus ganancias , tiene deuda con dos entidades mas </t>
  </si>
  <si>
    <t xml:space="preserve">cl cancelara la deuda con 800 excepcion aprobada por Mayra Llimpe y Julio Higa </t>
  </si>
  <si>
    <t xml:space="preserve">cl indca que no trabaja en la ciudad sino en sitio rural y no tiene facilidades para poder efectuar el pago por eso no lo pudo abonar , cl saldra recien el 28/12 para la ciudad para efectuar el pago  DT 600 , CANC 250  solicita se comuniquen con el para recordatorio a partir de las 7 pm porque no entra la señal </t>
  </si>
  <si>
    <t xml:space="preserve">cl indica que cancelara el importe de la diferencia de 330 para la cancelacion de la deuda , ya que le dia de hoy realizo primer abono de 50 soles OP167868  BCP </t>
  </si>
  <si>
    <t xml:space="preserve">cl indica que no pudo efectuar el abono el dia 31 tampoco ya que le depositaron tarde el sueldo de su trabajo pero que ya cuenta con el dinero yque e dia de hoy estaria realizando la cancelacion , se le indica que de no generar ya el pago el disa de hoy se le impondria una penalidad por incumplimiento de pago , DK 2618 </t>
  </si>
  <si>
    <t>cl indica que tuvo problemas de salud   y que se olvido de pagar la cuenta DT 200 CANC 80</t>
  </si>
  <si>
    <t xml:space="preserve">cl indico que si en financiera oh le confirman que somos los encargados de su deuda realizaria el pago a primera hora porque ya quiere salir de la deuda </t>
  </si>
  <si>
    <t xml:space="preserve">cl realizara cancelacion con 550 soles el dia de hoy , se le envia medio de pago via whatssapp </t>
  </si>
  <si>
    <t xml:space="preserve">clienta cancela </t>
  </si>
  <si>
    <t xml:space="preserve">Dt: 2200 </t>
  </si>
  <si>
    <t>campaña: 730</t>
  </si>
  <si>
    <t xml:space="preserve">excepcion :650 </t>
  </si>
  <si>
    <t xml:space="preserve">search: </t>
  </si>
  <si>
    <t>labora :</t>
  </si>
  <si>
    <t xml:space="preserve">en entel // menciona solicita acuerdo de pago </t>
  </si>
  <si>
    <t>CLIENTA CANCELARA EL TOTAL DE LA DEUDA QUE SE LE OFRECIO POR CAMPAÑA</t>
  </si>
  <si>
    <t>clienta cayo por discador a sandy, TT se compromete a cancelar el dia jueves [se acercará a oficina de expertis para cancelar].</t>
  </si>
  <si>
    <t>CLIENTA MENCIONA CANCELAR A FIN DE MES COMO CANCELACION POR ACUERDO DE PAGO</t>
  </si>
  <si>
    <t>sustento :su esposo TRABAJA EN EMPRESA MINERA LE DARN LIBRE   DT:4432  PPM:236 *3 MESES / ULTIMA CUOTA</t>
  </si>
  <si>
    <t xml:space="preserve">search </t>
  </si>
  <si>
    <t>edad: 34</t>
  </si>
  <si>
    <t xml:space="preserve">4 hermanos </t>
  </si>
  <si>
    <t>CLIENTA PAGARA EL DIA DE MAÑANA14/12 - 500 SOLES, ADEMAS SOLICITA QUE LA CARTA DE NO ADEUDO SE ENVIE A DOMICILIO (PAGARA 45 SOLES) - (EL DINERO LO TIENE A LA MANO) EXCEPCIÓN APROBADO POR JULIO HIGA</t>
  </si>
  <si>
    <t>CLIENTA SE COMUNICA Y VA A PAGAR EL IMPORTE EN ACUERDO DE 700</t>
  </si>
  <si>
    <t>Cliente , cancela con piedad</t>
  </si>
  <si>
    <t>cliente , pago el dia 11/11 su adelanto  , paga el dia 29/11 lo restante</t>
  </si>
  <si>
    <t>cliente a pagar deuda el dia 29/11 //  se gestiona por discador</t>
  </si>
  <si>
    <t xml:space="preserve">CLIENTE ABONARA EL IMPORTE YA RESTANTE DE LA FECHA DE SU PAGO . </t>
  </si>
  <si>
    <t>Cliente abonará hoy</t>
  </si>
  <si>
    <t xml:space="preserve">Cliente abonó - NO / Confirmación de pago - NO / Reprogramación de pago - NO / CANAL ENVIO - LLAMADA / NOTA: </t>
  </si>
  <si>
    <t xml:space="preserve">Cliente abonó - NO / Confirmación de pago - SI / CANAL ENVIO - LLAMADA / ADICIONAL - tt hara el pago de la cancelacion  el dia 13/02 ya que su esposo llegara ese dia 10:00 am </t>
  </si>
  <si>
    <t>Cliente abonó - SI / Confirmación de pago - NO / Reprogramación de pago - SI / CANAL ENVIO - LLAMADA / NOTA: tt, abono 70 s./ / NOTA: tt, abono 70 s./</t>
  </si>
  <si>
    <t xml:space="preserve">cliente abono 100 soles lo restante lo realizara el dia lunes 20 con importe de 60 se le esta cobrando interes moratorio // </t>
  </si>
  <si>
    <t xml:space="preserve">CLIENTE ABONO S/200.00 YA QUE TUVO QUE GASTAR EN LOS UTILES ESCOLARES  , A MAS TARDAR EL PAGO LO REALIZA EL DIA 25/02 EN TODO CASO SE ANULA DEUDA </t>
  </si>
  <si>
    <t>cliente accede a cancelar con el importe 1892 , el dia de hoy  , se envia carta de cancelacion</t>
  </si>
  <si>
    <t>cliente accede a cancelar con el importe de s/130.00</t>
  </si>
  <si>
    <t>cliente accede a cancelar con el importe de s/150.00 , da 50 el dia lunes y el saldo restante l dia 31/10 /  se gestiona por discador</t>
  </si>
  <si>
    <t>CLIENTE ACCEDE A CANCELAR CON EL IMPORTE DE S/255.00 EL DIA 30/9</t>
  </si>
  <si>
    <t>cliente accede a cancelar con el importe de s/272.00 adelanta s/50.00 y el saldo restante el dia 31/10</t>
  </si>
  <si>
    <t>CLIENTE ACCEDE A CANCELAR CON EL IMPORTE DE S/400.00 LA DEUDA TOTAL  , DANDO ADELANTO DE S/100.00 A MAS TARDAR EL DIA 09/09 Y EL SALDO RESTANTE A FIN DE MES /  SE GESTIONO POR DISCADOR</t>
  </si>
  <si>
    <t>cliente accede a cancelar con el importe de s/600.00 la totalidad  , se llamo por discador.</t>
  </si>
  <si>
    <t>cliente accede a cancelar con s/950.00 cancela dd /  inbound mariangela , nataly</t>
  </si>
  <si>
    <t>CLIENTE ACCEDE A CANCELAR DD CON EL IMPORTE DE S/500.00 EL DIA 0/09 ADELANTANDO S/200.00 EL DIA 09/09 /  SE GESTIONO POR DISCADOR , SE ENVIA FORMA DE PAGO</t>
  </si>
  <si>
    <t xml:space="preserve">cliente accede a cancelar deuda con el importe de s/120 .00 </t>
  </si>
  <si>
    <t>CLIENTE ACCEDE A CANCELAR DEUDA CON EL IMPORTE DE S/598.00 EL DIA LUNES 09/12 Y SALDO RESTANTE EL DIA 20/12 , EL DINERO LO ACA DE TRABAJO INDEPENDIENTE</t>
  </si>
  <si>
    <t>cliente accede a cancelar deuda s/150.00 el dia 30/10</t>
  </si>
  <si>
    <t>CLIENTE ACCEDE A CANCELAR EL  IMPORTE DE S/415.00 LA DEUDA EL DIA 30/11</t>
  </si>
  <si>
    <t>cliente accede a cancelar el importe de s/3550.00 el dia 29/08</t>
  </si>
  <si>
    <t>cliente accede a cancelar el importe s/190.00 para el dia 15/10. se gestiono por discador</t>
  </si>
  <si>
    <t>cliente accede a cancelar la deuda con eli mporte de s/185.00., se gestiono.</t>
  </si>
  <si>
    <t>cliente accede a cancelar s/2500.00</t>
  </si>
  <si>
    <t>CLIENTE ACCEDE A PAGAR CON EL MONTO DE S/1100.00  EL DIA 26/11 SE APROBO MONTO , SE GESTIONA POR DISCADR</t>
  </si>
  <si>
    <t>cliente accede a pagar el importe de s/1535.00 , se elevo exepcion</t>
  </si>
  <si>
    <t xml:space="preserve">CLIENTE ACEPTO EXCEPCION POR 1500 SOLES HASTA EL 31 DE MARZO EN PROEMPRESA </t>
  </si>
  <si>
    <t>SE ENVIA SMS DESDE EL COORPORATIVO 20.</t>
  </si>
  <si>
    <t>PLANTILLA  TAT , 10-03-2020</t>
  </si>
  <si>
    <t>CIERRE DESDE EL COORPORATIVO 20, NEGOCIACION DISCADOR</t>
  </si>
  <si>
    <t>Cliente aignado por INBOUND, DT 1600, campaña 900, antiguedad 3 años, tt indica que no pago porque se molesto ya que le llamaron 2 asesoras y le brindaron informacion diferente, trabaja en UNIDAD DE GESTION EDUCATIVA LOCAL 03, 44 años, entidades reportadas BANCO INTERNACIONAL DEL PERÚ y BANCO DE LA NACION con normalidad, la unica con retraso FINANCIERA UNO S A.</t>
  </si>
  <si>
    <t>CLIENTE AL CEL NRO 8 ,  POR SMS DE CAMPAÑA , MAÑANA REALIZA CANCELACION DE S/863.00 , SE ENVIA FORMA DE PAGO POR WSSP</t>
  </si>
  <si>
    <t>Cliente asignado por INBOUND, gestionado por Maribel, cancelacion de la deuda con 400 soles, 59 años, no figura hijos en el search, entidades reportadas solo OH</t>
  </si>
  <si>
    <t xml:space="preserve">CLIENTE ASIGNADO POR MAYRA </t>
  </si>
  <si>
    <t>PPC 1213</t>
  </si>
  <si>
    <t xml:space="preserve">CLIENTE ENVIA  LA CAPTURA DE PANTALLA CON MONTO DE DESCUENTO EL CUAL SE VALIDA COMO EL MINIMO DE CANCELACION </t>
  </si>
  <si>
    <t>cliente asignado por mayra // se conversa canelara con importe de campaña de enero 853 soles cancela el dia 20 pero el dia de mañana da un adelanto de 100 soles para activacion de campaña</t>
  </si>
  <si>
    <t>Dt:17100</t>
  </si>
  <si>
    <t>campaña:853</t>
  </si>
  <si>
    <t>search :</t>
  </si>
  <si>
    <t>labora :OPTICA ITALIANA E.I.R.L.</t>
  </si>
  <si>
    <t>sueldo: 2500</t>
  </si>
  <si>
    <t>cliente ayer nos indica q por motivo de familair no pudo hacer el pago pero que hoy lo realizara , el importe den acuerdo de 240</t>
  </si>
  <si>
    <t>cliente ayer se comunico por que trabaja en mina y no llego a realizar el pago , se programa el pago , se pide autorizacion</t>
  </si>
  <si>
    <t>CLIENTE CANCELA CON  S/. 1130 EXCEPCION APROBADA POR MARIANGELA</t>
  </si>
  <si>
    <t>CLIENTE CANCELA CON 6300</t>
  </si>
  <si>
    <t xml:space="preserve">cliente cancela con importe de 300 soles por agente bcp // campaña 300 </t>
  </si>
  <si>
    <t xml:space="preserve">dt:1600 </t>
  </si>
  <si>
    <t xml:space="preserve">CLIENTE CANCELA CON IMPORTE DE CAMPAÑA DE 200 SOLES </t>
  </si>
  <si>
    <t xml:space="preserve">cliente cancela con piedad. </t>
  </si>
  <si>
    <t>cliente cancela dd con el saldo restante de s/450.00 , se levanta de caidos se gestiona por discador</t>
  </si>
  <si>
    <t>cliente cancela deuda con el importe de s/200.00 , se envia forma de pago</t>
  </si>
  <si>
    <t>cliente cancela deuda con el importe de s/50.00 , se gestiono por discador</t>
  </si>
  <si>
    <t>CLIENTE CANCELA DEUDA DEL IMPORTE DE S/100.00 EL DIA MIERCOLES 11 /  SE GESTIONA POR DISCADOR</t>
  </si>
  <si>
    <t xml:space="preserve">CLIENTE CANCELA DEUDA TOTAL CON 200 30/09 LLAMADA CAIDA INBOUD LLAMO AL FIJO </t>
  </si>
  <si>
    <t xml:space="preserve">CLIENTE CANCELA DEUDA TOTAL CON 312 20/09 </t>
  </si>
  <si>
    <t>CLIENTE CANCELA DEUDA TOTAL CON EL IMPORTE DE 500 EL 15/10 EXCEPCION APROBADA POR MAYRA INBOUD GRISS</t>
  </si>
  <si>
    <t>CLIENTE CANCELA DEUDA TOTAL DE 450 HACIENDO UN PRIMER ABONO DE 100 EL DIA 23/08 Y 350 EL 31/08 INBOUD NEGRO</t>
  </si>
  <si>
    <t>CLIENTE CANCELA DEUDA TOTAL DE 920 31/08</t>
  </si>
  <si>
    <t xml:space="preserve">cliente cancela deuda total de s/200.00 el dia 27/09 , se gestiono por discador </t>
  </si>
  <si>
    <t xml:space="preserve">CLIENTE CANCELA DEUDA TOTAL EL DIA 23/08 INBOUD AMARILLO </t>
  </si>
  <si>
    <t xml:space="preserve">Cliente cancela el 24/08 S/355.00 soles. </t>
  </si>
  <si>
    <t xml:space="preserve">Se cancela deuda y se envia CDNA. </t>
  </si>
  <si>
    <t>Naty</t>
  </si>
  <si>
    <t>CLIENTE CANCELA EL DIA DE HOY CON EL MONTO DE 950 SOLES YA A LA CANCELACION DE LA CUANTA YA QUE NO PAGARA EN CUOTAS / PPC</t>
  </si>
  <si>
    <t>CLIENTE CANCELA S/1100 CON EXCEPCION DE ANGEL</t>
  </si>
  <si>
    <t>CLIENTE CANCELA TODA LA DEUDA CON 2500// EXCEPSION APROBADA POR NATALI</t>
  </si>
  <si>
    <t>cliente cancela totalidad de su deuda con el importe de s/207.00 cancela dd / se gestiono por discador</t>
  </si>
  <si>
    <t xml:space="preserve">Cliente cancelará </t>
  </si>
  <si>
    <t>Cliente cancelara 1400.00 solicita CDNA</t>
  </si>
  <si>
    <t xml:space="preserve">CLIENTE CANCELARA CON 150 </t>
  </si>
  <si>
    <t>Cliente cancelara con campaña S/2mil realizando un abono de 500 el jueves 16/04 y restante para fin de mes ya se le envio Carta de cesion y Compromiso de pago via whatsaap.Se prestara de un  familiar para cancelar los 500soles y el restante sera de su sueldo en conjunto con el apoyo de su esposo.TT quiere regularizar su sistema financiero</t>
  </si>
  <si>
    <t xml:space="preserve">CLIENTE CANCELARA CON SU ABONO DE PENCIONISTA </t>
  </si>
  <si>
    <t xml:space="preserve">cliente cancelara deuda con el importe de 500 soles / ppc </t>
  </si>
  <si>
    <t xml:space="preserve">cliente cancelara el dia jueves paraq ue se lke enviue su carta de noa deudo </t>
  </si>
  <si>
    <t xml:space="preserve">Cliente cancelará el monto de 1,000 soles </t>
  </si>
  <si>
    <t xml:space="preserve">Cliente cancelará hoy. </t>
  </si>
  <si>
    <t xml:space="preserve">CLIENTE CANCELARA LA DEUDA CON EL IMPORTE DE 1,500 SOLES BAJO EXCEPCION, CONFIRMA PAGO EN 10 MINUTOS...  SE LE ENVIA CORREO CON ACUERDO DE PAGO. SE LE BRINDA NUMERO DE CUENTA. </t>
  </si>
  <si>
    <t xml:space="preserve">cliente cancelara la deuda hoy </t>
  </si>
  <si>
    <t>CLIENTE CANCELARÀ LA DEUDA TOTAL EL DÌA 25.4.2024.</t>
  </si>
  <si>
    <t>cliente cancelara la totallidad de la deuda con 500 soles, dt 1550 soles -  933613514, se enviara la información por SMS</t>
  </si>
  <si>
    <t>CLIENTE CANCELARÀ SU DEUDA</t>
  </si>
  <si>
    <t xml:space="preserve">cliente cancelaria el importe de la liquidacion de 500 soles para el dia de hoy. </t>
  </si>
  <si>
    <t>CLIENTE CANCELO  DEUDA  PAGO POR BCP</t>
  </si>
  <si>
    <t>CLIENTE CANCELO DEUDA  , S/170.00 , INBOUND</t>
  </si>
  <si>
    <t xml:space="preserve">CLIENTE CANCELO EL MONTO DE 350 SOLES / INBOUD MELINA </t>
  </si>
  <si>
    <t xml:space="preserve">Cliente cancelo. </t>
  </si>
  <si>
    <t>cliente comenta que no podra pagar el dia martes como se acordo pero el dia viernes sin falta estarà efectuando el pago. (excepcion aprobado por mariangela)</t>
  </si>
  <si>
    <t xml:space="preserve">cliente comenta que pagara 1500 soles hoy y la diferencia de 600 soles el 30, no pudo pagar el compromiso de pago anterior ya que los encargados de pagar le demoraron con el dinero, ademas, le dieron incompleto. </t>
  </si>
  <si>
    <t>(se llamo por discador y no se guardo audio, se envia sms con compromiso de pago)</t>
  </si>
  <si>
    <t xml:space="preserve">cliente comenta que va a cancelar con 690 soles monto campaña hoy adelanta los 500 soles </t>
  </si>
  <si>
    <t xml:space="preserve">va realizarlo por transaccion // </t>
  </si>
  <si>
    <t xml:space="preserve">CLIENTE CONFIRMA , EL CONPROMISO , PAGARA EL DIA 27 DE FEBRERO  600 SOLES EN CAJA SULLANA , </t>
  </si>
  <si>
    <t>LLAMADA SALIENTE DEL COOPORATIVO (PERDIDA DEL AUDIO NEG- CIERRE)</t>
  </si>
  <si>
    <t>CONFIRMACION DE SCREEM , VIA WSP</t>
  </si>
  <si>
    <t>CLIENTE CONFIRMA EL PAGO PARA EL DIA DE HOY ALAS 6PM , POR 500 SOLES PARA LOQUIDR SUD EDUA , SERCH DEUDA PERIDA</t>
  </si>
  <si>
    <t>CAJA MUNICIPAL</t>
  </si>
  <si>
    <t>MIBANC</t>
  </si>
  <si>
    <t>FINANCIERA</t>
  </si>
  <si>
    <t xml:space="preserve">cliente confirma pago a la cancelacion de la deuda con el monto de 145 soles a la deuda / ppc </t>
  </si>
  <si>
    <t xml:space="preserve">CLIENTE CONFIRMA PAGO CON EL MONTO DE 325 SOLES YA QUE ES UN CONVENIO QUE TENIA CON LA TARJETA OH / INBOUD </t>
  </si>
  <si>
    <t xml:space="preserve">CLIENTE CONFIRMA PAGO DE LA ULTIMA CUOTA Nª 24 DEL MONTO DE 209 SOLES PARA LA CANCELACION DE LA DEUDA / PPC </t>
  </si>
  <si>
    <t xml:space="preserve">cliente confirma pago del importe de 1500 soles para la cancelacion de su deuda excepcion de mayra, pagara a las 2 o 3:30 pm aprox // ppc </t>
  </si>
  <si>
    <t xml:space="preserve">CLIENTE CONFIRMA PAGO DEL IMPORTE DE 170 SOLES / PPC INBOUD </t>
  </si>
  <si>
    <t xml:space="preserve">CLIENTE CONFIRMA PAGO DEL IMPORTE DE 480 SOLES PARA EL DIA DE HOY YA QUE SU ESPOSO PAGARA EN EL BANCO INTERBANK DE SAN ISIDRO / EXCEPCION DE MARIANGELA </t>
  </si>
  <si>
    <t xml:space="preserve">CLIENTE CONFIRMA PAGO DEL IMPORTE DE 50 SOLES PARA LA CANCELACION A SU DEUDA A LAS 3PM APRX HARA EL PAGO // PPC </t>
  </si>
  <si>
    <t xml:space="preserve">cliente confirma pago del importe de 500 soles para la cancelacion de la deuda excepcion por mariangela / ppc </t>
  </si>
  <si>
    <t xml:space="preserve">CLIENTE CONFIRMA PAGO DEL IMPORTE DE 700 SOLES A LA CANCELACION A SU CUENTA / PPC EXCEPCION DE MARIANGELA </t>
  </si>
  <si>
    <t xml:space="preserve">CLIENTE CONFIRMA PAGO DEL MONTO 850 SOLES / INBOUD </t>
  </si>
  <si>
    <t xml:space="preserve">CLIENTE CONFIRMA PAGO DEL MONTO DE 200 SOLES // PPC </t>
  </si>
  <si>
    <t>cliente confirma pago del saldo restante de los s/550.00 el dia 25/10 , anterior cliente ya abono s/50.00 , se gestiona por discador</t>
  </si>
  <si>
    <t>cliente confirma pago el dia 31/08 se le indica que lo realiza antes ya que los bancos atienden al medio dia</t>
  </si>
  <si>
    <t xml:space="preserve">CLIENTE CONFIRMA PAGO PARA EL DIA 17 YA QUE INDICA QUE RECIEN ESTA TRABAJANDO SE COMPROMETE A BENEFICIO DE CANCELAR CON EL MONTO DE 380 SOLES / PPC </t>
  </si>
  <si>
    <t>CLIENTE CONFIRMA PAGO PARA EL DIA 24/01 POR LA TARDE EL MONTO DE 145 SOLES PARA LA CANCELACION DE LA DEUDA / PPC</t>
  </si>
  <si>
    <t>CLIENTE CONFIRMA PAGO PARA EL DIA 28/12 YA QUE ASEGURA QUE TENDR EL DINERO PARA CANCELAR  , ASIMISMO SE LE INFORMA SOBRE COBRO DE PENALIDAD Y ANULACION DE ACUERDO</t>
  </si>
  <si>
    <t xml:space="preserve">cliente confirma pago para el dia de hoy 209 a la cancelacion de la deuda , ya que no a tenido tiempo porque ahora esta viajando a trujillo , cancelara por transferencia / ppc </t>
  </si>
  <si>
    <t>CLIENTE CONFIRMA PAGO PARA EL DIA DE MAÑANA CON EL MONTO DE 200 SOLES PARA LA CANCELACION DE LA DEUDA // PPC</t>
  </si>
  <si>
    <t>CLIENTE CONFIRMA PAGO PARA EL DIA DE MAÑANA YA QUE SE LE APRUEBA EXCEPCION POR JULI CON EL MONTO DE 300 SOLES PARA LA CANCELACION DE LA DEUDA PAGARA POR LA TARDE YA QUE TIENE SU BEBE Y EN LA MAÑANA NO HAY CON QUIEN DEJARLA / PPC</t>
  </si>
  <si>
    <t>cliente confirma pago para fin de mes de la cual no pago porque no consiguio quien le preste el monto 200 soles / ppc</t>
  </si>
  <si>
    <t xml:space="preserve">cliente confirma pago para la cancelacion de la deuda con el importe de 200 soles a las 3pm // ppc </t>
  </si>
  <si>
    <t>cliente confirma que dentro de una hora cancelara no pago anteriormente por motivos de transporte</t>
  </si>
  <si>
    <t xml:space="preserve">CLIENTE CONFIRMA QUE RELIZRA EL ABONO HOY POR BCP YA QUE SE LE ENVIO EL DOCUMENTO QUE SOLICITO </t>
  </si>
  <si>
    <t>cliente cumplio / cancelara con el saldo restante s/250.00</t>
  </si>
  <si>
    <t xml:space="preserve">CLIENTE CUMPLIO CON CUOTA DE S/200.00 , SE REPROGRAMA EL SALDO RESTANTE A FIN DE MES </t>
  </si>
  <si>
    <t>CLIENTE CUMPLIO CON PAR DE 50  , SE GENERA COMPROMISO POR EL SALDO RESTANTE A CANCELAR</t>
  </si>
  <si>
    <t xml:space="preserve">Cliente de piedad- Correo: </t>
  </si>
  <si>
    <t xml:space="preserve">cliente dice q el lunes estaria haciendo el pago de los 350 soles en el banco bcp a las 10:00 de la mañana . </t>
  </si>
  <si>
    <t xml:space="preserve">cliente dice q en el publo que se encuentra hoy es feriado y el banco no trabaja . </t>
  </si>
  <si>
    <t>cliente dice que despues e fiestas  /  dinero lo saca de trabajo eventual</t>
  </si>
  <si>
    <t xml:space="preserve">cliente dice que pagara el dia 29/11 ya que ha tenido paralisis </t>
  </si>
  <si>
    <t>se prestara de cuñada</t>
  </si>
  <si>
    <t>CLIENTE DK 1591 DT 6993 CAMPAÑA OFRECIDA 1200 BAJO EXCEPCION EL CLIENTE CUENTA CON DINERO EN MANO ESTA PAGANDO EN ESTE MOMENTO INBOUND ASIGNADO.</t>
  </si>
  <si>
    <t>CLIENTE ES EL IMPORTA DE LA CANCELACION</t>
  </si>
  <si>
    <t>cliente esta en el banco para pagar, inboung asignado por mariangela - sin audio</t>
  </si>
  <si>
    <t xml:space="preserve">cliente este mes va a liquidar con ese importe de los 2000 ya que seria su ultima cuota . </t>
  </si>
  <si>
    <t>cliente genera la cancelacion de la deuda el dia 05/10 , confirma a traves de sms</t>
  </si>
  <si>
    <t>CLIENTE GENERA PAGO DEL ADELANTO DE S/50.00 EN BCP CON NRO OOP: 139842 , SE GENERA COMROMISO DEL SALDO RESTANTE</t>
  </si>
  <si>
    <t>CLIENTE HACE CANCELACION DE DEUDA TOTAL CON EL IMPORTE DE 337 30/09 YA HIZO UN ABONO DE 100 INBOUD AZUL NO SE GRABO LLAMADA SE ADJUNTA PANTALLASO DE LLAMADA EN CARPETA DE AUDIOS</t>
  </si>
  <si>
    <t xml:space="preserve">CLIENTE INDICA QUE CANCELARA </t>
  </si>
  <si>
    <t xml:space="preserve">cliente indica que el 20 de noviembre cancelara la deuda con el importe de 2000 soles </t>
  </si>
  <si>
    <t xml:space="preserve">CLIENTE INDICA QUE EL DIA DE AYER NO PAGO Y AHORA PAGARA EL DIA 24/01 DEL MONTO DE 276 SOLES A LA CANCELACION DE SU DEUDA YA QUE SU ESPOSO ES MILITAR Y LE HAN CAMBIADO SU CRONOGRAMA POR ESO ES EL MONTO DE INCUMPLIMIENTO AHORA PAGARA ANTES DEL MEDIO DIA / PPC </t>
  </si>
  <si>
    <t>CLIENTE INDICA QUE LA PERSONA QUIEN LE FACILITARA EL DINERO PAGARA EL DIA 22 DE ENERO PERO CAPAZ LE ENTREGA ANTES PAGARA ANTES CON EL MONTO DE 2500 SOLES PARA LA CANCELACION DE LA DEUDA EXCEPCION APROBADA , HARA EL PAGO POR LA TARDE / PPC</t>
  </si>
  <si>
    <t xml:space="preserve">cliente indica que no pudo hacer el pago por un tema de tiempo indica que el dia jueves pagara el monto de 469 soles por la tarde en el banco de la nacion / ppc </t>
  </si>
  <si>
    <t xml:space="preserve">cliente indica que pagara hoy ya que esta en camino se le da nuevamente la excepcion por julio // ppc </t>
  </si>
  <si>
    <t>CLIENTE INDICA QUE PAGARA POR QUE SU AMIGO</t>
  </si>
  <si>
    <t xml:space="preserve">FACILITARA EL DINERO CON EL MONTO DE 8500 </t>
  </si>
  <si>
    <t xml:space="preserve">SOLES A LA CANCELACION DE LA DEUDA </t>
  </si>
  <si>
    <t>EN EL TRANSCURSO DEL DIA</t>
  </si>
  <si>
    <t xml:space="preserve">PARA LA CANCELACION </t>
  </si>
  <si>
    <t xml:space="preserve">AMIGO: AGUSTO MICHIU CAMPOS </t>
  </si>
  <si>
    <t>MONTO DE CANCELACION 8500 SOLES / PPC</t>
  </si>
  <si>
    <t xml:space="preserve">cliente indica que realiozara la cancelacion de la deuda en el transcurso de la tarde </t>
  </si>
  <si>
    <t>CLIENTE INDICA QUE REALIZARA ABONO DE 60 SOLES PARA EL DIA 27 -712</t>
  </si>
  <si>
    <t>CLIENTE INDICA QUE RECIÉN LE HAN PAGADO EL DIA DE AYER Y PAGARA EL DIA 4/10 A LA 1PM CANCELARA DE LA DEUDA CON EL IMPORTE DE 130 SOLES // RPP</t>
  </si>
  <si>
    <t>CLIENTE INDICA QUE SE ACOGERA AL IMPORTE DE LA EXCEPCION DE LOS 6300</t>
  </si>
  <si>
    <t xml:space="preserve">CLIENTE INDICA QUE SI CANCELARA CON IMPORTE DE CAMPAÑA NAVIDEÑA CON CACHUELITO QUE LE SALIO </t>
  </si>
  <si>
    <t>CLIENTE INDICA QUE TUVO INCONVENIENTE CON SU PAGO POR EL CANCELARA LA DIFERENCIA DE LOS 500 SOLES A LA CANCELACION DE LA DEUDA / PPC</t>
  </si>
  <si>
    <t>CLIENTE INDICA QUE TUVO PERCANSE QUE HARIA PPC CON 250 EL 330/09</t>
  </si>
  <si>
    <t>CLIENTE INDICO QUE SE LE REPROGRAME EL PAGO PARA EL 24/02, INDICA QUE RECIEN COBRARA PARA EL SABADO Y PODRA PAGAR ESA FECHA</t>
  </si>
  <si>
    <t>Cliente interara cancelar antes del sábado</t>
  </si>
  <si>
    <t>cliente interesado en cancelar la deuda, se enviara toda la información por whatsapp - 950565029</t>
  </si>
  <si>
    <t xml:space="preserve">CLIENTE LLAMO ORIGINALMENTE POR MSJ DE TEXTO QUE LE LLEGO CONFIRMA PAGO HASTA EL 30/09 SI PUEDE ANTES , NECESITA  UN PRESTAMO POR ESO VA A PAGAR EN LA FECHA QUE SE LE PIDE PARA OBTENER SU CARTA DE NO ADEUDO </t>
  </si>
  <si>
    <t xml:space="preserve">cliente mencion aes su tercera cuota </t>
  </si>
  <si>
    <t>dt:450</t>
  </si>
  <si>
    <t>3ra cuota: 220</t>
  </si>
  <si>
    <t>search:</t>
  </si>
  <si>
    <t>edad: 24 años</t>
  </si>
  <si>
    <t xml:space="preserve">6 hermanos </t>
  </si>
  <si>
    <t>no tiene deudas</t>
  </si>
  <si>
    <t xml:space="preserve">no brin da informacion laboral </t>
  </si>
  <si>
    <t xml:space="preserve">CLIENTE MENCIONA ABONAR EL DIA 07N LE CAYO POR DISCADOR A JENNIFER AUDIO EDITADO POR ELLA </t>
  </si>
  <si>
    <t>DT/889.09 MIN2/617 TT</t>
  </si>
  <si>
    <t xml:space="preserve"> TIENE CONVENIO DE C3 DE 316 SOLES QUE ESTARIA ABONANDO EN LA FECHA INDICADA 7/03/20 POR TRANSFERENCIA BCP ESTA SERIA SU ULTIMA CUOTA </t>
  </si>
  <si>
    <t xml:space="preserve">cliente menciona cancelar con importe que se le ofrecio </t>
  </si>
  <si>
    <t>DT:1800</t>
  </si>
  <si>
    <t>DK:800</t>
  </si>
  <si>
    <t>CAMPAÑA:400</t>
  </si>
  <si>
    <t xml:space="preserve">MENCIONA QUE A EL LE PAGAN A FIN DE MES </t>
  </si>
  <si>
    <t>SUSTENTO:</t>
  </si>
  <si>
    <t>EDITORIAL E IMPRENTA ENOTRIA S.A. - ENOTRIA S.A.</t>
  </si>
  <si>
    <t>SUELDO : 1600</t>
  </si>
  <si>
    <t>CLIENTE MENCIONA no pudo abonar a la fecha òr problemas personales pero el dia 17 sin falta lo realiza</t>
  </si>
  <si>
    <t xml:space="preserve"> TIENE CONVENIO DE C3 DE 316 SOLES QUE ESTARIA ABONANDO EN LA FECHA INDICADA 17/03/20 POR TRANSFERENCIA BCP ESTA SERIA SU ULTIMA CUOTA </t>
  </si>
  <si>
    <t xml:space="preserve">cliente menciona que dejo de cancelar por problemas economicos se le menciona </t>
  </si>
  <si>
    <t>DT:2800</t>
  </si>
  <si>
    <t>campaña: 500</t>
  </si>
  <si>
    <t>edad 56 años</t>
  </si>
  <si>
    <t xml:space="preserve">cliente menciona que le llego un sms con importe de 364 al celular numero 14  se le ofrecio  </t>
  </si>
  <si>
    <t>DT:1300</t>
  </si>
  <si>
    <t xml:space="preserve">campaña:500 </t>
  </si>
  <si>
    <t xml:space="preserve">sustento trabajo llena documentos </t>
  </si>
  <si>
    <t xml:space="preserve">edad 27 años </t>
  </si>
  <si>
    <t xml:space="preserve">hijos no se verifica </t>
  </si>
  <si>
    <t xml:space="preserve">cliente menciona que no pudo cancelar en la fecha por que no le cancelaron menciona que en esta semana le daran el dinero y quiere cancelar con mismo importe del mes pasado </t>
  </si>
  <si>
    <t>dt:2800</t>
  </si>
  <si>
    <t>campaña:450</t>
  </si>
  <si>
    <t>dk:500</t>
  </si>
  <si>
    <t xml:space="preserve">motivo: la demora de pago </t>
  </si>
  <si>
    <t xml:space="preserve">aprobacion de excepcion con 250 soles  </t>
  </si>
  <si>
    <t xml:space="preserve">cliente menciona que no realizo el pago por que plaza vea le indico que la deuda esta con otra empresa // se le envia sms </t>
  </si>
  <si>
    <t>dt:2900</t>
  </si>
  <si>
    <t xml:space="preserve">sustento: prestamo  </t>
  </si>
  <si>
    <t>search</t>
  </si>
  <si>
    <t>edad: 54</t>
  </si>
  <si>
    <t>hermanos : 6</t>
  </si>
  <si>
    <t>deudas:</t>
  </si>
  <si>
    <t xml:space="preserve">BBVA </t>
  </si>
  <si>
    <t xml:space="preserve">Cliente menciona que por tema de la pandemia no pudo cancelar, que no estaba laborando pero ya retomo su trabajao </t>
  </si>
  <si>
    <t>dt:1500</t>
  </si>
  <si>
    <t xml:space="preserve">campaña: 150 soles </t>
  </si>
  <si>
    <t xml:space="preserve">sustento trabajo actualmente </t>
  </si>
  <si>
    <t xml:space="preserve">cliente menciona que solo cuenta con 300 soles y hoy cancelaria el total  </t>
  </si>
  <si>
    <t>DT:1350</t>
  </si>
  <si>
    <t>campaña de 386.80</t>
  </si>
  <si>
    <t xml:space="preserve">excepcion :300 </t>
  </si>
  <si>
    <t xml:space="preserve">search : </t>
  </si>
  <si>
    <t>CANCELA HOY 300 SOLES</t>
  </si>
  <si>
    <t>CLIENTE MENCIONA QUE SOLO QUIERE PAGAR 300 SOLES PERO SE LE MENCIONA QUE MINIMO SERIA 340 SOLES / PAGANDO 40 SOLES VIERNES 21/02 Y EL VIERNES 28/02 300 SOLES // LA GESTION COMPLETA ESTA ABAJO/ SE LLAMO DEL DISKADOR</t>
  </si>
  <si>
    <t xml:space="preserve">CLIENTE MENCIONA QUE YA REGULARIZ CON LA SUNAT Y QUE SI HARA EL PAGO PARAEL DIA LUNES 21/10 / CONFIRMO SU PAGO / </t>
  </si>
  <si>
    <t xml:space="preserve">CLIENTE MENCIONA QUE YA TIENE COMPROMISO CONFIRMA ABONO EL DIA 28 DE MARZO COMO CANCELACION </t>
  </si>
  <si>
    <t>DT:13600</t>
  </si>
  <si>
    <t xml:space="preserve">CAMPAÑA:2750 </t>
  </si>
  <si>
    <t xml:space="preserve">SUSTENTO: CANTANTE LIQUIDAION DE TRABAJO </t>
  </si>
  <si>
    <t>EDAD: 32 AÑOS</t>
  </si>
  <si>
    <t>HERMANO : 1</t>
  </si>
  <si>
    <t>CLIENTE NO GENERO PAGO , YA QUE SE FUE A PAGAR A PLAZA VEA  EN VEZ DE PAGAR EN EL MISMO INTERBANK , VENCIO EL PLAZO SE VUELVE A GENERAR COMPROMISO</t>
  </si>
  <si>
    <t xml:space="preserve">cliente no ha podido genera el pago del importe de s/500.00 ya que el agente no la ha querido </t>
  </si>
  <si>
    <t xml:space="preserve">dt : 1200.00 </t>
  </si>
  <si>
    <t>dk: 1100.0</t>
  </si>
  <si>
    <t>sustento : ganancias de confeccion  /  independiente</t>
  </si>
  <si>
    <t>genera adelanto el dia de hoy  y el saldo restante el dia lunes , persona de45 años  con un hijo y hermanos</t>
  </si>
  <si>
    <t>cliente no pudo realizar el apgo anterior , por que no le aprobaron el credito asu hija por falta de papeleo , cliente se comuncia al cooporativo 20 para confiormar el pago hoy en credink antes de las 6 pm.</t>
  </si>
  <si>
    <t>pagara 1680 soles en credinka</t>
  </si>
  <si>
    <t>cliente nos dice q hoy ya realizo el pago .</t>
  </si>
  <si>
    <t>cliente nos dice q va a asercarse a las oficinas de epime alternativa. con 335</t>
  </si>
  <si>
    <t>cliente paga el 50% 28/10 y restante 31/10/19</t>
  </si>
  <si>
    <t>CLIENTE PAGARA 12 MIL DE LA SIGUIENTE MANERA:</t>
  </si>
  <si>
    <t>01 CUOTA: 10MIL 27/05 (YA CANCELO)</t>
  </si>
  <si>
    <t>02 CUOTA: 2MIL 16/06</t>
  </si>
  <si>
    <t xml:space="preserve">cliente pagara 1500 soles el dia de hoy inboud </t>
  </si>
  <si>
    <t>CLIENTE PAGARA 30MIL DE LA SIGUIENTE MANERA:</t>
  </si>
  <si>
    <t>01 CUOTA: 10MIL 27/05 (ya lo cancelo)</t>
  </si>
  <si>
    <t>02 CUOTA: 20MIL 30/06</t>
  </si>
  <si>
    <t>CLIENTE PAGARA A LAS 4:00 PP IMPORTE DE 1800 SOLES  EL DIA DE HOY JUEVES 28/11 CLIENTE ASIGNADO POR MARIANGELA</t>
  </si>
  <si>
    <t>CLIENTE PAGARÁ EL 16-12 CON UN IMPORTE DE 500 SOLES, DT 1200, COMENTA QUE EN LA QUINCENA RECIEN LE PAGARAN Y PAGARA POR MUY TARDAR EL LUNES - 952968771</t>
  </si>
  <si>
    <t xml:space="preserve">CLIENTE PAGARA EL DIA 28/08 CON EL IMPORTE EN ACUERDO CAMBIA LA FECHA DEL PAGO PORQ TODAVIA NO LE DESEMBOLSA LA FINANCIERA , PERO ESTA SEMANA LE DARAN EL DESEMBOLSO . </t>
  </si>
  <si>
    <t>CLIENTE PAGARA EL DIA SABADO 167 SOLES, DT 400 SOLES, NO QUISO BRINDAR DETALLES DE DONDE SACARA EL I¿DNERO</t>
  </si>
  <si>
    <t>cliente pagara el día sabado 30, enviar la información de numero de cuenta  por whatsapp (excepción aprobado por mariangela)</t>
  </si>
  <si>
    <t>CLIENTE PAGARA HOY PERO DESEA QUE LE ENVIEN UN ACUERDO DE CANCELACION CON EL MONTO DE 270 SOLES / INBOUD FIJO CORREO ES: marquez_cox@hotmail.com / ppc</t>
  </si>
  <si>
    <t xml:space="preserve">CLIENTE PAGO HASTA EL MOMENTO S/350.00 CANCELARA FIN DE MES </t>
  </si>
  <si>
    <t xml:space="preserve">CLIENTE PAGO SOLO 5 MIL SOLES ... INDICANDO QUE QUERIA CANCELAR SOLO CON ESO// SE LE NEGO PROPUESTA// INDICA QUE LOS 1000 RESTANTES LO PAGARA EL DIA VIERNES 27/09 ULTIMO PLAZO. </t>
  </si>
  <si>
    <t xml:space="preserve">Cliente PPC S/1,017 se acoje a campaña se le envia compromiso de pago al whatssap y su carta de no adeudo la solicita al sigueinte correo una vez condone: lito_rojas@hotmail.com </t>
  </si>
  <si>
    <t>CLIENTE QUIERE CANCELAR LA DEUDA</t>
  </si>
  <si>
    <t>CLIENTE QUIERE PAGARA UN IMPORTE DE 800 SOLES PARA EL VIERNES 27, NO PUDO EFECTUAR EL PAGO DE HOY 13-12 POR MOTIVO QUE LA EMPRESA DONDE TRABAJA NO LE PAGA.</t>
  </si>
  <si>
    <t>CLIENTE REALIZA EL PAGO DE LA CAMPAÑA DE CANCELACION CON EL IMPORTE EN ACUERDO DE 1550 Y CANCELA TODA LA DEUDA . FUE POR SISTEMA .</t>
  </si>
  <si>
    <t xml:space="preserve">CLIENTE REALIZARA 2 CUOTAS DE EL PAGO ESTE MES EN 2 CUOTAS EL 9/09 500 Y EL 27/08 1000 . </t>
  </si>
  <si>
    <t xml:space="preserve">cliente realizara el abono de 300 y con ese importe cancelara . </t>
  </si>
  <si>
    <t xml:space="preserve">CLIENTE REALIZARA EL PAGO CON EL IMPORTE DE 300 SOLES PARA EL DIA DE MAÑANA ANTES DE LA TARDE . </t>
  </si>
  <si>
    <t xml:space="preserve">cliente realizara el pago con el importe de la 150 para a mas tardar el dia 29 porq no se encuentra en la cuidad y a mas tardar va a cumplir con el acuerd, </t>
  </si>
  <si>
    <t xml:space="preserve">CLIENTE REALIZARA LA CANCELACION DE 200 SOLES CON EL IMPORTE DE 200 PAGARA HOY . </t>
  </si>
  <si>
    <t xml:space="preserve">cliente realizara la cancelacion de la deuda con el importe de 400 soles se hablo con el tt y nos asegura el pago el lo hara por el agente bcp a eso de las 3 o 4 de la tarde . </t>
  </si>
  <si>
    <t>CLIENTE REALIZO EL ABONO DE 600 SOLES EL 11/02, INDICA QUE EL RESTANTE LO HARA EL DIA 21/02</t>
  </si>
  <si>
    <t>Cliente recibe SMS se le ofrece campaña de descuento Condonar con S/993 su CDN la desea via whatssap al mismo numero 936942010</t>
  </si>
  <si>
    <t>cliente ruega a que quiere pagar los 1000 que en su momento se le brindo , se le indica q si paga hoy se lo considerara si no q nunca mas se podra acoger a ninguna campaña . lo hara el dia de hoy a las 5:00</t>
  </si>
  <si>
    <t xml:space="preserve">CLIENTE SE ACERCA A OFICINA , REALIZARA LA CANCELACION CON EL IMPORTE DE 1,506 SOLES EL DIA 31/01. REALIZARA UN ADELANTO DE 502 SOLES EL DIA DE HOY 13/01. </t>
  </si>
  <si>
    <t xml:space="preserve">CLIENTE SE COMPROMETE A PAGAR EL IMPORTE DE 150 SOLES PARA LA CANCELACION DE LA DEUDA  // PPC (AUDIO EN EL SISTEMA) </t>
  </si>
  <si>
    <t>cliente se compromete en cancelar la deuda con la venta de sus verduritas y va abonar 100 soles el dia 16/12 y el 27/12 pagara los 900 y con eso cancela .</t>
  </si>
  <si>
    <t xml:space="preserve">CLIENTE SE COMUNICA , CANCELA IMPORTE DE S/850.00 EL DIA DE HOY  LLAMO POR AZUL </t>
  </si>
  <si>
    <t>cliente se comunica , se le brinda cancelacion de s/255.00 el dia 31/10 , adelantando s/50.00 soles ya que sufrio un robo el dia de ayer</t>
  </si>
  <si>
    <t xml:space="preserve">CLIENTE SE COMUNICA A INBOUND ROSADO POR UN SMS SE CONSULTA A JULIO Y DICE SI ENTONCES COMPROMISO DE PAGO DEL MONTO DE 648 SOLES A LA CANCELACION DE LA DEUDA // PPC </t>
  </si>
  <si>
    <t xml:space="preserve">cliente se comunica accede a cancelar con el importe de s/344.00 </t>
  </si>
  <si>
    <t xml:space="preserve">CLIENTE SE COMUNICA ACEPTA EN PAGAR LA DEUDA DE S/406.00 EL DIA 30/09 </t>
  </si>
  <si>
    <t>Cliente se comunica al corporativo 1, indica que le llego correo con campaña de 667 soles, se trabaja a base de esa campaña, antiguedad de 1 año, indica que quiere abonar la mitad el dia de mañana y el restante en quincena, indica que dejo de pagar ya que se enfermo y dejo de trabajar en su rublo de la construccion pero ya se mejoro su situacion, trabaja como maestro de obras, saco prestamo para invertir en tema de construccion en V &amp; V BRAVO S.A.C., indica que quiere limpiarse de deuda para sacar otro prestamo, tiene hijos, 28 años, no reporta entidades.</t>
  </si>
  <si>
    <t>Cliente se comunica al corporativo 19, DT 3300, campaña 1715, antiguedad de 4 años, cancelacion total para el 20/02, indica que abonara la mitad el dia de hoy y el restante para el 20, se encuentra en la puerta de CREDINKA, quiere pagar porque deses otro prestamos y se le complica para conseguir trabajo, saco prestamo para tercera persona y esta no la pago, se esta prestando dinero, es ama de casa no trabaja, 28 años, no reporta entidades en el SEARCH.</t>
  </si>
  <si>
    <t>Cliente se comunica al corporativo 19, indica que le llego campaña de 419 para cancelar deuda, se trabaja en base a esa campaña. DT 3400, indica que quiere cancelar el 31/01 en la tarde, indica que saco prestamo para negocio de avicola, dejo de pagar por problemas de salud artritis, perdio clientes, trabaja en naturista, vende todo tipo de hiervas o plantas, 47 años, ninguna entidad reportada</t>
  </si>
  <si>
    <t>CLIENTE SE COMUNICA AL INBOUD INDICANDO QUE QUIERE CANCELAR LA DEUDA PERO DE LA CUAL INDICA QUE CONFIRMA A LAS 5 PM PAGO PERO SI ES DE 1 MIL SOLES O LA TOTALIDAD SE CONSULTA CON MARIANGELA DE LA CUAL SE LE INGRESA LA PPC // PPC</t>
  </si>
  <si>
    <t>cliente se comunica al wssp el dia , lunes esta realizando el pago de s/200.00 soles restante para cancelar ya adelanto 200 el dia 10/12</t>
  </si>
  <si>
    <t xml:space="preserve">cliente se comunica con nosotros para realizar la cancelacion total contrapropone cancelar con el monto de 2000 , se le acepta el importe pero que pague el dia de hoy . nos indica q tiene una garantia de hipoteca , se le informa que despues de pagar la deuda tiene que hacer la minuta del levantamiento de hipoteca en la misma financiera . realizara el pago a las 3:00 de la tarde . </t>
  </si>
  <si>
    <t xml:space="preserve">cliente se comunica conmigo a mi numero personal para q pueda liquidar la deuda con ese importe de excepcion de 2245 , cliente indica q quiere la carta de la cancelacion . </t>
  </si>
  <si>
    <t xml:space="preserve">Cliente se comunica indicando que solo cuenta con S/ 1500 soles, se verifica gestión y se indica que es imposible aprobar dicho monto, ya que labora actualmente en la empresa 2021244961 EMP DE TRANSP SAN CRISTOBAL DEL SUR EIRL. Nos menciona que no tiene dinero y que desea cancelar para estar tranquilo. Se verifica que tiene deuda con Caja Tacna ya que realizó refinanciamiento y se le ofrece la excepcion aprobada. Sin embargo el cliente se niega al monto ofreciendo S/2,000 soles, se niega el monto y a tanta existencia acepta  S/2,200.00. </t>
  </si>
  <si>
    <t>cliente se comunica le llego sms por el importe de s/2125.00 , se le envia forma de pago</t>
  </si>
  <si>
    <t>cliente se comunica para cancelar la deuda hoy  , se le da ultimo plazo</t>
  </si>
  <si>
    <t>cliente se comunica por campaña de s/499.00  , el dia de mañana genera el pago , se genera ppc</t>
  </si>
  <si>
    <t xml:space="preserve">cliente se comunica por cancelacion </t>
  </si>
  <si>
    <t>dt:6000.00</t>
  </si>
  <si>
    <t>cancelacion con el importe dee s/1800.00 genera pago</t>
  </si>
  <si>
    <t xml:space="preserve">cliente se comunica y nos dice q mañana va ir a cobrar a la feria y q el dia sabado sin falta va a pagar el sabado y nos mandara el voucher . </t>
  </si>
  <si>
    <t xml:space="preserve">CLIENTE SE COMUNICO AL CORPORATIVO NUMERO 7 MENCIONA CANCELAR EL IMPORTE DE CAMPAÑA </t>
  </si>
  <si>
    <t>DT:1950</t>
  </si>
  <si>
    <t>CAMPAÑA:600</t>
  </si>
  <si>
    <t xml:space="preserve">SEARCH :NO FUE NECESARIO UTILIZAR EL SEARCH POR QUE TIENE INTENCION DE PAGO </t>
  </si>
  <si>
    <t xml:space="preserve">cliente se comunico con nataly , genera cancelacion de la deuda el dia de hoy </t>
  </si>
  <si>
    <t>CLIENTE SE ESTIONO EL DIA 08/11 Y SE LE GENERO COMPROMISO /  HASTA EL DIA 30/11</t>
  </si>
  <si>
    <t xml:space="preserve">cliente se le brinda excepcion de julio con el importe de 1500 soles para el dia lunes por la tarde // ppc </t>
  </si>
  <si>
    <t>CLIENTE SE LE HACE EXCEPCION POR JULIO HIGA PARA QUE CANCELE HOY MP</t>
  </si>
  <si>
    <t xml:space="preserve">CLIENTE SE LE INDICA QUE CANCELAR CON LAS SIGUIENTES OPCIONES </t>
  </si>
  <si>
    <t>TOTAL: 14.800</t>
  </si>
  <si>
    <t>CAMPAÑA: 2700</t>
  </si>
  <si>
    <t xml:space="preserve">SUSTENTO: DINERO DE TRANSPASO DE RESTAURANTE // EL DIA DE MAÑANA BRINDA ADELANTO DE 500 SOLES </t>
  </si>
  <si>
    <t>EDAD:45 AÑOS</t>
  </si>
  <si>
    <t xml:space="preserve">HERMANOS:3 </t>
  </si>
  <si>
    <t xml:space="preserve">SEGURO DE ESALUD ACTIVO </t>
  </si>
  <si>
    <t xml:space="preserve">OTRAS DEUDAS </t>
  </si>
  <si>
    <t>EDPYME INVERSIONES LA CRUZ SA</t>
  </si>
  <si>
    <t xml:space="preserve">BCO RIPLEY PERU </t>
  </si>
  <si>
    <t xml:space="preserve">CLIENTE SE LE INDICA QUE EL MONTO APROBADO ES DE S/ 2,200 SOLES PERO INDICA QUE LOS 200 SOLES LO PUEDE PAGAR LA PROXIMA SEMANA DE LA CUAL INDICA QUE PAGARA  EL MONTO DE S/ 2000 SOLES EL DIA MAÑANA 15/02 DE LA CUAL EL DIA DE HOY A LAS 7:30 CONFIRMARA SI SU TIO LE PRESTARA 200 SOLES MAS PARA QUE MAÑANA PAGUE LA TOTALIDAD / PPC </t>
  </si>
  <si>
    <t xml:space="preserve">CLIENTE SE LE MENCIONA QUE QUIERE CANCELAR CON 900 , DT;3948 SE LE MENCIONA Q SE TIENE QUE ELEVAR LA PROPUESTA DE LA EXCEPCION DE LA CANCELACION NOS DICE Q SI TIENE INTENCION Q EL VENDIO UN ANIMALITO ES CERRADO Y POR ESO NO PUDO PAGAR LA DEUDA PORQ EL SE ENCUENTRA EN UN CITIO MUY LEJANO POR ESE MOTIVO NO PAGO LAS OTRAS PROPUESTAS . IGUAL SE ELEVO LA CONTRA PROPUESTA . </t>
  </si>
  <si>
    <t>CLIENTE SE NEGOCIO CON 2000 PARA EL 20/11 SE ESTA COLOCCANDO NUEVMENTE LA GESTION POR INCIDENCIA CON EL DISCADOR MP</t>
  </si>
  <si>
    <t xml:space="preserve">cliente se va a acercar a la financiera dentro de unas horas . porq su esposa ya fue a recoger el dinero . </t>
  </si>
  <si>
    <t>CLIENTE SOLICITA CANCELAR CON EL IMPORTE DEL CAPITAL CON 175 Y QUE CANCELE NOS DICE Q FUE A LA FINANCIERA DE LAMBAYEQUE Y SE LE A APROVADO LA EXCEPCION . VA A PAGAR EL DIA 16/09</t>
  </si>
  <si>
    <t>CLIENTE SOLICITA LA CANCELACION DE LA DEUDA NOS DICE Q ESTA EN LA EMPRESA DONDE TRABAJO Y Q HOY SI O SI VA A CANCELAR DENTRO DE UNA HORA LLAMARA PARA Q SE LE DE EL CODIGO Y VAYA A QAPAQ .</t>
  </si>
  <si>
    <t>CLIENTE SOLICITA LA CANCELACION DE LA DEUDA NOS DICE Q ESTA EN LA EMPRESA DONDE TRABAJO Y Q HOY SI O SI VA A CANCELAR DENTRO DE UNA HORA LLAMARA PARA Q SE LE DE EL CODIGO Y VAYA A QAPAQ .ES PARA EL 29.</t>
  </si>
  <si>
    <t xml:space="preserve">CLIENTE TIENE UN AHORRO DE 1500 PARA PODER PAGAR  SE SOLICITA EL DESCUENTO , 1500 </t>
  </si>
  <si>
    <t xml:space="preserve">cliente trabaja en local de comida rapida pero como ingreso a trabajar en quincena todos los 15 de cada mes es que le pagan el habia solicitado un adelanto para realizar la cancelacion en el mes de noviembre pero se la negaron por lo que se realiza EXCEPCION CON AUTORIZACION DE MARIANGELA  de poder cancelar la deuda hasta 16 de diciembre ya que 15 es domingo con el importe de 350 soles </t>
  </si>
  <si>
    <t xml:space="preserve">CLIENTE VA A ABONAR 50 SOLES EN SULLANA Y A FIN DE MES 250 Y CON ESE IMPORTE CANCELA LA DEUDA  </t>
  </si>
  <si>
    <t>CLIENTE VA A CANCELAR CON EL IMPORTE , PERO PRIMERO DE 300 PARA EL DIA 23/10 Y LA DIFERENCIA EL 2000 EL 30/10</t>
  </si>
  <si>
    <t xml:space="preserve">CLIENTE VA A CANCELAR CON EL IMPORTE EN ACUERDO DE 686. A LA TOTALIDAD . </t>
  </si>
  <si>
    <t xml:space="preserve">cliente va a cancelar con la excepcion de 1500 en este mes , pero nos dice q mañana se va a apersonar a las oficinas donde saco el credito cliente va pagar . mañana tratara de hacer un abono o cancelar pero como maximo de fecha sera para el lunes . </t>
  </si>
  <si>
    <t xml:space="preserve">cliente va a cancelar el dia de mañana por la tarde el importe de 800 soles es una excepcion aprovada , mandarle carta de cancelacion . </t>
  </si>
  <si>
    <t xml:space="preserve">CLIENTE VA A CANCELAR EL IMPORTE DE EXCEPCION DE LOS 1400 MAÑANA A LAS 10:00 DE LA MAÑANA EN LA AGENCIA DE SULLANA DE SAN JUAN DE LURIGANCHO . </t>
  </si>
  <si>
    <t xml:space="preserve">CLIENTE VA A CANCELAR LA DEUDA , EL MISMO TT LO HARA EL DIA 16 POR UN TEMA DE SALUD CONFIO EN EL JOVEN KEVIN PERO NUNCA NOS ENVIO SU VOUCHER Y POR ESE MOTIVO SE LE COMUNICO A EL TT . </t>
  </si>
  <si>
    <t xml:space="preserve">CLIENTE VA A CANCELAR LA DEUDA A LA TOTALIDAD LO PAGARA EN 2 CUOTAS 750 EL DIA 18/12 Y LA DIFERENCIA EL 27/12. </t>
  </si>
  <si>
    <t xml:space="preserve">cliente va a cancelar la deuda con ese importe de los 705 soles . nos dice q su trabajo le pagan por semana y que si o si quiere cancelar si en caso no se le permite cancelar en 705 , va abonar los 100 soles para acogerse a a la campaña .y cancelar en 2 de setiembre </t>
  </si>
  <si>
    <t>cliente va a depositar el importe de 200 para el dia 18/10 y los 1800 para el dia 24/10 .</t>
  </si>
  <si>
    <t>CLIENTE VA A IR A TUMBES A REALIZAR LA CANCELACION TOTAL DE LA DEUDA Y NOS DICE Q VA A IR A SER EL PAGO CON EL MONTO APROVADO.</t>
  </si>
  <si>
    <t>CLIENTE VA A PAGAR EL IMPORTE DE 500 SOLES MAÑANA POR LA TARDE Y EL DIA 27/08 LOS 1550 A FIN DESEA QUE LE ENVIEMOS LA CARTA DE NO ADEUDO A EL WHATSSAP.</t>
  </si>
  <si>
    <t xml:space="preserve">CLIENTE VA A PAGAR EL IMPORTE DE 600 COMO EXCEPCION PARA PODER CANCELAR LA DEUDA A LA TOTALIDAD . CANCELARA EL DIA 19/11. </t>
  </si>
  <si>
    <t xml:space="preserve">CLIENTE VA A PAGAR EN 2 CUOTAS 100 EL DIA 24 Y LA DIFERENCIA EL ULTIMO DIA DEL MES . DE 900 SOLES . </t>
  </si>
  <si>
    <t xml:space="preserve">CLIENTE VA A PAGAR MAÑANA A LAS 10:30 EN LA AGENCIA DE LA NEGRITA NOS DICE Q SI O SI VA A PAGAR PARA CANCELAR LA DEUDA . </t>
  </si>
  <si>
    <t>CLIENTE VA A REALIZAR ABONOS HASTA EL 27/09 .</t>
  </si>
  <si>
    <t xml:space="preserve">cliente va a realizar el abono de los 300 y con eso va a cancelar el importe . </t>
  </si>
  <si>
    <t>cliente va a realizar el importe de los 500 y con eso cancelaria el importe y el dia 27/09.</t>
  </si>
  <si>
    <t>CLIENTE VA A SER 2 VECES EL PAGO PARA CANCELAR - 9/09 500 Y A FIN DE MES 27/09 1000</t>
  </si>
  <si>
    <t xml:space="preserve">CLIENTE VA A SUBSANAR EL IMPORTE DE LA LIQUIDACION DE 300 EN TOTAL . </t>
  </si>
  <si>
    <t>CLIENTE VINO A OFICINA LO ATENDIO MARIANGELA CLEINTE PPC POR S/600 PAGARA AL COSTADO ADICIONAL QUERRA QUE LE ENVIE POR COURRIER SU CDN A LAS DIRECCION CENTRO COMERCIAL LA GALERIA LA CACHINA CUADRA 8 AV ARGENTINA INTERIOR O TIENDA 0-3 O 0-15 PUNTO DE REFERENCIA INTERCEPCION RODOLFO BELTRAN Y GUILLERMO DANSEY MP</t>
  </si>
  <si>
    <t xml:space="preserve">cliente ya cancelo // INBOUND// ENVIARA CORREO ELECTRONICO A MAYRA PARA ENVIO DE CARTA DE NO ADEUDO </t>
  </si>
  <si>
    <t xml:space="preserve">CLIENTE YA HIZO SU PRIMER PAGO DE 50 LE FALTARIA SU RESTANTE DE 112 Y CON ESE IMPORTE CANCELA LA DEUDA . </t>
  </si>
  <si>
    <t xml:space="preserve">cliente ya pago el  importe de s/3000.0 , el saldo restante lo paga el dia 31/12 // </t>
  </si>
  <si>
    <t>CLINETE CANCELA EL LA DEUDA CON EL IMPORTE DE S/900.00 ADELANTA S/100.00 EL DIA DE MAÑANA // SE GESTIONO POR DISCADOR</t>
  </si>
  <si>
    <t>coemnta que hoy su jefe le dara los 1000 soles y los restante cancela a fin de mes</t>
  </si>
  <si>
    <t>COMADRE ROXANA SE HARA RESPONSABLE, ABONARA HOY POR LA TARDE IMPORTE DE S/800 COMO CANCELACION</t>
  </si>
  <si>
    <t>COMPROMISO 13/07/2020</t>
  </si>
  <si>
    <t xml:space="preserve">COMPROMISO 25/01 MONTO 1300 SOLES. SE REPROGRAMA. </t>
  </si>
  <si>
    <t>COMPROMISO PAGO IMPORTE DE S/500</t>
  </si>
  <si>
    <t>DT 4500</t>
  </si>
  <si>
    <t>CAPITAL 2500</t>
  </si>
  <si>
    <t>CLIENTE SOLO CUENTA IMPORTE S/500 SE CONFIRMA EL PAGO PARA EL DIA DE HOY 24/02/2020 DADA LA EXCEPCION QUE SE PIDIO GERENCIA</t>
  </si>
  <si>
    <t>CONFIRMA CAN PARA MAÑANA VIA BCP,  EXCEPCION APROBADA</t>
  </si>
  <si>
    <t>confirma cancelacion hasta 20/12 enviar acuerdo de cancelacion por wsp</t>
  </si>
  <si>
    <t>CONFIRMA CANCELACION PARA 16/12 ENVIAR POR SMS NRO DE CTA</t>
  </si>
  <si>
    <t xml:space="preserve">CONFIRMA CANCELACION PARA EL DIA DE MAÑANA  </t>
  </si>
  <si>
    <t>CONFIRMA CANCELACION PPC 5000 / EXCEP - MARIANG</t>
  </si>
  <si>
    <t>confirma el abono para el dia de hoy // se envia sms</t>
  </si>
  <si>
    <t xml:space="preserve">Confirma pago </t>
  </si>
  <si>
    <t>confirma pago 19/09</t>
  </si>
  <si>
    <t>CONFIRMA PAGO DE ULTIMA CUOTA</t>
  </si>
  <si>
    <t xml:space="preserve">confirma pago para hoy, asignado por Sandy </t>
  </si>
  <si>
    <t>CONFIRMA PAGO PPC POR 970</t>
  </si>
  <si>
    <t xml:space="preserve">confirma que el dia 30/04/20  - S/88.00 - </t>
  </si>
  <si>
    <t xml:space="preserve">938553518 - 80457981 </t>
  </si>
  <si>
    <t>DISCADOR*</t>
  </si>
  <si>
    <t>CONFIRMACION DE EXCEPCION</t>
  </si>
  <si>
    <t>150 CANCELACION</t>
  </si>
  <si>
    <t>DT 2100</t>
  </si>
  <si>
    <t>DK 836.30</t>
  </si>
  <si>
    <t xml:space="preserve">TT INDICA QUE SE LE ENVIE LA CUENTA DE DONDE REALIZARA EL ABONO </t>
  </si>
  <si>
    <t xml:space="preserve">LLAMADA CAYO POR DISCADOR Y SE HIZO LA CONFIRMACION POR EL CORP 14, CLIENTE SE COMUNICO Y SE LE DEVOLVIO LA LLAMADA </t>
  </si>
  <si>
    <t>LLAMADA CAYO POR DISCADOR Y SE HIZO LA CONFIRMACION POR EL CORP 14, CLIENTE SE COMUNICO Y SE LE DEVOLVIO LA LLAMADA, ABONARA POR LA TARDDE...</t>
  </si>
  <si>
    <t>CORRECCION DEL MONTO ANTERIO DE LA PDP 150 SOLES</t>
  </si>
  <si>
    <t xml:space="preserve">CONFIRMO PARA PARA FIN DE MES / </t>
  </si>
  <si>
    <t>DT1010</t>
  </si>
  <si>
    <t>CAMPAÑA200</t>
  </si>
  <si>
    <t>informo que realizara para fin de mes pero le exigimos 30soles hasta el dia viernes, la deuda es de su hija, su hija no cancelaba la cuenta. 60años</t>
  </si>
  <si>
    <t xml:space="preserve">(No hay search) </t>
  </si>
  <si>
    <t>CONTESTA ESPOSA DE TT // MARIA ISABEL PEREZ//HARA PAGO PPC 310</t>
  </si>
  <si>
    <t xml:space="preserve">CONTESTA ESPOSO INDICA QUE VA A PAGAR LA FECHA QUE QUEDO CON LA SEÑORITA QUE ES EL DIA DE MAÑANA . CON SEGURIDAD   ESPOSO DE TT MOLESTO PORQUE LE LLAMAN DIFERENTES PERSONAS . </t>
  </si>
  <si>
    <t xml:space="preserve">ASIGNADO MARIANGELA // AUDIO EN MI CELULAR </t>
  </si>
  <si>
    <t>CONTESTA HIJO DE TT //DNI  62320103  SEGUNDO PEDRO, AYALA JUAPE//RESPONSABLE // PPC 1000 //</t>
  </si>
  <si>
    <t xml:space="preserve">CONTESTA SRA GLADYS MAMANI (MAMA DE TT )HARA PAGO DE 800//DISCADOR </t>
  </si>
  <si>
    <t xml:space="preserve">CONTESTA TT //SE MENCIONA MEDIDAS LEGALES // INDICA QUE HOY PAGARA 12/12//950 SOLES // </t>
  </si>
  <si>
    <t>CONTESTA TT INDICA QUE ENVIARON UN SMS DE CANCELACION //HARA PAGO DE 200 //JUEVES 29/8</t>
  </si>
  <si>
    <t xml:space="preserve">contesta tt se informa deuda ///dice que no tiene dinero //trabaja eventualmente // bdelacruz.chavez@hotmail.com /DT 656//LIQUIDARA CON 200///DEBIDO QUE SE ACERCO A ANULAR LA TARJETA EN VARIAS OCASIONES </t>
  </si>
  <si>
    <t xml:space="preserve">CONTESTA TT SE INFORMA DEUDA //SE LE OTORGA LA OPCION DE LIQUIDAR DEUDA POR 2100//PAGARA 1200 15/10 Y 900 A FIN DE MES </t>
  </si>
  <si>
    <t>CONTESTA TT SE INFORMA DEUDA</t>
  </si>
  <si>
    <t xml:space="preserve">DICE QUE HA ESTADO EN EL HOSPITAL NO HA ESTADO TRABAJANDO ///SE COMPROMETE A REALIZAR PAGO A FIN DE MES ///DICE QUE YA ESTA TRABAJANDO Y CON LO QUE LE PAGARAN A FIN DE MES REALIZARA EL PAGO DE LA DEUDA </t>
  </si>
  <si>
    <t>CONTESTA TT SE INFORMA IMPORTE DE 500 SOLES /PPC /</t>
  </si>
  <si>
    <t xml:space="preserve">conversamos con tt, confirma pago para hoy PPC: 2,300 SOLES // </t>
  </si>
  <si>
    <t>se le envia por sms todo lo conversado //</t>
  </si>
  <si>
    <t>en la gestion de abajo se le brindo lo siguiente: 9 de igual forma se le volvio indicar la penalidad correspondiente y el beneficio.</t>
  </si>
  <si>
    <t xml:space="preserve">DT : 5:300 SOLES </t>
  </si>
  <si>
    <t>DK: 2,700 SOLES</t>
  </si>
  <si>
    <t>CAMPANA: 3,700 SOLES</t>
  </si>
  <si>
    <t xml:space="preserve">NOS COMUNICAMOS CON SR. JUVER DE CREDINKA </t>
  </si>
  <si>
    <t xml:space="preserve"> INDICA QUE TT ES DE BAJOS RECURSOS Y SE ENCUENTRA EN AGENCIA CON 2 , 000 MIL SOLES // SE LE INDICA MINIMO : 2,300 ( APROBADO POR MARIANGELA ) // HABLARA CON TT YA QUE NO ENTIENDE Y NO CUENTA CON MAS DINERO , PIDE AYUDA CORRESPONDINTE . </t>
  </si>
  <si>
    <t xml:space="preserve">SEARCH : NO TIENE TRABAJO // TIENE 1 ENTIDAD REPORTADA CON CAJA MUNICIPAL DE AHORRO// </t>
  </si>
  <si>
    <t xml:space="preserve">DINERO ES  LO A VENIDO JUNTANDO Y A TRATADO DE REUNIR POCO A POCO.  </t>
  </si>
  <si>
    <t xml:space="preserve">correccion </t>
  </si>
  <si>
    <t>Fecha de pago: 09/03/20</t>
  </si>
  <si>
    <t>dt:210</t>
  </si>
  <si>
    <t>dk:102</t>
  </si>
  <si>
    <t>campaña s/160</t>
  </si>
  <si>
    <t xml:space="preserve">Sustento: quiere pagar porque quiere trabajar con financieras otra vez , nos indica que no labora y dejo de pagar porque el prestamo fue para un familiar y estaba estudiando </t>
  </si>
  <si>
    <t xml:space="preserve">search: edad 27 años  , no figura con deudas </t>
  </si>
  <si>
    <t xml:space="preserve">discador </t>
  </si>
  <si>
    <t xml:space="preserve">CORRECCION DE ESTADO </t>
  </si>
  <si>
    <t xml:space="preserve">DT: 5520 </t>
  </si>
  <si>
    <t xml:space="preserve">CAMPAÑA : 2500 </t>
  </si>
  <si>
    <t xml:space="preserve">TT CNACELARA EL DIA 03/02 S/ 500 Y EL 16/02 2000 </t>
  </si>
  <si>
    <t xml:space="preserve">EL MOTIVO DE RETASO FUE POR QUE SU HERMANO ESTABA MAL QUE POSTERIOR MENTE FALLECIO , Y ANTERIOR MENTE SE LE HACE DIFICIIL BAJAR DE SU PUEBLO A LA CIUDAD </t>
  </si>
  <si>
    <t xml:space="preserve">PAGO DEPENDE DE SU NEGOCIO </t>
  </si>
  <si>
    <t xml:space="preserve">EDAD: 44 </t>
  </si>
  <si>
    <t>MIBCO</t>
  </si>
  <si>
    <t>FINANCIERA EFECTIVA</t>
  </si>
  <si>
    <t>TOTAL</t>
  </si>
  <si>
    <t>CORRECCION DE FECHA !! TT CANCELA CON 2500 EL 31/10 EXCEPCION APROBADA POR MAYRA</t>
  </si>
  <si>
    <t>correccion de fecha</t>
  </si>
  <si>
    <t>Fecha de Pago: 30/05/20</t>
  </si>
  <si>
    <t>DT:S/ 800</t>
  </si>
  <si>
    <t>DK:s/ 272</t>
  </si>
  <si>
    <t>Campaña: s/ 272</t>
  </si>
  <si>
    <t>Sustento de pago: tt se comunica a corporativo y se acoje a cancelar la deuda en el agente bcp, con dinero de trabajo</t>
  </si>
  <si>
    <t>correccion, es PPC</t>
  </si>
  <si>
    <t>1correFecha de Pago:30/05/20</t>
  </si>
  <si>
    <t>DT:S/2,099.75</t>
  </si>
  <si>
    <t>DK:s/942.97</t>
  </si>
  <si>
    <t>Campaña: s/</t>
  </si>
  <si>
    <t>Sustento de pago: tt pagara su ultima cuota en QAPAQ</t>
  </si>
  <si>
    <t xml:space="preserve">correccion;:cancelacion con 210 soles </t>
  </si>
  <si>
    <t xml:space="preserve">CORRECION DE FECHA </t>
  </si>
  <si>
    <t>DT: 1221</t>
  </si>
  <si>
    <t>DK: 634</t>
  </si>
  <si>
    <t xml:space="preserve">CAMAPAÑA S/ 700 </t>
  </si>
  <si>
    <t xml:space="preserve">ACUERDA PAGAR S/ 100 04/03 Y  S/ 600 23/03 TT INDICA QUE NO CANCELO POR MOTIVOS PERSONALES , PAGO PROVIENE DE SU TRABAJO </t>
  </si>
  <si>
    <t xml:space="preserve">EDAD: 42 AÑOS </t>
  </si>
  <si>
    <t>NO VALIDA HIJOS EN EL SEARCH</t>
  </si>
  <si>
    <t>COOPERATIVA DE AHORRO Y CREDITO NORANDINO LTDA</t>
  </si>
  <si>
    <t xml:space="preserve">EL TRABAJA EN LA SELVA PARA </t>
  </si>
  <si>
    <t xml:space="preserve">CRUSELDA AROSTGUI DNI 80221843 REPS FDIC FE MES CN 250 SOLES ,SUSTENTO DE PGO , NO DICE , TT TIENE 25 AÑOS DEBE 1 ENTIDAD , NOSAE RABAJA SUEGRA RESP. CANCELAR 28/02 /DISCADPR </t>
  </si>
  <si>
    <t>CUÑADA DE TT  REALIZARA LA CANCELACION CON EL IMPORTE DE 800 SOLES EL DIA DE HOY (APROBADO POR MARIANGELA)</t>
  </si>
  <si>
    <t xml:space="preserve">Cuota 10/12   </t>
  </si>
  <si>
    <t xml:space="preserve">Cuota 5/6   </t>
  </si>
  <si>
    <t xml:space="preserve">Cuota 9/12 </t>
  </si>
  <si>
    <t>CYNTHIA VARGAS MAGUINA</t>
  </si>
  <si>
    <t>DT 1500</t>
  </si>
  <si>
    <t>DC 150</t>
  </si>
  <si>
    <t xml:space="preserve">PAGARA EL DIA LUNES 20 LA MEDIO DIA , ACTUALMENTE </t>
  </si>
  <si>
    <t>TRABAJA EN EL PUERTO , PAGARA CON EL DINERO DE SU TRABAJO , NO PAGO POR QUE LE AUMNETARON SU DEUDA Y NO QUISO PAGAR , ACEPTA CAMPAÑA</t>
  </si>
  <si>
    <t xml:space="preserve">SERCH </t>
  </si>
  <si>
    <t>DEUDA DUDOSA BANCO FALBELLA- - PERDIDA FINANCIERA UNO</t>
  </si>
  <si>
    <t xml:space="preserve">d. t /01300 // capital 1200 // campaña 616 // tt propone 500 soles para cancelar // tt no pago ya que salio en gestacion y perdio a su bebe y dejo de trabjar ahora es docente pero contratada // no tiene deudas en el search con ninguna entidad / tiene 42 años y ahora tiene un bebe / se le aprueba el monto de los 500 soles </t>
  </si>
  <si>
    <t>DC 1300</t>
  </si>
  <si>
    <t xml:space="preserve">INFORMACION BRINDADA MES ANTERIOR - TT ACEPTA REALIZAR LA CANCELACION TOTAL POR 1300 SOLES  EL DIA 25 DE ENERO , DECISTE DE PAGAR SUS 10 CUOTAS MENSUALES  - </t>
  </si>
  <si>
    <t>SIN SERCH</t>
  </si>
  <si>
    <t>DC 165</t>
  </si>
  <si>
    <t>TT NO PUDO REALIZAR LA CANCELACION POR QUE AUN NO LLEGA ALA CIUDAD DE AREQUIPA , CONFIRMA CANCELACION PARA MAÑANA EN LA TARDE , SE MENCIONE SI ROMPE EL COMPROMISO SE COBRARA UNA PENALIDAD</t>
  </si>
  <si>
    <t xml:space="preserve">DC 260 </t>
  </si>
  <si>
    <t xml:space="preserve">CLIENTE CONFIRMA PAGO DE LA ULTIMA CUOTA PARA EL DIA 30/04 DEL MONTO DE 260 SOLES A LA CANCELACION DE LA DEUDA , YA QUE NO ESTA TRABAJANDO  POR ESO NO CANCELO EN MARZO / PPC </t>
  </si>
  <si>
    <t>dc 970</t>
  </si>
  <si>
    <t>contrapropuesta 500 soles</t>
  </si>
  <si>
    <t>tt acepto excepcion de 500 soles , pagara 100 soles el dia lunes 16, pagara 400 soels el dia 30 de  marzo.</t>
  </si>
  <si>
    <t>plantilla en tat anterior.</t>
  </si>
  <si>
    <t>serch</t>
  </si>
  <si>
    <t>edad 28 años.</t>
  </si>
  <si>
    <t>DANPER TRUJILLO S.A.C.    569</t>
  </si>
  <si>
    <t>deuda con mi banco</t>
  </si>
  <si>
    <t>DC: 440</t>
  </si>
  <si>
    <t>DT: 965</t>
  </si>
  <si>
    <t xml:space="preserve">TT INDICA QUE CANCELARA 220 SOLES EL DIA SABADO A LAS 4 PM , YA SE PUDO CONSEGUIR EL DINERO DE 220 </t>
  </si>
  <si>
    <t xml:space="preserve">EDAD: 41 NO LABORA POR EL MOMENETO </t>
  </si>
  <si>
    <t>DE 12 A 2 PM SE PUEDE LLAMAR Y EN LA NOCHE ///  AHORA  PPC POR 350 SOLES ABONARA EL DIA SABADO 100 SOLES INDICA QUE SE COMUNICARA CON SU HERMANO PARA QUE EL AYUDE A PAGAR SU DEUDA*</t>
  </si>
  <si>
    <t>DE ACUERDO A LO CONVERSADO EL DIA 08/01/20 SE ACORDÒ CON EL TT PAGAR CAMPAÑA DE S/.480 DANDO UN ABONO S/.100 COMO PARTE DE LA CAMPAÑA Y DIFERENCIA PAGARLO EL 27/01//TT CONFIRMÒ PO WHATSAPP EL PAGO A REALIZAR EL DIA 27/01</t>
  </si>
  <si>
    <t>DEPOSITARA 500 SOLES EL DIA 22/8 , Y EL RESTO 28/8 SE COMUNICA HMNA DEL TT</t>
  </si>
  <si>
    <t xml:space="preserve">desasignado de lisbeth por no ingresar audio  , asignado a juan querebalu por maribel </t>
  </si>
  <si>
    <t xml:space="preserve">dt : 2300 soles , campaña : 1000 soles </t>
  </si>
  <si>
    <t xml:space="preserve">sustento : tt hija wendy indica que hablara con su mama para que pague mañana 200 soles y el saldo de 800 soles para el 21-02 </t>
  </si>
  <si>
    <t xml:space="preserve">search : unica deuda y no trabaja bajo planilla </t>
  </si>
  <si>
    <t xml:space="preserve">DESPUES DE LLAMARLO , DEVOLVIO LA LLAMADA   PAGARA 450 // MDNP:  NO LE PAGAN ALGUNAS DEUDAS QUE TIENE // NO BRINDA # DE NO PAGAR EN ESA FECHA NO SE BRINDARA NUEVAMENTE LA PROMOCION.  </t>
  </si>
  <si>
    <t xml:space="preserve">Deuda 700 campaña 195  dejo de pagar porque tuvo poblemas de salud, el dinero lo sacara de su sueldo search: 47 años,  no tiene otras deudas, trabaja en AGROINDUSTRIAS AIB S.A. se compromete a abonar 15/02 97.50 y el 29/02 a pagar los otros 97.50. se le menciona penalidad. </t>
  </si>
  <si>
    <t xml:space="preserve">DEUDA TOTAL 1400 CAMPAÑA: 700 EL PRESTAMO LO SACO PARA UN AMIGO QUE LE IMCUMPLIO, EL DINERO LO SACARA DE SU SUELDO EL 10/02 ABONARA 100 O 200 SOLES ( DEPENDE DE LO QUE CONSIGA) EL 20/02 PAGARIA LA DIFERENCIA, EN CREDINKA, SEARCH: 27 AÑOS, NO REGISTRA TRABAJO, TIENE PRESTAMOS EN MI BANCO Y ESTA AL DIA. </t>
  </si>
  <si>
    <t xml:space="preserve">DEUDA TOTAL 1500 KAPITAL: 600 CAMPAÑA 500  SACO EL PRESTAMO PARA OTRA PERSONA, Y ESTA PERSONA NUNCA CUMPLIO EN PAGAR, MENCIONA QUE NO PUDO CUMPLIR CON EL PAGO POR FALTA D SUELDO. SE COMPROMETE A  PAGAR 03-03 250 Y LOS OTROS 250 HASTA 30/03 SEARH: 39 AÑOS, NO REGISTRA TRABAJO PLANILLA, REGISTRA DEUDA EN ONG CRECER MYPE PERU. SE MENCIONA PENALIDAD SI ESTA VEZ NO CUMPLE, ENVIA MENSAJE DE TEXTO. </t>
  </si>
  <si>
    <t xml:space="preserve">DEUDA TOTAL 2300 CAMPAÑA: 189 MENCIONAUE DEJO DE PAGAR PORQUE SU ESPOSO ESTA ENFEMRO, HASTA EL 15/02 SE CONSIGUIRA, LOS 189 SOLES. ( SE LE OFRECE EL MISMO MONTO, INDICA QUE LE ENVIARON MENSAJE DE TEXTO ) SEARCH: 44 AÑOS, TIENE DEUDA EN BANCO FINANCIERO DEL PERÚ. SE LE MENCIONA PENALIDAD.  </t>
  </si>
  <si>
    <t xml:space="preserve">DEUDA TOTAL 2300 KAPITAL: 920 CAMPAÑA: 189 MENCIONAUE DEJO DE PAGAR PORQUE SU ESPOSO ESTA ENFEMRO ( QUIMIO) EL MES PASADO NO UDO PGAR POR TEMAS ECONOMICOS , HASTA EL 14/03 PAGARA COMFIMA SU PAGO. ( SE LE OFRECE EL MISMO MONTO, INDICA QUE LE ENVIARON MENSAJE DE TEXTO ) SEARCH: 44 AÑOS, TIENE DEUDA EN BANCO FINANCIERO DEL PERÚ. SE LE MENCIONA PENALIDAD. LLMADA DEL CORP 16. </t>
  </si>
  <si>
    <t xml:space="preserve">DEUDA TOTAL 400 CAMPAÑA: 290 PRÉSTAMO PARA EL NEGOCIO, DEJO DE PAGAR POR QUE LE ROBARON TODO. SEARCH: 50 AÑOS, TRABAJA EN CORPORAZIONE SICURITA S.A.C. TIENE DEUDA EN </t>
  </si>
  <si>
    <t xml:space="preserve">CREDISCOTIA FINANCIERA 1504.49 PAGAR EL 24/02 290 EN AGENTE BCP. SE LE MENCIONA PENALIDAD </t>
  </si>
  <si>
    <t xml:space="preserve">DEUDA TOTAL 7000 CAMPAÑA 3400 KAPITAL: 4400 ESTA PAGANDONCON EXCEPCION: 3DA  Y ULTIMA CUOTA DE 1000,  ( QUISIERE SEGUIR CON SU PAGA POR CUOTAS ) SEARCH: 51 AÑOS , TIENE DEUDA LOS ANDES S A, NO TRABAJA CON PLANILLA. SE DEDICA A LA MINERIA/  PAGARA EL 29/02 LA SEGUNDA CUOTA EN CREDINKA.. MENCIONA QUE SI EL CONSIGUE EL DINERO ANTES NOS AVISARA.  </t>
  </si>
  <si>
    <t xml:space="preserve">DEUDA TOTAL 8900 CAMPAÑA: 3600 MINIMO 3067  TUVO POBLEMAS CON CREKINKA, MENCIONA QUE EL DEJO UN KAPITAL 1200 Y SE LO DESCONTARON DE SU CUENTA DE AHORROS DE 3500 Y NO LE DIEORN LA DIFERENCIA , OFERTA PAGAR 2000 SOLES EL SABADO 17/02  EL PRESTAMO SACO PARA SU TRABJO DE SIEMBRA DE CAFE, SEARCH: 54 AÑOS, REGISTRA TRABAJO EN REGION CUSCO PLAN MERISS INKA, NO REGISTRA OTRAS DEUDA. SOLO CREDINKA.  TIENE 2 MOTOS ( MENCIONA YA ESTA MALOGRADA, NO LO USA)  LO UTILIZABA POR SU CHACRA, PAGA EL 15/02 2000 EN CREDINKA, SE LE MENCIONA PENALIDAD, </t>
  </si>
  <si>
    <t>DEUDA TOTAL.  150 CAMPAÑA 100 MENCIONA QUE ELLA SE FUE DE PIURA  A LIMA POR ESO DEJO DE PAGAR/ PPC 100 30-05 EN BCP / SE LE ENVIA INF POR WHSAP</t>
  </si>
  <si>
    <t>SUSTENTO: DINERO LO SACRA DE SU SUELDO</t>
  </si>
  <si>
    <t>NOPAGO. TEMAS DE VIAJE</t>
  </si>
  <si>
    <t>SEACH: NO SE UTILIZO</t>
  </si>
  <si>
    <t xml:space="preserve">DEUDA TOTAL:  2200 kapital: 850 CAMPAÑA: 800 CAMPAÑA: 180 MENCIONA QUE EL TRABAJA EN TAXI ( ALQUILA) 958697885 SR NO NOS ESUCHA, SE LLMARA DEL CORP 16 / sr menciona que a mano tiene 100 soles. desea pagar para tener carta de no adeudo. SE APRUEBA EXCEPCION PAGARA PAGARA 100 SOLES, POR BCP. </t>
  </si>
  <si>
    <t>SEARCH: NO TIENE DEUDA,</t>
  </si>
  <si>
    <t>NO PAGO: POR TEMAS ECONOMICOS</t>
  </si>
  <si>
    <t>SUSTENTO. DE SUS AHORROS</t>
  </si>
  <si>
    <t>DEUDA TOTAL:  800 CAMPAÑA. 195 MENCIONA QUE EL SACO PRESTMO PARA SUS ESTUDIOS, DEJO DE PAGAR  ESTABA SIN TRABAJO POR LA CUARENTENA/ PPC 195 HASTA 30-05 EN CREDINKA, SE LE ENVIA INF POR WHSAP.( IRA ABONANDO DURANTE LAS SEMANAS Y NOS ENVIARA EL VOUCHER)</t>
  </si>
  <si>
    <t>SEARCH:  NO TIENE DEUDA, TAMPOCO TRABAJO  1960565540</t>
  </si>
  <si>
    <t>SUSTENTO: PRESTAMO</t>
  </si>
  <si>
    <t>NO PAGO: TEMAS DE TRABAJO</t>
  </si>
  <si>
    <t>DEUDA TOTAL: 1200 KAPITAL:  500 CAMPAÑA: 108 NO PUDO PAGAR EN AÑO PASADO POQUE MENCIONA QUE DOS DIAS ANTES LE DIJERON QUE ERA MAS DE LO QUE HABIA ACORDADO, SEARCH: 39 AÑOS, REGISTRA TRABAJO EN MUNICIPALIDAD DISTRITAL DE MIRAFLORES 2018 , REGISTRA DEUDA EN CAJA RURAL DE AHORRO Y CREDITO CAT PERÚ S.A. PAGARA 108 16-03 SE LE MENCIONA PENALIDAD Y INF AL WHASAP</t>
  </si>
  <si>
    <t xml:space="preserve">DEUDA TOTAL: 1200 KAPITAL: 1300 CAMPÑAA. 1050 AL INICIO NO NOS ESCUCHA MUY BIEN, PAGARA EL MULTIRED 29-04 SE LE ENVIA MENSAJE DE TEXTO CON NUMRO DE CUENTA. </t>
  </si>
  <si>
    <t>SEARCH: NO SE UTILIZA, NO TIENE DEUDA.</t>
  </si>
  <si>
    <t>SUSTENTO: MENCIONA QUE EL DINERO LO TIENE</t>
  </si>
  <si>
    <t>NO PAGO: SOLO DICE QUE NO PODIA BAJAR.  955755114</t>
  </si>
  <si>
    <t>DEUDA TOTAL: 12000  CAMPAÑA:  4500  MENCIONA QUE PAGARA CON LOS RETIRO DEL AFP / ASEGURO QUE HASTA EL 30-05 ESTARA CANCELANDO. SE QUEDA QUE LA INF SE LE ESTARA ENVIANDO AL POR WHASAP / EL DIA 15-05 ELLA ESTARA SOLICITANDO EL RETIRO/ SE LE MENCIONA PENALIDAD.</t>
  </si>
  <si>
    <t>SEARCH:  NO SE UTILIZ</t>
  </si>
  <si>
    <t>NO PAGO: TEMAS ECONOMICOS</t>
  </si>
  <si>
    <t>SUSTENTO: RETIROS DE SU APF</t>
  </si>
  <si>
    <t>DEUDA TOTAL: 1250 KAPITAL: 450 CAMPAÑA: 600 PAGARA HASTA EL 30-04 600 SOLES ( AYER NOS MENCIONO QUE ELLA SABIA QUE DEBIA MENOS, SE LE EXPLICA QUE YA TIENE CRONOGRAMA DE PAGO, PIDE PAGAR MENOS)  NOS ESTAMOS BASANDO AL MINIMO 2 / NO PUDO PAGAR POR TEMAS DE LA CUARENTENA.</t>
  </si>
  <si>
    <t>SUSTENTO: EL DINERO LO SACA DE SUS TRABAJITOS ( ES COSTURERA ( SEGUN LO MENCIONO AYER)</t>
  </si>
  <si>
    <t xml:space="preserve">NO PAGO: POR LA CUARENTENA.  SE LE DEJA NUMERO CORP SI EN CASO ELLA PUEDE PAGAR ANTES. </t>
  </si>
  <si>
    <t xml:space="preserve">Deuda total: 1300 campaña: 499 ( se maneja la misma, ya que cleinte menciona que le llego mensaje de texto) gestion anteriro. </t>
  </si>
  <si>
    <t>dejo de pagar porque tuvo que cubrir gastos de perdina en la mina donde trabajaba. search: 50 años, tiene una deuda en EDPYME MARCIMEX S A, no tiene trabajo con planilla, oferta pagar los 499 en dos partes dentro del mes hoy 3/ 02 300 soles y el 15/02 199 soles, pagara en credika a las 4pm.</t>
  </si>
  <si>
    <t xml:space="preserve">DEUDA TOTAL: 1500 CAMPAÑA: 461 PAGARA EL 25/02  DEJO DE PAGAR POR TEMAS ECONOMICOS, SE FUE A LA QUIEBRA, EL PRESTAMO FUE PARA NEGOCIO, SEARCH: 30 AÑOS, NO REGITRA TRABAJO EN PLANILLA, SOLO REGISTRA DEUDA EN PROEMPRESA. SE LE MENCIONA PENALIDAD. </t>
  </si>
  <si>
    <t>Deuda total: 1500 kapital: 641 campaña: 641 minino 500 no cancelo por temas de desconfianza, se le explica sobre gestion, qu compromete a pagar 500 soles.  SEARCH: 53 años, no registra trabajo segun search, no registra deudas/ pagara en bcp mandara a su hija a pagar 945732826</t>
  </si>
  <si>
    <t xml:space="preserve">Deuda total: 15200 campaña: 7400 abonara 200 15/02 credinka, el prestamo lo saco para comprar ganados, dejo de pgar porque tuvo poblemas economicos fuertes. pero se compromete a pagar 200 soles mensuales. search: 34 años, tiene una deuda CREDISCOTIA FINANCIERA, trabajo hasta el 2018 en INSTITUTO DE MANEJO DE AGUA. </t>
  </si>
  <si>
    <t>DEUDA TOTAL: 195.20 CAMPAÑA: 136.87 PAGARA 29-05 EN AGENTE  O MIBANCO / RECIEN EMPEZO A PAGAR. MENCIONA QUE EL QUIZO PAGAR HACE TIEMPO PERO EN MIBANCO LE DOJERON QUE NO PODIA OAGAR AHI / SE MENCIONA PENALIDAD. SUSTENTO</t>
  </si>
  <si>
    <t>SUSTENMTO: SU SUELDO( RECIEN EMPEZO A LABORAR HASTA LA FECHA JUNTARA LO ACORDADO)</t>
  </si>
  <si>
    <t>SEARCH: CREDISCOTIA FINANCIERA SA</t>
  </si>
  <si>
    <t xml:space="preserve">DEUDA TOTAL: 200 CAMPAÑA: 110  MES PASADO NO PUDO PAGAR PORQUE ESTABA SIN TRABAJO, HOY 6-03  ABONARA 20 SOLES. Y LA DIFERENCIA DE 90 EL DIA 23-03 SEARCH:62 AÑOS, NO REGISTRA TRABAJAO EN PLANILLA, NO REGISTRA OTRA DEUDAS. </t>
  </si>
  <si>
    <t xml:space="preserve">Deuda total: 350 kapital: 303 camcapaña 250 soles. nos menciona que dejo de pagar porque la ultima srta no le envio donde tenia que pagar. y tambien porque perdio el numero de celular. search 53 años, no tiene deudas, trabajo sin planilla. pagara 9/01 250 soles. se le menciona penlidad. </t>
  </si>
  <si>
    <t>DEUDA TOTAL: 3500 CAMPAÑA: 320 NO PUEDO POR TEMAS ECONÓMICOS, POBELMAS CON SU ESPOSO SEARHC: 38 AÑOS, NO REGISTRA TRABAJO,REGISTRA DEUDA EN COMPARTAMOS FINANCIERA, ADELANTA EL 18/02 100 SOLES Y LA DIFERENCIA EL 28/02 SE LE MENCIONA PENALIDAD.  922785222</t>
  </si>
  <si>
    <t xml:space="preserve">deuda total: 3600 campaña:1500 oferta pagar 800, se le ofrece acuerdo de cancelacion no responde/ menciona que el desea la carta de no adeudo y quiza envia a un familiar a recogerlo a nuestro oficinas/ menciona que justo ahora tuvo poblemas ( judiciales) y no podra hacer el pago, se le exige pago hasta el 28-02 se menciona que hemos elevado una excepcion, y no es una burla. SEARCH: 40 AÑOS, NO REGISTRA DEUDA, NO REGISTRA TRABAJO EN PLANILLA. </t>
  </si>
  <si>
    <t xml:space="preserve">DEUDA TOTAL: 4200 CAMPAÑA: 700 MENCIONA QUE NO PUDO PAGAR PORQUE EL AGENTE MULTIRED NO HABIA SISTEMA, DEJO DE PAGR LA TRAJETA PORUE EL TUVO UE VIAJE HACES MESES AL EXTRANJERO. LE DEPOSITAN SU SUELDO EN BANCO DE NACION POR ESO LE COMPLICA, SE ACUERA QUE HOY ABONARA 350 Y HASTA EL 14/02 LA DIFERENCIA ( EN AGENTES DE CUSCO NO ACEPTAN ESE MONTO COMO DEPOSITO) A LAS 7 CUANDO ESTE EN LA CIUDAD SEARHC: 38 AÑOS, TIENE DEUDA EN CREDINKA, REGISTRA TRABAJO EN MUNICIPALIDAD DISTRITAL COLQUEPATA PAUCA Y 3K3 S.R.L // TAMBIEN SE LE MENCIONA DEUDA EN CREDINKA. </t>
  </si>
  <si>
    <t>DEUDA TOTAL: 4800 CAPITAL: 2800 CAMPAÑA: 607 MINIMO 551 TT MENCIONA QUE ANTERIORMENTE NO PUDO PGAR POR QUE SU HIJA TUVO UN ACCIDENTE/ INTENTO LLMAR PERO LE DIJERON QUE YA NO TENIA LA OPCION DE PAGAR 500 SOLES ( SE LE EXPLICA EL POR QUE ) 30-05 551 / SI PUEDE IRA ABONADO DURANTE EL MES.</t>
  </si>
  <si>
    <t>SEARCH: NO SE UTILIZO</t>
  </si>
  <si>
    <t>SUSTENTO: FONDOS DE AFP</t>
  </si>
  <si>
    <t>NO PAGO: TEMAS DE SALUD</t>
  </si>
  <si>
    <t xml:space="preserve"> BASE ASIGNMADA EXCEPCIONES</t>
  </si>
  <si>
    <t xml:space="preserve">deuda total: 4900 kapital: 1000 campaña: 850 menciona que el no esta en lima, actualmente huarochiri no hay agentes, dejo de pagar por temas por robo, el prestamo lo adquirio para el negocio que tenia. SEARCH: 55 años, no registra trabajo en planilla, no registra deudas en sistema / el 05-03 vendra a lima, pagara en agente, se menciona penalidad. </t>
  </si>
  <si>
    <t>Deuda total: 500 campaña: 350 menciona que dejo de pagar porque el dinero se lo encargo a un conocido y este no llego a realizar el pago de la ultima cuota,  para el 17/02 pagara  tiene el dinero 350 soles, search: 30 años, tiene deuda banco azteca, no tiene trabajajo en planilla (segun search) 997673517</t>
  </si>
  <si>
    <t xml:space="preserve">DEUDA TOTAL: 5000 KAPITAL:2400 CAMPAÑA: REFINANCIAR 1000X3 MESES / 30-04 ULTIMA CUOTA DE 1000, SR AYER NOS MENCIONA QUE ESTA SIN TRABAJAO POR LA CUARENTENA PERO BIEN TERMINE PAGARA LA ULTIMA CUOTA. </t>
  </si>
  <si>
    <t>SUSTENTO: SUELDO</t>
  </si>
  <si>
    <t xml:space="preserve">NO PAGO: POR TEMAS ECONOMICOS, POR CUARETA SIN TRABAJO </t>
  </si>
  <si>
    <t xml:space="preserve">DEUDA TOTAL: 5000 KAPITAL:2400 CAMPAÑA: REFINANCIAR 1000X3 MESES / 30-05 ULTIMA CUOTA DE 1000, SR MENCIONA QUE ESTA SIN TRABAJO, TEME QUE LA CUARENTENA SE EXTIENDA, NO BIEN TERMINE PAGARA LA ULTIMA CUOTA. </t>
  </si>
  <si>
    <t>SUSTENTO: SUELDO SI EN CASO LE PAGUEN.</t>
  </si>
  <si>
    <t xml:space="preserve">NO PAGO: POR TEMAS ECONOMICOS, POR CUARETA SIN TRABAJO, MENCIONA QUE ESTARA EN CONTACTO CON NOSOTROS PARA VER SI LOGRA ABONAR DURANTE EL MES. </t>
  </si>
  <si>
    <t xml:space="preserve">DEUDA TOTAL: 8200 CAMPAÑA: 800 SACO EL PRÉSTAMO PARA OTRA PERSONA ( EX SUEGRA) PENSE QUE ELLA ESTABA PAGANDO, EL DINERO LO SACARA DEL PAGO DE SU SUELDO, SEARCH: 28 AÑOS, NO REGISTRA TRABAJO EN PLANILLA, SOLO MANTIENE DEUDA EN FINANCIERA PROEMPRESA.  ABONARA 100 ( SIPUEDE MAS )  17/02 Y EL 29/02 LOS 700  PPC 800, SE LE MENCIONA PENALIDAD, Y ENVIAR INF AL WHASAP. </t>
  </si>
  <si>
    <t xml:space="preserve">DEUDA TOTAL: 8700 CAMPAÑA: 4400  DEJO DE PAGAR POR TEMAS DE SLAUD TIENE DIABETTES QUE LE NO LE DEJO TRABAJAR, EL DINERO PARA PAGAR SE LO PRESTARA SU COMPADRE SEARCH: 40 AÑOS, TRABAJABA EN MUNICIPALIDAD DISTRITAL DE QUELLOUNO, REGISTR DEUDA EN </t>
  </si>
  <si>
    <t xml:space="preserve">FINANCIERA EFECTIVA Y EN CREDINKA , NO REGISTRA HIJOS/ PPC 28/02 SE LE MENCIONA PENALIDAD. </t>
  </si>
  <si>
    <t>DEUDA TOTAL: 900  CAMPAÑA: 452 DEJO DE PGAR POR TEMAS DE SALUD. ESTUVE ENFERMA Y SE FUE DE VIAJE A OPERARSE, MENCIONA QUE EL AÑO PASADO LE OFRECIEORN CAMPAÑA DE 150 SOLES, SE LE EXPLICA QUE YA NO SE LE PUEDE DAR ESA CAMPAÑA / SEARCH: 46 AÑOS, NO REGISTRA TRABAJO EN PLANILLA, PERO TIENE NEGOCIO, TIENE PRESTAMO EN COMPARTAMOS FINANCIERA CATEGORIA 1 // PPC 28/02 452 SOLES EL LUNES  24/02  ADELANTARA 150 Y EL 28/02 LA DIFERENCIA.  971964928</t>
  </si>
  <si>
    <t xml:space="preserve">DEUDA TOTAL: 900 KAPITAL: 800 CAMPAÑA OFRECIDA 750 T LLAMO AL CORP Y  OFERTA PAGAR CON 300 SOLES PARA HACER LA CANCELACION, DEJO DE PAGAR PORQUE ELLA FUE DAMNIFICADA QUE LOS HUAYCOS, VENDE GASEOAS Y GOLOSINAS EN LA PUERTA DE SU CASA. EL PRESTAMO LO SACO PARA UN NEGOCIO QUE LO PERIDIO TODO POR LO SUCEDIDO. SU HIJA LE DARA 200 Y ELLA PONDRA 100 = 300 SOLES. </t>
  </si>
  <si>
    <t xml:space="preserve">SEARCH: 49 AÑOS, TIENE DOS DEUDA EN CAJA MUNICIPAL DE LIMA Y CAJA RURAL SIPAN. CREDITOS CASTIGADOS, NO TIENE TRABAJO BAJO PLANILLA. // se acepto la excepcion de 300 soles. pagara mañana 31/01 en el bcp se le enviara mensaje de texto. </t>
  </si>
  <si>
    <t xml:space="preserve">DEUDA TOTAL: 9980 SOLES // CAPITAL: 5800 / CAMPAÑA: 3000 MIL SOLES / TT MENCIONA QUE ABONARA LOS 3000 MIL SOLES EL DIA 24/1 EN LA MAÑANA / EL DINERO ES DE UN DINERO QUE ESTA PENDIENTE DE COBRAR LE DIERON EL CHEQUE PERO ESTABA MAL SUS DATOS / EDAD 40 AÑOS / DOS HIJOS EN ETAPA ESCOLAR DEBE A TRES ENTIDADES / FINANCIERA DE CREDITOS AREQUIPA /EDYPIME CREDIT / AREQUIPA CITY SAVING / TT INICA QUE SE LE LLAME UEVAMENTE PER QUE SI SE LE GENERE EL COMPROMISO / </t>
  </si>
  <si>
    <t xml:space="preserve">DEUDA TOTAL:1200 KAPITAL: 400 CAMPÑA: 400 MINIMO 350 SOLES, SE LE MENCIONA QUE LE ENVIARMOS INF POR MENSAJE, TAMBIEN MANIFIETA QUERER U CARTA DE NO ADEUDO. </t>
  </si>
  <si>
    <t>SUSTENTO: SR MENCIONA QUE LE DARAN UN PRESTAMO A FIN DE MES DE AHI PODRA PAGAR.</t>
  </si>
  <si>
    <t>NO PAGO: MENCINA QUE NO PAGO POR TEMAS ECONOMICOS, Y EL AÑO PASADO SOLO TUPO PAGA UNA CUOTA.</t>
  </si>
  <si>
    <t>deuda total:1700 kapital:800 campaña:250  pagara hasta el 20-05 los 250 por transferencia, se le explica sobre campaña de descuento, menciona que ya no esta trabjando desde el mes pasado por la cuarentena.</t>
  </si>
  <si>
    <t>no pago: por temas economicos, no explica mas.</t>
  </si>
  <si>
    <t xml:space="preserve">search: trabaja en ALLUS SPAIN S.L SUCURSAL DEL PERU y tiene deuda en caja piura y falabella 999006825 </t>
  </si>
  <si>
    <t xml:space="preserve">sustento: su sueldo </t>
  </si>
  <si>
    <t xml:space="preserve">DEUDA TOTAL:5000 CAMPAÑA: 550 TT MENCIONA QUE DEJO DE PAGAR POR TEMAS ECONOMICOS ANTES NO PUD ACEPTAR LA CAMPAÑA PORQUE NO TENIA EL DINERO, PROPONE PAGAR 225 EL 21/02 Y EL 29/02 LA DIFERENCIA 225 SEARCH: 32 AÑOS, TRABAJA EN SERVICIOS Y REPRESENTACIONES R.R. SOCIEDAD DE RESPONSABILIDAD LIMITADA, TIENE DEUDA EN BANCO DE CREDITO DEL PERU Y FINANCIERA OH SUMA 1038.99. </t>
  </si>
  <si>
    <t xml:space="preserve">DEUDA TOTAL:5200 KAPITAL:5200 CAMPAÑA:REFINANCIAR 500X 3 MESES / 30-04 ULTIMA CUOTA DE 500 SOLES. </t>
  </si>
  <si>
    <t>SUSTENTO: DE SU SUELDO DEL TRABAJO ( TRABAJA EN UPC)</t>
  </si>
  <si>
    <t xml:space="preserve">NO PAGO: SI ESTABA  PGANADO CUOTAS HASTA QUE SE VEMDIO LA CARTERA EXPERTIS. </t>
  </si>
  <si>
    <t>POSIBLEMENYE VENGA A RECOGER SU CARTA A LA OFI</t>
  </si>
  <si>
    <t xml:space="preserve">DEUDA TOTAL:7205 CAPITAL:2937 CAMPAÑA:2345 SRA MENCIONA QUE HACE UNA SDMANA LE LLEGO UN CORREO DONDE LE DECIAN QUE HASTA LA 15-05 PODIA PAGAR 1648 / PROPONE PAGAR 1000 PERO SE LE PIDE MINIMO DE 1335 SOLES, SE CONSIGUIRA LOS 335 SOLES/ PPC 1,335 SOLES HASTA EL 29-05 / TIENE UN POCO DE DESCONFIANZA, SE LE HARA UN ACUERDO DE CANCELACION/ PREGUNTA POR CARTA DE NO ADEUDO. / LLMADA AL CORP 16. / SE LE EXPLICA TEMAS DE CAMPAÑA . </t>
  </si>
  <si>
    <t>SEARCH: TRABAJA EN BELOW TRADE S.A.C. / NO TIOENE DEUDA EN OTROS BANCOS.</t>
  </si>
  <si>
    <t>SUSTENTO: DE SU LIQUIDACION</t>
  </si>
  <si>
    <t xml:space="preserve">DEUDA TOTL: 302 CAMPAÑA: 210 DEJO DE PGAR PORQUE SE FUE DE VIAJE, PRESTAMO LO SACO PARA EL NEGOCIOQUE TENIA. SEARCH: 25 AÑOS, NO REGISTRA TRABAJO EN PLANILLA, TIENE DEUDA EN </t>
  </si>
  <si>
    <t xml:space="preserve">CAJA RURAL DE AHORRO Y CREDITO CAT PERÚ S.A. Y PRESTMO EN COMPARTAMOS FINANCIERA.  PAGARA EL 14/02 210 EN BCP , SE LE MENCIONA PENALIDAD.  </t>
  </si>
  <si>
    <t>DICADOR</t>
  </si>
  <si>
    <t>PPC 237 INTERESADA EN LIQUIDAR PORQUE PASADA CTS A CAJA SULLANADA // SE ENVIA WHAT</t>
  </si>
  <si>
    <t xml:space="preserve">dice que dejo de trabajar por que enfermo se recupero pero le fue difícil , ahora si retiro el fondo de su afp </t>
  </si>
  <si>
    <t>dt:1600</t>
  </si>
  <si>
    <t xml:space="preserve">sustento : tiene dinero afp </t>
  </si>
  <si>
    <t xml:space="preserve">campaña : 150 </t>
  </si>
  <si>
    <t xml:space="preserve">menciona que el dia miercoles puede realizarlo </t>
  </si>
  <si>
    <t>DISCADOR MAL</t>
  </si>
  <si>
    <t>TT SOLICITA QUE ENTREGUEN CARTA DE NO ADEUDO EN EL MOMENTO DE CANCELAR YA QUE DESCONFIA // DT 5996 DK  3930 //  SE INDICA LIQUIDAR 2000 //  IRA OFCI PARA CONFIRMAR INF, BRINDADA //</t>
  </si>
  <si>
    <t xml:space="preserve">DISCADOR TT INDICA QUE RECIEN ESTA LABORANDO, ABONARA 100 SOLES EL DIA  14/09/2019 Y LA DIFERENCIA PARA FIN DE MES . SE ENVIA FORMA DE PAGO DE NUMERO PERSONAL </t>
  </si>
  <si>
    <t>DISCADOR</t>
  </si>
  <si>
    <t>920621121 //  PPC 550 // 10 AM</t>
  </si>
  <si>
    <t>DT  408.33</t>
  </si>
  <si>
    <t>DK  385.30</t>
  </si>
  <si>
    <t>CAMPAÑA 386</t>
  </si>
  <si>
    <t>TT CANCELARA EL SABADO POR LA MAÑANA YA QUE POR MOTIVOS DE TRABAJO NO PUDO ACERCARSE ANTES</t>
  </si>
  <si>
    <t>PPC 386 POR LA MAÑANA</t>
  </si>
  <si>
    <t>PPC 272</t>
  </si>
  <si>
    <t xml:space="preserve">SE ENVIA CUENTA BCP </t>
  </si>
  <si>
    <t>TT DEJO DE CANCELAR PORQUE LE CHOCARON SU CARRO CON EL CUAL TRABAJA ESPOSO Y TUVO GASTOS// DT 1320 // SE INDICA LIQUIDAR 500 //</t>
  </si>
  <si>
    <t>ABONARA 150 13/12  + 350 28/12</t>
  </si>
  <si>
    <t>TT INDICA QUE DEJO DE CANCELAR PORQUE SALIO DE TRABAJO//</t>
  </si>
  <si>
    <t xml:space="preserve">PPC 350 </t>
  </si>
  <si>
    <t>dk  S/ 725.00 dt: 60.00</t>
  </si>
  <si>
    <t>campaña: S/ 35.00</t>
  </si>
  <si>
    <t>Indice que no pago porque esa deuda era de unos intereses que ella no reconocia</t>
  </si>
  <si>
    <t>se acercara hoy por la tarde.</t>
  </si>
  <si>
    <t>DK 1020.83, DT 2300, CAMPAÑA 350, ANTIGUEDAD 3 AÑOS, ABONARA EL 31/03 YA QUE ESTA EN GASTOS ESCOLARES, SACARA DINERO DE UNA JUNTA, TRABAJA INDEPENDIENTE, NO PAGO PORQUE ENFERMO Y SE LE COMPLICO LAS COSAS, 42 AÑOS, SOLO FINANCIERA OH COMO ENTIDADA REPORTADA 960644793</t>
  </si>
  <si>
    <t>dk 1100</t>
  </si>
  <si>
    <t>mc 220</t>
  </si>
  <si>
    <t xml:space="preserve">EXCEPCION APROBADA 180 </t>
  </si>
  <si>
    <t xml:space="preserve">tt dejo de pagar ya que dejo de trabajar y no habia quien cuide a sus pequeños sin embargo pagara el monto de 180 con excepcion aprobada ya que no logro juntar el monto de campaña </t>
  </si>
  <si>
    <t>GRABACION DE VOZ GUARDADA Y GRABACION DE VOZ DE EXCEPCION GUARDADA</t>
  </si>
  <si>
    <t>DK 1114.60</t>
  </si>
  <si>
    <t>CAMPAÑA 891</t>
  </si>
  <si>
    <t>ANTIGUEDAD 5 AÑOS</t>
  </si>
  <si>
    <t>TT INDICA QUE NO LE DIERON EL PRESTAMO, DESEA HACER ABONOS LIBRES DE 100 SOLES DE MANERA MENSUAL, ABONARA EL 31/03, TRABAJA VENDIENDO ROPA, NO CANCELO YA QUE TIENE GASTOS CON SU PAPA QUE ESTA ENFERMO Y SUS HIJOS, DESEA SALIR DE ESTE INCONVENIENTE, 28 AÑOS, ENTIDAD REPORTADA CON ATRASO SOLO ALTERNATIVA.</t>
  </si>
  <si>
    <t>DK 2888</t>
  </si>
  <si>
    <t>CAMPAÑA 2700</t>
  </si>
  <si>
    <t>SUSTENTO : VENDERA SU TERRENO ANTES DE ESTE FIN DE MES</t>
  </si>
  <si>
    <t>SEARCH 63 AÑOS /0 HIJOS / 1 DEUDA</t>
  </si>
  <si>
    <t>DK 647.67</t>
  </si>
  <si>
    <t>DT 1300</t>
  </si>
  <si>
    <t>CAMPAÑA 570</t>
  </si>
  <si>
    <t xml:space="preserve">TT NO PAGO YA QUE ENCARGO PAGO A TERCERA PERSONA Y ESTE NO REALIZO EL ABONO, QUIERE CANCELAR EL DIA 16/03 YA QUE TIENE DINERO A MANO, LE PEDIRA A LA TERCERA PERSONA, ABONARA EN LA TARDE, TT SACO PRESTAMO PARA HERMANA Y DEJO DE PAGAR, TRABAJA EN CONTINENTAL S.A.C., 43 AÑOS, NO REPORTA ENTIDADES EN EL SEARCH. </t>
  </si>
  <si>
    <t>DK 6517.47</t>
  </si>
  <si>
    <t>DT 11200</t>
  </si>
  <si>
    <t>CAMPAÑA 4500</t>
  </si>
  <si>
    <t>ANTIGUEDAD 2 AÑOS</t>
  </si>
  <si>
    <t>TT INDICA QUE QUIERE BAJAR A FIN DE MES PARA CANCELAR ESTA DEUDA YA QUE ESTA EN EL VRAE, PAGARA EL 31/03, NO PAGO POR PROBLEMAS ECONOMICOS, SACO PRESTAMO PARA NEGOCIO, 55 AÑOS, TRABAJA EN MUNICIPALIDAD DISTRITAL DE ECHARATI, SUELDO 3033, NO REPORTA ENTIDADES FINANCIERAS EN SEARCH.</t>
  </si>
  <si>
    <t>DK 665</t>
  </si>
  <si>
    <t>MDI: INDICA QUE PROBLEMA CON EL BANCO Y NO PAGO// ESTAFA</t>
  </si>
  <si>
    <t>SEARCH: NO UTILIZADO</t>
  </si>
  <si>
    <t>STP: ESTA A LA ESPERA DE SU AFP</t>
  </si>
  <si>
    <t>OBS: LLAMAR EL DIA LUNES PARA CONFIRMAR</t>
  </si>
  <si>
    <t xml:space="preserve">CORRECCION DE PDP ANTERIOR </t>
  </si>
  <si>
    <t>DK 8612.14</t>
  </si>
  <si>
    <t>DT 15000</t>
  </si>
  <si>
    <t>CAMPAÑA 1900</t>
  </si>
  <si>
    <t xml:space="preserve">TT INDICA QUE YA QUIERE SALIR DE ESTE INCONVENIENTE, INDICA QUE PAGARA EL 25/03, SACARA DINERO DE UN PRESTAMO PARA CANCELAR, TRABAJA Y SE VE ACTIVO EN TRANSPORTES PALOMINO ESTRADA E.I.R.L. CON SUELDO 2503, 39 AÑOS, ENTIDADES REPORTADAS BCP, CAJA RURAL DE AHORRO Y CREDITO CAT PERÚ S.A., BBVA, FINANCIERA OH, CLIENTE APURADO NO DEJA TERMINAR LA LLAMADA, SE LE ENVIA POR MENSAJE DE WHATSAPP LA PENALIDAD Y LOS BENEFICIOS. </t>
  </si>
  <si>
    <t>DK S/.1927</t>
  </si>
  <si>
    <t>DT S/.4851</t>
  </si>
  <si>
    <t>CAMPAÑA S/.1377</t>
  </si>
  <si>
    <t>TT SE COMUNICA AL CORPORATIVO Y MENCIONA QUE LE LLEGÒ UN SMS CON DT DE S/.4851 Y CAMPAÑA DE CANCELACION CON S/.1377//SE MENCION CAMPAÑA SOLO DURA POR 24 HRS Y SE PUEDE HACER UNA EXCEPCION PARA FIN DE MES SI ABONA ANTES PARTE DE LA CAMPAÑA//TT CONFIRMA QUE EL LUNES ABONARÀ S/.500 Y EL 30/01 877</t>
  </si>
  <si>
    <t>36 AÑOS//NO HAY MAR INFORMACION EN SEARCH</t>
  </si>
  <si>
    <t>DK: 350    PPC 268.00</t>
  </si>
  <si>
    <t>MDP:SE SU TRABAJO</t>
  </si>
  <si>
    <t xml:space="preserve">TAT UN POCO INSEGURA ACEPTA CANCELAR CON 268.00 SOLES PARA FIN DE MES ES MUY CORTANTE. EN LA ULTIMA LLMADA* </t>
  </si>
  <si>
    <t>dk:1140</t>
  </si>
  <si>
    <t>camapaña:750</t>
  </si>
  <si>
    <t>motivo de no pago: socio le llevo el dinero, negocio se fue a la quiebra.</t>
  </si>
  <si>
    <t>sustento de pago: cuanta con dinero.</t>
  </si>
  <si>
    <t>observacion: tt, indica que desea realizar pago en 2 cuotas como primera cuota mañana 12-05-20</t>
  </si>
  <si>
    <t>y al diferencia 400 soles el 30-05</t>
  </si>
  <si>
    <t>Dk:1665</t>
  </si>
  <si>
    <t>cmapaña:800</t>
  </si>
  <si>
    <t>fecha de pago:29-05-20</t>
  </si>
  <si>
    <t>motivo de no pago:</t>
  </si>
  <si>
    <t>sustento de pago:HIJA CUENTA CON DINERO.</t>
  </si>
  <si>
    <t>contesta:la hija karin garcia abaca CON Nª CEL. 945755023 .encargadandenrealizar el pago.</t>
  </si>
  <si>
    <t>dk:2770.22</t>
  </si>
  <si>
    <t>cmapaña:2100</t>
  </si>
  <si>
    <t>sustento de no pago:cuenta con dinero en la mano.</t>
  </si>
  <si>
    <t>dk:400</t>
  </si>
  <si>
    <t>cmapaña:126</t>
  </si>
  <si>
    <t>fehca de pago: 28-05-20</t>
  </si>
  <si>
    <t>hora: 10 2pm</t>
  </si>
  <si>
    <t>sustento de pago: cuenta con dinero.</t>
  </si>
  <si>
    <t>DK:4381</t>
  </si>
  <si>
    <t>CMAPAÑA:880</t>
  </si>
  <si>
    <t>FECHA DE PAGO:30-04-20</t>
  </si>
  <si>
    <t>MOTIVO DE NO PAGO: ECONOMICOS, SALUD DE SU MAMA.</t>
  </si>
  <si>
    <t>SUSTENTO DE PAGO:PAGO DE HABERES.</t>
  </si>
  <si>
    <t>UNICA DEUDA.</t>
  </si>
  <si>
    <t>dk:450</t>
  </si>
  <si>
    <t>camapaña:90</t>
  </si>
  <si>
    <t>fecha de pago:14-04-20</t>
  </si>
  <si>
    <t>motivo de no pago: personales</t>
  </si>
  <si>
    <t>dk:848</t>
  </si>
  <si>
    <t>cmapaña:190</t>
  </si>
  <si>
    <t>sustento de pago:cuenta con dinero de ahorros.</t>
  </si>
  <si>
    <t>t, es asmatica, no puede salir de casa.</t>
  </si>
  <si>
    <t xml:space="preserve">DNI asignado por Mariangela (campaña en agencia del av el sol : Nathaly Jimenez ) se confirma PPC  x 500 al 30/09 </t>
  </si>
  <si>
    <t xml:space="preserve">DR 960 DK 320 CAMPAÑA 99 </t>
  </si>
  <si>
    <t>TT DICE DENTRO DE QUINCENA HACE CANCELACION</t>
  </si>
  <si>
    <t xml:space="preserve">STP: TT SE PRESTA </t>
  </si>
  <si>
    <t>// SE ME FUE LA FICHA</t>
  </si>
  <si>
    <t xml:space="preserve">DT  1480  AACUERD 300 tt esta trabajando , tiene intension de pagar cancelara el monto de 300 soles para el dia de 30 /11 ,  </t>
  </si>
  <si>
    <t>DT  2,226.52</t>
  </si>
  <si>
    <t xml:space="preserve">ESPOSO SR.  SILVA   INDICA SE AHARA DE DEUDA POR LO CUAL CANCELARA PPC </t>
  </si>
  <si>
    <t xml:space="preserve">PPC 356 </t>
  </si>
  <si>
    <t>DT  3100</t>
  </si>
  <si>
    <t>DESC 1100</t>
  </si>
  <si>
    <t xml:space="preserve">PPC SE DA EXCEPCION DE CANCELAR 1100 PARA MAS TARDAR 24/02 ESPERA DE LA VENTA DEL TERRENO DE SU HERMANA YA ESTA EN TRAMITE SEARCH  56 AÑOS  / SIN DATOS DE HIJOS / SIN DATOS DE TRBAJO / UNA ENTIDAD REPORTADA Y OTRA ESTA AL DIA  / </t>
  </si>
  <si>
    <t>DT  3800 ACUERD 1500  , TIENE  INTERES DE PAGO , TRABAJA CANCELARA CON SU SUELDO , 17 DIC CONFIRMA CANCELACION . 957995675</t>
  </si>
  <si>
    <t>dt  534</t>
  </si>
  <si>
    <t>desc 400</t>
  </si>
  <si>
    <t xml:space="preserve">ppc se da opcion de cancelacion de 400 para mas tardar 28/02 ya tiene 300 le falta conseguir los 100   / 39 AÑOS /  DATOS DE TRBAJO EN CESE / 1 HIJO / SIN DATOS DE DEUDA </t>
  </si>
  <si>
    <t>DT  7600</t>
  </si>
  <si>
    <t>DK 3600</t>
  </si>
  <si>
    <t xml:space="preserve">PPC SE DA EXCEPCION DE 680 PARA MAS TARDAR EL  11/01 VERA SI LO PUEDE REALIZAR HOY YA TIENE EL DINERO / 45 AÑOS / TIENE TRBAJO / SIN HIJOS /  </t>
  </si>
  <si>
    <t>dt  8700</t>
  </si>
  <si>
    <t>desc 1500</t>
  </si>
  <si>
    <t xml:space="preserve">ppc se excepcion de cancelar 1500 para el 25/01 a mas tardar tt quiere cancelar para poder trabajar search 56 años  / sin datos de trabajo / sin datos de hijos / sin deudas adicionales </t>
  </si>
  <si>
    <t>DT  S/.2825 Y DK S/.1450</t>
  </si>
  <si>
    <t>SE OFRECE LA CANCELACION EN DOS PARTES, EL 23/12 DE S/.725 Y EL 30/12 S/.725 SIENDO LA SUMA DE S/.1450 CANCELANDO DE ESTA MANERA LA DEUDA</t>
  </si>
  <si>
    <t xml:space="preserve">DT :  10600 </t>
  </si>
  <si>
    <t>PPC SE DA OPCION DE PAGAR 5000 PARA EL 17/01 A MAS TARDAR POR QUE LE PAGAN SU SUELDO EL 15/01 INDICA QUE SU HERMANO NO LE QUISO PRESTAR PERO SI QUIERE SOLUCIONAR  / TIEN TRBAJO EN MINA / 4 ENTIDADES REPORTADAS /  39 AÑOS / SIN FAMILIA</t>
  </si>
  <si>
    <t xml:space="preserve">dt : 1000 soles  campaña : 350 soles </t>
  </si>
  <si>
    <t>tt pagara el 06-12 350 soles en interbank , lo hara al mediodia , enviara voucher</t>
  </si>
  <si>
    <t xml:space="preserve">dt : 1200 soles , campaña : 200 soles </t>
  </si>
  <si>
    <t>tt pagara el 28-01 200 soles en cancelacion, indica q lo hara por la tarde</t>
  </si>
  <si>
    <t xml:space="preserve">dt : 1200 soles , campaña : 795 soles </t>
  </si>
  <si>
    <t>tt pagara hoy 20-01 795 soles en cancelacion , ya se le envio por sms cuenta bcp e interbank</t>
  </si>
  <si>
    <t xml:space="preserve">no trabaja en planilla , tiene deuda con azteca , tiene 50 años </t>
  </si>
  <si>
    <t xml:space="preserve">dt : 12100 soles  , campaña : 1600 soles, excepcion : 1500 soles </t>
  </si>
  <si>
    <t xml:space="preserve">tt pagara mañana 28-01 1500 soles , indica que ya valido su deuda en la agencia , lo hara por la tarde </t>
  </si>
  <si>
    <t xml:space="preserve">DT : 13000 SOLES   DK : 5700 SOLES  CAMPAÑA : 3500 SOLES </t>
  </si>
  <si>
    <t xml:space="preserve">tt pagara el 23-12 3500 soles en cancelacion, indica durante el dia , enviara voucher  </t>
  </si>
  <si>
    <t xml:space="preserve">dt : 1307 soles , campaña : 515 soles </t>
  </si>
  <si>
    <t>tt pagara el 17-01 515 soles en CREDINKA , indica q enviara a un familiar ya que el se encuentra muy lejos de la ciudad, vll</t>
  </si>
  <si>
    <t xml:space="preserve">dt : 1500 soles , campaña : 250 soles </t>
  </si>
  <si>
    <t xml:space="preserve">tt confirma pago para el 24-01 250 soles en cancelacion, indica que la señora que le iba a enviar el prestamo no contesta pero sin falta lo hara ese dia , enviara voucher </t>
  </si>
  <si>
    <t xml:space="preserve">tt indica q le daran un prestamo familiar entre el 18 al 20 y el 22 hara el pago de 250 soles en cancelacion por la tarde, es su unica deuda , vll </t>
  </si>
  <si>
    <t xml:space="preserve">dt : 1500 soles , campaña : 370 soles </t>
  </si>
  <si>
    <t>tt pagara hoy 15-01 370 soles en cancelacion , enviara voucher , indica q ya tiene dinero en mano , lo hara en caja sullana</t>
  </si>
  <si>
    <t xml:space="preserve">DT : 16000  CAMPAÑA : 5300 SOLES    EXCEPCION : 3500 SOLES </t>
  </si>
  <si>
    <t xml:space="preserve">SUSTENTO : TT INDICA Q YA TIENE EL DINERO EN MANO Y LO HARA MAÑANA 18-12 10:00AM , ENVIARA VOUCHER </t>
  </si>
  <si>
    <t xml:space="preserve">dt : 1690 soles , campaña : 200 soles </t>
  </si>
  <si>
    <t xml:space="preserve">tt pagara el 07-02 200 soles,indica que se acercara a expertis ese dia 4:00pm y ese mismo dia lo cancelara, se le envia informacion por whatsapp </t>
  </si>
  <si>
    <t xml:space="preserve">search : unica deuda y trabaja bajo planilla </t>
  </si>
  <si>
    <t xml:space="preserve">dt : 1700 soles , campaña : 200 soles </t>
  </si>
  <si>
    <t xml:space="preserve">tt pagara el 20-01 200 soles en cancelacion , lo hara al mediodia </t>
  </si>
  <si>
    <t xml:space="preserve">dt : 1700 soles, campaña : 660 sole </t>
  </si>
  <si>
    <t>tt pagara el 28-01 660 soles en credinka , indica que ya tiene el dinero en mano pero esta lejos y viajara para pagar , se envia sms por whatsapp</t>
  </si>
  <si>
    <t>dt : 174</t>
  </si>
  <si>
    <t>desc : 104</t>
  </si>
  <si>
    <t>ppc se da opcion de dscto de s/104 pra fehca hoy 03/03 /20</t>
  </si>
  <si>
    <t xml:space="preserve">inbound asignado // gestion por mayra </t>
  </si>
  <si>
    <t xml:space="preserve">dt s/ 174 // se valida que actualmente esta trabajando con sueldo de s/1288 // no se valida  que tenga hijos </t>
  </si>
  <si>
    <t xml:space="preserve">no registra entidad financiera </t>
  </si>
  <si>
    <t xml:space="preserve">dt : 1850 soles, campaña : 400 soles , excepcion : 350 soles </t>
  </si>
  <si>
    <t xml:space="preserve">tt pagara mañana 12-02 350 soles en cancelacion , lo hara 3:00pm , enviara voucher </t>
  </si>
  <si>
    <t xml:space="preserve">search : unica deuda, no trabaja bajo planilla </t>
  </si>
  <si>
    <t xml:space="preserve">dt : 2000 soles  , campaña : 800 soles </t>
  </si>
  <si>
    <t xml:space="preserve">tt pagara el 10-01 800 soles en cancelacion por interbank , enviara voucher </t>
  </si>
  <si>
    <t>DT : 2048 DK : 1955  CAMPAÑA : 1100   EXCEPCION</t>
  </si>
  <si>
    <t xml:space="preserve">SUSTENTO : TIENE EL DINERO EN MANO , DINERO FUE PREESTADO 700 SOLES </t>
  </si>
  <si>
    <t xml:space="preserve">MOTIVO : NO PAGO POR DESCONFIANZA Y OTROS NUMEROS QUE LE LLAMABAN . </t>
  </si>
  <si>
    <t>DT : 2100</t>
  </si>
  <si>
    <t>DESC :1800</t>
  </si>
  <si>
    <t>PPC TT ACEPTA DESC 1800 PARA MAS TARDAR 28/02 ABONARA 300 PARA EL 15/02 INDICA QUE NO PAGO POR QUE VENCIO EL ALQUILER DE SU LOCAL Y ES EL UNICO INGRESO QUE TIENE EL PAGO PEDENDERA DE SU NEGOCIO SEARCH / 24 AÑOS / SIN DATOS DE HIJOS / SIN DATOS DE TRABAJO ES NEGOCIANTE / NO TIENE OTRAS DEUDAS</t>
  </si>
  <si>
    <t>LLMADA DISCADOR</t>
  </si>
  <si>
    <t>DT : 2500</t>
  </si>
  <si>
    <t>CAP: 1600</t>
  </si>
  <si>
    <t xml:space="preserve">CAMPAÑA : 550 </t>
  </si>
  <si>
    <t>CRISTINA ANDRADE RODRIGUEZ / 70 AÑOS</t>
  </si>
  <si>
    <t xml:space="preserve">DEUDA BANCO RIPLEY </t>
  </si>
  <si>
    <t>SE GESTIONA CON EL TITULAR PARA LA CANCELACION TOTAL IMPORTE DE S/550 FECHA 29/02/20 COMPROMISO DE PAGO CANCELACION TOTAL</t>
  </si>
  <si>
    <t xml:space="preserve">dt : 2600 soles , campaña  :500 soles </t>
  </si>
  <si>
    <t xml:space="preserve">tt pagara el 24-01 500 soles en cancelacion, enviara voucher </t>
  </si>
  <si>
    <t>DT : 2800 DK : 460  CAMPAÑA : 450</t>
  </si>
  <si>
    <t xml:space="preserve">SUSTENTO : TT CON SEGURIDAD VA PAGAR EL 30/04 YA SE ENCUENTRA EN HUANCAYO SI PUEDE ANTES . EL 17/04 ABONO 200 . RESTA 250 . </t>
  </si>
  <si>
    <t xml:space="preserve">MOTIVO : NO PAGO POR LA CUARENTENA Y LE DEMORAN EL PAGO TUVO QUE VIAJAR A HUANCAYO PARA CONSGUIR TRABAJO .  </t>
  </si>
  <si>
    <t xml:space="preserve">PAGA POR BCP </t>
  </si>
  <si>
    <t xml:space="preserve">DT : 2890 SOLES  DK : 1500 SOLES  CAMPAÑA : 300 SOLES </t>
  </si>
  <si>
    <t xml:space="preserve">tt pagara el 30-12 300 soles en cancelacion, enviara voucher </t>
  </si>
  <si>
    <t xml:space="preserve">dt : 2900 soles   campaña : 300 soles  saldo : 200 soles </t>
  </si>
  <si>
    <t xml:space="preserve">tt pagara hoy 02-01 saldo de 200 soles en cancelacion, enviara voucher </t>
  </si>
  <si>
    <t xml:space="preserve">DT : 300 SOLES    DK : 230 SOLES     CAMPAÑA : 180 SOLES </t>
  </si>
  <si>
    <t>tt pagara el 20-12 180 soles en cancelacion, enviara voucher</t>
  </si>
  <si>
    <t xml:space="preserve">dt : 3000 soles   campaña : 2400 soles </t>
  </si>
  <si>
    <t xml:space="preserve">tt pagara hoy 02-01 2400 soles en cancelacion en agente Interbank , enviara voucher , lo hara 6:00pm </t>
  </si>
  <si>
    <t xml:space="preserve">dt : 3000 soles , campaña : 580 soles, excepcion : 350 soles </t>
  </si>
  <si>
    <t xml:space="preserve">tt sobrina carmen moreno pagara hoy 29-01 350 soles en cancelacion, lo hara en interbank por la tarde, enviara voucher </t>
  </si>
  <si>
    <t xml:space="preserve">search : deuda con ripley , 64 años , no trabaja bajo planilla </t>
  </si>
  <si>
    <t xml:space="preserve">DT : 3300 SOLES  DK : 2300 SOLES   CAMPAÑA : 1500 SOLES </t>
  </si>
  <si>
    <t xml:space="preserve">EXCEPCION : 1364 SOLES </t>
  </si>
  <si>
    <t xml:space="preserve">tt esposa nadieska indica q le llego un sms con el monto de 1364 soles y ese monto lo puede pagar mañana 2:00pm sin falta , se le indica q se elevara excepcion , tiene el dinero en mano </t>
  </si>
  <si>
    <t xml:space="preserve">dt : 334.80 soles </t>
  </si>
  <si>
    <t xml:space="preserve">tt indica q no le reciben cuota de 460 soles ya que en el sistema de credinka le registra como tope 334.80 soles , indica que pagara hoy 20-02 ese importe para cancelacion, enviara voucher </t>
  </si>
  <si>
    <t>DT : 3400</t>
  </si>
  <si>
    <t>DESC 1600</t>
  </si>
  <si>
    <t>PPC 1600 SE DA EXCEPCION TT YA TIENE EL DINERO LE PRESTO SU AMIGO PAGARA ENTRE HOY 1 O 2 PM EN LA AHENCIA DE BARRANCA O PARAMONGA  / 74 AÑOS / RECIBE PENCION 884 / 1  DEUDA REPORTAD / 2 HIJOS</t>
  </si>
  <si>
    <t xml:space="preserve">dt : 350 soles , campaña : 200 soles </t>
  </si>
  <si>
    <t xml:space="preserve">tt indica que ya se encuentra cerca a credinka y lo hara en 15 min , se le envia sms por whatsapp con la informacion </t>
  </si>
  <si>
    <t xml:space="preserve">search : no tiene deuda con otra entidad , no trabaja bajo planilla </t>
  </si>
  <si>
    <t xml:space="preserve">DT : 3528 DK : 1813   </t>
  </si>
  <si>
    <t>CAMPAÑA SMS : 363</t>
  </si>
  <si>
    <t xml:space="preserve">SUSTENTO : TIENE EL DINERO , VA REALIZAR DE FORMA INTERBANCARIA . </t>
  </si>
  <si>
    <t>MOTIVO : PROBLEMAS PERSONALES .</t>
  </si>
  <si>
    <t xml:space="preserve">CON ESTE CLIENTE SE ESTA COORDINANDO DESDE AYER . </t>
  </si>
  <si>
    <t xml:space="preserve">dt : 3800 soles   campaña : 1200 soles  </t>
  </si>
  <si>
    <t>tt sra clarisa pagara el 07-01 1200 soles en cancelacion , lo hara al mediodia , enviara voucher, indica que el dinero le van a dar en 2 dias</t>
  </si>
  <si>
    <t xml:space="preserve">dt : 3800 soles  , campaña : 1200 soles </t>
  </si>
  <si>
    <t xml:space="preserve">sustento : tt hermana clarisa bustamante indica que ya le confirmaron que el prestamo sale para el sabado , va a retirar 8000 soles y de ahi pagara la deuda , lo hara en el BCP , enviara voucher </t>
  </si>
  <si>
    <t xml:space="preserve">dt : 3800 soles , campaña : 1200 soles </t>
  </si>
  <si>
    <t>tt pagara hoy 13-01 1200 soles en cancelacion en el BCP al mediodia, ya tiene el dinero en mano , enviara voucher</t>
  </si>
  <si>
    <t xml:space="preserve">DT : 400 SOLES /CAMPAÑA: 180 SOLES // SE RETRASO YA QUE TRABAJA EN EL MONTE POR ESO SE RETRASO / EL TT SE DEDICA A LA COSECHA DE FRUTAS COMO PEON TRABAJA POR TEMPORADA DE SIEMBRA / FECHA DE PAGO: SABADO 11 EN LA MISMA CAJA SULLANA / HIJOS SI TIENE // DOS DEUDAS FINANCIERA EFECTIVA  Y CAJA AREQUIPA / TIENE 31 AÑOS / </t>
  </si>
  <si>
    <t>DT : 410 DK : 200</t>
  </si>
  <si>
    <t xml:space="preserve">CAMPAÑA: 200 </t>
  </si>
  <si>
    <t xml:space="preserve">SUSTENTO : TIENE EL DINERO LE PAGARON , VA HACER TRANSFERENCIA POR BANCO DE LA NACION </t>
  </si>
  <si>
    <t xml:space="preserve">MOTIVO : NO SE PUEDE TRASLADAR A UNA AGENCIA </t>
  </si>
  <si>
    <t xml:space="preserve">DT : 4201 DK : 2722 CAMPAÑA : 1570  EXCEPCION </t>
  </si>
  <si>
    <t>SUSTENTO : TT LE PAGAN EL DIA DE MAÑANA DE SU TRABAJO . PAGO POR TRANSFERENCIA BCP</t>
  </si>
  <si>
    <t>MOTIVO : NO DISPONE DE MAS DE 800 YA HIZO GASTOS DE SU CTS Y OTRAS OBLIGACIONES</t>
  </si>
  <si>
    <t xml:space="preserve">dt : 4470 soles , campaña : 547 soles </t>
  </si>
  <si>
    <t>tt pagara hoy 13-01 547 soles en cancelacion por INTERBANK , enviara voucher , lo hara al mediodia</t>
  </si>
  <si>
    <t>solo tiene una deuda con ripley</t>
  </si>
  <si>
    <t>DT : 4500</t>
  </si>
  <si>
    <t xml:space="preserve">PPC SE DA OPCION DE PAGAR 1700 16/01 YA TIENE EL DINERO SU HERMANO LE PRESTO QUIERE CANCELAR POR QUE ESTA MAL DE SALUD Y NO PUEDE TRABAJAR / 48  AÑOS / SIN HIJOS / SIN ENDIDADES RETORTAS </t>
  </si>
  <si>
    <t xml:space="preserve">dt : 4800 soles , campaña : 2400 soles </t>
  </si>
  <si>
    <t xml:space="preserve">tt indica q solicitara un prestamo mediante su papa para pagar el 27-01 2400 soles en credinka, se le envia informacion por whatsapp </t>
  </si>
  <si>
    <t xml:space="preserve">dt : 650 soles, campaña : 200 soles </t>
  </si>
  <si>
    <t xml:space="preserve">tt pagara el 13-02 200 soles en cancelacion en credinka , se acercara a expertis por la tarde 4:00pm , indica que desea la carta para el dia siguiente </t>
  </si>
  <si>
    <t xml:space="preserve">dt : 700 soles , campaña : 500 soles , excepcion : 250 soles </t>
  </si>
  <si>
    <t xml:space="preserve">tt pagara el 28-01 250 soles en mibanco para cancelacion, enviara voucher, indica que ese dia le habilitaran el dinero </t>
  </si>
  <si>
    <t xml:space="preserve">search : unica deuda , no trabaja bajo planilla </t>
  </si>
  <si>
    <t>DT : 7300 soles  campaña : 1900 soles</t>
  </si>
  <si>
    <t>tt pagara el 16-12 950 soles y el 17-12 950 soles para cancelacion de su deuda en base a campaña de 1900 soles , lo hara 3:00pm</t>
  </si>
  <si>
    <t xml:space="preserve">DT : 750 ,  DK : 413  , TT INDICA QUE NO SABE CUANDO PAGAR .  QUE SE VA COMUNICAR CON NOSOTROS , CAMPAÑA : 350  TT ABONARA 50 EL 16 DE ESTE MES Y FIN DE MES CANCELACION  CON LOS 300 </t>
  </si>
  <si>
    <t xml:space="preserve">DT : 7500.00 </t>
  </si>
  <si>
    <t xml:space="preserve">DK : 130.00 </t>
  </si>
  <si>
    <t>SE REPROGRAMA PAGO PARA EL DIA 21/02 YA QUE POR TEMAS DE TIEMPO Y PERMISO QUE NO LE DAN NO REALIZO SE ENVIA CTA BCP PARA QUE MANDE UN 3 ERO A PAGAR</t>
  </si>
  <si>
    <t>DT : 800</t>
  </si>
  <si>
    <t>DC: 500</t>
  </si>
  <si>
    <t xml:space="preserve">MOTIVO DE NO PAGO : NUNCA USO LA TARJETA </t>
  </si>
  <si>
    <t>EDITA RIVERA SANCHEZ 42</t>
  </si>
  <si>
    <t>DEUDAS : 3 ENTIDADES</t>
  </si>
  <si>
    <t xml:space="preserve">TITULAR NUNCA USO LA TARJETA  DICE QUE SOLO FUERON INTERES INDICA QUE VA CANCELA LA DEUDA IMPORTE DE S/100 SE ENVIA MODO DE PAGO VIA WSP LLAMADA DEL TELEFONO COPORTAIVO N18 SE GRABO AUDIO DE COMPROMISO </t>
  </si>
  <si>
    <t xml:space="preserve">DT : 8200 DK : 4098 CAMPAÑA : 4100 DISCADOR </t>
  </si>
  <si>
    <t>SUSTENTO: VA CONSEGUIR EL DINERO , INTERESADO EN LA CAMPAÑA . ANTES LE LLEGO SMS</t>
  </si>
  <si>
    <t>MOTIVO : NO PAGO POR SALUD Y ACTUALMENTE CUARENTENA</t>
  </si>
  <si>
    <t xml:space="preserve">dt : 8300 soles , campaña : 1785 soles , excepcion : 1500 soles </t>
  </si>
  <si>
    <t>tt pagara el 18-01 1500 soles en Caja Arequipa, indica que por un tema de distancia no pudo cancelar , pero ya tiene el dinero en mano y lo hara el sabado sin falta</t>
  </si>
  <si>
    <t xml:space="preserve">dt : 8300 soles , campaña: 1800 soles , excepcion : 1550 soles </t>
  </si>
  <si>
    <t xml:space="preserve">tt confirma pago para el 31-01 1550 soles en caja arequipa , se le envia informacion por whatsapp , enviara voucher </t>
  </si>
  <si>
    <t xml:space="preserve">search : tiene deuda con caja piura , no trabaja bajo planilla </t>
  </si>
  <si>
    <t xml:space="preserve">dt : 8300 soles, campaña : 1800 soles , excepcion : 1550 soles </t>
  </si>
  <si>
    <t xml:space="preserve">tt pagara el 31-01 1550 soles en cancelacion sin falta en caja arequipa , indica que por un tema de distancia no pudo cancelar ya que se encuentra lejos de la ciudad </t>
  </si>
  <si>
    <t xml:space="preserve">dt : 850 soles  campaña : 400 soles    </t>
  </si>
  <si>
    <t xml:space="preserve">tt pagara el 04-01 400 soles en cancelacion , indica que hoy se acercara a credinka para validar informacion y el sabado lo pagara , vll </t>
  </si>
  <si>
    <t>DT : 9900</t>
  </si>
  <si>
    <t>DESC : 5000</t>
  </si>
  <si>
    <t>PPC SE DA OPCION DE CANCELACION DE 5000 PARA MAS TARDAR 08/02 INDICA QUE NO PAGO POR PROBLEMAS DE SALUD INDICA QUE YA TIENE EL DINERO ES LO QUE PUDO CONSEGUIR INDICA QUE LE OFRECIERON 6400 PERO NO TIENE QUIERE SOLUCIONAR PARA SALIR DEL SISTEMA Y ESTAR LIMPIA  SEARCH  52 AÑOS  / TIENE TRBAJO INGRESO 1502 / TIENE HIJO /  ENTIDADES REPORTADAS</t>
  </si>
  <si>
    <t>DT : F. DE PAGO 30/01/2020 - S/5,000 -EXCEPCION</t>
  </si>
  <si>
    <t xml:space="preserve"> 95.100//DK;: 56.480.00// campaña s/23.000 </t>
  </si>
  <si>
    <t xml:space="preserve">989041682  tt  rdm : salio de trabajar en caja metropolitana -  jubilada .   </t>
  </si>
  <si>
    <t xml:space="preserve">solo junto s/5,000 </t>
  </si>
  <si>
    <t xml:space="preserve">SDP : DISPONDRA DE ESE EFECTIVO MAXIMO 30/01 - IBK PAGA - DESEA SU CARTA DE NO ADEUDO 24 HORAS </t>
  </si>
  <si>
    <t xml:space="preserve">SEARCH : 61 años , divorciado ,  tiene pension jubilacion s/1,228 , con hijo ,  sobreendeudada  // CTE CONFIRMA VIA WATSAPP ,QUIERE ACUERDO DE PAGO </t>
  </si>
  <si>
    <t xml:space="preserve">DT : S/1000.00 </t>
  </si>
  <si>
    <t>CLIENTE ACCEDE A CANCELAR CON EL IMPORTE DE S/300.00 PARA EL DIA 31/01 PERO NO INDICA SUSTENTO DE PAGO , EDAD 45 AÑOS , SOLTERA , SE ENVIA FORMA DE PAGO</t>
  </si>
  <si>
    <t>DT :1183.87</t>
  </si>
  <si>
    <t>DK :470</t>
  </si>
  <si>
    <t>PROMOCION: 500</t>
  </si>
  <si>
    <t>EXCEPCION:350</t>
  </si>
  <si>
    <t>Sustento:</t>
  </si>
  <si>
    <t>PORQUE NO PAGO: CAYO ENFERMA</t>
  </si>
  <si>
    <t>PARA QUE SACO EL PRESTAMO:  para su negocio propio de comida en su casa</t>
  </si>
  <si>
    <t>llamese si tiene deudas:</t>
  </si>
  <si>
    <t>COMPARTAMOS FINANCIERA</t>
  </si>
  <si>
    <t>edad:44</t>
  </si>
  <si>
    <t>si trabaja:  vende comida / cenas</t>
  </si>
  <si>
    <t>cuanto gana: 1500</t>
  </si>
  <si>
    <t xml:space="preserve"> CAE POR DISCADOR. </t>
  </si>
  <si>
    <t>DT :1200</t>
  </si>
  <si>
    <t>DESC :800</t>
  </si>
  <si>
    <t xml:space="preserve">PPC SE DA OPCION DE CANCELAR CON 800 PARA EL 14/01 INDICA QUE DEJO DE PAGRA POR UNOS PROBLEMAS Y QUIERE CANCELAR POR QUE EL TT NO PUEDE TRBAJR POR QUE ESTA REPORTADO SE HABLA CON TT Y SU PAPA RESP FELIZ MAURO AGUADO GONZALES INDICA QUE AHORA TIENE 500 Y QUIERE PAGAR TODO / 28 AÑOS / SIN TRABAJO / SIN FAMLIA /  SIN ENDIDADES REPORTADAS  /  TIENE DOS VEHICULOS / </t>
  </si>
  <si>
    <t>DT :4000</t>
  </si>
  <si>
    <t>DK :2000</t>
  </si>
  <si>
    <t xml:space="preserve">PROMOCION: 580 </t>
  </si>
  <si>
    <t>TT CANCELARA 350 SOLES EL DIA SABADO - YA QUE EL MES ANTERIOR SOLO CANCELO 230 SOLES</t>
  </si>
  <si>
    <t xml:space="preserve">Sustento: </t>
  </si>
  <si>
    <t xml:space="preserve">PORQUE NO PAGO: EL 2015 SUFRIO ACCIDENTE DE MOTO POR DEJO DE PAGAR TARJETA OH//  </t>
  </si>
  <si>
    <t>PARA QUE SACO EL PRESTAMO: DEUDA ES DE TARJETA DE CREDITO.</t>
  </si>
  <si>
    <t>CONTRAPROPUESTA DEL TT: QUIERE PAGAR SU DEUDA DE LOS 580 SOLES EN DOS PARTES EL DIA 27-01 300 SOLES Y EL DIA 15 DE FEBRERO 280. QUIERE CANCELAR LA DEUDA PARA PODER LIMPIAR SU NOMBRE / EL AÑO PASADO, SE ACCIDENTO DE OBRA, SE PERJUDICO LA COLUMNA, SE LE DIO PARALISIS FACIAL, Y SUFRE DE CORAZON// ENVIARA PAPELES MEDICOS QUE COMP</t>
  </si>
  <si>
    <t>CAJA RURAL DE AHORRO Y CREDITO CAT PERÚ S.A.</t>
  </si>
  <si>
    <t>edad: 48</t>
  </si>
  <si>
    <t>TT CANCELARA SU ULTIMA CUOTA DE 350 - YA QUE EL MES ANTERIOR CANCELO SOLO 230 SOLES</t>
  </si>
  <si>
    <t>dt :9870 / campaña 2700 soles/ problemas con entrega de sus pagos por cheques de sus trabjaos es chofer // lunes 13/01 1350 soles / y el lunes 20/01 1350 soles / en base  a 2700 soles / hijos: 2 hijos / edad 41 años // EDPYME ACCESO CREDITICIO  // CMAC AREQUIPA // COMPARTAMOS FINANCIER //cOOPERATIVA DE AHORRO Y CREDITO LTDA MI FINANCIERA</t>
  </si>
  <si>
    <t>DT 1,125.60</t>
  </si>
  <si>
    <t>CANCELACION 300.00</t>
  </si>
  <si>
    <t xml:space="preserve">TT SE ACOGE A LA CANCELACIÓN EL DIA 07/02/2020, SOLICITA QUE SE LE ENVIE A SU CORREO AKJ_20@HOTMAIL.COM EL ACUERDO Y LA CUENTA PARA PAGAR // TIENE DEUDA CON FALABELLA DE  354.61, TIENE 2 CARROS PLACA B1X172 EN CIRCULACION Y PLACA CIF437 EN FUERA DE CIRCULACION </t>
  </si>
  <si>
    <t>DT 1,370.00</t>
  </si>
  <si>
    <t>CANCELACION 1,094.00</t>
  </si>
  <si>
    <t xml:space="preserve">TT INDICA QUE DEBIA SOLO 5 LETRAS DE 100.00, INDICA QUE VIAJARA A CHILE EN 3 DIAS POR ELLO ESTA CANCELANDO SU DEUDA PORQUE SU MADRE SUFRE DE DIABETES, SE LE BRINDA COMO MIN 850.00 QUIERE SU CARTA DE NO ADEUDO (SE LE INDICA QUE SE LE ENTREGARA EL DIA 13/02 , SE HIZO LA CONSULTA) , PAGO LO REALIZARIA A LAS 3:30 PM EN CREDINKA DE ICA </t>
  </si>
  <si>
    <t xml:space="preserve">dt 1,820. campaña 1,052. </t>
  </si>
  <si>
    <t>se comunica por msj de texto con descuento</t>
  </si>
  <si>
    <t xml:space="preserve">sustento :  menciona que el trabaja en lima  y ahorita se encuentr ane chepen , tt  menciona que se dedica  a la venta de platanos </t>
  </si>
  <si>
    <t xml:space="preserve">mnp : menciona queb en esa fecha estuvo con una economia mala ya que no trabajo un año , por que tuvo un accidente </t>
  </si>
  <si>
    <t>DT 1,970 DT 900  CAMPAÑA 300</t>
  </si>
  <si>
    <t>CLIENTE NO ESTABA TRABAJANDO POR ESO SE DEMORO QUIERE PAGAR CUENTAS PENDIENTES (CAJA SULLANA Y OH)</t>
  </si>
  <si>
    <t xml:space="preserve">POR AHORA COMIENZA CON  OH POR QUE ESTA MAS ACCESIBLE </t>
  </si>
  <si>
    <t xml:space="preserve"> DATOS SEARCH </t>
  </si>
  <si>
    <t>EDAD 28 // HIJOS: NO REGISTRA///  DEUDAS :  2   // HABERES  1550 APROX</t>
  </si>
  <si>
    <t>DT 100 CAMPAÑA 50</t>
  </si>
  <si>
    <t>TT REALIZARA CANCELACION CON 50 EL DIA DE MAÑANA 23-1 EN AGENCIA DE BCP</t>
  </si>
  <si>
    <t xml:space="preserve">DT 1000 ACUERD 750  ,  SU HERMANO LE  PRESTARA EL DINERO , VLL  CANCELARA EL 14 /12  MONTO 750  SOLES  961659031  </t>
  </si>
  <si>
    <t>DT 1000 CAMPA`ÑA 700 +851924007543</t>
  </si>
  <si>
    <t>PPC DE 700</t>
  </si>
  <si>
    <t xml:space="preserve">TT  ESTUVO DE VIAJE &lt; NO PUDO COMPLETAR PAGO QUE LE OFRECIERON CON DESCUENTO EL AÑO PASADO // ESTE MES ABONA MAÑANA 200 Y RESTANTE FIN DE MES </t>
  </si>
  <si>
    <t xml:space="preserve">DATOS SEARCH// EDAD 44 TRABAJO : MINSA // DEUDAS : 1 (PROEMPRESA) </t>
  </si>
  <si>
    <t>DT 1000 CAMPAÑA 340</t>
  </si>
  <si>
    <t>ACUERDO CON TT PARA CANCELAR DIFERENCIA DE 340 CON PLAZO HASTA EL DIA 6-3</t>
  </si>
  <si>
    <t>STP: TT DICE LE PAGAN A MAS TARDAR EL DIA VIERNES 3-4</t>
  </si>
  <si>
    <t>dt 1000 campaña 442 16-5</t>
  </si>
  <si>
    <t>acuerdo con tt para  abonar 100 hasta el dia 16 y diferencia de 342 a fin de mes</t>
  </si>
  <si>
    <t>stp: de sus ingresos</t>
  </si>
  <si>
    <t>DT 1000 DC 230 DIC NO PUDO PARA ANTES POR QNO TNENIA SE QUE DO EN PAGAR 180 SOLES /SUSTNTO DE POG SI PAGARA TIENE 35 AÑOS , NO SALE TRABAJO / NO SALE OTRA DEUDA PGA HOY 06/03 / CAYO DISCDOT Y SE PROGRMANO PAGO</t>
  </si>
  <si>
    <t>DT 1000 DC 230 DIC NO UOD PARA NATES POR QNO TNENIA SE QUE DO EN PAGAR 175 SOLES CEL950614120  /SUSTNTO DE POG SI PAGARA TIENE 35 AÑOS , NO SALE TRABAJO / NO SALE OTRA DEUDA PGA EL 21/02  /DISCADOR</t>
  </si>
  <si>
    <t>DT 1000 DK 500 CAMPAÑA 383</t>
  </si>
  <si>
    <t xml:space="preserve">BASE MANUAL DE TACITA </t>
  </si>
  <si>
    <t xml:space="preserve">TT CONFIRMA QUE NO TENIA DINERO PERO HOY CANCELA MOTNO DE DEUDA , Y CON PENALIDAD YA QUE  COMPROMISO ANJTERIOR ERA DE 350 PENALIDAD 33 SOLES </t>
  </si>
  <si>
    <t xml:space="preserve">PPC DE 383 </t>
  </si>
  <si>
    <t xml:space="preserve">ENTIDADES REPORTADAS </t>
  </si>
  <si>
    <t>C.A.C. QUILLABAMBA - QUILLACOOP</t>
  </si>
  <si>
    <t>DT 1000 DK 950 CAMPAÑA 710</t>
  </si>
  <si>
    <t>SE COMUNICA A COORPORATIVO POR MSJ DE TEXTO QUE LE LLEGO</t>
  </si>
  <si>
    <t xml:space="preserve">MNP:TT MENCIONA QUE LE DINERO FUE PARA FUE SU HERMANO,Y EL NO SABIA QUE NO SE HABIA PAGADO , </t>
  </si>
  <si>
    <t xml:space="preserve">MDP: TIENE SU PEQUEÑA FLOTA DE TAXIS, Y QUIERE SALIR DE DEUDAS </t>
  </si>
  <si>
    <t>DEUDAS 1</t>
  </si>
  <si>
    <t>DC 300</t>
  </si>
  <si>
    <t>ADELANTO 15 FEBRERO 100 SOLES</t>
  </si>
  <si>
    <t>28 FEBRERO 200 SOLES</t>
  </si>
  <si>
    <t xml:space="preserve">TRABAJA EN SU NEGOCIO PROPIO ,EL PRESTAMO FUE PARA GASTOS PERSONALES , PAGARA CON EL DIENRO DE SU NEGOCIO O SE CONSEGUIRA , DEJO DE PAGAR POR QUE SU CUENTA ERA DE NUEVA VISION Y DEJO DE PAGAR CUANDO CREDINKA LAS CUENTAS , </t>
  </si>
  <si>
    <t>EDAD 28 - NO ESPECIFICA SI TIENE FAMILIA - ESPOSO E HIJOS  - SIN DEUDAS</t>
  </si>
  <si>
    <t xml:space="preserve">DT 10100, campaña 1320, tt indica que quiere cancelar hoy, ya que recibira dinero a promediar del transcurso del dia, indica que saco tarjeta por campaña y lo utilizaban terceras personas, que sacaron cosas y no se hicieron cargo de la deuda, indica que no pago porque esta deuda no le pertenecia, hijos se hacen cargo de sus gastos, indica que tambien tiene tarjeta de Falabella, tiene 2 hijos que trabajan y ellos pagan si sacan cosas, 56 años, entidades reportadas(Falabella sin atraso, OH), indica que se descuido de la tarjeta porque su mama cayo enferma y las terceras personas se aprovecharon </t>
  </si>
  <si>
    <t>DT 10260</t>
  </si>
  <si>
    <t>DK 5205</t>
  </si>
  <si>
    <t>se aprueba exepcion del importe de s/800.00 para el dia 31/01 , dinero lo saca de sueldo por honorario que recibe  , edad 34 años , soltera cuenta con 1 entidad reportada en search</t>
  </si>
  <si>
    <t>DT 1038.21</t>
  </si>
  <si>
    <t xml:space="preserve">EXPERTIS 400 </t>
  </si>
  <si>
    <t>SE COMUNICA TT VIA WHATSAPP CORP 7 CONFIRMANDO LA CANCELACION DE LA DEUDA POR 400 SOLES //SOLICITA DOCUMENTO PARA PODER ACERCARSE A REALIZAR EL PAGO EL DIA DE MAÑANA 17/03</t>
  </si>
  <si>
    <t xml:space="preserve">SEARCH NO FUE NECESARIO DEBIDO A QUE EL SE COMUNICO </t>
  </si>
  <si>
    <t>DT 10500</t>
  </si>
  <si>
    <t>DC 2700</t>
  </si>
  <si>
    <t>SE ATRAZO POR QUE SE QUEDO SIN DINERO , SIN TRABAJO ,EL DINERO FUE PARA UN NEGOCIO DE PLOETEO DE PLANOS ,TUBO UN PROBLEMA CON LA SUNAT ,TRABAJA INDEPENDIENTE ,TRABAJOS EVENTUALES, EL DINERPO LO SACARA PARA PRESTARME , LO PAGARA EL DIA MARTES 21 EN CAJA SULLANA , TIENE FAMILIA A CARGO ,</t>
  </si>
  <si>
    <t>SERCH - AVERIADO NO CARGA</t>
  </si>
  <si>
    <t>DT 10600 DK 6000  CAMPAÑA 5000</t>
  </si>
  <si>
    <t>PPC DE 5000</t>
  </si>
  <si>
    <t>TT CONTESTA LA LLAMADA , MENCIONANDO QUE ESTA OCUPADO , SE LE DETALLA QUIE YA NECESITAMOS SU CONFORMIDAD DEL PAGO YA QUE SIEMPRE DICE QUE ESTA OCUPADO , MENCIONA QUE A FIN DE MES LE PAGANA QUE SE LE ACTIVE LA CAMPAÑA HASTA EL 31/01</t>
  </si>
  <si>
    <t xml:space="preserve">DE DONDE SACA DINERO </t>
  </si>
  <si>
    <t xml:space="preserve">DE LIQUIDACION PENDIENTE </t>
  </si>
  <si>
    <t>dt 1068</t>
  </si>
  <si>
    <t>expertis 126</t>
  </si>
  <si>
    <t xml:space="preserve">TT TIENE INTENCION EN PAGAR DEUDA CON CAMPAÑA DE DESCUENTO DE SMS POR 126//LO ESTARA EFECTUANDO EL DIA DE HOY O MAÑANA A MAS TARDAR </t>
  </si>
  <si>
    <t>DT 107  CAMPAÑA 107</t>
  </si>
  <si>
    <t>INBOUND ASIGNADO POR MAYRA (SORTEO DE LA COPA )</t>
  </si>
  <si>
    <t>NUMERO NO MANDA  SE REGISTRA CON 999....</t>
  </si>
  <si>
    <t>dt 1074 dk 487 campaña 350</t>
  </si>
  <si>
    <t xml:space="preserve">acuerdo con tt para cancelar con plazo hasta el dia 30-4 </t>
  </si>
  <si>
    <t>stp: se va prestar</t>
  </si>
  <si>
    <t>DT 1074.92</t>
  </si>
  <si>
    <t>DK 365.74</t>
  </si>
  <si>
    <t>EXPERTIS 268</t>
  </si>
  <si>
    <t>SE MENCIONA A TT LA CAMPAÑA QUE SE LE BRINDO EN EL MES PASADO ///SIENTE DESCONFIANZA //RECIBIRA EN ESA FECHA EL PAGO DE SU REMUNERACION</t>
  </si>
  <si>
    <t xml:space="preserve">27 AÑOS //NO REGISTRA DEUDAS// </t>
  </si>
  <si>
    <t>dt 10900 dk 8881 camáña 3110</t>
  </si>
  <si>
    <t>campaña 3110 19-12 tt dice que el dia 26 o 27 esta llegando de viaje y que estara cancelando comn campaña 3110, dice que llegando de viaje contaria con el efectivo se le da de plazo hasta el 28-12(se me fue la ficha), dice que el dia que realiza camcelacion indicaria a que medio desea le envien carta de no adeudo</t>
  </si>
  <si>
    <t xml:space="preserve">DT 1100 CANC 150, LA ULTIMA VEZ QUISO REALIZAR EL PAGO EN PLAZA VEA PERO NO PUDO REALIZAR EL PAGO , SE ENCUENTRA TRABAJANDO EN ESTE MOMENTO DE AHI SACARIA EL DINERO PARA REALIZAR LA CANCELACION , SE LE ENVIARA LA INFORMACION VIA WHATSSAPP PORQUE NO PODIA HABLAR MUCHO YA QUE SE ENCUENTRA EN HORARIO DE TRABAJO .. ASIGNADO MANUAL POR MARIANGELA </t>
  </si>
  <si>
    <t>dt 1100 tt indica que no hizo el pago porque tuvo un familiar que fallecio del covid indica que el dia sabado 30/05 esta pagando la cancelacion via bcp / ppc</t>
  </si>
  <si>
    <t>DC 505</t>
  </si>
  <si>
    <t>TT NO CANCELO POR QUE NO CONTABA CON TRABAJO , TRABAJA EVENTUAL , MOTOTAXI , EN CONTRUCCION ,FAMILIA E HIJOS ,</t>
  </si>
  <si>
    <t>SERCH EDAD 52 AÑOS</t>
  </si>
  <si>
    <t>SIN DEUDAS CASTIGADAS</t>
  </si>
  <si>
    <t xml:space="preserve">FECHA DE PAGO 15/05 AMORTIZACION Y LO RESTANTE A FIN DE MES </t>
  </si>
  <si>
    <t>SEARCH NO FUE NECESARIO / SI MUESTRA INTENCION DE PAGO /</t>
  </si>
  <si>
    <t>EXPERTIS 395</t>
  </si>
  <si>
    <t>MENCIONA QUE EL MES PASADO POR TEMAS DE DINERO NO PUDO CONSEGUIR EL DINERO PARA PODER CANCELAR PERO ESTE MES SI ES POSIBLE QUISO COMUNICARSE PARA PODER REGULARIZAR CUENTA /INDICA QUE EL PAGO LO HARA EN 2 PARTES EL PRIMER ABONO EL 18/05 Y LO RESTANTE A FIN DE MES/</t>
  </si>
  <si>
    <t>PAR RESP LAURA BEATRIZ TORIBIO SOTO DNI : 80430805 RESP ABONARA 900 EL 31/01 A BASE DE LA TOTALIDAD  NEGOCIADO POR MAYRA  /TT  51 AÑOS  / RES 44 AÑOS  / TT SIN DATOS DE TRABJO / RES TRABJA SUELDO 1023 / TT SIN DATOS DE HIJOS  / RES SIN DATOS DE HIJOS /  TT SIN DATOS DE DEUDA  / RES SIN DATOS DE DEUDA / INB ASIGNADO</t>
  </si>
  <si>
    <t>DT 11268</t>
  </si>
  <si>
    <t>EXPERTIS 3028</t>
  </si>
  <si>
    <t>SE CONTACTA A TT SE MENCIONA QUE CANCELE CON DESCUENTO ACEPTADO //DICE QUE EL MENSAJE QUE LE ENVIARON LE INDICA QUE TIENE TODO EL MES DE FEBRERO PARA QUE CANCELE //SE SOLICITA UN ABONO PREVIO DE 500 O 300 SOLES 15 FEB A 17 FEB,  PARA QUE CANCELE HASTA  FIN DE MES SALDO RESTANTE //</t>
  </si>
  <si>
    <t xml:space="preserve">EL ESTA VENDIENDO UN CARRO YA TIENE COMPRADOR PARA AUN NO ESTA CONCRETADO ///PERO SI QUIERE ASUMIR DEUDA </t>
  </si>
  <si>
    <t>DT 1150   DK 670 DC221 TI T LLAMO AL CL 9 LE LLEGO MSJ X 200.50CEMTIMO HARA PGO HOY 26/05/36AÑOS /DENE I ENTIDAD/SALE TRABAJO /SUJSTENTO DE PGO SUELDO DEMAÑANA DE TRABAJO</t>
  </si>
  <si>
    <t xml:space="preserve">dt 1150 campaña 339 </t>
  </si>
  <si>
    <t>tt dice que sacara persmiso de salvoconducto para regrsar a cusco</t>
  </si>
  <si>
    <t>tt dice que pago lo hace el dia 15-5</t>
  </si>
  <si>
    <t>stp: de un prestamo</t>
  </si>
  <si>
    <t>DT 11800</t>
  </si>
  <si>
    <t>DC 5300</t>
  </si>
  <si>
    <t>DE LA CRUZ LOPEZ NORMA AURORA</t>
  </si>
  <si>
    <t xml:space="preserve">TT NO PAGO POR QUE FALLECIO SU MADRE EN MAYO , REALIZO GASTOS DE SEPELIO ,PRESTAMO FUE PARA SU NEGOCIO , COMERCIANTE EN EL MERCADO , EL DIENRO SACARIA </t>
  </si>
  <si>
    <t>SERCH DEUDAS EN OERDIUDA - FINANCIERO - CAJA MUNICIPAL DE AHORRO</t>
  </si>
  <si>
    <t xml:space="preserve">DT 120 ACUERD 50 , TT CANCELARA DEUDA MÑN 19/12 MONTO 50 SOLES  SE LE ENVIARA NUMERO   946099229 </t>
  </si>
  <si>
    <t>DT 120</t>
  </si>
  <si>
    <t>TT MENCIONO QUE NO ESTA TRABAJANDO , EL PRESTAMO FUE PARA USO PERSONAL, S EENUCNTRA DELICADA DE SALUD , SE OPERO , ACUTALMENTYE LA CITARON ÑARA RADIOGRAFIAS , TT CONFIRMA PAGAR EL DIA 31 DE MARZO,</t>
  </si>
  <si>
    <t>SERCH EDAD 56 AÑOS</t>
  </si>
  <si>
    <t>SIN DEUDAS CON OTRAS ENTIDADES</t>
  </si>
  <si>
    <t>DT 1200  CAMPAÑA 391 23-18</t>
  </si>
  <si>
    <t>TT DEPENDE UN PAGO TIENE TRABAJO EVENTUAL  DICE RECIBE UN PAGO EL 23 SE LE DA DE PLAZO HASTA EL 28-12</t>
  </si>
  <si>
    <t xml:space="preserve">sustento :dinero fue para hacer curar a su hija que se encontraba  tt menciona que  dejo el dinero a su conviviente para que pague </t>
  </si>
  <si>
    <t xml:space="preserve">dt 1200 campaña 500 </t>
  </si>
  <si>
    <t xml:space="preserve">tt esta trabajando, tt dice  va recibir  recibir dinero de alquiler  el dia 13-1 </t>
  </si>
  <si>
    <t>tt desea cna por correo electronico yeison_@gmail25</t>
  </si>
  <si>
    <t>dt 1200 campaña 550</t>
  </si>
  <si>
    <t>campaña anterior 700</t>
  </si>
  <si>
    <t xml:space="preserve">tt solicita un descuento ya que con su liquidacion pagara otras cuentas tambien </t>
  </si>
  <si>
    <t xml:space="preserve">mnp: no esta trabajando  y no le dieron la carta donde le figuraba su liquidación ,  </t>
  </si>
  <si>
    <t xml:space="preserve">sustento :  menciona que se su liquidación  cancela su deuda  los meses anteriores no pudo pagar por que indicaba de manera errronea la forma de pasgo y cuando llamaba no le contestaban </t>
  </si>
  <si>
    <t xml:space="preserve">dt 1200 dc 105 </t>
  </si>
  <si>
    <t>cliente indica que mañana hara el pago de la cancelacion de la deuda del monto de 105 soles , ya que su trabajo le pagaran hoy dia / ppc</t>
  </si>
  <si>
    <t>search ( no ingresa )</t>
  </si>
  <si>
    <t>DT 1200 DK 1000 CAMPAÑA 800</t>
  </si>
  <si>
    <t>TT MENCIONA QUE TRABAJA EN UN CAMPAMENTO LEJOS DE LA CIUDAD Y ESE  FUE LE MOTIVO POR EL CUAL NO PAGO ANTES NO LLEGABA EN LA FECHA QU/E LE PEDIAN ,ESTE MES ESTARIA  LLEGANDO A LA AGENCIA ENTRE EL -Y  28/03</t>
  </si>
  <si>
    <t xml:space="preserve">NO CARGA </t>
  </si>
  <si>
    <t>DT 1200 DK 600 DC450  DIC LE LLEGO AYER MSJ X 345 SE ACORDO CAN MAÑNA 07/02 345 X MSJ Q LE LLEGO /42 AÑOS DEBE 1 ENTIDAD NO SLAE TRABAJO /SUSTENTO DE POG DE SUS QUINSENA DICE / DISCADOR  //918515581/ ANTES NO OUDI CUMPLIR ACUERDO</t>
  </si>
  <si>
    <t>DT 1200 DK 800</t>
  </si>
  <si>
    <t xml:space="preserve">ANTERIOMENTE LE DIO DESCONFIANZA POR QUE EN AGENCIA DE CAJA SULLANA  LE DIJERON QUE NO TENIA DEUDA ,  EL SABADO PUEDE ABONAR </t>
  </si>
  <si>
    <t>SE BRINDA NUMERO DE COORPORATIVO //(NATHALY LLEVO A REUNION )</t>
  </si>
  <si>
    <t>DT 1200 DK 900 CAMPAÑA 400</t>
  </si>
  <si>
    <t>PPC 400</t>
  </si>
  <si>
    <t xml:space="preserve">MANDAR DIRECCION DE OFICINA </t>
  </si>
  <si>
    <t xml:space="preserve">  SE LLAMA A TT POR QUE YA ANTERIORMENTE SE HABIA QUEDADO EN LLAMARLA PARA QUE CANCELE , MENCIONA QUE LE DIA LUNES LLEGA A LIMA PARA UNOS TRAMITES EN (SEGUROS RIMAC) Y APROVECHA EN CANCELAR DEUDA </t>
  </si>
  <si>
    <t>ORIFLAME PERU SA</t>
  </si>
  <si>
    <t>DUPREE VENTA DIRECTA S.A.</t>
  </si>
  <si>
    <t>ENTEL PERU S.A.</t>
  </si>
  <si>
    <t xml:space="preserve">DC 720 </t>
  </si>
  <si>
    <t>TT SACO EL PRSTAMO FUE PATRA SU PRIMO PARA QUE VIAJE A CHILE Y NO LE CUMPLIO , 2 HIJOS ESTAN EL COLEGIO , TRABAJA EN CONSTRUCCION PARA UNA CONSTRCUTORA Y TRABAJA MANEJANDO MOTO ,</t>
  </si>
  <si>
    <t>SERCH EDAD 30 AÑOS</t>
  </si>
  <si>
    <t>SIN DEUDAS EN OTRAS FINANCIERAS</t>
  </si>
  <si>
    <t>SIN AUDIO , NO SE GRABO, SE LLAMA DESDE EL COORPORATIVO 20 PARA CONFIRMAR EL MENSAJE DE TEXTO DE LO CONFIRMADO , YA QUE EL CLIENTE PRESENTA DUDAS , SE SUBE AUDIO CORTO DONDE EL CLIENTE ACEPTA EL CONVENIO</t>
  </si>
  <si>
    <t>dt 1200</t>
  </si>
  <si>
    <t>descuento 1000</t>
  </si>
  <si>
    <t>ppc se da opcion de cancelacion de 100 soles parra hoy inbound asignado</t>
  </si>
  <si>
    <t>search: 68 años / no tiene datos laborales / sin datos de hijos / sin deudas reportadas</t>
  </si>
  <si>
    <t>inbound asignado</t>
  </si>
  <si>
    <t>dk 200</t>
  </si>
  <si>
    <t>campaña 200</t>
  </si>
  <si>
    <t xml:space="preserve">ppc // tt menciona que no pudo efectuar el pago en el mes de marzo debido a que cambiaron las fechas de pago en su nuevo trabajo como farmaceutico // va a generar el pago de s/200 por el mimso banco interbank el 28/04/20 horas de la mañana </t>
  </si>
  <si>
    <t>search 36 años</t>
  </si>
  <si>
    <t xml:space="preserve">cuenta con 2 hijos </t>
  </si>
  <si>
    <t>trabaja como farmaceutico</t>
  </si>
  <si>
    <t xml:space="preserve">tiene 2 entidades reportadas </t>
  </si>
  <si>
    <t>DK 320</t>
  </si>
  <si>
    <t>CAMPAÑA 65</t>
  </si>
  <si>
    <t>TT MENCIONA QUE SE COMUNCARON PERO NO LE BRINDARON MAS INFORMACION ACERCO DE ELLO //LE ENVIARON UN MENSAJE CON DESCUENTO PERO TENIA DESCONFIANZA MENCIONA QUE HOY ESTARA EFECTUANDO EL PAGO EN IBK</t>
  </si>
  <si>
    <t>DK 450</t>
  </si>
  <si>
    <t>MC 100</t>
  </si>
  <si>
    <t>NO PAGO PORQUE ANTERIORMENTE LE DIERON LA OPCION QUE PAGUE EN MES DE DICIEMBRE POR EL CUAL NO PAGO PORQUE NO HUBO LUGARES DE PAGOS, SIN EMBARGO PAGARA YA QUE EL LUNES CONTARA CON LOS 100 SOLES , PAGARA EL DIA 9 DE FEBRERO.</t>
  </si>
  <si>
    <t>EDAD 41 AÑOS</t>
  </si>
  <si>
    <t>NO CUENTA CON DATOS LABORALES</t>
  </si>
  <si>
    <t xml:space="preserve">NO FIGURA HIJOS </t>
  </si>
  <si>
    <t xml:space="preserve">DEUDA EN OTRA FINANCIERA </t>
  </si>
  <si>
    <t>dk 680</t>
  </si>
  <si>
    <t>mc 150</t>
  </si>
  <si>
    <t>tt indica que no cancelo por estos motivos de pandemia ya que comentamos su antiguedad le comentamos que tuvo compromisos incumplidas pero indicaba que se le hacia dififcl conseguir , sin embargo ya este mes tendra la opcion de pagar 150 soles el dia 26 ya que tendira ese dinero ya que le prestarian .</t>
  </si>
  <si>
    <t>DK 914.25</t>
  </si>
  <si>
    <t>DC 920</t>
  </si>
  <si>
    <t>EL PRESTAMO FUE PARA OTRA PERSONA, ACTUALMENTE TRABAJA INDEPENDIENTE, EL DINERO ES UN AHORRO QUE TIENE PARA PODER CERRAR SU DEUDA, SE ENVIA SMS AL NUMERO PERSONAL QUE NOS BRINDO  983600943 , FORMA DE PAGO</t>
  </si>
  <si>
    <t>SERCH NO CARGA</t>
  </si>
  <si>
    <t>DT 1200, CAMPAÑA 140, ANTIGUEDAD 3 AÑOS, PAGARA EL LUNES 24/02,, DEJO DE TRABAJAR POR ESO NO PAGO, NO LABORA, INDICA QUE SU PAREJA LE APOYARA CON EL DINERO, INDICA QUE SU PAREJA COBRA LOS FINES DE SEMANA, 35 AÑOS, ENTIDADES REPORTADAS BANCO RIPLEY PERU S A, BANCO FALABELLA PERÚ S A, OH</t>
  </si>
  <si>
    <t>DT 12000 DK 7600  CAMPAÑA 3290</t>
  </si>
  <si>
    <t>TT DICE CANCELARA CAMPAÑA EL DIA 23 EN EL TRANSCURSO DEL DIA</t>
  </si>
  <si>
    <t>DT 1208</t>
  </si>
  <si>
    <t>PPC SE DA OPCION DE CANCELACION DE 800 PARA 28/02   / 32 AÑOS / TRABAJO DEL 2017 / NO FAMILIA / 2 ENTIDADES REPORTADAS</t>
  </si>
  <si>
    <t>DT 1210.90</t>
  </si>
  <si>
    <t>DK 487.62</t>
  </si>
  <si>
    <t>EXPERTIS PPC POR 194 ULTIMA CUOTA SEGUN CRONOGRAMA ESTABLECIDO Y VALIDADO //</t>
  </si>
  <si>
    <t xml:space="preserve">40 AÑOS //NO REGISTRA INFORMACION LABORAL//NO REGISTRA DEUDAS </t>
  </si>
  <si>
    <t>DT 1220</t>
  </si>
  <si>
    <t>DK 590</t>
  </si>
  <si>
    <t>MC 380</t>
  </si>
  <si>
    <t xml:space="preserve">CLIENTE YA ERA DE SEGUIMIENTO DEL MES PASADO </t>
  </si>
  <si>
    <t xml:space="preserve">TT DEJO A UN PERSONA A CARGO DE SUS PAGOS EN EL CUAL NO TOMO IMPORTANCIA Y LO DEJO SIN EMBARGO PAGARA EL 15 YA QUE TENDRA SU SUELDO DE SU TRABAJO YA QUE TRABAJA NORMAL PAGARA EL 15 DE MAYO </t>
  </si>
  <si>
    <t>DT 1250</t>
  </si>
  <si>
    <t>DK 650</t>
  </si>
  <si>
    <t>DC 500</t>
  </si>
  <si>
    <t>ABONARA 50 SOLES EL DIA 9 DE ENERO</t>
  </si>
  <si>
    <t xml:space="preserve">SOLO DEJO DE PAGAR POR QUE INDICO QUE YA NO QUERIA LA TARJETA ,TRABAJA EVENTUALMENTE , UN HIJITO MENOR DE EDAD , </t>
  </si>
  <si>
    <t xml:space="preserve">EDAD 31 </t>
  </si>
  <si>
    <t>dt 12600 dk 8466 campaña 1900</t>
  </si>
  <si>
    <t>antonio jimenez esposo de tt dice le dieron un bono de 800 soles  y conseguira diferencia de 100 para cancelar entre el martes o miercoles de la proxima semana se le da plazo hasta el jueves 14 de mayo</t>
  </si>
  <si>
    <t>stp: de un bono de que recibio</t>
  </si>
  <si>
    <t>DT 1285</t>
  </si>
  <si>
    <t>EXPERTIS 200</t>
  </si>
  <si>
    <t>TT ACCEDE A CAMPAÑA DE CANCELACION PAR EL DIA VIERNES 7/2/2020</t>
  </si>
  <si>
    <t xml:space="preserve">35 AÑOS //NO REGISTRA INF LABORAL ACTUALIZADA //NO REGISTRA DEUDA </t>
  </si>
  <si>
    <t>DT 130</t>
  </si>
  <si>
    <t>DC 105</t>
  </si>
  <si>
    <t>SANDOVAL MAQUEN MARIA CLAUDIA</t>
  </si>
  <si>
    <t>EL PRESTAMO FUE GRUPAL , UN PROBLEMA CON EL GRUPO DEL PRESTAMO , NEGOCIO FAMILIAR ,  EL DINERO LO SACAR DE SUELDO , LO PAGARA EN BCP - NUMERO SOLO WSP 920723902</t>
  </si>
  <si>
    <t>dt 1300 campaña 298</t>
  </si>
  <si>
    <t>tt hara pago en agente bcp a mas tardar el dia 30-4</t>
  </si>
  <si>
    <t>tt desea cdna por whatsapp</t>
  </si>
  <si>
    <t>DT 1300 CAMPAÑA 840 7/12 TT DESEA CNA A WHATSAPP</t>
  </si>
  <si>
    <t xml:space="preserve">DT 1300 DK 704  CAMPAÑA 620 26-12 </t>
  </si>
  <si>
    <t>TT DICE ESTA TRABAJANDO, DICE HARA PPC A MAS TARDAR EL DIA 26-12</t>
  </si>
  <si>
    <t>DC 200</t>
  </si>
  <si>
    <t>TT SE QUEDO TRABAJANDO , NO CUENTA TRABAJO , SE VA PRESTAR EL DINERO , PERSONA CONVIVIVNETE SIN FAMILIA ,GASTO FUE EN COMPRAS , TT DESEA  CARTA DE ACUERDO DE CANCELACION</t>
  </si>
  <si>
    <t xml:space="preserve">SIN SERCH - </t>
  </si>
  <si>
    <t xml:space="preserve">DC 200TT SE QUEDO TRABAJANDO , NO CUENTA TRABAJO , SE VA PRESTAR EL DINERO , PERSONA CONVIVIVNETE SIN FAMILIA , COMPRAS </t>
  </si>
  <si>
    <t>SE LLEGA AL ACUERDO DE PAGO VIA WSP , COOPORATIVO 20 , TT SOLICITA ACUERDO CANCELACION</t>
  </si>
  <si>
    <t xml:space="preserve">SIN SERCH CON DEUDAS </t>
  </si>
  <si>
    <t>EDAD 36</t>
  </si>
  <si>
    <t>DC 682</t>
  </si>
  <si>
    <t>ABONO DE 100 PARA EL MARTES 14 - LA DIFERENCIA DE 582 LO PAGARA EL 30 DE ENERO</t>
  </si>
  <si>
    <t>NO ESPECIFICA POR QUE DEJO DE PAGAR , TT ESTA APURADO E INDICA QUE NOS COMUNICAMOS LUEGO , LO PAGARA VIA BCP</t>
  </si>
  <si>
    <t>AGENTE BCP</t>
  </si>
  <si>
    <t xml:space="preserve">DESC :490 </t>
  </si>
  <si>
    <t>PPC SE DA OPCION DE PAGAR 490 PARA MAS TARDAR 18/02 INDICA QUE VERA SI PUEDE ANTES EL MES PASADO NO PAGO POR QUE NO ESTABA TRBAJANDO Search ( 34 AÑOS Y GANA MAS GANA 1600 SOLES / DATOS SIN HIJOS / 3 ENTIDADES REPORTAS )</t>
  </si>
  <si>
    <t xml:space="preserve">MONTO DE CAMPAÑA 250 SOLES </t>
  </si>
  <si>
    <t>EL CLIENTE INDICA QUE NO PAGO POR MOTIVO DE SALUD, SIN EMBARGO PAGARA PORQUE YA ESTA LABORANDO.</t>
  </si>
  <si>
    <t>EDAD 44 AÑOS</t>
  </si>
  <si>
    <t xml:space="preserve">NO CUENTA CON DATOS LABORALES </t>
  </si>
  <si>
    <t xml:space="preserve">NO CUENTA CON HIJOS </t>
  </si>
  <si>
    <t xml:space="preserve">NO CUENTA CON DEUDAS EN OTRAS FINANCIERAS </t>
  </si>
  <si>
    <t xml:space="preserve">DT 1300, camapaña 200, antiguedad 3 años, quiere cancelar el 21/02 en la tarde, indica que no cancelo por que le generaron muchos intereses, trabajaba en MUNICIPALIDAD DISTRITAL DE SAN ANTONIO, trabaja en otra municipalidad, 57 años, entidades reportadas CAJA MUNICIPAL DE AHORRO Y CREDITO DE AREQUIPA, BANCO CENCOSUD S.A., FINANCIERA UNO S A. ... Se perdio la ficha </t>
  </si>
  <si>
    <t>DT 1300, campaña 790, antiguedad 1 año, tt indica que no realizo el abono porque estaba fuera de la ciudad del compromiso del 31/01, indica que cancelara la deuda el el 25/02 antes del mediodia, indica que sacara dinero de su sueldo que cobra entre el 22,23, 24 esos dias le pagan, trabaja en UNIDAD DE GESTION EDUCATIVA LOCAL CELENDIN, indica que dejo de pagar porque se enfermo, saco prestamo para negocio, 29 años, solo CREDINKA entidad reportada.</t>
  </si>
  <si>
    <t>DT 1300.00</t>
  </si>
  <si>
    <t>DK:600.00</t>
  </si>
  <si>
    <t>MONTO CAMPAÑA:500.00</t>
  </si>
  <si>
    <t>SUSTENTO DE PAGO:TRABAJO</t>
  </si>
  <si>
    <t>FECHA DE PAGO :21-03</t>
  </si>
  <si>
    <t>SEARCH 32 AÑOS//SOLTERA//NO REGISTRA TRABAJO EN PLANILLA//MANTIENE DEUDA CON  COMPARTAMOS FINANCIERA</t>
  </si>
  <si>
    <t>LO QUER REGISTRA EN ESTADO NORMAL</t>
  </si>
  <si>
    <t xml:space="preserve">*****AUDIO DE APOYO SALLY ***** SE CAMBIO FECHA DE COMPROMISO </t>
  </si>
  <si>
    <t>ASIGNADO POR INBOUND</t>
  </si>
  <si>
    <t>DT 1303</t>
  </si>
  <si>
    <t>CAMPAÑA 119</t>
  </si>
  <si>
    <t>FECHA DE PAGO 24/04</t>
  </si>
  <si>
    <t>TT MENCIONA QUE YA CANCELO, PERO TENDRA QUE ASUMIR IMPORTE PAR QUE OBTENGA SU CNA, TIENE UN AGENTE BCP CERCA, SI MUESTRA INTERES</t>
  </si>
  <si>
    <t>DT 13081</t>
  </si>
  <si>
    <t>EXPERTIS 3526</t>
  </si>
  <si>
    <t xml:space="preserve">SE COMUNICA HIJO DE TT DIEGO ALONSO BEDON CASTAÑEDA DNI 76820907/ CONFIRMA PAGO CON RETIRO DE AFP/ SOLICITA ACUERDO DE CANCELACION AL CORREO cnietoelvira@gmail.com / URGENTE YA QUE SI EL DESEMBOLSO SE GENERA ANTES LO REALIZARA ANTES TAMBIEN </t>
  </si>
  <si>
    <t>dt 1340</t>
  </si>
  <si>
    <t>campaña 250</t>
  </si>
  <si>
    <t>fecha de pago 20/04</t>
  </si>
  <si>
    <t>tt muestra interes de pago /cuenta con el dinero para cancelar a traves de bcp /</t>
  </si>
  <si>
    <t>DT 13438</t>
  </si>
  <si>
    <t xml:space="preserve">PPC SE DA DESCUENTO DE 2936 TT CONVERSO CON MAYRA  / 30 AÑOS / SIN DATOS DE HIJOS / SIN DATOS DE TRABAJO / SIN ENTIDADES REPORTADAS TT AL DIA EN SUS PRESTAMOS </t>
  </si>
  <si>
    <t xml:space="preserve">PPC SE DA DESCUENTO DE 2936 TT CONVERSO CON MAYRA INB ASIGNADA / 30 AÑOS / SIN DATOS DE HIJOS / SIN DATOS DE TRABAJO / SIN ENTIDADES REPORTADAS TT AL DIA EN SUS PRESTAMOS </t>
  </si>
  <si>
    <t xml:space="preserve">PPC SE DA EXCEPCION DE 2850 TT CONVERSO CON MAYRA  / 30 AÑOS / SIN DATOS DE HIJOS / SIN DATOS DE TRABAJO / SIN ENTIDADES REPORTADAS TT AL DIA EN SUS PRESTAMOS </t>
  </si>
  <si>
    <t>DT 1346 DC 205</t>
  </si>
  <si>
    <t xml:space="preserve">tt confirma pago del monto de 205 ya que le llego un sms indica que lo pagara a las 11 am porque su hijo tiene clases virtuales ahora y tiene que ayudarle indica que lo realizara en un agente bcp / ppc </t>
  </si>
  <si>
    <t>DT 1357</t>
  </si>
  <si>
    <t xml:space="preserve">MENCIONA QUE LE PAGARAN EL DIA 24 Y CON SUELDO ESTARA PAGANDO LA DEUDA ///CAMPAÑA DE CANC 500 SOLES </t>
  </si>
  <si>
    <t>52 AÑOS///INF LABORAL: UNIDAD DE GESTION EDUCATIVA UCAYALI - CONTAMANA /ING MENSUAL: 2100</t>
  </si>
  <si>
    <t xml:space="preserve">dt 1387 dc 509 </t>
  </si>
  <si>
    <t xml:space="preserve">tt confirma pago por el monto de sms enviado ya que quiere cancelar la deuda con el monto enviado para en la oficina de moquegua / ppc </t>
  </si>
  <si>
    <t>dt 1388.5</t>
  </si>
  <si>
    <t>dk 803</t>
  </si>
  <si>
    <t>campaña 803</t>
  </si>
  <si>
    <t>ppc 803</t>
  </si>
  <si>
    <t>Yossy123_6@hotmail.com</t>
  </si>
  <si>
    <t>inboud</t>
  </si>
  <si>
    <t>DT 13900</t>
  </si>
  <si>
    <t>DESC: 6000</t>
  </si>
  <si>
    <t>PAR ABONARA 6000 PARA EL 31/01 TT POR EL MOMENTO SOLO ABONAR ESO VERA SI PUEDE CONSEGUIR PARA CANELAR YA QUE DEPENDE DE UN TERCERO YA QUE EL PRESTAMO NO FUE PARA VER POR EL MOMENTO IRA DISMINUYENDO 13900  / 57 AÑOS / SIN DATOS DE HIJOS / SIN DATOS DE TRABAJO / SIN ENTIDADES REPORTADAS</t>
  </si>
  <si>
    <t>dt 1400 campaña 116</t>
  </si>
  <si>
    <t>tt dice que pago lo hace el dia 15-4</t>
  </si>
  <si>
    <t xml:space="preserve">stp: de un prestamo </t>
  </si>
  <si>
    <t xml:space="preserve">DT 1400 CAMPAÑA 130 </t>
  </si>
  <si>
    <t>ACUERDO CON TT PATA CANCELAR A MAS TARDAR EL DIA 20-4</t>
  </si>
  <si>
    <t xml:space="preserve">STP: SE VA PRESTAR  </t>
  </si>
  <si>
    <t>TT DESEA CDNA POR WHATSAPP</t>
  </si>
  <si>
    <t>DT 1400</t>
  </si>
  <si>
    <t>DC 950</t>
  </si>
  <si>
    <t>TT PAGARA 100 SOLES EL VIERNES 7 ADELNATO Y LA DIFERENCIA EL 28 DE FEBRERO 850 SOLES</t>
  </si>
  <si>
    <t>TT DEJO DE PAGAR POR ESTUDIOS , Y RENUNCIO A SU TRABAJO</t>
  </si>
  <si>
    <t>UNIVERSIDAD PARTICULAR , TRABAJA EN TELECOMUNICACIONES , SOLTERO</t>
  </si>
  <si>
    <t xml:space="preserve">SERCH 24 AÑOS - SIN HIJOS- SIN DEUDAS </t>
  </si>
  <si>
    <t>SE CIERRA DISCVADOR</t>
  </si>
  <si>
    <t>dt 1400</t>
  </si>
  <si>
    <t>dk 460</t>
  </si>
  <si>
    <t>mc 100</t>
  </si>
  <si>
    <t xml:space="preserve">tt dejo de pagar ya que se fue a bolivia a trabajar sin embargo pagara ya que trabaja en la municipalidad y dispone de ese dinero . </t>
  </si>
  <si>
    <t>DT 1406</t>
  </si>
  <si>
    <t>EXPERTIS 700</t>
  </si>
  <si>
    <t xml:space="preserve">SE CONTACTA A TT SE MENCIONA DEUDA TOTAL //TIENE INTENCION DE QUERER PAGAR PERO SEGUN SUS POSIBILIDADES ECONOMICAS SOLO PUEDE HACER ABONOS MINIMOS ///SE PROPONE HACER ABONO DE 100 SOLES EL DIA VIERNES Y LO RESTANTE HASTA FIN DE MES //ACEPTA </t>
  </si>
  <si>
    <t>30 AÑOS /REGISTRA 1 DEUDA EN CMAC TACNA 849.99//NO REGISTRA INFORMACION LABORAL /</t>
  </si>
  <si>
    <t xml:space="preserve">DT 1410, campaña 200 , indica que quiere pagar campaña 30/01 en la tarde,  indica que no puede pagar porque estaba de viaje, indica que esta en un sitio de parte sierra, saco tarjeta para gastos de caso, tuvo accidente y ya no pudo pagar, accidente de transito, quiere pagar para volver a ser sujeto a credito, trabaja en construccion civil en la sierra, conviviente, 33 años, entidades reportadas BANCO FINANCIERO DEL PERÚ, OH, indica que antes hacer el abono se acercara a Finaciera Oh antes de abonar </t>
  </si>
  <si>
    <t>DT 14140</t>
  </si>
  <si>
    <t>CAMPAÑA  2400</t>
  </si>
  <si>
    <t>SEARCH 48 A´ÑOS // 1 DEUDA //HERTS SERVICIOS INTEGRALES S.A.C.</t>
  </si>
  <si>
    <t>LIQUIDA CON SALDO PENDIENTE SEGUN EXCEP</t>
  </si>
  <si>
    <t>dt 1440</t>
  </si>
  <si>
    <t>dk 740</t>
  </si>
  <si>
    <t>mc 230</t>
  </si>
  <si>
    <t xml:space="preserve">tt comenta que no pago por falta de trabajo y que se le hacia dificl sin embargo se prestara de un familiar el monto de 230 soles ya que desea tener su carta de no adeudo </t>
  </si>
  <si>
    <t xml:space="preserve">pagara el 29 de mayo el monto de 230 </t>
  </si>
  <si>
    <t>DT 1442 DK 1080 CAMPAÑA 679</t>
  </si>
  <si>
    <t>PPC 679</t>
  </si>
  <si>
    <t xml:space="preserve">INBOUND </t>
  </si>
  <si>
    <t xml:space="preserve">TT SE COMUNICA POR WHATSAP PARA CANCELAR SU DEUDA  CONFIRMA ABONO MAÑANA DE 300 Y RESTANTE FIN DE MES </t>
  </si>
  <si>
    <t>LE LLEGO CORREO Y SE COMUNICO POR WHATSAAP</t>
  </si>
  <si>
    <t>dt 1450 campaña 312</t>
  </si>
  <si>
    <t>acuerdo con tt para cancelar con excepcion aprobada de S/.200 en dos partes: 100 soles hasta el dia 15-5 y 100 hasta fin de mes</t>
  </si>
  <si>
    <t xml:space="preserve">DT 1450 CAMPAÑA 360 </t>
  </si>
  <si>
    <t>TT DICE QUE PAGO DE CAMPAÑA LO HACE MAÑANA</t>
  </si>
  <si>
    <t xml:space="preserve">STP:DE DINERO DE AFP </t>
  </si>
  <si>
    <t>TT DESEA  CDNA  A SU WHATSAPP E INFORMACION DE PAGO POR SMS</t>
  </si>
  <si>
    <t>dt 14500</t>
  </si>
  <si>
    <t>dc 2500</t>
  </si>
  <si>
    <t>dk 4003.72</t>
  </si>
  <si>
    <t xml:space="preserve">tt menciona que si puede cancelar , hasta el dia 30 de abril ya que en el campo donde se encuentra son 6 hora de viaje en 2 ciudades </t>
  </si>
  <si>
    <t>se llega al acuerdo que lo cancele al dia jueves 30 , se envia sms desde corpo.20</t>
  </si>
  <si>
    <t>el prestamofue para unb negocio que frqcaso , tt trabaja de chofer y el dinero es de un ahorro que tiene para poder pagar.</t>
  </si>
  <si>
    <t>serch no carga</t>
  </si>
  <si>
    <t>se fue la ficha</t>
  </si>
  <si>
    <t>llamda ingresante del discador</t>
  </si>
  <si>
    <t>DT 1452</t>
  </si>
  <si>
    <t>EXPERTIS 732</t>
  </si>
  <si>
    <t xml:space="preserve">TT SE COMUNICA VIA MENSAJE DE TEXTO INDICA QUE RECIBIO UN CORREO MENCIONANDO QUE LE ESTARIAN REALIZANDO EL PAGO DE SUS HABERES EL DIA JUEVES ///SE EXTIENDE PLAZO INDICANDO QUE GENERE ABONO PREVIO PARA CONSIDERAR LA MISMA CAMPAÑA </t>
  </si>
  <si>
    <t>MENSAJE POR CORP 7</t>
  </si>
  <si>
    <t>dt 1463</t>
  </si>
  <si>
    <t>desc: 500</t>
  </si>
  <si>
    <t>ppc se fa opcion de cancelar con 500 para 30/04 a mas tardar vera si puede abonar algo hoy y quiere la crata quiere trabajr con banco</t>
  </si>
  <si>
    <t>sustento: prestamo tiene en mano 200</t>
  </si>
  <si>
    <t>motivo de no pago : no pago por unos temas familiares</t>
  </si>
  <si>
    <t>DT 1478 DK 800 CAMPAÑA 200</t>
  </si>
  <si>
    <t>PPC DE 200</t>
  </si>
  <si>
    <t xml:space="preserve">EXCEPCION APROBADA MARIANGELA </t>
  </si>
  <si>
    <t xml:space="preserve">ABONO  55 EL 29/02 REST. HOY </t>
  </si>
  <si>
    <t xml:space="preserve">TT MENCIONA QUE LE LLEGO MSJ CON EL MONTO DE 255 , MENCIONA QUE TENIA DESCONFIANZA ANTES  POR QUE TENIA AMIGO QUE  PAGO Y LO ESTAFARON  , </t>
  </si>
  <si>
    <t>DATOS SEARCH :</t>
  </si>
  <si>
    <t>EDAD 46 // HIJOS 0 //TRABAJO :NO REGISTRA //DEUDAS 1</t>
  </si>
  <si>
    <t>DT 1478 DK 800 CAMPAÑA 255</t>
  </si>
  <si>
    <t>PPC DE 255</t>
  </si>
  <si>
    <t xml:space="preserve">DT 1493 DC 137 </t>
  </si>
  <si>
    <t>TT CONFIRMA PAGO DE LA CANCELACION ENVIA POR SMS CON EL MONTO DE 137 SOLES PARA EL DIA DE HOY POR TRANSFERENCIA DEL APLICATIVO BCP / PPC</t>
  </si>
  <si>
    <t xml:space="preserve">dt 150 </t>
  </si>
  <si>
    <t>ppc de 50</t>
  </si>
  <si>
    <t xml:space="preserve">se comunican a numero de mariangela hijo de tt JJoel Encarnacion se acerca hoy a pagar dni 41586426 joelventas@encardiz.com   943501049  para envio de carta por correo    </t>
  </si>
  <si>
    <t xml:space="preserve">DT 150 DK 100 CAMPAÑA 80 </t>
  </si>
  <si>
    <t xml:space="preserve">TT MENCIONA QUE TENIA ACUERDO EL CUAL NO SE VALIDA EN TACITA , MENCIONA  QUE EL DIA DE MAÑANA ABONA EN LA MAÑANA </t>
  </si>
  <si>
    <t xml:space="preserve">EDAD 80 //TRABAJO : NO FIGURA   // DEUDAS 0  </t>
  </si>
  <si>
    <t>dt 1500  dk 700  campaña 210</t>
  </si>
  <si>
    <t>PPC DE 210</t>
  </si>
  <si>
    <t xml:space="preserve">Cuando se acercaba a la agencia de la financiera por que no le llegaba su recibo le dijeron que no tenia deuda con ellos , hace un mes le llamaron  y que  tenia intencion de pago pero a su papa le dio un derrame  por eso ya no pudo coordinar </t>
  </si>
  <si>
    <t xml:space="preserve">Datos Search </t>
  </si>
  <si>
    <t xml:space="preserve">edad 44 // remuneracion :1230// deudas 0 // hijos </t>
  </si>
  <si>
    <t xml:space="preserve">dt 1500 campaña 380 </t>
  </si>
  <si>
    <t>tt dice cancelara el 23-12 dice le pagan el 25.12 pero conseguira antes</t>
  </si>
  <si>
    <t>dt 1500 campaña 400</t>
  </si>
  <si>
    <t>ppc de 400</t>
  </si>
  <si>
    <t xml:space="preserve">tt pensó que ya había pagado todo   se le menciona que soo hasta el miercoles esta activada campaña </t>
  </si>
  <si>
    <t xml:space="preserve">Datos Search: Edad 46// Trabajo: no reporta // Deudas 2 </t>
  </si>
  <si>
    <t>DT 1500 CAMPAÑA 688 TT INDICA REALIZARA CANCELACION CON CAMPAÑA 688 EL DIA 16 EN LA TARDE</t>
  </si>
  <si>
    <t>dt 1500 campaña 750 tt se encuentra ocupada con sus hijas pero confirma cancelar su deuda con  su gratificacion  750 el 16/12 se le envia inf por whatsaap</t>
  </si>
  <si>
    <t>dt 1500 campaña 92</t>
  </si>
  <si>
    <t xml:space="preserve">tt dice que vive en un caserio donde no hay agente bcp no hay mercados llega a la ciuda en 40 minutos </t>
  </si>
  <si>
    <t>tt desea cdna a su correo</t>
  </si>
  <si>
    <t xml:space="preserve">acuerdo con tt para cancelar con 92 con plazo hasta el dia 16-5 </t>
  </si>
  <si>
    <t>stp: tt dice que hablara con familia</t>
  </si>
  <si>
    <t>DT 1500 DK 1000 CAMPAÑA 550</t>
  </si>
  <si>
    <t>PPC DE 550</t>
  </si>
  <si>
    <t xml:space="preserve">TT SE COMUNICA A  COOPORATIVO ES COMERCIANTE MENCIONA QUE SE DEMORO , PORQUE NO LE FUE BIEN EN EL NEGOCIO PERO YA QUIERE  SALIR DE DEUDA , PARA CAMBIAR SU RECORD FINANCIERO </t>
  </si>
  <si>
    <t>TIENE UN PAGO QUE LE DARAN EL 28/03</t>
  </si>
  <si>
    <t xml:space="preserve">EDAD 40  DEUDAS 1 REMUNERACION  NO FIGURA </t>
  </si>
  <si>
    <t>DT 1500 DK 1000</t>
  </si>
  <si>
    <t xml:space="preserve">CAMPAÑA 300  </t>
  </si>
  <si>
    <t>TT MENCIONA QUE LE ROBARON LA TARJETA  POR ESO NO PAGO NADA POR QUE NO UTILIZO  SE ACUERDA EN ABONAR CON DESCUENTO 300</t>
  </si>
  <si>
    <t xml:space="preserve">DE SU SUELDO MENSUAL </t>
  </si>
  <si>
    <t>Entidad</t>
  </si>
  <si>
    <t>Deuda</t>
  </si>
  <si>
    <t>Fecha Inf.</t>
  </si>
  <si>
    <t>Calif</t>
  </si>
  <si>
    <t>Dias Venc.</t>
  </si>
  <si>
    <t>DT 1500 DK 650  DC 550 SACARA DINERO SE PREGUNTA Y DUICE LE VERA 27/12 550 DISCADOR SE MANDA NRI DE CUENTA  973155439</t>
  </si>
  <si>
    <t xml:space="preserve">POR MOTIVO DE SALUD NO LO PAGO , ACTUALMETE  NO ESTA TRABAJO , SU FAMILAIRES LO APOYAN , SE PRETSRA DE UNOS FAMILIARES PARA PAGAR SU DEUDA </t>
  </si>
  <si>
    <t>SERCH PERDDIDA</t>
  </si>
  <si>
    <t>FINAICERA  UNO</t>
  </si>
  <si>
    <t>RIPLEY</t>
  </si>
  <si>
    <t>DT 1507</t>
  </si>
  <si>
    <t xml:space="preserve">SE ACOGERA A CAMPAÑA DE CANCELACION DE LA DEUDA //SI LLEGA A CONSEGUIR ANTES IRA ABONANDO 100 O 50 SOLES </t>
  </si>
  <si>
    <t>37 AÑOS //INFO LABORAL: ESAR ABRAHAN VALLEJO S.R.L. ING MENSUAL: 930</t>
  </si>
  <si>
    <t>DT 1520</t>
  </si>
  <si>
    <t>DK 630</t>
  </si>
  <si>
    <t>MC 140</t>
  </si>
  <si>
    <t>TT DEJO CANCELAR PORQUE SU MEGOCIO FUE BAJANDO Y TUVO RETRASOS SIN EMBARGO PAGARA PORQUE SE LE HACE FACTIBLE PAGAR ESE MONTO</t>
  </si>
  <si>
    <t>PAGARA SABADO 28 DE MARZO</t>
  </si>
  <si>
    <t>dt 1523</t>
  </si>
  <si>
    <t>expertis 141</t>
  </si>
  <si>
    <t>esposa de tt 22098725-ROSARIO MARGARITA CAMPOS GALINDO</t>
  </si>
  <si>
    <t xml:space="preserve">recibio un sms de 141 quiere asumir la deuda de su esposo y confirma pago para el dia de mañana 28/05 </t>
  </si>
  <si>
    <t xml:space="preserve">tine las posibilidsades economicas para asumir pago </t>
  </si>
  <si>
    <t xml:space="preserve">asignado </t>
  </si>
  <si>
    <t>DT 1529</t>
  </si>
  <si>
    <t>DK 1187</t>
  </si>
  <si>
    <t>CAMPAÑA S/.850</t>
  </si>
  <si>
    <t>TT MENCIONA QUE POR MOTIVOS DE SALUD DEJÒ DE TRABAJAR//</t>
  </si>
  <si>
    <t>47 AÑOS//TT TIENE CREDITO CON MIBANCO Y COMPARTAMOS</t>
  </si>
  <si>
    <t>TT ACEPTA CANCELAR IMPORTE, EL CUAL EL 23/12 REALIZARÀ UN ADELANTE DE S/.400 Y LA DIFERENCIA EL 30/12//AUDIO POR DISCADOR</t>
  </si>
  <si>
    <t>DT 1550</t>
  </si>
  <si>
    <t>DK 1400</t>
  </si>
  <si>
    <t>MC 280</t>
  </si>
  <si>
    <t>TT INDICA QUE DEJO DE PAGAR POR MOTIVO DE VIAJE Y POR FALTA DE DINERO SIN EMBARGO PAGARA PORQUE TENDRA SUS AHORROS PARA EL DIA 25 DE ABRIL</t>
  </si>
  <si>
    <t>EXPERTIS 960</t>
  </si>
  <si>
    <t>VIVIANO SALAZAR GROWER ENRIQUE</t>
  </si>
  <si>
    <t>LE ATROPELLO UNA MOTO , ESTUUO DELICADO , MANTENIMIENTO EN COLEGIO , DIPLMAS Y CARPETAS , TT SACARA EL DINERO DE SU TRABAJO O SE PRESTARA PARA FINALIZAR SU DEUDA</t>
  </si>
  <si>
    <t>SERCH   PERDIDA</t>
  </si>
  <si>
    <t xml:space="preserve">BANCO INTERNACIONAL </t>
  </si>
  <si>
    <t xml:space="preserve">      FINANCIERA EFECTIVA</t>
  </si>
  <si>
    <t>DT 16,300  DK 1.00 CAMPAÑA 100</t>
  </si>
  <si>
    <t>PPC 100</t>
  </si>
  <si>
    <t>TT DICE QUE NO SABIA DE LA DEUDA   PORWUE TIENE SUS VOUCHER PERO NO TIENE CARTA , // SE ACUERDA PAGAR 100 SOLES ABONA EN AGENCIA A LAS 11 AM</t>
  </si>
  <si>
    <t>dt 160</t>
  </si>
  <si>
    <t>dk 100</t>
  </si>
  <si>
    <t xml:space="preserve">tt coemnta que por dinero no tenia para pagar y mas por este problmea se la hace dificil sin embargo pagara elm monto de 100 soles ayq ue ella vera como lo consigue no dio mas detalle </t>
  </si>
  <si>
    <t xml:space="preserve">pagara el 30 de mayo el monto de 100 soles </t>
  </si>
  <si>
    <t>DT 1600  CAMPAÑA 270</t>
  </si>
  <si>
    <t>PPC DE 270</t>
  </si>
  <si>
    <t xml:space="preserve">DICE QUE NO LE DEJARON ABONAR POR QUE NO FIGURABA DEUDA ,  SE LE ACTIVA CAMPAÑA HASTA EL 28/02  / </t>
  </si>
  <si>
    <t xml:space="preserve">DT 1600  DK620  DC600 SUENTENTO DE PGO SE VA PRESTAR DDINERO CEL939524261  CAN EL 17/02 600 SOLES 24 AÑOS EN SHER NO SALE TRABAJO NI DEUDAS / DISCADOR </t>
  </si>
  <si>
    <t xml:space="preserve">dt 1600 acuer 300 tt con mucha seguridad y inetres de pago cancelara el 18/01 monto 300 soles  ya que el 17 le pagan de su trabajo  tiene 63 años tiene mas deudas verifica en search , se le enviara inf wsp </t>
  </si>
  <si>
    <t xml:space="preserve">dt 1600 campaña 260  </t>
  </si>
  <si>
    <t>tt abonara hasta el dia 22-5</t>
  </si>
  <si>
    <t>tt brinda su nro celular 947684665</t>
  </si>
  <si>
    <t>stp: un prestamo</t>
  </si>
  <si>
    <t>DT 1600 MONTO DE CAMPAÑA 192</t>
  </si>
  <si>
    <t xml:space="preserve">CLIENTE PAGARA 192 SOLES EL DIA 28 DE FEBRERO </t>
  </si>
  <si>
    <t>DEJO DE PAGAR POR MOTIVOS PERSONALES , SIN EMBARGO QUIERE PAGAR PORQUE ESTA LABORANDO Y EL MONTO ES MENOR Y TIENE EL MONTO EXACTO.</t>
  </si>
  <si>
    <t xml:space="preserve">EDAD 40 AÑOS </t>
  </si>
  <si>
    <t>CUENTA CON DEUDAS EN OTRAS FINANCIERAS</t>
  </si>
  <si>
    <t xml:space="preserve">GRABACION GUARDADA EN MI CARPETA </t>
  </si>
  <si>
    <t>DT 1600</t>
  </si>
  <si>
    <t>DC 530</t>
  </si>
  <si>
    <t>TT NO PUDO REALIZAR LA CANCELACION DE SU DEUDA , POR MOTIVO DE TRABAJO NO CONSIGUIO JUNTAR EL DINERO , SE LE MENCIONA QUE AUN PUEDE OBTENER LA CAMPAÑA , CL PAGARA EL DIA VIERNES LOS 530 SOLES , PARA LIQUIDAR LA DEUDA , SE ENVIA SMS , WSP DESDE EL COOPORATIVO 20 ,</t>
  </si>
  <si>
    <t>SERCH EDAD 27 AÑOS</t>
  </si>
  <si>
    <t>FIANACIERA PROEMPESA - PERDIDA</t>
  </si>
  <si>
    <t>DT 1600, campaña 110, tt indica que se quedo sin  trabajo por eso no pago , indica que las cosas que saco no eran para ella, indica que le llego mensaje por campaña de 110, no pudo cancelar ya que el agente que tenia cerca estaba con el sistema saturado y no lo realizo, se realiza comunicacion via whatsapp, tt indica que cada 20 dias baja de su trabajo, indica que se le reprograme para el dia 22/01, saco tarjeta para gastos personales, trabaja independientemente no tiene planilla , como obrera eventual, sueldo minimo, entidada reportada financiera oh, 27 años, soltera.</t>
  </si>
  <si>
    <t>DT 1600, campaña 110, tt indica que se quedo sin  trabajo por eso no pago , indica que las cosas que saco no eran para ella, indica que le llego mensaje por campaña de 110, quiere cancelar para fin de mes 31/01 antes de las 5 de la tarde, saco tarjeta para gastos personales, trabaja independientemente no tiene planilla , como obrera eventual, sueldo minimo, entidada reportada financiera oh, 27 años, soltera.</t>
  </si>
  <si>
    <t xml:space="preserve">DT 1600, campaña 520, indica que pagara a fin de mes 31/01, indica que regresara a su ciudad, le pagaran a fin de mes, tt indica que esta de viaje, labora fuera de la ciudad, indica que no cancelo porque fallecio un familiar, saco tarjeta para gastos de casa, indica que se quedo sin trabajo por eso no pago la tarjeta, indica que para el 26/01 regresa a la ciudad, trabajo tecnico a empresas, cobra por recibos por honorarios, 33 años, entidades reportadas Oh y Efectiva, maneja otro whatssap que maneja 989305607, brinda correo jmedinachavez16@gmail.com para carta de no adeudo </t>
  </si>
  <si>
    <t>DT 1608</t>
  </si>
  <si>
    <t>DC 915</t>
  </si>
  <si>
    <t>CONTRAPROPUESTA 400</t>
  </si>
  <si>
    <t>MEJORA AH 600 SOLES</t>
  </si>
  <si>
    <t xml:space="preserve"> SE CONFIRMA EXCEPCION PARA EL DIA VIERNES 06 - TT CANCELAR EN INTERBANK , PAGARA CON EL DINERO , QUE LE PRESTARA SU HERMANA , SE ENVIA SMS , WSP CON NUMERO DE CUENTA</t>
  </si>
  <si>
    <t>SERCH SIN DEUDAS CON OTRAS ENTIDADES</t>
  </si>
  <si>
    <t>DT 1633</t>
  </si>
  <si>
    <t>EXPERTIS 350</t>
  </si>
  <si>
    <t>REPROGRAMACION DE PAGO 15/04</t>
  </si>
  <si>
    <t xml:space="preserve">MENCIONA QUE LAS COLAS PARA REALIZAR PAGOS SON MUY LARGAS /EL DINERO LO TIENE EN MANO /NO PUEDE HACER LA TRANSACCION POR INTERNET / SE LE INDICA QUE GENERE EL PAGO EL DIA DE MAÑANA HASTA ANTES DE LAS 11 AM //CONFIRMA Y ENVIARA VOUCHER </t>
  </si>
  <si>
    <t>DT 1640</t>
  </si>
  <si>
    <t>EXPERTIS 442</t>
  </si>
  <si>
    <t>FECHA DE PAGO 29/02/2020</t>
  </si>
  <si>
    <t>CONVIVIENTE LESLIE PAZ MALCA DNI 45519862 /  CONFIRMA PAGO CON CAMPAÑA DE DESCUENTO OTORGADA CON 442</t>
  </si>
  <si>
    <t xml:space="preserve">ELLA SE ENCARGARA DEL PAGO YA QUE SU ESPOSO TRABAJA DE CHOFER/SE COMUNICO Y LE CONFIRMO EL PAGO - TIENE AGENTES BCP CERCA DONDE PODRA EFECTUAR EL PAGO </t>
  </si>
  <si>
    <t xml:space="preserve">SEARCH NO FUE NECESARIO YA QUE FUE INBOUND A CORP 7 </t>
  </si>
  <si>
    <t>DT 1650</t>
  </si>
  <si>
    <t>CAMPAÑA 420</t>
  </si>
  <si>
    <t xml:space="preserve">0 ENTIDADES </t>
  </si>
  <si>
    <t>STP CLIENTE HISTORICO</t>
  </si>
  <si>
    <t xml:space="preserve">OBSERVACION </t>
  </si>
  <si>
    <t>CLIENTE ACCEDIO AL MIN1 420, PAGARA EL 25</t>
  </si>
  <si>
    <t xml:space="preserve">GRABACION DE LLAMADA </t>
  </si>
  <si>
    <t>dt 1650</t>
  </si>
  <si>
    <t>dk 563.48</t>
  </si>
  <si>
    <t>dc 250</t>
  </si>
  <si>
    <t>tt no realizo la cancelacion de su deuda , ppor estar delicada de salud y tubo que dejar de trabajar , cliente trabaja actualmente en venta de prendas de vestir , tiene auss padre a cargo. tt emnciona que adelanta 50 soles el dia luenes 9 y al diferencia el dia 15 de marzo</t>
  </si>
  <si>
    <t>serch edad 26 años</t>
  </si>
  <si>
    <t>sin deudas con otras financieras</t>
  </si>
  <si>
    <t>perdida fiannciera uno</t>
  </si>
  <si>
    <t>llamada saliente de cooporativo 20</t>
  </si>
  <si>
    <t>DT 16518</t>
  </si>
  <si>
    <t>PPC SE DA OPCION DE PAGAR 7490 EN DOS PARTES 15/01 YA ABONO Y LO RESTANTE PARA 22/01 3690 SE GESTIONO POR CORREO / 45 AÑOS / 2 HIJOS / TIENE TRABAJO SUELDO 3000 / 1 VEHICULO B9R937 / 1 ENTIDAD REPORTADA / monicvargas_27@hotmail.com</t>
  </si>
  <si>
    <t>dt 1676 campaña 747</t>
  </si>
  <si>
    <t>tt dice que mañana hara pago</t>
  </si>
  <si>
    <t xml:space="preserve">stp:de sus ahorros </t>
  </si>
  <si>
    <t xml:space="preserve">DT 168 </t>
  </si>
  <si>
    <t xml:space="preserve">DK 89.500 </t>
  </si>
  <si>
    <t>Campañ 41000</t>
  </si>
  <si>
    <t>Contrapropuesta: 10,000</t>
  </si>
  <si>
    <t>sustento: cuenta con efectivo s/8000 + s/2000</t>
  </si>
  <si>
    <t xml:space="preserve"> (prestamo de su tìa)</t>
  </si>
  <si>
    <t xml:space="preserve">Observaciòn: base manual asignada por Julio </t>
  </si>
  <si>
    <t xml:space="preserve">No se genera promesa a tiempo ya que no cuento con tacita , mi responsable està al tanto del seguimiento al titular y por lo tanto se solicitò acuerdo de cancelaciòn, pagarà en BCP .  correo:iancoronado@gmail.com </t>
  </si>
  <si>
    <t>DT 1680</t>
  </si>
  <si>
    <t>DK 585.46</t>
  </si>
  <si>
    <t>DC 135 SOLES</t>
  </si>
  <si>
    <t>TT MENCIONA QUE FUE CAPRICHO LO DELA TARJETA OH , NO SE PERCATO DE UN SEGURO QUE LE CONBRABA , HIZO SU RECLAMO , POR QUE NESECITA EL CREDITO , SALIR , TIENE UN SUELDO  DE 2400 , PAGA CASA , TIENE UNA CHACRA ,SE INVIERTE EN ESE NEGOCIO CON SU HERMANA. ALA ESPERA DE UNA VENTA DE UNOS SOLARES PARA LIQYUIDAR SUD EUDA CON CAJ. SULLANA</t>
  </si>
  <si>
    <t>SERCH 37 AÑOS</t>
  </si>
  <si>
    <t>PROGRAMA NACIONAL CUNA MAS</t>
  </si>
  <si>
    <t>2900 SOLES</t>
  </si>
  <si>
    <t>PERDIDA CON BCP Y FINAN CIERA UNO</t>
  </si>
  <si>
    <t>LLAMADA DEL COORPORATIVO 20</t>
  </si>
  <si>
    <t>NEGOCIACION POR OH Y CAJA SULLANA</t>
  </si>
  <si>
    <t>LLAMADA DESDE COORPORATIVO 20</t>
  </si>
  <si>
    <t>DT 17,636 DK 9637 CAMPAÑA 7678</t>
  </si>
  <si>
    <t xml:space="preserve">SE INFORMA A MELINA Y NATHALY </t>
  </si>
  <si>
    <t>MNP: TT NO PUDO REALIZAR EL TRAMITE DE CARTA PODER MEDIANTE EL CONSULADO (POR LA CUARENTENA )</t>
  </si>
  <si>
    <t>SUSTENTO : TIENE EL DINERO EN UNA CUENTA DE AHORRO EN CREDINKA SE HABLO CON JEFE DE OPERACIONES DE CDK PARA QUE SE PUEDA AUTORIZAR UNA TRANSFERENCIA  HACIA CTA DE EXPERTIS , .</t>
  </si>
  <si>
    <t>SE LE ENVIARA POR CORREO EL FORMULARIO QUE TT TENDRA QUE LLENAR PARA DICHO TRAMITE</t>
  </si>
  <si>
    <t xml:space="preserve">DT 1700 </t>
  </si>
  <si>
    <t xml:space="preserve">DESC 400 PPC INDICA QUE SUFRIO UN RO DE LA CUAL YA NO NOS PUDO LLMAR Y POR ESO SE ESTA CONTACTANDO POR QUE QUIERE CANCELAR / TIEN TRBAJO SUELDO 1989 / 25 AÑOS / 1 DEUDA  / SIN FAMILIA /  TT YA TIENE EL DINERO PAGARA HOY ENTRE LAS  1 PM </t>
  </si>
  <si>
    <t>DT 1700 1100 CAMPAÑA 350</t>
  </si>
  <si>
    <t>PPC DE 350</t>
  </si>
  <si>
    <t xml:space="preserve">SE COMUNICA A COORPORATIVO POR QUE LE LLEGO MSJ DE TEXTO </t>
  </si>
  <si>
    <t xml:space="preserve">TT MENCIONA QUE SE ENCONTRABA MAL DE SALUD Y LA OPERARON , SE DEDICA A  CRIANZA DE ANIMALES Y  POR EL TEMA DE SALUD Y ACTUALMETE YA SE ESTA RECUPERANDO  </t>
  </si>
  <si>
    <t xml:space="preserve"> DE  DONDE SACA AEL DINERO ,</t>
  </si>
  <si>
    <t xml:space="preserve"> DE SU TRABAJO LE PAGARAN LE JUEVES EN LA NOCHE Y EL VIERNES DEPOSITA </t>
  </si>
  <si>
    <t xml:space="preserve">DT 1700 DK 1200 CAMPAÑA 1000 </t>
  </si>
  <si>
    <t xml:space="preserve"> PPC DE 1000</t>
  </si>
  <si>
    <t xml:space="preserve">TT SE COMUNICO MEDIANTE WHATSAAP PARA PEDIR INFORMACION DE DEUDA , CUANDO SE LLAMA  CONTESTA ESPOSO  GENRRY MOGOLLON ,  hmogollon160776@gamil.com Y ENCARGADO DE LA CUENTA  </t>
  </si>
  <si>
    <t xml:space="preserve">MOTIVO DE NO PAGO : TT DEJO DE TRABAJAR POR TEMA DE SALDU Y DEJO DE PAGAR </t>
  </si>
  <si>
    <t xml:space="preserve">ACTUALMENTE QUIERE CANCELAR POR QUE QUIERE SALILR DEL CENTRALES DE RIESGO </t>
  </si>
  <si>
    <t xml:space="preserve"> DATOS SEARCH</t>
  </si>
  <si>
    <t>EDAD 41</t>
  </si>
  <si>
    <t xml:space="preserve"> Detalle de la deuda SBS/Microfinanzas.</t>
  </si>
  <si>
    <t>Nro</t>
  </si>
  <si>
    <t>DC 240</t>
  </si>
  <si>
    <t>HUGO ROBILL OSORIO PIZANGO</t>
  </si>
  <si>
    <t>DEUDAS EN COMPRAS PERSONALES ,NO TUBO TRABAJO Y PROBLEMAS PERSONALES FUERTS POR ESO NO LO PAGO, JUAATARA EL DINERO PARA PODER SALIR DE LA DEUDA , CASADO ,EDAD 28AÑOS ,SIND EDUADS EN OTROS BANCOS</t>
  </si>
  <si>
    <t>CANCELARA VIERENS 27 DE FEBRERO</t>
  </si>
  <si>
    <t>dt 1700.00</t>
  </si>
  <si>
    <t>dk 1010.00</t>
  </si>
  <si>
    <t xml:space="preserve">tt indica que no esta en arequipa, se le idnica que el pago lo puede hacer en cualquiqer ofic , acepta cancelar con 1010.00 el dia 30/04/2020 </t>
  </si>
  <si>
    <t>DT 17189.18</t>
  </si>
  <si>
    <t>DK 3495</t>
  </si>
  <si>
    <t>MDI: SU PADRE SUFRIO UNA ENFERMEDAD Y LO TUVO QUE APOYAR CUBRIENDO TODOS LOS GASTOS Y SE DESCUIDO DE SUS DEUDAS</t>
  </si>
  <si>
    <t>CAMPAÑA: 3495</t>
  </si>
  <si>
    <t>REPROGRAMACION DE PAGO</t>
  </si>
  <si>
    <t>TT INDICA QUE ESTA A LA ESPERA DE RESPUESTA SI QAPAQ TIENE SUS JOYAS, SE SOLICITA FILE, SE CORDINA CON MELINA, TODAVIA TENEMOS QUE REGRESAR A OFICINAS PARA PODER CONFIRMAR SI TT DEJO ALGUNA PRENDA</t>
  </si>
  <si>
    <t>STP: SACARA DINERO DE SU SUELGO</t>
  </si>
  <si>
    <t>OBSERVACION: CLIENTE INDICA QUE DEJO JOYAS EN GARANTIA Y QUIERE CANCELAR PARA RECUPERARLAS, QUIERE CANCELAR PASANDO CUARENTENA, SE COMUNICA AL CORP 14</t>
  </si>
  <si>
    <t>CLIENTE SE DEDICABA ACOMERCIAR ABARROTES  , PARA ESO FUE EL PRESTAMO , SUBRIO UN ACCIDENTE DE TRANSITO LA CUAL , POR ESE MOTIVO NO PUDO RALIZAR EL PAGO , ACTUALMENTE SE SOLVENTA HACIENDO TAXIS , LA CONTRA PORPUESTA DEL CLI EST PODER ABONAR 2000 SOLES PARA PODER CERRAR LA DEUDA  NO CUENTA CN MAS , EL DINERO LE PODRA PRESTAR UN FAMILIAR PARA PODER SLAIR DE ESA DEUDA</t>
  </si>
  <si>
    <t>SE ENVIA EXCEPCION MARIANGELA</t>
  </si>
  <si>
    <t>DT 1750</t>
  </si>
  <si>
    <t>DESC  700</t>
  </si>
  <si>
    <t>PPC SE DA EXCEPCION DE 700 PARA 24/01 YA TIENE EL DINERO INDIAC QUE NO PAGO POR SALUD Y GASTOS EN REPARACION DE SU DOMICILIO / 46 AÑOS / SIN DATOS DE TRABAJO /  SIN DATOS DE HIJOS  / SIN DATOS DEUDAS /</t>
  </si>
  <si>
    <t>dt 1763</t>
  </si>
  <si>
    <t>expertis 170</t>
  </si>
  <si>
    <t>tt indica que le enviaron por mensaje descuento para que cancele deuda //dice que pagara el dia lunes monto de 170</t>
  </si>
  <si>
    <t>inbound</t>
  </si>
  <si>
    <t xml:space="preserve">dt 1770 campaña 357 </t>
  </si>
  <si>
    <t>tt cancelara a mas tardar el dia 30-4</t>
  </si>
  <si>
    <t xml:space="preserve">stp: tt dice esta esperando una plata de afp la semana que viene </t>
  </si>
  <si>
    <t>tt desea cdna a su correo electronico</t>
  </si>
  <si>
    <t>DT 18,760  DK 11,215 CAMPAÑA 2,243</t>
  </si>
  <si>
    <t>Cliente indica que le llego sms que tiene ese monto en mano ya que dinero sera prestado por un familiar ya que debe a mas entidades y poco a poco esta regularizando , se le acepta excepcion por Melina del monto de 1500 soles para el dia de mañana 31/03 / ppc</t>
  </si>
  <si>
    <t>DT 180</t>
  </si>
  <si>
    <t>TT SOLICITO EL PRESTAMO PARA UNA AMISTAD NO LE CUMPLIO LA ULTIMA CUOTA , TRABAJA GUIA DE TURISTAS , CONESO PAGARAIA SU DEDUA</t>
  </si>
  <si>
    <t>,SERCH 34 AÑOS</t>
  </si>
  <si>
    <t>SIN DEUDAS BANCARIAS</t>
  </si>
  <si>
    <t>dt 1800 campaña 190</t>
  </si>
  <si>
    <t>tt dice que el dia 30 le pagan y que destinara 100 para cancelar</t>
  </si>
  <si>
    <t>stp: tt dice le pagan ek dia 30-3</t>
  </si>
  <si>
    <t>tt desea le envien por correo acuerdo de cancelacion es muy desconfiada</t>
  </si>
  <si>
    <t>stp: tt dice le pagan el dia 30-3</t>
  </si>
  <si>
    <t>(APROBADO POR ANGEL)</t>
  </si>
  <si>
    <t>dt 1800 dk 460 campaña 99</t>
  </si>
  <si>
    <t>acuerdo con tt para cancelar el dia 28-4</t>
  </si>
  <si>
    <t>tt dice que posiblemente el pago lo haga antes del 28</t>
  </si>
  <si>
    <t>DT 1800</t>
  </si>
  <si>
    <t>DC 250</t>
  </si>
  <si>
    <t>MAYCOL COLONIA GONZALEZ</t>
  </si>
  <si>
    <t xml:space="preserve">TT NO CANCELO POR QUESE REALIZO UN COBRO INDEVIDO , HIZO SU RECLAMO PARA LA DEVOLUCION , NO LE DIERON SPLUCUON Y DEJO DE PAHGAR , ACTUALMTE TRABAJA COMO MINERO , CLIENTE INDICA QUE SI CUENTA CON EL DINERO PARA PAGARA EL DIA LUNES 10 - </t>
  </si>
  <si>
    <t>BANCO RIPLEY PERU S A</t>
  </si>
  <si>
    <t>Créditos castigados</t>
  </si>
  <si>
    <t>BANCO AZTECA DEL PERU S A</t>
  </si>
  <si>
    <t>FINANCIERA UNO S A</t>
  </si>
  <si>
    <t>DISCADOR SE CIERRA</t>
  </si>
  <si>
    <t>DC 400</t>
  </si>
  <si>
    <t>TT NO CANCELO SU CONVENIO POR QUE ESTABA DE VIAJE , TT MANEJ AL INFORMACION DEL CONVENIO ANTERIOR , PAGARA HOY EN EFECTIVO EN UN PLAZA VEA CON AGENTE INTERBANK , SE ENVIA SMS CON NUMERO DE CUENTA</t>
  </si>
  <si>
    <t>EDAD 66 AÑOS</t>
  </si>
  <si>
    <t>DEUDAS EN PERDIDA , BCP , CREDISCOTIA ,BANCO FINANCIERO.</t>
  </si>
  <si>
    <t>BASE GESTIONES V4</t>
  </si>
  <si>
    <t>dt 1850</t>
  </si>
  <si>
    <t>dk 1250</t>
  </si>
  <si>
    <t>dc 400</t>
  </si>
  <si>
    <t>YRIS CORDOVA FLORES DE FUENTES</t>
  </si>
  <si>
    <t>no lo pago por salud , trabaja en un restaurente , tine un hijo , es eparada , actualmente esta en la cierra , gasto la tarjeta en compras personales , se envia numero de cuenta por wsp y sms , y forma de pagarlo , el dienro los sacara de su sueldo</t>
  </si>
  <si>
    <t>DT 1850</t>
  </si>
  <si>
    <t>DK 975</t>
  </si>
  <si>
    <t>CAMPAÑA 720.00</t>
  </si>
  <si>
    <t>TT INDICA QUE LE LLEGO UN MENSAJE DE 700.00 , SE LE BRINDA LA OPCION DE 720.00 LO REALIZARA AHORITA EL PAGO</t>
  </si>
  <si>
    <t>DT 1860</t>
  </si>
  <si>
    <t xml:space="preserve">SE ACOGERA A LA CAMPAÑA DE CANCELACION DE LA DEUDA </t>
  </si>
  <si>
    <t>42 AÑOS///SOLO REGISTRA DEUDA CON FIN UNO////INF LABORAL :INDUSTRIAS CELENDINAS S.A.C. - INDUCEL S.A.C. ING MENSUAL: 1100</t>
  </si>
  <si>
    <t>dt 1867 campaña 136</t>
  </si>
  <si>
    <t xml:space="preserve">tt dice que pago lo hace hoy </t>
  </si>
  <si>
    <t>tt dice pago lo hara de banca movil</t>
  </si>
  <si>
    <t>stp: de su cuenta del banco</t>
  </si>
  <si>
    <t>dt 18830 excepcion 2500</t>
  </si>
  <si>
    <t>tt dice que prestamo fue para su tio</t>
  </si>
  <si>
    <t>se le indica a tt que tiene de plazo hasta mañana 5-5</t>
  </si>
  <si>
    <t>tt dice que mañana hace el pago</t>
  </si>
  <si>
    <t>stp: de sus ahorros</t>
  </si>
  <si>
    <t xml:space="preserve">dt 18900 dc700 titen   tiene  exepcion aprobada de 500 soles , cancela deyda el 30/03 /50 años/ no sale deua / nosale trabajo sustento depgo dic ella ya sabra /discador </t>
  </si>
  <si>
    <t>DT 19,938 DK 9,400 DC 2,700</t>
  </si>
  <si>
    <t>Esposa responsable de pagos con dni 00828838 Sra. Allison</t>
  </si>
  <si>
    <t>MDI: esposa indica que tuvieron una perdida un fracaso de negocio (no da mas detalles)</t>
  </si>
  <si>
    <t>search: Prestamo con el banco de la nacion pero en normal y MUNICIPALIDAD PROVINCIAL DE CONTRALMIRANTE VILLAR 201909 A 1737</t>
  </si>
  <si>
    <t xml:space="preserve">STP: encargada indica que recien se han casado por lo tanto cual documento que ella tiene que hacer le afecta porque sale en castigo por eso es el motivo de pago, se le hace ppc con el monto de 500 soles para el dia de mañana 14/03 y la diferencia de 2200 soles para el dia 30/03 / ppc </t>
  </si>
  <si>
    <t>DT 19.039</t>
  </si>
  <si>
    <t>DK 8500</t>
  </si>
  <si>
    <t>PAR 500</t>
  </si>
  <si>
    <t>VENDRA A OFICINA PORQUE INDICA QUE DESEA CONFIRMAR CANCELACION DE DEUDA</t>
  </si>
  <si>
    <t xml:space="preserve">dt 1900 canc 300 </t>
  </si>
  <si>
    <t>dk 700</t>
  </si>
  <si>
    <t>fecha de pago 10/01</t>
  </si>
  <si>
    <t xml:space="preserve">sustento : cliente asignado por inbound no se tiene audio </t>
  </si>
  <si>
    <t>edad 34</t>
  </si>
  <si>
    <t xml:space="preserve">deudas: bcp, banco de lanacion, falabella, caja rural de ahorro , financiera uno </t>
  </si>
  <si>
    <t>DT 1900 DC 1000 DIC YA ANTES LE DIJERON 921 SOLES  HARA CANCE LACION POR ESE IMPORTE HOY 21/02 DESEA URGENTE LA CARTA DE NO DEUODR YA Q POR TEMAS DE SALUD VIAJA AL EXTRANJERO ESTE MES SE HARA UNA DIALISIS. TIENE 29 AÑOS DE DEBE UNA ENTIDAD , NO LABORA / DISCADOR SUSTENTO YA TIEE DINERO</t>
  </si>
  <si>
    <t>DT 19100</t>
  </si>
  <si>
    <t>DC 3200 -3000</t>
  </si>
  <si>
    <t>CONTRAPROPUESTA 2500 = 4-02-2020</t>
  </si>
  <si>
    <t xml:space="preserve">500 = 28-02 </t>
  </si>
  <si>
    <t xml:space="preserve">HOY CACENLARIA </t>
  </si>
  <si>
    <t>TT MENCIONA QUE NO PUDO CANCELAR LA CUOTA PACTADA EL MES ANETRIOR , AHORA TIENE LA POSIBILIDAD DE LIQUIDAR SU DEUDA POR 2500 SOLES QUE SE PRESTARA DE LA DERRAMA MAGISTERIAL ,PAGARA LA DIFERENCIA DE 500 SOLES EL DIA 28 DE FEBRERO TT TRABAJA COMO DOCENTE , TT SE EXCEDIO EN GASTOS CON LA TARJETA OH</t>
  </si>
  <si>
    <t>, ES MADRE DE FAMILIA , TIENE DEUDA CASTIGADA CON OTRAS ENTIDADES - SIN SERCH</t>
  </si>
  <si>
    <t>COOPORATIVO 20</t>
  </si>
  <si>
    <t>DT 19300</t>
  </si>
  <si>
    <t>DC 4441</t>
  </si>
  <si>
    <t>CONTRAPROPUESTA 2000 PARA EL VIERNES 21 FERBERO</t>
  </si>
  <si>
    <t>NEGOCIANCION EN EL REGISTRO ANTERIOR, SE SUBE AUDIO DE NEGOCIACION Y CIERRE DEL COMPROMISO , COORPORATIVO 20, SE ENVIA SMS</t>
  </si>
  <si>
    <t>DT 1931</t>
  </si>
  <si>
    <t>EXPERTIS 622</t>
  </si>
  <si>
    <t>TT SE COMUNICA POR EL SMS DE DESCUENTO QUE LE ENVIARON POR 622 /MENCIONA QUE SU ESPOSA ESTARA HACIENDO EL PAGO ANTES DEL MEDIO DIA /</t>
  </si>
  <si>
    <t xml:space="preserve">SEARCH NO FUE NECESARIO YA QUE SI TIENE INTENCION DE REGULARIZAR DEUDA </t>
  </si>
  <si>
    <t xml:space="preserve">dt 1948 dc 241 </t>
  </si>
  <si>
    <t>tt se comunica por sms que le enviaron indica que mañana hara la cancelacion de la deuda con el monto de 241 en un agente interbank / ppc</t>
  </si>
  <si>
    <t xml:space="preserve">dt 1950 campaña 139 20-5 </t>
  </si>
  <si>
    <t>acuerdo con tt para cancelar con 139 con plazo hasta el dia 20-5  tt brinda nro de esposo para que le envie informacion 923465705</t>
  </si>
  <si>
    <t>stp: hara lo posible por prestarse</t>
  </si>
  <si>
    <t xml:space="preserve">DT 1953 DK 757 CAMAPAÑA  166 </t>
  </si>
  <si>
    <t>TT DICE QUE HABLO CON SU HERMANO Y QUE LE ESTARAN PRESTANDO EL DINERO A MAS TARDAR EL DIA LUNES</t>
  </si>
  <si>
    <t xml:space="preserve">STP: PRESTAMO DE SU HERMANO </t>
  </si>
  <si>
    <t xml:space="preserve">dt 1968 campaña 890 </t>
  </si>
  <si>
    <t>tt dice que mañana hace cancelacion</t>
  </si>
  <si>
    <t xml:space="preserve">dt 2 mil soles / campaña 400 soles / tiene 204 soles a la mano y pagara a las 4 pm // no pago ya que dejo de trabajar y estubo delicada de salud / tiene 29 años / no figura hijos / tiene 4 entidades resportadas ripley - caja rural cat peru -  financiera uno y falabella en clasificacion perdida / inbound / llamada al fijo / </t>
  </si>
  <si>
    <t>DT 20.000 DK17.000 DC 7900 DIC ES PORFESORA RETIRADA PIDE CANCELAR  CN 3000 YA QUE NO TRABAJA ,SUSTENTO DE POG HERMANA LE PRESTARA EL DINERO PARA EL DIA DE PGO21/02, SE LEA ECEPCION AUTORISADA  SHERK 63 AÑOS DEBE 1 ENTIDAD , SALE TRABAJO 2019 ,MANUAL HISTORICO</t>
  </si>
  <si>
    <t>DT 200</t>
  </si>
  <si>
    <t>DK 70</t>
  </si>
  <si>
    <t>MC 80 SOLES</t>
  </si>
  <si>
    <t>DEJO DE PAGAR PORQUE SU MONTO HABIA SUBIDO Y NO TENIA EL MONTO DE DINERO,SIN EMBARGO A FINES DE MES LE PAGAN Y TENDRA YA LA OPCION DE PAGAR YA EL MONTO DE 80 SOLES EL DIA 26 DE MARZO.</t>
  </si>
  <si>
    <t>EDAD 26 AÑOS</t>
  </si>
  <si>
    <t>LABORA ACTUALMENTE</t>
  </si>
  <si>
    <t xml:space="preserve">NO FIGUTRA HIJOS </t>
  </si>
  <si>
    <t xml:space="preserve">NO TIENE DEUDAS </t>
  </si>
  <si>
    <t xml:space="preserve">DT 2000 ACUERD 800  tt confirma cancelacion  16/12   monto 800 soles , ateriormente no pudo cancelar , tiene intension de pago y cancelara el 16/12 . </t>
  </si>
  <si>
    <t>dt 2000 campaña 1165</t>
  </si>
  <si>
    <t xml:space="preserve">tt dice estara en condiciones para fines de mayo de cancelar  tt dice que se encuentro infectado con el covid </t>
  </si>
  <si>
    <t>tt  abonara 100 y diferencia en mayo</t>
  </si>
  <si>
    <t>DT 2000 DC800 TIT LL AL CEL9 SE ACRERDA CANCELAR CON 800 SOLLES/ EL DIA 16/03/ TIENE 31 AÑOS / NO SALE DEUDA NO SALE TRANAJO /SISTENTO DE POG PARA ESE DIA TEDA DINERO</t>
  </si>
  <si>
    <t>DC 1000</t>
  </si>
  <si>
    <t>CLEINTE SE ENCUENTRA FUERA DE LA CIUDAD , PAGARA EL DIA MARTES 18 EN CREDINKA CUANDO ESTEB EN LA CIUDAD , TT TIENE LA INFORMACION DE LA DT , Y CAMAPAÑA , SE CONFIRMA VIA WSP COOPORATIVO 20 , CL ESTA DEACUERDO CON EL COMPROMISO PARA EL DIA 18.</t>
  </si>
  <si>
    <t>SERCH EDAD 37 AÑOS</t>
  </si>
  <si>
    <t>PERDIDA CREDISCOTIA FINANCIERA</t>
  </si>
  <si>
    <t xml:space="preserve">DT 2000, campaña 300, antiguedad 3 años, realizara el abono el 16/02 a las 2 pm, inconveniente familiares de salud por eso no pago, tuvo gastos, trabaja en DISTRIBUCIONES OLANO S.A.C, no se verifica hijos en el search, 45 años, entidad reportada solo financiera oh </t>
  </si>
  <si>
    <t>DT 20000, campaña 5208,se realiza llamada desde el corporativo 19, cliente asignado por INBOUND, quiere cancelar por la campaña brindada que le llego a su movil de 5208.50, tt indica que dejo de pagar por problemas personales, no quiere redundar mas en el tema, saco prestamo para un negocio, se le refuta informacion pero no quiere brindar mas info, tt indica que sus hijos le van a brindar el apoyo para poder saldar su deuda, 50 años, no reporta entidades, se valida planilla de MUNI. DIST. STO. DOMINGO DE LA CAPILLA.</t>
  </si>
  <si>
    <t>dt 2018 campaña 417</t>
  </si>
  <si>
    <t xml:space="preserve">hijo de tt frank hilario responsable de pago escribe al whatsapp e indica que pago lo hace hoy o mañana   </t>
  </si>
  <si>
    <t>dt 2024</t>
  </si>
  <si>
    <t>desc 979</t>
  </si>
  <si>
    <t xml:space="preserve">ppc se da opción para cancelar s/979.00 para el dia 24/02/20 , indica que esta a la espera de un pago y se acercará ala oficina ubicada en Av America del Norte.Tt indica que no tuvo empleo y plata para cancelar search 61 años// sin datos de trabajo//sin datos de hijo // 1 entidad reportada //1 llamada por discador , se fue la ficha </t>
  </si>
  <si>
    <t>DT 207 CAMPAÑA 148</t>
  </si>
  <si>
    <t>TT CANCELARA CON 148 A MAS TARDAR EL DIA 15-4</t>
  </si>
  <si>
    <t>MDI: ENFERMEDAD FAMILIAR</t>
  </si>
  <si>
    <t>SUSTENTO: PRESTAMO DE UNA CUÑADA</t>
  </si>
  <si>
    <t>//ASIGNADO POR SANDY</t>
  </si>
  <si>
    <t>DT 2100  DK 1000 CAMPAÑA 800</t>
  </si>
  <si>
    <t xml:space="preserve">SE LLAMADA DEW BASE TACITA CAIDOS </t>
  </si>
  <si>
    <t xml:space="preserve">TT  DICE QUE SE ENCUENTRA TRABAJANDO (GALLINERO ) Y EL LUNES 9 VA ACERCARSE A AGENCIA PARA PAGAR LOS 800 , GESTION N PRECIONANO A TR POR CAMPAÑA AN TERIOR INCUMPLIDA </t>
  </si>
  <si>
    <t xml:space="preserve">DATOS SEARCH  </t>
  </si>
  <si>
    <t xml:space="preserve">EDAD 61 // DEUDAS   1      /  TRABAJO : EN CASA (CAMPO , GALLINERO)// HIJOS  NO REGISTRA </t>
  </si>
  <si>
    <t>dt 2100 campaña 250</t>
  </si>
  <si>
    <t>ppc de 160</t>
  </si>
  <si>
    <t xml:space="preserve">tt mencioa que  hablo con su hijo para que le pueda prestar el dinero pasa llamada con otro de sus hijos Armando lopez dni 44082090 hijo de tt se le explca como realizar el pago,   </t>
  </si>
  <si>
    <t>DT 2100 DK 800 CAMPAÑA 350</t>
  </si>
  <si>
    <t xml:space="preserve">TT confirma pago hasta el 20/04 en bcp ya que es la unica agencia cerca a su casa </t>
  </si>
  <si>
    <t>CAMPAÑA 670</t>
  </si>
  <si>
    <t>MDI: CAYERON EN GASTOS Y NO PUDIERON PAGAR LA CUENTA</t>
  </si>
  <si>
    <t>STP: HIJA APOYARA A SU PADRE</t>
  </si>
  <si>
    <t>OBS: HIJA ESPINOZA CASIMIRO JESSICA SE COMUNICA AL CORP 14 POR LA CAMPAÑA QUE SE LE HABIA OTORGADO EN PREVIA COMUNICACION, INDICA QUE QUIERE SU ACUERDO DE CANCELACION</t>
  </si>
  <si>
    <t>ELIZABETH LEON HUIDOBRO</t>
  </si>
  <si>
    <t xml:space="preserve">UN ACCIDENTE LE PICO LA ARAÑA ,DEJO DE PAGAR SU DEUDA , TRABAJA , DOCENTE INICIAL , EL PAGO LO REALIZARA CON SU SUELDO </t>
  </si>
  <si>
    <t>SERCH PERDIDA</t>
  </si>
  <si>
    <t>FINANCIERA EFECTIVA S A</t>
  </si>
  <si>
    <t>DK 1000</t>
  </si>
  <si>
    <t xml:space="preserve">INDICARA QUE PAGARA EL DIA VIERNES 6 DEMARZO ,PAGARA PORQUE TIENE SUS AHORROS </t>
  </si>
  <si>
    <t>INBOUND ASIGNADO</t>
  </si>
  <si>
    <t xml:space="preserve">EDAD 33 AÑOS </t>
  </si>
  <si>
    <t>CUENTAS CON DEUDAS EN OTRAS FINANCIERAS</t>
  </si>
  <si>
    <t xml:space="preserve">NO TIENE HIJOS </t>
  </si>
  <si>
    <t xml:space="preserve">DT 2100, campaña 250, antiguedad 3 años,  realizara el abono 15/02 en el transcurso del dia, tuvo problemas economicos porque le robaron y por eso no pago, demoro en conseguir trabajo, trabaja en UNIDAD DE GESTION EDUCATIVA LOCAL 03, 912519999 numero personal, no figura hijos en el search, 39 años, unica entidad reportada Financiera Oh... Se perdio ficha </t>
  </si>
  <si>
    <t>dt 2120 campaña  272.01</t>
  </si>
  <si>
    <t xml:space="preserve">mnp: menciona que le subieron los intereses , que tenia  cuando se acerco a solicitar que bajen los intereses , </t>
  </si>
  <si>
    <t xml:space="preserve">sustento :le llego el msj con  descuento  </t>
  </si>
  <si>
    <t xml:space="preserve">saenzmoreno _1@hotmail.com </t>
  </si>
  <si>
    <t>DT 214</t>
  </si>
  <si>
    <t>esposo de tt asumira deuda ///sr fernando //menciona que su esposa esta delicada de salud(paralisis parcial)cancelara el dia hoy con importe de s/.200//</t>
  </si>
  <si>
    <t>dt 2200</t>
  </si>
  <si>
    <t>dk 1700</t>
  </si>
  <si>
    <t>campaña 800</t>
  </si>
  <si>
    <t>ppc // tt genero pago de s/100 el 06/04/20 mediante banca movil asimismo tiene intencion de cancelacion de deuda total en base a la diferencia de s/800 para abonarse el 15/04/20 por el mismo medio</t>
  </si>
  <si>
    <t>search : 24 años</t>
  </si>
  <si>
    <t>cuenta con 02 hijos</t>
  </si>
  <si>
    <t>actualmente se valida si esta laborando</t>
  </si>
  <si>
    <t xml:space="preserve">recibira dinero de sueldo </t>
  </si>
  <si>
    <t>DT 2200.00</t>
  </si>
  <si>
    <t>DK 1250.00</t>
  </si>
  <si>
    <t>CAMPAÑA:1000.00</t>
  </si>
  <si>
    <t>FECHA DE PAGO :16-03</t>
  </si>
  <si>
    <t xml:space="preserve">sustento pago:PAGO DE HABERES </t>
  </si>
  <si>
    <t>motivo no pago :se ENCONTRABA EN UNA ZONA RURAL</t>
  </si>
  <si>
    <t>FECHA DE PAGO 16-03</t>
  </si>
  <si>
    <t xml:space="preserve">25 AÑOS </t>
  </si>
  <si>
    <t>NO TIENE OTRAS DEUDAS // CLIENTE ASIGNADO POR INBOUND</t>
  </si>
  <si>
    <t>DT 22294</t>
  </si>
  <si>
    <t>DK 16798</t>
  </si>
  <si>
    <t>EXCP 3000</t>
  </si>
  <si>
    <t xml:space="preserve">MOTIVO DE INP TT INDICA QUE POR CUARENTENA NO PODRA SALIR DE CASA, SE LE INDICA PROCEDIEMIENTOS DICE TENER DINERO EN MANO PERO NO QUIERE ARRIESGARSE A SALIR HAS FIN DE MES </t>
  </si>
  <si>
    <t>PPC 3000 // WHATS</t>
  </si>
  <si>
    <t>dt 2231  dk 1068 campaña 213</t>
  </si>
  <si>
    <t>le llega msj de texto ,</t>
  </si>
  <si>
    <t xml:space="preserve">MNP:Tiene un ahorro y quiere aprovechar campaña sustento :Cliente menciona que tuvo poblemas personales y dice que no pudo cumplir con el pago , </t>
  </si>
  <si>
    <t>dt 2270.00</t>
  </si>
  <si>
    <t>campaña 220.00</t>
  </si>
  <si>
    <t>tt indica que se va acoger a la cancelacion con el importe de campaña el dia 15/05/2020, solicita toda la informacion y metodo de pago que se le envie.</t>
  </si>
  <si>
    <t>dt 2300 campaña 865 16-12 desea cna al whatsapp 979499408 tt hsra ppc el dia 16-12 en la tarde</t>
  </si>
  <si>
    <t>dt 2300 campaña 865 16-12 desea cna al whatsapp 979499408 tt hsra ppc el dia 16-12 en la tarde /se me fue la ficha</t>
  </si>
  <si>
    <t>DT 2300</t>
  </si>
  <si>
    <t>DESC 1300</t>
  </si>
  <si>
    <t>PPC SE DA EXCEPCION DE CANCELAR CON 1300 PARA HOY 23/01 NO PAGO POR QUE EL PRESTAMO FUE PARA SU AMIGO Y EL SALIO DE VIAJE Y NO SABIA QUE TENIA DEUDA / 25 AÑOS / CON TRBAJO SUELDO 930 / SIN DATOS DE HIJOS / SIN DEUDAD REPORTADA / INB ASIGNADO EXCEPCION APROBADA POR MAYRA</t>
  </si>
  <si>
    <t>dt 2300</t>
  </si>
  <si>
    <t>desc 800  21/02</t>
  </si>
  <si>
    <t xml:space="preserve">PPC se da opcion de cancelacion indica que no pago por unos temas de slaud de familiar ya tiene el dinero hizo lo posible se comunico gerente de puno el dio mi numero </t>
  </si>
  <si>
    <t xml:space="preserve">search : 43 años  / sin datos de trabajo/ sin datos de hijao / sin datos de deuda </t>
  </si>
  <si>
    <t>dk 1.168.45</t>
  </si>
  <si>
    <t>tt trabaja de vigilante se atrazo por que lod espedieron , actualmente trabaja de vogolante en un hlotel conesos pagara su deuda</t>
  </si>
  <si>
    <t>serch sinn edudad en otars entidades</t>
  </si>
  <si>
    <t>se envia sms y wsp desde corpo.20 con el nimero de cuenta</t>
  </si>
  <si>
    <t>tt trabaja de vigilante se atrazo por que lo despedieron , actualmente trabaja de vigilante en un hotel, con su sueldo pagara su deuda</t>
  </si>
  <si>
    <t>se envia sms y wsp desde corpo.20 con el numero de cuenta</t>
  </si>
  <si>
    <t>DK 1300</t>
  </si>
  <si>
    <t>MC 277</t>
  </si>
  <si>
    <t>REPROGRAMAR HASTA FIN DE MES POR EL PROBLEMA QUE TENEMOS , SE HABLO POR WHATSSAP</t>
  </si>
  <si>
    <t>dt 2331 campaña 220 16-5</t>
  </si>
  <si>
    <t>tt dice que hara pago hasta el fia 16-5 tt desea carta formal a su whstapp</t>
  </si>
  <si>
    <t>DT 2338 DT900 CAMPAÑA 578</t>
  </si>
  <si>
    <t xml:space="preserve">PPC DE 578 </t>
  </si>
  <si>
    <t xml:space="preserve"> SUSTENTO </t>
  </si>
  <si>
    <t xml:space="preserve">TT LE LLEGO MSJ DE TEXTO CON MONTO DE DESCUENTO  ESTA TRABAJANDO FUERA DE LA CIUDAD POR ESO NO PUEDO PAGAR ANTES </t>
  </si>
  <si>
    <t>EDAD 23</t>
  </si>
  <si>
    <t>DT 240 CAMPAÑA 120 7/12  TT INDICA HARA PPC 120 HOY EN LA TARDE</t>
  </si>
  <si>
    <t>DT 240</t>
  </si>
  <si>
    <t>DK 180</t>
  </si>
  <si>
    <t>DC 130</t>
  </si>
  <si>
    <t>DIAZ RAMIRES MILTON SALVADOR EDAD 40</t>
  </si>
  <si>
    <t>CLIENTE LE DEBIA A CAJA CAJAMARCA , POR ESO NO LO PAGO , PRESTAMO FUE PARA HERRAMIENTAS ,TRABAJA ACTUALMENTE , 4 HIJOS , 2 MAYORES Y 2 MENORES DE EDAD ,</t>
  </si>
  <si>
    <t xml:space="preserve">TT ACEPTA EL PAGO EL DIA LUNES 23  - 09.30 AM </t>
  </si>
  <si>
    <t>DT 2400  CAMPAÑA 550 22-1</t>
  </si>
  <si>
    <t>DT 2400</t>
  </si>
  <si>
    <t xml:space="preserve">DC 1000 </t>
  </si>
  <si>
    <t>PROBLEMS DE SALUD NO PAGO LA DEUDA , ACTUALMENTE TRABAJA  INDEPNEDIENTE , TRABAJA EN CAMPO DE PEON , PERSONA SOLTERA , LO PAGARA CON LOS PAGOS DE SU TRABAJO ,</t>
  </si>
  <si>
    <t>SERCH EDAD 24 AÑOS</t>
  </si>
  <si>
    <t>CAJA MUNICIPAL DE AHORRO Y CREDITO PIURA</t>
  </si>
  <si>
    <t>CAJA RURAL DE AHORRO Y CREDITO SIPAN S A</t>
  </si>
  <si>
    <t>Préstamos a cuota fija</t>
  </si>
  <si>
    <t>Créditos refinanciados y reestructurados reclasificados como vigentes</t>
  </si>
  <si>
    <t>dt 2400</t>
  </si>
  <si>
    <t>dk 1727</t>
  </si>
  <si>
    <t>dc 1400</t>
  </si>
  <si>
    <t xml:space="preserve">tt acepta el convenio de pagar 400 soles el dia martes , nos comuncia con su hija karen alva guerrero , sera la encargada de pagarlo en la cuenta del bcp que se enviara por sms desde el corpt. 20 , </t>
  </si>
  <si>
    <t>negociacion y cierre , por corpo.20.</t>
  </si>
  <si>
    <t>DT 250 CAMPAÑA 100  977512233</t>
  </si>
  <si>
    <t xml:space="preserve">SUSTENTO : NO TUVO DINERO EN ESA FECHA  AHORA YA CONFIRMA QUE PUEDE CANCELAR EL 16/03 SI PUEDE ABONAR ANTES LLAMARA </t>
  </si>
  <si>
    <t>EDAD  51 // TRABAJO : NO REGISTRA// DEUDAS 1//</t>
  </si>
  <si>
    <t>DT 2500 CAMPAÑA 1969</t>
  </si>
  <si>
    <t>TT DICE QUE REALIZARA PAGO DE CAMPAÑA 1969 A MAS TARDAR EL DIA 18-1, TT DICE QUE DINERO  LO CONSEGUIRA DE SU TRABAJO(SE ME FUE LA FICHA)</t>
  </si>
  <si>
    <t>DT 2500 CAMPAÑA 750</t>
  </si>
  <si>
    <t>TT  INDICA QUE SE ESTARA ACERCANDO HACER EL ABONO, INDICA QUE NO PUDO REALIZAR EL ABONO EL MES ANTERIOR YA QUE POR FALTA DE TIEMPO Y SALIA TARDE DE SU TRABAJO //SE LE BRINDA LA CTA DEL BCP Y SE LE MENCIONA DE LAS PENALIDADES EN CASO DE INCUMPLIMIR NUEVAMENTE SE GENERARA PENALIDADES</t>
  </si>
  <si>
    <t>SEARCH SOLTERO/23 AÑOS/SIN HIJOS/NO REPORTA DEUDAS ATRASADAS.</t>
  </si>
  <si>
    <t>EL DINERO LO SACA DE EMPLEO ACTIVO.</t>
  </si>
  <si>
    <t>TT SE COMUNICO AL CORPORATIVO 8 INDICA QUE SE ESTRA ACERCANDO HACER EL ABONO, INDICA QUE LE LLEGO MENSAJE DE CANCELACION POR S/750</t>
  </si>
  <si>
    <t>DT 2500 DC 400</t>
  </si>
  <si>
    <t>993388600 CLIENTE INDICA QUE EL DIA 7/04 ESTARIA HACIENDO EL PAGO DE LA CANCELACION DE LA DEUDA , YA QUE LO PAGARA POR EL BANCO DE LA NACION YA QUE NO VIVE EN LIMA ESTA EN PROVINCIA / PPC</t>
  </si>
  <si>
    <t>DT 2500 DK  1600 CAMPAÑA 500</t>
  </si>
  <si>
    <t>PPD  500</t>
  </si>
  <si>
    <t xml:space="preserve">AUDIO DE DOS  ACUERDOS  POR DISCADOR </t>
  </si>
  <si>
    <t xml:space="preserve">POR MOTIVOS DE SALUD DEJO DE PAGAR , ACTUALMENTE ESTA TRABAJANDO EN UNA EMPRESA  Y TIENE LA INTENCION DE PAGO  , </t>
  </si>
  <si>
    <t xml:space="preserve">  DE DONDE SACA DINERO </t>
  </si>
  <si>
    <t xml:space="preserve">SUELDO MAS UN PRESTAMO </t>
  </si>
  <si>
    <t>EDAD 33</t>
  </si>
  <si>
    <t xml:space="preserve">SE LE INGRESA ACUERDO POR ESE MONTO YA QUE SE COMPROMETE A PAGAR TAMBIEN FINANCIERA OH </t>
  </si>
  <si>
    <t xml:space="preserve">DT 2500 DK2300 dc1700  nos vll acominicar cn ttque solo tiene 1200 se acuerda cancelcion de 1200 soles hasta 31/03, /tit 33 años / no sale deusa / si sale trabajo activo/sustento de pog ;prestamo de un familar / se hiso ya cancalcion total </t>
  </si>
  <si>
    <t xml:space="preserve">DT 2500 DK2300 dc1700tit se acuerda cancelar cn 1200 hasta el 24/04 , pero mañana abonara 800 soles en agente bcp/ 33años /no sale deuda /no sale trabajo /sustento de poig tiene 800 y sldo le daran la semana q viene /SE INGRESO DE NIEVO POR ES UNA PPC </t>
  </si>
  <si>
    <t>DT 2500</t>
  </si>
  <si>
    <t>DK 1100</t>
  </si>
  <si>
    <t>SE REPROGRAMA EL PAGO PARA EL DIA MARTES 28 EN INTERBANK , TT SE ACERCARA CON EL DOCUMENTO QUE AVALE SU PAGO EN FIANCIERA OH</t>
  </si>
  <si>
    <t>TRABAJOS INDEPENDOENTES , EN 3 OCASIONES NO PUDO PAGAR , LE DABAN OTRO MONTO EN LA FINANCIERA , TT PAGARA CON TRABAJITOS QUE LE SURGUEN ,ES CASADO , TIENE FAMILIA Y CUIDA ANIMALITOS ,</t>
  </si>
  <si>
    <t>SERCH 65 años</t>
  </si>
  <si>
    <t>DK 830</t>
  </si>
  <si>
    <t>MC 170</t>
  </si>
  <si>
    <t>LE ROBARON LOS DOCUMENTOS Y LO BLOQUEO LA TARJETA Y YA NO CANCELABA SIN EMBARGO,SE PRESTARA EL MONTO DE LOS 170 PARA EL 31 DE MARZO</t>
  </si>
  <si>
    <t xml:space="preserve">EDAD 37 AÑOS </t>
  </si>
  <si>
    <t>NO HAY DATOS LABORALES</t>
  </si>
  <si>
    <t>dt 2500</t>
  </si>
  <si>
    <t>dk 994.09</t>
  </si>
  <si>
    <t>dc 320</t>
  </si>
  <si>
    <t>contrapropuesta 200 soles</t>
  </si>
  <si>
    <t>tt menciona que no cancelo por deuda por estar mald e salud actualmente trabaja por teletrabajo , pagara con un dinero ahorrado que tiene</t>
  </si>
  <si>
    <t>solicita enviarle acuerdo de cancelacion por correo</t>
  </si>
  <si>
    <t>se envia sms , wsp por correo electronico</t>
  </si>
  <si>
    <t>serch deuda conm otra entidades</t>
  </si>
  <si>
    <t>en planilla</t>
  </si>
  <si>
    <t>llamda cayo por discador</t>
  </si>
  <si>
    <t xml:space="preserve">dt 251 dc 81 </t>
  </si>
  <si>
    <t xml:space="preserve">tt indica que le llego sms con el monto mencionado indica que hoy hara el pago por bcp / ppc </t>
  </si>
  <si>
    <t>dt 2510</t>
  </si>
  <si>
    <t>dk 1290</t>
  </si>
  <si>
    <t>mc 840</t>
  </si>
  <si>
    <t xml:space="preserve">tt indica que no cancelo por tiempo y dinero sin embargo pagara ya que tendra su pago y lo cancelaria el dia viernes </t>
  </si>
  <si>
    <t>expertis 350</t>
  </si>
  <si>
    <t xml:space="preserve">menciona que a fines de mes estara realizando el pago de campaña </t>
  </si>
  <si>
    <t xml:space="preserve">34 años///no registra informacion laboral //solo registra deuda en financiera OH </t>
  </si>
  <si>
    <t>dt 2514 dk 1621</t>
  </si>
  <si>
    <t>ppc de 1085 el mes pasado abono 50 soles este mes cancela el 28/04 ya que le le estaran pagando en esas fechas pero se compromete a pagar hasta el 28/04</t>
  </si>
  <si>
    <t>DT 2579</t>
  </si>
  <si>
    <t>EXPERTIS 899</t>
  </si>
  <si>
    <t xml:space="preserve">ENC DE PAGO 25803915 CHAUCA MARTINEZ EDWIN LUIS///INDICA QUE POR MOTIVOS DE DISTANCIA///EL TRABAJA EN PROVINCIA 20*10//EL ESPOSO ES EL RESPONSABLE DE PAGO // </t>
  </si>
  <si>
    <t>NO REGISTRA INFORMACION  DEUDA , LABORAL (RESP. DE PAGO)</t>
  </si>
  <si>
    <t>dt 2600 dc400 le llego msj 349.22  tiene 30 años no figura deuda , no sale trabajo tit cancea deuda hoy 02/03 349.22/ di pagara monto excato de msj /llamo al cel 11</t>
  </si>
  <si>
    <t>DT 2600</t>
  </si>
  <si>
    <t>DC 242</t>
  </si>
  <si>
    <t xml:space="preserve">TT TRABAJA ACTUALMENTE EN TRASNPORTES NO ESPECIFICA ,TIENE HIJO, NO PAGO LA DEUDA POR PROBLE,MAS PERSONALES , </t>
  </si>
  <si>
    <t xml:space="preserve">SERCH 44 AÑOS </t>
  </si>
  <si>
    <t xml:space="preserve">SIND EUDAS CON OTRAS ENTIDADES </t>
  </si>
  <si>
    <t>LLAMADA DESDE COOPORATIVO 20</t>
  </si>
  <si>
    <t xml:space="preserve">IMBOUND OTORGADO POR JIMENA </t>
  </si>
  <si>
    <t>dt 2600.00</t>
  </si>
  <si>
    <t>campaña 791.00</t>
  </si>
  <si>
    <t xml:space="preserve">tt indica que su esposo converso, se le indica que no llego aun acuerdo, se le explica y tt se acoge a la cancelacion de la sgte manera: 350.00 14/05/2020 y 441.00 el día 29/05/2020, el pago lo realizara en agente BCP </t>
  </si>
  <si>
    <t>brinda celular 948198711</t>
  </si>
  <si>
    <t>se me fue la ficha, llamada del discador</t>
  </si>
  <si>
    <t>dt 2638 dk 1054 dc 316</t>
  </si>
  <si>
    <t xml:space="preserve">tt se comunica por sms , salio de viaje al extrajero ya que le dejo a su contador para que haga el pago y no lo efectuo ahora que regreso se dio con la sorpresa que debia bastante cuentas , ya que las quiere regularizar / ppc </t>
  </si>
  <si>
    <t>DT 2641 CAMPAÑA 200</t>
  </si>
  <si>
    <t>TT SE COMUNICA AL CELULAR POR WHATSAPP E INDICA QUE HARA CANCELACION EL DIA 08/05 CON S/.200</t>
  </si>
  <si>
    <t xml:space="preserve">dt 2697 dc 277 </t>
  </si>
  <si>
    <t xml:space="preserve">tt confirma pago para el dia de hoy via whatsapp ya que no puede hbalar porque esta trabajando indica que mandara a un familiar a realizar el pago / ppc </t>
  </si>
  <si>
    <t>dt 2698</t>
  </si>
  <si>
    <t>tt dejo de pagar ya que dejo de trabajar y no habia quien cuide a sus pequeños sin embargo pagara el monto de 220 donde lograra prestarse ya que desea tener su carta de no adeudo</t>
  </si>
  <si>
    <t>dt 27,800 dk 20,000   campaña 5000</t>
  </si>
  <si>
    <t>se ingreso ppm de 2 cuotas (100 febrero y 5000 marzo )</t>
  </si>
  <si>
    <t>Sustento : tt no pudo cancelar en la fecha  por que   perdio un ganado que es a lo que ella se dedica (venta de ganado )</t>
  </si>
  <si>
    <t xml:space="preserve">datos search :  Edad 34 //   deudas 1 // </t>
  </si>
  <si>
    <t>Dt 2700 dk 1200 campaña 900</t>
  </si>
  <si>
    <t xml:space="preserve"> asignacion bd 02/03</t>
  </si>
  <si>
    <t xml:space="preserve">Titular men ciona que le pagaron tarde el sabado que ya tiene el dinero de los 900 soles para abonar este mes ,  nesecita la carta de no adeudo </t>
  </si>
  <si>
    <t>Datos Search</t>
  </si>
  <si>
    <t xml:space="preserve">Edad 46 // trabajo: eventual // deudas 0// hijos 0 </t>
  </si>
  <si>
    <t>DT 2700</t>
  </si>
  <si>
    <t>DESC  1300</t>
  </si>
  <si>
    <t>PPC SE DE OPCION DE PAGAR CON 1300 QUIERE PAGRA 600 HOY O MÑANA Y LO RESTANTE PARA EL 30/01 A MAS TARDAR INDICA QUE NO PAGO POR QUE ESTUVO EN EL EXTRANJERO Y RECIEN REGRESO Y VIO EL CORREO POR ESO SE COMUNICO QUIERE SOLUCIONRALO PARA ESTAR LIMPIO YA QUE ES LA UNICA ENTIDAD QUE ADEUDA / 29 AÑOS / SIN HIJOS /</t>
  </si>
  <si>
    <t>DK 1,500</t>
  </si>
  <si>
    <t>no pago porque no le enviaron la informacion como le indicaron , indica que dinero lo tendra de su sueldo ,se acoge a la opcion de cancelar con 320.00 de la sgte manera  100.00 el dia 17/02/2020 y 220.00 el dia 24/02/2020 , celular 946831005</t>
  </si>
  <si>
    <t>dt 2700</t>
  </si>
  <si>
    <t>dk 2000</t>
  </si>
  <si>
    <t>campaña: 850 (exepcion)</t>
  </si>
  <si>
    <t>MDI:Titular se sentia inseguro cuando se acerco a realizar el pago, indica que antes de realizar el pago desea una carta que diga el monto que pagara su deuda y en cuanto tiempo se le dara su carta de no adeudo.</t>
  </si>
  <si>
    <t>STP: Trabajo</t>
  </si>
  <si>
    <t>Se vuelve a realizar plantilla, ya que en la plantilla anterior la fecha de pago esta mal.</t>
  </si>
  <si>
    <t>DT 2710</t>
  </si>
  <si>
    <t>EXPERTIS 1000</t>
  </si>
  <si>
    <t>MENCIONA QUE TUVO PROBLEMAS PERSONALES POR ESO ES QUE NO PUDO CANCELAR //ESTE FIN DE MES SIN FALTA REALIZARA EL PAGO //SE MENCIONA PENALIDADES POR INCUMPLIMIENTO (S/.100 ADICIONAL)</t>
  </si>
  <si>
    <t xml:space="preserve">23 AÑOS//INF LABORAL:20112273922 TIENDAS DEL MEJORAMIENTO DEL HOGAR S.A.//ING MENSUAL:1149//N REGISTRA INF FAMILIAR//NO REGISTRA DEUDAS VENCIDAS </t>
  </si>
  <si>
    <t>dt 2750         dk 1694        campaña: 700   18/05/20</t>
  </si>
  <si>
    <t>IMP: mal de salud.*</t>
  </si>
  <si>
    <t xml:space="preserve">stp: 400  lo tiene en la mano + 300  se prestara* </t>
  </si>
  <si>
    <t>TRABAJO ADECCO CONSULTING S.A..</t>
  </si>
  <si>
    <t xml:space="preserve">dt 2750 dk 1600 campaña 331  </t>
  </si>
  <si>
    <t>se le da plazo hasta el dia 20-5 para que tt cancele</t>
  </si>
  <si>
    <t xml:space="preserve">tt indica que le pagan un dinero mañana </t>
  </si>
  <si>
    <t>stp: de un dinero que le deben</t>
  </si>
  <si>
    <t>DT 2800 CAMPAÑA 350</t>
  </si>
  <si>
    <t xml:space="preserve">MNP:  EMPEZO LA CUARENTENA Y NO ESTABA TRABAJANDO </t>
  </si>
  <si>
    <t xml:space="preserve">SUSTENTO YA ESTA TRABAJANDO Y LE PAGAN FIUN DE MES CONFIRMA QUE ESTE MES SI ESTARIA REALIZANDO SU PAGO </t>
  </si>
  <si>
    <t>DT 2800</t>
  </si>
  <si>
    <t>DK 1150</t>
  </si>
  <si>
    <t>DC 380</t>
  </si>
  <si>
    <t>ACTUALMENTE TRABAJA SUPERMERCADO , POR PROBELMAS FAMILIARES NO PUDO PAGAR , EL DINERO LO OBTENDRIA DE SU SUELDO DEL TRABAJO ,</t>
  </si>
  <si>
    <t>SERCH 36</t>
  </si>
  <si>
    <t>DK 737.76</t>
  </si>
  <si>
    <t>DC 570</t>
  </si>
  <si>
    <t>TT MENCIONA QUE PAGO LA DEUDA LE DIO EL DINERO ASU HIJO PARA QUE CANCELE, ASU MIRA LA DEUDA Y LO PAGARA EL DIA VIERNES 24</t>
  </si>
  <si>
    <t>TT TIENE UNA HORRO CON ESO PAGARA , LO PAGARA ALCONTADO</t>
  </si>
  <si>
    <t>SIN SERCH NO CARGA</t>
  </si>
  <si>
    <t>SE ENVCIA SMS Y WSP CON NUMERO DE CUENTA DESDE CORPO.20</t>
  </si>
  <si>
    <t>dt 2802 campaña 582</t>
  </si>
  <si>
    <t>mnp : dice que el dejo de pagar por que su hija fallecio y ya se atrazo en varios pagos</t>
  </si>
  <si>
    <t xml:space="preserve">sustento :  tt esta trabajando pero solo le estan pagando 380  , el tiene el dinero  y se estaria acercando a pagar    </t>
  </si>
  <si>
    <t>DK 1180</t>
  </si>
  <si>
    <t>SE CONTACTO POR MEDIO DE WHATSAPP CONFIRMA CANCELACION DE CAMPAÑA POR 360 SOLES PARA EL DIA 17/02 A MAS TARDAR</t>
  </si>
  <si>
    <t xml:space="preserve">HARA EL ESFUERZO PARA CONSEGUIR EL DINERO </t>
  </si>
  <si>
    <t>43 AÑOS //20536727524</t>
  </si>
  <si>
    <t>COSTE?O ALIMENTOS S.A.C.</t>
  </si>
  <si>
    <t>6242//REGISTRA 3 DEUDAS ---&gt;BANCO CENCOSUD S.A.,BANCO FALABELLA PERÚ S A,FINANCIERA UNO S A///</t>
  </si>
  <si>
    <t>SE COMUNICO POR MEDIO DE WHATSAPP</t>
  </si>
  <si>
    <t xml:space="preserve">DT 2958 </t>
  </si>
  <si>
    <t xml:space="preserve">DES 816 </t>
  </si>
  <si>
    <t xml:space="preserve">PPC TT PAGARA LA CAMPAÑA DE SMS 816 PARA 29/01 YA TIENE EL DINERO IRA ENTRE LAS 4 PM   / 25 AÑOS / SIN DEUDAS REPORTADAS  / SIN HIJOS / TRABJO DE 2017 ACTUAL NO VALIDAMOS </t>
  </si>
  <si>
    <t>DT 3,200 DK 1600</t>
  </si>
  <si>
    <t>PPC 200 (EXCEPCION APROBADA POR JULIO )</t>
  </si>
  <si>
    <t>CANCELA , EN AGENTE INTERBANK O BCP ,</t>
  </si>
  <si>
    <t>dt 3,700.00</t>
  </si>
  <si>
    <t>dk 1900.00</t>
  </si>
  <si>
    <t>min2: 600</t>
  </si>
  <si>
    <t>Campaña: 700</t>
  </si>
  <si>
    <t>MOT. NO PAGO: problemas economicos</t>
  </si>
  <si>
    <t>DE DONDE SACA EL PAGO: Se prestara el dinero</t>
  </si>
  <si>
    <t>PORQUE QUIERE PAGAR: Quiere la carta de no adeudo y terminar con esta cuenta</t>
  </si>
  <si>
    <t>SEARCH (66, no TRABAJA, 2 CANTIDAD DE DEUDA:</t>
  </si>
  <si>
    <t>DT 3.60 / DK 2.20</t>
  </si>
  <si>
    <t>CANCELARA S/ 2.00 INDICA QUE NO LE COBRARON ESO EN SU MOMENTO Y POR ESO NO PUDO PAGAR, SE ACERCARA HOY A CANCELAR LA DEUDA</t>
  </si>
  <si>
    <t xml:space="preserve">dt 300 campaña 227 30-12 </t>
  </si>
  <si>
    <t>tt dice que mañana hara ppc 227 entre el medio dia y la 1pm (se me fue la ficha) desea cdna a su nro de whatsapp</t>
  </si>
  <si>
    <t>DT 300</t>
  </si>
  <si>
    <t>EXPERTIS 160</t>
  </si>
  <si>
    <t xml:space="preserve">DICE QUE HARA TODO LO POSIBLE PARA CONSEGUIR ESE IMPORTE HASTA ANTES DE FIN DE MES </t>
  </si>
  <si>
    <t xml:space="preserve">ES PENSIONISTA // SI TIENE INTENCION EN PAGAR DEUDA </t>
  </si>
  <si>
    <t>DT 3000</t>
  </si>
  <si>
    <t>DC 2000</t>
  </si>
  <si>
    <t>CLIENTE PAGARA EL 15 DE FEBRERO 250 SOLES Y EL 28 DE FEBRERO 1750</t>
  </si>
  <si>
    <t>TARAZONA ATENCIA CARMEN LUZDEMIA</t>
  </si>
  <si>
    <t>NO CANCELO POR QUE LE COBRARON MUCHOS INTERESES , RECLAMO Y DEJO DE PAGAR ,TRBAJA EN CASA LIMPIANDO , COCINANDO ,CLIEBTE S EPRESTARA PARA PAGAR LA DEUDA ,  SERCH 35 AÑOS - CASADA</t>
  </si>
  <si>
    <t>FINANCIERA UNIVERSAL S A</t>
  </si>
  <si>
    <t>EMPRESA FINANCIERA CREDITOS AREQUIPA S A - FINANCIERA CREAR</t>
  </si>
  <si>
    <t>NOR</t>
  </si>
  <si>
    <t>Rendimientos devengados de créditos a microempresas</t>
  </si>
  <si>
    <t>Garantías no preferidas - Avales y Fianzas</t>
  </si>
  <si>
    <t>dt 3000</t>
  </si>
  <si>
    <t xml:space="preserve">HERNAN TOTORA CHIPANA 71080891 esposo se da opcion de cancelacion de 1200 para 21/02 ira alas  10 am  </t>
  </si>
  <si>
    <t>search 25 años  / sin datos de empleo sin datos de hijos / no tiene deuda adicional</t>
  </si>
  <si>
    <t>inbo asignado</t>
  </si>
  <si>
    <t>DT 3000, campaña 1500, antiguedad 5 años, indica que si le aprueban la excepcion haria el abono inmediatamente ya que tiene dinero a mano, indica que saco prestamo para familiar, indica que quiere sacar prestamo pero no puede, indica que tiene 500 soles de una junta recaudo dinero, es ama de casa, se sustenta con pension de sus hijos, tiene 3 hijas, 50 años, unica entidad reportada FINANCIERA PROEMPRESA.</t>
  </si>
  <si>
    <t>DT 3007</t>
  </si>
  <si>
    <t>DC 1060</t>
  </si>
  <si>
    <t>TT RECIBIO CAMAPAÑA VIA SMS , CLIENTE INDICA QUE HACIA ABONOS , TT PAGARA LA CAMPAÑA EN 2 PARTES 13/02 500 soles Y 560 SOLES EL 28/02. EL DINERO LO OBTENDRA DE SU TRABAJO.</t>
  </si>
  <si>
    <t>SERCH 25 AÑOS</t>
  </si>
  <si>
    <t>EN ESTADO DUDOSO</t>
  </si>
  <si>
    <t>MIBANCO</t>
  </si>
  <si>
    <t>CLIENTE NEGOCIADO POR MELINA AYRE , AUDIO POR MELINA AYRE , IMBOUND OTORGADO</t>
  </si>
  <si>
    <t xml:space="preserve">AUTORIZADO POR MARIANGELA </t>
  </si>
  <si>
    <t>DT 3010 CAMPAÑA  2700</t>
  </si>
  <si>
    <t>TT DICE QUE ESTA SEMANA ESTARA REALIZANDO CANCELACION A MAS TARDAR ELDIA 17-1 , PAGO LO HARA DE PRESTAMO QUE LE HARA SU ESPOSA</t>
  </si>
  <si>
    <t>TT DICE QUE ESTA SEMANA ESTARA REALIZANDO CANCELACION CON CAMPAÑA 2700 A MAS TARDAR ELDIA 17-1 , PAGO LO HARA DE PRESTAMO QUE LE HARA SU ESPOSA (SE CORTO  LLAMADA DE DISCADOR Y SE GENERO PROMESA DE CELULAR CORPORATIVO)</t>
  </si>
  <si>
    <t>DT 3030</t>
  </si>
  <si>
    <t>DK 1450</t>
  </si>
  <si>
    <t xml:space="preserve">EXPERTIS 290 </t>
  </si>
  <si>
    <t>SE COMUNICA TT A CORP 7 //SE MENCIONA MONTOS A REGULARIZAR DEUDA / INDICA QUE YA HABIA CANCELADO PERO LE MENCIONARON QUE AUN MANTIENE DEUDA//</t>
  </si>
  <si>
    <t>DT 3090.24</t>
  </si>
  <si>
    <t>CAMPAÑA 1050.00</t>
  </si>
  <si>
    <t xml:space="preserve">TT SE ACOGE A LA CANCELACION EL DIA 03/03/2020, INDICA QUE YA CUENTA CON EL DINERO, EN 1 HORA HARA EL PAGO. </t>
  </si>
  <si>
    <t>SEARCH 28 AÑOS, CENTRO LABORAL 20479590983</t>
  </si>
  <si>
    <t>UNIDAD DE GESTION EDUCATIVA SAN IGNACIO SUELDO S/1365, NO TIENE DEUDAS CON OTRAS ENTIDADES</t>
  </si>
  <si>
    <t xml:space="preserve">SE COMUNICA CORPORATIVO 16 </t>
  </si>
  <si>
    <t xml:space="preserve">DT 3100 , CANC 1500 , INDICA QUE LE LLEGARON VARIOS CORREOS PARAQUE PEDA REALIZAR LA CANCELACION TOTAL DE LA DEUDA CON EL IMPORTE DE 370 SOLES, SOLO TIENE DEUDA CON OH , EN EL MOMENTO NO PUDO REALIZAR LA CANCELACION PORQUE NO CONTABA CON EL DINERO, TUVO MUCHOS PROBLEMAS Y POR ELLO NO CANCELAR LA DEUDA TIENE DOS HIJAS MAYORES DE EDAD   , SE ENCUENTRA  TRABAJANDO </t>
  </si>
  <si>
    <t>DT 3100 DK 2000 CAMPAÑA 1962</t>
  </si>
  <si>
    <t>EXCEPCION APROBADA DE 1600</t>
  </si>
  <si>
    <t xml:space="preserve">SE ACERCA A  LAS  1 :30 A AGENCIA  SJM QUIERE CARTA DE NO ADEUDO EN 24 HORAS COMO LE LLEGO MSJ </t>
  </si>
  <si>
    <t>DT 3131 DK 1500 CAMPAÑA 600</t>
  </si>
  <si>
    <t>EXCEPCION ;: 450</t>
  </si>
  <si>
    <t xml:space="preserve">TT SOLICITA EXCEPCION  Y CANCELA EL MISMO DIA </t>
  </si>
  <si>
    <t xml:space="preserve"> CLIENTE ASIGNADO  POR MARIBEL , YA QUE ASESORA LISBETH NO TUVO AUDIO DE ESE COMPROMISO 06/02 10:53 AM</t>
  </si>
  <si>
    <t xml:space="preserve">dt 3180     dk 1500   CAMPAÑA: 448  </t>
  </si>
  <si>
    <t>IMP: ECONOMICO SUSU MAMA FALLECIO,</t>
  </si>
  <si>
    <t xml:space="preserve">CAMPAÑA 448 / DICEN LE QUE QUIERE SU CARTA </t>
  </si>
  <si>
    <t xml:space="preserve">3PM / 950831878 /  40723679 </t>
  </si>
  <si>
    <t xml:space="preserve">DT 320 CAMPAÑA  145 </t>
  </si>
  <si>
    <t>TT DICE QUE POR CUARENTENA DICE NO ESTA EN LA CIUDAD SE ENCUENTRA EN EL CAMPO</t>
  </si>
  <si>
    <t>ACUERDO CON TT PARA CANCELAR CON 145 TT DICE  ABONAR 50 HASTA EL 15-4  Y 95 PARA FINES DE MES</t>
  </si>
  <si>
    <t xml:space="preserve">STP: TT TIENE CUENTAS POR COBRAR </t>
  </si>
  <si>
    <t>/// SE ME FUE LA FICHA</t>
  </si>
  <si>
    <t>dt 3200 campaña 1389</t>
  </si>
  <si>
    <t>acuerdo con tt para cancelar con excepcion de 500 soles</t>
  </si>
  <si>
    <t>tt dice que pago lo hace hoy en la tarde o mañana en la mañana</t>
  </si>
  <si>
    <t xml:space="preserve">STP: dispone de 500 de sus ahorros para cancelar  </t>
  </si>
  <si>
    <t>DT 3200 DK 2200 CAMPAÑA 1643</t>
  </si>
  <si>
    <t xml:space="preserve">MSJ DE TEXTO CON DESCUENTO </t>
  </si>
  <si>
    <t>ADELANTO 100 EL 17/04 Y RESTANTE EL 28/04</t>
  </si>
  <si>
    <t>MNP: EL NEGOCIO PARA EL CUAL SACO EL PRESTAMO SE FUE A LA QUIEBRA .</t>
  </si>
  <si>
    <t>SUSTENTO : QUIERE ACCEDER A NUEVO CREDITO EN LA MISMA FINANCIERA ACTUALMENTE ES CHOFER TIENE UN DINERO POR COBRAR PARA CANCELAR DEUDA , LE LLEGO EL MSJ Y  QUIERE CANCELAR .</t>
  </si>
  <si>
    <t>DT 3200</t>
  </si>
  <si>
    <t>DESC 1000</t>
  </si>
  <si>
    <t>PPC SE OPCION DE 1000 PARA EL 24/02 DEPENDE DE UN ARRIENDO A SU AMIGO QUE LE DARA EL DINERO SI PUEDE ANTES NOS AVISARA  SEARCH  55 AÑOS / SIN DATOS DE HIJOS / SIN DATOS DE TRABAJO / SIN DATOS DE DEUDA</t>
  </si>
  <si>
    <t>dt 3200</t>
  </si>
  <si>
    <t>dk 1600</t>
  </si>
  <si>
    <t>mc350</t>
  </si>
  <si>
    <t>excepcion 300</t>
  </si>
  <si>
    <t xml:space="preserve">tt comenta que tuvo una caida de negocio por el cual dejo de pagar sin embargo puiede conseguir 300 soles ya que tendria un prestamo donde en este caso ya estaria cancelando su deuda ya que ella desea tener su carta de no adeudo </t>
  </si>
  <si>
    <t xml:space="preserve">DT 3282, CL TUVO UN PROBLEMA JUDICIAL ESTUVOINTERNADO EN UN PENAL Y SU ESPOSA CORRIO CO LOS GASTOS DE LA CASA POR LO CUAL NO LE ALCANZABA PARA PAGAR LA DEUDA DE LA TARJETA , SE VERIFICA EN SEARCH TT MANTIENE DEUDA CON FINANCIERA UNO , CAN 500 , TIENE 2 HIJOS 11 Y 7 AÑOS DE EDAD , REALIZA TRABAJOS EVENTUALES Y DE AHI SACARIA EL DINERO  , REALIZARA UN DEPOSITO DE 100 SOLES EL DIA 7 Y ESTARIA REALIZANDO ABONOS LIBRES DENTRO DEL MES DE ENERO HASTA COMPLETAR EL IMPORTE DE CANCELACION A FIN DE MES </t>
  </si>
  <si>
    <t>DT 3300 DK 1900 CAMPAÑA 1070</t>
  </si>
  <si>
    <t>SE COMUNICA  POR MSJ DE TEXTO QUE LE LLEGO POR EL DESCUENTO  .</t>
  </si>
  <si>
    <t xml:space="preserve">SUSTENTO: TT ES OBRERO MENCIONA QUE SE ESTA PRESTANDO EL DINERO Y SE LO DARAN EL 17/04 </t>
  </si>
  <si>
    <t xml:space="preserve">MDP ,SALIR DE DEUDAS </t>
  </si>
  <si>
    <t>dt 3350 excepcion 300</t>
  </si>
  <si>
    <t>tt hara cancelacion hoy 28-4</t>
  </si>
  <si>
    <t>stp: de su pago de su trabajo</t>
  </si>
  <si>
    <t>dt 3400 dk 1620 dc 360 tt indica que tuvo un accidente de la cual estaba en recuperacion y justo paso la cuaretena tampoco tiene ingresos, pero indica que actualmente ya que indica que se acopla al beneficio porque le parece una excelente campaña de descuento del monto de 360 soles indica que lo realizara por la bcp el dia lunes 11/05 / PPC</t>
  </si>
  <si>
    <t>dt 3400.00</t>
  </si>
  <si>
    <t>campaña 911.00</t>
  </si>
  <si>
    <t>tt indica que se prestara dinero, indica que realizara la cancelacion de la deuda el dia 15/05/2020, que se le envie acuerdo</t>
  </si>
  <si>
    <t xml:space="preserve">DT 3490 DC1350 , PERO TA VIJEE PAGANDO CUOATS DE 200*12MESES SOLO LE QUEDAN 20CUOATS POR CANCELAR ESTE 13/01 CANCELARA CN 400 SOLES </t>
  </si>
  <si>
    <t>DT 350 , ACUERD 180 , tt indica cancelar el  viernes 06 /12 950937118</t>
  </si>
  <si>
    <t xml:space="preserve">DT 350 ACUERDO 200 , TT  CANCELARA HOY 18/12 MONTO DE 200 SOLES </t>
  </si>
  <si>
    <t xml:space="preserve">dt 350 dc 100 tiene 26 años   no sale trabajo debe 3 entidades sustento de pog se va prestar ,el 14/02hara cancelcion cn 100 soled pretamo era para un tercero discador </t>
  </si>
  <si>
    <t>DT 350</t>
  </si>
  <si>
    <t>CAMPAÑA 100.00</t>
  </si>
  <si>
    <t>TT SE ACOGE A LA CANCELACION CON EL IMPORTE DE 100.00 EL DIA 06/02/2020, SOLICITA QUE SE LE ENVIE LA CUENTA VIA WHATSAPP</t>
  </si>
  <si>
    <t>SEARCH 29 AÑOS, CENTRO LABORAL 20600205529 CONSTRUCTORA RIO SISA INGENIEROS S.R.L. (C) , DEUDA CAJA RURAL DE AHORRO Y CREDITO CAT PERÚ S.A. DE 247.34</t>
  </si>
  <si>
    <t>DT 350, DK 73, CANC 110 , SE LE HA PASADO POR IR PAGANDO OTRAS COSAS , SOLICITO EL PRESTAMO PARA SU TIA , FUE A MOQUEGUA A VER UN TRABAJO , TIENE GUARDADA LA LIQUIDACION Y CON ESO SE MANTIENE , NO TIENE HIJOS</t>
  </si>
  <si>
    <t>DT 350.00</t>
  </si>
  <si>
    <t>CANCELACIÓN 200.00</t>
  </si>
  <si>
    <t>MIN1 180.00</t>
  </si>
  <si>
    <t>TT INDICA QUE YA CANCELO CON S/600.00 DESDE JULIO 2018, INDICA QUE SE ACERCO A LA FINANCIERA PARA SOLUCIONAR Y LE INDICARON QUE NO LE PODÍAN DAR UNA RESPUESTA LUEGO YA NO SE COMUNICARON CON ELLA , NO TIENE CARTA DE NO ADEUDO Y LOS, INDICA QUE COBRA LOS 25, SE ACOGE A LA CANCELACIÓN CON EL IMPORTE DE 180.00 DE LA SGTE MANERA: 50.00 EL DIA 11/02/2020 Y 130.00 EL DIA 25/02/2020 , SOLICITA CARTA DE NO ADEUDO POR CORREO // SEARCH 56 AÑOS, NO TIENE DEUDAS CON OTRAS ENTIDADES</t>
  </si>
  <si>
    <t>DT 3500 DK  1500 CAMPAÑA 280</t>
  </si>
  <si>
    <t xml:space="preserve">SE LE DA CAMPAÑA POR QUE TT NO ESTA TRABAJANDO YA QUE ANTES TEIA US NEGOCIO , AHORA NO TRABAJA SOLO TRABAJA EVENTUALMTNE EN COCINA , </t>
  </si>
  <si>
    <t xml:space="preserve">EL DINERO LE ENTREGA SU ESPOSO Y ALGUNOS TRABAJOS DE COSTURA DE CORTINA  QUE ES  EVENTUALES </t>
  </si>
  <si>
    <t xml:space="preserve">  SEACH </t>
  </si>
  <si>
    <t xml:space="preserve">TRABAJOS VENTUALES </t>
  </si>
  <si>
    <t>EDAD 37</t>
  </si>
  <si>
    <t xml:space="preserve"> NUMERO DE TT 997808937</t>
  </si>
  <si>
    <t xml:space="preserve">NUMERO E CONTACTO QUE SE LLAMO ES DE SU HIJO </t>
  </si>
  <si>
    <t>DT 3500</t>
  </si>
  <si>
    <t>DK 1750</t>
  </si>
  <si>
    <t>MC 530</t>
  </si>
  <si>
    <t>PROPUESTA 350</t>
  </si>
  <si>
    <t>TT NO CUENTA CON DINERO YA QUE TRABAJA COMO AMBULANTE YA QUE ESTA CUARENTENA NO TIENE DINERO Y NO GENERA IN GRESOS PERO AHORRARA CON 350 SOLES YA QUE SE LE HACE FACIL YA QUE ES MAMA DE 4 HIJOS Y GENERA GASTOS EN CASA</t>
  </si>
  <si>
    <t>dt 3500</t>
  </si>
  <si>
    <t>dk 3900</t>
  </si>
  <si>
    <t>campaña: 2500</t>
  </si>
  <si>
    <t xml:space="preserve">titular indica que pagara un adelanto el dia 13/03 de 1500.00 adelanto y el dia 30/03 de 1000.00 para cancelar su deuda. </t>
  </si>
  <si>
    <t>search: 62 años / no se obtiene informacion de familiares / se encuentra laborando gana 930 soles mensuales / no mantiene otras deudas</t>
  </si>
  <si>
    <t>dt 3531 excepcion 300</t>
  </si>
  <si>
    <t>tt indica que hoy hara cancelacion con excepcion de 300 pero antes quiere recibir carta formal a su correo Jc.franco6890@gmail.com y que pago lo hara de banca movil</t>
  </si>
  <si>
    <t>stp: de dinero de afp(tt lo menciono en llamada anterior)</t>
  </si>
  <si>
    <t>DT 3541.53</t>
  </si>
  <si>
    <t>ANTIGUEDAD 3 AÑOS</t>
  </si>
  <si>
    <t>TT INDICA QUE LE LLEGO UNA CAMPAÑA DE 1702.80 SU CORREO, SE TRABAJA EN BASE A ESA CAMPAÑA, INDICA QUE DEJO DE PAGAR PORQUE SE QUEDO SIN TRABAJO, ESTA LABORANDO ACTUALMENTE , TIENE EL DINERO A MANO, QUIERE PAGAR PARA LIMPIAR SU NOMBRE Y VOLVER A TRABAJAR CON LAS ENTIDADES, 49 AÑOS, ENTIDADES REPORTADAS BANCO GNB PERU Y BCO DE LA NACION CON NORMALIDAD, SOLO FINANCIERA OH CON RETRASO</t>
  </si>
  <si>
    <t>DT 3548</t>
  </si>
  <si>
    <t>DK  2492</t>
  </si>
  <si>
    <t>EXCP  700</t>
  </si>
  <si>
    <t>SEARCH  61AÑOS / 0DEUDAD / MUNICIPALIDAD DISTRITAL DE HUAYOPATA</t>
  </si>
  <si>
    <t xml:space="preserve">CANCELA CREDINKA QUILLABAMBA HOY </t>
  </si>
  <si>
    <t>dt 357 excepcion 100</t>
  </si>
  <si>
    <t>acuerdo con tt para cancelar con excepcion aprobada de S/.100 para el dia 11-4</t>
  </si>
  <si>
    <t>stp:tt tiene en mano S/.100</t>
  </si>
  <si>
    <t>hija rosa brinda nro para recibir informacion de pago por whatsapp 955330925</t>
  </si>
  <si>
    <t xml:space="preserve">DT 3587 C 346 </t>
  </si>
  <si>
    <t>TT DICE QUE ESTAN EN PROVINCIA NO HAY BANCOS DICE QUE TIENE IR A CAJAMARCA DEMORA 3 HORAS PERO NO HAY CARROS</t>
  </si>
  <si>
    <t>TT DICE QUE EL 28 ESTA REGRESANDO A LIMA ESTA TRABAJNDO EN UNA MINERA</t>
  </si>
  <si>
    <t xml:space="preserve">STP: DE SUS INGRESOS,  </t>
  </si>
  <si>
    <t xml:space="preserve">DT 360 CAMPAÑA 90 </t>
  </si>
  <si>
    <t>tt dice que hara cancelacion a mas tardar el dia 15-4</t>
  </si>
  <si>
    <t>stp: tt sacara dinero de sus ingresos</t>
  </si>
  <si>
    <t>tt desea cdna por whatspp</t>
  </si>
  <si>
    <t>dt 3600 campaña 1115</t>
  </si>
  <si>
    <t>tt dice que hara lo posible por pagar hoy</t>
  </si>
  <si>
    <t>tt dice que dinero lo sacara del trabajo de su esposo</t>
  </si>
  <si>
    <t>dt 3600 dk 1496 campaña 329</t>
  </si>
  <si>
    <t>tt dice que el dia martes 20-4 a mas tardar  hace el pago con 300</t>
  </si>
  <si>
    <t xml:space="preserve">tt brinda su nro celular 975463957 </t>
  </si>
  <si>
    <t>stp:tt dice dinero lo obtendra a mas tardar el dia lunes o martes</t>
  </si>
  <si>
    <t>/// se me fue la ficha</t>
  </si>
  <si>
    <t>dt 3650</t>
  </si>
  <si>
    <t>cam 470</t>
  </si>
  <si>
    <t>tt cancelara  la  deuda  con  el importe de  s/. 470 el dia 21/03,  enviar  la  cuenta   a  su  numero de whtsapp (audio discador)</t>
  </si>
  <si>
    <t>search edad 36 no  registra  hijos  ni  trabajo</t>
  </si>
  <si>
    <t>deuda en  cero</t>
  </si>
  <si>
    <t>DT 36500</t>
  </si>
  <si>
    <t>DK 23600</t>
  </si>
  <si>
    <t>DESC 3000</t>
  </si>
  <si>
    <t>PPC SE DA EXCEPCION DE CANCELAR CON 4000 PARA MAS TARDAR MAÑNA HASTA LAS 11AM YA TIENE EL DINERO CONFIRMA CANCELACION  SEARCH / 52 AÑOS / SE VALIDA TRBAJO INDICA QUE YA NO LABORA AHI DESDE EL AÑO PASADO / SI TIENE HIJOS PERO NO SE VALIDA CUANTOS / TIENE VEHICULO FUERA DE CIRCULACION / SIN DEUDAS REPORTADAS</t>
  </si>
  <si>
    <t>dt 3660</t>
  </si>
  <si>
    <t>dk 2500</t>
  </si>
  <si>
    <t>mc 1200</t>
  </si>
  <si>
    <t>excepcion aprobada 800</t>
  </si>
  <si>
    <t>tt indica que por motivos personales no pudo pagar ya que antrioemte tuvo llamadas de asesores con mala forma el cual ella se negaba pagar ya que siempre le brinadabnan montos diferentes sin embargo ella quiere pagar pero propone 800 soles para anular su deuda ella tendria su dinero de sus pago</t>
  </si>
  <si>
    <t xml:space="preserve">audio guardado capeta </t>
  </si>
  <si>
    <t>DT 3700</t>
  </si>
  <si>
    <t>DC 600</t>
  </si>
  <si>
    <t>TT  NO CNACELO POR VIAJE , NO EXPCICIFICA MAS , CANNCELARA CON UN NDICNERO QUE SE PRESTARA , ACTUALMENTE SI TIENE TRABAJO  , SERCH EDAD 33 AÑOS ,NO TIENE DEUDA CON OTRA ENTIDAD BANCARIA,</t>
  </si>
  <si>
    <t>DK 1,597.12</t>
  </si>
  <si>
    <t>CAMPAÑA 1300.00</t>
  </si>
  <si>
    <t>TT INDICA QUE RECIÉN RECUPERO SU NUMERO, INDICA QUE LE HARÁN  CESARÍA A SU ESPOSA, SOLICITA PAGAR EL DIA 20 O 21 EL DINERO ES DE SU SUELDO, TT SE ACOGE A LA CANCELACION CON 1300.00 EL DIA 21/03/2020</t>
  </si>
  <si>
    <t xml:space="preserve">SEARCH 40 AÑOS, NO FIGURA CENTRO LABORAL, DEUDA </t>
  </si>
  <si>
    <t>CRAC RAIZ</t>
  </si>
  <si>
    <t>636.29 (LLAMADA DEL DISCADOR)</t>
  </si>
  <si>
    <t>PPC SE OPCION DE CANCELACION DE 1700 PARA EL 17/02 NO PAGO POR GASTOS DE SUS ESTUDIOS Y COMO YA TERMINO QUIERE ESTAR  BIEN EN SU HISTORAL CREDITICIO SE PRESTARA EL DINERO PARA CANCELAR SU FAMILIA LE AYUDARA LO PAGARA ANTES DE LAS 12 PM SEARCH  AÑOS / SIN DATOS DE HIJOS / SIN DATOS DE TRBAJO / SIN DEUDAS REPORTADAS INBO ASIGNADO MAYRA</t>
  </si>
  <si>
    <t>DK 580</t>
  </si>
  <si>
    <t>MC 460</t>
  </si>
  <si>
    <t xml:space="preserve">CLIENTE INFORMA QUE NO PAGO PORQUE SE OPERO DEL APENDICE Y HIZO UN GASTO , SIN EMBARGO PAGARA PORQUE ESTA TRABAJANDO Y TIENE YA SU AHORRO PAGARA HOY 3 DE MARZO EL MONTO DE 460 SOLES . </t>
  </si>
  <si>
    <t>EDAD 45 AÑOS</t>
  </si>
  <si>
    <t>DATO LABORAL SOCIEDAD DE BENEFICENCIA PUBLICA DEL CALLAO</t>
  </si>
  <si>
    <t xml:space="preserve">DEUDAS EN OTRA FINANCIERAS </t>
  </si>
  <si>
    <t>dt 3700.00</t>
  </si>
  <si>
    <t>dk 1540.00</t>
  </si>
  <si>
    <t>campaña 400.00</t>
  </si>
  <si>
    <t>tt indica que no pago ya que se confundio con los importes ya que le habian dicho de 400.00 y luego de 1000.00, tt se acoge a la cancelacion con 400.00 de la sgte manera: 100.00 el dia 20/04/2020 y 300.00 el dia 30/04/2020, solicita acuerdo via whatsapp, llamada del discador</t>
  </si>
  <si>
    <t>dk 1980.00</t>
  </si>
  <si>
    <t>campaña 1110.00</t>
  </si>
  <si>
    <t>tt indica que no pago anteriormente porque no tenia confianza y estuvo en el penal.</t>
  </si>
  <si>
    <t>tt indica que solo cuenta con un importe de campaña, se le acepta y lo va a realizar el dia de hoy 05/05/2020 en agencia de huancayo, llamada del discador</t>
  </si>
  <si>
    <t>DT 3775</t>
  </si>
  <si>
    <t>EXPERTIS 1900</t>
  </si>
  <si>
    <t xml:space="preserve">INDICA QUE EMPEÑARA UNA MERCADERIA PARA OBTENER EL DINERO ///HARA UN ABONO DE 1500 SOLES EL DIA DE MAÑANA 04/01 Y EL LUNES 13 LO RESTANTE 400 SOLES </t>
  </si>
  <si>
    <t>36 AÑOS//TRABAJA  INDEPENDIENTEMENTE //</t>
  </si>
  <si>
    <t>dt 380 campaña 240</t>
  </si>
  <si>
    <t>acuerdo con tt para cancelar con 240 hasta el dia 30-3</t>
  </si>
  <si>
    <t>stp:tt obtendra dinero de sus ingresos</t>
  </si>
  <si>
    <t>observacion: tt dice que no sabe leer y que su tlf no tiene whstappp y desea carta de no adeudo a su correo</t>
  </si>
  <si>
    <t>//se me fue la ficha</t>
  </si>
  <si>
    <t>DT 3800  DK 1900 DC 490</t>
  </si>
  <si>
    <t>TT NO CUENTA CON EL DIENRO ACTUALMENTE , NO HA PODIDO JUNTAR PARA LA CAMPAÑA OTORGADA , TRABAJO EVENTUAL EN REPARACION LAS MALVINAS , SE LLEGA ACUERDO DE CANCELAR LA CAMPAÑA EN 2 PARTES 200 SOLES EL DIA 20 Y LA DIFERENCIA EL DIA 30 - 290 SOLES</t>
  </si>
  <si>
    <t xml:space="preserve"> SERCH </t>
  </si>
  <si>
    <t>EDAD 43 AÑOS</t>
  </si>
  <si>
    <t>TRABAJO RECREATIVOS FARGO SAC</t>
  </si>
  <si>
    <t>1146 - 2019</t>
  </si>
  <si>
    <t>PERDIDA</t>
  </si>
  <si>
    <t>BCP , CAJA MUNICIPA , FINMANCIERAOH</t>
  </si>
  <si>
    <t>DT 3800</t>
  </si>
  <si>
    <t>DK 1669.04</t>
  </si>
  <si>
    <t xml:space="preserve">TT NO CANELO EL CONVENIO ANTERIOR POR PROBLENMAS DEL PAGO DE SU SUELDO S ELE MENCIONO EL COBRO DE PENALIDAD Y CANELARIA CON 380 SOLES QUE COBRARA DEL SUELDOP QUE LE DEBEN. </t>
  </si>
  <si>
    <t>SERCH EDAD 49 AÑOS</t>
  </si>
  <si>
    <t xml:space="preserve">VEPESA SERVICIOS GENERALES SOCIEDAD ANONIMA CERRADA  </t>
  </si>
  <si>
    <t>1583 SOLES / 2019</t>
  </si>
  <si>
    <t>DEDUDAS CON CENCOSUD</t>
  </si>
  <si>
    <t>LLAMADA DESDE DISCADOR</t>
  </si>
  <si>
    <t>DK 1680</t>
  </si>
  <si>
    <t>MC 770</t>
  </si>
  <si>
    <t xml:space="preserve">TT DEJO DE CANCELAR POR PROBLEMAS PERSOANLES SIN EMBARGO CANCELARA EL MONTO PORQUE TIENE SUS AHORROS Y DESEA CONTAR CON SU CARTA DE NO ADEUDO </t>
  </si>
  <si>
    <t>DT 38710 DK 25100 CAMPAÑA 10,100</t>
  </si>
  <si>
    <t xml:space="preserve"> TT CONFIRMA MEDIANTE WHATSAPP EL ABONO A FIN DE MES , NO PUEDE HABLAR MUCHO YA QUE ESTA EN EL TRABAJO </t>
  </si>
  <si>
    <t>DT 390</t>
  </si>
  <si>
    <t>DK 220</t>
  </si>
  <si>
    <t>HECTOR VALVERDE SALAS</t>
  </si>
  <si>
    <t>NO PUDO PAGARLO POR VIAJE Y DISTANCIA, SE OLVIDA DELA DEUDA CUANDO ESTABA EN AREQUIPA , EL DINERO LO SACARADE SU TRBAJO, TRABAJA DE CONTRAISTA EN CONSTRUCCION , CSADO , CON HIJOS,</t>
  </si>
  <si>
    <t xml:space="preserve"> SERCH NO CARGA ERROR DE IP</t>
  </si>
  <si>
    <t xml:space="preserve">dt 3900 campaña 665 </t>
  </si>
  <si>
    <t>tt indica que hara cancelacion a mas tardar el dia 15-4</t>
  </si>
  <si>
    <t>tt desea cdna a su whatapp</t>
  </si>
  <si>
    <t>DT 3900</t>
  </si>
  <si>
    <t>DC 790</t>
  </si>
  <si>
    <t xml:space="preserve">Suste: no pudo realizar el pago porque estaba sin trabajo,pero se le indico campaña unica por este mes y desea realizar la cancelacion / lo realizara con el trabajo que tiene / </t>
  </si>
  <si>
    <t>Search/ 41AÑOS no figura que esta e planilla</t>
  </si>
  <si>
    <t>Deudas con 3 entidades(SAGA,INTBK,UNO)</t>
  </si>
  <si>
    <t>DK 1600</t>
  </si>
  <si>
    <t xml:space="preserve">TT ABONO LIBRE 100 SOLES ALA CUENTA EL DIA SABADO 11 </t>
  </si>
  <si>
    <t>EL PRESTAMO FUE PARA AUN AMIGO QUE LE FALLO,</t>
  </si>
  <si>
    <t>HENRY CONTRERAS ES EL DEL PRESTAMO PRESTADO , TRABAJA EN ESTRCUTURAS METALICAS ,COVIVIENTE SIN FAMILIA PROPIA, SERCH 42 AÑOS</t>
  </si>
  <si>
    <t>DIRECCION SUBREGIONAL AGRARIA DE ANDAHUAYLAS EXTRABAJO</t>
  </si>
  <si>
    <t>SE CERRO EL DISCADOR</t>
  </si>
  <si>
    <t>DK 2300</t>
  </si>
  <si>
    <t>DT 680</t>
  </si>
  <si>
    <t>CARLOS LLUNCOR ARANA</t>
  </si>
  <si>
    <t xml:space="preserve">PROBLEMAS DE TRABAJO Y SALUD , SE ENDEUDO COMPRANO COSA EN LA TIENDA OSCHLE , CASADO SEPADO , TIENE HIJOS , EL DINERO ES DE SU SUELDO </t>
  </si>
  <si>
    <t>SERCH NO CARGA - SE CIERRA DISCADOR - S EENVIA SMS , WSP CON INFORMACION DEL PAGO</t>
  </si>
  <si>
    <t>TT NO CANCELO ANTERIOR EN LA FECHA POR QUE NO CONTO CON EL DINERO , INDICA QUE LO PAGARA EL DIA 28 DE ENERO , REALIZANDO UNA DELANTO DE 200 PARA EL DIA LUNES 20 Y LA DIFERENCIA EL DIA 28</t>
  </si>
  <si>
    <t>EL DINERO LOS AVARA POR QUE RECIVIRA UN DINERO DE UN TRABAJITO</t>
  </si>
  <si>
    <t>PPC SE DA EXCEPCION DE CANCELACION CON 800 HOY 31/01 ENTRE LAS  5 PM  YA TIENE EL DINERO INDICA QUE NO PAGO POR QUE DEJO DE TRBAJAR QUIERE CANCELAR PARA ESTAR LIMPIO EN LOS QUE ES BANCO  / 35 AÑOS / TIENE TRBAJO 3898 / TIENE HIJOS  /  SIN DEUDAS REPORTADAS</t>
  </si>
  <si>
    <t xml:space="preserve">DT 400 DC 250  DK 300 , DIC ERECIRA DE JUSTA DINERO  HARA GO A ALS 3PM DE DISCADOR </t>
  </si>
  <si>
    <t>dt 400 dk 180 campaña 113 21-12</t>
  </si>
  <si>
    <t>tt indica que realizara cancelacion el dia 21-12  /se fue la ficha</t>
  </si>
  <si>
    <t>DT 400</t>
  </si>
  <si>
    <t>DC 180</t>
  </si>
  <si>
    <t>TT SACO EL PRESTAMO PARA UN AMIGO Y NO PAGO LA ULTIMA CUOTA , CONFECCIONA PRENDAS DEPORTIVAS,</t>
  </si>
  <si>
    <t>EDAD 34 AÑOS</t>
  </si>
  <si>
    <t>SERCH SIN DEUDA EN BANCOS</t>
  </si>
  <si>
    <t>dt 400</t>
  </si>
  <si>
    <t>dc 77</t>
  </si>
  <si>
    <t>dk 109.45</t>
  </si>
  <si>
    <t>tt mencioan que pago hace 2 años pero no realizo el tramite de su carta acepta pagar la campaña otorgada por sms</t>
  </si>
  <si>
    <t xml:space="preserve">cliente negociafdo por sandy </t>
  </si>
  <si>
    <t>otorgado por sandy</t>
  </si>
  <si>
    <t>se envia cuenta por wsp copo.20</t>
  </si>
  <si>
    <t xml:space="preserve">DT 4000 DK 3500 </t>
  </si>
  <si>
    <t xml:space="preserve">PPC DE 3000 </t>
  </si>
  <si>
    <t>dt 4000</t>
  </si>
  <si>
    <t>expertis 1700</t>
  </si>
  <si>
    <t>SE DA OPCION DE CANCELACION 1700 24/02 YA TIENE EL DINERO/</t>
  </si>
  <si>
    <t xml:space="preserve">SEARCH 62 AÑOS  </t>
  </si>
  <si>
    <t xml:space="preserve">3 VEHICULOS </t>
  </si>
  <si>
    <t xml:space="preserve">SIN DATOS DE TRBAJO </t>
  </si>
  <si>
    <t>TIENE UNA HIJA NO SE REGISTRA</t>
  </si>
  <si>
    <t>SIN DEUDAS REPORTADAS</t>
  </si>
  <si>
    <t>APOYO DE MELINA</t>
  </si>
  <si>
    <t xml:space="preserve">DT 4006 CAN 390 , //971387298 ,CL DEBIA 800 SOLES Y LO LLAMARON CUANDO SALIA DE VIAJE A  LA SIERRA Y NO PUDO EFECTUAR EL PAGO Y LUEGO LE INFORMARON QUE HABIA PASADO A LEGAL , LE DIJERON QUE LE REALIZABAN UN REFRACCIONAMIENTO EL CUAL EL NO ACEPTO PORQUE PODIA CANCELAR LOS 800 SOLES EN UNA CUOTA , FUE A LA FINANCIERA Y PAGO 200 SOLES LOS CUALES LE DIJERON QUE SERIAN DESCONTADOS DE LA TOTALIDAD DE LA DEUDA PERO LE DIJERON QUE PASARONA A TRAMITE ADMINISTRATIVO , NO LE DEJARON CANCELAR LA DEUDA SOLO LE OFRECIAN REFRACCIONAMIENTO EN 36 MESES LOS CUAL EL NO ACEPTO POR SER MUY LARGO EL PERIODO DE TIEMPO , A CL LE PAGAN EN QUINCENA CON ELLO EL SUSTENTARIA EL PAGO </t>
  </si>
  <si>
    <t>dt 410</t>
  </si>
  <si>
    <t>ppc //tt mencioan que debido a que tuvo problemas de salud no pudo genrar el pago en sus momento // va a raalizar pago el 20/04/20 o bien por banca movil o agente bcp // pagaria de su sueldo</t>
  </si>
  <si>
    <t>search edad 27 años</t>
  </si>
  <si>
    <t>cuenta con 1 hija</t>
  </si>
  <si>
    <t>cuenta con 1 entidad resportada</t>
  </si>
  <si>
    <t>dt 4100 campaña 471 25-5</t>
  </si>
  <si>
    <t>hija de tt nerida ojeda de la rosa dni 04085081 responsable de pago brinda su nro cel 960290500</t>
  </si>
  <si>
    <t>desea acuerdo de cancelacion  a su correo neridacotera@hotmail.com</t>
  </si>
  <si>
    <t xml:space="preserve">dice que hara pago a mas tardar el dia 25-5 </t>
  </si>
  <si>
    <t xml:space="preserve">hija de tt es muy desconfiada </t>
  </si>
  <si>
    <t>stp: de sus ingresos dice es empresaria</t>
  </si>
  <si>
    <t>DT 420 25/11 SE LE INDICA CAMPAÑA 404 TT DICE QUE CANCELARA EL DIA 23/11</t>
  </si>
  <si>
    <t>DT 420</t>
  </si>
  <si>
    <t>DK 200</t>
  </si>
  <si>
    <t>DC 160</t>
  </si>
  <si>
    <t>TT INDICA WUE PAGO SU DEUDA , EL PRESTAMO FUE PARA UNA AMIGA ,E INDICA QUE SU AMIGA CANCELO LA DEUDA ,POR ESO NO PAGO LA AMIGA ERA ENCARGADA DE CERRAR ESA DEUDA ,NO TRABAJA - AMA DE CASA , TT IDNICA QUE SE PREATRA QUE ELLA VERA DONDE SACA Y PAGARA LOS 160 , SE CIERRA DISCADOR</t>
  </si>
  <si>
    <t>SERCH EDAD 39 AÑOS , SIN EXPERIENCIA LABORAL ,</t>
  </si>
  <si>
    <t>dt 4200 , dc 1000</t>
  </si>
  <si>
    <t>para un negocio fue el prestamo que no resulto ,</t>
  </si>
  <si>
    <t xml:space="preserve">el atrazo del pago fue por que se separo con su esposo , su esposo le dara el dinero de la pension de los hijos con eos pagara, 2 menores dedad y 2 hijos mayores de edad , </t>
  </si>
  <si>
    <t>DT 4200</t>
  </si>
  <si>
    <t xml:space="preserve">DESC  1000 </t>
  </si>
  <si>
    <t xml:space="preserve">PPC TT SE DA OPCION DE CANCELAR CON 1000 PARA 09/01 NO PAGO POR QUE TUVO MUCHOS GASTOS Y OTRAS DEUDAS Y AHORA SOLO TIENE LA DE OH Y QUIERE REGULARIZARLO YA TIENE EL DINERO TT SE ACERCARA A LA FINANCIERA A VALIDAR LA INFORMACION QUE SE LE ESTA BRINDANDO / 39 AÑOS / TRABAJO SUELDO 930 / SIN HIJOS  / NO TIENE OTRAS DEUDAS / </t>
  </si>
  <si>
    <t>dt 4200</t>
  </si>
  <si>
    <t>dk 2800</t>
  </si>
  <si>
    <t>Señora desea pagar 750 soles para cancelar su deuda. Cuenta con el dinero listo para realizar el pago el dia de hoy 05/03. No cuenta con mas dinero y el min1 es de 821.75</t>
  </si>
  <si>
    <t xml:space="preserve">search: 52 años / no cuenta con datos laborales / no cuenta con datos vehiculares /  mantiene deuda con 4 entidades financieras con un monton total de 32,220.36 soles </t>
  </si>
  <si>
    <t xml:space="preserve">DT 4200, campaña 700, indica que pagara el 31/01 ya que esa fecha cobra, saco una tarjeta para gastos, dejo de pagar porque se interno en un pueblo para trabajar y se olvido de esta deuda, trabaja en INGENIEROS CIVILES Y CONTRATISTAS GENERA LES S.A., 26 años, entidades reportadas BCP Y OH, se brinda direccion de oficinas ya que desea carta de no adeudo en fisico y or desconfianza, </t>
  </si>
  <si>
    <t>DT 4216  CAMPAÑA 520</t>
  </si>
  <si>
    <t>PPC DE 520</t>
  </si>
  <si>
    <t xml:space="preserve">TT SE DEMORO POR PROBLEMAS PERSONALES (NO QUIERE DECIR MAS )YA LE  HABIAN INFORMADO DE LA CAMPAÑA Y QUIERE CANXELARLA </t>
  </si>
  <si>
    <t xml:space="preserve">EDAD 62  // HIJOS 1// TRABAJO MUNI. ICA // DEUDAS 3 </t>
  </si>
  <si>
    <t>DT 430</t>
  </si>
  <si>
    <t>DK 390</t>
  </si>
  <si>
    <t>MC 290</t>
  </si>
  <si>
    <t xml:space="preserve">TT DEJO DE PAGAR YA QUE ELLA TENIA UN ACUERDO Y LE LLAMABAN CON DIFERENTES MONTOS , SIN EMBARGO PAGARA PORQUE LE HACE FACIL PAGAR ESE MONTO </t>
  </si>
  <si>
    <t>dt 4300 campaña 298 25-5</t>
  </si>
  <si>
    <t>tt hara cancelacion a mas tardar hasta el dia 25</t>
  </si>
  <si>
    <t>tt dice anteriormente le ofrecieron cancelar con monto similar pero no pudo</t>
  </si>
  <si>
    <t>stp: prestamo de su pareja</t>
  </si>
  <si>
    <t>dt 4323 dk 1575 campaña 1177</t>
  </si>
  <si>
    <t>tt dice que quiere cancelar y que le dijeron en caja arequipa  que su deuda fue vendida</t>
  </si>
  <si>
    <t>tt dice le pagan los 28 trabaja en la municipalidad</t>
  </si>
  <si>
    <t xml:space="preserve">tt dice que pago lo hace el dia 30-5 en la mañana     </t>
  </si>
  <si>
    <t>dt 435</t>
  </si>
  <si>
    <t xml:space="preserve">ppc se da opcion de cancelacion 205 para el 24/02 search 28 años / sin datos de hijos // sin datos de trabajo // una deuda reportada  / llamada discador </t>
  </si>
  <si>
    <t>dt 44300</t>
  </si>
  <si>
    <t>dk 16230</t>
  </si>
  <si>
    <t>mc 5700</t>
  </si>
  <si>
    <t>EXCEPCION APROBADA 2500</t>
  </si>
  <si>
    <t xml:space="preserve">tt en seguimiento , tt indica que no tiene dinero hasta el momento se le comenta de su antiguedad ella indica que tuvo problemas personales y estuvo la de salud operada, en el cual no tuvom dinero , sin embargo actualmente no tiene dinero ya que no trabaja , tt trabajaba eventualmente ya que ahora no genera ingresos , tiene 2 pequeños que manter , tt propuso en la llamada anterior el monto de 2500 pero tenia que confirmar si le prestarian , se dvll para la respuesta donde indica que si le prestaran el dinerpo de 2500 ella quiere cancelar ya mismo y no tener esta deuda , pagaria el 30 ya que la que prestaria le daria en esa fecha, DESEA RECIBIR CARTA DE COMPROMISO </t>
  </si>
  <si>
    <t xml:space="preserve">AUDIO GRABADO EN CARPETA </t>
  </si>
  <si>
    <t>DT 45</t>
  </si>
  <si>
    <t>DK 40</t>
  </si>
  <si>
    <t>DC 30</t>
  </si>
  <si>
    <t xml:space="preserve">TT INDICA QUE NO SCOMUNIQUEMOS , SE DEVULEVE LA LLAMADA CLIENTE APURADA INDICA QUE LO PAGARA MAÑANA EN BCP S EENVIA NUMEROD E CUENTA POR SMS , WSP </t>
  </si>
  <si>
    <t>SIN HISTORIAL DE TRABAJPOS</t>
  </si>
  <si>
    <t>DEUDA CON MIBANCO</t>
  </si>
  <si>
    <t xml:space="preserve">DT 450 </t>
  </si>
  <si>
    <t xml:space="preserve">MONTO DE CAMPAÑA 200 SOLES </t>
  </si>
  <si>
    <t>CLIENTE NO PAGO POR MOTIVOS ECONOMICOS, SIN EMBARGO EL CLIENTE PAGARA PORQUE ESTA LABORANDO Y CONTARA CON SUS AHORROS PARA QUE CANCELE. CLIENTE CANCELARA EL DIA 29 DE FEBRERO CON EL MONTO DE 200 SOLES</t>
  </si>
  <si>
    <t>EDAD : 27 AÑOS</t>
  </si>
  <si>
    <t xml:space="preserve">NO CUENTA CON DATOS DE HIJOS </t>
  </si>
  <si>
    <t>CUENTA CON DEUDA EN OTRA FINANCIERA</t>
  </si>
  <si>
    <t xml:space="preserve"> GRABACION DE LLAMADA </t>
  </si>
  <si>
    <t>CLIENTE NO PAGO POR MOTIVOS ECONOMICOS, SIN EMBARGO EL CLIENTE PAGARA PORQUE ESTA LABORANDO Y CONTARA CON SUS AHORROS PARA QUE CANCELE. CLIENTE CANCELARA EL DIA 4 DE MARZO CON EL MONTO DE 200 SOLES, YA QUE SU PAGO FUE EL 29 DE FEBRERO , LE DEVOLVIMOS LA LLAMADA PARA REPROGRAMAR SU PAGO POR MOTIVO DE VIAJE POR EL CUAL NO PUDO DEPOSITARLO.</t>
  </si>
  <si>
    <t xml:space="preserve">dt 450 campaña 99 </t>
  </si>
  <si>
    <t>tt dice que recibira dinero de afp cerca del 28</t>
  </si>
  <si>
    <t xml:space="preserve">stp: pago de afp </t>
  </si>
  <si>
    <t>DT 450</t>
  </si>
  <si>
    <t>TT DELIDACA DE SALUD POR ESO NO CANCELO, 3 HIJOS MENORES DE EDAD, NO TRABAJA , NO SPECIFICA SI LA MANTIENEN O DE DONDE SACARA EL DINERO, MENCIONA QUE SI LO PAGARA</t>
  </si>
  <si>
    <t>SERCH EDAD 33 AÑOS</t>
  </si>
  <si>
    <t>TRABAJO MISTR S.A. 583 SOLES -2018</t>
  </si>
  <si>
    <t>PERDIA CON MIBANCO</t>
  </si>
  <si>
    <t>CLEINTE DEJO DE PAGARA POR QUE NO CUENTA CON DINERO , TRABAJA COMO CONSTRUCTOR , PAGARA CON EL DINERO DE SU TRABAJO.</t>
  </si>
  <si>
    <t>SERCH 45 AÑOS</t>
  </si>
  <si>
    <t xml:space="preserve">SI DE DUDAS </t>
  </si>
  <si>
    <t>CREO QUE SE CERRO EL DISCADOR</t>
  </si>
  <si>
    <t>DT 4500 DK 3000 CAMPAÑA 870</t>
  </si>
  <si>
    <t>TT MENCIONA QUE PAGO EN EL MES DE JUNIO 800 Y DESPUES 200  AHORA ESTA DESCONFIANDO POR QUE NO LE DIERON SU CARTA DE NO ADEUDO  ESTA DE VIAJE PERO  TIENE EL DINERO Y EL 16/03 VIENE A OFICINA PARA PAGAR SE LE MENCIONA LA ACTIVACION DE CAMPAÑA</t>
  </si>
  <si>
    <t>EDAD  57 // REMUNERACION 1400 APROX // DEUDAS 0</t>
  </si>
  <si>
    <t xml:space="preserve">SE FUE LA FICHA </t>
  </si>
  <si>
    <t>DC 1600</t>
  </si>
  <si>
    <t>viernes 28 de febrero</t>
  </si>
  <si>
    <t>no puedo pagar la deuda por que la empresa que lo contrato,</t>
  </si>
  <si>
    <t xml:space="preserve">tiene un dinero por cobrar asu ex empresa ,con ese dinero pagaria la campaña 1600, TT trabaja actualmente de chofer a una empresa , </t>
  </si>
  <si>
    <t>serch sin deudaa xon otras entidades</t>
  </si>
  <si>
    <t>DC 1780</t>
  </si>
  <si>
    <t>CAMPAÑA POR SMS DEL CLIENTE 1680</t>
  </si>
  <si>
    <t xml:space="preserve">CLIENTE NO CANCELO SU DEUDA POR QUE COMENZO UN EMPRESA DDE TEJIDOS , LO ESTAFARON ,Y DEJO DE PAGAR , TIENE HIJOS EN ETAPA ESCOLAR Y EN LA UNIVERSIDAD , TIENE TRABAJO ACTUAL EN LA MUNICIPALIDAD DE SELVA ALEGRE , PAGARA CON UN PRESTAMPO QUE SU HIJA SOLICITARA EN BANCO RIPLEY , </t>
  </si>
  <si>
    <t>SERCH EDAD 54 AÑOS</t>
  </si>
  <si>
    <t>SIN DEUDAS CON OTRS ENTIDADES BANCARIAS</t>
  </si>
  <si>
    <t>DT 4515.92</t>
  </si>
  <si>
    <t>DK 1972</t>
  </si>
  <si>
    <t>EXPERTIS 2000</t>
  </si>
  <si>
    <t>CANCELACION CON s/2000.00</t>
  </si>
  <si>
    <t xml:space="preserve">INBOUND ASIGNADO POR JULIO </t>
  </si>
  <si>
    <t>DT 4600</t>
  </si>
  <si>
    <t>DC 750</t>
  </si>
  <si>
    <t>cliente dispone con 500 soles para poder cancelar su deuda el dia de hoy , saldra de viaje y no retornara en 4 meses , se mejora propuesta de  pagar 400 soles oferta de una campaña pasada , se pregunta de donde sacara el dinero responde cortante te pagarE hoy los  500 soles</t>
  </si>
  <si>
    <t>serch edad 47 años</t>
  </si>
  <si>
    <t>perdida con 3 entidades</t>
  </si>
  <si>
    <t>interbank , cencosud,financiero</t>
  </si>
  <si>
    <t>IMBOUND OTORGADO POR JIMENA</t>
  </si>
  <si>
    <t xml:space="preserve">LLAAMDA POR COOPORATIVO 20 , </t>
  </si>
  <si>
    <t xml:space="preserve">dt 461 campaña 151 </t>
  </si>
  <si>
    <t xml:space="preserve">tt dice que pago lo hace el dia 29 </t>
  </si>
  <si>
    <t>DT 4641</t>
  </si>
  <si>
    <t>LO PAGARA HOY</t>
  </si>
  <si>
    <t>TT TENIA 1000 SOLES SE COMUNICA INDICA QUE TIENE 800 A MANO YA QUE MATRICULO A SUS HIJOS Y LE RESTO 200, MOTIVO DE NO PAGO FUE PORQUE TUVO UN ACCIDENTE DE TRANSITO EN MOTO, TRABAJA MANEJANDO CHOFER, NO SE PUDO HABLAR MUCHO YA QUE ESTABA APURADO AL PARECER TRABAJANDO,QUIERE LIQUIDAR DEUDA YA QUE OBTUVO UNA JUNTA DE 1000 SOLES, 36 AÑOS, SOLO PRO EMPRESA COMO ENTIDAD REPORTADA, CLIENTE ASIGNADO POR INBOUND.</t>
  </si>
  <si>
    <t>DT 470</t>
  </si>
  <si>
    <t>CONTESTA TT SE INFORMA DEUDA DICE QUE PAGARA LUNES 17/02///TIENE SU NEGOCIO PROPIO //</t>
  </si>
  <si>
    <t>39 AÑOS//NO REGISTRA DEUDA //</t>
  </si>
  <si>
    <t xml:space="preserve">DT 4700 DK 2200 DC500   SE GNERO PORMESA 27/02CAN CN 500 SOLES  , SUSTENTO DE PGO D SU TRABAJO ,ANTES NO PUDO PAGAR NO LE PAGARON 44 AÑOS NO SALE TRABAJO  EN SHER / LEVANTE DE MIS CAIDOS DE DICIEMBRE </t>
  </si>
  <si>
    <t xml:space="preserve">DT 4700 DK 2200 DC500   TIT ANTES NO PUDO PAGAR NO HABIA LUGAR DODE PAGAR 500 SOLES   EL 07/03 SUSTENTO DE PGO D SU TRABAJO ,   44 AÑOS NO SALE TRABAJO  EN SHER / LEVANTE DEL MES PASADO </t>
  </si>
  <si>
    <t xml:space="preserve">DT 4700 DK 2200 DC800 ERO LE LLEGO MSJ X427  SE GNERO PORMESA 28/12 44 AÑOS NO SALE YTRAJO EN SHER </t>
  </si>
  <si>
    <t>CONTRAPROPUESTA PAGAR 1700</t>
  </si>
  <si>
    <t>ALVAREZ VILCA GREGORIA</t>
  </si>
  <si>
    <t>SE LLEGA ACUERDO CON EL HIJO RICARDO  RESPONSABLE DEL PAGO DE LA DEUDA , HIJO SACARA EL DINERO DE LOS 200, TT PAGARA EL DIA VIERNES 17 - 200 SOLES Y LOS 1500 SOLES EL DIA 30 - TT OCNFIRMA  EL PAGO VIERNES POR LA TARDE . LLAMADA POR DISCADOR</t>
  </si>
  <si>
    <t>dt 4800</t>
  </si>
  <si>
    <t>dc 2000</t>
  </si>
  <si>
    <t>trabaja mecanimo aautomitriz , problema de viajes , viajo ala sierra , la empresa no le pago lo acordado por eso se atraso, pagara con dinero del trabajo , pagara con una deduda , que mantienen con el tt</t>
  </si>
  <si>
    <t>serch sin  historial de deuda ,  trabajo no actualizado</t>
  </si>
  <si>
    <t>DT 486</t>
  </si>
  <si>
    <t>EXPERTIS 20</t>
  </si>
  <si>
    <t>TT MENCIONA QUE LE ENVIARON SMS CON IMPORTE DE 20 PARA LIQUIDAR DEUDA ///CONFIRMA PAGO PARA ESTE FIN DE MES /</t>
  </si>
  <si>
    <t>24 AÑOS /NO REGISTRA INFORMACION LABORAL //NO REGISTRA DEUDAS //</t>
  </si>
  <si>
    <t xml:space="preserve">DT 490  MONTO DE CAMPAÑA 240 SOLES </t>
  </si>
  <si>
    <t>NO PAGO POR MOTIVOS ECONOMICOS ,SIN EMBARGO , QUIERE PAGAR PORQUE FIN DE MES LE PAGARAN SU TRABAJO Y HARA EL DEPOSITO.</t>
  </si>
  <si>
    <t>FECHA DE PAGO 2 MARZO , SE SOLICITO EL PAGO EL 29 FEBRERO ,PERO NO PUDO POR TIEMPO.</t>
  </si>
  <si>
    <t>EDAD : 47 AÑOS</t>
  </si>
  <si>
    <t>NO CUENTA CON HIJOS ACTUALMENTE</t>
  </si>
  <si>
    <t xml:space="preserve">NO CUENTA CON DEUDA EN OTRA FINANCIERA </t>
  </si>
  <si>
    <t>DATOS LABORALES : GRUPO DAFI ASOCIADOS S.A.C</t>
  </si>
  <si>
    <t>AUDIO GRABADO EN LA CARPETA</t>
  </si>
  <si>
    <t>FECHA DE PAGO EL 29 DE FEBRERO</t>
  </si>
  <si>
    <t xml:space="preserve">DT 4900 ,  CAPITRAL 3000  CAMPAÑA 1100    DICE QUE ESTABA INTERESADO ANTES PERO NO SABIA POR QUE VENDIERON LA DEUDA , SE LE REGISTRA   </t>
  </si>
  <si>
    <t xml:space="preserve">DT 4900 ,  CAPITRAL 3000  CAMPAÑA 1100 </t>
  </si>
  <si>
    <t>tt indica que esta yendo en estos momentos esta yendo a hacer cancelacion de la deuda con 1100 en en banco bcp</t>
  </si>
  <si>
    <t>DT 4900</t>
  </si>
  <si>
    <t>460X3</t>
  </si>
  <si>
    <t>contrapropuesta de 900 soles</t>
  </si>
  <si>
    <t>TT QUIERE PAGAR POR QUE LE LLEGO UN SMS DE CAMPAÑA POR 750 , SE NEGOCIA TT PODRA PAGAR 900 SOLES ,</t>
  </si>
  <si>
    <t>TRABAJA INDEPIENDIENTE EN LAVADO AUTOS ,3 HIJOS  MENORES DE EDAD EN ETAPA ESCOLAR , POR ESE MOTIVO NO PUEDE REUNIR EL DINERO , SE COMPLICA AHORRAR , QUIERE PAGAR PARA NO DESTINAR EL DINERO PARA LOS GASTOS ESCOLARES AUN.</t>
  </si>
  <si>
    <t>SERCH 32 AÑOS</t>
  </si>
  <si>
    <t>DEUDAS CON 3 ENTIDADES</t>
  </si>
  <si>
    <t>FALABELLA</t>
  </si>
  <si>
    <t>WISE SUDAMERIS</t>
  </si>
  <si>
    <t>GRABACIONDE DESDE COOPORATIVO 20</t>
  </si>
  <si>
    <t>CANCELARA CON EXCEPCION DE 800 SOLES</t>
  </si>
  <si>
    <t>cliente no pudo pagar la excepcion anterior de 900 soles , por que el dinero es compartido con su esposa , y retiro de la tarjeta 400 soles , la cual el cl. pudo reunir 800 soles ,cancelara cuando se apruebe esta solicitud, menciona el cl.</t>
  </si>
  <si>
    <t>SERCH EDAD 32 AÑOS</t>
  </si>
  <si>
    <t>PLANTILLA EN EL COMPROMISO ANTERIOR</t>
  </si>
  <si>
    <t>LLAMADA MANUAL DESDE EL COOPORATIVO</t>
  </si>
  <si>
    <t>WISIE SUDAMERIS</t>
  </si>
  <si>
    <t>DC 450</t>
  </si>
  <si>
    <t>WALTER GIL VILLANUEVA</t>
  </si>
  <si>
    <t>TT NO REALIZO LA CANCELACION POR QUE EL PRESTAMO FUE PARA SU AMIGO QUE NO REALIZO LA CANCELACION,  TRABAJA EN SU TALLER DE ELECTRONICA ,TT ´PAGARA EL DIA MARTES25 , SE ENVIA SMS , WSP</t>
  </si>
  <si>
    <t>SERCH 27AÑOS</t>
  </si>
  <si>
    <t>DEUDA PERDIDA CON FINANCIERA PROEMPRESA</t>
  </si>
  <si>
    <t xml:space="preserve">SE CIERRA FICHA , </t>
  </si>
  <si>
    <t>DC450</t>
  </si>
  <si>
    <t>SE REASIGNA COMPROMISO, PÓR QIUE EL CLIENTE TUVO PROBELMAS CON DE PAGOS CON LA SUNAT TT ASEGURA REALIZAR LA CANCELACION PARA EL DIA VIERNES 28.</t>
  </si>
  <si>
    <t>LLAMADA MANUAL.</t>
  </si>
  <si>
    <t>PERDIDA CON PROEMPRESA</t>
  </si>
  <si>
    <t xml:space="preserve">dt 4913 campaña 554 </t>
  </si>
  <si>
    <t>ES UNA CLIENTE MUY ESPECIAL QUIERE INFORMACION A SU CORREO Y APARTE TAMBIEN QUIERE CARTA DE SESION DE DERECHOS</t>
  </si>
  <si>
    <t>TT SE SIENTE MOLESTA PORQUE HAN CONSEGUIFO SU NUMERO CELULAR</t>
  </si>
  <si>
    <t>QUIERE QUE LE ENVIEN INFORMACION DE PAGO A SU CORREO</t>
  </si>
  <si>
    <t>kathiaflores1108@gmail.com</t>
  </si>
  <si>
    <t xml:space="preserve">STP:DE SUS INGRESOS </t>
  </si>
  <si>
    <t xml:space="preserve">DT 5,607  PPC 500   </t>
  </si>
  <si>
    <t>IMP:POR LA CUARENTE LE FALTO PAGAR LA SEGUNDA CUOTA</t>
  </si>
  <si>
    <t>SUSTENTO DE PAGO: QUE ACABA LA CUARENTENA RECIEN PAGARA YA QUE TRABAJAARA Y EL DIA 30/04/20 ESTARIIA PAGANDO</t>
  </si>
  <si>
    <t xml:space="preserve">DT 500  DC110 LLAMO A CEL9 POR Q LE LLEGO MSJ 91 SOLES HOY HARA CANCWLCION 26/05  /TIENE 25 AÑOS/NO SALE DEUDA/TRABAJ2018  LLAMADA ENTRATNSTE POR MSJ </t>
  </si>
  <si>
    <t xml:space="preserve">DT 500  DC110 LLAMO A CEL9 POR Q LE LLEGO MSJ 91 SOLES HOY HARA CANCWLCION 26/05  /TIENE 25 AÑOS/NO SALE DEUDA/TRABAJ2018  LLAMADA ENTRATNSTE POR MSJ /SE CHANCO DE NUEVO POR AUTORIZACION DE SANDY SE MODIFICO  IMPORTE ES 91 SOLES </t>
  </si>
  <si>
    <t>DT 500  DK 450 CAMPAÑA 300</t>
  </si>
  <si>
    <t xml:space="preserve">LLAMADA DISCADOR </t>
  </si>
  <si>
    <t>SUSTENTO : NO MENCIONA EL  MOTIVO DE NO PAGO POR QUE ESTA EN EL TRABAJO PERO CONFIRMA DEPOSITO EL SABADO 07/12 SE LE VOLVERA A LLAMAR ( SE FUE LA FICHA )</t>
  </si>
  <si>
    <t>EDAD 50//  REMUNERACION  1500 APROX// DEUDAD 0// HIJOS  NO REGISTRA</t>
  </si>
  <si>
    <t>dt 500 campaña 230 26-12</t>
  </si>
  <si>
    <t>tt dice cancelara campaña el dia 26-12  hara cancelacion en la mañana el dia 26-12 (se me fue la ficha y se corto la llamada , tuve que llamar por celulara para terminar la negociacion)</t>
  </si>
  <si>
    <t xml:space="preserve">dt 500 campaña 300 </t>
  </si>
  <si>
    <t xml:space="preserve">mdi dejo de pagar por que su hija estaba mal de salud </t>
  </si>
  <si>
    <t xml:space="preserve">sustento ; tiene parte del total se prestara el restane para la otra semana  </t>
  </si>
  <si>
    <t>DT 500 DC 100</t>
  </si>
  <si>
    <t>984141942 TT INDICA QUE ANTERIORMENTE CANCELO LA DEUDA HACE 5 AÑOS SE LE INDICA QUE AUN ESTA CUENTA ESTA VIGENTE DE LA CUAL SE LE PROPONE CAMPAÑA DE CANCELACION DE LA CUAL ACCEDE INDICA QUE CANCELARA EL MONTO S/ 100 SOLES PARA EL DIA MIERCOLES 15 DE ABRIL EN UN AGENTE BCP / PPC</t>
  </si>
  <si>
    <t>dt 500</t>
  </si>
  <si>
    <t>da 250</t>
  </si>
  <si>
    <t xml:space="preserve">rpp //tt menciona que tuvo un accidente la cual le impidio generar los pagos puntuales asimismo  menciona que tendria el pago en base a un ahorro//estaria generando pago de cancelación  de s/250 en un agente bcp </t>
  </si>
  <si>
    <t>search // edad 36 años</t>
  </si>
  <si>
    <t xml:space="preserve">cuenta con 4 hijos </t>
  </si>
  <si>
    <t xml:space="preserve"> registra trabajo</t>
  </si>
  <si>
    <t>no registra entidad reportada</t>
  </si>
  <si>
    <t>DT 500</t>
  </si>
  <si>
    <t xml:space="preserve">DC 450 </t>
  </si>
  <si>
    <t>TT NO CANCELO POR ESTAR ENFERMO Y EN TRATAMIENTO DE DIALISIS , NO TRABAJA ,HIJOS MAYORES EDAD , SUS HIJOS APOYARAN APARA LA CANCELACION A FIN DE MES . SE ENVIARA SMS , WSP COORPORATIVO 20</t>
  </si>
  <si>
    <t>SERCH EDAD 65 AÑOS</t>
  </si>
  <si>
    <t>SIN DEUDAS EN OTRAS ENTIDADES</t>
  </si>
  <si>
    <t>SIN HISTORIA DE TRABAJO</t>
  </si>
  <si>
    <t xml:space="preserve">DT 500, CAMPAÑA 200, ANTIGUEDAD 3 AÑOS, PAGARA PARA EL 28/02, SACO PRESTAMO PARA TERCERO Y NO PAGO, INDICA QUE ESTABA EN GASTO Y POR ESO NO PAGO, TRABAJA EN SERVICIOS INTEGRADOS DE LIMPIEZA SA (SIL SA), 34 AÑOS, SACARA DINERO DE PRESTAMO DEL TRABAJO, NO REPORTA NINGUNA ENTIDAD, SOLO SULLANA. </t>
  </si>
  <si>
    <t>DT 5000 CAMPAÑA &lt; 4000</t>
  </si>
  <si>
    <t>CONTRAPROPUESTA 3000</t>
  </si>
  <si>
    <t>SE COMUNICA A COORPORATIVO,</t>
  </si>
  <si>
    <t>MNP: TT MENCIONA QUE POR TEMAS DE SALUD DEJO DE PAGAR DEJO DE TRABAJAR .</t>
  </si>
  <si>
    <t>MDP:QUIERE SOLICITAR NUEVO CREDITO .</t>
  </si>
  <si>
    <t>SUSTENTO , SE PRESTO DINERO CON UNAS AMIGAS (3000)PARA PODDER PAGAR SU DEUDA , SE DEDICA A VENTA ROPA PERO ACTUALMETE NO ESTA ABRIENDO SU NEGOCIO (POR LA EMERGENCIA )</t>
  </si>
  <si>
    <t xml:space="preserve">SEARCH : NO CARGA </t>
  </si>
  <si>
    <t>DT 5000 CAMPAÑA 495 20-1</t>
  </si>
  <si>
    <t>TT INDICA QUE REALIZARA CANCELACIONCON CAMPAÑA  EL DIA 17-1/SE ME FUE LA FICHA</t>
  </si>
  <si>
    <t>DT 5000 DK 3500 CAMPAÑA 2200</t>
  </si>
  <si>
    <t>EXCEPCION 1000</t>
  </si>
  <si>
    <t xml:space="preserve"> PAPA DE TT SR PEDRO NOVOA MANRIQUE CONTESTO LLAMADA EL DIA 07/02 Y PIDIO QUE LE VUELVA A LLAMAR ,  MENCIONA QUE NO TIENE COMUNICACION CON TT HACE 10 AÑOS PERO QUIERE HACERCE CARGO Y PAGARLA . EL AÑO PASADO LE LLAMARON A OFRECER EL MONTO DE 1000 SOLES  </t>
  </si>
  <si>
    <t xml:space="preserve">EDAD 57//HIJOS 2//TRABAJO NO REGISTRA </t>
  </si>
  <si>
    <t>DEUDAS 0(  PAAR MENSUAL UN CARRO HACE TAXI  )</t>
  </si>
  <si>
    <t>dt 5000</t>
  </si>
  <si>
    <t>dk 2400</t>
  </si>
  <si>
    <t>señor no desea tener deuda, conseguira dinero. Un monto lo tiene ahorrado y el otro se prestara. Pide carta de no adeudo.  Asimismo, titular devuelve la llamada despues de haberle enviado mensajes y llamadas que se le dejo el numero corporativo.</t>
  </si>
  <si>
    <t>search: 37 años / se encuentra laborando y gana 2500 soles mensuales /  no mantiene deudas con otras entidades financieras</t>
  </si>
  <si>
    <t>DT 506</t>
  </si>
  <si>
    <t>PPC SE REALIZA RECORDATORIO TT CONFIRMA QUE PAGARA SU DOS CUOTAS PARA QUE LE ENVIEN LA CARTA / 25 AÑOS / SIN DATOS DE HIJOS / SIN DATOS DE TRBAJO / SIN DATOS DE DEUDA</t>
  </si>
  <si>
    <t>DT 5100</t>
  </si>
  <si>
    <t>DC 2300</t>
  </si>
  <si>
    <t>NO PAGO POR NO TENER TRABAJO  , LO DESPIDIERON , MAL DE SASLUD ,ACTUALMENTE NOTIENE TRABAJO , VENDERA SU TERRENO INDICA CON ESO PAGARA LA DEUDA ,  SI TIENE FAMILIA , A CARGO ,, tt no consigio el dinero , para el dia lunes 27 se indica penalidad del 10%  - grabacion discador</t>
  </si>
  <si>
    <t>SERCH SIN DATOS</t>
  </si>
  <si>
    <t>NO PAGO POR NO TENER TRABAJO  , LO DESPIDIERON , MAL DE SASLUD ,ACTUALMENTE NOTIENE TRABAJO , VENDERA SU TERRENO INDICA CON ESO PAGARA LA DEUDA ,  SI TIENE FAMILIA , A CARGO</t>
  </si>
  <si>
    <t>DK : 3000</t>
  </si>
  <si>
    <t xml:space="preserve">PPC SE DIO OPCION DE PAGAR CON 593  PAGO 01/02 A LA CUENTA DE INTERBAK  GESTIONADO POR MARIBEL / 39 AÑOS  / TIENE TRABAJO INGRESO 1313 / 2 HIJOS / SIN ENTIDADES REPORTADAS </t>
  </si>
  <si>
    <t xml:space="preserve">PPC SE DIO OPCION DE PAGAR CON 593 PARA HOY LO REALIZARA ENTRE LAS 5 PM A LA CUENTA DE INTERBAK  GESTIONADO POR MARIBEL / 39 AÑOS  / TIENE TRABAJO INGRESO 1313 / 2 HIJOS / SIN ENTIDADES REPORTADAS </t>
  </si>
  <si>
    <t xml:space="preserve">dt 520 campaña 280 </t>
  </si>
  <si>
    <t>tt dice que pago lo hara esta semana a mas tardar el dia viernes 22-5</t>
  </si>
  <si>
    <t xml:space="preserve">stp: de sus ingresos </t>
  </si>
  <si>
    <t xml:space="preserve">DT 5200 DK 2300  CAMPAÑA 1233 23-12 </t>
  </si>
  <si>
    <t>TT LE PAGAN LOS  30 ACUERDO CON TT PPC EN DOS PARTES 633 23-12 600 30-12, TT DESEA CNA AL WHATSAPP</t>
  </si>
  <si>
    <t>dt 5200</t>
  </si>
  <si>
    <t>dk 2929.67</t>
  </si>
  <si>
    <t>dc 750</t>
  </si>
  <si>
    <t>tt realizo un refinanciamiento, le subieron muchos los intereses y dejo de pagar ,no esta trabajando , tiene una ahorro con eso pagara ,</t>
  </si>
  <si>
    <t>edad 52 años</t>
  </si>
  <si>
    <t>sin historial de trabajo</t>
  </si>
  <si>
    <t>sin deudas con otras entidades</t>
  </si>
  <si>
    <t xml:space="preserve">dt 5245 campaña 525 </t>
  </si>
  <si>
    <t>se le da plazo a tt para que cancela hasta el dia 26-5</t>
  </si>
  <si>
    <t>stp: tt va recibir liquidacion el dia 25-5</t>
  </si>
  <si>
    <t xml:space="preserve">dt 526 campaña 180 </t>
  </si>
  <si>
    <t>tt dice pago lo hace dentro de mayo hasta el dia 30</t>
  </si>
  <si>
    <t xml:space="preserve">stp: de sus ahorros </t>
  </si>
  <si>
    <t>DT 5300</t>
  </si>
  <si>
    <t>EL PRESTAMO ERA PARA SU NEGOCIO DE SU HERMANO PARA GANADO VACUNO , EL HERMANO NO LE CUMPLIO , TRABAJA EN CRIANZA DE GANADO , HIJOS ETAPA ESCOLAR , LO PAGARA DE SU CUENTA DE AHORRO QUE SE TARANBFIRIEO DE CAJA TRUJILLO A CAJA SULLANA , SERCH 36 AÑOS , SIN DEDUAS CON OTRAS ENTIDADES</t>
  </si>
  <si>
    <t>DT 536.43</t>
  </si>
  <si>
    <t xml:space="preserve">CAMPAÑA 371 </t>
  </si>
  <si>
    <t>PPC  371</t>
  </si>
  <si>
    <t>DEJO DE CANCELAR POR MOTIVOS PERSONALES // SE CONTACTA POR SMS DE DESCUENTO  QUE LLEGO</t>
  </si>
  <si>
    <t>DT 5372</t>
  </si>
  <si>
    <t>DC 788.94</t>
  </si>
  <si>
    <t>NEGOCIADO POR MAYRA LLIMPE , SIN AUDIO</t>
  </si>
  <si>
    <t>SE ENVIA NUMERO DE CUENTA VIA WSP COOPORATIVO 20</t>
  </si>
  <si>
    <t xml:space="preserve">IMBOUND OTORGADO </t>
  </si>
  <si>
    <t xml:space="preserve">DT 5400 DK 3500 CAMPAÑA 2100 </t>
  </si>
  <si>
    <t>EXCEPCION APROBADA :1700</t>
  </si>
  <si>
    <t xml:space="preserve"> SE REPROGRAMA A TT , YYA QUE NO LE ABONARON UN PAGO QUE EL ESTABA ESPERANDO  ABONEN   EL DIA VIERNES ABONA 200  Y RESTANTE A FIN DE MES </t>
  </si>
  <si>
    <t>TRABAJA INDEPENDIENTE  Y ESTE MES HARA EL ESFUERZO DE CANCELAR SU DEUDA  , YA ABONO 350 EN DICIEMBRE</t>
  </si>
  <si>
    <t xml:space="preserve"> , DINERO LO SACARA DE SUS TRABAJO (TT NO QUIZO DETALLAR EN QUE TRABAJA )</t>
  </si>
  <si>
    <t xml:space="preserve"> EDAD 50 AÑOS </t>
  </si>
  <si>
    <t xml:space="preserve">NO TIENE MAS INFORMACION EN SEARCH </t>
  </si>
  <si>
    <t xml:space="preserve">T ENTIDADES REPORTADAS </t>
  </si>
  <si>
    <t>CAJA MUNICIPAL DE AHORRO Y CREDITO CUSCO S A</t>
  </si>
  <si>
    <t xml:space="preserve">FINANCIERA EFECTIVA S A </t>
  </si>
  <si>
    <t>dt 5400</t>
  </si>
  <si>
    <t>dc 2800</t>
  </si>
  <si>
    <t>NO PAGO POR TEMAS SALUD , PROBLEMA EN , LA COLUMNA</t>
  </si>
  <si>
    <t>su hermano le prestara  dinero CON ESO CANCELARA, cancelara nmañana alas 10 am, en credinka, MAGISTERIO - CUZCO</t>
  </si>
  <si>
    <t>SERCH EDAD 38 AÑOS</t>
  </si>
  <si>
    <t>SIN RESUMEN LABORAL</t>
  </si>
  <si>
    <t>SIN DEUDAS EN OTRAN ENTIDADES</t>
  </si>
  <si>
    <t>NEGOCIADO POR MELINA AYRE</t>
  </si>
  <si>
    <t>AUDIO COORPORATIVO 20 POR MELINA AYRE</t>
  </si>
  <si>
    <t xml:space="preserve">IMBOUND OTORGADO POR MARIANGELA </t>
  </si>
  <si>
    <t>dt 5485 excepcion 1000</t>
  </si>
  <si>
    <t>tt dice se encuentra en andahuaylas</t>
  </si>
  <si>
    <t>STP: hoy en la  noche ira donde familiares para que le hagan prestamo y mañana hara cancelacion</t>
  </si>
  <si>
    <t>tt desea acuerdo formal de cancecacion a su  whatsapp porque es desconconfiado</t>
  </si>
  <si>
    <t>dt 5570</t>
  </si>
  <si>
    <t>dk 2700</t>
  </si>
  <si>
    <t>mc 540</t>
  </si>
  <si>
    <t>tt dejo de cancelar porque su papa fallecio donde tuvo gastos y dejo de cancelar sin embargo cancelara hasta el dia 30 de abril ya que se prestara de su hijo.</t>
  </si>
  <si>
    <t>DT 5700  DC 2000 CL TT INDICA QUE YA REUNIO LOS 1500 QUE SE LE SOLICITO ANTERIORMENTE Y ESTARIA CANCELANDO HOY  ///  33 AÑOS DEBE DOS ENTIDADES  SI TRABAJA SALE EK SHER 1300 SUELDO / TIENE 2 HIJOS</t>
  </si>
  <si>
    <t>dt 5700 dk 2700 dc 2500 tit ind no pudo pagar por q no le pagarron ,se programa  cancelacion  el 13/03 2500 soles ¿sustento de pgo le prestararan dinero/tiene 32 años / no sale deuda / no sale trabajo / invaus asignado por mariangela .</t>
  </si>
  <si>
    <t xml:space="preserve">DT 5700 DK3600 DC 2000 SE CONTACTA  CN TT Y SE LLEGA A UN ACUERDO DE CANCELACION X 1500 SOLES PARA EL 21/01 33 AÑOS 2 ENTIDADES SITRABAJA SUELDO 1300 SUSTENTO DE POG DE SU TRABAJO DIJ EN LA ANTERIOR LLAMADA /INBAUS SE PIDIO ECEPCION YA </t>
  </si>
  <si>
    <t xml:space="preserve">DT 5700 DK3600 DC 2000 SE CONTACTA  CN TT Y SE LLEGA A UN ACUERDO DE CANCELACION X 1500 SOLES PARA EL30/01 NO PUDO PAGRA ANTES 33 AÑOS 2 ENTIDADES SITRABAJA SUELDO 1300 SUSTENTO DE POG DE SU TRABAJO DIJ EN LA ANTERIOR LLAMADA /INBAUS SE PIDIO ECEPCION YA </t>
  </si>
  <si>
    <t>DT 5700</t>
  </si>
  <si>
    <t>DK 2444.04</t>
  </si>
  <si>
    <t>DC 580</t>
  </si>
  <si>
    <t>tt menciona que enfermo , y dejo de pagar , mencioan qeu el dia 30  de mayo recibira su afp , que ya solicito el retiro, mencuiona que lo puede pagar antes pagara su deuda de oh e interbanck , solicta que le enviemos la informacion sobre su ccuenta de financiera oh , por wsp,</t>
  </si>
  <si>
    <t>serch sin resumen laboral</t>
  </si>
  <si>
    <t>deuda cin fianciero</t>
  </si>
  <si>
    <t>llamada cayo por discador</t>
  </si>
  <si>
    <t>se envia sms y wsp nuimero de cuenta corpo.20</t>
  </si>
  <si>
    <t>DT 5780 DK 2010 CAMPAÑA 1,156</t>
  </si>
  <si>
    <t xml:space="preserve">ESPOSA ENCARGADA DE PAGOS ROSALIA SE COMUNICA POR QUE LE LLEGO MSJ DE DESCUENTO , SE ACERCA A AGENCIA DE INTERBANK A PAGAR TIENE A SU ESPOSO  MAL DE SALUD PERO CON AYUDA DE SUS HIJOS Y LA VENTA DE UNOS ANIMALITOS  CANCELA DEUDA </t>
  </si>
  <si>
    <t>DT 580</t>
  </si>
  <si>
    <t>DK 266.58</t>
  </si>
  <si>
    <t>TT DEJO DE CANCELAR SU DEUDA POR TRABAJO, VIAJO , EL PRESTAMO FUE PARA TENER UN HISTORIAL CREDITICIO NO NECITABA EL DINERO, NO TIENE FAMILIA , NO ESPECIFICA EN QUE TRABAJA.</t>
  </si>
  <si>
    <t>SERCH EDAD 47 AÑOS</t>
  </si>
  <si>
    <t>PERDIDA CON 4 FIANNCIERAS</t>
  </si>
  <si>
    <t>SINJ HITORIAL DE TRABAJO</t>
  </si>
  <si>
    <t>DT 5800</t>
  </si>
  <si>
    <t xml:space="preserve">TT DEJO DE PAGAR POR EL MONTO ELEVEADO QUE LE ESTABAN COBRANDO , SE ENDEUDO CON LA TARJETA OH , JUBILADO , NO TRABAJA , CON LA PENSION LO PAGARA , </t>
  </si>
  <si>
    <t>SERCH  DEUDAS CON BANCOS EN PERDIA</t>
  </si>
  <si>
    <t>DC 2150</t>
  </si>
  <si>
    <t>COOPERATIVA GERENTE GENERAL - ,INVERSION EN SIEMBRA EN AREQUIPA , ACTUALMNETE CANCELARA EN CAJA AREQUIPA  Y CREDINKA , CLIENTE EL SUELDO QUE TIENE LO PAGA ALAS PERSONAS QUE LE PRESTARON , DINERO LOS SACARA DE UNA VENTA DE LAS PARCELAS DE CULTIVO</t>
  </si>
  <si>
    <t>SERCH SIN HISTORIAL CREDITICIO</t>
  </si>
  <si>
    <t>DT 5877</t>
  </si>
  <si>
    <t>ENCARGADO DE PAGO ESPOSO GUSTAVO GOMEZ CARMEN - INFORMO QUE NO PUDO CANCELAR POR EL TEMA DE LA SITUACION DEL PAIS PERO CREE POSIBLE QUE PARA FINES DE MES O PASANDO EL 13/04 ,SEGUN COMO SE REGULARICE PODRA EFECTUAR EL PAGO.</t>
  </si>
  <si>
    <t>ULTIMA CUOTA DE 1150- FECHA 30/04</t>
  </si>
  <si>
    <t>dt 5900 dk 4500 campaña 1200</t>
  </si>
  <si>
    <t>sustento</t>
  </si>
  <si>
    <t xml:space="preserve">trabaja independiente actualmente ,  dejode trabajar  en la empresa donde antes ganaba un sueldo fijo por eso ya no pago la deuda por que tenia otras prioridades  este mes ya quiere cancelar </t>
  </si>
  <si>
    <t xml:space="preserve">de donde saca el dinero </t>
  </si>
  <si>
    <t xml:space="preserve">tenia ahorros (900)  300 se presta mañana </t>
  </si>
  <si>
    <t xml:space="preserve">inbound mariangela </t>
  </si>
  <si>
    <t>DT 5900</t>
  </si>
  <si>
    <t>PPC SE DA EXCEPCION DE 1500 PARA EL 17/01  SE ÑE OFRECIO CAPITAL DE 2300 PERO TT NO TINE EU TIENE LOS 1500 EN MANO INDICA QUE QUIERE PAGRA POR QUE TIEN UN NEGOCION Y QUIERE TRABJAR CON BANCO  / 37 AÑOS / SIN FAMILIA / SIN ENTIDADES / SIN TRABJO /</t>
  </si>
  <si>
    <t xml:space="preserve">dt 5971 dc 848 </t>
  </si>
  <si>
    <t xml:space="preserve">tt cancelara deuda el dia de hoy llego sms / ppc </t>
  </si>
  <si>
    <t>dt 600 campaña 200</t>
  </si>
  <si>
    <t>tt dice que mes pasado le ofrecieron cancelar con 100</t>
  </si>
  <si>
    <t xml:space="preserve">se le indica cancelar con 170 31-3 </t>
  </si>
  <si>
    <t>mdi: gastos medicos con su tarjeta por eso se retraso</t>
  </si>
  <si>
    <t xml:space="preserve">tt hara cancelacion con 170 el dia 31-3 </t>
  </si>
  <si>
    <t>DT 600 CAMPAÑA 390 11-1</t>
  </si>
  <si>
    <t>TT DICE LE PAGAN EN QUINCENA Y FIN DE MES REALIZARA PAGO CON CAMPAÑA 390 EN DOS PARTES 200 EL 15-1  Y 190 EL 31-1/ SE ME FUE LA FICHA</t>
  </si>
  <si>
    <t>DT 6000     /  CANC: 627 .70( ppc)</t>
  </si>
  <si>
    <t xml:space="preserve">AFP: PROFUTURO - esta a la espera de su afp - </t>
  </si>
  <si>
    <t xml:space="preserve">stp: indica que  tiene a las mano -  </t>
  </si>
  <si>
    <t>se enviara documento de cancelacion *desconfia*</t>
  </si>
  <si>
    <t>972921036-</t>
  </si>
  <si>
    <t>DT 6000 CAMPAÑA 3364</t>
  </si>
  <si>
    <t>TT INDICA QUE SE ESTA ACERCANDO EN ESTE MOMENTO A REALIZAR CANCELACION CON 3364</t>
  </si>
  <si>
    <t>DT 6000</t>
  </si>
  <si>
    <t>CONTRA 1000</t>
  </si>
  <si>
    <t>EL PRESTAMO FUE PARA UN FAMILIAR ,Y NO CUNPLIO CON EL PAGO , ACTUALMNETE TRABAJA EN UNA EMPRESA ELECTRICA , CONVIVIENTE , SIN HIJOS INDICA QUE EL PRESTAMO FUE DE 2500 SOLES SE ELEVA ECEPCION, MONTO A PAGAR 1200 , AUDIO DE DIS</t>
  </si>
  <si>
    <t>CADOR ,</t>
  </si>
  <si>
    <t>DT 60752 DK 7715 CAMPAÑA 3085</t>
  </si>
  <si>
    <t>SOLICITUD DE EXCEPCION 700</t>
  </si>
  <si>
    <t xml:space="preserve"> SE LE APRUEBA  EXCEPCION TT  CANCELA EL DIA 31/03  </t>
  </si>
  <si>
    <t>EDAD 35 // TRABAJO: NO REPORTA// DEUDAD 2</t>
  </si>
  <si>
    <t>DT 60900 DK 8000 CAMPAÑA EXCEPCION 1200</t>
  </si>
  <si>
    <t xml:space="preserve">  TT CANCELA ESTE MES CON 1200 HASTA EL 28/02   </t>
  </si>
  <si>
    <t>dt 6119 campaña 2000</t>
  </si>
  <si>
    <t>tt indica que solo tiene 2000 soles para cancelar y que tiene a su esposo delicado salud con aneurisma</t>
  </si>
  <si>
    <t>stp:tt dispone en mano con 2000 soles</t>
  </si>
  <si>
    <t>DT 621.47 DK387.14 SMS S/284 // DICE DEJO DE CANCELAR PORQUE CREDITO FUE PARA MADRE, AHORA A COBRADO SU AFP Y DESEA LIQUIDAR CON EL DESCUENTO, SE ENVIA COMPROMISO DE PAGO, CANCELA BCP</t>
  </si>
  <si>
    <t>DT 6300</t>
  </si>
  <si>
    <t>CAMPÑA 1000 PPC TT SE DA CAMPAÑA DE 1000 INDICA QUE PAGARA EL 13 O EL 14/1 QUE LO LLMEMOS ESE DIA PARA REALIZAR EL PAGO Y LE DEN EL NUMERO DE CUENTA TT NO DA MUCHA INFORMACION ES MUY PREPONENTE / TIENE TRBAJO SUELDO DE 3593 / 5 HIJOS / 3 ENTIDADES REPORTADAS / LLMADA MUY RAPIDO SE INFORMA A MARIANGELA LLMADA DISCADOR</t>
  </si>
  <si>
    <t>DK 4200</t>
  </si>
  <si>
    <t>MC 1300</t>
  </si>
  <si>
    <t xml:space="preserve">MONTO DE PREPUESTA 650 </t>
  </si>
  <si>
    <t>CONFIRMAN EXCEPCION</t>
  </si>
  <si>
    <t xml:space="preserve">CLIENTE CONFIRMA QUE MAÑANA 4/03 ESTARA PAGANDO 650 SOLES </t>
  </si>
  <si>
    <t>EDAD 63 AÑOS</t>
  </si>
  <si>
    <t>NO TRABAJA ACTUALMENTE</t>
  </si>
  <si>
    <t>DEUDA EN OTRA FINANCIERA</t>
  </si>
  <si>
    <t>NO TIENE HIJO</t>
  </si>
  <si>
    <t xml:space="preserve">GRABACION DE LLAMADA  REGISTRADA </t>
  </si>
  <si>
    <t xml:space="preserve">DT 633.46  ACUER 430.17   TT LE LLEGO MENSAJE DE 430.17 SOLES PERO INDICA QUE TIENE AHORRADO 400 SOLES , Y LO HARA EL DIA DE HOY 5PM APROX , TIENE 50 AÑOS , NO TIENE MAS DEUDAS </t>
  </si>
  <si>
    <t>DT 6339 CAMPAÑA 770</t>
  </si>
  <si>
    <t xml:space="preserve">TT SE COMUNICA POR WHATSAAP , INDICANDO QUE LE LLEGO UN MSJ DE DESCUENTO EL CUAL QUIERE ABONAR PARA CANCELAR DEUDA </t>
  </si>
  <si>
    <t>MOTIVO  DE NO PAGO , FALLECIO SU ABUELA POR ESO NO PUDO ABONAR TOTAL ,</t>
  </si>
  <si>
    <t>DT 6400DK4400DC3350 ,37 AÑOS DEBE ENTIDAD SI TRABAJA ,TIT SE COMUNCO A CEL7 DIC NOPGO PR AESPOSA LO ENGAÑO Y SE FU CN DINERO QUIERA PAGAN PARA SACAR NUEVO PRESTAMO SUSTENTO DE POG DE SU TRABAJO PARA EL 28/02 / INVAUS CEL 7</t>
  </si>
  <si>
    <t>DT 650  CAMPAÑA 350 978326913</t>
  </si>
  <si>
    <t>TT SE DEDICABA A LA CHACRA PERO  SE PUSO MAL DE SALUD , Y  DEJO DE TRABAJAR TIENE INTENCION DE PAGO Y A FIN DE MES CANCELA SU DEUDA RECIEN MAÑANA VOLVER A TRABAJAR PARA JUNTAR EL MONTO ( PIDE QUE SE LE LLAME PARA RECORDARLE EL PAGO)</t>
  </si>
  <si>
    <t>EDAD 52</t>
  </si>
  <si>
    <t>dt 6500 campaña de mjs 785</t>
  </si>
  <si>
    <t xml:space="preserve">sustento: luis flores   novio de tt  menciona que el encargado de ya que tt esta en el extranjero el pago  lo realizaría con  el retiro de la afp el ya esta haciendo el tramite  por la carta poder ,  luisefloresr@yahoo.com.pe </t>
  </si>
  <si>
    <t>dt 6500</t>
  </si>
  <si>
    <t>expertis 1800</t>
  </si>
  <si>
    <t>tt menciona que no ha podido pagar por el tema de la cuarentena //pero si tiene intencion en regularizar la deuda con la campaña propuesta // estara efectuandolo el dia jueves 30/04-si tiene la posibilidad economica para reunir esa cantidad de dinero hasta la fecha programada /se menciona cobro de penalidad</t>
  </si>
  <si>
    <t>serach (no necesario)</t>
  </si>
  <si>
    <t xml:space="preserve">DT 6500, campaña 2100  MIN1/1800 TT INDICA QUE DEJO DE PAGAR POR QUE NO DESAPARECIO NUEVA VISION PERO QUE CANCELARA CON LA PROMOCION 1800 POR QUE ESO ES LO UNICO QUE PUEDE CONSEGUIRSE  66 AÑOS NO TIENE DEUDAS LIMPIA </t>
  </si>
  <si>
    <t xml:space="preserve">DT 65000 DK 3100   PPC SE DIO OPCION DE CANCELAR CON 2000 PARA EL 30/12 INDICA QUE SE HA PRESTADO PARA PODER REALIZAR LA CANCELACION INDIAC QUE NO PAGO POR ESTAFA Y QUIEBRA YA QUERIA SOLUCIONAR SE LE DA DESC / 39 AÑOS / SOLO TRABJA EN CHACRA / TIENE HIJOS / </t>
  </si>
  <si>
    <t xml:space="preserve">DT 6500DK4370, TIT SE DA DC 4300 , CL SE COMUNICO DESEA CANCEALR  DEUDA  TIENE 32 AÑOS NOS SALE DEUDA CN ENTIDAD EN SHERK NO SALE TRABAJO SUSTENTO PGO SE SUS AHORROS / INVAUOS ASIGNADO PPR MARIANGELA /CANCLAR CN 4300 EL 28/02 /AUDIO DEVORA </t>
  </si>
  <si>
    <t>dt 660</t>
  </si>
  <si>
    <t>dk 240</t>
  </si>
  <si>
    <t>mc 50</t>
  </si>
  <si>
    <t xml:space="preserve">tt dejo de pagar porque le brinadaron otros monto sin embargo pagara 50 soles ´porque quiere su carta ya que solo el debia una letra </t>
  </si>
  <si>
    <t>DT 6600</t>
  </si>
  <si>
    <t xml:space="preserve">DK  3700 </t>
  </si>
  <si>
    <t>DESC 1700</t>
  </si>
  <si>
    <t xml:space="preserve">PPC SE DA EXCEPCION DE CANCELACION DE 1700 PARA 31/01 YA TIENE EN MANO INDICA QUE NO PAGO POR QUE NO TIEN ETRBAJ ESTABLESE COMUNICO POR CAMPAÑA DE SMS / 43 AÑOS / DATOS DE TRABJO DEL 2017 DE AHI NO TRBAJA SE VALIDA  / SIN DATOS DE FAMILIA / SIN DEUDA  REPORTADA </t>
  </si>
  <si>
    <t>dt 6632 campaña 3869</t>
  </si>
  <si>
    <t xml:space="preserve">tt dice que pago lo hace el dia 25-5 </t>
  </si>
  <si>
    <t>stp: de sus ingresos, le deden dos meses de su trabajo</t>
  </si>
  <si>
    <t>dt 680</t>
  </si>
  <si>
    <t>campaña 480</t>
  </si>
  <si>
    <t>fecha 21/04</t>
  </si>
  <si>
    <t>menciona que si esta interesada en cancelar deuda /ella cuenta con la app del bcp /si cuenta con el dinero de propuesta pero siente desconfianza /solicita que le envien el acuerdo de cancelacion por whatsapp</t>
  </si>
  <si>
    <t>DC 460</t>
  </si>
  <si>
    <t>TT NOP CANCELO LA DEUDA POR QUE LE GIRABA MENSUALMENTE A SU EX PAREJA , LA CUAL NO CUMPLIO CON LA CCANCELACION Y DEJO DE PAGAR , TT TRABAJA ENPROVINCIA EN MANEJO DE VOLQUETE, CON ESE TRABAJO PAGAR LA DEUDA, PADRE UNA HIJA</t>
  </si>
  <si>
    <t>SERCH 35 AÑOS</t>
  </si>
  <si>
    <t>SIN DEDUAS CON OTRAS ENTIDADES</t>
  </si>
  <si>
    <t>COMPROMISO CERRADO POR COOPORATIVO</t>
  </si>
  <si>
    <t>NEGOCIACION POR DISCADOR</t>
  </si>
  <si>
    <t>dt 6800</t>
  </si>
  <si>
    <t>dt 5900</t>
  </si>
  <si>
    <t xml:space="preserve">campaña 1740 </t>
  </si>
  <si>
    <t xml:space="preserve">ppc tt confirma que el dinero le daran el dia de mañna vera si puede abonar algo hoy pero mas seguro </t>
  </si>
  <si>
    <t xml:space="preserve">search 43 años </t>
  </si>
  <si>
    <t>tiene trbajo ingreso 2491</t>
  </si>
  <si>
    <t xml:space="preserve">tien eun hijo reguistrado </t>
  </si>
  <si>
    <t>sin otras deudas reportadas</t>
  </si>
  <si>
    <t xml:space="preserve">dt 6980 campaña 666 29-5 </t>
  </si>
  <si>
    <t>tt dice que cancela a mas tardar el dia 29-5</t>
  </si>
  <si>
    <t>dt 700 campaña 400</t>
  </si>
  <si>
    <t>fp 30/04</t>
  </si>
  <si>
    <t>indica que no esta trabajndo,por la cuarentena pero tiene intecinciones de cancelar, pedira ayuda a familares para poder reunir dinero hasta afines de abril y cancealr deuda/se envio mensaje con informacion/discador</t>
  </si>
  <si>
    <t>search no registra deuda</t>
  </si>
  <si>
    <t xml:space="preserve">MC 250 </t>
  </si>
  <si>
    <t xml:space="preserve">250 SOLES </t>
  </si>
  <si>
    <t>DEJO DE PAGAR PORQUE TUVO PROBLEMAS CON SU PAREJA DONDE FORMARON UN NEGOCIO EN EL CUAL HUBO UNA CAIDA ENTRE PAREJA Y DEJARON EL NEGOCIO, SIN EMBARGO PAGARA EL MONTO DE 250 SOLES EL DIA 20 MARZO PORQUE ESTA TRABAJANDO</t>
  </si>
  <si>
    <t>EDAD 53 AÑOS</t>
  </si>
  <si>
    <t>NO CUENTA CON DATO LABORAL</t>
  </si>
  <si>
    <t>NO FIGURA HIJOS</t>
  </si>
  <si>
    <t>NO TIENE DEUDAS EN OTRAS FINANCIERAS</t>
  </si>
  <si>
    <t>DT 7000</t>
  </si>
  <si>
    <t>CAMPAÑA 1000</t>
  </si>
  <si>
    <t>SE LE INDICA QUE EL PAGO TIENE QUE SER HOY</t>
  </si>
  <si>
    <t>TT INDICA QUE DEJO DE PAGAR PORQUE SE ENFERMO LE SACARON TUMORES DE LOS SENOS, ESPOSO LE ESTA HABILITANDO EL DINERO DE 500 SOLES PARA LLEGAR A LA CANCELACION DE LA DEUDA NO PUEDEN DAR MAS PORQUE TIENEN  GASTOS DE 3 HIJOS ESCOLARIDAD, NO TRABAJA PORQUE ESTA EN RECUPERACION, 45 AÑOS, ENTIDADES REPORTADAS BANCO CENCOSUD S.A., BANCO FALABELLA PERÚ S A, INANCIERA UNO S A</t>
  </si>
  <si>
    <t>dt 720 dk 251 campaña 55</t>
  </si>
  <si>
    <t>tt dice que cancelara a fines de mes</t>
  </si>
  <si>
    <t>stp: tt dice le dan 20 soles diarios es ama de casa y de alli ahorrara para cancelar</t>
  </si>
  <si>
    <t>tt desea cdna a su whatsapp</t>
  </si>
  <si>
    <t xml:space="preserve">DT 720, campaña 100, antiguedad 3 años, quiere realizar el abono hoy mismo a las 4:30 pm, tt indica que no lo pago por que presento problemas economicos y descuido de la deuda por eso no pago, trabaja en PACK SOLUTIONS S.A.C., 32 años, solo reporta entidad con promebla en financiera oh. </t>
  </si>
  <si>
    <t>dt 720.00</t>
  </si>
  <si>
    <t>dk 240.00</t>
  </si>
  <si>
    <t>tt indica que tuvo un accidente vehicular, indica que no puede salir en 4 meses, que se le espere, se le indica del importe de cancelacion, acepta y lo realizara el dia 08/05/2020, se le indico de la penalidad en caso incumpla no se le dijo monto.</t>
  </si>
  <si>
    <t>llamada del discador , se me fue la ficha</t>
  </si>
  <si>
    <t>dt 7300</t>
  </si>
  <si>
    <t>dk 3450.36</t>
  </si>
  <si>
    <t>dc 1035.10</t>
  </si>
  <si>
    <t>COMNTRAPROPUESTA 500 SOLES</t>
  </si>
  <si>
    <t>EXECPCIONA PROBADA POR 500 SOLES .</t>
  </si>
  <si>
    <t>LLAMADA DESDE CORPO.20</t>
  </si>
  <si>
    <t>SE ENVIA SMS , WSP CORPO.20</t>
  </si>
  <si>
    <t>Y AL NUMERO 998371435</t>
  </si>
  <si>
    <t>cliente mencioanhq ue por problemas economicos no cancelo sud euda ya que tiene deduas con otras entidades , cliente cuenta con el dinero pagara pagar hoy</t>
  </si>
  <si>
    <t>serch deudas con otras entidades</t>
  </si>
  <si>
    <t>se verifca planilla</t>
  </si>
  <si>
    <t>contrapopuesta 500 soles</t>
  </si>
  <si>
    <t>se solicta mejorarla a 600 soles</t>
  </si>
  <si>
    <t>se informa la tt que fure aceptado el convenio de  600 soles para liqidar su deuda el dia lunes</t>
  </si>
  <si>
    <t>llamada de negociacion y cierre desde corpo.20</t>
  </si>
  <si>
    <t>DT 732.66</t>
  </si>
  <si>
    <t>DK 483.53</t>
  </si>
  <si>
    <t>DC 360</t>
  </si>
  <si>
    <t>CAVIEDES NUNEZ DE LA TORRE JOSE</t>
  </si>
  <si>
    <t>TT TRABAJABA DE ADMINISTRACION DE EMPRESAS PARA GYM, TT ESTUBO MAL DEL PIE NO PODIA TRABAJAR, TT TRABJA EN COSECHA DE CAFE , TT SACARIA EL DINERO , PRESTARCE DE SUS AMIGOS , SOLTERO ,</t>
  </si>
  <si>
    <t>SERCH NO CARGA - LLAMADA COOPORATIVO - 20</t>
  </si>
  <si>
    <t xml:space="preserve">dt 750 dc500 se pude abonar tt tiwne dos cuenta otra cn oh ,mañana cancela 100 soles y sullana esta en  viendo /45 años ,debe 2 entidades,trabaji2019  /tiene dis cuyentas /sullana </t>
  </si>
  <si>
    <t xml:space="preserve">DC 350 </t>
  </si>
  <si>
    <t>SABADO 15 = 150 SOLAS</t>
  </si>
  <si>
    <t>SABADO 22 = 200 SOLAS</t>
  </si>
  <si>
    <t>SE ATRAZO POR PROBLEMAS PERSONALES , NO PUDO PAGAR SU DEUDA , TT SE MANTIENE SOLO Y VIVE SOLO , TARABAJA YS  EMANTIENE SOLO ,</t>
  </si>
  <si>
    <t xml:space="preserve">SERCH 59 AÑOS </t>
  </si>
  <si>
    <t>DK --</t>
  </si>
  <si>
    <t xml:space="preserve">NO PAGO  POR QUE NO SABIA DE LA DEUDA SU ANTERIOR PAREJA POR UN NEGOCIO EN COMUN LO ENDEUDO , RADICA EN TACNA POR TRABAJO SE PERCATO QUE ESTABA EN INFOCORD , EL DIA 15 PAGARA 50 SOLES ABONO LIBRE  Y EL RESTO 400 SOLES A FINES DE MES , EL DINERO LO CONSEGUIRA , HARA UN ESFUERZO ,SOLTERO , TRABAJA EN UN COMERICO PROPIO </t>
  </si>
  <si>
    <t>SERCH SE CIERRA</t>
  </si>
  <si>
    <t>DT 750, campaña 170, antiguedad 5 años, tt indica que el prestamo fue para una tercera persona, no termino de pagar la deuda, la tt esta asumiedno la resposabilidad ya que quiere sacar prestamo en otra entidad, cancelara el 28/02, trabaja en MOUNTAIN LODGES OF PERU S.A.C., 34 años, no reporta ninguna entidad en el search.</t>
  </si>
  <si>
    <t>dt 7500 campaña 4500 20-1</t>
  </si>
  <si>
    <t>tt dice vive y trabaja en la chacra dice que reunira dinero campaña de 4500  a mas tardar  el dia  25</t>
  </si>
  <si>
    <t>DT 7523</t>
  </si>
  <si>
    <t>DK 3793</t>
  </si>
  <si>
    <t xml:space="preserve">MDI: TT DICE QUE LE COBRARON UN SEGURO PARA PROTEGER LA TARJETA  QUE NO ACEPTO PRESENTO QUEJA ANTE INDECOPI Y NO LO DIERON RESPUESTA TAMPOCO LE DIERON RESPUESTA EN FINANCIER OH </t>
  </si>
  <si>
    <t>SEARCH: SOLO TIENE DEUDA CON FINANCIERA OH</t>
  </si>
  <si>
    <t>OBSERVACION: ACUERDO CON TT PARA CANCELAR CON 625 PLAZO HASTA EL DIA 19-3 TT DESEA CDNA A SU WHATSAPP</t>
  </si>
  <si>
    <t>dt 755</t>
  </si>
  <si>
    <t>dk 190</t>
  </si>
  <si>
    <t>camapaña le llego por sms  / 75 soles</t>
  </si>
  <si>
    <t>cliente acepta cancelar la deuda con 75 soles , cliente gestionado por sandy</t>
  </si>
  <si>
    <t>audio nos e grabo, se informa a maribel sobre el caso , se toma scream de la llamda realizada desde el copo. de sandy</t>
  </si>
  <si>
    <t>se envia sms , wsp desde copo.20</t>
  </si>
  <si>
    <t>DT 761.57</t>
  </si>
  <si>
    <t>DK 460</t>
  </si>
  <si>
    <t>30 AÑOS / SIN TRABAJO</t>
  </si>
  <si>
    <t>PPC 550</t>
  </si>
  <si>
    <t>INBOUD // PADRE TT SE HARA CARGO</t>
  </si>
  <si>
    <t>dt 765 dk 195 campaña 50</t>
  </si>
  <si>
    <t>tt desea carta formal que certifique que su deuda fue vendida</t>
  </si>
  <si>
    <t>dt 770</t>
  </si>
  <si>
    <t>dk 170</t>
  </si>
  <si>
    <t xml:space="preserve">titular cancelara deuda el dia 16/03 - 170.00 soles </t>
  </si>
  <si>
    <t>search: 27 años / no cuenta con trabajo / no tiene informacion vehicular / mantiene deuda con 1 entidad financiera de 107.68 soles</t>
  </si>
  <si>
    <t xml:space="preserve">dt 771.12 dc 77 soles </t>
  </si>
  <si>
    <t xml:space="preserve">tt indica confirma que le enviaron por sms con el monto de 77 soles hara el pago el dia 29/05 en el banco bcp / ppc </t>
  </si>
  <si>
    <t>DT 7801.70</t>
  </si>
  <si>
    <t>DK 6837.94</t>
  </si>
  <si>
    <t>EXPERTIS 1380</t>
  </si>
  <si>
    <t>SE COMUNICO TT A CORP 7 MENCIONA QUE RECIEN HA INGRESADO A LABORAR, MUESTRA INTENCION EN QUERER REGULARIZAR DEUDA //ABONARA 500 SOLES EL DIA LUNES O MARTES A MAS TARDAR Y A FIN DE MES LO RESTANTE //</t>
  </si>
  <si>
    <t>51 AÑOS /BCO WIESE SUDAMERIS VTA CART</t>
  </si>
  <si>
    <t xml:space="preserve">18757.16/// 2 HERMANOS //OBTENDRA EL DINERO DEL PAGO DE SUS HABERES </t>
  </si>
  <si>
    <t>dt 790 campaña 190</t>
  </si>
  <si>
    <t xml:space="preserve">tt dice esta sin trabajo y sin plata </t>
  </si>
  <si>
    <t>tt dice trata de conseguir</t>
  </si>
  <si>
    <t>tt hara pago a mas tardar el dia 23-5</t>
  </si>
  <si>
    <t xml:space="preserve">DT 790 DK 180 CAMPAÑA 60 </t>
  </si>
  <si>
    <t xml:space="preserve">TT INDICA QUE SU DEUDA ERA DE 40 SOLES PERO QUE ESTARA HACIENDIO PAGO A MAS TARDAR EL DIA 7-4 </t>
  </si>
  <si>
    <t>SEARCH: TT TIENE TRABAJO EN PLANILLA, Y DEUDA CON OTRA ENTIDAD</t>
  </si>
  <si>
    <t>DT 80</t>
  </si>
  <si>
    <t>DC 60</t>
  </si>
  <si>
    <t xml:space="preserve">PROBLEMA PERSONALES NO PAGO ,PICANTERIA, NEGOCIO PROPIO </t>
  </si>
  <si>
    <t>TT PAGARA CON EL DIENRO L¿DE SU NEGOCIO</t>
  </si>
  <si>
    <t>TT APURADO SE MEMCJONA LA INFORMACION BASICA SE ENVIARA POR WSP LA IMFO DE COMO PAGAR</t>
  </si>
  <si>
    <t>SERCH EDAD 50 AÑOS</t>
  </si>
  <si>
    <t>SIN DEUDAS CON FINANCIERAS</t>
  </si>
  <si>
    <t>SE PIERDE LA FICHA</t>
  </si>
  <si>
    <t>dt 80</t>
  </si>
  <si>
    <t>dk 80</t>
  </si>
  <si>
    <t>mc 60</t>
  </si>
  <si>
    <t xml:space="preserve">tt indica que no cancela por dinero ya que anteriormente tuvo compromiso y no cancelo por la pandemia sin embargo le dimos facilidad de pagar 60 soles y comenta qu si se le hace factible pagara el 30 ya que recibe su pago de trabajo </t>
  </si>
  <si>
    <t xml:space="preserve">dt 800  campaña 199 </t>
  </si>
  <si>
    <t xml:space="preserve">tt dice le ofrecieron cancelar con 180 </t>
  </si>
  <si>
    <t>DT 800 ACUERD 100 TT MUESTRA INTERES  TIENE 36 AÑOS NO TRABAJA , MÑN 28 /12 CANCELARA 100 SOLES  984227198</t>
  </si>
  <si>
    <t>dt 800</t>
  </si>
  <si>
    <t>dc 660</t>
  </si>
  <si>
    <t>tt se atrazo por que asaltaron asu esposo , vedian artesania , venta de pollo , pagara con el dinero de su negocio de venta de pollo ,</t>
  </si>
  <si>
    <t>serch t idnica que tiene deuda con caja piura</t>
  </si>
  <si>
    <t>DT 800</t>
  </si>
  <si>
    <t>DC 290</t>
  </si>
  <si>
    <t>PAGAR UNA DEUDA ,SE ATRAZO POR QUE PERDIO SU TARJETA , Y NO LA PAGO POR ESO , TIENE 4 HIJOS MENORES DE EDAD 3 Y 1 MAYOR , EL DINERO LO SACARA  DE LA VENTA DE SU CHACRITA , PAGARA EL SABADO 28 ALAS 10 AM</t>
  </si>
  <si>
    <t>dk 480</t>
  </si>
  <si>
    <t>mc 350</t>
  </si>
  <si>
    <t xml:space="preserve">tt coemnta que no pago por dinero ya que no contaba se le brinda antiguedad y comenta que es por trabajo sin embargo pagara el monto de 350 soles ya que tendra sobre su pahgo de su trabajo ya que se hace factible </t>
  </si>
  <si>
    <t>DT 8000 DK 2500  CAMPAÑA 1670  (PPC DE 1370)</t>
  </si>
  <si>
    <t>ABONO 300 31/01</t>
  </si>
  <si>
    <t xml:space="preserve">ESTE MES CANCELA 1370  </t>
  </si>
  <si>
    <t xml:space="preserve">PRIMO DE TT MENCIONA QUE CANCELA EL 07/01  MONTO DE 1370 CON ESO CANCELA DEUDA DE TT  </t>
  </si>
  <si>
    <t>DT 8020 DK 1000 CAMPAÑA 400</t>
  </si>
  <si>
    <t xml:space="preserve">PPC 400 </t>
  </si>
  <si>
    <t xml:space="preserve">INBOUND JULIO , TT LE LLEGO CARTA A DOMICILIO  PARA PODER CANCELAR DEUDA CON EXPERTIS  , INTERESADA EN PAGAR </t>
  </si>
  <si>
    <t>dt 814</t>
  </si>
  <si>
    <t>dk 226</t>
  </si>
  <si>
    <t>Señora indica que se acerco a credinka y no le dieron informacion de que la deuda nos pertenecia. Aseguro que el dia de mañana se iba acercar a credinka a realiar el pago de los 226 soles y que a partir de eso nos pediria la carta de no adeudo.</t>
  </si>
  <si>
    <t>search: tiene 25 años / soltera / no tiene hijos / no tiene recor de centro laborales / no mantiene deudas con otras entidades financieras</t>
  </si>
  <si>
    <t>DT 8200</t>
  </si>
  <si>
    <t xml:space="preserve">DESC 781 </t>
  </si>
  <si>
    <t>PPC TT INDIAC QUE L LLEGO CAMPAÑA DE 781 HOY Y QUIERE CANCELAR YA TIENE EL DINERO QUE RECIBIO DE UNOS PAGOS Y LO PAGAR PERO QUIEE VENIR A EXPERTIS A VALIDAR LA IMFORMACION INDICA QUE NO PAGO POR UNOS TEMAS ECONOMICOS Y UNOS TEMAS PERSONALES PAGAR EL 20/01 LOS 781  / 49 AÑOS / 1 ENTIDAES REPORTADA PERO INDICA QUE NO TIENE OTRAS DEUDAS SOLO DE OH / SIN DATOS DE FAMILIA /</t>
  </si>
  <si>
    <t>SE COMUNICO POR CAMPAÑA DE SMS</t>
  </si>
  <si>
    <t>DK 4700</t>
  </si>
  <si>
    <t>MC 3000</t>
  </si>
  <si>
    <t xml:space="preserve">CLIENTE INDICA QUE NO CANCELO POR MOTIVO DE SALUD, SIN EMBARGO PAGARA PORQUE ESTA TRABAJANDO Y RECIBIENDO DINERO. AFIRMA QUE PAGARA EL 30 DE MARZO EL MONTO DE 3000 </t>
  </si>
  <si>
    <t>EDAD 47</t>
  </si>
  <si>
    <t>CUENTAS DE OTRAS FINANCIERAS SI TIENE</t>
  </si>
  <si>
    <t xml:space="preserve">DATOS LABORALES NO CUENTA </t>
  </si>
  <si>
    <t>GRABACION DE LLAMADA EN LA CARPETA</t>
  </si>
  <si>
    <t>dt 823 campaña 250</t>
  </si>
  <si>
    <t>hijo dice tuvo percance por eso no pudo pagar dice que tt se puso mal</t>
  </si>
  <si>
    <t>hijo de tt cancelara en dos partes :</t>
  </si>
  <si>
    <t>100 hasta el dia 21 y 150 hasta el dia 30</t>
  </si>
  <si>
    <t xml:space="preserve">dt 830 campaña 250 </t>
  </si>
  <si>
    <t>hijo de tt se comunica a celular corporativo</t>
  </si>
  <si>
    <t>acuerdo con hijo de tt responsable de pago walter huamani chipana dni 42474976 para cancelar 250 en dos partes: 130 hasta el dia 20-4 y diferencia a fin de mes</t>
  </si>
  <si>
    <t xml:space="preserve">stp: de sus ingresos dice como sea buscara para solucionar deuda </t>
  </si>
  <si>
    <t>DT 8300</t>
  </si>
  <si>
    <t>DC 1404</t>
  </si>
  <si>
    <t>DAVID QUISPE SEDANO</t>
  </si>
  <si>
    <t>TT QUIERE LIQUIDAR SU DEUDA POR COMPRIMISO , TT NO PAGO POR TEMA DE SALUD Y DESEMPLEO , SUFRIO UN DERRAMO FACIAL , TRABAJA DE TAXI ,</t>
  </si>
  <si>
    <t xml:space="preserve">SERCH  </t>
  </si>
  <si>
    <t>NO CARGA FINANCIERA UNO S A</t>
  </si>
  <si>
    <t>Créditos castigado</t>
  </si>
  <si>
    <t>DT 8350</t>
  </si>
  <si>
    <t>CONVENIO 600</t>
  </si>
  <si>
    <t>FECHA DE PAGO 29/04</t>
  </si>
  <si>
    <t xml:space="preserve">SE CONFIRMA CANCELACION DE LA DEUDA CON EXCEPCION APROBADA DE 600 SOLES </t>
  </si>
  <si>
    <t>DT 8356</t>
  </si>
  <si>
    <t>PAGARA JUEVES 20 =300 SOLES</t>
  </si>
  <si>
    <t>VIERNES 27 = 450 SOLES</t>
  </si>
  <si>
    <t>EL PRESTAMO  , TRABAJA VIAJANDO NEGOCIO DE COMERCIO ,CL LO PAGARA POR MEDIO DE SU TRABAJO , TIENE FAMILIA 5 HIJOS</t>
  </si>
  <si>
    <t>SERCH 42 años</t>
  </si>
  <si>
    <t>SOLO DEUDA CON PROEMPRESAS</t>
  </si>
  <si>
    <t>DT 840</t>
  </si>
  <si>
    <t>DK 426.03</t>
  </si>
  <si>
    <t>DC 550</t>
  </si>
  <si>
    <t>TT ACTUALMENTE TRABAJKA NO MENCIONA EL RUBRO , TT SE ATRAZO POR MOTIVOS DE DINERO</t>
  </si>
  <si>
    <t>EL DINERO LOS SACARA DE UN BONO QUE LE PAGARAN</t>
  </si>
  <si>
    <t>SE ENVIARA SMS DESDE CORPO.20</t>
  </si>
  <si>
    <t xml:space="preserve">dt 850 campaña 199 </t>
  </si>
  <si>
    <t>tt dice que el dia lunes 25-5 hace el pago</t>
  </si>
  <si>
    <t>stp: de un trabajo que le van a pagar</t>
  </si>
  <si>
    <t>DT 850 CAMPAÑA 630 EN 2 PARTES  TT INDICA PAGARA  330 EL  15/11   EN LA   TARDE Y 300 30/11 (SE ME FUE LA FICHA)</t>
  </si>
  <si>
    <t xml:space="preserve"> ////TT DICE OPERARON A SU PAPA</t>
  </si>
  <si>
    <t xml:space="preserve">DT 850, campaña 300 soles, tt indica que esta trabajando en mina en el turno de noche, lo pagaria para fin de mes 28/02 en la mañana, indica que saco tarjeta y por eso se endeudo, se habia olvidado de pagar arjeta, 53 años, entidades reportadas LOS ANDES e INTERBANK. </t>
  </si>
  <si>
    <t>DT 8500</t>
  </si>
  <si>
    <t>DK 5500</t>
  </si>
  <si>
    <t>DC 4900</t>
  </si>
  <si>
    <t>CHAMAN NINAN LUZMILA</t>
  </si>
  <si>
    <t>SE PRESTO PARA CONSTRUIR SU CASA , SE ATRAZO NO INDICA POR QUE ,</t>
  </si>
  <si>
    <t>TRABAJA EN EL MUNICIPA CHINCHERO , HIJO MAYOR EDAD ,</t>
  </si>
  <si>
    <t xml:space="preserve">SERCH - 40 AÑOS , NO SE VERIFICA EXPERIENCIA LABORAL , SE ENVIA DATOS POR SMS </t>
  </si>
  <si>
    <t>dt 863  campaña msj 69.5</t>
  </si>
  <si>
    <t>sustento :tt se comunica a coorporativo le llego msj de texto dice que quiere pagar por que el monto es accecible ,  tiene otra deuda mas .</t>
  </si>
  <si>
    <t xml:space="preserve">mnp: no sabia que tenia deuda </t>
  </si>
  <si>
    <t>dt 870 campaña 140</t>
  </si>
  <si>
    <t xml:space="preserve">tt desea cdna a su correo </t>
  </si>
  <si>
    <t>tt hara cancelacion el dia 24-4 por transferencia</t>
  </si>
  <si>
    <t>DT 8720</t>
  </si>
  <si>
    <t>DK 5560</t>
  </si>
  <si>
    <t>MC 3840</t>
  </si>
  <si>
    <t xml:space="preserve">PROEPUESTA 1944/  EXCEPCION APROBADA </t>
  </si>
  <si>
    <t>CLIENTE INDICA QUE POR PROBLEMAS NO TIENE MUCHO DINERO POR ESTA CONTIGENCIA Y POR MOTIVOS PERSONALES SE LE HACE DIFICIL PAGAR , SIN EMBARGO QUIERE PAGAR UNA PROPUESTA DE ANTES DE 1944 EN EL CUAL DISPONE DEM ESE MONTO.</t>
  </si>
  <si>
    <t>DT 889  CAMPAÑA 346</t>
  </si>
  <si>
    <t xml:space="preserve"> EXCEPCION  APROVADA 250</t>
  </si>
  <si>
    <t xml:space="preserve">TT SE COMUNICA A COORPORATIVO PARA PODER CANCELAR CON 250 YA QUE EL MES PASADO ABONO 100 , SUS FAMILIARES LO AYUDAN CON EL PAGO YA QUE DONDE SE ENCUENTRA NO HAY  AGENCIAS </t>
  </si>
  <si>
    <t>EDAD 24  // TRABAJO :AGROMIN SUELDO 1650  // DEUDAS 1//   COSECHA 04/19</t>
  </si>
  <si>
    <t>DT 890</t>
  </si>
  <si>
    <t>NO CANCELO POR PROBLEMAS PERSONALES ,TRABAJA PERO ESTA EN CONDICION DE RECIBOS POR HONORARIOS, SE ENVIA DATOS DE LAM FORMA DE PAGO POR WSP ,TT PAGARA LA DEUDA POR MEDIO DE SUELDO ACTUAL</t>
  </si>
  <si>
    <t>SERCH 24  AÑOS</t>
  </si>
  <si>
    <t>SINDE UDAS CON OTRAS ENTIDADES</t>
  </si>
  <si>
    <t>SALDIAS ALBERCO JORGE LUIS</t>
  </si>
  <si>
    <t>NO CANCELOA POR MOTIVOS PERSONALES NO LO PAGO ,TRABAJA SERVICIO TAXI , EL DINERO LO SAVCARA DE SU TRABAJO DE MANEJO DE TAXI</t>
  </si>
  <si>
    <t>SERCH  SIN SERCH NO CARGA</t>
  </si>
  <si>
    <t xml:space="preserve">DT 8900 2400 10/12   200 EL 10/12 Y 2200 EL 16/12 TT DESEA  CNA A ESTE NUMERO </t>
  </si>
  <si>
    <t>DT 8900 2400 10/12   200 EL 10/12 Y 2200 EL 16/12 TT DESEA  CNA A ESTE NUMERO (SE ME FUE LA FICHA)</t>
  </si>
  <si>
    <t>DT 900 CAMPAÑA 490  CANCELA 16/12 LA MITAD Y 20/12   ESTA TRABAJANDO</t>
  </si>
  <si>
    <t xml:space="preserve">dt 900 campaña 70 </t>
  </si>
  <si>
    <t>tt dice que pago lo hara a mas tardar el dia 15-5</t>
  </si>
  <si>
    <t>DT 900 CAMPAÑA 700</t>
  </si>
  <si>
    <t>PPC DE 400</t>
  </si>
  <si>
    <t xml:space="preserve">EXCEPCION APROBADA POR MARIANGELA </t>
  </si>
  <si>
    <t xml:space="preserve">Esposa DE TT Sra Luz se acerca a cancelar , el 30/03 en agente </t>
  </si>
  <si>
    <t xml:space="preserve">DT 900- CANC700 , TIENE 550 ,,POR MOTIVOS DE SALUD Y QUE YA NO PUDO TRABAJAR , TIENE UN HIJO 5 ,TIENE 550 SOLES DE LO QUE TRABAJA SU ESPOSA , ES LA UNICA DEUDA QUE TIENE , EN ESTE MOMENTO NO ESTA TRABAJANDO </t>
  </si>
  <si>
    <t xml:space="preserve">DT 900CAMPAÑA 666 7/12  ESPOSO CANCELARA EN  2 PARTES  333 7/12  333 14/12 967929879  ESPOSO  DICE QUE LE ENVIE CARTA DE NO ADEUDO A CORREO    MAGUIL4ASES@GMAIL.COM, ESPOSO MILTON AGUILAR VASQUEZ  WHATSPS 930752165 </t>
  </si>
  <si>
    <t>DT 900PPC DE 670 SR NILTON  ESPOSO DE TT 930752165 SE ACERCA A PAGA RL LUNES 25/11 , PIDE QUE SE LE ENVIE  ACUERDO DE CANCELACION YA QUE EL MES PASADO EN LA AGENCIA NO LE DEJARON PAGAR POR QUE LE DIJERON QUE ERA ESTAFA</t>
  </si>
  <si>
    <t>DT 9026  DK 5670 CAMPAÑA 1701</t>
  </si>
  <si>
    <t xml:space="preserve">TT SE COMUNICA POR QUE LE LLEGO CORREO ELECTRONICO Y MS DE TEXTO MENCIONA QUE ESTA INTEREZADO EN LA CAMPAÑA Y `PUEDE CANCELARLA EL 31/03  TIENE A SU PAPA ENFERMO Y EL LO CUIDA , LE INTEREZA PAGAR YA QUE ES UN MONTO CONSIDERABLE DE DESCUENTO </t>
  </si>
  <si>
    <t>DT 914</t>
  </si>
  <si>
    <t>PPC 460</t>
  </si>
  <si>
    <t>SEARCH 22 AÑOS //2 DEUDAS</t>
  </si>
  <si>
    <t>ABONARA 200 EL 16/03 + SALDO PARA 30/03</t>
  </si>
  <si>
    <t>DT 9200 DK 6500 CAMPAÑA 2700</t>
  </si>
  <si>
    <t>EXCEPCION APROBADA 1200 (JULIO)</t>
  </si>
  <si>
    <t xml:space="preserve">QUIERE CANCELAR AMBAS CUENTAS OH Y SULLANA </t>
  </si>
  <si>
    <t xml:space="preserve">MENCIONA QUE LE LLEGO MSJ CON ESE MONTO , PERO ELLA TIENE A LA MANO 1000 SE LE PIDE MEJORAR PROPUESTA  PUEDE PRESTARSE 200MAS </t>
  </si>
  <si>
    <t>MOTIVO DE PAGO: TIENE UNA PROPUESTA DE TRABAJO EN EL</t>
  </si>
  <si>
    <t xml:space="preserve"> EXTRANJERO </t>
  </si>
  <si>
    <t xml:space="preserve">MOTIVO NO PAGO , PROBLEMAS FAMILIARES </t>
  </si>
  <si>
    <t>EDAD  EDAD 36 TRABAJO CREDISCOTIA (3500) DEUDAS 3 (DISCADOR )</t>
  </si>
  <si>
    <t xml:space="preserve">DT 921.74 DC 76 </t>
  </si>
  <si>
    <t xml:space="preserve">Encargado de Pagos Sr. lanislao Martinez Gavilan Estrada confirma que pagara el dia de mañana el monto de 76 soles para la cancelacion de la señora indica que le brinden informacion por whatsapp 973705056 / ppc  </t>
  </si>
  <si>
    <t>DT 9300</t>
  </si>
  <si>
    <t xml:space="preserve">CAMPAÑA : 2000 TT NO PAGO POR QUE TUVO PROBLEMAS EN SU TRBAJO Y EL FUE EL AFECTADO Y LO DESPIDIERON INDIC QUE SOLO REALIZA TRABJOS EVENTUALES ESTES 15/01 ABONARA  1000 Y 1000 PARA EL 24/01  DEPENDE DE PAGO DE SUS TRABAJOS EVENTUALES / 36 AÑOS / SIN TRABJO SOLO TRABAJOS EVENTUALES / TIENE DOS ENTIADDES REPORTADAS / 2 HERMANOS SIN HIJOS / </t>
  </si>
  <si>
    <t>dt 940</t>
  </si>
  <si>
    <t>contrapropouesta 400 soles</t>
  </si>
  <si>
    <t xml:space="preserve">se informa al tt que se aprobo la solicitud para liquidar sud euda por el valor de 400 soles </t>
  </si>
  <si>
    <t>validacion en la llamada</t>
  </si>
  <si>
    <t>06-05-2020 / 10:53:31</t>
  </si>
  <si>
    <t>llamda realizada desde el corpo.20</t>
  </si>
  <si>
    <t xml:space="preserve">tt coemnta 2ue dejo de pagar por dinero ya que no se le hacia flexible sin embargo pagara 220 ya que tendra un dinero de un trabajo que hace por el momento </t>
  </si>
  <si>
    <t>DT 9400</t>
  </si>
  <si>
    <t>DC 2200</t>
  </si>
  <si>
    <t xml:space="preserve">MEJORA DE PROPUESTA 1300 SOLES </t>
  </si>
  <si>
    <t>SUSTENTO POR QUE NO PAGO LO PACTADO :</t>
  </si>
  <si>
    <t>CONSIGUIO TRABAJO EN PROVINCIA , POR ESO NO LO PUDO PAGAR, HASTA EL 15 ESTARIA EN PROVINCIA Y EL DIA 18 DE FEBRERO ESTARIA EN LA CIUDAD PARA CANCELAR ,TRABAJA EN UN CAMPAMENTO EN CONSTRUCCION CIVIL ,PAGARA LA DEUDA CON EL DINERO DE SU TRAAJO EVENTUAL ,EDAD 53 AÑOS</t>
  </si>
  <si>
    <t>SERCH DEUDA EN PERDIA 3</t>
  </si>
  <si>
    <t>BANCO INTERNACIONAL DEL PERÚ</t>
  </si>
  <si>
    <t xml:space="preserve">DK - </t>
  </si>
  <si>
    <t xml:space="preserve">CONTRAPROPUESTA 1200 </t>
  </si>
  <si>
    <t>SE CONVERSA CON EL TT DE MEJORAR LA PROPUESTA , TT ACEPTA DE REALIZAR LA CANCELACION DE 1300 SOLES EL DIA 28 DE ENERO , EN INTERBANK ,TT COSEGUIRA EL DINERO PRESTANDONCE PARA RREALIZAR LA CANCELACION , EL PRETAMO FUE PARA UN NEGOCIO CON UN AMIGO Y FRACASO , EDAD 54 AÑOS,</t>
  </si>
  <si>
    <t>dt 949 campaña 390</t>
  </si>
  <si>
    <t>tt dice hara cancelacion hasta el dia 28-4</t>
  </si>
  <si>
    <t>DT 950 CAMPAÑA 500</t>
  </si>
  <si>
    <t>sustento INDICA QUE PODRI ABONAR CON QUINCENA QUE LE ABONARIAN , INDICA ESTE MES ABONARIA S/250 Y EN MAYO HARIA CANCELACION/DISCADOR</t>
  </si>
  <si>
    <t>SEARCH NO APLICA</t>
  </si>
  <si>
    <t>SE LE ENVIA SMS RECORDANDO QUE EL PAGO DEBE SER EL DIA DE MAÑANA</t>
  </si>
  <si>
    <t>DT 9500 DK 6000 CAMPAÑA 1158</t>
  </si>
  <si>
    <t>EXCEPCION APROBADA 800(JULIO)</t>
  </si>
  <si>
    <t xml:space="preserve">MENCIONA QUE LE LLEGO MSJ CON ESE MONTO , PERO ELLA TIENE A LA MANO 800 ANTERIOR OFRECIO 500 SOLES , </t>
  </si>
  <si>
    <t xml:space="preserve">MOTIVO DE PAGO: TIENE UNA PROPUESTA DE TRABAJO EN EL EXTRANJERO </t>
  </si>
  <si>
    <t xml:space="preserve">EDAD  EDAD 36 TRABAJO CREDISCOTIA (3500) DEUDAS 3 (DISCADOR) </t>
  </si>
  <si>
    <t>DT 955</t>
  </si>
  <si>
    <t>DK 5681</t>
  </si>
  <si>
    <t>CAMPAÑA 1250 / 3*500</t>
  </si>
  <si>
    <t>SEARCH  2 DEUDAS</t>
  </si>
  <si>
    <t>TT INDICA ABOARA 1 CUOTA MAÑANA POR LA TARDE// TT DUDOSO, SE INGRESA PPM</t>
  </si>
  <si>
    <t>PPM 3 * 500</t>
  </si>
  <si>
    <t>DT 980</t>
  </si>
  <si>
    <t>DK 669.69</t>
  </si>
  <si>
    <t>DC 490</t>
  </si>
  <si>
    <t>SE BRINDA INFORMACION SOBRE FIANNCIERAOH SU OTRA DEUDA</t>
  </si>
  <si>
    <t>DT 9900</t>
  </si>
  <si>
    <t>EXPERTIS 5720</t>
  </si>
  <si>
    <t>SE CONTACTA A TT SE INFORMA DEUDA //DICE QUE PARA ESTE FIN DE MES REGULARIZARA DEUDA DE CREDINKA //NO DEFINE FECHA DE PAGO //PERO SE RECALCA INFORMACION ANTERIOR //</t>
  </si>
  <si>
    <t>dt 996 campaña 796</t>
  </si>
  <si>
    <t>tt dice hara pago el dia 28-4</t>
  </si>
  <si>
    <t xml:space="preserve">dt s/ 8,743.00 - dk s/ 5,200  campaña s/3,000  </t>
  </si>
  <si>
    <t xml:space="preserve">tt vino a oficina converso con MariaAngela se da excepcion de 3000 soles paga hoy tiene apoyo de su hija y de su yerno, pide prestamos familiares </t>
  </si>
  <si>
    <t>search : 72 años error de informacion en search, , casado , pensionista s/482 de la onp ,  con 2 hijos, unica //  deuda, pero tampoco esta aparece reportada  /</t>
  </si>
  <si>
    <t>dt s/.10,500</t>
  </si>
  <si>
    <t>campaña s/.1,080</t>
  </si>
  <si>
    <t>se comunicò el Sr. Aldo Narro Velez, responsable de la deuda y solicita Carta de Cancelaciòn a su correo electrònico: aldonarro@gmail.com//tt menciona que a mas tardar mañana cancela la deuda//se hizo menciòn de la entre de la carta de no adeudo, plazo no mayor de 15 dias habiles.</t>
  </si>
  <si>
    <t>Asignaciòn imbound por Mariangela Pina</t>
  </si>
  <si>
    <t>DT S/.1047</t>
  </si>
  <si>
    <t>CAMPAÑA 1 S/.650</t>
  </si>
  <si>
    <t>CAMPAÑA 2 S/.500</t>
  </si>
  <si>
    <t>FECHA DE PAGO: 28/02/20</t>
  </si>
  <si>
    <t>TT MENCIONA QUE DEJÒ DE PAGAR DEBIDO A QUE SE ENCUENTRA EN CHOTA Y NO HAY UNA FINANCIERA OH//SE OFRECE CAMPAÑA Y TT HACE CONTRAPROPUESTA DE CANCELAR MONTO MENOR EN 2 PARTES DENTRO DEL MES//10/02 S/250 Y EL 28/02 S/.250</t>
  </si>
  <si>
    <t>33 AÑOS// TRABAJA EN REPRESENTACIONES Y SERVICIOS JCHL S.A.C.//DEUDA CON MIBANCO</t>
  </si>
  <si>
    <t>SE FUE LA FICHA</t>
  </si>
  <si>
    <t>DT S/.1050</t>
  </si>
  <si>
    <t>CAMPAÑA S/.350</t>
  </si>
  <si>
    <t>TT MENCIONA QUE VINO DE VIAJE EL VIERNES 31/01 A LAS 8PM Y EL SABADO ESTANADO EN MOQUEGUA QUISO REALIZAR EL PAGO PERO NO LE CONTESTABAN//SE MENCIONA QUE ESE DIA NO SE LABORA Y POR EXCEPCION SE ACTIVARÀ CAMPAÑA DE S/.350 SOLO POR HOY</t>
  </si>
  <si>
    <t>TT LO REALIZARÀ ANTES DEL MEDIODIA</t>
  </si>
  <si>
    <t>36 AÑOS//TRABAJA EN SERVICIOS MEDICOS MULTIPLES SERVIMEDCO SOCIEDAD COMERCIAL DE RESPONSABILIDAD LIMITADA//NO TIENE DEUDA CON OTROS BANCOS</t>
  </si>
  <si>
    <t>DT S/.1178</t>
  </si>
  <si>
    <t>CAMPAÑA S/.650/</t>
  </si>
  <si>
    <t>FECHA DE PAGO: 18/03/20</t>
  </si>
  <si>
    <t>TT MENCIONA QUE SE ACERCÒ A LA FINANCIERA OH Y LE BRINDARON NUEMERO DE EXPERTIS, SE MENCIONÒ QUE CAMPAÑA DURA HASTA EL 10/03//TT CONFIRMA QUE EL 18/03 LE PAGAN EN SU TRABAJA Y ESA FECHA PUEDE PAGAR, DE PODER HACERLO ANTES, YA QUE ESTA EN ESPERA DE UN DINERO ENVIARPA VOUCHER</t>
  </si>
  <si>
    <t>30 AÑOS//NO TRABAJA EN PLANILLA//DEUDA CON FALABELLA//NO FIGURA HIJOS</t>
  </si>
  <si>
    <t>dt s/.1187</t>
  </si>
  <si>
    <t>dk s/.345</t>
  </si>
  <si>
    <t>campaña s/.220</t>
  </si>
  <si>
    <t>mdi: tt menciona que estuvo mal de salud hace un año//se explica sobre deuda y campaña</t>
  </si>
  <si>
    <t>sdp: tt menciona que se va a prestar de su hijo para cancelar deuda, pero desea un documento que garantice que con la campaña cancela deuda//se menciona que se harà envìo de documento por whatsapp</t>
  </si>
  <si>
    <t>audio por discador</t>
  </si>
  <si>
    <t>DT S/.1400</t>
  </si>
  <si>
    <t>CAMPAÑA S/.100</t>
  </si>
  <si>
    <t>SE APROBÒ EXCEPCION Y TT CONFIRMA QUE REALIZARÀ EL PAGO A MAS TARDAR HASTA EL 17/02/20//SE ENVIA MSJ DE ACUERDO A LO CONVERSADO</t>
  </si>
  <si>
    <t>56 AÑOS//NO TRABAJA EN PLANILLA//DEUDA CON INTERBANK</t>
  </si>
  <si>
    <t>DT S/.1460</t>
  </si>
  <si>
    <t>DK S/.448</t>
  </si>
  <si>
    <t>CAMPAÑA S/.150</t>
  </si>
  <si>
    <t>FECHA DE PAGO:22/01/20</t>
  </si>
  <si>
    <t>TT MENCIONA QUE EN LA FINANCIERA LE ESTABAN HACIENDO EL COBRO DE UN SEGURO EL CUAL NUNCA ACEPTÒ//SE OFRECE CAMPAÑA Y TT ACEPTA</t>
  </si>
  <si>
    <t>43 AÑOS//DEUDA CON EDPYME GMG SERVICIOS PERU S.A.//CREDITO CON COMPARTAMOS FINANCIERA</t>
  </si>
  <si>
    <t>NO HUBO SEARCH EN LA LLAMADA//SE FUE LA FICHA</t>
  </si>
  <si>
    <t>DT S/.1519</t>
  </si>
  <si>
    <t>CAMPAÑA 1 S/.500</t>
  </si>
  <si>
    <t>CAMPAÑA 2 S/.204</t>
  </si>
  <si>
    <t>TT SE COMUNICA AL CORPORATIVO Y MENCIONA QUE LE LLEGÒ UN SMS CON EL IMPORTE A CANCELAR CON S/.204//SE MENCIONA CAMPAÑA DE 24 HRS//SE ENVIA POR WHATSAPP NUMERO DE CTA CTE DEL BANCO INTERBANK</t>
  </si>
  <si>
    <t>32 AÑOS//TRABAJA EN CONGREGACION HIJAS DE SAN CAMILO//NO TIENE DEUDA CON OTROS BANCOS</t>
  </si>
  <si>
    <t>DT S/.1635</t>
  </si>
  <si>
    <t>DK S/.787</t>
  </si>
  <si>
    <t>CAMPAÑA: S/.787</t>
  </si>
  <si>
    <t>FECHA DE PAGO: 20/02/20</t>
  </si>
  <si>
    <t>TT MENCIONA QUE DEJÒ DE PAGAR PORQUE SE QUEDÒ SIN TRABAJO, YA ESTA LABORANDO Y ACEPTA CAMPAÑA PARA CANCELAR, MENCIONA QUE DE SER POSIBLE LO HARÌA ANTES DE LA FECHA.</t>
  </si>
  <si>
    <t>41 AÑOS//NO TRABAJA EN PLANILLA//DEUDA CON EMPRESA FINANCIERA CREDITOS AREQUIPA S A - FINANCIERA CREAR</t>
  </si>
  <si>
    <t>SE FUE LA FICHA//AUDIO POR DISCADOR</t>
  </si>
  <si>
    <t>dt s/.1709</t>
  </si>
  <si>
    <t>campaña s/.134</t>
  </si>
  <si>
    <t>mdi: tt menciona que no le habia le habian pagado a su esposo y por eso no abonò//se menciona que se puede hacer una reprogramacion para evitar cobro de penalidad//tt menciona que a fin de mes le pagaran a su esposo, pero menciona que el mes pasado le llegò campaña de s/.134 a cancelar//se menciona que campaña no esta vigente//al ponerse renuente se menciona que se hbalarà con gerencia por excepcion de campaña si asegura cumplir el compromiso//tt accede a campaña para cancelar deuda</t>
  </si>
  <si>
    <t>sdp: esposo trabaja y recibe su sueldo a fin de mes</t>
  </si>
  <si>
    <t>observacion:</t>
  </si>
  <si>
    <t>se menciona que de incumplir se le sumarà el cobro de 2 penalidad del 10% sobre la deuda total y no tendrà otro beneficio igual a futuro</t>
  </si>
  <si>
    <t>DT S/.1725</t>
  </si>
  <si>
    <t>DK S/.678</t>
  </si>
  <si>
    <t>CAMPAÑA S/.180</t>
  </si>
  <si>
    <t>FECHA DE PAGO: 16/03/20</t>
  </si>
  <si>
    <t>TT MENCIONA QUE ANTES LE OFRECIERON A CANCELAR PERO DESCONFIABA DEBIDO A QUE NO LE DABAN REFERENCIA DE LA EMPRESA DE ODNEE SE COMUNICABAN//SE EXPLICA DEUDA//TT MENCIONA QUE TRABAJA EN MOVILIDAD ESCOLAR Y PIDE CANCELAR DEUDA EL 16/03//TT MENCIONA QUE SE APERSONARÀ ANTES DE CANCELAR//SE BRINDA NUMERO CORPORATIVO//SE COMUNICARÀ ANTES DE VENIR</t>
  </si>
  <si>
    <t>61 AÑOS//NO TRABAJA EN PLANILLA//VEHICULO PLACA:RG4397 MARCA:KIA COMPRA:1997//DEUDA CON 3 ENTIDADES</t>
  </si>
  <si>
    <t xml:space="preserve">dt s/.2,000 </t>
  </si>
  <si>
    <t xml:space="preserve">dk s/.900 </t>
  </si>
  <si>
    <t>campaña s/.200</t>
  </si>
  <si>
    <t>tt menciona que tuvo un reclamo en la financiera oh//se le explica la deuda y campaña//se da plazo maximo hasta el 28/02//se menciona que se activarà la campaña hasta la fecha acordada</t>
  </si>
  <si>
    <t>search : 32 años, no figura hijos , sin trabajo en planilla, deuda con una entidad</t>
  </si>
  <si>
    <t>DT S/.2084</t>
  </si>
  <si>
    <t>DK S/.310</t>
  </si>
  <si>
    <t>CAMPAÑA S/.250</t>
  </si>
  <si>
    <t>FECHA DE PAGO: 17/03/20</t>
  </si>
  <si>
    <t>TT MENCIONA QUE YA CANCELÒ LA DEUDA//SE EXPLICA DEUDA GENERADA CON INTERESES//SE VA LA SEÑAL//SE RECUPERA LLAMADA Y TT ACEPTA CAMPAÑA//SE MENCIONA COBRO DE PENALIDAD DE INCUMPLIR CON EL COMPROMISO//TT CONFIRMA QUE REALIZARÀ PAGO</t>
  </si>
  <si>
    <t>66 AÑOS//NO TRABAJA EN PLANILLA//NO HAY DEUDA REPORTADA</t>
  </si>
  <si>
    <t>AUDIO POR DISCADOR</t>
  </si>
  <si>
    <t>DT S/.2189</t>
  </si>
  <si>
    <t>DK S/.1287</t>
  </si>
  <si>
    <t>CAMPAÑA 1 S/.950</t>
  </si>
  <si>
    <t>CAMPAÑA 2 S/.800</t>
  </si>
  <si>
    <t>TT MENCIONA QUE ANTES LE OFRECIERON CANCELAR CON S/.300 Y CUANDO SE ACERCÒ A CANCELAR  A CAJA SULLANA NO LE ACEPTARON//SE MENCIONA QUE POR EXCEPCION SE ACTIVARÀ LA CAMPAÑA ANTERIOR DE S/.800 Y DE INCUMPLI PERDERÌA TODO BENEFICIO A FUTURO Y UNA PENALIDAD DEL 10% SOBRE LA DEUDA TOTAL MAS LOS INTERES//TT MENCIONA QUE SE PRESTARÀ DINERO PARA CANCELAR ANTES DE LA FECHA//ENVIARÀ VOUCHER POR WHATSAPP DE OTRO NUMERO Y TAMBIEN NUMERO DE UN FAMILIAR PARA ENVIAR LA CARTA DE NO ADEUDO</t>
  </si>
  <si>
    <t>35 AÑO//NO HAY MAS INFORMACION</t>
  </si>
  <si>
    <t>DT S/.2355</t>
  </si>
  <si>
    <t>DK S/.987</t>
  </si>
  <si>
    <t>CAMPAÑA: S/.500</t>
  </si>
  <si>
    <t>REFINANCIAMIENTO:</t>
  </si>
  <si>
    <t>2 CUOTAS S/.493.50</t>
  </si>
  <si>
    <t>3 CUOTAS S/.329</t>
  </si>
  <si>
    <t>TT MENCIONA QUE TIENE A SU ESPOSO ENFERMO Y POR ESO NO PUDO TERMINAR DE CANCELAR LA DEUDA//TT MENCIONA QUE EL 13/02 PAGARÀ S/.200 Y EL 20/20 S/.300 PARA TERMINAR DE PAGAR LA DEUDA</t>
  </si>
  <si>
    <t>57 AÑOS//TRABAJA EN UNIDAD EJECUTORA 300 - EDUCACION CHICLAYO//DEUDA CON 2 ENTIDADES</t>
  </si>
  <si>
    <t>dt s/.2357  CAMPÑA SMS 364 SMS WHATSAP (TAT SE COMUNICA)</t>
  </si>
  <si>
    <t xml:space="preserve">INDCA QUE HOY LE LLAMARON UN POCO DESATINADO POR QUE LE INDAGARON. </t>
  </si>
  <si>
    <t>NO SE USA SEARCH*</t>
  </si>
  <si>
    <t>HOY PAGARA / SE ENVIARA COMPROMISO DE PAGO*</t>
  </si>
  <si>
    <t>DT S/.268</t>
  </si>
  <si>
    <t>DK S/.165</t>
  </si>
  <si>
    <t>CAMPAÑA S/.268</t>
  </si>
  <si>
    <t>FECHA DE PAGO: 24/02/20</t>
  </si>
  <si>
    <t>TT MENCIONA QUE SE ACERCÒ A PROEMPRESA Y LE DIJERON QUE DEBE PAGAR LOS INTERESES//SE EXPLICA DEUDA//TT ACEPTA CANCELAR</t>
  </si>
  <si>
    <t>38 AÑOS//NO TRABAJA EN PLANILLA//SIN DEUDA//NO FIGURA HIJOS</t>
  </si>
  <si>
    <t>DT S/.2763</t>
  </si>
  <si>
    <t>TT MANIFIESTA QUE AYER 02/01 LE LLEGÒ UN SMS PARA CANCELAR EL IMPORTE DE S/.1034//SE MENCIONA QUE CAMPAÑA DURA 24HRS/TT PROPONE ABONAR CADA SEMANA HASTA TERMINAR DE CANCELAR DENTRO DEL MES//EL LUNES ABONARÀ S/.100 Y CADA SEMANA ENTRE S/.200 O MAS PARA QUE EL 30/01 YA TERMINE DE CANCELAR EL IMPORTE DE CAMPAÑA</t>
  </si>
  <si>
    <t>48 AÑOS//DEUDA CON UNA ENTIDAD//NO SE VERIFCA MAS INFORMACION</t>
  </si>
  <si>
    <t>DT S/.318</t>
  </si>
  <si>
    <t>DK S.164</t>
  </si>
  <si>
    <t>CAMPAÑA S/.164</t>
  </si>
  <si>
    <t>TT MENCIONA QUE ENTRE HOY O MAÑANA SE ACERCARÀ A CAJA SULLANA//SE MENCIONA QUE LA CAMPAÑA SE ACTIVARÀ//TT CONFIRMA REALIZAR LA CANCELACIÒN EL DIA DE MAÑANA POR LA TARDE//AUDIO POR DISCADOR</t>
  </si>
  <si>
    <t>30 AÑOS//TT TRABAJA//NO TIENE DEUDA CON OTROS BANCOS</t>
  </si>
  <si>
    <t>DT S/.3215</t>
  </si>
  <si>
    <t>CAMPAÑA S/.560</t>
  </si>
  <si>
    <t>FECHA DE PAGO: 25/03/20</t>
  </si>
  <si>
    <t>TT MENCIONA QUE ANTERIORMENTE LE HA LLEGADO SMS CON IMPORTES MENORES//SE EXPLICA SOBRE LAS CAMPAÑAS DE SMS(TIEMPOR DE DURACION 24 HRS)//TT MENCIONA QUE ESTA EN UN SITIO DONDE NO HAY BANCOS, SOLO HAY BANCO DE LA NACION, TIENE INTENCION DE PAGAR PERO DUDA DE DONDE LE LLAMAMOS, SE EXPLICA Y DICE QUE SÌ VA A PAGAR EL 25/03//SE MENCIONÒ COBRO DE PENALIDAD//SE ENVIA MSJ POR WHATSAPP</t>
  </si>
  <si>
    <t>37 AÑOS//NO HAY DEUDAS REPORTADAS//TRABAJA EN UNIDAD DE GESTION EDUCATIVA LOCAL DATEM DEL MARAÑON//NO FIGURA HIJOS</t>
  </si>
  <si>
    <t>DT S/.3485</t>
  </si>
  <si>
    <t>CAMPAÑA S/.895</t>
  </si>
  <si>
    <t>TT PROPUSO CANCELAR CON S/.500, S/.250 EL 20/01 Y S/.250 EL 30/01//SE MENCIONA QUE SE ACEPTA IMPORTE SOLO SI EL 20/01 REALIZA EL PAGO DE S/.250 DE NO HACERLO PIERDE LA EXCEPCIÒN Y LA CANCELACION DENTRO DEL MES SERIA DE S/.850//TT ACEPTA</t>
  </si>
  <si>
    <t>61 AÑOS//TT TRABAJA EN UNIDAD DE GESTION EDUCATIVA LOCAL JAEN//NO TIENE MAS DEUDAS</t>
  </si>
  <si>
    <t>dt s/.3500</t>
  </si>
  <si>
    <t>dk s/.1418</t>
  </si>
  <si>
    <t>Campaña S/.500</t>
  </si>
  <si>
    <t>tt menciona que ya pagò la deuda he hizo un reclamo en el momento y le indicaron que no procede//se explica deuda y tt solo reconoce s/.500 que dejò pendiente de pago//se menciona que se le condonarà los intereses//solicita acuerdo de cancelaciòn//se menciona penalidad y pago dònde debe realizarlo//se enviarà msj por whatsapp para que envìe su correo electrònico donde solicita el envìo del compromiso de pago</t>
  </si>
  <si>
    <t>40 años//deuda con BCP//no trabaja en planilla</t>
  </si>
  <si>
    <t>se fue la ficha//audio por discador</t>
  </si>
  <si>
    <t>DT S/.355</t>
  </si>
  <si>
    <t>TT MENCIONA QUE SE ENCUENTRA MAL DE SALUD Y POR ESO SE ATRASÒ//SE OFRECE CAMPAÑA Y ACEPTA, MENCIONA QUE DE CANCELAR ANTES ENVIARÀ VOUCHER</t>
  </si>
  <si>
    <t>64 AÑOS//NO TRABAJA EN PLANILLA//NO TIENE DEUDA CON OTRA ENTIDAD</t>
  </si>
  <si>
    <t>DT S/.375</t>
  </si>
  <si>
    <t>CAMPAÑA S/.120</t>
  </si>
  <si>
    <t>TT MENCIONA QUE PRESTAMO FUE PARA SU HNO Y NO SABIA QUE NO CANCELÒ//SE HACE PROPUESTA Y TT ACEPTA</t>
  </si>
  <si>
    <t>28 AÑOS//NO TIENE MAS DEUDAS//NO TRABAJA EN PLANILLA</t>
  </si>
  <si>
    <t>DK S/.229</t>
  </si>
  <si>
    <t>CAMPAÑA S/.200</t>
  </si>
  <si>
    <t>TT SE ATRASÒ PORQUE SU ESPOSO DEJÒ DE TRABAJAR Y ESTA MAL DE SALUD//TT TIENE INTENCION DE PAGÒ//SE SOLICITA VOUCHER DE PAGO POR LA SALUD DE SU ESPOSO//SI TITNE DINERO ANTES LO PAGARÀ</t>
  </si>
  <si>
    <t>55 AÑOS//NO TRABAJA EN PLANILLA//NO TIENE DEUDA EN OTRA ENTIDAD</t>
  </si>
  <si>
    <t>DT S/.3857</t>
  </si>
  <si>
    <t>DT S/.1300</t>
  </si>
  <si>
    <t>CAMPAÑA S/.930</t>
  </si>
  <si>
    <t>EXCEPCION S/.400</t>
  </si>
  <si>
    <t>se confirma  tt que excepcion ha sido aprobado y solo puede hacerlo antes de las 5pm//se advierte del incumpliento donde no habrà excepcion alguna a futuro y sin beneficio de pagar con importe menor campaña</t>
  </si>
  <si>
    <t>56 años//no trabaja en planilla//Deuda con CAJA MUNICIPAL DE AHORRO Y CREDITO PIURA</t>
  </si>
  <si>
    <t>DT S/.387</t>
  </si>
  <si>
    <t>DK S/.250</t>
  </si>
  <si>
    <t>TT MENCIONA QUE MAÑANA SE ACERCARÀ A PAGAR CON S/.250, SE MENCIONA QUE SE LE ACTIVARÀ COMO CAMPAÑA Y DE NO CUMPLIR SE LE COBRARÀ LA PENALIDAD DE S/.50</t>
  </si>
  <si>
    <t>69 AÑOS//NO TRABAJA EN PLANILLA//DEUDA CON 2 ENTIDADES</t>
  </si>
  <si>
    <t>dt s/.3969</t>
  </si>
  <si>
    <t>campaña con excepcion: s/.600</t>
  </si>
  <si>
    <t>mdi: tt menciona que hace 2 años tratò de llegar a conciliar deuda pero le pusieron muchas trabas y se cansò de seguir insistiendo</t>
  </si>
  <si>
    <t>sdp: tt menciona que antes le ofrecieron s/.600 para cancelar y sus posibilidades le permiten cancelar con ese importe</t>
  </si>
  <si>
    <t>observacion: excepcion fue aprobada// tt tiene desconfianza y se acercarà a la financiera oh y confirmar que deuda esta con Expertis//se enviarà por whatsapp nobre de la empresa y numero para que se comunique al acercarse a la financiera//se enviarà nº de cta de interbank para que realice el pago</t>
  </si>
  <si>
    <t>DT S/.416 Y DK S/.253</t>
  </si>
  <si>
    <t>CAMPAÑA DE CANCELACIÒN DE S/.187</t>
  </si>
  <si>
    <t>TT MENCIONA QUE ESTUVO EN JUICIO CON LA ONP Y POR ESO DEJÒ DE PAGAR//TT ACEPTA CANCELAR EL 23/12 POR LA TARDE Y ENVIARÀ COMPROBANTE DE PAGO</t>
  </si>
  <si>
    <t>39 AÑOS//DEUDA CON FINANCIERA UNO</t>
  </si>
  <si>
    <t>DT S/.450</t>
  </si>
  <si>
    <t>TT MENCIONA QUE NO PUDO PAGAR EL MES PASADO DEBIDO A QUE NO LE HAN PAGADO EN SU TRABAJO//CONFIRMA HACERLO ESTE MES EL 25/02//SE MENCIONA QUE POR EXCEPCION SE ACTIVARÀ LA CAMPAÑA</t>
  </si>
  <si>
    <t xml:space="preserve">50 AÑOS//CREDITO CON BANCO FINANCIERO DEL PERÚ//TRABAJA EN </t>
  </si>
  <si>
    <t>UNIVERSIDAD NACIONAL PEDRO RUIZ GALLO</t>
  </si>
  <si>
    <t>DT S/.480</t>
  </si>
  <si>
    <t>DK S/.150</t>
  </si>
  <si>
    <t>FECHA DE PAGO: 21/02/20</t>
  </si>
  <si>
    <t>TT MENCIONA QUE TUVO UN ACCIDENTE Y POR ESO DEJÒ DE PAGAR//TT SOLO RECONOCE LA CUOTA PENDIENTE//TT MENCIONA QUE POR SU INCAPACIDAD SU TRABAJO ES EVENTUAL//SE MENCIONA QUE EUDA CAPITAL DE ACTIVARÀ COMO CAMPAÑA//SE MENCIONA PENALIDAD DE S/.100 ADIOAL A LA DEUDA TOTAL</t>
  </si>
  <si>
    <t>35 AÑOS//TT NO TRABAJA EN PLANILLA//NO TIENE DEUDA CON OTRAS ENTIDADES</t>
  </si>
  <si>
    <t>DT S/.5000</t>
  </si>
  <si>
    <t>DK S/.2400</t>
  </si>
  <si>
    <t>MDI: TT MENCIONA QUE NO PAGÒ POR NO HABER MOVILIDAD</t>
  </si>
  <si>
    <t>SDP:TT CUENTA CON EL DINERO//MENCIONA QUE POR DONDE VIVE TIENE PARA SOSTENERSE EN COMPRA CON LOS GASTOS DE PRIMERA NECESIDAD SIN CONTAR EL PAGO DE INTERBANK</t>
  </si>
  <si>
    <t>OBSERVACION:</t>
  </si>
  <si>
    <t>SE HABLA CON TT PARA REPROGRAMAR PAGO Y NO PERDER BENEFICIO DE CAMPAÑA Y EVITAR COBRO DE PENALIDAD//TT TIENE INTENSION DE PAGAR SOLO QUE POR EL ESTADO DE EMERGENCIA NO HAY MOVILIDAD POR DONDE VIVE//NO SE MENCIONÒ MONTO DEBIDO A QUE HABIA PROBLEMAS CON LA COMPUTADORA Y SE COPIÒ INFORMACION DE MONTO DE ASESOR ANTERIOR</t>
  </si>
  <si>
    <t>DT S/.6205.90</t>
  </si>
  <si>
    <t>CAMPAÑA: S/.3200</t>
  </si>
  <si>
    <t>FECHA DE PAGO: 15/01</t>
  </si>
  <si>
    <t>se ofrece a tt campaña de cancelaciòn y menciona que solo puede amortizar, por el momento no puede refinanciar con el monto de S/.670 por 6 meses ya que tiene deuda con otro banco y cuando termine de cancelar puede llegar a un refinanciamiento o cancelaciòn de la deuda</t>
  </si>
  <si>
    <t>38 AÑOS//TRABAJA//EDPYME MARCIMEX S A</t>
  </si>
  <si>
    <t>DT S/.680</t>
  </si>
  <si>
    <t>CAMPAÑA S/.680</t>
  </si>
  <si>
    <t>TT MENCIONA QUE NO RECUERDA DEUDA//SE MENCIONA MONTOS Y CLIENTE MENCIONA QUE SE ENCUENTRA EN HUARAZ//SE MENCIONA QUE PUEDE PAGAR EN EL BCP//SE BRINDA NUMERO DE CTA Y COBRO DE PENALIDAD DE INCUMPLIR EL COMPROMISO</t>
  </si>
  <si>
    <t>27 AÑOS//CREDITO CON INTERBANK Y BANCO DE LA NACION//NO TIENE DEUDA CON OTRAS ENTIDADES//NO FIGURA HIJOS</t>
  </si>
  <si>
    <t>DT S/.687</t>
  </si>
  <si>
    <t>DK S/.320</t>
  </si>
  <si>
    <t>CAMPAÑA S/.320</t>
  </si>
  <si>
    <t>FECHA DE PAGO 20/02</t>
  </si>
  <si>
    <t>TT MENCIONA QUE HACE TIEMPO TUVO UN CRONOGRAMA DE PAGO Y AL NO ESTAR LA OFICNA DEJÒ DE PAGAR//SE MENCIONA TIEMPO DE CAMPAÑA(SOLO 24 HRS)//SE MENCIONA INCUMPLIMIENTO DE PAGO S/.120, MAS DEUDA TOTAL CON INTERESES//SE MENCIONÒ TIEMPO DE ENTREGA DE LA CARTA DE NO ADEUDO(15 DIA HABILES)</t>
  </si>
  <si>
    <t>38 AÑOS//TRABAJA EN SOCIEDAD SUIZO PERUANA DE EMBUTIDOS S.A. ? SUPEMSA//ACTIVO EN ESSALUD//CREDITO CON 3 ENTIDADES</t>
  </si>
  <si>
    <t>ASIGNADO POR IMBOUND/ MAYRA LLIMPE</t>
  </si>
  <si>
    <t>DT S/.7155</t>
  </si>
  <si>
    <t>DK S/.3626</t>
  </si>
  <si>
    <t>CAMPAÑA 1 S/.2538</t>
  </si>
  <si>
    <t>CAMPAÑA 2 S/.1200</t>
  </si>
  <si>
    <t>FECHA DE PAGO: 29/02/20</t>
  </si>
  <si>
    <t>TT SE COMUNICA AL CORPORTIVO DEBIDO A LA LLAMADA REALIZADA AYER POR LA ASIGNACION DE INBOUND//TT DESEA CANCELAR DEUDA Y MANIFIESTA QUE LE LLEGO UN SMS PERO NO CUENTA CON EL IMPORTE DEBIDO A QUE TAMBIEN CUENTA CON DEUDA EM PROEMPRESA Y PROPONE CANCELAR CON S/.2000 LAS DOS CUENTAS//SE HIZO CONSULTA CON JULIO HIGA Y SE APROBÒ EXCEPCION DE S/.2400 CON LAS DOS DEUDAS PARA CANCELAR, S/.1200 HASTA EL 29/02/20//TT ACEPTA Y SE ENVIARÀ COMPROMISO DE PAGO A SU CORREO NORELYS_2@HOTMAIL.COM</t>
  </si>
  <si>
    <t>50 AÑOS//DEUDA CON ANTIGUEDAD DE 11 AÑOS//NO TRABAJA EN PLANILLA//DEUDA CON COOPERATIVA DE AHORRO Y CREDITO EL TUMI</t>
  </si>
  <si>
    <t>TT SE COMUNICA AL CORPORTIVO DEBIDO A LA LLAMADA REALIZADA AYER POR LA ASIGNACION DE INBOUND//TT DESEA CANCELAR DEUDA Y MANIFIESTA QUE LE LLEGO UN SMS PERO NO CUENTA CON EL IMPORTE DEBIDO A QUE TAMBIEN CUENTA CON DEUDA EN PROEMPRESA Y PROPONE CANCELAR CON S/.2000 LAS DOS CUENTAS//SE HIZO CONSULTA CON JULIO HIGA Y SE APROBÒ EXCEPCION DE S/.2400 CON LAS DOS DEUDAS PARA CANCELAR, S/.1200 HASTA EL 29/02/20//TT ACEPTA Y SE ENVIARÀ COMPROMISO DE PAGO A SU CORREO NORELYS_2@HOTMAIL.COM</t>
  </si>
  <si>
    <t>DT S/.780</t>
  </si>
  <si>
    <t>DK S/.350</t>
  </si>
  <si>
    <t>TT MENCIONA QUE ANTES LE FUERON A COBRAR A SU DOMICILIO EL ANALISTA Y LE TRATÒ MAL EL CUAL LE COBRARON LOS INTERESES Y NO ACEPTÒ PAGAR//SE MENCIONA QUE DK ENTRARÀ COMO CAMPAÑA PARA SUBASANAR LA DEUDA//TT MENCIONA QUE A FIN DE MES PUEDE PAGAR</t>
  </si>
  <si>
    <t>23 AÑOS//NO TRABAJA EN PLANILLA//NO TIENE OTRAS DEUDAS</t>
  </si>
  <si>
    <t>DT S/.850</t>
  </si>
  <si>
    <t>DK S/.585</t>
  </si>
  <si>
    <t>CAMPAÑA S/.585</t>
  </si>
  <si>
    <t>TT MENCIONA QUE DEUDA QUE DEJÒ FUE DE 2 CUOTAS MENOR DE S/.400//SE MENCIONA QUE NO ES LA INGORMACION QUE TENEMOS Y SE HACE PROPUESTA DE PAGO</t>
  </si>
  <si>
    <t>36 AÑOS//DEUDA CON 2 ENTIDADES//NO TRABAJA EN PLANILLA</t>
  </si>
  <si>
    <t>DT S/.860</t>
  </si>
  <si>
    <t>CAMPAÑA S/.450</t>
  </si>
  <si>
    <t>SE HABLA CON TT POR PROPUESTA DE CAMPAÑA/TT DICE QUE HABLÒ CON EL PADRE PARA CANCELAR Y ACEPTA HACERLO A FIN DE MES//SE MENCIONA QUE CAMPAÑA SOLO DURA UNA SEMANA Y QUE SE ACTUVARÀ HASTA EL 30/01 DE REALIZAR UN ABONO MIN. DE S/.100 Y LO RESTANTE LO PODRÌA PAGAR EL 30/01//TT ACEPTA Y MENCIONA QUE EL LUNES ABONARÀ S/.100</t>
  </si>
  <si>
    <t>38 AÑOS//TRABAJA//NO TIENE DEUDA EN OTROS BANCOS</t>
  </si>
  <si>
    <t>DT S/.955</t>
  </si>
  <si>
    <t>CAMPAÑA S/.300</t>
  </si>
  <si>
    <t>SE VUELVE A EXPLICA A TT DOBRE DT Y CAMPAÑA//TT MENCIONA QUE SE ACERCARÀ ALA OFICINA DE CREDINKA, SE MENCIONA LA PENALIDAD DEL 10% SOBRE LA DEUDA TOTAL//SE ENVIARÀ SMS DE ACUERDO A LO CONVERSADO</t>
  </si>
  <si>
    <t>40 AÑOS//NO FIGURA HIJOS//SIN DEUDAS//NO TRABAJA EN PLANILLA</t>
  </si>
  <si>
    <t>DT S/10,000</t>
  </si>
  <si>
    <t>DK S/6,000</t>
  </si>
  <si>
    <t xml:space="preserve">MDI :SOBREENDEUDADA </t>
  </si>
  <si>
    <t>CAMPAÑA : S/1,496 ( LO RECIBIO POR CORREO) CONTRA PROPUESTA APROBADO POR S/1,200</t>
  </si>
  <si>
    <t>STP : VENTA DE COSAS , ELLA SE HA COMUNICADO POR QUE QUIERE SOLUCIONAR , VIAJARA A LIMA EL DIA LUNES 16/03 RECOGER DINERO DE LA VENTA DE SUS COSAS, PAGA TBM LUN 16/03 A INTERBANK</t>
  </si>
  <si>
    <t>OBSERVACIÓN : PPC  17/03 - S/1,2000 POR EXCEPCION // TT ATENDIO  VIA WHATSAPP , SOLICITA ACUERDO DE PAGO Y CNA AL CORREO : anaplasencia24@hotmail.com // no ingresa llamadas al cel , solo via whatsapp .</t>
  </si>
  <si>
    <t>DT S/387</t>
  </si>
  <si>
    <t>TT MENCIONA QUE LE QUIEREN COBRAR MUCHO Y PENSÒ QUE YA HABIA CANCELADO LA DEUDA//NO BRINDA MONTO QUE LE OFRECIERON//ACEPTA CAMPAÑA//SE HACE MENCIONA DEL COBRO DE PENALIDAD DE S/.120 DE INCUMPLIR COMPROMISO</t>
  </si>
  <si>
    <t>27 AÑOS//NO TRABAJA EN PLANILLA//NO TIENE DEUDA CON MAS ENTIDADES</t>
  </si>
  <si>
    <t>dt. 1000</t>
  </si>
  <si>
    <t>cam. 150</t>
  </si>
  <si>
    <t xml:space="preserve">se le  indico  a tt  cancelar  con  s/. 150 pagara 12/05 en el banco  de la  nacion. </t>
  </si>
  <si>
    <t>search edad 36</t>
  </si>
  <si>
    <t>trabajo no registra  ni  hijos</t>
  </si>
  <si>
    <t>deuda 367.42 con crediscotia</t>
  </si>
  <si>
    <t>DT. 1150  CAMP. 570</t>
  </si>
  <si>
    <t>tt cancelara la deuda  con s/. 570 el  28/02 cuando  le generan el  pago  de su sueldo.</t>
  </si>
  <si>
    <t>search.  EDAD 25,  HIJOS  no  registra, TRABAJO  no  registra,  DEUDA debe 1 banco de s/. 2480</t>
  </si>
  <si>
    <t>dt. 1200</t>
  </si>
  <si>
    <t>cam. 650</t>
  </si>
  <si>
    <t>tt indica  que  realizara la cancelacion  de la  deuda  con  el importe de s/. 650 el dia 05/03</t>
  </si>
  <si>
    <t>search edad 45</t>
  </si>
  <si>
    <t>trabajo / hijos  no  registra</t>
  </si>
  <si>
    <t xml:space="preserve">deuda 1238.01 con un  banco mas </t>
  </si>
  <si>
    <t>DT. 1541</t>
  </si>
  <si>
    <t>CAM. 210</t>
  </si>
  <si>
    <t>TT  REALIZARA  LA  CANCELACION  CON  S/. 210 EL DIA 28/02 YA QUE PRESTARA PARA PAGAR. SEARCH NO  REGISTRA DEUDA  CON OTROS  BANCOS,NO REGISTRA  HIJOS  NI  TRABAJO ACTIVO</t>
  </si>
  <si>
    <t>dt. 1590</t>
  </si>
  <si>
    <t>cam 400</t>
  </si>
  <si>
    <t>tt  realizarala  cancelacion  de la deuda  con  el importe de  s/. 400 el dia 29/02, eviar  cuenta de  bcp y de alternativa</t>
  </si>
  <si>
    <t>DT. 1600</t>
  </si>
  <si>
    <t>CAM 490</t>
  </si>
  <si>
    <t>TT  INDICA QUE NO PUDO PAGAR  POR  QUE  EL VENDIO SU  TERRENO PERO  LA PERSONA  QUE  TIENE  QUE SER  LA  TRANSACCION  ESTA EN PUNO Y NO PUEDE  VIAJAR,  SOLICITA  PODER  CANCELAR  EL  30/04 A  MAS  TARDAR  CON S/. 490, YA QUE  NO  SABE  COMO  ESTARA LA SITUACION  EN  CUANTO  SE  LE  LEVANTE  LA  CUARENTENA</t>
  </si>
  <si>
    <t>TT REALIZARA  LA  CANCELACION  DE LA DEUDA  CON  EDL IMPORTE  DE S/. 490 EL 30/03</t>
  </si>
  <si>
    <t>SEARCH EDAD 52 NO  REGISTRA TRABAJO  NI HIJOS</t>
  </si>
  <si>
    <t>DEUDA 50510.57</t>
  </si>
  <si>
    <t>(AUDIO DISCADOR)</t>
  </si>
  <si>
    <t>DT. 2100</t>
  </si>
  <si>
    <t>DK 991</t>
  </si>
  <si>
    <t>CAM. 300</t>
  </si>
  <si>
    <t>TT REALIZARA  LA  CANCELACION CON  EL IMPORTE DE 300 EL 28/03 SI PUEDE ANTES  REPORTARA.</t>
  </si>
  <si>
    <t>SEARCH EDAD 29</t>
  </si>
  <si>
    <t>NO  REPORTA TRABAJO  NI  HIJOS</t>
  </si>
  <si>
    <t>DEUDA  NO  REPORTA</t>
  </si>
  <si>
    <t>DT. 2200</t>
  </si>
  <si>
    <t>CAM 800</t>
  </si>
  <si>
    <t xml:space="preserve"> tt  realizara la  cancelacion  de  la deuda  el 06/03 con s/. 800.</t>
  </si>
  <si>
    <t>search edad 47</t>
  </si>
  <si>
    <t>no registra trabajo ni  hijos  ni otra deuda</t>
  </si>
  <si>
    <t>DT. 2800</t>
  </si>
  <si>
    <t>CAM. 850</t>
  </si>
  <si>
    <t>TT  INDICA QUE PUEDE  CANCELAR  LA  DEUDA CON  S/. 850 EL DIA  17/03. (AUDIO DISCADOR)</t>
  </si>
  <si>
    <t>SEARCH EDAD 35</t>
  </si>
  <si>
    <t>TRABAJO  CESADO// NO REPORTA  HIJOS</t>
  </si>
  <si>
    <t xml:space="preserve">DEUDA 0 </t>
  </si>
  <si>
    <t>DT. 3060</t>
  </si>
  <si>
    <t>DK. 1706</t>
  </si>
  <si>
    <t>EXCP. 1000</t>
  </si>
  <si>
    <t>TT REALIZARA LA CANCELACION CON EXCEPCION APROBADO CON  S/.  1000  EL 28/02. NO  SE  PUDO  GRABAR LLAMADA PERO SE ADJUNTA CAPTURA QUE SE REALIZO LLAMADA IGUAL SE LE ENVIA MENSAJE A TT .</t>
  </si>
  <si>
    <t>SEARCH. EDAD 45, NO  REGISTRA TRABAJO NI  HIJOS, DEUDA 7540 CON 3 BANCOS</t>
  </si>
  <si>
    <t>dt. 3100</t>
  </si>
  <si>
    <t>cam. 1600</t>
  </si>
  <si>
    <t>tt realizara  la  cancelacion  de  la deuda con  el importe de  s/. 1600 el dia 29/02 en  la  mañana.</t>
  </si>
  <si>
    <t>search edad 47, no trabaja  ni  tiene  hijos, tampoco  registra deudas</t>
  </si>
  <si>
    <t>DT. 3200</t>
  </si>
  <si>
    <t>CAM. 1000</t>
  </si>
  <si>
    <t>TT  INDICO QUE  NO  HABIA  PODIDO PAGAR  POR EL TEMA D SALUD DE  SU  HIJA PERO  QUE  CANCELARA  LA  DEUDA  CON  EL IMPORTE  DE S/. 1000 EL DIA 28/03. ENVIAR  INFORMACION  AL WHATSAPP 985228344 (AUDIO DISCADOR)</t>
  </si>
  <si>
    <t>SEARCH 35</t>
  </si>
  <si>
    <t>TRABAJO NO  REPORTA</t>
  </si>
  <si>
    <t>HIJOS 1 (TT  CONFIRMA)</t>
  </si>
  <si>
    <t xml:space="preserve">DEUDA 11188.48 CON DOS  BANCOS MAS.  </t>
  </si>
  <si>
    <t>dt. 4000.00</t>
  </si>
  <si>
    <t>dk: 1941.00</t>
  </si>
  <si>
    <t xml:space="preserve">se aprueba exepcion para cancelar el importe de s/400.00 , adelantara el importe de s/50 el dia 13/01 y saldo restante el dia 31/01 se envia forma de pago , dinero lo saca de 3ero </t>
  </si>
  <si>
    <t>DT.1527</t>
  </si>
  <si>
    <t>dk:564</t>
  </si>
  <si>
    <t>camapaña:226</t>
  </si>
  <si>
    <t>fecha de pago:28-04.20</t>
  </si>
  <si>
    <t>motivo de no pago: salud gasto todo su dinero.</t>
  </si>
  <si>
    <t>despues que pasa esta cuarentena realizara su pago.</t>
  </si>
  <si>
    <t>trabajo indpendiente y ahorrara para esa fecha.</t>
  </si>
  <si>
    <t>DT.193</t>
  </si>
  <si>
    <t>dk:181</t>
  </si>
  <si>
    <t>camapaña:140</t>
  </si>
  <si>
    <t>tt, indica que realizara pago en 2 partes el 13-04-20 70 soles y la diferencia el 28-04-20</t>
  </si>
  <si>
    <t>motivo de no pago: economicos.</t>
  </si>
  <si>
    <t>devido a la cuarentena no podra realizar su pago antes.</t>
  </si>
  <si>
    <t>soliciat que se le envie mensaje de whatsapp al numero 938330810.</t>
  </si>
  <si>
    <t>DT.2500</t>
  </si>
  <si>
    <t>CAM CON EXCEP 500</t>
  </si>
  <si>
    <t>TT REALIZARA LA  CANCELACION EL DIA 06/03/20 CON  S/. 500 EXCEPCION APROBADO.</t>
  </si>
  <si>
    <t>SEARCH EDAD 50</t>
  </si>
  <si>
    <t>TRABAJO MUNICIPALIDAD PROVINCIAL DE ANDAHUAYLAS SUELDO 1000</t>
  </si>
  <si>
    <t>NO  REPORTA  HIJOS, DEUDA NO  REPORTA</t>
  </si>
  <si>
    <t>DT.3500 CAMP. 920</t>
  </si>
  <si>
    <t>TT INDICA QUE  DEJO  DE  PAGAR  POR TEMA DE INCREMENTO  DE INTERESES, SE LE  OFRECE CANCELAR  CON  S/. 920 28/02.</t>
  </si>
  <si>
    <t>SEARCH. EDAD 30  TRABAJO ACTIVO Y SUELDO  VARIABLE NO  REGISTRA HIJOS NO REGISTRA DEUDA.</t>
  </si>
  <si>
    <t>Dt.8366 DK. 6028, campaña 1206</t>
  </si>
  <si>
    <t>CONTRAPROPUESTA:  620</t>
  </si>
  <si>
    <t xml:space="preserve"> Motivo de no pago :Accidente, negocio a la quiebra,indica que puede cancelar con 300 soles, por que tiene ahorrado ese dinero, realizo gasto en utiles escolare esta cargo de su mama que tiene 65 años, paga alquiler.y no el alcanza.</t>
  </si>
  <si>
    <t xml:space="preserve">MDP:Quiere cancelar para poder adquirir nuevos creditos </t>
  </si>
  <si>
    <t xml:space="preserve">DT/ 3200 DESCUENTO POR MENSAJE 350 SOLES PARA CANCELACION DE DEUDA TT ESTARIA REALIZANDO EL PAGO POR EL INTERBANK EL DIA DE HOY 1 DEUDA POR EL MONTO 1637.84 SOLES EDAD 69 AÑOS CALLI INBOUND SE GENERO NUMERO DE CUENTA POR LA LLAMADA DE FIJO SE SUBE AUDIO DE CONFIRMACIOND E PAGO  </t>
  </si>
  <si>
    <t xml:space="preserve">DT/ 802.75  MINI2 385 INDICA QUE ESTARIA  ABONANDO EL DIA 20 LA CANCELACION DE LA DEUDA  POR 385 SOLES </t>
  </si>
  <si>
    <t xml:space="preserve">DT/1000 MI2/350 TT INDICA QUE ESTARIA CANCELANDO EL DIA SABADO LOS 350 SOLES POR CAJA SULLANA POR LA MAÑANA A LAS 11 DE LA MAÑANA </t>
  </si>
  <si>
    <t>DT/1100 MIN1/580 TT INDICA QUE EL DIA DE MAÑANA ESTARIA HACIENDO SU ABONO DE LOS 580 PARA QUE PUEDA CANCELAR SU DEUDA POR LA MAÑANA LO HARA CON ALTERNATIVA</t>
  </si>
  <si>
    <t>DT/1100 MIN2/160 TT INDICA QUE ELLA JAMAS TUBO ATARASOS QUE FUE POR SEGUROS QUE ELLA JAMAS SOLICITO POR ESO DEJO DE PAGAR SU DEUDA INDICA QUE SI LE  INTERESA LA PROMOCION PERO QUIERE QUE SE LE ENVIE DOCUMENTO EL CUAL SERCIORE LO INDICADO CANCELARIA EL DIA 15 A MAS TARDAR INDICA QUE PUEDE QUE SEA ANTES NOS OTROGA NUMERO DE CELULAR 916464188 EL CUAL SE REGISTRARA EN EL SISTEMA SE LE INDICA PENALIDAD Y MENSAJE POR WHASAP CONTACTO POR NUMERO FIJO 85113366927</t>
  </si>
  <si>
    <t xml:space="preserve">DT/1100 MIN2/494  TT INDICA QUE ESTUVO MAL DE SALUD POR ESO N O PUDO PAGAR POR QUE YA LE HABIAN VENIDO N OTIFICACIONES // SACARA EL DINERO DE UN PRESTO //EDAD 45 AÑOS //DEUDA FINANCIERA PROEMPRESA S A 560.63 // NO ESTA TRABAJANDO PAGARA EL DIA 17/02/2020 </t>
  </si>
  <si>
    <t>DT/1200 MIN2/250 TT INDICA QUE TUBO PROBLEMAS ECONOMICOS // SI TRABAJA INDICA QUE CON ESO PAGARA SU DEUDA // EDAD 26 AÑOS // DEUDA FINANCIERA EFECTIVA MONTO 1282.37 SOLES //</t>
  </si>
  <si>
    <t xml:space="preserve">DT/1200 MN2/400 TT INDICA QUE ESTA ENFERMA DEL ESTOMAGO Y ESTA EN TRATAMIENTO EN LIMA// SACARIA EL DINERO DE LO QUE CUIDA UNOS NIÑOS Y CON ESO PAGARIA//EDAD 36 AÑOS// MOTIVO DE PAGO ES POR QUE ES POCA LA CANTIDAD DE LA DEUDA POR ESO QUIERE CANCELAR // INDICA ABONARA EL 16/03 200 SOLES Y CANCELARA EL 31/03// DEUDA  COMPARTAMOS FINANCIERA </t>
  </si>
  <si>
    <t>EDPYME MARCIMEX VTA CARTERA A ELECTROTIENDAS DEL PERÚ MONTO 685.68</t>
  </si>
  <si>
    <t xml:space="preserve">DT/12800 MIN2/5000  TT INDICA QUE HARA EL ABONO DE LOS 5000 SOLES POR LA CUENTA DE BCP TRABAJA EN CONSTRUCCION INDICA Y QUE TIENE EL DINERO PARA CANCELAR SE LE ENVIARA POR MENSAJE TODOS LOS DATOS </t>
  </si>
  <si>
    <t xml:space="preserve">DT/1300 MIN2/120 TT INDICA QUE DEJO DE PAGAR POR QUE TUBO UN ACCIDENTE QUE NO PUEDE CAMBIAR // CONSEGUIRIA EL DINERO DE UN FAMILIAR PARA CANCELAR // EDAD 30 AÑOS // DEUDA EN SISTEMA FINANCIERO </t>
  </si>
  <si>
    <t>BCO AZTECA DEL PERU DEUDA 1620.48 SOLES // LLAMAR EL DIA DE MAÑANA PARA UNA RESPUESTA/ FECHA DE PAGO EL DIA VIERNES 15 DE MAYO POR EL BCP</t>
  </si>
  <si>
    <t xml:space="preserve">dt/1300 min2/230 tt indica que no pudo pagar anteriormente por problemas e indica que quiere la promocion para cancelar el dia 29 de mayo por bcp/dinero lo conseguira prestandoce para cancelar la deuda </t>
  </si>
  <si>
    <t>DT/1300 MIN2/600 TT INDICA QUE NO PUDO PAGAR PERO QUE IN FALTA ESTARIA ABONANDO EL DIA VIERNES 17/01/2020 NO SE LLENA DATOS DEL SEARCH POR QUE ESTA LENTO PERO SE REGISTRARA EN LA TASITA 975769234</t>
  </si>
  <si>
    <t xml:space="preserve">DT/1400 MI2/200 TT INDICA QUE NO LE HABIAN INFORMADO DE LA DEUDA POR LO CUAL SE LE DA LA PROMOCION DA NUMEROI DE CELULAR  940942682 YA QUE INDICA SE LE CORTARA LA LLAMADA POR TELEFONO INALAMBRICO INDICA QUE SI SE LE ENVIA EL MENSAJE HOY MISMO PAGA LA DEUDA POR EL BCP </t>
  </si>
  <si>
    <t xml:space="preserve">DT/1560 MIN2/650 TT INDICA QUE LE SACO EL PRESTAMO A SU TIO Y NO PAGO Y BUENO SABIA QUE NO HABIA PASAGO COGE LA PROMOCION  MAÑANA ABONARIA LOS 100 SOLES 976686603 EDAD 28 AÑOS NO TIENE DEUDA CON FINANCIERAS SEGUN SEARCH ABONARA EL DIA DE MAÑANA 100 SOLES Y E DIA 29 LOS 550 SOLES PARA LA CANCELACION </t>
  </si>
  <si>
    <t xml:space="preserve">DT/1600 MIN2/872 TT INDICA QUE ESTUBO PAGANDO AL DIA LE SUBIERON LOS INTERESES Y POR EL FENOME DE NIÑO LOS MANDO A LA QUIEBRA Y SE ESTA RECUPERANDO TRABAJA DE AGRICULTURA ESTA ESPERANDO LA COSECHA POR ELLO INDICA QUE PAGARA A FIN DE MES // EDAD 43 AÑOS // NO APARECE DEUDA EN EL SISTEMA FINANCIERO </t>
  </si>
  <si>
    <t>DT/1800 MIN2/900 TT INDICA QUE LO MANDARON POR DIFERENTES LUGARES Y POR ESO NO PAGO// INDICA QUE POR SU TRABAJO NO A PODIDO EFECTUAR EL PAGO QUE LE INTERESA LA PROMOCION// TRABAJO GRUPO CORPORATIVO F &amp; S S.A.C.1935 // EDAD 31 AÑOS// DEUDA DE 6530 PERO APARECE COMO NORMAL // SE ENVIARA EL ACUERDO POR WHASAP PARA QUE MANDE A UNA PERSONA A CANCELAR SU DEUDA DE LOS 900 SOLES EL DIA DE MAÑANA 13/02/20</t>
  </si>
  <si>
    <t>DT/1850 MIN2/370 TT INDICA QUE SE LE PERDIO LAS TARJETAS Y NO SE PERCATO DE LA DEUDA // QUIERE PAGAR POR UN TEMA DE ESTAR LIMPIO EN EL SISTEMA // CANCELARA EL DIA 16 DE MARZO O ANTES //EDAD 44 AÑOS // TRABAJO MUNICIPALIDAD PROVINCIAL DE ANTA SUELDO 5200//DEUDA EN 2 ENTIDADES MONTO  11016.06 //</t>
  </si>
  <si>
    <t xml:space="preserve">DT/1900 MIN2/370 TT INDICO QUE NO PUDO PAGAR POR QUE EN SU TRABAJO NO LE HAN ESTADO PAGANDO QUE HASTA EL MOMENTO ESTA VIENDO ESE TEMA , INDICA QUE SI SE LE RESPETA LA PROMOCION DE LOS 370 SOLES EL DIA 11 DE MAYO ESTARIA EFECTUANDO EL PAGO POR EL INTERBANK INDICA QUE PAGARA   HASTA LA 1 DE LA TARDE Y NOS ENVIARA EL COMPROBANTE DE PAGO POR EL WHASAP </t>
  </si>
  <si>
    <t xml:space="preserve">DT/1900 MIN2/900 TT INDICA QUE A ESTADO DE VIAJE POR ESO NO A PODIDO EFECTUAR EL PAGO DE LA PROMOCION, NOS INDICA QUE EL HABIA PAGADO YA LA DEUDA PERO NO ENCUENTRA SU BAUCHER POR ELLO VA ASUMIR ESTA PROMOCION QUE EL 30 LLEGA DE VIAJE Y QUE EL 31 SE ACERCARA A CREDINKA A PAGAR EDAD 30 AÑOS NO TIENE DEUDA EN EL SISTEMA FINACIERO SEARCH // SE ME FUE EL DISCADOR </t>
  </si>
  <si>
    <t xml:space="preserve">DT/1950 MIN2/300 TT INDICA QUE ESTUBO MAL Y POR ESO NO PUDO PAGAR TIENE UNA HIJA DE 6 MESES EDAD 42 AÑOS 2 DEUDAS QUE SUMA UN TOTAL 1461.95 CANCELARA 300 SOLES EL DIA 25 /01/2020 </t>
  </si>
  <si>
    <t xml:space="preserve">DT/1950 MIN2/800 TT INDICA QUE EL DIA 25 O 26 ESTARIAN PAGANDO LE SU SUELDO PO RLO CUAL PAGARA EL DIA 28/02/2020  POR PROEMPRESA // TRABAJO FUERZA AEREA DEL PERU SUELDO 489// EDAD 42//BANCO AZTECA DEL PERU S A MONTO 870.46 // </t>
  </si>
  <si>
    <t>DT/2,093.87 MIN2/400 TT INDICA QUE NO SABIA DE SU DEUDA Y  QUE CANCELARIA EL DIA 30 LOS 400 SOLES POR MISMO INTERBANK</t>
  </si>
  <si>
    <t xml:space="preserve">DT/200 MIN2/110 se comunico AL TELEFONO CORPORATIVO 19 la señora Belia Larico Bonifacio 77460960 esposa del TT de la deuda indica que estaria cancelando el dia viernes 31 por la tarde los 110 soles de la promocion, INDICO QUE ELLOS YA HABIAN CANCELADO LA DEUDA POR EL BCP DESDE AQUI UN POCO INCOMODA PERO AL FINAL INDICO PAGARIA LIMPIA EN EL SEARCH DE DEUDAS EL TT EDAD 28 AÑOS </t>
  </si>
  <si>
    <t xml:space="preserve">DT/2000 MIN/850  TT INDICA  QUE SACO ESTE PRESTAMO PARA UNA PERSONA Y SE FUE DE VIAJE, SU MAMA FALLECIO, SE SEPARO DE SU ESPOSO // EDAD 50 AÑOS // COOPAC KORI MONTO DE LA DEUDA  1242.02  SE ACERCARA A LAS OFICINAS ANTES DE CANCELAR SE LE ENVIARA MENSAJE POR WHASAP </t>
  </si>
  <si>
    <t>DT/210 MIN2/200 INDICA QUE ESTA DE VIAJE Y QUE MAÑANA A LAS 3 DE LA GTARDE ESTARIA EFECTUANDO SU PAGO POR MI BANCO SE LE VOLVERA LA LLAMADA 969335991</t>
  </si>
  <si>
    <t xml:space="preserve">DT/2100 MIN2/200 TT INDICA QUE SU ESPOSO TUBO UN ACCIDENTE SE ROMPIO EL BRAZO POR ESO SE PERJUDICO 2 DEUDA ENTIDAD FINACIERA 960200021 64 AÑOS INDICA CANCELAR LA DEUDA CON LOSM 200 SOLES EL DIA 30 DE ENERO </t>
  </si>
  <si>
    <t xml:space="preserve">DT/2100 MIN2/220 TT INDICA QUE NO PUDO PAGAR POR SITUACION ECONOMICA // INDICA QUE NO PAGO POR QUE SE LE PASO CON EL COMPROMISO QUE QUEDO INDICA QUE LO HARA EL DIA DE HOY POR APLICATIVO BCP Y NOS ENVIARA COMPROBANTE // CLEINTE ASIGNADO POR TACITA </t>
  </si>
  <si>
    <t xml:space="preserve">DT/2200 MIN2/350 TT INDICA QUE LE ROBARON EL CELULAR POR LO CUAL NO TUBO METODO DE COMUNICACION PERO QUE EL PUEDE PAGAR EL DIA DE HOY 04/02/2020 POR CUENTA DEL BCP LE REPROGRAMA SU ABONO </t>
  </si>
  <si>
    <t xml:space="preserve">DT/2200 MIN2/350 TT INDICA QUE TUBO PROBLEMAS CON LA FINANCIERA QUE NO LE PERMITIO PAGAR  Y HACI FUE PASANDO LOS MESES Y YA NO ABONO PERO QUIERE HACER LA CANCELACION  DE LA DEUDA A FIN DE MES 31 POR LA TARDE SE LE ENVIARA DETALLE POR MENSAJE </t>
  </si>
  <si>
    <t xml:space="preserve">DT/2200 MIN2/650 TT DEJO DE PAGAR FINANCIERA OH POR MOTIVO DE QUE TUBO UN ACCIDENTE Y ESTUBO ASI POR 2 AÑOS, TIENE 4 HIJOS, EDAD 38 AÑOS  Y SE COMUNICO NUJEVAMENTE CON NOSOTROS POR LLAMADA DE WHASAP POR LO CUAL SE ESTA ADJUNTANDO LOS PANTALLASOS DE LA NEGOCIACION </t>
  </si>
  <si>
    <t xml:space="preserve">DT/224.51 MIN2/1.30 TT INDICA QUE RECIEN SE ESTA ENTERANDO DE LA DEUDA POR QUE PARA ELLA YA ESTABA CANCELADA PERO EL DIA DE MAÑANA 11 ESTARIA CANCELANDO LA DEUDA POR MISMO PROEMPRESA </t>
  </si>
  <si>
    <t xml:space="preserve">DT/2300 MINI2/1100 TT INDICA QUE NO PAGO POR QUE LE DIJO A LA SEÑORA QUE TENIA QUE PAGAR 1300 Y LA SEÑORITA LE DIJO QUE NO PODIA CANCELAR CON UN MINIMO DE 1800 INDICA QUE VINO A LAS OFICINAS CANCELARA LA DEUDA CON 1100 </t>
  </si>
  <si>
    <t xml:space="preserve">DT/2400 MIN2/760 TT INDICA QUE POR MOTIVO DE LA OPERACION DE SU HIJA PERO QUE LE INTEREZA LOA PROMOCION DE LOS 760 SOLES PARA LA CANCELACION IRA ANTES DEL MEDIO DIA POR POR PLAZA VEA </t>
  </si>
  <si>
    <t xml:space="preserve">DT/2500 MIN1/1100  TT INDICA QUE NO PUDO PAGAR POR UN TEMA ECONOMICO Y POR AMENAZA POR EL ANALISTA  INDICA QUE AHORA SI QUIERE HACER SU ABONO INDICA QUE NOS COMUNIQUEMOS EL DIA 29/01/2020 PARA DARLE TODOS LOS DETALLES  EDAD 67 AÑOS SIGUE LABORANDO NO TIENE DEUDAS ENTIDADES FINANCIERAS </t>
  </si>
  <si>
    <t xml:space="preserve">DT/260 MIN2/200 TT INDICA QUE PENSO QUE YA LO HABIA PAGADO QUE SE DESCUIDO DE SU PAGO // SI TRABAJA ALS PERU S.A. 1345 // EDAD 42 AÑOS // DEUDA CON BANCO INTERNACIONAL POR MONTO 1242 SOLES // PRIMER CONTACTO CANCELARA EL DIA 29/02/20 AL MEDIO DIA </t>
  </si>
  <si>
    <t xml:space="preserve">DT/2600 PROMOCION 1176 LLAMADA POR CORPORATIVO  INDICA QUE ELLA CUENTA CON LA CANTIDAD DE LA PROMOCION ANTERIOR DE LOS 670 SOLES Y SI SE PUEDE AREGLAR VENDRIA A LIMA PARA HACER SU CANCELACION PERO MAS NO CUENTA.. NO TIENE DEUDA EN EL SISTEMA FINANCIERO NO TIENE DEUDA EN ENTIDADES FINANCIERAS EDAD 33 SUELDO 1365 </t>
  </si>
  <si>
    <t xml:space="preserve">dt/268 tt indica que no pudo pagar por que tubo problemas y estubo por la selva // indica que quiere cancelar con 200 soles el dia 29 se acepto la cancelacion por el bcp se le mandara mensaje al wghasap numero de cuenta y se le indica penalidad </t>
  </si>
  <si>
    <t xml:space="preserve">DT/2700 MIN/600 TT INDICA QUE NO PUDO PAGAR POR QUE LE INDICARON CUENTA DEL CONTINENTAL LA CUAL NO HAY EN SU ZONA SE LE DA PROMOCION DE 600 SOLES INDICA QUE PAGARA CON SU TRABAJO Y QUE NOS ABONARA EL DIA 11 DE MAYO POR EL BANCO DE LA NACION SE LE INDICA LA PENALIDAD Y EL MENSAJE POR WHASAP </t>
  </si>
  <si>
    <t xml:space="preserve">DT/2700 MINI2/1300 TT INDICA QUE ESTABA COMPLICADA POR MOTIVO DE SALUD POR ESO NO PAGO PERO TIENE INTERES DE PAGO YA ESTA TRABAJANDO POR ESO YA PUEDE PAGAR // EDAD 25 AÑOS // NO TIENE DEUDA EN EL SISTEMA FINACIERO PAGARA EN DOS PARTES 14/02 LA MITAD 650 Y LA OTRA MITAD EL DIA 28/02 LOS OTROS 650 SOLES </t>
  </si>
  <si>
    <t xml:space="preserve">DT/2755  MIN1/1390  INDICA QUE NO PUDO PAGAR POR QUE EL SEÑOR QUE TENIA QUE PAGARLE NO LLEGO DE VIAJE POR ELLO RECIEN ESTA LLEGANDO HOY Y EL MIERCOLES LE ESTARA PAGANDO Y EL DIA JUEVES 06/02 ESTARIA ABONANDO EL DINERO EDAD 43 AÑOS // 1 DEUDA EN 1 ENTIDAD FINANCIERA MONTO18987.46 </t>
  </si>
  <si>
    <t>DT/280 MIN2/180 TT INDICA QUE NO PUDO PAGAR POR QUE ESTA SIN TRABAJO PERO SE LE INDICO LA PROMOCION DE LOS 180 SOLES PARA CANCELAR Y RECIBIR SU CARTA DE NO ADEUDO  INDICO QUE SE ACOGERIA YA QUE CUENTA CON EL DINERO DE LA AFP Y QUE ESTARIA ABONANDO EL 11 DE MAYO POR BCP TRANSFERENCIA INDICA QUE SE LE ENVIE POR WHASAP Y SE LE HACE MENSION DE LA PENALIDAD 958992373</t>
  </si>
  <si>
    <t xml:space="preserve">DT/2800 PROMOCION POR MENSAJE DE TEXTO 1386 TT INDICA QUE NO PUDO PAGAR POR QUE SE QUEDO SIN TRABAJO Y RECIEN A CONSEGUIDO TRABAJO POR ESO ES QUE QUIERE PAGAR  EDAD 43 DEUDA EN 1 ENTIDAD FINANCIERA MONTO DE DEUDA DE 18987.46 SOLES </t>
  </si>
  <si>
    <t xml:space="preserve">dt/300 min2/102 tt indica que no esta trabajando indica que se puede conseguir el dinero el dia 28/05 por que recibio su bono del estado y con eso pagaria // indica que dejo de trabajar por eso no pudo terminar de pagar pero indica que el si quiere hacer la cancelacion de la deuda se le indica la penalidad y el mensaje por whasap </t>
  </si>
  <si>
    <t xml:space="preserve">dt/300 min2/61 tt indica que no a podido pagar por motivos de salud justo ahora esta saliendo de la clinica se le convencio de poder pagar la deuda de 61 soles paraq el dia 25 de mayo por el banco bcp se le indico la penalidad y el mensaje por whasap </t>
  </si>
  <si>
    <t xml:space="preserve">DT/3100 MIN1/1950 TT INDICA QUE SE RETRAZO DE PAGO POR TEMA DE SALUD INDICA QUE A EL LE INTERESA LA PROMOCION QUE EL DINERO LO SACARIA DE SU TRABAJO A FIN DE MES Y QUE PAGARA POR MISMO MMIBANCO // SE LE INDICA LA PENALIDAD// EL MENSAJE POR WHASAP </t>
  </si>
  <si>
    <t xml:space="preserve">DT/3300 MIN2/1600 TT INDICA QUE DEJO DE PAGAR POR ENFERMEDAD Y SU HIJA TAMBIEN LUEGO SALIO EN GESTACION Y SU BEBE NACIO 7 MESINO POR ELLO YA DEJO DE PAGAR // SACARA EL DINERO DE LO QUE TRABAJA CORPORACION REFRIGERADOS INY SA SUELDO 424// EDAD 33 AÑOS //DEUDA EN EL SISTEMA COMPARTAMOS FINANCIERA MONTO DE 1470 SOLES // INDICA QUE CANCELARA EL DIA 29/02/20 ESTARA ACERCANDOSE A LAS 10:30 DE LA MAÑANA </t>
  </si>
  <si>
    <t xml:space="preserve">DT/3400 MIN1/ 800 TT INDICA QUE HABIA TENIDO PROBLEMAS PERO HOY A LAS 2 DE LA TARDE ESTARIA EFETUANDO EL PAGO POR MISMO QAPAQ  CON EL MONTO DE LOS 800 SOLES 66 AÑOS TIENE DOS DEUDAS CON EL MONTO DE 3994.59 </t>
  </si>
  <si>
    <t>dt/3710 min1/596 tt indica que no pudo pagar por motivos que tenia otras deudas indica que ahora tiene un trabajo estable y que tiene la posibilidad de pagar// no pago en la fecha indicada por que no tenia el numero de cuenta a la mano, nos indica que el dinero se lo abono a su esposa pero el dia 21 le estan pagando y por lo cual abonara por el bcp nos indica que se le envie por mensaje</t>
  </si>
  <si>
    <t xml:space="preserve">DT/3800 MIN2/2300 TT INDICA QUE POR FALTA DE TIEMPO NO A PODIDO HACER LA CANCELACION POR QUE ESTUBO DE VIAJE Y QUE HARA LA CANCELACION DE LA DEUDA, NO TIENE DEUDAS EN EL SISTEMA TIENE 40 AÑOS </t>
  </si>
  <si>
    <t xml:space="preserve">DT/3800 PROMOCION POR MENSAJE 1751 EDAD 23 TT SE COMUNICO CON NOSOTROS POR TELEFONO CORPORATIVO 19 PARA HACER SU CANCELACION EL DIA VIERNES 31/01/2020 POR MISMO CREDINKA NO  916846251 NO TIENE DEUDA ENTIDAD FINANCIERA SE VERIFICA EN SEARCH </t>
  </si>
  <si>
    <t xml:space="preserve">DT/38500 MIN2/5500 TT INDICA QUE NO PUDO PAGAR POR MOTIVO DE SALUD YA QUE LE QUITARON UN RIÑON NO ESTA LABORANDO EN ESTOS MOMENTOS TIENE DEUDA CON 4 ENTIDADES EDAD 60 AÑOS INDICA QUE CANCELARA CON LOS 5500 PERO QUE NO PUEDE CONSEGUIR PARA HACER ABONO DE 200 SOLES QUE PAGARA EL 29 DE ENERO INDICA QUE SE ESTARA COMUNICANDO LLAMO AL TELEFONO CORPORATIVO Y PIDIO HABLAR CONMIGO EL DINERO NO INDICA DE DONDE LO SACARA POR QUE ES UN TEMA PERSONAL PERO QUE ELLA SE LO CONSEGUIRA </t>
  </si>
  <si>
    <t>DT/390 MIN2/320 MIN1/280 INDICA QUE NO PUDO PAGAR POR QUE EL TRABAJ LEJOS PERO QUE ENVIARA EL DINERO POR RADIO PARA QUE SU HERMANA LO PAGUE EL 28 MAYO 280 POR MISMO MI BANCO</t>
  </si>
  <si>
    <t xml:space="preserve">DT/3900 MIN1/ 450 TT CANCELA LA DEUDA DE 450 POR EL BCP SE LE ENVIO WHASAP POR  CON LA INFORMACION DE LA CANCELACION NO SE LE GENERA AUDIO .. INBOUND EDAD 52 AÑOS NO TIENE DEUDA EN EL SISTEMA , NO TENIA DINERO POR ESO SE HABIA RETRASADO Y AHORA QUIERE CANCELAR SE CORRIGE LA TIPIFICACION ANTERIOR POR QUE SE GENERO MAL </t>
  </si>
  <si>
    <t xml:space="preserve">DT/4300 MIN2/1400 TT INDICA QUE NO PUDO PAGAR POR QUE ESTUVO DE  VIAJE POR ESO NO PUDO PAGAR PERO QUE AHORA ESTA VIAJANDO A TRUJILLO Y ESTARIA ACERCANDOSE A PAGAR LOS 1400 SOLES EL SABADO 08/02/2020 // TIENE DOS DEUDAS EN EL SEARCH CON MONTO DE 1865.43 // EDAD 55 AÑOS </t>
  </si>
  <si>
    <t xml:space="preserve">DT/450 MIN2/200 TT INDICA QUE EL FUE A LA ENTIDAD FINANCIERA Y QUE LE DIJERON QUE TENIA QUE IR CON EL DINERO A LA MANO SE LE INDICA LA PROMOCION  Y QUE EL DIA SABADO QUE LE PAGAN CANCELARA LA DEUDA A MAS TARDAR EL DIA LUNES 17 // EDAD 39 AÑOS //TRABAJA EN  IDEA PROYECTOS E INVERSIONES DE NEGOCIOS E.I.R.L //DEUDA EN FINANCIERA PROEMPRESA S A 211.55 // HABLA MUY RAPIDO </t>
  </si>
  <si>
    <t xml:space="preserve">DT/450 MIN2/215 TT INDICA QUE NO PAGO POR EL MOTIVO QUE NO ESTUBO AQUI Y QUE SOLO LE FALTA UN ABONO CANCELARA SU DEUDA CON 215 SOLES PARA EL DIA JUEVES 06/02 POR MISMO CREDINKA  // EDAD 24 AÑOS // NO TIENE DEUDA EN EL SISTEMA FINANCIERO </t>
  </si>
  <si>
    <t xml:space="preserve">DT/4700  MIN2/650 TT INDICA QUE DEJO DE PAGAR POR MOTIVOS PERSONALES, PERO INDICA QUE QUIERE LA PROMOCION PARA CANCELAR A FIN DE MES O UN DIA ANTES INDICA QUE TIENE TRABAJO PUNTUALES Y CON ESO HARIA EL ABONO SE REALIZARIA POR EL INTERBANK // EDAD 48 AÑOS // TRABAJO NOS APARECE ESPLEY GROUP S.A.C. MONTO 954 // DEUDA CASTIGADA EN DOS ENTIDADES MONTO  2,863.98? </t>
  </si>
  <si>
    <t xml:space="preserve">DT/4800 MIN2/800 TT INDICA QUE POR PROBLEMAS FAMILIARES TIENE 3 HIJOS TIENE DEUDA CON CENCOSUR </t>
  </si>
  <si>
    <t xml:space="preserve">DT/5800 MIN2/900 TT INDICA LE ROBARON Y ESTAFA POR ESO SE RETRASO Y DEJO DE PAGAR PERO AHORA LE PARECE MUY BIEN LA PROMOCION Y QUIERE PAGAR EL DIA 29 DE MAYO POR BCP O INTERBAK ME CONFIRMARA INDICA QUE NO TIENE PROBLEMA PERO QUE IRA HACIENDO PAGOS INTERCALADO SE LE ENVIARA EL MENSAJE POR WHASAP </t>
  </si>
  <si>
    <t xml:space="preserve">dt/600 min1/80   tt indica que dejo de pagar por motivos de dejar de trabajar por que salio embarazada y actualmente tiene 4 hijos y depende de su esposo indica que cancelara el 21 mayo con los 80 soles// dinero se lo otorgara su esposo se le menciona penalidad </t>
  </si>
  <si>
    <t xml:space="preserve">DT/650  MIN1/470  TT INDICA QUE ESTARIA EFECTUANDO EL PAGO EL DIA 14/02 INDICA QUE PUEDE SER ANTES DE LA FECHA INDICADA SEARCH ESTA FALLANDO </t>
  </si>
  <si>
    <t xml:space="preserve">DT/710 MIN1/440  TT INDICA QUE POR VIAJO Y ESTUBO PAGANDO PERO AL LLEGAR DE VIAJE SE DIO CON LA SORPRESA QUE NO ESTABAN PAGANDO POR LO CUAL INDICA QUE ESTARIA EFECTUANDO EL PAGO A FINES DE MES 30 SOLES YA QUE POR OTROS METIVOS QUE SE QUEDO SIN TRABAJO NO PUDO CANCELAR </t>
  </si>
  <si>
    <t xml:space="preserve">DT/750 MIN2/60 TT INDICA QUE NO LE PAGARON POR LO CUAL NO PAGO POR QUE NO SE COMUNICARON CON ELLA NUEVAMENTE, INDICA QUE SI QUIERE PAGAR SE LE INDICA LA PROMOCION DE 60 SOLES Y QUE LO REALIZARA EL DIA VIERNES 8 DE MAYO POR EL BCP O FINANCIERA OH ANTES NO PUEDE HACERLO POR QUE TIENE QUE ESPERAR EL ABONO DE SU TRABAJO QUE SE DEMORA UN POCO POR ESO NOS DA ESA FECHA </t>
  </si>
  <si>
    <t>DT/780 MIN2/150  TT INDICA QUE NO PUDO PAGAR POR UN PROBLEMA GRABE Y POR ELLO NO PAGO SU ESPOSO SE FUE LLEVANDOSE LA RADIO PERO QUE ELLA QUIERE CANCELAR Y LO HARA EL DIA 14 DE ESTE MES // EDAD 35 AÑOS // DEUDA DE 1852.06 MIBANCO //</t>
  </si>
  <si>
    <t xml:space="preserve">DT/795 MIN2/690 TT INDICA QUE NO PUDO REALIZAR EL PAGO POR MOTIVOS QUE LO MANDARON A LA MONTAÑA Y RECIEN ESTA BAJANDO A LA CIUDAD ESTA LABORANDO Y VA HACER LA CANCELACION DE LA DEUDA CON LA PROMOCION </t>
  </si>
  <si>
    <t xml:space="preserve">DT/800 MIN2/310 TT TUBO PROBLEMAS CON LA FAMILIA Y SU ESPOSA SE ENFERMO Y CERRO EL TALLER // CONSEGUIRIA EL DINERO DE SU TRABAJO QUE REGRESO DE MECANICA //EDAD 42 AÑOS // DEUDA SOLO CON PROEMPRESA // ESTARIA CANCELANDO EL DIA 21/02/20 </t>
  </si>
  <si>
    <t xml:space="preserve">DT/810 MIN2/150 TT INDICA QUE DEJO DE PAGAR QUE ESTUBO DE VIAJE Y NO SE DIO CUENTA DEL MONTO QUE QUEDO POR ESO SE ESTA COMUNICANDO CON NOSOTROS TIENE 3 DEUDAS ESTARIA EFECTUANDO SU PAGO E DIA DE HOY 13/01/2020 NOS ENVIARA EL COMPROBANTE AL WHASAP YA QUE LO ESTARIA HACIENDO POR APLICATIVO DEL BCP </t>
  </si>
  <si>
    <t xml:space="preserve">DT/850 MIN2/165 TT INDICA QUE TUBO PROBLEMAS PERSONALES INDICA QUE EL MES PASADO NO PUDO PAGAR POR TEMAS PERSONALES TAMBIEN PERO SIN EMBARGO NOS INDICA QUE ESTE VIERNES 6 ESTARIA EFECTUANDO EL ABONO DE LA CANCELACION//EDAD 48 AÑOS //SEGURO SOCIAL DE SALUD SUELDO 2471 //DEUDA ENTIDAD FINANCIERA  SCOTIABANK 17847.81 SOLES </t>
  </si>
  <si>
    <t xml:space="preserve">DT/850 MIN2/165 TT INDICA QUE TUBO PROBLEMAS PERSONALES INDICA QUE EL MES PASADO NO PUDO PAGAR POR TEMAS PERSONALES TAMBIEN PERO SIN EMBARGO NOS INDICA QUE ESTE VIERNES 6 ESTARIA EFECTUANDO EL ABONO DE LA CANCELACION//EDAD 48 AÑOS //SEGURO SOCIAL DE SALUD SUELDO 2471 //DEUDA ENTIDAD FINANCIERA  SCOTIABANK 17847.81 SOLES // HUBO UN ERROR EN LA TIPIFICACION SE GUARDO CON FECHA ERRONEA </t>
  </si>
  <si>
    <t xml:space="preserve">dt/8980 min2/1520 tt no quiere decir motivos por que no a pagado indica que abonara a fin de mes se le repite reiterativamente tiene deudas en el banco por mas de 157204 deuda con 5 entidades 48 años indica que cogera la promocion de los 1520 para la cancelacion a fin de mes/ / se me fue la ficha </t>
  </si>
  <si>
    <t>dt/900 min2/335 tt indica que estaria efectuando el pago de la cancelacion con los 335 soles el dia 29</t>
  </si>
  <si>
    <t xml:space="preserve">/05 indica que cancelara por mismo credinka nos indica que ira a mismo credinka para asegurar toda la informacion y cancelacion </t>
  </si>
  <si>
    <t xml:space="preserve">DT/900 MIN2/390 NOS COMUNICAMOS CON TT INDICANDO POR QUE NO PAGO Y NOS INDICA QUE SIN FALTA MAÑANA A LAS 4 DE LA TARDE CANCELARA LA DEUDA DE LOS 390 SOLES // NO SE LE PUDO DAR MAS INFORMACION POR QUE ESTABA MANEJANDO </t>
  </si>
  <si>
    <t>DT/953 MIN1/340 TT INDICA QUE TUBO PROBLEMAS JUDICIALES POR ESO ES QUE NO PUDO PAGAR // QUIERE PAGAR POR QUE QUIERE LIMPIARCE DEL SISTEMA FINANCIERO // PAGARA CON SU PAGO DE SUS VACACIONES QUE SERA ANTES DE  15 //EDAD 50 AÑOS //TRABAJO MUNICIPALIDAD PROVINCIAL DE CAMANA SUELDO 1731 SOLES //DEUDA NO FIGURA EN EL SEARCH //</t>
  </si>
  <si>
    <t xml:space="preserve">DT/960 MIN2/500 TT INDICA QUE PARA EL DIA DE MAÑANA 03/03/2020 EL MONTO DE 500 SOLES// MOTIVO DE PAGO POR QUE NECESITA DE SUS DOCUMENTOS DE CREDINKA // NO PUDO PAGAR POR MOTIVOS DE UNA ENFERMEDAD DE SU PAREJA Y GASTOS CON SUS HIJOS // EDAD 40 AÑOS// DEUDA EN UNA ENTIDAD CMAC TRUJILLO MONTO 5885.12 </t>
  </si>
  <si>
    <t>DT:  1400     PROMOCION:  200</t>
  </si>
  <si>
    <t>TT DICE QUE POR UN PROBLEMA ECONOMICO NO PUDO CANCELAR ESTARIA RECIBIENDO UN DINERO EL DIA 15/01 SE LE DIO LA OPCION DEL PAGO POR CAMPAÑA : 200 PAGARIA $100 EL 17/1 Y -$100 EL 31/1</t>
  </si>
  <si>
    <t>SEARCH:  EDAD : 50    DEUDAS : BANCO CENCOSUD S.A. - BANCO FALABELLA PERÚ S A - FINANCIERA PROEMPRESA S A   TRABAJO:  CONSORCIO DHMONT &amp; CG &amp; M SOCIEDAD ANONIMA CERRADA</t>
  </si>
  <si>
    <t>DT:  1600</t>
  </si>
  <si>
    <t>FECHA DE PAGO: 17-01</t>
  </si>
  <si>
    <t>MOTIVO DE NO PAGO: NO VIVIA ANTES EN PUCALPA.</t>
  </si>
  <si>
    <t>EL PRESTAMO LO USO PARA: GASTOS PERSONAL</t>
  </si>
  <si>
    <t>EDAD DE TT: 30 AÑOS - 932833466</t>
  </si>
  <si>
    <t>DT:  1800</t>
  </si>
  <si>
    <t>CAMPAÑA: 650 [solo por el mes de enero de lo contrario cobrar DT]</t>
  </si>
  <si>
    <t>FECHA DE PAGO:  30-01</t>
  </si>
  <si>
    <t>MOTIVO DE NO PAGO:  no contaba con dinero paragara</t>
  </si>
  <si>
    <t>EDAD DE TT: 32</t>
  </si>
  <si>
    <t>el dinero lo pagara mediante el negocio de zapateria</t>
  </si>
  <si>
    <t>DT:  2,166   CAMPANA 1,462</t>
  </si>
  <si>
    <t xml:space="preserve">SR. Mercedes se comunica para cancelar la deuda de su esposo 1462 soles ella ven de cafe molido y con ese dinero pagara su capital. </t>
  </si>
  <si>
    <t>DT:  6800</t>
  </si>
  <si>
    <t>CAMPAÑA: 1300</t>
  </si>
  <si>
    <t>FECHA DE PAGO: 22/01</t>
  </si>
  <si>
    <t>MOTIVO DE NO PAGO: SRA VIOLETA ANAY (ESPOSA) DICE QUE TT ANTERIORMENTE IBA A CANCELAR PERO NO LE ACEPTARON EL DINERO POR QUE NO LLEVO EL DNI Y SE ACUENTRA MAL DE SALUD SE LE DIO LA OPCION DE CANCELAR CON CAMPAÑA DE 1300 HASTA EL 22/01</t>
  </si>
  <si>
    <t xml:space="preserve">HIJOS: </t>
  </si>
  <si>
    <t>EDAD DE TT: 39</t>
  </si>
  <si>
    <t>RUBRO:</t>
  </si>
  <si>
    <t xml:space="preserve">DT: 1,100.00- DK 550.00 PROMOCION DK// Cliente cancelarà hoy por la </t>
  </si>
  <si>
    <t>tarde</t>
  </si>
  <si>
    <t>DT: 1,116        DK: 329</t>
  </si>
  <si>
    <t xml:space="preserve">PPC: 180 </t>
  </si>
  <si>
    <t>PAGARA EL DIA DE HOY</t>
  </si>
  <si>
    <t>STP: DINERO EN MANO</t>
  </si>
  <si>
    <t>HIJO SOLICITA COMPROMISO DE PAGO AL CORREO:</t>
  </si>
  <si>
    <t>jpaulach@gmail.com</t>
  </si>
  <si>
    <t>DT: 1,200           DK: 600  CAMPAÑA: 400.00</t>
  </si>
  <si>
    <t>SUTENTO DE PAGO: SUELDO</t>
  </si>
  <si>
    <t>IMP: DISTANCIA EL TRABAJA EN LA MINA*</t>
  </si>
  <si>
    <t>INDICA QUE EL DIA 10 / ESTARA BAJANDO A COBRAR SUSUELDO YA QUE ACABA LA CUARENTENA Y EL DIA 16 BA PAGAR POR QUE ESTARA EN LA CUIDAD</t>
  </si>
  <si>
    <t>dt: 1,375  dk: 564</t>
  </si>
  <si>
    <t xml:space="preserve">sr. david silva encargado primo, </t>
  </si>
  <si>
    <t xml:space="preserve">stp: dinero en mano / mas atrde o mañana cancela la deuda. </t>
  </si>
  <si>
    <t>no se usa search</t>
  </si>
  <si>
    <t xml:space="preserve">DT: 1,789 </t>
  </si>
  <si>
    <t xml:space="preserve">INDICA QUE LE LLEGO SMS POR 869 PARA CANCELAR - </t>
  </si>
  <si>
    <t>1PM -  ENVIAR ACUERDO DE PAGO</t>
  </si>
  <si>
    <t xml:space="preserve">DT: 1,900 SOLES </t>
  </si>
  <si>
    <t xml:space="preserve">CAMPAA : 250 SOLES </t>
  </si>
  <si>
    <t xml:space="preserve">INDICA QUE YA HABIA QUEDADO , SE LE INDICA BENEFICIOS Y CONSECUENCIAS .... </t>
  </si>
  <si>
    <t>SUSTENTO : DINERO SACARA DE SU TRABAJO .</t>
  </si>
  <si>
    <t xml:space="preserve">SEARCH : </t>
  </si>
  <si>
    <t>ENTIDADES : 3</t>
  </si>
  <si>
    <t xml:space="preserve">EDAD: 37 AÑOS </t>
  </si>
  <si>
    <t>TRABAJA EN : DON FELIX ENTERTAINMENT SERVICES E.I.R.L.</t>
  </si>
  <si>
    <t>SUELDO: 1,800 SOLES</t>
  </si>
  <si>
    <t xml:space="preserve">REALIZARA PAGO 31/01. </t>
  </si>
  <si>
    <t>DT: 1000 CAMPAÑA: 370 FECHA DE PAGO: 21/02</t>
  </si>
  <si>
    <t>TT DICE QUE NO PUDO CANCELAR PARA QUE PUEDAN CANCELAR, SE LE DIO LA OPCION ES QUE PUEDAN CANCELAR CON LA CAMPAÑA.//  SEARCH:</t>
  </si>
  <si>
    <t>EDAD DE TT:  54 AÑOS</t>
  </si>
  <si>
    <t>DEUDAS:  SOLO CON FIRNANCIERA</t>
  </si>
  <si>
    <t>SUELDO: no registra</t>
  </si>
  <si>
    <t>dt: 1000 campaña: 480</t>
  </si>
  <si>
    <t>tt dice que se quedo sin trabajo y que por ello ya no pudo cancelar, tt desea salir de la deuda y estaria cancelando el dia de mañana con el saldo capital.</t>
  </si>
  <si>
    <t>EDAD DE TT:  30 AÑOS</t>
  </si>
  <si>
    <t>DEUDAS:  tiene entidades (calf. 5) con monto 2170 soles</t>
  </si>
  <si>
    <t>(inbound por mayra)</t>
  </si>
  <si>
    <t>DT: 1000 DK: 444 CAMPAÑA: 400 TT INDICA QUE SE ATRASO POR MOTIVOS PERSONALES INDICA QUE ESTARIA REALIZANDO CANCELACION DE LA DEUDA APORTANDO 100SOLES EL DIA 15/01 Y 300SOLES EL DIA 31/01 TIENE 50 AÑOS  TRABAJA EN AGROINDUSTRIAS SAN JACINTO S A A SUELDO 2200  3HIJOS LLAMADA DESDE CEL 17</t>
  </si>
  <si>
    <t xml:space="preserve">DT: 1000 DK: 582 CAMPAÑA: 450 TT indica que no llego a pagar por que llego tarde a caja sullana, indica que trabaja como ambulante para una persona vendiendo lenceria y le pagan a fin de mes, tt realizara cancelacion de la deuda con el imorgte de 450soles el 31/01 tiene 29 años, no figuran hijos, no tiene mas deudas, indica que carta de no adeudo se la envien a este numero 927574102 llamada desde cel 17 </t>
  </si>
  <si>
    <t>CAMP: 100</t>
  </si>
  <si>
    <t>FECHA DE PAGO:  14/02</t>
  </si>
  <si>
    <t>TT INDICA QUE NO SABIA COMO REALIZAR EL PAGO Y POR ESO NO LO PUDO REALIZAR ESTARIA CANCELANDO MAÑANA CON DSCTO</t>
  </si>
  <si>
    <t>HIJOS:   NO REGISTRA</t>
  </si>
  <si>
    <t>EDAD DE TT:  34 AÑOS</t>
  </si>
  <si>
    <t>SUELDO:  NO REGISTRA</t>
  </si>
  <si>
    <t>DK:885</t>
  </si>
  <si>
    <t>CAMP:670</t>
  </si>
  <si>
    <t>TT DICE QUE EN ESTA SEMANA NO PUEDE REALIZAR EL PAGO PERO QUE SU ESPOSA SI SE PODRA ACERCAR A REALIZAR EL PAGO EL DIA 17/03</t>
  </si>
  <si>
    <t xml:space="preserve">HIJOS: NO REGISTRA </t>
  </si>
  <si>
    <t>EDAD DE TT: 47 AÑOS / SOLTERA</t>
  </si>
  <si>
    <t>DEUDAS:   FINANCIERA EFECTIVA TOTAL 1884.84   BCO AZTECA DEL PERU TOTAL 973.04 // FERRE HOME SOCIEDAD ANONIMA CERRADA 201909</t>
  </si>
  <si>
    <t>EXPERTIS: 250</t>
  </si>
  <si>
    <t>DEJO DE PAGAR : SALIO DEL PAIS POR TRABAJO.</t>
  </si>
  <si>
    <t>JUEVES..28---&gt; EN LA MAÑANA</t>
  </si>
  <si>
    <t>PAGARA TODA LA DEUDA CON 250 SOLES</t>
  </si>
  <si>
    <t>dt: 1000.00</t>
  </si>
  <si>
    <t>dk: 200.0</t>
  </si>
  <si>
    <t xml:space="preserve">cliente accede a cancelar cuenta con el importe de s/300.00 la totalidad //  el dinero lo saca de esposo que trabaja independientemente ayer llamo para cancelar </t>
  </si>
  <si>
    <t>DT: 1000.00</t>
  </si>
  <si>
    <t>DK: 370.00</t>
  </si>
  <si>
    <t>NO PAGO POR LLUVIAS QUE CAUSO DESASTRE EN SU CASA, ACCEDE A REGULARIZAR CON EL IMPORTE DE S/400.00 A MAS TARDAR EL DIA 12/03  , EDAD 25 AÑOS , SOLTERA , NO TIENE ENTIDAD REPORTADA  , DINERO LO SACA DE AHORROS  VENTA DE COMIDA</t>
  </si>
  <si>
    <t>DT: 1006 / CAMAPAÑA: 163 SOLES // LE LLEGO UN SMS PARA CANCELAR CON 163 SOLES /  TT MENCIONA QUE NO PAGO LOS 300 SOLES YA QUE VIAJO POR MOTIVOS DE TRABAJO / EDAD 32 // MUNICIPALIDAD PROVINCIAL SANCHEZ CARRION</t>
  </si>
  <si>
    <t xml:space="preserve">1186 // HIJOS NO FIGURA EN EL SEARCH / DEUDAS EN EL BANCO INTERBANCIONAL  Y FINANCIERA UNO / </t>
  </si>
  <si>
    <t>DT: 1010.00</t>
  </si>
  <si>
    <t>DK: 670.00</t>
  </si>
  <si>
    <t>CANCELACION 290.00</t>
  </si>
  <si>
    <t xml:space="preserve">TT SE ACOGE A LA CANCELACION CON EL IMPORTE DE 290.00 EL DIA 19/02/2020, SOLICITA QUE SE LE ENVIE MENSAJE CON EL NUMERO DE CUENTA </t>
  </si>
  <si>
    <t>DT: 10831</t>
  </si>
  <si>
    <t>DK:5678</t>
  </si>
  <si>
    <t xml:space="preserve">SE ACORDO PAGAR S/ 100 07/03 Y S/ 2650 20/03 TT INDICA QUE NO PUDO CANCELAR POR MOTIVOS UN ACCIDENTE NO QUE SE RETRASO, PAGO DEPENDE DE SU TRABAJO MAS NO INDICA EN QUE TRABAJA </t>
  </si>
  <si>
    <t xml:space="preserve">EDAD: 34 AÑOS </t>
  </si>
  <si>
    <t xml:space="preserve">NO SE VALIDA HIJOS EN EL SEARCH </t>
  </si>
  <si>
    <t>DEUDA</t>
  </si>
  <si>
    <t>DT: 1087</t>
  </si>
  <si>
    <t>Dk: 437.32</t>
  </si>
  <si>
    <t>Campaña: 260</t>
  </si>
  <si>
    <t>fecha de pago: 05-03-20</t>
  </si>
  <si>
    <t>Motivo de no pago: Personales</t>
  </si>
  <si>
    <t xml:space="preserve"> Sustento de pago:  ahorros.</t>
  </si>
  <si>
    <t>Hijos:no registra hijos en search</t>
  </si>
  <si>
    <t>Edad: 43</t>
  </si>
  <si>
    <t>Deudas: 1 deuda en crediscotia aprox 650 soles.</t>
  </si>
  <si>
    <t xml:space="preserve">dt: 109    ppc 98.00 </t>
  </si>
  <si>
    <t>stp: dinero en mano.</t>
  </si>
  <si>
    <t xml:space="preserve">indica que le llego sms por 96 soles cancelacion d ela deuda camapaña sms </t>
  </si>
  <si>
    <t>SE CORRIGE POR QUE ENVIO SU CAMPAÑA</t>
  </si>
  <si>
    <t xml:space="preserve">indica que le llego sms por 98 soles cancelacion d ela deuda camapaña sms </t>
  </si>
  <si>
    <t>DT: 109</t>
  </si>
  <si>
    <t>CAMP: 50</t>
  </si>
  <si>
    <t>FECHA DE PAGO:  15/02</t>
  </si>
  <si>
    <t>TT DICE QUE ESTARIA REALIZANDO EL PAGO PARA OBTENER LA CARTA DE NO ADEUDO</t>
  </si>
  <si>
    <t>EDAD DE TT:  25 AÑOS</t>
  </si>
  <si>
    <t>DEUDAS:  NO REGISTRA</t>
  </si>
  <si>
    <t>SUELDO: CENCOSUD RETAIL PERU S.A. SUPERIOR AL SUELDO BASICO</t>
  </si>
  <si>
    <t>CAMPAÑA: 200</t>
  </si>
  <si>
    <t>TODAVIA - FIN 30-01</t>
  </si>
  <si>
    <t>dt: 1100</t>
  </si>
  <si>
    <t>expertis: 500</t>
  </si>
  <si>
    <t>dejo de pagar: salio del pais a ecuador</t>
  </si>
  <si>
    <t>lunes 25 de nov</t>
  </si>
  <si>
    <t>PPC ---&gt; ese dia 500 soles./ tarde 5pm</t>
  </si>
  <si>
    <t>numero: 985229859</t>
  </si>
  <si>
    <t>dni: 41284296</t>
  </si>
  <si>
    <t xml:space="preserve">DT: 115 SOLES Y CAMPAÑA DE 115 / HINOZTROZA LINAN // SE RETRASARON YAUE LE ACEPTARON EL PAGO // EDAD 50 AÑOS / NO FIGURA HIJOS / NO FIGURA DEUDAS EN EL SEARCH // EL DINERO LO SACRA DE UNOS COBROS / </t>
  </si>
  <si>
    <t>dt: 1170/ campaña: 540 // dice que no pago ya que su mama cayo delicada de salud // el pago de los 292 soles solo junto 100 soles // se dedica a la venta de articulos de belleza por internet // edad: 24 años // deudads en el search comprtamos financiera suma785 aprox / asignacion taza cel 2</t>
  </si>
  <si>
    <t>DT: 1176 DK: 351 CAMPAÑA: 550 TT REALIZARA CANCELACION CON EL IMPLORTE DE 550SOLES EL DIA 15/01 /// TT TIENE 44 AÑOS TRABAJA EN EMPRESA COMPLEJO TURISTICO LEA S.A.C SUELDO: 1194  NO REPORTA HIJOS</t>
  </si>
  <si>
    <t>DT: 1200       DK : 150</t>
  </si>
  <si>
    <t>CAMPAÑA : 150</t>
  </si>
  <si>
    <t>MOTIVO :no pago por que esta de viaje en el campo ,es complicado salir ya que esta a 8 horas de las agencias , mando a un familiar pero no lo apoyaron con el pago .</t>
  </si>
  <si>
    <t xml:space="preserve">SUSTENTO : tiene el dinero va hacer lo posible de salir el viernes 20/03 , esta a 8 horas si en caso no logra hasta fin de mes 30/03 cumple con el pago .  </t>
  </si>
  <si>
    <t xml:space="preserve">DT: 1200 SOLES / CAMPAÑA: 320 SOLES // SE LE MENCIONA QUE SI LO PAGA EL DIA 28/02 SERIA EN 150 SOLES - / MENCIONA QUE NO PAGO YA QUE NO AGENDO EL PAGO Y ANTERIORMENTE NO PAGOYA QUE SUS TRABAJOS SON EVENTUALES PERO AHORA SI DIPONE DE TRABAJO Y SUS INGRESOS SON FIJOS / EDAD 36 AÑOS - DOS HIJOS - DEUDAS EN DOS ENTIDADES QUE SUMAN 280 APROX / ASIGNADO BASE MANUAL TAZA / CEL 2 </t>
  </si>
  <si>
    <t>DT: 1200</t>
  </si>
  <si>
    <t>CAMPAÑA: 780</t>
  </si>
  <si>
    <t xml:space="preserve">PorQue NO PAGÓ: solicito para negocio  </t>
  </si>
  <si>
    <t>USO DEL PRESTAMOS: -- no prospero negocio</t>
  </si>
  <si>
    <t>EDAD DE TT: 41</t>
  </si>
  <si>
    <t>RUBRO: independiente vendiendo zapatillas , otros...</t>
  </si>
  <si>
    <t xml:space="preserve"> se enviara sms con info</t>
  </si>
  <si>
    <t>fin de mes pagara campaña - 964507669</t>
  </si>
  <si>
    <t>dt: 1200</t>
  </si>
  <si>
    <t>dk:1073.00</t>
  </si>
  <si>
    <t>tt se comunico el dia 04/01 por wssp  , se llamo cliente cancelara deuda con el importe de s/900.00 , dinero lo saca de sueldo activo , edad de 50 años , se envia forma de pago</t>
  </si>
  <si>
    <t xml:space="preserve">expertis: 450 </t>
  </si>
  <si>
    <t>dejo de pagar: la estafaron, por eso ya no siguio con el pago</t>
  </si>
  <si>
    <t>bcp...</t>
  </si>
  <si>
    <t>hoy por la tarde 5 pm</t>
  </si>
  <si>
    <t>EXPERTOS: 650</t>
  </si>
  <si>
    <t>MOTIVO: DEJO DE TRABAJAR, PROBLEMAS EONOMICOS.</t>
  </si>
  <si>
    <t>HIJOS: NO</t>
  </si>
  <si>
    <t>ESPOSA: NO</t>
  </si>
  <si>
    <t>VIVE SOLO</t>
  </si>
  <si>
    <t>VIVE EN CHANCAY</t>
  </si>
  <si>
    <t>RUBRO: INDUSTRIA PESQUERA</t>
  </si>
  <si>
    <t>QUIERE CANCELAR TODO 400</t>
  </si>
  <si>
    <t>ESTA PAGANDO VARIAS COSAS</t>
  </si>
  <si>
    <t>SE APROBO EXCEPCION DE 400 SOLES</t>
  </si>
  <si>
    <t>CORREO: CRISTIAN-S.C@HOTMAIL.COM</t>
  </si>
  <si>
    <t>NOMBRE: MARCOS CRISTIAN SOTOMAYOR CAMPOS</t>
  </si>
  <si>
    <t>WSP: 961450144</t>
  </si>
  <si>
    <t>LLAMADAS: 914614758</t>
  </si>
  <si>
    <t>DT: 1200.00</t>
  </si>
  <si>
    <t>DK: 302.00</t>
  </si>
  <si>
    <t xml:space="preserve">CLIENTE NO PUDO CANCELAR POR TEMAS ECONOMICOS EL DIA 14/02 </t>
  </si>
  <si>
    <t xml:space="preserve">S/ 150.00 BRINDA CORREO HILLARYLU01@GMAIL.COM , EDAD 33 AÑOS , SOLTERA TIENE 2 ENTIDADES REPORTADAS </t>
  </si>
  <si>
    <t>DK: 500.00</t>
  </si>
  <si>
    <t xml:space="preserve">CLIENTE DICE QUE NO PAGO YA QUE LA TARJETA DE OH LE DIJERON QUE NO TENIA DD  , SE LE OFRECE CANCELAR CON EL IMPORTE DE S/250.0 , CLIENTE CANCELA 28/02 , EDAD 31 AÑOS  , SOLTERA , TIENE 1 ENTIDAD REPORTADA  , DINERO LO SACA DE SUELDO </t>
  </si>
  <si>
    <t>dt: 1200.00</t>
  </si>
  <si>
    <t>dk: 844.</t>
  </si>
  <si>
    <t>se aprobo exepcion de s/500.00 para cancelar el dia de hoy  ,  dinero lo saca de prestamo edad 40 años madre soltera</t>
  </si>
  <si>
    <t xml:space="preserve">DT: 1200/// PROMOCION: 850//// REFINANCIAMIENTO EN 3 CUOTAS: 375 </t>
  </si>
  <si>
    <t>GENERARA SU SEGUNDA CUOTA DE PAGO DE REFINANCIAMIENTO</t>
  </si>
  <si>
    <t>COMPLETARA SU TERCERA CUOTA 18-02-2020---&gt; 375 SOLES</t>
  </si>
  <si>
    <t>2DA CUOTA ENERO</t>
  </si>
  <si>
    <t>1ERA CUOTA  DICIEMBRE</t>
  </si>
  <si>
    <t>LLAMADA COOPORATIVO 20</t>
  </si>
  <si>
    <t>DT: 12000.00 ( SE TRABAJO EN ESE IMPORTE</t>
  </si>
  <si>
    <t>DK:7946</t>
  </si>
  <si>
    <t xml:space="preserve">SE LLAMA A CLIENTE  , SE PROGRAMA ULTIMA CUOTA DE PAGO SE  LE EXPLICA DE LAN CARTA DE NO ADEUDO , DINERO LO SACA DE EMPLEO INDEPENDIENTE </t>
  </si>
  <si>
    <t>dt: 12200//expertis: 4000//esposa: si/ trabaja- enfermera//hijos: 2 colegio uno en 5to y el 2 año de sec/ colegio nacional.</t>
  </si>
  <si>
    <t>trabaja en su  empresa de rubro de taller de diseño grafico</t>
  </si>
  <si>
    <t>motivo de pago: sufrio un accidente, se rompio la pierna ( recien la volvio abrir hace 15 dias )</t>
  </si>
  <si>
    <t>sueldo prox.: su esposa estaba cubriendo los gastos por un año.´//tt quiere pagar 3000 soles para el dia lunes.</t>
  </si>
  <si>
    <t>EXCEPSION APROBADA</t>
  </si>
  <si>
    <t>DT: 1255.00</t>
  </si>
  <si>
    <t>DK: 760.00</t>
  </si>
  <si>
    <t>SE APROBO EXEPCION DEL IMPORTE DE S/385.00 , CLIENTE PAGA EL DIA DE HOY SE ENVIA FORMA DE PAGO</t>
  </si>
  <si>
    <t xml:space="preserve">DT: 1286     DK: 500.00 </t>
  </si>
  <si>
    <t xml:space="preserve">IMP: TUBO UN PROBLEMA ECON EN EL TRABAJO- </t>
  </si>
  <si>
    <t>STP: DINERO EN MANO*  /  LLAMO POR SMS</t>
  </si>
  <si>
    <t>DT: 1287</t>
  </si>
  <si>
    <t>Dk: 837</t>
  </si>
  <si>
    <t>Campaña: 490</t>
  </si>
  <si>
    <t>fecha de pago: 12-03-20</t>
  </si>
  <si>
    <t>Motivo de no pago: dinero saco para suegro penso que habia pagado.</t>
  </si>
  <si>
    <t xml:space="preserve"> Sustento de pago:  Pago</t>
  </si>
  <si>
    <t>Edad: 46</t>
  </si>
  <si>
    <t>Deudas: no registra deudas.</t>
  </si>
  <si>
    <t xml:space="preserve">DT: 13,696  CAMPAÑA 1,431.00 </t>
  </si>
  <si>
    <t>SUSTENTO DE PAGO: AHORRO.</t>
  </si>
  <si>
    <t xml:space="preserve">TAT SE COMUNICA POR QUE LE ENVIARON EL AREA DE ESTRATEJIA UN SMS CON CAMPAÑA, SOLICITA PAGAR EL DIA 15 DE ABRIL.  </t>
  </si>
  <si>
    <t>DT: 1300     DK: 410</t>
  </si>
  <si>
    <t xml:space="preserve"> TT DICE QUE NO TIENE EL DINERO PARA QUE LO PUEDA PAGAR PERO PUEDE REUNIR EL MONTO DE 100 SOLES HASTA EL 20/1 Y 310 HASAT EL 31/01</t>
  </si>
  <si>
    <t>EDAD :41    DEUDAS : BANCO AZTECA DEL PERU S A  TRABAJA : NO REGISTRA</t>
  </si>
  <si>
    <t xml:space="preserve">DT: 1300 CAMPAÑA: 570 </t>
  </si>
  <si>
    <t xml:space="preserve">TT DICE QUE VA GENERAR EL PAGO EL DIA 4/03  POR QUE NO LO PUDO REALIZAR ANTES. </t>
  </si>
  <si>
    <t>EDAD DE TT:  43 AÑOS</t>
  </si>
  <si>
    <t>DEUDAS: NO REGISTRA OTRAS DEUDAS</t>
  </si>
  <si>
    <t xml:space="preserve"> SUELDO:CONTINENTAL S.A.C. SUPERIOR AL MINIMO</t>
  </si>
  <si>
    <t xml:space="preserve">DT: 1300 SOLES / CAMPAÑA: 870 SOLES / RETRASO FUE POR SALUD Y EL DINERO CON LO QUE PAGARA DE SUS AHORROS / EDAD 41 AÑOS / NO SE VRIFICA TRABJO ACTUAL / DEUDAS EN A FINANIERA CREAR / NECEITA LA CARTA DE NO ADEUDO POR UNOS TRAMITES EN EL EXTRANJERO / DEUDA 4980 SOLES / PAGARA EL DIA DE HOY LOS 870 SOLES  </t>
  </si>
  <si>
    <t>DT: 1300</t>
  </si>
  <si>
    <t xml:space="preserve">CAMP: 600 </t>
  </si>
  <si>
    <t xml:space="preserve">TT DICE QUE PUEDE REALIZAR EL PAGO DE 600 SOLES EN DOS PARTES HOY 11/02 DE 300 Y EL PROXIMO PAGO PARA EL 29/02 DE 300 SOLES </t>
  </si>
  <si>
    <t>EDAD DE TT:  36 AÑOS</t>
  </si>
  <si>
    <t>DEUDAS: BANCO FALABELLA MONTO DE 833 SOLES</t>
  </si>
  <si>
    <t>SUELDO:  REGISTRA COMO CESANTE</t>
  </si>
  <si>
    <t>CAMPAÑA: 350</t>
  </si>
  <si>
    <t>FECHA DE PAGO: 28-01</t>
  </si>
  <si>
    <t>- MOTIVO DE NO PAGO: inboung</t>
  </si>
  <si>
    <t>- RUBRO: profesor [20366083406 UNIDAD DE GESTION EDUCATIVA DE ANDAHUAYLAS 201909 A 1365]</t>
  </si>
  <si>
    <t>- DE DONDE VA A SACAR EL DINERO: inboung</t>
  </si>
  <si>
    <t>hijos no figura en search</t>
  </si>
  <si>
    <t>- EDAD DE TT: 37 años</t>
  </si>
  <si>
    <t xml:space="preserve">dt: 1300, campaña: 150 / pagara el 20-12 - carta de no adeudo a whatsapp = 954189496 - se envia numero de cuenta por sms - (se me fue discador - compromiso por discador) (paga cada mes 100 soles) </t>
  </si>
  <si>
    <t>dt: 1300.00</t>
  </si>
  <si>
    <t>dk: 320.00</t>
  </si>
  <si>
    <t xml:space="preserve">cliente se comunica al corp 15 para cancelar con el importe de s/100.0 , no lo pago antes por motivo de desconfianza  , dinero lo saca de pago que ha recibido ,  edad 35 , no tiene deudas , soltero </t>
  </si>
  <si>
    <t>DT: 1300.00</t>
  </si>
  <si>
    <t>DK: 483.00</t>
  </si>
  <si>
    <t>CLIENTE ACCEDE A CANCELAR CON EL IMPORTE DE S/160.00 LA DEUDA DINERO LO SACA DE EMPLEO ACTIVO EL DIA 16/01 EDAD 2</t>
  </si>
  <si>
    <t xml:space="preserve"> AÑOS SOLTERO</t>
  </si>
  <si>
    <t xml:space="preserve">DT: 1340 SOLES / CAMAPAÑA: 500 SOLES / CLIENTE ASIGANDO POR INBOUND /EDAD 42 AÑOS /HIJOS NO FIGURA EN EL SEARCH / DEUDAS NO FIGURA NINGUNA ENTIDAD REPORTADA / ASIGNADO POR MAYRA / </t>
  </si>
  <si>
    <t>dt: 1341.00</t>
  </si>
  <si>
    <t>dk: 491.00</t>
  </si>
  <si>
    <t xml:space="preserve"> no pago por motivos personales  , ya que la deuda fue para otra persona , le llego sms de 98 soles para cancelar el dia de mañana , edad 49 años , casada  , dinero lo saca de una venta que ha hecho</t>
  </si>
  <si>
    <t>DT: 1400</t>
  </si>
  <si>
    <t>CAMPAÑA : S/ 800</t>
  </si>
  <si>
    <t xml:space="preserve">TT CANCELAQRA S/ 800 21/02 TT INDICA QUE NO TUVO BUENA COMUNICACION ASI PERJUDICANDOSE EL ,PAGO DEPENDE DE SU NEGOCIO PROPIO </t>
  </si>
  <si>
    <t>dt: 1400.00</t>
  </si>
  <si>
    <t>dk: 400.00</t>
  </si>
  <si>
    <t>se llamp a tt  , me mi base de caidos  //  se llama con referencia a la deuda indica que ella no ha podido por temas de trabajo ya que ella en provincia trabja indepemdiente  //  accede a pagar los  300 soles restante para pagar la dd  , dinero lo saca de carnvales de su localidad , se le habla sobre el cobro de penalidad , edad 39 años  , no tiene entidad reportada</t>
  </si>
  <si>
    <t>dk: 609.26</t>
  </si>
  <si>
    <t>se le ofrece cancelación de s/300.00 para cancelar  , se accede a pagar en 2 partes dentro del mes el primer pago lo realiza el dia lunes s/150.0 y el dia 25/05 el sado restante , dinero lo saca de pension  , edad 25 años  , no labora , ni tiene entiedades , brinda nro de wssp 925466069  , se gestiona por discador</t>
  </si>
  <si>
    <t>DT: 1425   PPC 404</t>
  </si>
  <si>
    <t>IMP: NO LE ATENDIERON EN CREDINCA CUANDO SU ESPOSA LE ACRCO.DISCADOR</t>
  </si>
  <si>
    <t>MP: SOLICITARA UN CREDITO.</t>
  </si>
  <si>
    <t>DT: 145</t>
  </si>
  <si>
    <t>DK: 141</t>
  </si>
  <si>
    <t>ACUERDO DE CANCELAR S/ 50 10/3 - S/ 50 - 17/03 - S/ 50 24/03</t>
  </si>
  <si>
    <t xml:space="preserve">TT INDICA QUE NO CUENTA CON TRABAJO  YA QUE A ELLA Y A SU ESPOSO LOS CORRIERON DEL TRABJO </t>
  </si>
  <si>
    <t xml:space="preserve">PAGO DEPENDE DE SU TRABAJO </t>
  </si>
  <si>
    <t xml:space="preserve">TIENE 1 HIJO </t>
  </si>
  <si>
    <t>TRABAJOS EVENTUALES</t>
  </si>
  <si>
    <t xml:space="preserve">DEUDAS: BAN RIPLEY , BANCO AZTECA , INVERSIONES LA CRUZ </t>
  </si>
  <si>
    <t>DT: 1473 SOLES / CAMPAÑA: 200 SOLES / TT SACO EL DINERO CUANDO ERA ADILESCENTE PARA UN TIO DE 500 SOLES Y NO TENIA EXPERIENCIA Y AHORA SI QUIERE PAGARA YA QUE TIENE TIEMPO DE CASTIGO / EDAD 24 AÑOS / TRABAJA EN CAMPOSOL S.A.</t>
  </si>
  <si>
    <t>1403 // NO DEBE A NINGUNA ENTIDAD SE VERFICA EL SEARCH / NO FIGURA HIJOS EN EL SEACH /</t>
  </si>
  <si>
    <t>DT: 1500     PROMOCION: 200</t>
  </si>
  <si>
    <t>TT DINDICA QUE NO TIENE EL DINERO PERO CONSEGUIRA PARA QUE PUEDA CANCELAR LA DEUDA SE LE DA CAMPAÑA $200 PAGARA $50 EL 17/01 Y $150 EL 31/01</t>
  </si>
  <si>
    <t>SEARCH:  EDAD :32    DEUDAS : SOLO FINANCIERA UNO S A</t>
  </si>
  <si>
    <t xml:space="preserve"> TRABAJA :EMPRESA DE SERVICIOS RIO SANTA S.R.L.</t>
  </si>
  <si>
    <t xml:space="preserve">dt: 1500 dk: 431 campaña: 300 tt indica que se traso por motivos personales economicos,  desea realizar cancelacion con el importe de 300soles el 31/01 ya que le depositan pago de su trabajo en VALEMOR S.A.C gana min vital tiene 37años tiene varias deudas search perdidas banco ripley y banco falabella continental, las demas las paga llamada se realizo desde dicador no logre grabar llamada adjunto print de pantalla y screen de confirmacion de wsp </t>
  </si>
  <si>
    <t>DT: 1500</t>
  </si>
  <si>
    <t>CP: 750</t>
  </si>
  <si>
    <t>CAMPAÑA : 550</t>
  </si>
  <si>
    <t xml:space="preserve">TT SE PRESIONA PARA LA CANCELCION TOTAL DE LA DEUDA IMPORTE DE S/550 </t>
  </si>
  <si>
    <t xml:space="preserve">JOSELIE YASMIN FLORES MOYOHUARA 26 UNICA DEUDA SIN TRABAJO SIN HIJOS </t>
  </si>
  <si>
    <t>PROMOCION: 95 SOLES.</t>
  </si>
  <si>
    <t>TRABAJA: MUNICIPALIDAD DISTRITAL ALTO DE ALIANZA</t>
  </si>
  <si>
    <t>DEJO DE PAGAR: POR LOS INTERESES</t>
  </si>
  <si>
    <t>FECHA DE PAGO: 03-01-2020</t>
  </si>
  <si>
    <t>PAGARA POR LA TARDE</t>
  </si>
  <si>
    <t>PAGARA POR INTERBANK</t>
  </si>
  <si>
    <t>DT: 1500.00</t>
  </si>
  <si>
    <t>DK: 797.00</t>
  </si>
  <si>
    <t>CLIENTE SE COMUNICA POR WSSP , SE LLAMO AL CL INDICA QUE DEJO DE PAGAR POR FALTA DE TRABAJO , SE LE OFRECE CAMPAÑA DE S/800.00 CLIENTE PAGARA EN 2 PARTES 1 ER PAGO EL DIA 16/03 DE S/400.00 Y SALDO RESTANTE 31/03 , DINERO LO SACA DE EMPLEO ACTIVO , NO TIENE ENTIDADES REPORTADAS  , EDAD 34 AÑOS , SOLTERO</t>
  </si>
  <si>
    <t>DT: 15780.00</t>
  </si>
  <si>
    <t>DK: 11353.85</t>
  </si>
  <si>
    <t xml:space="preserve">SE APRUEBA EXEPCION CON LA CANCELACION DEL IMPORTE S/3000.00 SE ASIGNO INBOUND , CLIENTE PAGA DEUDA POR QUE YA NO QUIERE SEGUIR DEBIENDO  , EDAD 51 AÑOS , NO TIENE ENTIDAD REPORTADA  , SOLTERA </t>
  </si>
  <si>
    <t xml:space="preserve">DT: 16,518  SOLES </t>
  </si>
  <si>
    <t xml:space="preserve">CAMPAÑA : 6MIL SOLES </t>
  </si>
  <si>
    <t>CANCELARA DEUDA CON EL IMPORTE DE : 3, 800 SOLES</t>
  </si>
  <si>
    <t xml:space="preserve">EDAD : 45 AÑOS </t>
  </si>
  <si>
    <t xml:space="preserve">2 HIJOS </t>
  </si>
  <si>
    <t xml:space="preserve">SUELDO ; 3 MIL SOLES </t>
  </si>
  <si>
    <t xml:space="preserve">VEHICULO : MARCA: CHEVROLET </t>
  </si>
  <si>
    <t>CORREO :  monicvargas_27@hotmail.com</t>
  </si>
  <si>
    <t xml:space="preserve">DT: 160 DK: 146 CAMAPAÑA: 150 TT INDICA QUE NO REALIZO DEPOSITO POR QUE ESTABA EN OTRA PROVINCIA, TT REALIZARA PPC CON EL IMPORTE DE 150SOLES EL DIA 31/01 62 AÑOS NO TIENE MAS DEUDAS DISCADOR </t>
  </si>
  <si>
    <t>DT: 1600 CAMPAÑA: 800 FECHA :27/02</t>
  </si>
  <si>
    <t>TT DICE QUE NO PUDO REALIZAR EL PAGO POR UN TEMA DE DINERO, DICE QUE DESEA CANCELAR PARA SACAR OTRO PRESTAMO.</t>
  </si>
  <si>
    <t>EDAD DE TT:  56 AÑOS</t>
  </si>
  <si>
    <t>DEUDAS:  NO REGISTRA OTRA DEUDA</t>
  </si>
  <si>
    <t>DT: 1600 SOLES / CAMPAÑA: 600 SOLES /  TT DICE QUE EL PRESTAMO FUERA PARA OTRA PERSONA Y DEJARON DE PAGAR / TT TRABAJA VENDE REPUESTOS / EDAD 37AÑOS / NO FIGURA DEUDAD NI TRABAJO ACTUAL EN EL SEARCH / SUS INGRESOS SON EVENTUALES / SE LE BRINDA LE BENEFICIO DE PAGAR MENSUAL PERO NO PUEDDE PAGAR O CANCELAR 530 SOLES / / TT NO DISPONE DE TIEMP PARA QUE PUEDA PAGAR LOS 530 SOLES PARA EL DIA 28/02</t>
  </si>
  <si>
    <t>DT: 1600.00</t>
  </si>
  <si>
    <t>CLIENTE ACCEDE S/400.00 LA DEUDA TOTAL , EL DINERO LO SACA 3ERA PERSONA ,49 AÑOS MADRE SOLTERA EL DIA 27/01 REALIZA EL DEPOSITO SE ENVIA FORMA DE PAGO</t>
  </si>
  <si>
    <t>DT: 16000.00</t>
  </si>
  <si>
    <t xml:space="preserve">SE APROBO EXPECION PARA CANCELAR DEUDA CON EL IMPORTE DE S/1500.00 SOLES  , DINERO LO SACA DE AHORROS PERSONA DE EDAD CASADO </t>
  </si>
  <si>
    <t>DT: 1616.96</t>
  </si>
  <si>
    <t>TT PAGARA 767 EL 28/02 PAGO DEPENDE DEL NEGOCIO QUE EL TIENE , CLIENTE NO MENCIONA EL RUBRO DE SU NEGOCIO , NO CANCELO POR QUE CONTABA CON UN FAMILIAR ENFERMO NO MENCIONA LA ENFERMEDAD</t>
  </si>
  <si>
    <t xml:space="preserve">EDAD: 39 AÑOS </t>
  </si>
  <si>
    <t>TRABAJA :HIPERMERCADOS TOTTUS S.A</t>
  </si>
  <si>
    <t>NO FIGURA DEUDA EN EL SEARCH NI HIJOS</t>
  </si>
  <si>
    <t xml:space="preserve">EDAD: </t>
  </si>
  <si>
    <t xml:space="preserve">dt: 1707.00 </t>
  </si>
  <si>
    <t xml:space="preserve">dk: 577.00 </t>
  </si>
  <si>
    <t xml:space="preserve">cl no pago ya que el consumo fue para ella  , se comunica al corp 2 ya que llego sms de s/173.00 , dinero lo saca de ahorros edad 54 , soltera </t>
  </si>
  <si>
    <t>blancachilquillomedina@gmail.com</t>
  </si>
  <si>
    <t xml:space="preserve">DT: 178   CAMPAÑA:  150.00 </t>
  </si>
  <si>
    <t>IMP: NO ESTA EN LA CUIDAD CHACRA.</t>
  </si>
  <si>
    <t>DICE QUE TINE 100 Y 50 SOLO LE FALTA 21/04/20</t>
  </si>
  <si>
    <t xml:space="preserve">DT: 1800  PROMOCION: 260 TT INDICA QUE ES OTRA PERSONA QUIEN SACO LA TARJETA Y LE DIJO QUE YA HABIA CANCELADO , TT SE HARA RESPONSABLE Y CANCELARA CON CAMPAÑA 260 EL 17/01 //  SEARCH: EDAD: 46 TRABAJO  MUNICIPALIDAD PROVINCIAL DE HUANCAYO DEBE A: FINANCIERA UNO S A </t>
  </si>
  <si>
    <t xml:space="preserve">DT: 1800 DK: 1063 CAMPAÑA : 650    </t>
  </si>
  <si>
    <t>SUSTENTO : TIENE EL DINERO EN MANO 500 EXCEPCION</t>
  </si>
  <si>
    <t>TRANSFERENCIA BCP</t>
  </si>
  <si>
    <t>MOTIVO : NO PAGO PORQUE FALLECIO FAMILIAR GASTOS .</t>
  </si>
  <si>
    <t>ANTES LE LLEGO SMS DE CAMPAÑAS</t>
  </si>
  <si>
    <t>DT: 1800.00</t>
  </si>
  <si>
    <t>DK: 1576.</t>
  </si>
  <si>
    <t>SE APROBO EXEPCION DEL IMPORT DE S/400.00 PARA CANCELAR  , SE ENVIA FORMA DE PAGO</t>
  </si>
  <si>
    <t>dt: 1800.00</t>
  </si>
  <si>
    <t>dk: 1576.00</t>
  </si>
  <si>
    <t>se aprueba exepcion para cancelar el  importe de s/300.00 , se envia forma de pago</t>
  </si>
  <si>
    <t>dk: 735.00</t>
  </si>
  <si>
    <t>cliente no pago por razones economicos no pago , se le ofrece cancelacion de s/300.00 cliente accede a pagar a mas tardar el dia 14/02 41 años , casada  , 4 entidades reportadas , dinero lo saca de ahorros , se envia forma de pago</t>
  </si>
  <si>
    <t>DK: 842.00</t>
  </si>
  <si>
    <t xml:space="preserve"> INDICA QUE CUENTA FUE PARA 3ERA PERSONA Y NO SUPO QUE NO ESTABA PAGANDO , SE LE OFRECE PAGAR S/900.00 SOLO  CUENTA CON LA SUMA DE S/500.00 PARA CANCELAR  YA QUE INDICA QUE TAMBIEN PAGA OTROS PRESTAMOS el lunes 16/03 paga s/200 y el 31/03 300 cancela , EDAD 33 AÑOS - SOLTERO - TRABAJA INDEPENDIENTEMENTE , SE ELEVA EXEPCION</t>
  </si>
  <si>
    <t xml:space="preserve">DISCADOR </t>
  </si>
  <si>
    <t>DT: 1811</t>
  </si>
  <si>
    <t>CAMP: 250</t>
  </si>
  <si>
    <t>SUSTENTO -</t>
  </si>
  <si>
    <t xml:space="preserve">TT DICE QUE POR UN TEMA DE VIAJE YA NO LO PUDO CANCELAR Y QUE NO TIENE TODO EL DINERO SE LE DIO LA OPCION DE CANCELAR EN DOS PARTES 100 SOLES 150/02 EL  Y 150 SOLES EL 7/02 </t>
  </si>
  <si>
    <t>HIJOS:  NO REGISTRA</t>
  </si>
  <si>
    <t>EDAD DE TT: 24 AÑOS</t>
  </si>
  <si>
    <t>DEUDAS:  NO REGISTRA DEUDA</t>
  </si>
  <si>
    <t>SUELDO: BONANZZA STORES S.A.C. PERO SALE CESANTE</t>
  </si>
  <si>
    <t>NUMERO DE TT 916276031</t>
  </si>
  <si>
    <t>dt: 187   campaña: 50.00</t>
  </si>
  <si>
    <t xml:space="preserve">imp: no le enviaron numeros de cuenta. </t>
  </si>
  <si>
    <t xml:space="preserve">dice que tiene el dinero, se quedo a la espera de las cuentas del bcp * </t>
  </si>
  <si>
    <t xml:space="preserve">-953445046-  </t>
  </si>
  <si>
    <t>DT: 1875.24</t>
  </si>
  <si>
    <t>DC:762.54</t>
  </si>
  <si>
    <t>TT INDICA QUE CANCELARA EL 20/02/2020 S/800 , NO CANCELO POR QUE COMO DESAPARECIO NUEVAVICION NO SABIA DONDE  PAGAR.</t>
  </si>
  <si>
    <t xml:space="preserve">EDA: 34 </t>
  </si>
  <si>
    <t>CEUNTA CON OTRA DEUDA EN BANCO AZTECA S/ 510 PERDIDA</t>
  </si>
  <si>
    <t>DT: 1900.00</t>
  </si>
  <si>
    <t>SE APROBO EXEPCION , CLIENTE CANCELA DEUDA CON EL IMPORTE DE S/500.00 PARA EL DIA 21/01 DINERO LO SACA DE AHORROS  . EDAD 36 AÑOS , SOLTERO YA NO LABORA DEPENDIENTEMENTE</t>
  </si>
  <si>
    <t xml:space="preserve">DT: 1903     DK : 1000    cerrado whastapp </t>
  </si>
  <si>
    <t xml:space="preserve">MOTIVO : tt no pago por desconfianza no le garantiza una documentacion se conversa con el y afirma pago . </t>
  </si>
  <si>
    <t xml:space="preserve">Sustento: tt ya tiene el dinero se va acercar el dia de hoy 26/03 a las 12 . se le mantiene la campaña cliente especial .   </t>
  </si>
  <si>
    <t>DT: 1903     DK : 1000</t>
  </si>
  <si>
    <t xml:space="preserve">MOTIVO : amanecio enfermo y se le olvido hacer el pago a pesar que se le envio el whastapp y dejo en visto no contesto  . se indica cobro de 1000 sino cumple </t>
  </si>
  <si>
    <t xml:space="preserve">Sustento: tt ya tiene el dinero indica que con seguridad se va acercar a pagar mañana 21/03 . 10 am  </t>
  </si>
  <si>
    <t>DT: 1929  DK: 755 CAMPAÑA: 370</t>
  </si>
  <si>
    <t>IMP: SE QUERIA COMINICAR YA PARA CANCELAR</t>
  </si>
  <si>
    <t>STP: TRABAJO</t>
  </si>
  <si>
    <t xml:space="preserve">SOLICITA MAYOR INFORMACION POR EL WHATSAP YA QUE ESTA LABORANDO* </t>
  </si>
  <si>
    <t>SE EM FUE LA FICHA* DISCADOR</t>
  </si>
  <si>
    <t>DT: 2,039    DK: 1,882  PPC: 865</t>
  </si>
  <si>
    <t>IMP: SE DESAPARECIO LA FINACIERA.</t>
  </si>
  <si>
    <t xml:space="preserve">SUSTENTO DE PAGO: AHORRO </t>
  </si>
  <si>
    <t>INDICA QUE MAÑANA PAGARA LA DEUDA SU ESPOSA LE AYUDARA/ 38 AÑOS</t>
  </si>
  <si>
    <t>LLAMO POR CAMPAÑA</t>
  </si>
  <si>
    <t>DT: 2,092  DK: 1,101  PPC: 914</t>
  </si>
  <si>
    <t>SUSTENTO DE PAGO: AHORROS*</t>
  </si>
  <si>
    <t>INDICA Q SE LE ENVIE SU CONTRARO HOY PARA QUE CANCELE EL DIA 25/05/20</t>
  </si>
  <si>
    <t>DT: 2,371  DK: 1,000 PPC: 300 CAMPAÑA POR SMS DE ESTRATEGIAS</t>
  </si>
  <si>
    <t>INDCA QUE ABONARA 50 SOLES EL DIA 15/04/20</t>
  </si>
  <si>
    <t xml:space="preserve">        CANCELACION CON S/250 DIA 30/04/20</t>
  </si>
  <si>
    <t>CAMPAÑA SMS DE AREA DE ESTRATEGIA.</t>
  </si>
  <si>
    <t>DT: 2,500 SOLES</t>
  </si>
  <si>
    <t>CAMPAÑA: 1000 SOLES</t>
  </si>
  <si>
    <t xml:space="preserve">MOTIVO DE NO PAGO: ESTUVO DE VIAJE . </t>
  </si>
  <si>
    <t xml:space="preserve"> DONDE SACARA DINERO: DE TRABAJO .. LABORA EN RESTAURANTE ES  COCINERO .</t>
  </si>
  <si>
    <t xml:space="preserve">AHORA QUIERE PAGAR PORQUE NO QUIERE ESTAR EN INFOCORP , </t>
  </si>
  <si>
    <t xml:space="preserve">TIENE 2 HERMANOS </t>
  </si>
  <si>
    <t>NO SE REGISTRA MAS .</t>
  </si>
  <si>
    <t>ENTIDADES. 0</t>
  </si>
  <si>
    <t xml:space="preserve">DT: 2,900 SOLES </t>
  </si>
  <si>
    <t xml:space="preserve"> CAMPAÑA: 1,200 SOLES</t>
  </si>
  <si>
    <t xml:space="preserve">MOTIVO DE NO PAGO :   </t>
  </si>
  <si>
    <t xml:space="preserve">978053497 WSP // </t>
  </si>
  <si>
    <t xml:space="preserve">DT: 200.00 </t>
  </si>
  <si>
    <t>DK: 97.59</t>
  </si>
  <si>
    <t>CLIENTE SE COMUNICA , SE LE OOFRECE CANCELAR CON EL  IMPORTE DE S/100.00  , EL DIA 16/03 , EDAD 46 AÑOS , NO TIENE ENTIDAD REPORTADA  , DINERO LO SACA DE EMPLEO SE ENVIA FORMA DE PAGO</t>
  </si>
  <si>
    <t>DT: 200.00</t>
  </si>
  <si>
    <t>DK: 175.00</t>
  </si>
  <si>
    <t>CLIENTE SE COMUNICA DICE QUE YA PAGO PERO SE LE EXPLICA QUE NO SE HA GENERADO EL PAGO , SE LE OFRECE CANCELAR CON EL IMPORTE DE S/180.00 PAGARA EL DIA 14/03 SE ENVIA FORMA DE PAGO , DINERO LO SACA DE EMPLEO , EDAD 30 AÑOS ,SOLTERONO TIENE ENTIDADES REPORTADAS</t>
  </si>
  <si>
    <t>DK: 65</t>
  </si>
  <si>
    <t>CLIENTE INDICA QUE NO HA PODIDO POR TEMA DE TIEMPO  , SE HA GENERADO COMPROMISO DE PAGO DEL IMPORTE DE S/65.00 PARA EL DIA DE HOY</t>
  </si>
  <si>
    <t>dt: 2000.0</t>
  </si>
  <si>
    <t>dk: 1052.00</t>
  </si>
  <si>
    <t xml:space="preserve">se aprueba exepcion para cancelar con el importe de s/217.00 el dia de hoy dinero lo saca de ahorros   , no se verifica en search  info  ( no carga) </t>
  </si>
  <si>
    <t xml:space="preserve">dt: 2000.00 </t>
  </si>
  <si>
    <t>dk : 1026.31</t>
  </si>
  <si>
    <t xml:space="preserve">cl no pago por tema de economía  , se le ofrece cancelación de s/250.00 cliente accede /  el día 20/05 genera el pago dinero lo saca de empleo , edad 34 , soltero , una entidad reportada </t>
  </si>
  <si>
    <t>DT: 2000.00</t>
  </si>
  <si>
    <t xml:space="preserve">DK: 1350.00 </t>
  </si>
  <si>
    <t xml:space="preserve">NO PAGO POR FALTA DE PAGO EN EMPLEO CLIENTE ACCEDE A CANCELAR CON EL  IMPORTE DE S/1372.00 LA TOTALIDAD DE LA DEUDA  31/03 , DINERO LO SACA DE OBRA QUE AUN ESTA TRABAJANDO  , EDAD 36 AÑOS , SOLTERO , SOLO TIENE UNA ENTIDAD </t>
  </si>
  <si>
    <t>DK: 900.00</t>
  </si>
  <si>
    <t>SE APROBO EXEPCION PARA CANCELAR CON EL IMPORTE DE S/600.00 CLIENTE GENERA PAGO EL DIA DE HOY // DINERO LO SACA DE SUELDO ACTIVO , EDAD 27 AÑOS SOLTERO NO TIENE ENTIDADES REPORTADAS</t>
  </si>
  <si>
    <t xml:space="preserve">DT: 2100 DK: 1069 CAMPAÑA: 400 TT INDICA QUE POR MOTIVOS PERSONALES DEJO  DE PAGAR, TT NO TRABAJA DEPENDE DE SU ESPOSO(ES TAXISTA) Y ES SU ESPOSO QUIEN LE BRINDARIA DINERO PARA CANCELACION TT INDICA QUE REALIZARA CANCELACION CON EL IMPORTE DE 400SOLES EL 15/01(REALIZARA DEPOSITO DE 100SOLES EL 11/01)  YA QUE LO VA A RECAUDAR CON ESPOSO  DISCADOR </t>
  </si>
  <si>
    <t>dt: 2100.00</t>
  </si>
  <si>
    <t>dk : 864.00</t>
  </si>
  <si>
    <t>cliente dejo de pagar deuda  por motivos económicos en su chacra  , se le ofrece cancelar con el importe de s/800.00 , edad 44 años  , soltero , no tiene entidad .reportada  , dinero lo saca empleo independiente ( chacra).</t>
  </si>
  <si>
    <t>DT: 2157</t>
  </si>
  <si>
    <t>CAMAPAÑA 1265</t>
  </si>
  <si>
    <t xml:space="preserve">SE ACORDO CANCELAR S/ 1265 EL 16/03 , TT INDICA QUE NO CANCELO POR QUE OTRA ENTIDAD LE ESTABA COBRANDO DEMACIADO INTERES Y POR RETRASO POR QUE UN TERCERO LE DEBIA , EL PAGO DEPENDE DEL PAGO DE LA DEUDA YA SEGURO </t>
  </si>
  <si>
    <t xml:space="preserve">EDAD: 49 AÑOS / NO SE VALIDA HIJOS EN EL SEARCH </t>
  </si>
  <si>
    <t>DT: 2167.00</t>
  </si>
  <si>
    <t>DK : 1523.00</t>
  </si>
  <si>
    <t>SE LE INFORMA SOBRE EL ACREEDOR DE DUEDA  , QUE CANCELA DEUDA CON EL IMPORTE DE S/340.00 SE LE ENVIA FORMA DE PAGO 56 AÑOS SE VALIDA ACTIVO EN EMPRESA EL AGUILA SRL , NO DA INFORMACION SOBRE SUSTENTO DE PAGO</t>
  </si>
  <si>
    <t>dt: 2200.00</t>
  </si>
  <si>
    <t>dk : 992.00</t>
  </si>
  <si>
    <t>inbound , cliente cancela con el importe de s/1000.00 el dia de hoy</t>
  </si>
  <si>
    <t>DT: 2200.00</t>
  </si>
  <si>
    <t>DK: 1955.00</t>
  </si>
  <si>
    <t>SE APRUEBA EXEPCION EN BASE A S/1200.0 EL DIA 13/01 , CLIENTE OBTIENE DINERO DE EMPLEO RUC 10 , EDAD 40 AÑOS CASADO , SE ENVIA FORMA DE PAGO Y ACUERDO DE CANCELACION</t>
  </si>
  <si>
    <t xml:space="preserve">DT: 2300 DK : 1496 CAMPAÑA : 670   EXCEPCION </t>
  </si>
  <si>
    <t xml:space="preserve">SUSTENTO : TIENE 400 EN MANO PARA PAGAR EL DIA DE HOY </t>
  </si>
  <si>
    <t xml:space="preserve">MOTIVO : PROBLEMAS DE DINERO , ANTES LE LLEGO CAMPAÑAS PERO NO PUDO PAGAR . NO LABORA POR CUARENTENA </t>
  </si>
  <si>
    <t>DT: 2300</t>
  </si>
  <si>
    <t>DK: 967.00</t>
  </si>
  <si>
    <t>INDICA QUE NO CANCELO POR MOTIVOS ECONOMICOS  , SE LE OFRECE CANCELACION DE S/250.00 CLIENTE ACCEDE  A CANCELAR DEUDA LO SCA DE EMPLEO INDEPENDIENTE / ESTUDIANTE 36 AÑOS , SOLTERO Y TIENE 1ENTIDAD REPORTADA</t>
  </si>
  <si>
    <t>dt: 2352 campaña min: 1016 excepcion aprob 700soles tt relizara deposito el 16/12 no trabaja en la actualidad por que sufrio paralisis facial, tiene 24 años sin hijos su madre la apoya, siempre trabajo independiente tiene una deuda mas.</t>
  </si>
  <si>
    <t>DT: 2400</t>
  </si>
  <si>
    <t>DK: 900</t>
  </si>
  <si>
    <t>CAMP: 600</t>
  </si>
  <si>
    <t xml:space="preserve">REFINANCIAMIENTO :   </t>
  </si>
  <si>
    <t>FECHA DE PAGO: 07/02</t>
  </si>
  <si>
    <t xml:space="preserve">TT DICE QUE SE ENCONTRABA DE VIAJE POR MOTIVO DE TRABAJO, ESTARIA REALIZANDO EL PAGO HASTA EL 7 CON CAMPAÑA. </t>
  </si>
  <si>
    <t>EDAD DE TT: 45 AÑOS</t>
  </si>
  <si>
    <t>DEUDAS: 2 CUENTAS POR UN TOTAL DE 3677.29</t>
  </si>
  <si>
    <t xml:space="preserve">DT: 24000.00 </t>
  </si>
  <si>
    <t>SE LE OFRECE CANCELAR CON 300.00 CLIENTE SE MUESTRA REN , CONTRAPROPONE CANCELAR CON 197.00 SE ACEPTA YA QUE CLIENTE ES DESCONFIADO  , SE ENVIA FORMA DE PAGO Y SESION</t>
  </si>
  <si>
    <t>DT: 245   DK: 103</t>
  </si>
  <si>
    <t xml:space="preserve">SMS CAMPAÑA: 76 </t>
  </si>
  <si>
    <t>HOY CREDINKA.</t>
  </si>
  <si>
    <t xml:space="preserve">DT: 245 </t>
  </si>
  <si>
    <t xml:space="preserve">FECHA DE PAGO: 26/12 </t>
  </si>
  <si>
    <t>SUSTENTO: CLIENTE NO PAGO PORQUE NO LE PAGARON ENTONCES SE LE DA OPCION QUE PAGUE HASTA EL DIA 26/12 COMO EL MONTO DE 245 SOLES A LA CANCELACION DE LA DEUDA / PPC</t>
  </si>
  <si>
    <t xml:space="preserve">SEARCH : EDAD 27 AÑOS , TIENE UN BANCO MAS REPORTADO SOLTERO </t>
  </si>
  <si>
    <t xml:space="preserve">DT: 250 DK: 109 CAMPAÑA : 120 </t>
  </si>
  <si>
    <t xml:space="preserve">SUSTENTO : TIENE EL DINERO EN MANO PARA PAGAR , SI PUEDE LO HACE ANTES DEL 30  , TRABAJA EN RUTA </t>
  </si>
  <si>
    <t xml:space="preserve">MOTIVO:  NO TIENE AGENTES DISPONIBLES LE TOMA TIEMPO PARA VIAJAR POR CUARENTENA  </t>
  </si>
  <si>
    <t>TT INIDCA QUE SI DESEA CANCELAR LA DEUDCA PERO QUE NO PUEDE POR Q NO TIENE ACCESO SOLICITA QUE SE LE LLAME APARTIR DE LA 15NA DE MAYO</t>
  </si>
  <si>
    <t xml:space="preserve">dt: 250 soles / campaña: 100 / tt es albañil y dejo de pagar ya que cayo delicado de salud // los pagara el dia lunes 20/01 // no puedo verificar el search / desde el dia de ayer miercoles 15/01 / se le menciona sobre la penalidad // </t>
  </si>
  <si>
    <t>dt: 2500.00</t>
  </si>
  <si>
    <t>dk : 1015.00</t>
  </si>
  <si>
    <t>cliente cancela deuda con el importe de s/743.00 el dia de hoy</t>
  </si>
  <si>
    <t>DT: 2500.00</t>
  </si>
  <si>
    <t xml:space="preserve">DK : 1500.00 </t>
  </si>
  <si>
    <t>CLIENTE SE COMUNICA POR SMS DE CAMPAÑA DE S/810.00  , EDAD DE 49 AÑOS , CASADA  , TIENE 1 ENTIDAD REPORTADA  , QUIERE PAGAR POR LA COMPRA DE UN TERRENO , DINERO  LO SACA DE NEG QUE TIENE.</t>
  </si>
  <si>
    <t>dk: 900.00</t>
  </si>
  <si>
    <t>tt se comunica del corp 15  por sms  de campaña de s/270.00 , no pago dinero por tema de distabcia  //  el dinero lo saca de prestamos familiar , tiene 1 entidad reportadas , soltero edad 28 años ,  se eleva exepcion</t>
  </si>
  <si>
    <t>dt: 2607.2</t>
  </si>
  <si>
    <t>TT MENCIONA QUE ANTES LE OFRECIERON CANCELAR CON S/.600//SE OFRECE LA MISMA CAMPAÑA PARA CANCELAR</t>
  </si>
  <si>
    <t>30 AÑOS//TT TRABAJA Y NO TIENE DEUDAS CON OTROS BANCOS</t>
  </si>
  <si>
    <t>DT: 2674</t>
  </si>
  <si>
    <t>Dk: 1264</t>
  </si>
  <si>
    <t>Campaña: 950 soles.</t>
  </si>
  <si>
    <t>fecha de pago:14-03-20</t>
  </si>
  <si>
    <t>Motivo de no pago: trabaja donde no hay agentes ni bancos y no puede realizar el pago es por eso que incumplio anterior compromiso.</t>
  </si>
  <si>
    <t>sustento de pago: de su sueldo, indica que si puede realizar enbanco de la nacion lo hara o de lo contrario estara realizando el pago el sabado 14-03-20.</t>
  </si>
  <si>
    <t>Edad: 38 años</t>
  </si>
  <si>
    <t>Deudas:  2entidades azteca , huancayo aprox. 5376 soles</t>
  </si>
  <si>
    <t>trabaja en una empresa contratista.</t>
  </si>
  <si>
    <t>DT: 270</t>
  </si>
  <si>
    <t xml:space="preserve"> TT DICE QUE ESTA TRABAJANDO EN PROVINCIA Y QUE NO PUEDE CANCELAR HASTA FIN DE MES QUE RECIEN LLEGA.</t>
  </si>
  <si>
    <t>EDAD DE TT:  59 AÑOS</t>
  </si>
  <si>
    <t>DEUDAS:  MIBANCO categoria 0</t>
  </si>
  <si>
    <t>dt: 2700</t>
  </si>
  <si>
    <t xml:space="preserve">expertis: 950 </t>
  </si>
  <si>
    <t>excepsion: 500</t>
  </si>
  <si>
    <t>lunes 16-12-19</t>
  </si>
  <si>
    <t>trabajando: no trabaja</t>
  </si>
  <si>
    <t>de donde sacara la plata: se prestara de su hermana/ vendera un terrero.</t>
  </si>
  <si>
    <t>hijos: 2</t>
  </si>
  <si>
    <t>esposo: no</t>
  </si>
  <si>
    <t>vive: alquilado</t>
  </si>
  <si>
    <t>dt: 2700.00</t>
  </si>
  <si>
    <t xml:space="preserve">dt : 1700.00 </t>
  </si>
  <si>
    <t xml:space="preserve">dice que a fin de mes pa/gara el importe de s/1100.00 , que ya le tienen el dinero para pagar este 28/02 lo que le deben  , de ahi saca el dniero , edad 70 años casado 1 entidad reportada </t>
  </si>
  <si>
    <t>dt: 2710 // campaña: 900 soles / tt menciona que no pudo pagar ya que el prestamo fue para su hermano y luego no pudo pagar // tt labora pero no esta en planilla es su empresa pequeña / 46 años /no figura hijos en els earch ni deudas pero dice tener un prestamo que esta pagando /  pagara el 14/02 200 soles y 700 soles a fines de mes 28/02</t>
  </si>
  <si>
    <t>DT: 2750.00</t>
  </si>
  <si>
    <t>ACCEDE A CANCELAR CON EL IMPORTE DE S/500.00 EL DIA 11/01 A MAS TARDAR  // INBOUND, 39 AÑOS SOLTERA</t>
  </si>
  <si>
    <t>DT: 277</t>
  </si>
  <si>
    <t>DK: 153</t>
  </si>
  <si>
    <t xml:space="preserve">CAMPAÑA S/ 200 </t>
  </si>
  <si>
    <t xml:space="preserve">SE ACORDO PAGAR S/ 50  06/03 Y S/ 150 30/03  TT INDICA QUE NO CANCELO POR QUE ESTBA MAL DE SALUD - SE ME FUE LA FICHA </t>
  </si>
  <si>
    <t xml:space="preserve">EDAD: 29 AÑOS </t>
  </si>
  <si>
    <t xml:space="preserve">HIJOS 1 </t>
  </si>
  <si>
    <t xml:space="preserve">NO CUENTA DEUDA SEGUN EL SEARCH </t>
  </si>
  <si>
    <t>DT: 2800       CAMPAÑA: 1050.00</t>
  </si>
  <si>
    <t>imp: indica qque a tenido problemas de salud por eso dejo de pagar.</t>
  </si>
  <si>
    <t>STP: Sueldo,</t>
  </si>
  <si>
    <t>se acercara ala agencia de chumbililcas a cancelar antes sd efin de mes. /en la llamda se le escucha a su esposa hablando y confirmando el dia de pago/</t>
  </si>
  <si>
    <t>DT: 2814</t>
  </si>
  <si>
    <t>Dk: 1690.40</t>
  </si>
  <si>
    <t>Campaña: 1200 soles.</t>
  </si>
  <si>
    <t>Fecha de pago:30-03-20</t>
  </si>
  <si>
    <t>Motivo de no pago: Motivos familiares, salud</t>
  </si>
  <si>
    <t xml:space="preserve"> Sustento de pago:  Realiza ventas y de eso ira ahorrando hasta fin de mes, se solicita un adelanto de 100 soles que pagara el lunes 09-03-20. indica que ira pagando hasta completar a fin de mes.</t>
  </si>
  <si>
    <t>Hijos: 3</t>
  </si>
  <si>
    <t>Edad: 48 años</t>
  </si>
  <si>
    <t>Deudas: 2 entidades piura y huancayo aprox. 1749</t>
  </si>
  <si>
    <t>Dt: 2842</t>
  </si>
  <si>
    <t>Dk:1200</t>
  </si>
  <si>
    <t>Contrapropuesta en mano S/ 234</t>
  </si>
  <si>
    <t>Castigo:4</t>
  </si>
  <si>
    <t xml:space="preserve">Historial:PRIMER CONTACTO  </t>
  </si>
  <si>
    <t>Planilla : NO</t>
  </si>
  <si>
    <t>Deudas: 3</t>
  </si>
  <si>
    <t>Sustento de Pago: CLIENTE SE LE ENVIA MENSAJE DE TEXTO CON EXCEPCION DE CAMPAÑA .</t>
  </si>
  <si>
    <t>DT: 290.48soles</t>
  </si>
  <si>
    <t>DK: 101.58soles</t>
  </si>
  <si>
    <t>Monto a cancelar: 100 soles</t>
  </si>
  <si>
    <t>Fecha de pago: 06/03/2020</t>
  </si>
  <si>
    <t>Edad: 28</t>
  </si>
  <si>
    <t>Deuda con entidad: Solo con CDK</t>
  </si>
  <si>
    <t>Datos laborales: M HOLDING PERU S.A.C 201805</t>
  </si>
  <si>
    <t>Actualmente no labora</t>
  </si>
  <si>
    <t>DT: 2900</t>
  </si>
  <si>
    <t>DK:1792</t>
  </si>
  <si>
    <t>CAMPAÑA:1250</t>
  </si>
  <si>
    <t>FECHA DE PAGO:14-02 A LAS 10AM</t>
  </si>
  <si>
    <t>MOTIVO DE NO PAGO: ECONOMICOS, LE BRINDARON UN MONTO A PAGAR Y NO PUDO CANCELAR, QUERIA PAGAR TOTALIDAD.</t>
  </si>
  <si>
    <t>HIJOS:1 A SU CARGO YA SON MAYORES</t>
  </si>
  <si>
    <t>DEUDAS:NO REGISTRA DEUDA.</t>
  </si>
  <si>
    <t>DINERO OBTENDRA DE PAGO DE ESCOLARIDAD QUE LE ESTARAN DEPOSITANDO HOY O MAÑANA</t>
  </si>
  <si>
    <t>DT: 2900.00</t>
  </si>
  <si>
    <t>DK: 1078</t>
  </si>
  <si>
    <t>SE APROBO EXEPCION CON LA CANCELACION DEL IMPORTE DE S/1000.00 CLIENTE NO INDICA SUSTENTO DE PAGO , EDAD 31 AÑOS , TRBAJA ACTIVAMENTE  TIENE 3ENTIDADES REPORTADAS SOLTERO</t>
  </si>
  <si>
    <t>DT: 2922.44</t>
  </si>
  <si>
    <t>DK: 1508.04</t>
  </si>
  <si>
    <t>AL CLIENTE LE FALTA UNA CUOTA PENDIENTE DEL IMPORTE DE S/151 PARA CANCELAR , ENVIO DOCUMENTACION REALIZA EL PAGO EL DIA DE MAÑANA , SE ENVIA FORMA DE PAGO</t>
  </si>
  <si>
    <t xml:space="preserve">DT: 3,476  DK: 1,540  PPC 400 </t>
  </si>
  <si>
    <t xml:space="preserve">EXCEPCION </t>
  </si>
  <si>
    <t xml:space="preserve">DT: 300 CAMPAÑAMIN1: 155 INDICA QUE NO LOGRO REALIZAR DEPOSITO  YA QUE NO ESTUVO EN PROVINCIA AHORA INDICA QUE SE ENCUENTRA TRABAJANDO EN UNA TIENDA DE ROPA, COMO VENDEDORA COBRA A FIN DE MES, REALIZARA CANCELACION CON EL IMPORTE DE 155SOLES EL 31/12 DISCADOR </t>
  </si>
  <si>
    <t>dt: 300 soles / campaña: 200 soles / tt dice que se retraso ya que se cambio de ofiicna - pagara el dia de mañana los 200 soles // edad 29 años / no se verifica hijos ni sueldo // no se verifica deudas /</t>
  </si>
  <si>
    <t>DT: 300</t>
  </si>
  <si>
    <t>DC: 165.90</t>
  </si>
  <si>
    <t xml:space="preserve">TT CANCELARA EL 24 /02 S/ 300 ,TT INDICA QUE NO CANCELO POR QUE ERA ESTUDIANTE Y NO CONTABA CON LOS MEDIOS PARA PAGARLO , PAGO DEPENDE DEL ABONO DE SU TRABAJO </t>
  </si>
  <si>
    <t>EDAD: 26</t>
  </si>
  <si>
    <t xml:space="preserve">NO CUENTA CON NINGUNA DEUDA APARTE DE LA CAJA SULLANA </t>
  </si>
  <si>
    <t>dt: 300</t>
  </si>
  <si>
    <t xml:space="preserve">dk: 157.00 </t>
  </si>
  <si>
    <t>se le ofrece cancelacion de s/150.00 cliente accede a cancelar  , dinero lo saca de empleo activo , deja pagar por temas economicos , edad 30 años , no tiene entidades reportadas. se gestiona por discador</t>
  </si>
  <si>
    <t>FECHA DE PAGO:  19/2</t>
  </si>
  <si>
    <t>TT DICE QUE SE ENCONTRABA EN EL EXTRANJERO Y RECIEN ACABA DE LLEGAR HACE DOS AÑOS Y DESEA SANEAR LA CUENTA QUE TIENE CON FINAN PRO / CANCELA TOTAL</t>
  </si>
  <si>
    <t xml:space="preserve">HIJOS:  NO REGISTRA </t>
  </si>
  <si>
    <t>EDAD DE TT:  38 AÑOS</t>
  </si>
  <si>
    <t>DT: 300.00</t>
  </si>
  <si>
    <t>DK: 250.00</t>
  </si>
  <si>
    <t xml:space="preserve">INBOUND  , CLIENTE CANCELA DEUDA CON EL IMPORTE DE S/261.00 EL DIA DE HOY //  SE LE ENVIA FORMA DE PAGO </t>
  </si>
  <si>
    <t>dt: 3000</t>
  </si>
  <si>
    <t xml:space="preserve">dk : 1500.00 </t>
  </si>
  <si>
    <t>cliente inbound llamo  al cel de mariangela  , se negocia en base a 1150.00 cliente cancela el dia de hoy en la financiera pro empresa  , edad 40 años ,  no tiene entidad reportada , cuenta con hermanos , hijo esposo , dinero lo saca de ahorros</t>
  </si>
  <si>
    <t>DT: 3000.0</t>
  </si>
  <si>
    <t>DK: 1413.00</t>
  </si>
  <si>
    <t>CLIENTE ACCEDE A CANCELAR CON EL IMPORTE DE S/283.00 EL DIA DE HOY , DINERO LO SACA DE SUELDO , EMPLEO ACTIVO ,37 AÑOS ,SOLTERO</t>
  </si>
  <si>
    <t>DT: 3000.00</t>
  </si>
  <si>
    <t>DK: 1795.00</t>
  </si>
  <si>
    <t>SE LE OFRECE CANCELACION  DEL IMPORTE DE S/598.00 PARA EL DIA 31/01 , GENERADO UN ADELANTO DEL IMPORTE DE S/50 EL DIA MIERCOLES 08 , EDAD 31 AÑOS , SUSTENTO LO SACA DE SU SUELDO , SOLTERA , SE ENVIA FORMA DE PAGO , SE GESTIONA POR DISCADOR</t>
  </si>
  <si>
    <t xml:space="preserve">SE APRUEBA EXEPCION DEL IMPORTE DE S/1000.00 SOLES </t>
  </si>
  <si>
    <t>DT: 3020</t>
  </si>
  <si>
    <t>DK: 1230</t>
  </si>
  <si>
    <t>TT DICE QUE SE ECONTRABA DESCONFIADO EN CANCELAR LA CUENTA POR QUE NO LE DIERON NINGUN SUSTENTO PARA PODER CANCELAR, PIDE QUE SE LE ENVIE UN ACUERDO DE CANCELACION, Y CANCELARA ANTES DE FIN DE MES.</t>
  </si>
  <si>
    <t xml:space="preserve"> HIJOS: NO REGISTRA</t>
  </si>
  <si>
    <t>EDAD DE TT: 57años</t>
  </si>
  <si>
    <t>DEUDAS: CREDISCOTIA TOTAL DE 559.89</t>
  </si>
  <si>
    <t>SUELDO: NO REGISTRA</t>
  </si>
  <si>
    <t>DT: 3064</t>
  </si>
  <si>
    <t xml:space="preserve">DK: 380.00 </t>
  </si>
  <si>
    <t>SE APROBO EXEPCION PARA CANCELAR CON EL IMPORTE DE S/150.00 CLIENTE YA CUENTA CON EL DINERO , CANCELARA EL DIA 05/03 SE MODIFICA EXEPCION</t>
  </si>
  <si>
    <t xml:space="preserve">DT: 3100 DK : 1300 CAMPAÑA : 280  EXCEPCION </t>
  </si>
  <si>
    <t>SUSTENTO : TIENE EL DINERO EN MANO 200 . TIENE CERCA AGENTE INTERBANK</t>
  </si>
  <si>
    <t xml:space="preserve">MOTIVO : NO PAGO POR DESCONFIANZA , YA ANTERIORMENTE LE ESTAFARON CON OTRO BANCO , SE ACERCO A OH Y YA CONSULTO DE SU DEUDA . </t>
  </si>
  <si>
    <t xml:space="preserve">SOLICITA COMPROMISO DE PAGO POR SEGURIDAD . </t>
  </si>
  <si>
    <t>CORREO: varon5104@gmail.com</t>
  </si>
  <si>
    <t>DT: 3189</t>
  </si>
  <si>
    <t>CAMAPAÑA S/ 379</t>
  </si>
  <si>
    <t xml:space="preserve">TT CANCELARA S/ 379 29/02 , TT INDICA QUE YA HABIA CANCELADO A LA FINNACIERA OH S/ 500 PERO NO PUEDIE CARTA NO ADEUDO PAGO DEPENDE DE SU TRABAJO </t>
  </si>
  <si>
    <t xml:space="preserve">EDAD: 51 AÑOS / NO SE VERIFICA HIJOS EN EL SEARCH </t>
  </si>
  <si>
    <t>REDISCOTIA FINANCIERA</t>
  </si>
  <si>
    <t xml:space="preserve">DT: 3224 DK : 1470 </t>
  </si>
  <si>
    <t xml:space="preserve">CAMPAÑA SMS 294 </t>
  </si>
  <si>
    <t xml:space="preserve">MOTIVO : NO PAGO PORQUE TENIA PERCANCES Y REALIZABA VIAJES A CHILE </t>
  </si>
  <si>
    <t xml:space="preserve">SUSTENTO : TIENE EL DINERO PARA PAGAR , AGENCIAS CERRADAS EL SABADO Y VA HACERLO EL 30/03 . </t>
  </si>
  <si>
    <t>NO SE GUARDO GRABACION SE SUBIRA CAPTURA DE LLAMADA</t>
  </si>
  <si>
    <t>DT: 3254.52</t>
  </si>
  <si>
    <t>DK: 1500.00</t>
  </si>
  <si>
    <t>SE APROBO EXPECION PARA CANCELAR DEUDA CON EL IMPORTE DE S/500.00 PARA EL DIA 29/01 DINERO LO SACA DE EMPLEO INDEPENDIENTE , EDAD 22 AÑOS DE TT  , DEUDAS REPORTADAS EN SEARCH</t>
  </si>
  <si>
    <t>DT: 330  // CAPITAL: 303// CAMPAÑA: 230  FECHA DE PAGO: 29/02</t>
  </si>
  <si>
    <t>TT SE COMUNICO AL WHATASAPP DEL COORP 18// Y SE LE DEVOLVIO LA LLAMADA //TT INDICA QUE ESTARIA REALIZANDO EL PAGO HASTA EL DIA SABADO DICE QUE NO PUDO CANCELARLO ANTES POR QUE LE FALLARON ALGUNOS PAGOS.//</t>
  </si>
  <si>
    <t>EDAD DE TT:  31 AÑOS</t>
  </si>
  <si>
    <t>DT: 3400</t>
  </si>
  <si>
    <t xml:space="preserve">TT CANCELARA S/560 EL 28/02 ,TT INDICA QUE SACO PERTAMO PARA UN TERCERO Y CANCELACION DEPENDE DEL PAGO DE SUS ABERES </t>
  </si>
  <si>
    <t>EDAD:43</t>
  </si>
  <si>
    <t xml:space="preserve">NO CUENTA CON OTA DEUDA APARTE DE LAS DE NOSOSTROS </t>
  </si>
  <si>
    <t>DT: 3400.00</t>
  </si>
  <si>
    <t>DK: 1468.00</t>
  </si>
  <si>
    <t>CL NO REALIZO DEPOSITO INDICA QUE NO HABIA SISTEMA  , SE REPROGRAMA HASTA EL DIA 10/03 CANCELACION DEL IMPORTE DE S/70.00 , DARA ADELANTO DE S/200.00 EL DIA DE HOY 02/03 , CL EDAD 28 AÑOS  , SOLTERA , TIENE UNA ENTIDAD REPORTADA  , DINERO LO SACA DE EMPLEO  /  SE LLAMO POR WSSP YA QUE TT  NO TIENE PARA LLAMADAS NORMALES</t>
  </si>
  <si>
    <t>DK:1468</t>
  </si>
  <si>
    <t>CLIENTE CONFIRMA PAGO DE CANCELACION POR EL IMPORTE DE S/700.00 LA LLAME POR WSSP Y CLIENTE CONFIRMO POR MENSAJE  /  EDAD 27 AÑOS , TIENE 1 ENTIDAD REPORTADA EN SEARCH ,  DINERO LO SACA DE EMPLEO</t>
  </si>
  <si>
    <t>DT: 350 DK: 117 se acordo cancelar s/ 120 el 04/04 , tt mencionaba que no tenia conocimiento de importepentiende  , pago depende del abono de su trabajo , cuenta con trabajo fijo , cuenta con deuda en el BCP y BANCO RIPLEY anbas castigadas , tiene 1 hijo menor de edad .</t>
  </si>
  <si>
    <t>DT: 350</t>
  </si>
  <si>
    <t>EXPERTIS: 300</t>
  </si>
  <si>
    <t>DEJO DE PAGAR : COLERA, ANALISTA ME DIJO UN PRESTAMO, 12 DIAS, PROMESA IMCUMPLIDA.</t>
  </si>
  <si>
    <t>TRABAJA: PESCADOR</t>
  </si>
  <si>
    <t>FECHA DE PAGO: 29/11 TARDE 5PM</t>
  </si>
  <si>
    <t>VIVE EN PISCO.</t>
  </si>
  <si>
    <t>EXPERTIS: 320</t>
  </si>
  <si>
    <t>DEJO DE PAGAR PORQUE LE DIO LA PLATA A UN FAMILIAR  Y NO PAGO</t>
  </si>
  <si>
    <t xml:space="preserve"> HATA EL PAGO EL VIERNES 29 PAGARA 320 SOLES  POR LA TARDE </t>
  </si>
  <si>
    <t xml:space="preserve">dt: 3500 soles / campaña: 1500 soles // tt estaba delicada de salud por eso no pago // tiene un motocard que lo acaba de vender y con eso pagara // tt es ama de casa y un tiene un pequeño // deuda financiera crear // numero sin whastapp / </t>
  </si>
  <si>
    <t>DT: 3500</t>
  </si>
  <si>
    <t xml:space="preserve">CAMPAÑA: 2000 </t>
  </si>
  <si>
    <t>MOTIVO DE NO PAGO: no contaba con dinero pero ahora si y pagarà</t>
  </si>
  <si>
    <t>EDAD DE TT: 24 años</t>
  </si>
  <si>
    <t>se comenta sobre la penalidad por incumplimiento de pago y comenta estar conforme.</t>
  </si>
  <si>
    <t>DT: 3547.78</t>
  </si>
  <si>
    <t>DK:2491.66</t>
  </si>
  <si>
    <t>CAMPAÑA: credianka</t>
  </si>
  <si>
    <t>OFRECE  PAGAR PARA LA  CANCELACION A BASE DE  710 SOLES SE VALIDA CARGA FAMILIAR  SE VALIDA TRABAJO ESTABLE  NO SE VALIDA  DEUDA EN EL SEARCH</t>
  </si>
  <si>
    <t xml:space="preserve">ARGUMENTO : TT INDICA QUE TUVO ACUERDO QUE DIJO DIA DE PAGO PERO SE OBLIGARON A PAGAR ESE MISMO DIA DEL ACUERDO CUANDO EL DIJO QUE NO CONTABA CON EL DINERO PARA ESE DIA Y X ESE MOTIVO NO PAGO  DESEA CANCELAR LA TOTALIDAD DE LA DEUDA UNA VEZ Q TERMINE LA CUARENTENA </t>
  </si>
  <si>
    <t>dt: 3561.73</t>
  </si>
  <si>
    <t xml:space="preserve">dk: 1468.30 </t>
  </si>
  <si>
    <t xml:space="preserve">inbound cliente llamo indica que hoy abona los s/1000.00 y saldo retante a fin de mes </t>
  </si>
  <si>
    <t>inbound  , cliente cancela deuda con el importe de s/1800.00 se envia forma de pago</t>
  </si>
  <si>
    <t xml:space="preserve">DT: 3600 // CAMPAÑA: 500 MIL SOLES / JORGE ZAPATA SANCHEZ HERMANO QUE SE ENCARGA DE LA DEUDA PROPONE 3 MIL SOLES // SE RETRASO VENDIO SU CASA Y EL DINERO FUE PARA LA SALUD DE SU HERMANA Y POR ESO NO PAGO Y SE RETRASO / NO S EPUEDE VERIFICAR EL SEARCH NI EDAD NI DEUDAS // </t>
  </si>
  <si>
    <t xml:space="preserve">DT: 3600 SOLES / CAMPAÑA 700 SOLES / DICE QUE DEJO DE PAGAR POR PROBLEMAS DE PERDIDA DE TARJETA Y VIAJE / EDAD: 27 AÑOS / NO DEBE NINGUN ENTIDAD MAS / HIJO: 1 PEQUEÑO /  FECHA DE PAGO SE LOS 700 SOLES SABADO 25/01 </t>
  </si>
  <si>
    <t>DT: 3600</t>
  </si>
  <si>
    <t>DC:2400</t>
  </si>
  <si>
    <t>CAMPAÑA :2200</t>
  </si>
  <si>
    <t>MOTIVO DE NO PAGO : LA DEUDA ES DE SU FAMILIAR PERO EL ES EL TITTULAR</t>
  </si>
  <si>
    <t>JOSE RAMON DE LOS SANTOS LARIOS/64</t>
  </si>
  <si>
    <t>TRABAJA EN LA MUNICIPALIDAD DE SURCO S/1100</t>
  </si>
  <si>
    <t>TITULAR SE PRESIONA PAR ALA CANCELACION PORQUE NO QUIERE SER REPORTADO INFOCOR ES SU UNICA DEUDA SE OFRECE CAMPAÑA S/2200 EN 2 CUOTAS DURANTE EL MES EL SE GESTIONA DE NUMERO COPORTAVIO NUMERO 18 SE GRABA AUDIO</t>
  </si>
  <si>
    <t>SE MODIFICA PPC CANCELACION EN EL MES2 CUOTAS DE S/1100</t>
  </si>
  <si>
    <t>DK: 1300.38</t>
  </si>
  <si>
    <t>CAMPAÑA:800</t>
  </si>
  <si>
    <t>FECHA DE PAGO 18-02-20 A LAS 10AM.</t>
  </si>
  <si>
    <t>TT. CANCELA DEUDA  CON  400 (APROBADO POR JULIO)</t>
  </si>
  <si>
    <t>MOTIVO DE NO PAGO:NO CUENTA CON TRABAJO ESTABLE,ES MADRE SOLTERA TIENE TRABAJOS EVENTUALES EN COCINA.</t>
  </si>
  <si>
    <t>EDAD: 34 AÑOS</t>
  </si>
  <si>
    <t>HIJOS:3</t>
  </si>
  <si>
    <t>DT: 370</t>
  </si>
  <si>
    <t>CAMP: 150</t>
  </si>
  <si>
    <t>TT DICE QUE SOLO DEBIA UN SOL Y QUE NO PUEDE PAGAR TODO SE LE DIO LA OPCION DE CANCCELAR CON 150 SOLES, LO CANCELARA HASTA FIN DE MES</t>
  </si>
  <si>
    <t>DEUDAS:  SIN DEUDAS VENCIDAS SOLO FINANCIERA PRO</t>
  </si>
  <si>
    <t>DT: 3739</t>
  </si>
  <si>
    <t>MIN2 1700</t>
  </si>
  <si>
    <t>TT. PAGA CON EXCEPCION DE 1000 SOLES EL DIA LUNES 17-02 A LAS 4PM.</t>
  </si>
  <si>
    <t>TT. INDICA QUE NO PUDO PAGAR POR QUE SACO PRESTAMO PARA UN ANALISTA Y SOLO PAGO 2 LETRAS // SE VERIFICA EN EL SEARCH  GANA 1365 SOLES//TRABAJA // TIENE 34 AÑOS //  CUENTA 1000 SOLES PARA REALIZAR  PAGO// DINERO PENDIENTE POR COBRAR/ / NO SE VERIFICA HIJOS EN EL SEARCH NI DEUDAS PENDIENTES POR PAGAR.</t>
  </si>
  <si>
    <t>( COMUNICACION MEDIANTE CELULAR COOP. 18)</t>
  </si>
  <si>
    <t>DT: 390.00    PPC: 390</t>
  </si>
  <si>
    <t>IMP: CUARENTENA NO TRABAJO</t>
  </si>
  <si>
    <t>SUSTENTO DE PAGO: ACABE LA CUARENTENA EL DIA 10-MAYO Y COMIENZA  ATRABAJAR NO PUEDE PAGAR PARA 15SENAS SI NO A FIN DE MES*</t>
  </si>
  <si>
    <t xml:space="preserve">DT: 4 MIL </t>
  </si>
  <si>
    <t xml:space="preserve">DK: 2,000 MIL </t>
  </si>
  <si>
    <t>CAMPAÑA: 600</t>
  </si>
  <si>
    <t>LE LLEGO SMS CON IMPORTE MENOR PERO SE LE INDICO QU ETENIA QU EPAGR 600 SOLES .</t>
  </si>
  <si>
    <t>MOTIVO NO PAGO : PORQUE NO CUENTA CON UN SUELDO SUFICIENTE PARA PODER PAGAR .</t>
  </si>
  <si>
    <t>SUSTENTO : HIJO SE HARA CARGO DE LA OBLIGACION .</t>
  </si>
  <si>
    <t xml:space="preserve"> EDAD: 57 AÑOS</t>
  </si>
  <si>
    <t>TRABAJA EN : UNIDAD EJECUTORA 403 SALUD MORROPON - CHULUCANAS</t>
  </si>
  <si>
    <t xml:space="preserve">SUELDO : 513 SOLES </t>
  </si>
  <si>
    <t>NO TIENE MAS REGISTRO .</t>
  </si>
  <si>
    <t>ENTIDADES: 2 EN ESTADO NORMAL Y TARJETA OH EN PERDIDA.</t>
  </si>
  <si>
    <t xml:space="preserve">dt: 400.00 </t>
  </si>
  <si>
    <t xml:space="preserve">dk : 100.00 </t>
  </si>
  <si>
    <t>no pago por motivos economicos , se le ofrece cancelar s/100.00 , dinero lo saca de trabajo , edad 46 años , soltero  , no 2centdades</t>
  </si>
  <si>
    <t>DT: 400.00</t>
  </si>
  <si>
    <t xml:space="preserve">DK: 240.00 </t>
  </si>
  <si>
    <t>CLIENTE SE COMUNICA , NO PAGO POR UN TEMA ECONOMICO , SE LE OFRECE CANCELAR CON S/400.00 , INDICA QUE RECIBIO UN DESCUENTO DE S/150.00 SE LE INDICA QUE NO ESTA VIGENTE SE LE OFRECE HASTA S/200.00 , EDAD 34 , SOLTERO  , DINERO LO SACA DE EMPLEO ACTIVO , NO TIENE ENTIDADES REPORTADAS  , SE ENVIA FORMA DE PAGO</t>
  </si>
  <si>
    <t>DT: 4000</t>
  </si>
  <si>
    <t>CAMPAÑA: 800 / COMENTA QUE LE LLEGO UN SMS PARA QUE CANCELE CON S/.727</t>
  </si>
  <si>
    <t>- MOTIVO DE NO PAGO: ESTABA ENFERMA, EN EL SEGURO NO LE DABAN BUENOS MEDICAMENTOS POR ELLO OPTO EN COMPRAR POR TAL MOTIVO SE RETRASO EN CANCELAR LA DEUDA.</t>
  </si>
  <si>
    <t>- RUBRO: SIGUE TRABAJANDO EN LA MISMA EMPRESA [JALASA SERVICIOS GENERALES S.R.L]</t>
  </si>
  <si>
    <t>- DE DONDE VA A SACAR EL DINERO: AHORROS</t>
  </si>
  <si>
    <t>- EDAD DE TT: 55</t>
  </si>
  <si>
    <t>SE BRINDA NUMERO DE CUENTA: INTERBANK Y BCP</t>
  </si>
  <si>
    <t>DT: 4200.00</t>
  </si>
  <si>
    <t>DK: 2390.00</t>
  </si>
  <si>
    <t>se aprueba exepcion del importe de s/400.00 para el dia 27/01 dando un adelanto de s/50.00 el dia 13/01 , edad de 33 años , cliente trabaja de forma independiente se envia forma de pago</t>
  </si>
  <si>
    <t xml:space="preserve">DT: 423.   PPC:150  </t>
  </si>
  <si>
    <t>imp: motivo de mudanzas</t>
  </si>
  <si>
    <t xml:space="preserve">SUSTENTO DE PAGO: YA LO TIENE AHORRADO </t>
  </si>
  <si>
    <t>INDICA QUE CANCELA CON 150 SOLES EN CASO S ELE OTORGE LA CARTA NO ADEUDO 24 HORAS-</t>
  </si>
  <si>
    <t>952709669 / 73792965 * SE CORDINARA CON GERENCIA,*DISCADOR</t>
  </si>
  <si>
    <t xml:space="preserve">DT: 430   DK:181  PPC: 150 </t>
  </si>
  <si>
    <t>IMP:CUARENTENA</t>
  </si>
  <si>
    <t>SUSTENTO DE PAGO: SE PRESTARA Y UNA PARTE DE SU TRABAJI EN CASO SE TERMINE LA CUARENTENA.</t>
  </si>
  <si>
    <t xml:space="preserve">SE LE OFRECE EL CANCELAMIENDO POR  QUE YA SE ESTABA PONIENDO RENUENTE /  SOLICITO AYUDA POR QUE QUIERE SU CARTA </t>
  </si>
  <si>
    <t>DT: 4300</t>
  </si>
  <si>
    <t>CAMP: 1940</t>
  </si>
  <si>
    <t>TT DICE QUE NO TIENE DINERO AL MOMENTO A CANCELAR PERO A FIN DE MES PUEDE CANCELAR EL MONTO CAMPAÑA QUE LE ESTAN ENVIANDO POR MENSAJE QUE ES DE 1940 DICE QUE VA CANCELAR CON SU PRIMER SUELDO EL 29/02</t>
  </si>
  <si>
    <t>EDAD DE TT:  33 AÑOS</t>
  </si>
  <si>
    <t>DEUDAS: NO REGISTRA OTRA DEUDA</t>
  </si>
  <si>
    <t>SUELDO:  MUNICIPALIDAD DISTRITAL DE ECHARATI</t>
  </si>
  <si>
    <t>dt: 4300.00</t>
  </si>
  <si>
    <t xml:space="preserve">dk : 1379.00 </t>
  </si>
  <si>
    <t xml:space="preserve">se aprueba expecion en base al importe de s/600.00 , cliente cancelara el dia de mañana temprano , dinero lo saca de ahorros  </t>
  </si>
  <si>
    <t>DT: 435.96</t>
  </si>
  <si>
    <t>Dk: 140.51</t>
  </si>
  <si>
    <t>Campaña: 50</t>
  </si>
  <si>
    <t>fecha de pago: 04-03-20</t>
  </si>
  <si>
    <t xml:space="preserve">tt, hablo con Jimena, INBOUND, asiganado por Melina. </t>
  </si>
  <si>
    <t>Motivo de no pago:</t>
  </si>
  <si>
    <t xml:space="preserve"> Sustento de pago:  </t>
  </si>
  <si>
    <t>Edad: 61</t>
  </si>
  <si>
    <t>dt: 4360 soles / campaña: 1970 // tt se retraso o le pagan de una empresa y le estan alargando ya dos meses / pagara 1970 soles el dia 28/02 se le menciona que adelante antes una parte y la diferencia a fines de mes / edad 34 años / AGENCIA DE SEGURIDAD PRIVADA ESCORPION SOCIEDAD COMERCIAL DE RESPONSABILIDAD LIMITADA</t>
  </si>
  <si>
    <t>1375 / un vehiculo de placa 28509a / deudas pendientes no figura en el search / inbound /</t>
  </si>
  <si>
    <t>DT: 4400 DK : 2752     EXCEPCION</t>
  </si>
  <si>
    <t>CAMPAÑA : 2300</t>
  </si>
  <si>
    <t xml:space="preserve">SUSTENTO : TIENE EL DINERO EN MANO 1000 SOLES CON SEGURIDAD VA PAGAR , VIVE CERCA AGENCIA DE CREDINKA </t>
  </si>
  <si>
    <t xml:space="preserve">MOTIVO : NO PAGO POR PROBLEMAS ECONOMICOS , SU ESPOSO SIN TRABAJO Y ACABA DE REALIZAR GASTOS POR CUARENTENA </t>
  </si>
  <si>
    <t xml:space="preserve">DT: 4450 SOLES / CAMPAÑA: 473 SOLES / SE RETRASO SOLO PROQUE NO TENIA DINERO / EDAD 35 AÑOS /NO SE VERIFICA HIJOS / DEUDAS EN LA FINACIERA UNO / S ELE HABIA PROPUESTA 2 MIL SOLES PERO LE LLEGO UN MENSAJE PARA CANCELAR  DE 400 SOLES SE LE MENCIONO POR ELLO DE 473 SOLES SIEMPRE Y CUANDO LO PAGA EL DIA DE HOY MAXIMO MAÑANA / </t>
  </si>
  <si>
    <t>DT: 4500.00</t>
  </si>
  <si>
    <t>DK: 1873.00</t>
  </si>
  <si>
    <t>SE LE OFRECE CANCELAR CON EL IMPORTE DE S/400.00 O FRACIONAR EN BASE 375 X 12 MESES.</t>
  </si>
  <si>
    <t xml:space="preserve">EDAD 31 AÑOS  , SUSTENTO LO SACA DE TRABAJOS EVENTUALES , SOLTERO </t>
  </si>
  <si>
    <t>DK: 2845.00</t>
  </si>
  <si>
    <t xml:space="preserve">SE APROBO EXEPCION PARA LA CANCELACION DEL IMPORTE DE S/2200.00 PARA EL DIA 28/02 CLIENTE ADELANTA EL IMPORTE DE S/300.00 EL DIA DE HOY , SE ENVIA FORMA DE PAGO  </t>
  </si>
  <si>
    <t>DT: 4600</t>
  </si>
  <si>
    <t>DK: 2282</t>
  </si>
  <si>
    <t>CAMP: 500</t>
  </si>
  <si>
    <t>FECHA DE PAGO:  05/02</t>
  </si>
  <si>
    <t>TT DICE QUE SUFRIO UN ACCIDENTE Y QUE NO PUDO REALIZAR EL PAGO Y QUE TIENE OTROS PROBLEMAS FINANCIEROS Y UNA DEMANDA DE ALIMENTOS Y SOLO PUEDE GENERAR UN PAGO DE 500 SOLES TIENE DINERO EN LA MANO</t>
  </si>
  <si>
    <t>HIJOS:  TT INDICA QUE TIENE HIJOS</t>
  </si>
  <si>
    <t>EDAD DE TT: 33 AÑOS</t>
  </si>
  <si>
    <t>DEUDAS: 2 BANCOS CON UN TOTAL DE</t>
  </si>
  <si>
    <t>SUELDO: SUPERIOR AL MINIMO</t>
  </si>
  <si>
    <t>DT: 4695 SOLES / CAMPAÑA: 516 / TT SE RETRASO POR DEUDAS CON VARIOS BANCOS POR ESO DEJO DE PAGAR Y AHORA SUS TRABAJOS SON ESTABLES Y CON ESO AHORRARA / EDAD: 52 AÑOS / NO FIGURA TRABAJOS NI SUELDO EN EL SEARCH / DEUDAS 2 ENTIDADES QUE SUMAN 13500 SOLES APROX /CLIENTE LE LLEGO UN SMS POR 515.33 PERO SE REDONDEA EL MONTO/ PAGARA 200 SOLES EL 14/02 Y 316 EL 28/02</t>
  </si>
  <si>
    <t xml:space="preserve">DT: 480   ppc 300  </t>
  </si>
  <si>
    <t>le aceptan excepcion por 300 soles . pagara el dia 30/04/20 tat en la ultima llamda esta manejando por eso es muy rapido la llamada</t>
  </si>
  <si>
    <t>dt: 4800.00</t>
  </si>
  <si>
    <t>dk: 2024</t>
  </si>
  <si>
    <t xml:space="preserve">se aprobo exepcion para cancelacion de deuda  /  se envia documento por wssp </t>
  </si>
  <si>
    <t>DT: 4800.00</t>
  </si>
  <si>
    <t>DK: 2200.00</t>
  </si>
  <si>
    <t>SE APRUEBA EXEPCION EN BASE A 439 .00 PARA CANCELAR EN  FIN DE MES /  SE ENVIA FORMA DE PAGO  , CLIENTE QUIERE DOC. ES DESCONFIANDO</t>
  </si>
  <si>
    <t>dk: 2444.00</t>
  </si>
  <si>
    <t>se reprograma pago para el dia 23/05 ya que indica que solo le han abonado s/700.00 y le falta un monto  el dia sabado cl confirma que va a estar abonando /  se aprobo expecion</t>
  </si>
  <si>
    <t>dt: 490.</t>
  </si>
  <si>
    <t>expertis:250.</t>
  </si>
  <si>
    <t>trabaja en una casa...</t>
  </si>
  <si>
    <t xml:space="preserve">NUMERO DE SU HIJA MAS MODERNO:  </t>
  </si>
  <si>
    <t>27 de noviembre del 2019</t>
  </si>
  <si>
    <t>hora: 4pm</t>
  </si>
  <si>
    <t>hijos:4</t>
  </si>
  <si>
    <t>dejo de pagar: problemas economicos</t>
  </si>
  <si>
    <t xml:space="preserve">DT: 4900 SOLES / CAMPAÑA // SE RETRASO YA QUE PERDIO SU TRABAJO POR ENFERMEDAD YA QUE LA OPERARON // TRABAJA DE ENFERMERA / SUELDO NO SE PUEDE VER YA QUE EL SEARCH NO FUNCIONA /  EDAD: 40 AÑOS /  DEUDAS: NO PUEDO VER EL SEARCH/ DIE QUE NO TIENE DEUDAS / NO PUEDOE VER ELS EARCH/ TRABAJA EN EL SEGURO / </t>
  </si>
  <si>
    <t>Dt: 495</t>
  </si>
  <si>
    <t>cancelacion:102</t>
  </si>
  <si>
    <t>20/02/2020 fecha pago</t>
  </si>
  <si>
    <t>tt refiere que no pago porque las campañas no le parecian y actualmente essta haciendo cachuelos y va a cancelar</t>
  </si>
  <si>
    <t>tiene 57 años</t>
  </si>
  <si>
    <t xml:space="preserve">no trabaja </t>
  </si>
  <si>
    <t>no tiene hijos</t>
  </si>
  <si>
    <t>no tiene otra entidad reportada</t>
  </si>
  <si>
    <t>llamada discador</t>
  </si>
  <si>
    <t>DT: 5,100</t>
  </si>
  <si>
    <t>DK: 3,000</t>
  </si>
  <si>
    <t>CAMPAÑA: 2,500</t>
  </si>
  <si>
    <t>MDI: NO INDICA POR QUE NO PAGO SOLO QUE HOY POR LA TARDE SE APERSONA A PAGAR</t>
  </si>
  <si>
    <t>SEARCH: SIN ACCESO</t>
  </si>
  <si>
    <t xml:space="preserve">STP: INDICA NO IMPORTA ESO SOLO QUE PAGARA HOY   </t>
  </si>
  <si>
    <t>OBSERV: SE APERSONA HOY A PAGAR NO TIENE WHATSAPP PARA ENVIO DE CUENTA PERO SI SE LE INFORMA LA MANERA DE PAGO// ESTA MANENJANDO NO PUEDE ANOTAR SE LE ENVIARA NUMERO DE CUENTA POR SMS PERSONAL</t>
  </si>
  <si>
    <t>STP: NO INDICA</t>
  </si>
  <si>
    <t xml:space="preserve">OBSERV: SALIENDO DE TRABAJAR SE APERSONA A CAJA SULLANA A REALIZAR PAGO ANTES DE LAS 2PM </t>
  </si>
  <si>
    <t xml:space="preserve">DT: 5,200 SOLES </t>
  </si>
  <si>
    <t xml:space="preserve">CAMPAÑA: 2 MIL SOLES </t>
  </si>
  <si>
    <t xml:space="preserve">TT INDICA QUE LE LLEGO MENSAJE POR EL IMPORTE DE 1,787.00 SOLES ... SE COMPROMETE A PAGAR ESE IMPORTE EL DIA 22/01. </t>
  </si>
  <si>
    <t xml:space="preserve">MOTIVO DE NO PAGO : NO TENIA DINERO PARSA PODER PAGAR </t>
  </si>
  <si>
    <t>SUSTENTO: FAMILIAR LA APOYARA CON EL DINERO.</t>
  </si>
  <si>
    <t>EDAD: 36 AÑOS</t>
  </si>
  <si>
    <t xml:space="preserve">NO REGISTRA MAS INFORMACION . </t>
  </si>
  <si>
    <t xml:space="preserve">DT: 5.63 PPC:5.70   </t>
  </si>
  <si>
    <t xml:space="preserve">SUSTENTO DE PAGO: LUNES PAGAR </t>
  </si>
  <si>
    <t>INDICA QUE ESTABA BUSCANDO DONDE IVA A PAGAR</t>
  </si>
  <si>
    <t>DT: 500 SOLES / CAMPAÑA: 300 SOLES / TT SE RETRASO POR PROBLEMAS DE SALUD Y TEMAS DE TRABAJO / EDAD: 25 AÑOS / TRABAJO INVERSIONES AGRICOLAS PARAMONGA SA.C.</t>
  </si>
  <si>
    <t>C</t>
  </si>
  <si>
    <t xml:space="preserve">930 /  DEUDAS: NO FIGURA EN EL SEARCH CEL 2 / LLAMADA ENTRANTE </t>
  </si>
  <si>
    <t>DK:439</t>
  </si>
  <si>
    <t>CAMP: 380</t>
  </si>
  <si>
    <t xml:space="preserve">FECHA DE PAGO: 17/02  </t>
  </si>
  <si>
    <t>TT DICE QUE NO PUDO CANCELAR POR QUE ESTABA MAL ECONOMINCAMENTE Y LE ESTARIAN PAGANDO HASTA EL 15 Y LO PODRA CANCELAR EL 17/02</t>
  </si>
  <si>
    <t>DEUDAS: 1 FINANCIERA CON TOTAL 584.33</t>
  </si>
  <si>
    <t>EXPERTIS: 230</t>
  </si>
  <si>
    <t>VIERNES 29 DE NOV.- POR LA TARDE 4PM</t>
  </si>
  <si>
    <t xml:space="preserve">TRABAJO: AYUDA A VENDER ROPA </t>
  </si>
  <si>
    <t>HIJOS: 2</t>
  </si>
  <si>
    <t>VIUDA</t>
  </si>
  <si>
    <t>DT: 500.00</t>
  </si>
  <si>
    <t>DK: 265.00</t>
  </si>
  <si>
    <t>CLIENTE ACCEDE A CANCELAR EL IMPORTE DE S/300.00 , DINERO LO SACA DE AHORROS EDAD 30 AÑOS SOLTERO</t>
  </si>
  <si>
    <t>DT: 5000.00</t>
  </si>
  <si>
    <t>DK: 1142.00</t>
  </si>
  <si>
    <t xml:space="preserve"> SE COMUNICA LOURDES TITO ALVAREZ TIA ( ENCARGADA) , SE LE BRINDA CANCELACION DE S/1300.00 ACCEDEN A CANCELAR  , DINERO LO SACA DE AHORROS , EDAD 23 AÑOS , SOLTERA , NO TIENE ENTIDAD REPORTADA.</t>
  </si>
  <si>
    <t xml:space="preserve">DT: 5100 SOLES / CAMAPAÑA: 900 SOLES // TT DICE QUE NO PAGO POR FLTA DE TRABAJO - VENDE COMIDA Y AHI AHORRO NI HIJOS EN ELS EARCH// EDAD: 48 / NO SE VERIFICA TRABAJO NI SUELDO / PROPONE 740 SOLES SIEMPRE Y CUANDO LO PAGUE LUNES 27/01 // DEBE A BANCO RIPLEY Y FIACIERA PERY Y FALLABELLA // NO FIGURA MONTO / </t>
  </si>
  <si>
    <t>dt: 5200.00</t>
  </si>
  <si>
    <t xml:space="preserve">dk:3260 </t>
  </si>
  <si>
    <t>se aprobo exepcion , cliente cancela el dia 06/05 el importe de s/1000.00 , se envia douc por wssp</t>
  </si>
  <si>
    <t xml:space="preserve">DT: 5208 CAMPAÑA: 2966 EXCEPCION : 2000 TT INDICA QUE REALIZARA CANCELACION CON EL IMPORTE DE 2000 EL DIA 27/01  YA QUE SU COSECHA SE A RETRASADO PERO TIENE UN FAMILIAR QUE SIEMPRE LE PROVEE, INDICA QUE SI O SI CANCELA PARA ESA FECHA  (EFECTUANDO UN ABONO DE 200SOLES EL DIA 13/01)  SE LE ENVIA NUMERO DE CUENTA BCP PARA QUE NO TENGA INCOVENIENTES. LLAMADA DESDE CEL 17 </t>
  </si>
  <si>
    <t>DT: 525</t>
  </si>
  <si>
    <t>PROMOCION: 200</t>
  </si>
  <si>
    <t>MOTIVO DE NO PAGO :ESTABA SEGURO QUE UN TERCERO REALIZO LA CANCELACION, SOLO LE FALTABA PAGAR UNA CUOTA.</t>
  </si>
  <si>
    <t>TRABAJA: INSTALACION DE VIDRIOS</t>
  </si>
  <si>
    <t>HIJOS NO TIENE</t>
  </si>
  <si>
    <t>DINERO : ES DE SUS AHORROS.</t>
  </si>
  <si>
    <t xml:space="preserve">dt: 550.00 </t>
  </si>
  <si>
    <t xml:space="preserve">dk: 192.00 </t>
  </si>
  <si>
    <t>cl se muestra renuente al mencionarle el motivo de no pago , accede a cancelar con el importe de s/170.00 para el dia 25/05 , el sustento el cl no lo quiere mencionar se envia forma de pago</t>
  </si>
  <si>
    <t xml:space="preserve">DT: 5600 DK: 3461 CAMPAÑA: 2183 VICTOR SALAZAR CHACON </t>
  </si>
  <si>
    <t xml:space="preserve">26656533 PADRE DE TT, RESPONSABLE DE PAGOS, ES PROFESOR INIDCA QUE EL MOTIVO DE RETRASO, FUE POR QUE LE ROBARON TODA LA MERCADERIA DE SU HIJA  QUE SE DEDICABA AL NEGOCIO DE COMPRA Y VENTA ROPA,  EN LA ACTUALIDAD INDICA QUE LE LLEGO UN MENSAJE PARA QUE CANCELE SU DEUDA CON EL IMPORTE DE 2183 SOLES INDICA QUE REALIZARA LA CANCELACION DE LA DEUDA CON EL IMPORTE DE 2183 EN DOS PARTES 1000SOLES EL 13/01 Y 1283SOLES  EL 31/01 TIENE 54 AÑOS TRABAJA EN UNIDAD DE GESTION EDUCATIVA LOCAL UGEL CAJAMARCA  3HIJOS  TIENE OTRAS DEUDAS PERO NINGUNA CON DIA DE RETRASO DISCADOR </t>
  </si>
  <si>
    <t>DT: 5600</t>
  </si>
  <si>
    <t>DC: 2500</t>
  </si>
  <si>
    <t xml:space="preserve">TT CANCELARA S/ 2500 EL 20/02, TT NO CANCELO POR QUE TENIA UN HERMANO MAL QUE POSTERIOR MENTE FALLECION Y POR ESO INCURRIO EN EL RETRASO DINERO DEPENDE DE SU TRABAJO </t>
  </si>
  <si>
    <t>DT: 5642</t>
  </si>
  <si>
    <t>DK:2608</t>
  </si>
  <si>
    <t>CAMAPAÑA S/ 2500</t>
  </si>
  <si>
    <t xml:space="preserve">INBOUND ASIGNADO POR MARIBEL ( SIN AUDIO ) , A LA ESPERA DE COMPROBANTE DE PAGO. </t>
  </si>
  <si>
    <t xml:space="preserve">EDAD: 32 AÑOS </t>
  </si>
  <si>
    <t xml:space="preserve">NO REGISTRA CENTRO LABORAL EN EL SEARCH </t>
  </si>
  <si>
    <t>DEUDA :MIBCO</t>
  </si>
  <si>
    <t>DT: 5650.51</t>
  </si>
  <si>
    <t>DC: 2602.12</t>
  </si>
  <si>
    <t xml:space="preserve">TT INDICA QUE CANCELARA S/ 391 EL VIERNES 26/02 PAGARA S/ 390  Y EL 26/NO CANCELO POR MOTIVO DE TRABAJOS EVENTUALES DE SU TRABAJO DEPENDE EL PAGO DEL MONTO DETERMINADO </t>
  </si>
  <si>
    <t xml:space="preserve">EDAD: 40 </t>
  </si>
  <si>
    <t>CMAC HUANCAYO VENTA DE CARTERA FOCMAC</t>
  </si>
  <si>
    <t>BCO FALABELLA PERÚ</t>
  </si>
  <si>
    <t xml:space="preserve">DT: 5787 CAMPAÑA: 400 SMS / MENCIONA QUE POR FALTA DE TRABAJO NO LO REALIZO / AHORA LOGRO JUNTAR ESA CANTIDAD Y DESEA PAGARLO MAÑANA EN PROEMPRESA Y DESESA QUE LE ENVIEN UN ACUERDO DE CANCELACION / DEUDAS CON UNA ENTIDAD FALLABELLA // </t>
  </si>
  <si>
    <t>DT: 5800 SOLES // CAMPAÑA: 903 SOLES // ELLA PROPONE 881 SOLES CON EL CORREO QUE LE ENVIARON / TEMAS DE SALUD DEJO DE TRABAJAR Y NO CONTABA CON EL DINERO PARA PAGAR // DICE QUE EL DINERO ES DE UN AHORRO / EDAD: 36 AÑOS // NO FIGURA HIJOS EN EL SEARCH / COLDTRADE S.A.C.</t>
  </si>
  <si>
    <t xml:space="preserve">1151 // DEUDAS EN FINANCIERA UNO - BANCO WIESES // </t>
  </si>
  <si>
    <t>DT: 584     DK:400  CAMPAÑ : 350.00</t>
  </si>
  <si>
    <t xml:space="preserve">09610540 -  LUIS ALBERTO ABURTO AREVALO -  espsoso- ENCARGADO DE PAGO </t>
  </si>
  <si>
    <t xml:space="preserve">IMP: NUNCA LE DIERON INFORMACION - </t>
  </si>
  <si>
    <t>STP: 50 SOLES LE VAN A PRESTAR  11/05/20 - 300 FIN  DE MES  - 30/05/20</t>
  </si>
  <si>
    <t xml:space="preserve">929194612- </t>
  </si>
  <si>
    <t>DT: 588.37</t>
  </si>
  <si>
    <t xml:space="preserve">TT INDICA QUEE ES AMA DE CASA PART  S/50 20/02 PAGO DEPENDE DE PRESTAMO FAMILIAR , MADRE SOLTERA </t>
  </si>
  <si>
    <t>EDAD: 39</t>
  </si>
  <si>
    <t xml:space="preserve">HIJOS 4 EDADES ESCOLARES </t>
  </si>
  <si>
    <t>DT: 6,800.00</t>
  </si>
  <si>
    <t xml:space="preserve">CAMPAÑA: 2,800.00 SOLES .. SE VOLVERA A LLAMAR PORQUE NO SE CONCRETO EL COMPROMISO .. </t>
  </si>
  <si>
    <t xml:space="preserve">DT: 600 / CAMPAÑA: 310 SOLES /  MOTIVO DE RETRASO YA QUE NO TENIA DINERO Y AHORA SI DISPONE DE EFECTIVO / SOLO DISPONE DE 200 SOLES PERO CONSEGUIRA LA DIFERENCIA / TT LABORA EN CASA // HIJOS 1 PEQUEÑO / NO PUEDO VER EL SEARCH / </t>
  </si>
  <si>
    <t>DT: 600 DK : 190 CAMPAÑA : 600</t>
  </si>
  <si>
    <t xml:space="preserve">SUSTENTO : TIENE EL DINERO PARA PAGAR A FIN DE MES </t>
  </si>
  <si>
    <t>MOTIVO : NO PAGO POR CUARENTENA DE MOVILIZARSE ESTA EN EL CAMPO Y PEDIRA PERMISO PARA PODER SALIR AL BANCO .</t>
  </si>
  <si>
    <t>DT: 600 PROMOCION: 350</t>
  </si>
  <si>
    <t>PENALIDAD...5 SOLES</t>
  </si>
  <si>
    <t>TRABAJA: TECNICO EN COMUNICACION // COBRO PERU</t>
  </si>
  <si>
    <t>PAGO POR PAGARA:   355</t>
  </si>
  <si>
    <t>AGENTE BCP....</t>
  </si>
  <si>
    <t>EL DIA DE HOY NO PUEDE REALIZAR EL APGO PORQUE ESTA VIAJANDO// LLAMADA MANUAL // DISCADOR//</t>
  </si>
  <si>
    <t xml:space="preserve">dt: 600 soles // campaña: 250 soles / tt trabaja en la mina y 3 meses x 15 dias de descanso / nedad 24 años /tiene dos hijos pequeños // si lo hace mañana sera 150 soles/ quiere pagar 250 soles mes dos meses // no figura deudas en el sistema financiero/ le dara el dinero a su esposa le girara el dinero / </t>
  </si>
  <si>
    <t>DT: 600</t>
  </si>
  <si>
    <t>DK: 349.53</t>
  </si>
  <si>
    <t>INBOUND //  CLIENTE CANCELA CON S/315.00 ASIGANDO</t>
  </si>
  <si>
    <t>dt: 600</t>
  </si>
  <si>
    <t>expertis: 350---30/11  medio dia</t>
  </si>
  <si>
    <t>dejo de pagar : problemas personales/ problemas economicos</t>
  </si>
  <si>
    <t>PAGARA TODO 350 EL DIA SABADO 30 HASTA EL MEDIO DIA</t>
  </si>
  <si>
    <t>trabajando: empresas de de telecomunicaciones</t>
  </si>
  <si>
    <t xml:space="preserve">DT: 600.00 </t>
  </si>
  <si>
    <t xml:space="preserve">DK: 203.00 </t>
  </si>
  <si>
    <t>DT: 600.00</t>
  </si>
  <si>
    <t>INDICA QUE NO PAGO DEUDA POR TEMAS ECONÓMICOS  , SE LE OFRECE CAMPAÑA DE S/250.00 CLIENTE ACCEDE A CANCELAR. DINERO LO SACA DE EMPLEO ACTIVO  , EDAD 26 AÑOS  , NO TIENE ENTIDAD REPORTADA , PAGO LO REALIZA EL DIA VIERNES.</t>
  </si>
  <si>
    <t xml:space="preserve">dt: 600.00 </t>
  </si>
  <si>
    <t xml:space="preserve">dk: 408.00 </t>
  </si>
  <si>
    <t xml:space="preserve">cliente se comunica por sms de 306.00 no pudo pagar por temas economicos , el cl accede a la cancelacion ya que dinero lo obtendra de familiar para cancelar hasta el dia 30/05 , edad 27 años , soltero , no tiene dds , </t>
  </si>
  <si>
    <t>dt: 600.00</t>
  </si>
  <si>
    <t>cliente cancela deuda con el importe de s/350.00 para el dia 31/01 , da adelanto el dia 20/01 del importe de s/250.00 el dia 20/0 y saldo restante fin de mes  , cliente se levanta de gestiones v4</t>
  </si>
  <si>
    <t>dk : 58.00</t>
  </si>
  <si>
    <t>cliente no cancelo por que no le dieron razón de la obligación , cliente cancela deuda con el importe de s/100.00  claudiochavez007@hotmail.com //  cliente de 59 años  , trabajo activo gana buen sueldo , soltero , solo tieneuna entidad reportada</t>
  </si>
  <si>
    <t>DK: 248.00</t>
  </si>
  <si>
    <t>CLIENTE SE COMUNICA POR DEUDA INDICA QUE POR TEMAS ECONOMICOS NO CUMPLIO CON LOS S/500.00  Y SE LE OFRECE CANCELAR CONN S/200.00 ESTE MES PARA AYYDARLO  YA QUE QUIERE HATA ABRIL PARA PAGAR  , SE COMPROMETE HASTA EL DIA 20/03  , EDAD 26 AÑOS , SOLTERO  , SOLO TIENE 1 ENTIDAD DUDOSA   , DINERO LO SACA DE EMPLEO ENVENTUAL</t>
  </si>
  <si>
    <t>DT: 6000</t>
  </si>
  <si>
    <t>CAMPAÑA: 2200</t>
  </si>
  <si>
    <t>TT INDICA QUE POR UN TEMA DE DINERO NO PUDO CANCELAR SE LE DIO LA OPCION DE QUE PUEDE CANCELAR CON CAMPAÑA DE 2200 HASTA EL 15/02</t>
  </si>
  <si>
    <t>DEUDAS:  DOS DEUDAS CON UN TOTAL 3850 SOLES</t>
  </si>
  <si>
    <t>DT: 6000.0</t>
  </si>
  <si>
    <t xml:space="preserve">SE LE OFRECE EN INICIO CANCELAR CON EL IMPORTE DE S/2000.00 </t>
  </si>
  <si>
    <t xml:space="preserve">PERO CLIENTE INDICA QUE LE LLEGO SMS DE CANCELACION DE S/484. EL DIA 27/01 ESTARA CANCELACION  , DINERO LO SACA DE ESPOSO </t>
  </si>
  <si>
    <t>EDAD DE 34 AÑOS  , SOLTERO , SE ENVIA FORMA DE PAGO</t>
  </si>
  <si>
    <t>DT: 6000.00</t>
  </si>
  <si>
    <t>DK; 2718.00</t>
  </si>
  <si>
    <t>SE APROBO EXEPCION PARA CANCELAR DEUDA CON S/800.00 , DINERO LO SACA DE AHORROS EL DIA 15/01 , EDAD 33 AÑOS SOLTERO  , SE ENVIA FORMA DE PAGO</t>
  </si>
  <si>
    <t>DT: 60330</t>
  </si>
  <si>
    <t>DK: 29350</t>
  </si>
  <si>
    <t>PAGO LIBRE: 250</t>
  </si>
  <si>
    <t>FECHA: 04/03</t>
  </si>
  <si>
    <t>NOS COMUNICAMOS CON TT DEL COORP 15 DICE QUE SU ESPOSA NO PUEDO REALIZAR EL PAGO PERO ESTARIA REALIZANDO EL PAGO HOY LOS 250 SOLES</t>
  </si>
  <si>
    <t>EDAD DE TT:  58 AÑOS / CASADO</t>
  </si>
  <si>
    <t>DEUDAS:  NO REGISTRA OTRAS DEUDAS //  NO REGISTRA TRABAJO POR PLANILLA</t>
  </si>
  <si>
    <t>DT: 612</t>
  </si>
  <si>
    <t>PROMOCION: 150</t>
  </si>
  <si>
    <t xml:space="preserve">se le realiza un nuevo compromiso de pago S/150.00 </t>
  </si>
  <si>
    <t>NECESITA PAGAR PORQUE, NECESITA LA CARTA DE NO ADEUDO PARA UNOS DOCUMENTOS.</t>
  </si>
  <si>
    <t xml:space="preserve">DT: 630 </t>
  </si>
  <si>
    <t>DC: 305</t>
  </si>
  <si>
    <t xml:space="preserve">TT INDICA QUE PAGARA EL DIA SABADO 15/02/2020 S/ 400 EN LA MAÑANA, EL PAGO DEPENDE DEL PAGO DE SUS AVERES, SE LE INDICA AL TT POR QUE NO CANCELO SU DEUDA Y NO DA MAYOR RESPUESTA  </t>
  </si>
  <si>
    <t>- HIJOS: 2</t>
  </si>
  <si>
    <t xml:space="preserve">- EDAD DE TT:45 </t>
  </si>
  <si>
    <t xml:space="preserve">DEUDAD EN EL SISTEMA SEARCH : </t>
  </si>
  <si>
    <t>CMAC TACNA</t>
  </si>
  <si>
    <t xml:space="preserve">DT: 650 DK: 570 CAMPAÑA : 370   DISCADOR </t>
  </si>
  <si>
    <t xml:space="preserve">SUSTENTO : TT INDICA QUE VA HACER LO POSIBLE DE AGAR EL 30 RECIBE UN PAGO DE AFP . LE INTERESA LA CAMPAÑA </t>
  </si>
  <si>
    <t xml:space="preserve">MOTIVO: NO PAGO POR GASTOS Y TEMA DE CUARENTENA . </t>
  </si>
  <si>
    <t xml:space="preserve">SUSTENTO : TT INDICA QUE VA HACER LO POSIBLE DE PAGAR EL 15 RECIBE UN PAGO DE AFP . LE INTERESA LA CAMPAÑA </t>
  </si>
  <si>
    <t>APROBADO POR MARIANGELA PIÑA</t>
  </si>
  <si>
    <t xml:space="preserve">DT: 650 SOLES //  CAMPAÑA: 400 SOLES // SE RETRASO TT VIAJO A UNA POBLACION DE JULIACA POR TRABAJO QUIZO PAGAR PERO NO LE ACEPTARON EN LA CIUDAD DE JULIACA / EDAD: 26 AÑOS // NO FIGURA HIJOS EN EL SEARCH NI DEUDAS / EL DINERO ES DE UN AHORRO // EN LA CAJA CUSCO LE HARAN UN PRESTAMO /  </t>
  </si>
  <si>
    <t>DT: 650</t>
  </si>
  <si>
    <t>EXPERTIS: 500</t>
  </si>
  <si>
    <t>QUINCENA...PPC</t>
  </si>
  <si>
    <t>LUNES 16</t>
  </si>
  <si>
    <t>QUINCENA SUELDO....</t>
  </si>
  <si>
    <t>TRABAJA: EN AREA DE SALUD..</t>
  </si>
  <si>
    <t>HIJOS..</t>
  </si>
  <si>
    <t>ESPOSA...</t>
  </si>
  <si>
    <t>INFORMACION SACADA DE BD MANUAL 05.12</t>
  </si>
  <si>
    <t>dt: 650.00</t>
  </si>
  <si>
    <t>dk: 227.00</t>
  </si>
  <si>
    <t xml:space="preserve">  corp nro 15 cliente llamo</t>
  </si>
  <si>
    <t>no pago por problemas de salud , indica que tiene el importe de s/250.00 el lunes 25/05 dinero lo saca dee empleo , edad 71 años , casado</t>
  </si>
  <si>
    <t>dt: 6500 soles // campaña: 1662 soles // tt menciona que se retaso ya que dio a luz y se quedo sin trabajo // edad: 50 años / trabajo independiente y esta comenzando un pequeño negocio y de ahi junto y su apoyo de familia // la mitad 14/02 500 y la diferencia el 28/02 de 1662 soles / no figura hijos /deudas en mibanco y proempresa pero no figura monto //</t>
  </si>
  <si>
    <t>DT: 6586.00</t>
  </si>
  <si>
    <t>DK : 4345</t>
  </si>
  <si>
    <t>SE CANCELA DEUDA CON EL  IMPORTE DE S/2800.00 , EL DIA 27/01 PAGO 2200.00 SALDO RESTANTE DE S/600.00 EL DIA 31/01</t>
  </si>
  <si>
    <t>DK: 4345</t>
  </si>
  <si>
    <t xml:space="preserve">CLIENTE CANCELA DEUDA CON EL IMPORTE DE S/2800.00 YA GENERO PAGO EL DIA 27/01 DE S/2200.00 SALDO RESTANTE A FIN DE MES </t>
  </si>
  <si>
    <t xml:space="preserve">DT: 6770 CAMPAÑA MIN2: 720 TT INDICA QUE DESEA CANCELAR DEUDA CON EL IMPORTE DE 720 SOLES EL DIA 06/01 SOLICITA ACUERDO DE CANCELACION LLAMADA REALIZADA DESDE DISCADOR NO SE GRABO LA LLAMADA SE ADJUNTARA SCREEN DEL TRATO O  CONFIRMACION VIA WSP </t>
  </si>
  <si>
    <t>DT: 680.00</t>
  </si>
  <si>
    <t>DK: 476.59</t>
  </si>
  <si>
    <t>CAMPAÑA 350.00</t>
  </si>
  <si>
    <t>TT INDICA QUE ESTUVO CORDINANDO CON UNA SRTA, TT INDICA QUE ENVIARA A REALIZAR EL PAGO A UN TERCERO, SE ACOGE A LA CANCELACION CON EL IMPORTE DE S/350.00 EL DIA 14/03/2020</t>
  </si>
  <si>
    <t>SEARCH: 24 AÑOS, CENTRO LABORAL 20386239828</t>
  </si>
  <si>
    <t>ELECTROWERKE S.A. SUELDO 124, NO FIGURA DEUDA CON OTRAS ENTIDADES</t>
  </si>
  <si>
    <t xml:space="preserve">DT: 700 DK: 616 CAMAPAÑA: 530 </t>
  </si>
  <si>
    <t xml:space="preserve">41965796 MILTON ULISES AGUILAR VASQUEZ ESPOSO DE TT RESPOPNSABLE DE PAGO INDICA QUE PODRA HACER LA CANCELACION DE LA DEUDA CON EL IMPORTE DE 530SOLES EL 30/01 YA QUE EL MIERCOLES 29 LE DEPOSITAN PAGO POR EL SERVICIO QUE PRESTA TIENE 36 AÑOS HIJOS MENORES LO RESPORTA BANCO AZTECA TRABAJA DE MANERA INDEPENDIENTE LLAMADA DESDE CEL 17 </t>
  </si>
  <si>
    <t>DT: 700</t>
  </si>
  <si>
    <t>EXPERTIS: 650</t>
  </si>
  <si>
    <t>TT TIENE:</t>
  </si>
  <si>
    <t>EXCEPCION: 500 SOLES</t>
  </si>
  <si>
    <t>DEJO DE PAGAR: DIO LA PLATA A UN AMIGM PARA PAGAR Y NO PAGO.</t>
  </si>
  <si>
    <t>TRABAJA: EN LA CHACRA CULTIVO , MAIZ CAFE</t>
  </si>
  <si>
    <t>TIENE HIJOS: 2 HIJOS</t>
  </si>
  <si>
    <t>TIENE ESPOS: SI</t>
  </si>
  <si>
    <t xml:space="preserve">FECHA LIMITE: 22/11 </t>
  </si>
  <si>
    <t>TARDE: 5PM</t>
  </si>
  <si>
    <t>VLL EL DIA MIERCOLES</t>
  </si>
  <si>
    <t>DNI: 27297235</t>
  </si>
  <si>
    <t>NUMERO: 939961629</t>
  </si>
  <si>
    <t xml:space="preserve">excepcion aprobada </t>
  </si>
  <si>
    <t>DT: 700.00</t>
  </si>
  <si>
    <t xml:space="preserve">DK : 141.00 </t>
  </si>
  <si>
    <t>CLIENTE MANIFIESTA QUE POR INCREMENTO DE DEUDA ,  SE LE OFRECE CANCELAR EN BASE S/130.00 , DINERO LO SACA EMPLEO INDEPENDIENTE , EDAD 47 AÑOS , SOLTERO , NO TIENE ENTIDAD REPORTADA  PAGA EN LA TARDE  /  SE GESTIONA POR DISCADOR</t>
  </si>
  <si>
    <t>DT: 700//CAMP: 400 FECHA DE PAGO: 28/02</t>
  </si>
  <si>
    <t>tt dice que anteriormente quizo pagar con el monto de 300 pero no le aceptaron dice que si puede cancelar pero hasta fin de mes  con el monto de 400 soles</t>
  </si>
  <si>
    <t>EDAD DE TT:  42 AÑOS</t>
  </si>
  <si>
    <t>DEUDAS:  no registra otra deuda</t>
  </si>
  <si>
    <t xml:space="preserve">SUELDO: GMG COMERCIAL PERU S.A. superior al mercado </t>
  </si>
  <si>
    <t>dt: 7000 dk: 3672 campaña: 900 se aprobo excepcion con el importe de 500soles tt realizara cancelacion con el importe de 500soles hoy 15/01 48años otras deudas sin retraso llamada desde cel 17</t>
  </si>
  <si>
    <t>DT: 708.90</t>
  </si>
  <si>
    <t>DC: 424.63</t>
  </si>
  <si>
    <t xml:space="preserve">TT INDICA QUE ESTA CANCELANDO S/ 450 EL DIA 27/02/2020, NO PUDO CANCELAR ANTES POR QUE NO SE ENCONTRABA LABORANDO </t>
  </si>
  <si>
    <t xml:space="preserve">EDAD 44 , NO CEUNTA CON OTRA DEUDA APARTE DE LA DE ALTERNATIVA </t>
  </si>
  <si>
    <t xml:space="preserve">DT: 7100 / CAMPAÑA: 870 / TT MENCIONA QUE SE ATRASO YA QUE TENIA UN FAMLIAR ENFERMO Y LE PRESTO EL DINERO / EL DINERO ES UN AHORRO Y DESEA CANCELAR CON 870 SOLES / EDAD: 29 AÑOS / NO HAY SUELDO NI TRABAJO / DEUDAS EN EDYPIME LA CRUZ QUE SUMAN 360 SOLES/ LLAMADA INBOUND / SE ACERCO A LA AGENCIA ANTES / </t>
  </si>
  <si>
    <t>DT: 7200.00</t>
  </si>
  <si>
    <t>DK: 5279.00</t>
  </si>
  <si>
    <t xml:space="preserve">SE APRUEBA EXEPCION CON EL IMPORTE DE S/2500.00 EL ENCARGADO SR ROBERTO TALLA MESIAS  PAGARA EL DIA 24/02 A MAS TARDAR  .DINERO LO SACA DE PRESTAMO </t>
  </si>
  <si>
    <t>DT: 730</t>
  </si>
  <si>
    <t>CAMP: 400</t>
  </si>
  <si>
    <t>FECHA DE PAGO:  28/02</t>
  </si>
  <si>
    <t>TT DICE QUE NO TIENE DINERO PARA QUE PUEDA CANCELAR PORQUE ANTERIORMENTE TUVO UN PERCANSE, DICE QUE TRATARA DE VENDER ALGUNAS COMO SIEMPRE PARA QUE PUEDA REUNIR EL DINERO PAGARA 400 EN DOS PARTES SU PRIMER PAGO ES PARA EL 15/02 Y EL SEGUNDO 28/02</t>
  </si>
  <si>
    <t>DT: 7358.20</t>
  </si>
  <si>
    <t>DK:6026.55</t>
  </si>
  <si>
    <t>ACUERDO:PPc</t>
  </si>
  <si>
    <t>CAMPAÑA: oh</t>
  </si>
  <si>
    <t>COSECHA OH 12/19</t>
  </si>
  <si>
    <t xml:space="preserve">SE LE OFRECE  CANCELACION POR 1205 </t>
  </si>
  <si>
    <t xml:space="preserve">llamada cae x imbound </t>
  </si>
  <si>
    <t>DT: 737</t>
  </si>
  <si>
    <t>Dk: 140</t>
  </si>
  <si>
    <t>FEHCA DE PAGO: 09-03-20</t>
  </si>
  <si>
    <t>Motivo de no pago: Se fue de viaje</t>
  </si>
  <si>
    <t xml:space="preserve">Sustento de pago: su esposo le dara el dinero de sus sueldo. </t>
  </si>
  <si>
    <t>Hijos: no registra</t>
  </si>
  <si>
    <t>Edad:  42 años</t>
  </si>
  <si>
    <t>DEUDAS: Sin deudas.</t>
  </si>
  <si>
    <t>DT: 750</t>
  </si>
  <si>
    <t>CAMP: 550</t>
  </si>
  <si>
    <t>TT DICE QUE ESTUVO CON UN PROBLEMA ECONOMICO PERO LE PAGARAN EN SU TRABAJO Y QUE ESTARIA REALIZANDO EL PAGO, EN ESTE MES POR CAMPAÑA 550 SOLES EN DOS PARTES PRIMER PAGO PARA EL 15/02 Y EL SEGUNDO EL 28/02</t>
  </si>
  <si>
    <t>EDAD DE TT: 32 AÑOS</t>
  </si>
  <si>
    <t>SUELDO:  RODRIGUEZ ALAYO LIDIA CONSUELO</t>
  </si>
  <si>
    <t>DK: 460</t>
  </si>
  <si>
    <t>CAMP: 370</t>
  </si>
  <si>
    <t>FECHA DE PAGO:  13/2</t>
  </si>
  <si>
    <t xml:space="preserve">TT DICE QUE ANTERIORMENTE LE DABA EL DINERO A SU ANALISTA Y LE DABA UNOS COMPROBANTES FOTOCOPIADOS Y LUEGO LE DIJERON QUE NO HABIA TERMINADO DE PAGAR Y SUFRIO ESTAFA POR PARTE DEL ANALISTA/ SE LE DIO LA OPCION DE PAGAR CN 370 SOLES </t>
  </si>
  <si>
    <t>EDAD DE TT:  46 AÑOS</t>
  </si>
  <si>
    <t>SUELDO:  NEGOCIO PROPIO DE CARPINTERIA</t>
  </si>
  <si>
    <t>dt: 7500.00</t>
  </si>
  <si>
    <t>dk : 130.38</t>
  </si>
  <si>
    <t>cliente inbound  , se genera cancelacion n base al importe de s/180.00 , llamo al cel de mariangela , se confirmo pago por el corporativo nro 8  , cliente quiere cancelar deuda ya que postula a un trabajo y le piden la carta de no adeudo , dinero lo saca de ahorros , edad 32 años , soltero , solo tiene 1 entidad reportada</t>
  </si>
  <si>
    <t>DT: 7692</t>
  </si>
  <si>
    <t>CAMAPAÑA 1400</t>
  </si>
  <si>
    <t xml:space="preserve">SE ACORDO CANCELAR S/1400 EL 15/02 TT INDICA QUE TIEN NEGOCIO  , TT MENCIONA QUE ESTA PAGANDO PRESTAMOS Y POR ELLO RECIEN SE PUEDE CANCELAR HASTA LAS 15 DE MARZO PRESTAMO LO SACO PARA SU HERMANO Y SUS HERMANOS ESTAN EN LE  ESTRANJERO ,EL DIVERO DEPENDE DE LA VENTA DE LO QUE SU HERMANO LE ESTA ENVIANDO - LICORES    </t>
  </si>
  <si>
    <t xml:space="preserve">EDAD: 63 AÑOS </t>
  </si>
  <si>
    <t xml:space="preserve">NO CUENTA CON OTRA DEUDA EN FINARCIERAS </t>
  </si>
  <si>
    <t>DT: 780</t>
  </si>
  <si>
    <t>EXPERTIS: 400</t>
  </si>
  <si>
    <t>PROBLEMAS ECONÓMICOS</t>
  </si>
  <si>
    <t>TRABAJA: RESTAURANTE/ EMPLEADA.</t>
  </si>
  <si>
    <t>PPC--&gt;&gt;400</t>
  </si>
  <si>
    <t>FECHA: 13/12</t>
  </si>
  <si>
    <t>CASA: 54573629</t>
  </si>
  <si>
    <t>DT: 7997.1</t>
  </si>
  <si>
    <t>DK: 2883</t>
  </si>
  <si>
    <t>ESPOSA JULIA GARCIA CONFIRMA ULTIMA CUOTA DE PAGO DEL IMPORTE DE S/347.70 EL DIA 22/02 DINERO LO SACA DE EMPLEO ACTIVO CASADA / EDAD 71 AÑOS TT CUENTA CON 1 ENTIDAD REPORTADA</t>
  </si>
  <si>
    <t>DT: 8,427  CAMPAÑA SMS: 1,254.00</t>
  </si>
  <si>
    <t>IMP: PROBLEMAS DE SALUD</t>
  </si>
  <si>
    <t>MP:  SOLICITA SU CARTA/ SE LE ENVIO SMS CON EL MONTO MIN1</t>
  </si>
  <si>
    <t>INDICA QUE IRA A RETIRAR SU SUELDO DE AHI VA PAGAR.</t>
  </si>
  <si>
    <t>DT: 800 / CAMPAÑA: 300 // TT MENCIONA QUE CAYO DELICADA DE SALUD Y SE LE PRESENTO PROBLEMAS PERSONALES / EDAD: 24 AÑOS /  NO FIGURA TRABAJO ACTUAL NI SUELDO EN EL SEARCHJ / EL DINERO ES DE UN AHORRO 200 SOLES 100 SOLES LE PRESTARAN/ NON FIGURA HIJOS EN EL SEARCH / DEUDAS EN COMPATAMOS CON TOTAL 5700 SOLES APROX/ MAÑANA PAGARA A LAS 1:00 PM</t>
  </si>
  <si>
    <t xml:space="preserve">DT: 800 / CAMPAÑA: 450 SOLES /  TT MENCIONA QUE EL PRESTAMO FUE PARA UN TERCERO Y AHORA YA CUENTA CON UN TRABAJO ESTABLE // NO CARGA EL SEARCH / NO SE PUEDE SACAR MAYOR INFORMACION / PAGARA 200 EL DIA VIERNES 21/02 Y 250 EL 28/02 / LLAMO AL CEL NUMERO 02 </t>
  </si>
  <si>
    <t>DT: 800.00</t>
  </si>
  <si>
    <t xml:space="preserve">DK: 200.00 </t>
  </si>
  <si>
    <t>SE MENCIONA QUE ESTA POR UNA TARJETA DE CRÉDITO SOLICITADA NO RECONOCE LA DD  , SE LE OFRECE CANCELAR CON S/140.00 COMO TEMA DE AYUDA  PARA QUE NO ESTE REPORTADO EN LA CENTRAL DE RIESGO.CLIENTE ACCEDE A CANCELAR PARA QUE YA NO LO MOLESTEN. DINERO LO SACA DE EMPLEO /  NO TIENE ENTIDADES REPORTADAS  , ES REN DESCONFIANDO SE ENVIA FORMA DE PAGO ESTE 28/02 PAGA SE LE HABLA SOBRE PENALIDAD</t>
  </si>
  <si>
    <t>DT: 8000.00</t>
  </si>
  <si>
    <t xml:space="preserve">SE LE OFRECE CANCELAR CON EL IMPORTE DE S/3000.00 </t>
  </si>
  <si>
    <t xml:space="preserve">EL DIA 31/01 A MAS TARDAR , PERSONA DE 47 AÑOS , DINERO LO SACA DE SU HIJO QUE ES ING MECANICO ( LO SACA DE SUELDO) </t>
  </si>
  <si>
    <t>DT: 829  PPC 400 SOLES</t>
  </si>
  <si>
    <t xml:space="preserve">IMP:PROBLEMAS ECO.. AHORA SOLO SU ESPOSA SACA EL CREDITO </t>
  </si>
  <si>
    <t xml:space="preserve">INDICA QUE ARA TODO LO POSIBLE PARA PAGAR LOS 400 SOLES YA QUE EN ABRIL SERIA 492 SOLES </t>
  </si>
  <si>
    <t>CON UN ADLENTO DE 200 SOLES EM MARZO/ DISCADOR</t>
  </si>
  <si>
    <t>DT: 8431 DK:5692    CERRADO POR WHATSAPP</t>
  </si>
  <si>
    <t>SUSTENTO: LE PAGAN A FIN DE MES , PAGA TODOS LOS MESES , ULTIMA CUOTA , SE LE ELEVARA EXCEPCION</t>
  </si>
  <si>
    <t>CRONOGRAMA DE OH</t>
  </si>
  <si>
    <t>DT: 866.97</t>
  </si>
  <si>
    <t>DC: 201.16</t>
  </si>
  <si>
    <t xml:space="preserve">TT INDICA QUE PUEDE PAGAR SOLO PUEDE PAGAR S/200 LOS CANCELARA EL DIA 21/02/2020 ENTRE LAS 3 Y 4 PM EL PAGO DEPENDE DEL ABONO DE SUS HABERES SE LE PREGUNTO MOTIVO PERO INDICO SOLO MAS QUE RETRASO </t>
  </si>
  <si>
    <t xml:space="preserve">EDAD:28 </t>
  </si>
  <si>
    <t>DT: 880, CAMPAÑA :90 / TT DESEA CANCELAR LA DEUDA EL DIA LUNES, SE BRINDARA NUMERO DE CUENTA DE INTERBANK- 987408554 [SE ME FUE DISCADOR]</t>
  </si>
  <si>
    <t>DT: 900.00</t>
  </si>
  <si>
    <t>DK: 305.00</t>
  </si>
  <si>
    <t>SE COMUNICA POR DEUDA , NO PAGO YA QUE EL DINERO FUE PARA SU EX PAREJA  , SE LE BRINDA CANCELACION DE s/400.00 CLIENTE ACCEDE , EDAD 26 AÑOS  , DINERO LO SACA DE EMPLEO ACTIVO , TIENE 1 ENTIDAD REPORTADA Y ES SOLTERO , SE ENVIAN FORMA DE PAGO</t>
  </si>
  <si>
    <t xml:space="preserve">DK: 510.00 </t>
  </si>
  <si>
    <t xml:space="preserve">ACCEDE A CANCELAR CON EL IMPORTE DE S/200.00 PARA EL DIA 28/02 , TEMAS ECONOMICOS NO PAGO  , EDAD 39 AÑOS  , CASADA , DINERO LO SACA DE SU ESPOSO ( TRABAJO) </t>
  </si>
  <si>
    <t>DT: 9000</t>
  </si>
  <si>
    <t>MDI: SIN TRABAJO</t>
  </si>
  <si>
    <t>2 ENTIDADES, SUELDO MINIMO</t>
  </si>
  <si>
    <t>STP: TITULAR INDICA QUE PAGARA CON SU NUEVO SUELDO, CON SUELDO DE FIN DE MES.</t>
  </si>
  <si>
    <t>GRABACIÓN POR DISCADOR</t>
  </si>
  <si>
    <t>DT: 9000.00</t>
  </si>
  <si>
    <t>DK: 5107</t>
  </si>
  <si>
    <t>SE LLAMO AL CLIENTE  , CANCELA CON EL IMPORTE DE S/1900.00  // SE LE ENVIARA EL MISMO FORMATO QUE SE LE ENVIO EL MES DE DICIEMBRE SOLO SE MODIFICA LA FECHA DE PAGO PARA QUE REGULARIZE LA DEUDA , DINERO LO SACA DE EMPLEO / EDAD 34 AÑOS / SIN DEUDAS EN SEARCH</t>
  </si>
  <si>
    <t>DT: 920.00</t>
  </si>
  <si>
    <t>TT indica que esta en el campo y no esta ha podido salir a la ciudad, solicita plazo hasta el dia 14/03/2020 para la cancelacion con el importe de 260.00, se le indica que caso que no cumpla con acuerdo todo lo abonado se va ir a la DT y se le cobraria una penalidad.</t>
  </si>
  <si>
    <t>llamada cayo del discador, se me fue la ficha</t>
  </si>
  <si>
    <t>dt: 920/ campaña: 400 soles/ tt indica que no pago ya que la operacion de una hernia / edad: 33 años  no figura hijos en el search/  labora por recibos por honario y con su suelo pagara // no figura deudas en el search</t>
  </si>
  <si>
    <t xml:space="preserve">dt: 931 / campaña 200 // menciona que dejo de pagar ya que se olvido y como trabaja fuera de la ciudad no pudo bajar /  ya habua abonado 500 soles se le ofrece abonar 200 soles los cuales los hara el dia 20/01/ edad 24 años / trabaja en deloise con sueldo de 1 mil soles / no debe  abancos segun el search / </t>
  </si>
  <si>
    <t xml:space="preserve">DT: 950 CAMPAÑA MIN2: 320 TT INDICA QUE DEJO SALDO DE DOS CUOTAS POR X MOTIVOS, INDICA QUE TRABAJA EN CAMPO EN  </t>
  </si>
  <si>
    <t>(STIFTUNG SUYANA - FUNDACION SUYANA)INDICA QUE REALIZARA CANCELACION DE SU DEUDA CON EL IMPORTE DE 320SOLES EL DIA 10/01 DISCADOR ASI MISMO DESEA QUE LE ENVIEN CARTA DE NO ADEUDO AL 974710633 SE ENVIA INFO POR MENSAJE DE WSP</t>
  </si>
  <si>
    <t>DT: 950.00</t>
  </si>
  <si>
    <t>CANCELACION 350.00</t>
  </si>
  <si>
    <t xml:space="preserve">TT INDICA QUE IRA A PICHANAQUI, SE ACOGE A LA CANCELACION CON 350.00 EL DIA 14/02/2020 INDICA UQE YA TIENE EL DINERO // NO CUENTA CON WHATSAPP, INDICA QUE TRABAJA EN CHACRA </t>
  </si>
  <si>
    <t xml:space="preserve">DT: 980 SOLES / CAMPAÑA 375 SOLES / SE LE MENCIONA QUE LOS 400 SOLES EN DOS 2 MESES YA NO ESTA VIGENTE POR EL RETRASO / MENCINA QUE SE RETRASO POR UN TEMA DE SALUD / PAGARA 200 SOLES EL DIA 15/01 Y LA DIFERNCIA DE 175 SOLES EL DIA 31/01 / YA HUBO GESTION ANTERIOR CON MI PERSONA EN EL MES DE DICIEMBRE / </t>
  </si>
  <si>
    <t>DT: S/ 285.00</t>
  </si>
  <si>
    <t>DK: S/ 1.00</t>
  </si>
  <si>
    <t>MIN 2: S/ 0.88</t>
  </si>
  <si>
    <t>M.CAMPAÑA: S/ 1.00</t>
  </si>
  <si>
    <t>MOT. NO PAGO: Se olvido pagar ese monto</t>
  </si>
  <si>
    <t>DE DONDE SACA EL PAGO: Cancelara maximo el sabado</t>
  </si>
  <si>
    <t>PORQUE QUIERE PAGAR: Quiere la carta de no adeudo</t>
  </si>
  <si>
    <t>SEARCH (47 años, SI TRABAJA, S/ 477, CANTIDAD DE DEUDA:1 entidad</t>
  </si>
  <si>
    <t>DT: S/. 772.78</t>
  </si>
  <si>
    <t>DK: S/. 107.87</t>
  </si>
  <si>
    <t>Monto a cancelar S/. 90</t>
  </si>
  <si>
    <t>Fecha de pago: 09/03/2020</t>
  </si>
  <si>
    <t>Edad: 60</t>
  </si>
  <si>
    <t>Deuda con entidad: BANCO DE MATERIALES (perdida)</t>
  </si>
  <si>
    <t>No hay mas información de hijos.</t>
  </si>
  <si>
    <t>Solicita cancelar deuda por mejorar su estado crediticio.</t>
  </si>
  <si>
    <t>Deuda se genero lo pendiente por un seguro y la financiera Oh no le dio solución.</t>
  </si>
  <si>
    <t>DT: S/. 784.96</t>
  </si>
  <si>
    <t>DK: S/. 538.55</t>
  </si>
  <si>
    <t>Monto a cancelar S/. 200</t>
  </si>
  <si>
    <t>Fecha de pago: 07/03/2020</t>
  </si>
  <si>
    <t>Edad: 27</t>
  </si>
  <si>
    <t>Deuda con entidad: BCP (perdida)</t>
  </si>
  <si>
    <t>Actualmente labora para el estado para el ejército.</t>
  </si>
  <si>
    <t>DT: S/. 866.58</t>
  </si>
  <si>
    <t>DK: S/.424.55</t>
  </si>
  <si>
    <t>Monto a cancelar: S/. 200</t>
  </si>
  <si>
    <t>Fecha de pago: 05/03/2020</t>
  </si>
  <si>
    <t>Search: tiene deuda con el bnco falabella (perdida).</t>
  </si>
  <si>
    <t>No tiene mas registro.</t>
  </si>
  <si>
    <t>DT: S/. 9100.00</t>
  </si>
  <si>
    <t>DK: S/. 3100.0</t>
  </si>
  <si>
    <t>monto a cancelar S/. 2500</t>
  </si>
  <si>
    <t>fecha de pago: 09/03/2020</t>
  </si>
  <si>
    <t>edad: 44</t>
  </si>
  <si>
    <t>deuda con entidad: CMC POPULAR DE LIMA (perdida)</t>
  </si>
  <si>
    <t>No tiene infor de referencia laboral.</t>
  </si>
  <si>
    <t>DT: S/.57</t>
  </si>
  <si>
    <t>DK: S/.57</t>
  </si>
  <si>
    <t>CAMPAÑA: TT coordino con alessandra en pagar S/.100 soles</t>
  </si>
  <si>
    <t>- MOTIVO DE NO PAGO: no hay datos</t>
  </si>
  <si>
    <t>- RUBRO: independiente (no hay datos en search)</t>
  </si>
  <si>
    <t>- EL PRESTAMO LO USO PARA: no hay datos</t>
  </si>
  <si>
    <t>- DE DONDE VA A SACAR EL DINERO: no hay datos</t>
  </si>
  <si>
    <t>-- HIJOS: no hay datos</t>
  </si>
  <si>
    <t>-- EDAD DE TT: 48 años</t>
  </si>
  <si>
    <t>-- DEUDAS / SUELDO: tiene cuenta castigada con MIBANCO y credito vigente  con Financiera COMPARTAMOS</t>
  </si>
  <si>
    <t>DT: S/10000.00</t>
  </si>
  <si>
    <t>DK: 5227.00</t>
  </si>
  <si>
    <t>SE APRUEBA CANCELACION DEL IMPORTE DE S/2875.00 PARA EL DIA DE HOY , DINERO LO SACA DE AHORROS  PERDONA DE EDAD 58 AÑOS  , CASADA</t>
  </si>
  <si>
    <t>DT: S/1500.00</t>
  </si>
  <si>
    <t>DK: 600.00</t>
  </si>
  <si>
    <t>CLIENTE CONFIRMA SU CANCELACION CON EL IMPORTE DE S/300.00  , CLIENTE ES OBRERO SACA DINERO DE PAGO DE TRABAJO , EDAD 24 AÑOS NO TIENE ENTIDADES REPORTADAS SOLTERO</t>
  </si>
  <si>
    <t>NO PUDO PAGAR POR TEMAS DE TRABAJO HOY  SU CANCELACION CON EL IMPORTE DE S/300.00  , CLIENTE ES OBRERO SACA DINERO DE PAGO DE TRABAJO , EDAD 24 AÑOS NO TIENE ENTIDADES REPORTADAS SOLTERO /  SE ENVIA CTA INTERBANCARIA</t>
  </si>
  <si>
    <t>DT: S/2000.00</t>
  </si>
  <si>
    <t>DK:780.00</t>
  </si>
  <si>
    <t xml:space="preserve">CLIENTE ACCEDE EN CANCELAR CON EL IMPORTE DE S/180.00 ELM IDA 20/01 DINERO LO SACA DE EMPLEO QUE LE PAGAN 15 , 45 AÑOS SOLTERO </t>
  </si>
  <si>
    <t>DT: S/23.000</t>
  </si>
  <si>
    <t>DK: 5,042.00</t>
  </si>
  <si>
    <t>SE APRUEBA EXEPCION POR JULIO HIGA CLIENTE CANCELA DEUDA DEL IMPORTE DE S/1500.00 EL DIA DE MAÑANA ENTRE 10:30 AM - 11 AM , EN LA AGENCIA SAN GERONIMO EMPLEO EN CONDICION ACTIVA , EDAD DE 48 AÑOS DINERO LO SACA DE AHORROS</t>
  </si>
  <si>
    <t>DT:1,386  DK:662   CAMPAÑA: 485</t>
  </si>
  <si>
    <t>IMP: SE QUEDO SIN DINERO</t>
  </si>
  <si>
    <t>SUSTENTO DE PAGO:DE SU NEGOCIO</t>
  </si>
  <si>
    <t xml:space="preserve">TRABAJA INDEPENDIENTE MECANICO AMBULANTO.. 485 PPC </t>
  </si>
  <si>
    <t xml:space="preserve">DT:1,665      DK:480            CAMPAÑA: 450.00 </t>
  </si>
  <si>
    <t xml:space="preserve">IMP: SE DESAPARECIO LA AGENCIA/ </t>
  </si>
  <si>
    <t>DICE QIE LE ES IMPOSIBLE AHORA / INDICA QUE TIENE UN NEGOCIO- POR LA PANDEMIA NO ESTA TRABAJANDO.</t>
  </si>
  <si>
    <t xml:space="preserve">STP: JUNTARA*   </t>
  </si>
  <si>
    <t>952992024 / PPC 450</t>
  </si>
  <si>
    <t>DT:1000     PROMOCION: 200</t>
  </si>
  <si>
    <t>TT DICE QUE POR PROBLEMAS ECONOMICOS NO LO PUDO CANCELAR PERO LO ESATRIA CANCELANDO CON EL MONTO CAMPAÑA A 200</t>
  </si>
  <si>
    <t>EDAD : 32   DEUDAS : BANCO DE CREDITO DEL PERU</t>
  </si>
  <si>
    <t>dt:1000</t>
  </si>
  <si>
    <t>dk: 360</t>
  </si>
  <si>
    <t>campa: 300</t>
  </si>
  <si>
    <t xml:space="preserve">tt dice que no tenia trabajo por eso no pudo cancelar la cuenta hasta el mes de abril, se le dio la opcion de pago con la campaña en dos partes en este mes 150 hasta el 18/03 150 el 31/03 </t>
  </si>
  <si>
    <t>EDAD DE TT:26 AÑOS / SOLTERO</t>
  </si>
  <si>
    <t>DEUDAS:  NO REGISTRA DEUDA CON OTROS BANCOS // NATUCULTURA S.A 201709 // NO REGISTRA TRABAJO ACTUAL EN PLANILLA.</t>
  </si>
  <si>
    <t>DT:1000.00</t>
  </si>
  <si>
    <t>DK: 586.00</t>
  </si>
  <si>
    <t>CLIENTE INDICA QUE NO RECUERDA POR QUE NO CANCELO , CLIENTE ICE QUE LE LLEGO SMS POR 338.00 ESTA INTERESADO TIENE EL DINERO LO PUEDE PAGAR HOY , TIENE 50 AÑOS , SOLTERO NO TIENE ENTIDADES REPORTADAS  , DINERO LO SACA DE UNOS PAGOS QUE RECIBIIO /  SE GESTIONA POR DISCADOR  , SE ENVIA FORMA DE PAGO // CORREO: VGA3@HOTMAIL.COM</t>
  </si>
  <si>
    <t>DT:10000</t>
  </si>
  <si>
    <t>Campaña:Cancelacion Mes de Enero:S/3800</t>
  </si>
  <si>
    <t xml:space="preserve">MotivoNoPago:SUFRIO ROBO,  TT SE ENCUENTRA MAL DE SALUD , ESTA MUY MAL,  INVALIDO, su hijo es quien lo ayudara a realizar el pago, </t>
  </si>
  <si>
    <t xml:space="preserve">Edad:67 AÑOS </t>
  </si>
  <si>
    <t>Empresa:NT</t>
  </si>
  <si>
    <t xml:space="preserve">Sueldo:No tiene </t>
  </si>
  <si>
    <t>Deudas:CREDISCOTIA FINANCIERA S A</t>
  </si>
  <si>
    <t>Se comunico con nosotros su hijo el señor WALTER BARRETO(HIJO) para confirmar su compromiso de pago( cancelacion) por el monto de 3800 , hijo juntara el dinero , igual se estara comunicando para realizar pagos adelantados durantes estas semanas hasta llegar al total</t>
  </si>
  <si>
    <t>DT:101289.37</t>
  </si>
  <si>
    <t xml:space="preserve">SE LE INDICA AL CLIENTE QUE SE LE APROBO LA ACEPCION HASTA EL DIA 27 APROBACION DE JULIO </t>
  </si>
  <si>
    <t>DT:11,050.00</t>
  </si>
  <si>
    <t>DK:5,770</t>
  </si>
  <si>
    <t>Campaña:1750</t>
  </si>
  <si>
    <t xml:space="preserve">Sustento:prestamo fmlr </t>
  </si>
  <si>
    <t>NO pago:no contaba con el dinero en ese momento</t>
  </si>
  <si>
    <t>Search: no se eso</t>
  </si>
  <si>
    <t>tt refiere que cancelara el dia de hoy se hara prestamo fmlr el dia de hoy</t>
  </si>
  <si>
    <t>llamada de discador / se volvio a subir compromiso</t>
  </si>
  <si>
    <t>dt:1100 soles / campaña: 600 soles / katerine enriques humana encaragda de la deuda menciona que trecien estara viendo la deuda y ira pagando semnalmente va a ir pagando 150 semanal / edad de tt 32 años / no se ve trabajo ni sueldo en els eacrh ni hijos / prestamos pendientes tampoco/ cliente otrogado por inbound</t>
  </si>
  <si>
    <t xml:space="preserve">Dt:1115.50  </t>
  </si>
  <si>
    <t xml:space="preserve">Dk:572.39 </t>
  </si>
  <si>
    <t xml:space="preserve">Campaña:546.34 </t>
  </si>
  <si>
    <t>Contrapropuesta en mano S/.300 EN MANO Y LO RESTANTE A EL 29/05 = 546.35.</t>
  </si>
  <si>
    <t>Historial:REN</t>
  </si>
  <si>
    <t xml:space="preserve">Deudas:2 ENTIDADES </t>
  </si>
  <si>
    <t xml:space="preserve">CLIENTE SE COMUNICA CON NOSOTROS LE LLEGO UN MENSAJE DE TEXTO Y QUIERE CANCELAR LA DEUDA , ELLA SACARA EL DINERO DE UNA DEUDA Q LE DEBEN . TIENE 300 SOLES EN MANO Y LA DIFERENCIA LO PAGARA A MAS TARDAR EL 29/05.AUDIO  DE CIERRE. </t>
  </si>
  <si>
    <t>DT:112.930</t>
  </si>
  <si>
    <t>MIN2:33,090</t>
  </si>
  <si>
    <t>CONTRAPROPUESTA 10 MIL SOLES ,APROBADO POR JULIO</t>
  </si>
  <si>
    <t>MOTIVO DE NO PAGO: REDUCCION DE SUS INGRESOS.</t>
  </si>
  <si>
    <t>EDAD:48 AÑOS</t>
  </si>
  <si>
    <t xml:space="preserve"> SUSTENTO DE PAGO: PRESTAMO DE UN FAMILIAR PARA REALIZAR .</t>
  </si>
  <si>
    <t>dt:1125</t>
  </si>
  <si>
    <t>dk:354</t>
  </si>
  <si>
    <t>camapaña:100</t>
  </si>
  <si>
    <t>fecha de pago:22-04-20</t>
  </si>
  <si>
    <t>motivo de no pago: negocio quebro.</t>
  </si>
  <si>
    <t>sustento de pago: dinero afp de su esposo</t>
  </si>
  <si>
    <t>deudas: 2 entidades</t>
  </si>
  <si>
    <t>observacion:no tienen trabajo, ningunos estan gastando sus ahorros</t>
  </si>
  <si>
    <t>vive en huanuco no tiene ningun familiar que lo pueda apoyar para que lo pague.</t>
  </si>
  <si>
    <t>DT:1136</t>
  </si>
  <si>
    <t>Dk:691</t>
  </si>
  <si>
    <t>Campaña:532</t>
  </si>
  <si>
    <t>Fecha de pago: 30-03-20</t>
  </si>
  <si>
    <t>Motivo de no Pago: Motivo de salud, perdida de un bebe, volvio a recaer.</t>
  </si>
  <si>
    <t>Sustento de pago: pago de sueldo.</t>
  </si>
  <si>
    <t>Edad:24 AÑOS</t>
  </si>
  <si>
    <t>Hijos:No registra en search</t>
  </si>
  <si>
    <t>Deudas: 3 entidades . UN APROX. DE 6715 SOLES</t>
  </si>
  <si>
    <t xml:space="preserve">Dt:1150.57 </t>
  </si>
  <si>
    <t>Dk:700</t>
  </si>
  <si>
    <t>Campaña:200</t>
  </si>
  <si>
    <t>Contrapropuesta en mano S/.230</t>
  </si>
  <si>
    <t xml:space="preserve">Castigo:3 años </t>
  </si>
  <si>
    <t xml:space="preserve">Historial:si. </t>
  </si>
  <si>
    <t>Planilla:no</t>
  </si>
  <si>
    <t>Deudas:2</t>
  </si>
  <si>
    <t>cliente se comunica y nos dice q le llego un mensaje y q cancelara el dia de hoy y nos dice q su familiar hira a pagar ahora , ya q esta haciendo otros pagos , pero ella queria q le demos la campaña en el mes de junio se le indica q no y se vuelve a comunicar y nos dice q no hay problema y q hoy lo hara . audio</t>
  </si>
  <si>
    <t>Dt:1168</t>
  </si>
  <si>
    <t>Dk:1470</t>
  </si>
  <si>
    <t>No pago: indica que  fue aval de un fmlr el cual ahora se hara responsable de la obligacion</t>
  </si>
  <si>
    <t>subida desde discador</t>
  </si>
  <si>
    <t>search: no se uso</t>
  </si>
  <si>
    <t xml:space="preserve">DT:1168.24 CLIENTE SE COMUNICA CON NOSOTROS Y NOS DICE Q QUIERE CANCELAR LA DEUDA A LA TOTALIDAD Y NOS DICE Q LE MANDARON UN MENSAJE DE TEXTO PARA CANCELAR 252 SOLES , EL SACO EL CREDITO PARA UNA COMPAÑERA DE TRABAJO Y SUS ULTIMAS CUOTAS DE PAGO NO LO AGO Y SI NO FUERA CON SAGA Q EL SOLICITO UN CREDITO NO SE HABIA ENTERADO Q SEGUIA CON DEUDA POR ESE MOTIVO QUIERE CANCELAR  . 934328674 NUMERO DE WHATSSAP. </t>
  </si>
  <si>
    <t>DT:1200</t>
  </si>
  <si>
    <t>CAMPAÑA:600 SOLES</t>
  </si>
  <si>
    <t>MOTIVO DE NO PAGO: MOTIVO DE SALUD</t>
  </si>
  <si>
    <t>EDAD:39 AÑOS</t>
  </si>
  <si>
    <t>DEUDAS:SOLO CON PROEMPRESA</t>
  </si>
  <si>
    <t>SUSTENTO DE PAGO:AHORROS.</t>
  </si>
  <si>
    <t>FECHA DE PAGO: 17-02-20.</t>
  </si>
  <si>
    <t>DT:1227</t>
  </si>
  <si>
    <t>DK:726</t>
  </si>
  <si>
    <t>CAMPAÑA:550</t>
  </si>
  <si>
    <t>FECHA DE PAGO: 29-05-20</t>
  </si>
  <si>
    <t>MOTIVO DE NO PAGO:DE SALUD.</t>
  </si>
  <si>
    <t>SUSTENTO DE PAGO: PAGO DE HABERES.</t>
  </si>
  <si>
    <t>TT, REALIZA UN PRIMER PAGO DE 100 SOLES EL DIA LUNES 11 -05 QUE ESTARA LLEGANDO A LA CIUDA.</t>
  </si>
  <si>
    <t>DT:12300</t>
  </si>
  <si>
    <t>DK:7700</t>
  </si>
  <si>
    <t>CAMPAÑA:5300</t>
  </si>
  <si>
    <t>FECHA DE PAGO: 20-02-20.</t>
  </si>
  <si>
    <t>MOTIVO DE NO PAGO: MOTIVOS LABORALES</t>
  </si>
  <si>
    <t>EDAD:33</t>
  </si>
  <si>
    <t>DINERO OBTENDRA: DE UNA VENTA DE UNA PROPIEDAD</t>
  </si>
  <si>
    <t>DEUDAS: 2 CAJA RURAL CAT, BCO FALABELLA 18,818 SOLES.</t>
  </si>
  <si>
    <t>SE INDICA LOS BENEFICIOS Y ADVERTENCIAS.</t>
  </si>
  <si>
    <t>DT:1300 DK: 475 CAMPAÑA : 200</t>
  </si>
  <si>
    <t>SUSTENTO : TIENE 100 PARA OAGAR HOY 20/04 Y EL 23/04 = 100</t>
  </si>
  <si>
    <t xml:space="preserve">MOTIVO : ESTA EMBARAZADA , SU ESPOSO ESTA EN LA MINA , NO TIENE INTERBNK CERCA , SOLO CAJA AREQUIPA O BCP , SE LE MENCIONO DE PENALIDAD . SU ESPOSO NO LE DEJAN SALIR DE DONDE TRABAJA  </t>
  </si>
  <si>
    <t>expertis: 380</t>
  </si>
  <si>
    <t>dni: 168012487</t>
  </si>
  <si>
    <t>viernes 13: 380</t>
  </si>
  <si>
    <t>ppc: 380</t>
  </si>
  <si>
    <t>dni: 16801248</t>
  </si>
  <si>
    <t>celula: 933000924</t>
  </si>
  <si>
    <t>se me fue la ficha</t>
  </si>
  <si>
    <t>motivo: se separo de su mujer... (lo abandono)</t>
  </si>
  <si>
    <t>trabaja: negocio independiente</t>
  </si>
  <si>
    <t>thijos: 2 uno especial</t>
  </si>
  <si>
    <t>esposa : no tiene.</t>
  </si>
  <si>
    <t>DT:1320.</t>
  </si>
  <si>
    <t>CAMPAÑA DE 650 SOLES</t>
  </si>
  <si>
    <t xml:space="preserve">HIJA DEL TT NOS DICE Q QUIERE CANCELAR LA DEUDA A LA TOTALIDAD BANIA LISBEHT FLORES LUJAN 47646210 ES LA HIJA Y RESPONSABLE DE LA DEUDA , NOS DICE Q HOY PAGARA ELLA DEJO E PAGAR PORQ NO TENIA MUCHO DINERO EN ESE MOMENTO . </t>
  </si>
  <si>
    <t xml:space="preserve">Dt:1332.90 </t>
  </si>
  <si>
    <t>Dk:500.00</t>
  </si>
  <si>
    <t xml:space="preserve">Campaña:139. </t>
  </si>
  <si>
    <t>Contrapropuesta en mano S/.139</t>
  </si>
  <si>
    <t>Historial:NO</t>
  </si>
  <si>
    <t>Sustento de Pago:CLIENTE SE COMUNICO CON NOSOTROS,Y NOS DICE Q AYER LE ENVIARON MENSAJE DE TEXTO DE CAMPAÑA DE 139.</t>
  </si>
  <si>
    <t>CORREO:MARINPANDUROJ@GMAIL.COM</t>
  </si>
  <si>
    <t>AUDIO</t>
  </si>
  <si>
    <t>Dt:1373</t>
  </si>
  <si>
    <t>Dk:424</t>
  </si>
  <si>
    <t xml:space="preserve">Campaña:300 </t>
  </si>
  <si>
    <t>Sustento:tt refiere que cancelara con 300 soles su deuda depende de que llegue el esposo el dia lunes se enviara compromiso por whatsapp</t>
  </si>
  <si>
    <t xml:space="preserve">No pago: no contaba con dinero al momento </t>
  </si>
  <si>
    <t>Search: no se uso</t>
  </si>
  <si>
    <t>DT:1374</t>
  </si>
  <si>
    <t>DK:714</t>
  </si>
  <si>
    <t>CAMAPAÑA:650</t>
  </si>
  <si>
    <t>FEHCA DE PAGO:30-04-20</t>
  </si>
  <si>
    <t>MOTIVO DE NO PAGO: SACO PARA OTRA PERSONA Y NO PAGO</t>
  </si>
  <si>
    <t>SUSTENTO DE PAGO:SUELDO</t>
  </si>
  <si>
    <t>DEUDA UNICA</t>
  </si>
  <si>
    <t>Observacion: esposa Violeta  Obregon Davila,con DNI: la encargada de realizar</t>
  </si>
  <si>
    <t>el pago ya que su esposo se encuentra fuera trabaja en transporte.</t>
  </si>
  <si>
    <t>dt:1385</t>
  </si>
  <si>
    <t>dk:776</t>
  </si>
  <si>
    <t>cmapaña:500</t>
  </si>
  <si>
    <t>TT, INDICA QUE EL 23-04-20 ESTARIA REALIZANDO UN ADELANTO DE 200 SOLES</t>
  </si>
  <si>
    <t>Y LA DIFERENCIA DE 300 SOLES EL 30-04-20 .</t>
  </si>
  <si>
    <t>motivo de no pago:Trabaja lejos, camina un dia, le hacia imposible</t>
  </si>
  <si>
    <t>deudas:unica deuda.</t>
  </si>
  <si>
    <t>sustent de pago: honorarios.</t>
  </si>
  <si>
    <t>DT:1387</t>
  </si>
  <si>
    <t>CAMPAÑA:485</t>
  </si>
  <si>
    <t>FECHA DE PAGO: 25-02-20 A LAS 4PM</t>
  </si>
  <si>
    <t>MOTIVO DE NO PAGO: LABORALES, AHORA YA CUENTA CON TRABAJO ES MECANICO AUTOMOTRIZ, NO ESPECIFICA DE DONDE OBTENDRA EL DINERO SOLO INDICA QUE CONSEGUIRA.</t>
  </si>
  <si>
    <t>EDAD:45AÑOS</t>
  </si>
  <si>
    <t>HIJOS:NO ESPECIFICA.</t>
  </si>
  <si>
    <t>DEUDAS:NO REGISTRA DEUDAS CON OTRAS ENTIDADES.</t>
  </si>
  <si>
    <t>DT:1400.00</t>
  </si>
  <si>
    <t>DK: 597</t>
  </si>
  <si>
    <t xml:space="preserve">SE APROBO EXEPCION DE S/398.00 SERA CANCELADO EL DIA 06/01 PAGO LO SACA DE SUELDO </t>
  </si>
  <si>
    <t>DT:1430</t>
  </si>
  <si>
    <t xml:space="preserve">SE HABLA CON EL TT NOS DICE Q EL CREDITO LO SACO PARA SU HERMANO Y Q NO FUE A LA FINANCIERA PORQ EL VIVIA EN PROVINCIA EL , QUIERE SOLUCIONAR LA DEUDA EN UN TIEMPO ESTIMADO . </t>
  </si>
  <si>
    <t xml:space="preserve">NOS DICE Q HIRA A LA MISMA FINANCIERA A CANCELAR LA DEUDA A LA TOTALIDAD </t>
  </si>
  <si>
    <t xml:space="preserve">CAE POR DIACADOR </t>
  </si>
  <si>
    <t xml:space="preserve">SE ME FUE LA FICHA </t>
  </si>
  <si>
    <t xml:space="preserve">DT:1500 CAMPAÑA:650 ABONA EL DIA DE HOY 300 Y LO RESTANTE EL DIA LUNES // MENCIONA QUE DESEA SUS DOCUMENTOS DE PROPIEDAD DE SU TERRENO ES POR ELLO QUE QUIERE CANCELAR </t>
  </si>
  <si>
    <t>Dt:1518,52</t>
  </si>
  <si>
    <t xml:space="preserve">Dk:337.24 </t>
  </si>
  <si>
    <t>Campaña:250</t>
  </si>
  <si>
    <t>Contrapropuesta en mano S/175 EN 2 MESES</t>
  </si>
  <si>
    <t>Historial:CLIENTE SIEMPRE A TENIDO PROMESAS IMCUMPLIDAS</t>
  </si>
  <si>
    <t>Sustento de Pago:CLIENTE ESTE MES VA A CANCELAR YA Q ES SU SEGUNDA CUOTA DE PAGO , REALIZARA UN PAGO EL DIA 20/05 DE S/75 SOLES Y A FIN DE MES LO COMPLETARA.</t>
  </si>
  <si>
    <t>DT:1543</t>
  </si>
  <si>
    <t>dk:600</t>
  </si>
  <si>
    <t>camapaña:180</t>
  </si>
  <si>
    <t>fecha de pago:30-04-20</t>
  </si>
  <si>
    <t>MOTIVO NO PAGO:dinero fue para una tercera persona.</t>
  </si>
  <si>
    <t>sustento de pago:dinero sera de un pago que lo realizaran.</t>
  </si>
  <si>
    <t>deudas:1 entidad.</t>
  </si>
  <si>
    <t>llamda se realiza del discador base manual asignado tacita.</t>
  </si>
  <si>
    <t>DT:1584</t>
  </si>
  <si>
    <t>DK:700</t>
  </si>
  <si>
    <t>CMAPAÑA:200</t>
  </si>
  <si>
    <t>FECHA DE PAGO:28-04-20</t>
  </si>
  <si>
    <t>MOTIVO DE NO PAGO:TRABAJA FUERA POR RIO, RECIEN ESTA POR LA CUARENTENA EN LA CIUDAD.</t>
  </si>
  <si>
    <t>SUSTENTO DE PAGO:HABERES</t>
  </si>
  <si>
    <t>DT:1600</t>
  </si>
  <si>
    <t>CAMPA: 500</t>
  </si>
  <si>
    <t>TT INDICA QUE NO TIENE DINERO PARA QUE PUEDA REALIZAR UN SOLO PAGO POR CAMPAÑA PERO QUE SI PUEDE REALIZAR EL PAGO EN PARTES HASTA EL 31/03</t>
  </si>
  <si>
    <t xml:space="preserve">HIJOS: 4 HIJOS </t>
  </si>
  <si>
    <t>EDAD DE TT: 37 AÑOS / CASADO</t>
  </si>
  <si>
    <t>DEUDAS:   MIBCO TOTAL 443.70 BCO RIPLEY PERU TOTAL 0.00 //ZETA GAS ANDINO S.A. 201909</t>
  </si>
  <si>
    <t>DT:1600.00</t>
  </si>
  <si>
    <t xml:space="preserve"> CLIENTE ACCEDE A PAGAR LOS S/920.00 PARA CANCELAR DEUDA , PAGO LO SUSTENTA DE EMPLEO VIGENTE  , ESTARA PAGANDO POR AGENTE BCP A LAS 2 PM</t>
  </si>
  <si>
    <t>DT:1666</t>
  </si>
  <si>
    <t>DK:845</t>
  </si>
  <si>
    <t>CAMAPAÑA:254</t>
  </si>
  <si>
    <t>FECHA DE PAGO:07-05-20</t>
  </si>
  <si>
    <t>MOTIVO DE NO PAGO: ACCIDENTE MOTO EN PROVINCIA.</t>
  </si>
  <si>
    <t>SUSTENTO DE PAGO:CUENTA CON 200 SOLES MAÑANA ESTARA COMPLETANDO LA DIFENCIA.</t>
  </si>
  <si>
    <t>DT:1700</t>
  </si>
  <si>
    <t>SE LE MENCIONA SOBRE LAS CAMPAÑAS , NOS COMENTA Q NO PUDO CANCELAR PORQ OH LE DABA EL MONTO CONDONADO Y NOS DICE Q SI VA A CANCELAR.</t>
  </si>
  <si>
    <t>FECHa de pago:6/02</t>
  </si>
  <si>
    <t>DT:17000.00</t>
  </si>
  <si>
    <t>DK:5900.00</t>
  </si>
  <si>
    <t xml:space="preserve">SE APRUBA EXEPCION DE S/2000.00 PAGA DE AHORROS EDAD 28 AÑOS </t>
  </si>
  <si>
    <t>dt:1763</t>
  </si>
  <si>
    <t>campaña: 170 s</t>
  </si>
  <si>
    <t>tt no brinda informacion adicional solo indica que cumplica con la obligacion que tiene con cancelacion de s/170 para el viernes , search edad:51 años , sin datos de trabaja / hijos , os entidades reportadas dando una suma de s/11,300 // llamada discador.</t>
  </si>
  <si>
    <t>DT:1786</t>
  </si>
  <si>
    <t>DK: 748.79</t>
  </si>
  <si>
    <t>Campaña: 150</t>
  </si>
  <si>
    <t>Fecha de pago: 29-02-20</t>
  </si>
  <si>
    <t>Motivo de no pago: motivo de viaje se fue  fuera del peru estuvo años  llego hace unos meses y esta saldando todo sus deudas.</t>
  </si>
  <si>
    <t>Sustento de pago: De un pago que realizaran para saldar las deudas.</t>
  </si>
  <si>
    <t>Hijos: No registra</t>
  </si>
  <si>
    <t xml:space="preserve">Edad: 32  años </t>
  </si>
  <si>
    <t xml:space="preserve">DEUDAS: 3 entidades  aprox. 10,968 </t>
  </si>
  <si>
    <t>(cliente asiganado por inbound llamada se realiuza del coop. 18)</t>
  </si>
  <si>
    <t>Dt:1800</t>
  </si>
  <si>
    <t xml:space="preserve">Dk:1200 </t>
  </si>
  <si>
    <t>Campaña:870</t>
  </si>
  <si>
    <t>Contrapropuesta en mano S/500</t>
  </si>
  <si>
    <t>Castigo 5 AÑOS A +</t>
  </si>
  <si>
    <t>Historial:36 AÑOS + SUELDO DE 2893</t>
  </si>
  <si>
    <t>Sustento de Pago:CLIENTE ESTABA EN LA MINA EN EL CAMPO Y RECIEN EL DIA DE HOY POR LA CUARENTENA LE DEJARON SALIR Y SE APERSONO A LA FINANCIERA Y AVERIGUAR SOBRE LA DEUDA , ES UN IMBOUND ASIGNADO POR MARIANGELA.</t>
  </si>
  <si>
    <t>CORPORATIVO 2</t>
  </si>
  <si>
    <t xml:space="preserve">Dt:1860.68 </t>
  </si>
  <si>
    <t>Dk:1432.65</t>
  </si>
  <si>
    <t xml:space="preserve">Campaña:1000   </t>
  </si>
  <si>
    <t>Contrapropuesta en mano S/.850</t>
  </si>
  <si>
    <t>450 *3 MESES.</t>
  </si>
  <si>
    <t xml:space="preserve">Castigo:3 AÑOS </t>
  </si>
  <si>
    <t>Historial:</t>
  </si>
  <si>
    <t>CLIENTE SE COMUNICA CON NOSOTROS Y NOS DICE Q QUIERE SOLUCIONAR LA DEUDA Y Q NO REALIZARA MAÑANA MISMO, SE LE INDICA Q SI LO HACE MAÑANA SE LE APOYARA CON ENVIARLE LA CARTA DE NO ADEUDO.</t>
  </si>
  <si>
    <t>dt:1897.86</t>
  </si>
  <si>
    <t>dk: 1087.46</t>
  </si>
  <si>
    <t>se le ofrece campaña por el importe de 700 soles  encargada de la deuda sra julisa realizara el pago se hizo acuerdos por celular personal validado por mariangela piña</t>
  </si>
  <si>
    <t>DT:1898</t>
  </si>
  <si>
    <t>CAMPAÑA:140 SOLES</t>
  </si>
  <si>
    <t xml:space="preserve">MOTIVO DE NO PAGO: INDICA QUE PAGO TOTALIDAD DE DEUDA </t>
  </si>
  <si>
    <t>DEUDAS:2 BANCOS</t>
  </si>
  <si>
    <t>DINERO OBTENDRA: DE UN PRESTAMO QUE SOLICITARA</t>
  </si>
  <si>
    <t>FECHA DE PAGO: 28-02-20</t>
  </si>
  <si>
    <t>DT:1912.30</t>
  </si>
  <si>
    <t>CAM:200</t>
  </si>
  <si>
    <t xml:space="preserve">CLIENTE DICE Q ESTUVO DE VIAJE Y POR ESO NO CANCELE </t>
  </si>
  <si>
    <t>PERO NOS DICE VA A CONSEGUIR EL DINERO .</t>
  </si>
  <si>
    <t xml:space="preserve">TUVO PROBLEMAS CON EL SISTEMA . </t>
  </si>
  <si>
    <t>FECHA DE PAGO:14/02</t>
  </si>
  <si>
    <t>LE PAGAN SU SUELDO . EL DIA 12/02</t>
  </si>
  <si>
    <t>Dt:1917</t>
  </si>
  <si>
    <t>Campaña:900</t>
  </si>
  <si>
    <t>Contrapropuesta en mano S/450</t>
  </si>
  <si>
    <t>REF:260*6</t>
  </si>
  <si>
    <t>Sustento de Pago:SE HABLA CON EL TT NOS DICE Q LO REALIZARA EL PAGO ANTES DEL FIN DE MES 200 Y LO RESTANTE A FINES. PORQ EN ESTA SEMANA NO PUEDE YA Q RECIEN EL 17 RECIEN VA A RECIBIR UN DINERITO.SE SUBE AUDIO.</t>
  </si>
  <si>
    <t>DT:1929</t>
  </si>
  <si>
    <t>DK:688</t>
  </si>
  <si>
    <t>CAMAPAÑA:350</t>
  </si>
  <si>
    <t>FECHA DE PAGO:27-04-20</t>
  </si>
  <si>
    <t>MOTIVO DE NO PAGO:SALUD, ASALTO SIN TRABAJO.</t>
  </si>
  <si>
    <t>DEUDAS:2 ENTIDADES</t>
  </si>
  <si>
    <t>SUSTENTO DE PAGO:PAGO DE SU SUELDO QUE TRABAJA CON SU TIO</t>
  </si>
  <si>
    <t xml:space="preserve">DT:1980 SOLES / CAMPAÑA:800 SOLES  PROPONE CANCELAR CON 650 SOLES YA QUE NO PAGO EL MES PASADO POR EL RETRASO DE SUS PAGOS DE SUELDO / TIENE 26 AÑOS /  NO FIGURA HIJOS NI TRABAJO / DEUDAS EN LA CAJA CUSCO QUE SUME A1082 SOLES / PAGARA EL DIA DE HOY / </t>
  </si>
  <si>
    <t>dt:2,412.29</t>
  </si>
  <si>
    <t xml:space="preserve">dk: 1594.00 </t>
  </si>
  <si>
    <t>tt se comunica indica que puede cancelar con el importe de s/917.00 , dinero lo saca de familiares se cancela el dia de mañana se envia forma de pago</t>
  </si>
  <si>
    <t xml:space="preserve">DT:200 CAMPA?A:130 </t>
  </si>
  <si>
    <t>tt dice que el dia 13-5 hara pago</t>
  </si>
  <si>
    <t>stp: de su trabajo</t>
  </si>
  <si>
    <t>DT:200</t>
  </si>
  <si>
    <t>Campaña:130</t>
  </si>
  <si>
    <t>Contrapopuesta:desea pagar el día jueves por el tiempo</t>
  </si>
  <si>
    <t xml:space="preserve">MotivoNoPago:no pudo realizar el pago, tiempo  </t>
  </si>
  <si>
    <t>Edad:42</t>
  </si>
  <si>
    <t>Labor:no trabaja</t>
  </si>
  <si>
    <t>Sueldo:no tiene,notiene deudas</t>
  </si>
  <si>
    <t>DK:65.00</t>
  </si>
  <si>
    <t>CLIENTE NO PAGO POR TEMA DE SALUD , ACCEDE A CANCELA CON ELIMPORTE DE S/65 EL DIA 11/03 SE ENVIA FORMA DE PAGO , SOLTERA , EDASD 29 AÑOS , TIENE 2 ENTIDADES REPORTADAS  , DINERO LO SACA DE EMPLEO ACTIVO</t>
  </si>
  <si>
    <t>dt:2000 dk: 299 campaña: 400  tt indica que se atraso por que viajo y dejo de pagar en la actualidad trabaja en negocio independiente. tt indica  que hoy 24/01realizaria la cancelacion de su deuda con el importe de 400soles 48 años con hijos menores y con dos deudas en search llamad desde cel 17</t>
  </si>
  <si>
    <t>DT:2000 DK: 800 FECHA DE PAGO:  29/02</t>
  </si>
  <si>
    <t>TT DICE QUE DESEA CANCELAR EL PAGO DE UNA SOLA CUOTA PARA QUE PUEDA CANCELAR, TT CUENTA CON NEGOCIO PROPIO Y PUEDE CANCELAR HASTA FIN DE MES</t>
  </si>
  <si>
    <t>DEUDAS:  COMPARTAMOS FINANCIERA 1111</t>
  </si>
  <si>
    <t>SUELDO:  NEGOCIO PROPIO</t>
  </si>
  <si>
    <t>CAMPAÑA:1500 SOLES</t>
  </si>
  <si>
    <t>RECIBIÒ SMS POR 1437.10 NO PUEDE</t>
  </si>
  <si>
    <t>CONTRAPROPUESTA: 1200</t>
  </si>
  <si>
    <t>MOTIVO DE NO PAGO:NO TIENE TRABAJO,LA DESPIDIERON.</t>
  </si>
  <si>
    <t xml:space="preserve">DEUDAS:3 ENTIDADES UNO EN DUDOSO Y 2 EN PERDIDA </t>
  </si>
  <si>
    <t>SUSTENTO DE PAGO: SE PRESTARÀ DINERO (PRESTAMISTA)</t>
  </si>
  <si>
    <t>NO DESEA INDICAR COMO HARA PARA DEVOLVERA DINERO AL PRESTAMISTA.</t>
  </si>
  <si>
    <t>INBOUND( EXCEPCION APROBADO.</t>
  </si>
  <si>
    <t xml:space="preserve">dt:2071.00 </t>
  </si>
  <si>
    <t>dk: 775.82</t>
  </si>
  <si>
    <t xml:space="preserve">cliente se comunica al corp 15 , le llego un sms de cancelacion de s/150.00 ,no genero pago anteriormente ya que esta en crisis economica  , dinero lo saca de empleo activo  se programa apara el dia 30/05 se envia forma de pago , no tiene dd , edad 58 años  , soltera </t>
  </si>
  <si>
    <t xml:space="preserve">dt:2100.00 </t>
  </si>
  <si>
    <t>camp:670</t>
  </si>
  <si>
    <t>se comunica al morado nos dice q quiere cancelar porq le mandaron un mensaje a su esposa y el tiene toda la intencion el fue estafado porq ese credito lo sacaron hace mas de 6 años y cuando el trabaja en mototaxi y  nos dice q el nunca firmo nada q ahora ese dinero el nunca uso , el analista uso sus datos y desembolso a su nombre el nunca puso una denuncia .</t>
  </si>
  <si>
    <t xml:space="preserve">tiene 3 hijos y actualmente trabaja en una empresa pero su sueldo no es mucho y tiene para cancelar 450 y se eleva propuesta a julio y lo va a cancelar hoy a las 4:30 de la tarde . quieren sacar un credito su papa del tt para una empresa q piensan a ser y le han dicho q banco q su hijo no puede obtener por la deuda . </t>
  </si>
  <si>
    <t xml:space="preserve">DT:22 SOLES / CLIENTE ASIGNADO POR INBOUND // EDAD: 24 AÑOS / NO FIGURA HIJOS EN EL SEARCH PERO SI6 HERMANOS / NO FIGURA SUELDO NI TRABAJO ACTUAL / NO FIGURAB DEUDAS EN EL SEARCH / </t>
  </si>
  <si>
    <t xml:space="preserve">Dt:2200  </t>
  </si>
  <si>
    <t>Campaña:550</t>
  </si>
  <si>
    <t>Castigo:3 años</t>
  </si>
  <si>
    <t>Historial:solo pago 150</t>
  </si>
  <si>
    <t>Planilla :no</t>
  </si>
  <si>
    <t xml:space="preserve">Deudas:no </t>
  </si>
  <si>
    <t>Sustento de Pago:cliente nos dice q no pago el mes pasado porq no tenia como salir espera q esto de la cuarentena este bien y van a pagar el dia 18 , el dinerito lo sacara de la venta y lo q le deben el dinerito. audio</t>
  </si>
  <si>
    <t>DT:2200.00</t>
  </si>
  <si>
    <t>DK: 403.00</t>
  </si>
  <si>
    <t xml:space="preserve">SE COMUNICA HERMANO DE TT MANUEL CHAMBILLA OCHOA SE HACE CARGO DE LA CUENTA , SE LE OFRECE CANCELAR CON EL IMPORTE DE S/400.00 , CL SOLO CUENTA CONN S/300.00 LO CUAL CANCELA EL DIA 12/03 EL DINERO LO SACA DE EMPLEO ACTIVO , EDAD 38 AÑOS  , SOLTERO , NO TIENE ENTIDAD REPORTADA TT </t>
  </si>
  <si>
    <t xml:space="preserve">DT:2220.31 Y CAMAPAÑA :574. SE HABLA CON EL TT Y NOS DICE Q POR TIVOS QUE ELLA SACO EL CREDITO PARA UN FAMILIAR Y Q NUNCA LE NOTIFICARON COMO 8 MESES PASO PARA NOTIFICARLA ,ELLA SE COMUNICO AL MORADITO PARA CANCELAR LA DEUDA A LA TOTALIDAD . Y QUE TRATARA DE AYUDARLE SI NO EN CANCELAR LA DEUDA ES ESTOS DIAS . </t>
  </si>
  <si>
    <t>dt:2291</t>
  </si>
  <si>
    <t xml:space="preserve">ppc se aprueba excepcion de 500 soles para el dia de mñn 29/02 </t>
  </si>
  <si>
    <t xml:space="preserve">DT:2300 SOLES / CAMPAÑA 1300 SOLES / PROPONE 900 SOLES PARA PAGAR EL DIA DE HOY - SE RETRASO YA QUE VIAJO AL EXTERIOR  EL DINERO QUE TIENE ES QUE LE HABILITARA SU ESPOSO // EDAD 40 AÑOS / HIJOS NO FIGURA EN EL SEARCH / TT NO LABORA / LOS 900 SOLES LOS PAGARA EL DIA DE MAÑANA MARTES 28/01 / SE VALIDA CON JULIO YA QUE SE LLAMO A LAS 5 INDICANDO QUE ANO SE LE APROBO Y SE CONSULTO CON JULIO Y LO APRUEBA / lo pagara mañana ya que su esposo se entero de la deuda / </t>
  </si>
  <si>
    <t>dt:2300 soles / campaña: 1300 soles en un solo pago // tt menciona que el prestamo fue para otra persona / SOCIEDAD DE BENEFICENCIA PUBLICA</t>
  </si>
  <si>
    <t>201909 A 887 // le llego un sms de por correo de 1050 soles // hijos se verifica en search son 3 hijos // edad 39 años / trabaj para el estado como nombrado // no figura mas deudas en el search // el tt solo propone 650 soles para cancelar la deuda/ a pagado la matricula de sus hijos que estan en colegio y universidad /</t>
  </si>
  <si>
    <t>dt:24,300</t>
  </si>
  <si>
    <t>descuento:1,500</t>
  </si>
  <si>
    <t>ppc tt  confirma que cancelara deuda mañana 20/02 en la tarde con el monto de s/1,500 soles , cliente muy cortante solo confirma pago y corta // search no figura que labora y no se visualiza que tiene hijos edad:46 años se valida que solo sis. se valida que ya no tiene deuda al parecer las pago.</t>
  </si>
  <si>
    <t>DT:244</t>
  </si>
  <si>
    <t>CAMPAÑA:50</t>
  </si>
  <si>
    <t>MOTIVO NO PAGO: oproblemas personales</t>
  </si>
  <si>
    <t>es madre soltera tiene tiene 2 hijos</t>
  </si>
  <si>
    <t>sustento de pago:cuaenta con dinero.</t>
  </si>
  <si>
    <t>deudas : unica</t>
  </si>
  <si>
    <t>DT:2500</t>
  </si>
  <si>
    <t>DK:1063</t>
  </si>
  <si>
    <t>FECHA DE PAGO:12-03-20</t>
  </si>
  <si>
    <t>MOTIVO NO PAGO:trabajo, problemas personales.solicita que se le envie acuerdo de cancelacion.</t>
  </si>
  <si>
    <t>SUSTENTO DE PAGO:monto cuenta en la mano por que desea salir de inforcorp.</t>
  </si>
  <si>
    <t>HIJOS:no registra</t>
  </si>
  <si>
    <t>EDAD:53</t>
  </si>
  <si>
    <t>DEUDAS:unica deuda</t>
  </si>
  <si>
    <t>TRABAJO:no registra</t>
  </si>
  <si>
    <t>(inbound asignado por mariangela)</t>
  </si>
  <si>
    <t>Dt:2500</t>
  </si>
  <si>
    <t xml:space="preserve">Dk:1300  </t>
  </si>
  <si>
    <t>Campaña:700</t>
  </si>
  <si>
    <t xml:space="preserve">REFINANCIAMIENTO:240* 6 </t>
  </si>
  <si>
    <t>NO NOS ACEPTA</t>
  </si>
  <si>
    <t>Contrapropuesta : S/450</t>
  </si>
  <si>
    <t xml:space="preserve">Castigo:1 años </t>
  </si>
  <si>
    <t>Deudas: 1 SOLO ENTIDAD</t>
  </si>
  <si>
    <t xml:space="preserve">Sustento de Pago:se le acepto la contrapropuesta de 450 soles . </t>
  </si>
  <si>
    <t xml:space="preserve">hoy abonara 100 el dia de hoy . </t>
  </si>
  <si>
    <t>se sube el audio .</t>
  </si>
  <si>
    <t>dk:1522</t>
  </si>
  <si>
    <t>cmapaña:1300</t>
  </si>
  <si>
    <t>fehca de pago 27-04-20</t>
  </si>
  <si>
    <t>motivo de no pago:PROBLEMAS PERSONALES</t>
  </si>
  <si>
    <t>sustento de pago:pago de haberes.</t>
  </si>
  <si>
    <t>dt:2500</t>
  </si>
  <si>
    <t xml:space="preserve">expertis: 1200 </t>
  </si>
  <si>
    <t>TRABAJA: VENDE PRODUCTOS DE BELLEZA ( NATURA), HACE 1 AÑO Y MEDIO...</t>
  </si>
  <si>
    <t>SUS PADRES LE AYUDAN ECONOMICAMENTE.</t>
  </si>
  <si>
    <t>SU PAPA: BODEGA DE ABARROTES</t>
  </si>
  <si>
    <t>SU MAMA AMA DE CASA</t>
  </si>
  <si>
    <t>MOTIVO: SE ENFERMO HEERNIA EN LA COLUMNA.</t>
  </si>
  <si>
    <t>FECHA DE CANCELACION PARA EL DIA LUNES 16-12-19</t>
  </si>
  <si>
    <t>DT:2600</t>
  </si>
  <si>
    <t>CAMPAÑA:1500</t>
  </si>
  <si>
    <t>FECHA DE PAGO: 28.02.20</t>
  </si>
  <si>
    <t>MOTIVO DE NO PAGO: MOTIVOS LABORALES Y PERSONALES SE ENCONTRABA DE VIAJE.</t>
  </si>
  <si>
    <t>EDAD:40 AÑOS</t>
  </si>
  <si>
    <t>DEUDAS:INVERSIONES LA CRUZ 607 SOLES</t>
  </si>
  <si>
    <t>DINERO OBTENDRA DE PAGO DE HABERES.</t>
  </si>
  <si>
    <t>SE SOLICITA UN ADELANTO DE 200 SOLES QUE REALIZARA EL 17 A LAS 5PM Y LA DIFERENCIA DE 1300 EL DIA 28-02-20</t>
  </si>
  <si>
    <t>DT:27,000.00  DK:15,000.00  PPC 7,000.00</t>
  </si>
  <si>
    <t>SUSTENTO DE PAGO: PAGO DE SUS DURAZNOS(BLAQUILLOS)</t>
  </si>
  <si>
    <t>TAT INDCIA ESTA CANCELANDO CON 7MIL SOLES PARA EL DIA 20/04/10 SU SOCIO RICHAR SE ACERCARA A PAGAR A QAPAQ SOLICITA UN ACUERDO DE PAGO.</t>
  </si>
  <si>
    <t>DT:28,931         DK:16,546 S ELE ACEPTA EXCEPCION POR 4100 SOLES NEGOCIADO</t>
  </si>
  <si>
    <t xml:space="preserve">Sustento TAT INDICA QUE GEINCOS  LE ESTA OFRECIENDO CANCELAR CON 3,900 SOLES / SE LE INDICA QUE S EVA CONSULTAR POR QUE SU CAMPAÑA ES D E90928 SOLES / TAT SOLICITA SI LE PUEDEN APROBAR ESE MONTO A PAGAR EN CASO NO SEA LA CAMPÑA QUE LE OFRECEN REAL / SE CONSULTA CON MARIANGELA/ </t>
  </si>
  <si>
    <t>dt:280</t>
  </si>
  <si>
    <t>dk:92</t>
  </si>
  <si>
    <t>camapaña:150</t>
  </si>
  <si>
    <t>fecha de pago: 27-04-20</t>
  </si>
  <si>
    <t>motivo de no pago:laboral</t>
  </si>
  <si>
    <t>sustento de pago:ahorros</t>
  </si>
  <si>
    <t xml:space="preserve">DT:2800 </t>
  </si>
  <si>
    <t>DK: 1410</t>
  </si>
  <si>
    <t xml:space="preserve">CAMPA: 450 </t>
  </si>
  <si>
    <t>TT DICE QUE NO PUDO CANCELAR POR QUE SE LE JUNTO EL TEMA DE LA ESCOLARIDAD DE SUS HIJOS Y QUE POR ELLO YA NO PUDO GENERAR ELPAGO POR CAMPAÑA, // SE LE DIO LA CAMPAÑA DE 450 PRIMER PAGO LO HARA EL 11/03 50 SOLES Y EL 31/03 LOS 450 SOLES .</t>
  </si>
  <si>
    <t>EDAD DE TT:  39 AÑOS / CASADA</t>
  </si>
  <si>
    <t>DEUDAS:  NO REGISTRA OTRAS DEUDAS // CENCOSUD RETAIL PERU S.A. MAYOR AL MINIMO</t>
  </si>
  <si>
    <t>DT:2841.95</t>
  </si>
  <si>
    <t xml:space="preserve"> NOS DICE Q EL SE APERSONO A LAS OFICINAS Y Q EL NO PAGO POR Q TUVO PROBLEMAS POR LA DISTANCIA , IGUAL SU ESPOSA LE AYUDARA MAÑANA A IR A EL BANCO DE INTERBANK A REALIZAR LA CANCELACION.</t>
  </si>
  <si>
    <t xml:space="preserve">MARILUZ ESPOSA </t>
  </si>
  <si>
    <t>FECHA DE PAGO :11/02/2020</t>
  </si>
  <si>
    <t>IMBOUND</t>
  </si>
  <si>
    <t>MARILUZ 982153425</t>
  </si>
  <si>
    <t xml:space="preserve">se subio el audio </t>
  </si>
  <si>
    <t>dt:285</t>
  </si>
  <si>
    <t>dk:140</t>
  </si>
  <si>
    <t>cmapaña:50</t>
  </si>
  <si>
    <t>fecha de pago 06-05-20</t>
  </si>
  <si>
    <t>motivo de no pago: indica que le hicieron pagar y no le brinda</t>
  </si>
  <si>
    <t>ron carta.</t>
  </si>
  <si>
    <t>sustento de pago ahorros.</t>
  </si>
  <si>
    <t>dt:300</t>
  </si>
  <si>
    <t>dk:170</t>
  </si>
  <si>
    <t>campaña:150</t>
  </si>
  <si>
    <t>tt se le menciona porque no cumplio en febrero con el compriso de pago y nos dice que no tuvo dinero , se le indica campaña de cancelar con 150 para el martes 28/04 , nos dice que el dinero lo sacara de unos ahorros , quiere el compromiso de pago que lo acredite que con ello cancela. se le enviara msj via whatsapp</t>
  </si>
  <si>
    <t>base manual</t>
  </si>
  <si>
    <t>DT:3000.00</t>
  </si>
  <si>
    <t>DK: 1200.00</t>
  </si>
  <si>
    <t>CLIENTE SE COMUNICA POR SMS DE CAMPAÑA PAGA HOY S/816.00 , SE ENVIA FORMA DE PAGO , DINERO LO SACA DE EMPLEO EDAD 51 AÑOS , SOLTERO 1 ENTIDAD REPORTADA</t>
  </si>
  <si>
    <t>DT:316     PPC: 390</t>
  </si>
  <si>
    <t>SUSTENTO DE PAGO: DE SU NEGOCIO</t>
  </si>
  <si>
    <t>DT:317</t>
  </si>
  <si>
    <t>Dk:206</t>
  </si>
  <si>
    <t>Campaña:150</t>
  </si>
  <si>
    <t>Fecha de pago: 09-03-20</t>
  </si>
  <si>
    <t xml:space="preserve">Motivo de no Pago:  Sufrio un Accidente, que ya esta recueprando. </t>
  </si>
  <si>
    <t>Sustento de pago: El sabado le pagaron de su trabajo.</t>
  </si>
  <si>
    <t>Edad:36  AÑOS</t>
  </si>
  <si>
    <t xml:space="preserve">Hijos:  4 </t>
  </si>
  <si>
    <t>Deudas: unica deuda concredinka</t>
  </si>
  <si>
    <t>DT:3189.82</t>
  </si>
  <si>
    <t>DC:2647.82</t>
  </si>
  <si>
    <t>REFINANCIENTO . 450 6 MESES</t>
  </si>
  <si>
    <t>CAMPAÑA:1000 CANCELA LA DEUDA.</t>
  </si>
  <si>
    <t>LO REALIZARIA EL DIA 14/01 A LAS 3:00 DE LA TARDE.</t>
  </si>
  <si>
    <t xml:space="preserve">TIENE EL DINERO , POR SU TRABAJO . </t>
  </si>
  <si>
    <t>TORRES AJ PERU S.A.C.</t>
  </si>
  <si>
    <t>TIENE 30 AÑOS . ES IMBOUND</t>
  </si>
  <si>
    <t>DT:335</t>
  </si>
  <si>
    <t>DK.100</t>
  </si>
  <si>
    <t>FECHA DE PAGO:08-05-20</t>
  </si>
  <si>
    <t>MOTIVO DE NO PAGO: PROBLEMAS DE SALUD DE SU HIJA CON DISCAPACIDAD.</t>
  </si>
  <si>
    <t>SUSTENTO DE PAGO: HARA TODO LO POSIBLE PARA PAGAR POR QUE YA QUIERE SALIR DE ESTA DEUDA.</t>
  </si>
  <si>
    <t>DT:3400</t>
  </si>
  <si>
    <t>DK:1500</t>
  </si>
  <si>
    <t>SE LLEGO A UN ACUERDO PAGAR S/ 1200 EL DIA 10/03</t>
  </si>
  <si>
    <t>TT INDICA QUE SUFRIO UN ESTAFA POR UN TERCERO Y CREDINKA NUNCA ISPO NADA POR EL , CLIENTE ESPECIAL YA QUE ANTES QUISO PAGAR PERO NO LE DIERON OTRA OPCIONES DE PAGO , PAGO DEPENDE DE SU TRABAJO .</t>
  </si>
  <si>
    <t xml:space="preserve">TRABAJA EN LA MINA </t>
  </si>
  <si>
    <t xml:space="preserve">NO CUENTA CON DEUDA ESPORTADA </t>
  </si>
  <si>
    <t xml:space="preserve">LLAMADA DEL CORPORATIVO 19 - CONTACTO HISTORICO </t>
  </si>
  <si>
    <t xml:space="preserve">DT:350 CAMPAÑA: 150 SE LE MENCIONA CANCELAR CON IMPORTE DE CAMPAÑA MENCIONA REALIZARLO EL DIA SABADO </t>
  </si>
  <si>
    <t xml:space="preserve">DT:350 CAMPAÑA: 160 CANCELA EL 14 DE ENERO NO PUDO POR QUE PASO UNOS INCONVENIENTES INDICO QUE SI TIENE ANTES EL DINERO CANCELA EL VIERNES SE LE ENVIA SMS </t>
  </si>
  <si>
    <t>dt:3500</t>
  </si>
  <si>
    <t>dk:1400</t>
  </si>
  <si>
    <t>propuesta:200</t>
  </si>
  <si>
    <t xml:space="preserve">tt cancela deuda  con s/200 para el dia de mañana 28/02 a las 6 pm  , se valida que labora en el campo y son eventuales , quiere pagar porque quiere trabajar con entidades mas adelante  search: edad 44 años , no figura datos de familiares // cuenta con una deuda mayor de s/300. </t>
  </si>
  <si>
    <t xml:space="preserve">DT:353   PPC 150 SOLES </t>
  </si>
  <si>
    <t xml:space="preserve">IMP: POR QUE NO TRABAJA </t>
  </si>
  <si>
    <t xml:space="preserve">SUSTENTO DE PAGO: AHORROS. </t>
  </si>
  <si>
    <t>993164782 / PAGARA EN BCP / Y LA CUENTA RECAUDACION CAJA SULLANA.</t>
  </si>
  <si>
    <t>DT:3700</t>
  </si>
  <si>
    <t>CAMP.600</t>
  </si>
  <si>
    <t>C: 600</t>
  </si>
  <si>
    <t>FECHA DE PAGO: VIERNES 25-02 A LAS 3PM</t>
  </si>
  <si>
    <t>MOTIVO DE NO PAGO: MOTIVO EL SALUD, TRABAJO.</t>
  </si>
  <si>
    <t>DINERO OBTENDRA: HIJOS LE APOYARAN.</t>
  </si>
  <si>
    <t>EDAD:58 AÑOS</t>
  </si>
  <si>
    <t>HIJOS: 5</t>
  </si>
  <si>
    <t>DEUDAS:SOLO CUENTA CON UNA DEUDA.</t>
  </si>
  <si>
    <t>DT:3790</t>
  </si>
  <si>
    <t>CAMPAÑA:700</t>
  </si>
  <si>
    <t>FECHA DE PAGO:28-02-20 A LAS 12PM</t>
  </si>
  <si>
    <t>MOTIVO DE NO PAGO:PLOBLEMAS PERSONALES MUY FUERTES QUE AHORA YA ESTA RECUPERADO DE TODO.</t>
  </si>
  <si>
    <t>DINERO OBTENDRA: RECAUDARA DE SUS NEGOCIO QUE TIENE.</t>
  </si>
  <si>
    <t>EDAD:47 AÑOS</t>
  </si>
  <si>
    <t>HIOJOS:NO REGISTRA</t>
  </si>
  <si>
    <t>DEUDAS:SOLO CON FINANCIERA PROEMPRESA.</t>
  </si>
  <si>
    <t>dt:387</t>
  </si>
  <si>
    <t>cmapaña:120</t>
  </si>
  <si>
    <t>fecha de pago: 29-05-20</t>
  </si>
  <si>
    <t>sustento de pago: hast esa fecha contara con dinero de un pago.</t>
  </si>
  <si>
    <t>DT:389</t>
  </si>
  <si>
    <t>CAMPAÑA:280</t>
  </si>
  <si>
    <t>FEHCA DE PAGO: 26-02-20- 04PM</t>
  </si>
  <si>
    <t>MOTIVO DE NO PAGO: TRABAJA LEJOS DE LA CIUDAD.</t>
  </si>
  <si>
    <t>EL MIERCOLES ESTARA LLEGANDO A  JULIACA.</t>
  </si>
  <si>
    <t>DEUDAS: REGISTRA 2 DEUDAS CON OTRAS ENTIDADES 4293.</t>
  </si>
  <si>
    <t>dt:397</t>
  </si>
  <si>
    <t>dk:120</t>
  </si>
  <si>
    <t>motivo de no pago: accidente casi me muere 2010.</t>
  </si>
  <si>
    <t>sustento de pago:trabajos de venta de golosinas y ahrro.</t>
  </si>
  <si>
    <t>tt, tiene 4 hijos, menores vende golosinas en los carros.</t>
  </si>
  <si>
    <t>unica deuda.</t>
  </si>
  <si>
    <t>Dt:4,530</t>
  </si>
  <si>
    <t>Dk:2297</t>
  </si>
  <si>
    <t>Campaña:510</t>
  </si>
  <si>
    <t>Sustento:plata ahorrada</t>
  </si>
  <si>
    <t>No pago: no contaba con el dinero</t>
  </si>
  <si>
    <t xml:space="preserve">Search:no se uso </t>
  </si>
  <si>
    <t>TT refiere que el dia de hoy abonara 250 soles y e l dia 30/04 260 soles</t>
  </si>
  <si>
    <t>dt:400</t>
  </si>
  <si>
    <t>fehca de pago:30-04-20</t>
  </si>
  <si>
    <t>sustento de pago: indica que ella vera de donde saca el dinero, cobro afp.</t>
  </si>
  <si>
    <t>tt. indica su numero personal .924171137</t>
  </si>
  <si>
    <t xml:space="preserve">DT:407 se le genero una campaña por 200s para el dia de hoy para la cancelacion total </t>
  </si>
  <si>
    <t>DT:4152.64</t>
  </si>
  <si>
    <t>CAMPAÑA : 1000</t>
  </si>
  <si>
    <t>TT CANCELARA S/200 EL 21/02 Y S/800 28/02,TT NO CANCELO POR GASTOS PLANTACION POR QUE LE FUE MAL , PAGO DEPENDE DE LA VENTA FIJA DE SU PLANTACION.</t>
  </si>
  <si>
    <t>EDAD:39</t>
  </si>
  <si>
    <t>FINANCIERA QAPAQ S.A.</t>
  </si>
  <si>
    <t>DT:4200//PROMOCION:330</t>
  </si>
  <si>
    <t>FECHA DE PAGO: 27-12-19</t>
  </si>
  <si>
    <t>MOTIVO DE NO PAGO: PERDISTE EL TRABAJO.///VIVE EN APURIMAC</t>
  </si>
  <si>
    <t xml:space="preserve">HIJOS: 1 HIJA//ESPOSO: NO ///TRABAJA: NO TRABAJA // SOBREVIVE CON LO QUE LE DA EL PAPA DE SU HIJO///AYUDA ECONOMICA DE SU MAMA.//ÁPARAGA ATRAVES AGENTE DE INTERBANK </t>
  </si>
  <si>
    <t>DT:425.88</t>
  </si>
  <si>
    <t xml:space="preserve">CLIENTE VA A REALIZAR EL PAGO </t>
  </si>
  <si>
    <t>FECHA DE PAGO:7/02/2020</t>
  </si>
  <si>
    <t>NOS COMUNICAMOS CON EL TT</t>
  </si>
  <si>
    <t xml:space="preserve">ES UN IMBOUND </t>
  </si>
  <si>
    <t>dt:4300</t>
  </si>
  <si>
    <t>dk:2900</t>
  </si>
  <si>
    <t>camp: 2000</t>
  </si>
  <si>
    <t>fecha: 31/03</t>
  </si>
  <si>
    <t>tt dice que tuvo problemas economicos por que no tuvo trabajo durante dos años y al momento ya se encuentra laborando y desea salir de la deuda dice que desea generar el pago por campaña y el primer pago lo estaria realizando 16/03 de 800 y el restante a fin de mes.</t>
  </si>
  <si>
    <t>HIJOS: 1 HIJO</t>
  </si>
  <si>
    <t>EDAD DE TT: 44 AÑOS / SOLTERO</t>
  </si>
  <si>
    <t>DEUDAS:   NO REGISTRA OTRAS DEUDAS. // EXPLOMIN DEL PERU S.A. 2018111</t>
  </si>
  <si>
    <t>DT:433</t>
  </si>
  <si>
    <t>Dk:392</t>
  </si>
  <si>
    <t>Campaña:300</t>
  </si>
  <si>
    <t>Motivo de no Pago: Indica que dinero era para otra persona y no pago.</t>
  </si>
  <si>
    <t>Edad:35 AÑOS</t>
  </si>
  <si>
    <t>Deudas: sin deudas.</t>
  </si>
  <si>
    <t>DT:444</t>
  </si>
  <si>
    <t>DK:444</t>
  </si>
  <si>
    <t>CMAPAÑA:135</t>
  </si>
  <si>
    <t>FEHC ADE PAGO: 07-04-20</t>
  </si>
  <si>
    <t>MOTIVO DE NO PAGO:FALLECIO SU PAPA, SALUD.</t>
  </si>
  <si>
    <t>DEUDAS:3 ENTIDADES.</t>
  </si>
  <si>
    <t>OBSERVACION: SI CUENTA CON DINERO ANTES LO REALIZARA.</t>
  </si>
  <si>
    <t>dk:280</t>
  </si>
  <si>
    <t>campaña:200</t>
  </si>
  <si>
    <t>hijo:47474843 (encargado) llamar:948786365 - whats..:924124257</t>
  </si>
  <si>
    <t xml:space="preserve">hijo de hace cargo de deuda cancela con S/200 el 23/04 S/50 y el 30/04 S/150 se le enviara info por whatsapp y horarios,  pagara en BCP O CREDINKA no se confirma ello , nos dice que sacara el dinero de un trabajo que realizo y le pagaran en esas fechas </t>
  </si>
  <si>
    <t>DT:461   DK: 222    PPC: 200</t>
  </si>
  <si>
    <t>IMP: DEJO D TRABAJAR POR Q ESTABA ENFERMA</t>
  </si>
  <si>
    <t>SUTENTO DE PAGO: INDICA QUE SE PRESTARA**</t>
  </si>
  <si>
    <t>TAT LLAMO AL MOVIL.</t>
  </si>
  <si>
    <t xml:space="preserve">DT:4640 SOLES/ CAMPAÑA: 1107 SOLES / SE LE INDICO AL ESPOSO QUE LA CANCELAICON ES DE 400 SOLES EN TOTAL 800 SOLES YA QUE NO PAGO DENTRO DE FECHA / / NO CARGA EL SEARCH NO PUEDO VER MAYOR INFORMACION/ YA ABONO 400 SOLS HOY ABONARA LOS 400 RESTANTES / </t>
  </si>
  <si>
    <t>DT:4698</t>
  </si>
  <si>
    <t>DK:3345.94</t>
  </si>
  <si>
    <t>CAMPAÑA 1680</t>
  </si>
  <si>
    <t>SE ACORDO PAGAR S/ 840 16/03 Y S/840 EL 30 /03</t>
  </si>
  <si>
    <t xml:space="preserve">TT INDICA QUE NO ESTABA TRABAJANDO Y SE SEPARA ODE SU ESPOSO </t>
  </si>
  <si>
    <t xml:space="preserve">TIENE </t>
  </si>
  <si>
    <t>SE ENCUENTRA LABORANDO // NO MENCIONA DONDE NI RUBRO</t>
  </si>
  <si>
    <t xml:space="preserve">TIENE 2 HIJOS </t>
  </si>
  <si>
    <t>DEUDA EN BANCO RIPLEY</t>
  </si>
  <si>
    <t>DT:470</t>
  </si>
  <si>
    <t>DK:160</t>
  </si>
  <si>
    <t>FECHA DE PAGO 13. A LAS 10AM</t>
  </si>
  <si>
    <t>MOTIVO DE NO PAGO: PROBLEMAS PERSONALES.</t>
  </si>
  <si>
    <t xml:space="preserve">DT:5,432.65 CAMP:1500 NOS DICE Q EL DIA JUEVES CANCELARA LA DEUDA . EL DIA JUEVES ENTRE LAS 11:00 O 12:00  NOS DICE Q EL DINERO A VENDIO UN TERRENITO . ES UN CLIENTE Q NOS LLAMA PARA CANCELAR . SE LE ESTABA HACIENDO SEGUIMIENTO . </t>
  </si>
  <si>
    <t>DT:500</t>
  </si>
  <si>
    <t xml:space="preserve">CAMPAÑA 200 </t>
  </si>
  <si>
    <t xml:space="preserve">TT CANCELARA S/ 200 TT INDICA QUE ESTUBO EMBARAZADA Y SU HIJO TIENE UN TRATA MIENTO  </t>
  </si>
  <si>
    <t>EXPERTIS: 210.</t>
  </si>
  <si>
    <t>TRABAJANDO: INDEPENDIENTE COMERCIANTE.</t>
  </si>
  <si>
    <t>FECHA: 21/11 POR LA TARDE</t>
  </si>
  <si>
    <t>AGENTE BCP: 16046</t>
  </si>
  <si>
    <t>DT:5000</t>
  </si>
  <si>
    <t>DK:3750</t>
  </si>
  <si>
    <t>Campaña: 3500</t>
  </si>
  <si>
    <t>Fecha de pago: sabado 29-02-20, si cuenta antes lo estara cancelando.</t>
  </si>
  <si>
    <t>Motivo de no pago: SALUD Y DE UN FAMILIAR</t>
  </si>
  <si>
    <t>Sustento de Pago: HIJO LE AYUDARA A PAGAR</t>
  </si>
  <si>
    <t>Edad: 61 años</t>
  </si>
  <si>
    <t>Hijos: hijos adultos</t>
  </si>
  <si>
    <t>Deudas: 1 deuda financiera efectiva 1233.12 soles</t>
  </si>
  <si>
    <t>DT:5116</t>
  </si>
  <si>
    <t>DK:2000</t>
  </si>
  <si>
    <t>CAMAPAÑA:1150</t>
  </si>
  <si>
    <t>MOTIVO DE NO PAGO:ECONOMICOS</t>
  </si>
  <si>
    <t>SUSTENTO DE PAGO: RECIBIRA UN PAGO.</t>
  </si>
  <si>
    <t>dt:550</t>
  </si>
  <si>
    <t>expertis: 450</t>
  </si>
  <si>
    <t>jueves  28/ 11/ 19</t>
  </si>
  <si>
    <t>por la mañana...</t>
  </si>
  <si>
    <t>motivo que dejo de pagar: porblemas economicos</t>
  </si>
  <si>
    <t>hijos: 0</t>
  </si>
  <si>
    <t>esposa: 0</t>
  </si>
  <si>
    <t>agente bcp: 16046</t>
  </si>
  <si>
    <t xml:space="preserve">trabaja: tecnico electricista </t>
  </si>
  <si>
    <t>dt:5700</t>
  </si>
  <si>
    <t>dk:3400</t>
  </si>
  <si>
    <t>campa: 1900</t>
  </si>
  <si>
    <t xml:space="preserve">tt indica que anteriormente no pudo generar el pago porque se encontraba con algunos gastos extras porque su hermano entro a la univ y no pudo cancelar, dice que este mes no tiene gastos y desea cancelar la deuda total. policia 26/03 </t>
  </si>
  <si>
    <t>EDAD DE TT: 26 AÑOS / SOLTERO</t>
  </si>
  <si>
    <t>DEUDAS:   NO REGISTRA OTRA DEUDA // POLICIA</t>
  </si>
  <si>
    <t>DT:591</t>
  </si>
  <si>
    <t>DK:200</t>
  </si>
  <si>
    <t>CAMPAÑA:200</t>
  </si>
  <si>
    <t>FECHA DE PAGO:06-3-20</t>
  </si>
  <si>
    <t>MOTIVO NO PAGO:PROBLEMAS DE SALUD, DIABETES.</t>
  </si>
  <si>
    <t>SUSTENTO DE PAGO:CUENTA CON EL DINERO,AHORROS.</t>
  </si>
  <si>
    <t>HIJOS:NO REGISTRA HIJOS</t>
  </si>
  <si>
    <t>EDAD:57 AÑOS</t>
  </si>
  <si>
    <t>DEUDAS:UNICA DEUDA.</t>
  </si>
  <si>
    <t>DT:6,102    DK: 2,381 CAMPAÑA:1,643.00 ADL:200 VIER 3</t>
  </si>
  <si>
    <t>IMP:AUN NO LE PAGAN SU SUELDO</t>
  </si>
  <si>
    <t>IINDICA QUE LE SIGAN VALIDANDO LA CAMPAÑA DE 1643 SOLES CANCELA EL DIA 30/04/20 CON UN ADELANTO DE PAGO PARA EL DIA 3/04/20</t>
  </si>
  <si>
    <t>DT:6025</t>
  </si>
  <si>
    <t>Dk:765</t>
  </si>
  <si>
    <t>Campaña:612</t>
  </si>
  <si>
    <t>Fecha de pago: 09-03-20.</t>
  </si>
  <si>
    <t>Motivo de no Pago: Saco prestamo para una tercera persona.</t>
  </si>
  <si>
    <t>Sustento de pago: hijo le hara un prestamo ya le aseguro que le daria.</t>
  </si>
  <si>
    <t>Edad:69</t>
  </si>
  <si>
    <t>Deudas: 2 entidades .</t>
  </si>
  <si>
    <t>CAMPAÑA:1300</t>
  </si>
  <si>
    <t xml:space="preserve">excepcion descuento de correo :1129 soles </t>
  </si>
  <si>
    <t xml:space="preserve">consigui el dinero retiro afp </t>
  </si>
  <si>
    <t>sustento retiro desembolso afp</t>
  </si>
  <si>
    <t>DT:632</t>
  </si>
  <si>
    <t>CMAPAÑA:423</t>
  </si>
  <si>
    <t>FECHA DE PAGAO: 15-05-20</t>
  </si>
  <si>
    <t>MOTIVO DE NO PAGO:PERDIO SU TRABAJO.</t>
  </si>
  <si>
    <t>SUSTENTO DE PAGO: PAGAO: LE HARAN UN PAGO, TRABAJA INDEPENDIENTE EN LA TEXTILERIA.</t>
  </si>
  <si>
    <t>DT:650</t>
  </si>
  <si>
    <t>DEJO DE PAGAR PORQUE SE LO ENCARGPO A SU HERMANA</t>
  </si>
  <si>
    <t>PARAGA EL DIA 30 NOV. MAÑANA.</t>
  </si>
  <si>
    <t>MONTO A PAGAR :250</t>
  </si>
  <si>
    <t>DT:6500.00</t>
  </si>
  <si>
    <t>DK: 2214.00</t>
  </si>
  <si>
    <t>SE APROBO EXEPCION PARA CANCELAR CON EL IMPORTE DE S/1000.00 1ER PAGO EL DIA 16/03 2DO EL DIA 31/03 , CLIENTE SACA EL DINERO DE ERAS PERSONA EN CONVERSACION ANTERIOR SE LE HABLO SOBRE LA PENALIDAD , SE ENVIA FORMA DE PAGO , CLIENTE SE LEVANTA DE BASE ASIGANDA DE SANDY-MELINA-LISBETH</t>
  </si>
  <si>
    <t>DT:659</t>
  </si>
  <si>
    <t>DK:360</t>
  </si>
  <si>
    <t>CAMPAÑA:264</t>
  </si>
  <si>
    <t>FECHA DE PAGO:07-03-20</t>
  </si>
  <si>
    <t>MOTIVO NO PAGO: PROBLEMAS PERSONALES</t>
  </si>
  <si>
    <t>SUSTENTO DE PAGO:HONORARIOS HOY LE PAGAN.</t>
  </si>
  <si>
    <t>SI LE ALCANZA EL TIEMPO PAGA HOY</t>
  </si>
  <si>
    <t>HIJOS:NO REGISTRA</t>
  </si>
  <si>
    <t>DEUDAS:1 ENTIDAD BANCO AZTECA.</t>
  </si>
  <si>
    <t>dt:676</t>
  </si>
  <si>
    <t>dk:321</t>
  </si>
  <si>
    <t>camapaña:250</t>
  </si>
  <si>
    <t>fecha de pago: 29-04-20</t>
  </si>
  <si>
    <t>motivo de no pago:deuda para un tercero.papa de su hijo y no pago.</t>
  </si>
  <si>
    <t>sustento de pago:recibira un dinero de haberes.</t>
  </si>
  <si>
    <t>DT:700</t>
  </si>
  <si>
    <t>DK:400</t>
  </si>
  <si>
    <t>CAMPAÑA:250</t>
  </si>
  <si>
    <t>FECHA DE PAGO:14-02 A LAS 3PM.</t>
  </si>
  <si>
    <t>MOTIVO DE NO PAGO: LABORALES</t>
  </si>
  <si>
    <t>dt:702.77</t>
  </si>
  <si>
    <t xml:space="preserve">dc:110 </t>
  </si>
  <si>
    <t>camp:150</t>
  </si>
  <si>
    <t xml:space="preserve">edad:28 años </t>
  </si>
  <si>
    <t>trabajaba en extranjera.</t>
  </si>
  <si>
    <t>agencia:huaral centrol.</t>
  </si>
  <si>
    <t>ella hace 2 años radicaba en el extranjero , en chile .</t>
  </si>
  <si>
    <t>clienta se comunica con nosotros, y nos dice q quiere dar solucion,nos llama al corporativo 2.</t>
  </si>
  <si>
    <t>DT:727</t>
  </si>
  <si>
    <t>DK:186</t>
  </si>
  <si>
    <t>CMAPAÑA:150</t>
  </si>
  <si>
    <t>FECHA DE PAGO:29-04-20</t>
  </si>
  <si>
    <t xml:space="preserve">SUSTENTO DE PAGO: UN PRESTAMO </t>
  </si>
  <si>
    <t>MOTIVO DE NO PAGO:PERSONLES</t>
  </si>
  <si>
    <t>DT:7279.66</t>
  </si>
  <si>
    <t>DK:2285.88</t>
  </si>
  <si>
    <t>CANCELACION :800</t>
  </si>
  <si>
    <t>SUSTENTO DE PAGO: no se valida  TRABAJOi  DEUDA CAJA MUNICIPAL DE AHORRO Y CREDITO TACNA</t>
  </si>
  <si>
    <t xml:space="preserve">SOLICITA PAGAR CON 800 SOLES HASTA ESTE 31/03 YA QUE NO TRABAJA  ESO ES LO QUE A ESTADO JUNTANDO TIENE  CARGA FAMILIAR Y </t>
  </si>
  <si>
    <t xml:space="preserve">DT:745 Y LA CAMPAÑA COMO MIN ES DE CAMP:1000 SOLES Y NOS DICE Q EL DIA JUEVES LO HARA SIN NINGUN PROBLEMA ELLA SE ENCUENTRA EN EL CUZCO , NOS COMENTA Q NUNCA USO LA TARJETA Y Q AHORA LO HARA ,EL DIA JUEVES.SE LE MENCIONA Q LO HAGA PORQ SI NO NO SE LE BRINDARA NINGUNA CAMPAÑA </t>
  </si>
  <si>
    <t xml:space="preserve">DT:745 Y LA CAMPAÑA COMO MIN ES DE CAMP:1000 SOLES Y NOS DICE Q EL DIA JUEVES LO HARA SIN NINGUN PROBLEMA ELLA SE ENCUENTRA EN EL CUZCO , NOS COMENTA Q NUNCA USO LA TARJETA Y Q AHORA LO HARA ,EL DIA JUEVES.SE LE MENCIONA Q LO HAGA PORQ SI NO NO SE LE BRINDARA NINGUNA CAMPAÑA / ella manda a un familiar para q cancelo y no lo hizo y ella en el pueblito q esta solo tiene banco de la nacion </t>
  </si>
  <si>
    <t>dt:7473</t>
  </si>
  <si>
    <t>dk:1683</t>
  </si>
  <si>
    <t>camapaña:970</t>
  </si>
  <si>
    <t>fecha 27-04-20</t>
  </si>
  <si>
    <t xml:space="preserve">motivo de no pago:desalojo del mercado, se fue a cancelar </t>
  </si>
  <si>
    <t>sustento de pago: venta de animales.</t>
  </si>
  <si>
    <t>DT:768</t>
  </si>
  <si>
    <t>DK:320</t>
  </si>
  <si>
    <t>CAMAPAÑA:250</t>
  </si>
  <si>
    <t>FEHCA DE PAGO:27-04-20</t>
  </si>
  <si>
    <t>mOTIVO DE NO PAGO: ECONOMICO, TRABAJO.</t>
  </si>
  <si>
    <t>SUSTENTO DE PAGO: RETIRO DE SU AFP</t>
  </si>
  <si>
    <t>DEUDAS.UNICA DEUDA.</t>
  </si>
  <si>
    <t>DT:782</t>
  </si>
  <si>
    <t>DK:340</t>
  </si>
  <si>
    <t>CAMAPAÑA:272</t>
  </si>
  <si>
    <t>FECHA DE PAGO:23-04-20</t>
  </si>
  <si>
    <t>MOTIVO DE NO PAGO:TIENDA SE FUE A LA QUIEBRA</t>
  </si>
  <si>
    <t>SUSTENTO DE PAGO: RECIBIRA UN PAGO.DE SU TRABAJOS DE AGRICULTURA</t>
  </si>
  <si>
    <t>TRABAJA EN AGRICULTURA COSECHA DE PAPA.</t>
  </si>
  <si>
    <t xml:space="preserve">DT:8,539   PPM: 200 ULTIMA CUOTA </t>
  </si>
  <si>
    <t>SUSTENTO DE PAGO: SUELDO*</t>
  </si>
  <si>
    <t>SE CHANCA PROMESA DE LISBET.</t>
  </si>
  <si>
    <t>TAT INDIC AQUE SI LE LLAMARON Y CANCELARA EL 22 EL DIA 21 LE PAGARAN.</t>
  </si>
  <si>
    <t>DT:800</t>
  </si>
  <si>
    <t>CAMPA: 300</t>
  </si>
  <si>
    <t>TT DICE QUE NO TUVO TIEMPO PARA REALIZAR EL PAGO POR QUE TRABAJA EN UNA ZONA ALEJADA Y SOLO A VECES BAJA AL PUEBLO, PUEDE REALIZAR EL PAGO HASTA EL 16/03 POR AGENTE BCP.</t>
  </si>
  <si>
    <t>EDAD DE TT:  38 AÑOS / SOLTERO</t>
  </si>
  <si>
    <t>DEUDAS:  MIBCO (CALIF.1) TOTAL 503 //  TRABAJA EN ZONA RURAL NO REGISTRA EN PLANILLA AHORA.</t>
  </si>
  <si>
    <t>DT:8070 CAMPAÑA: 2590, TT REALIZARA CANCELACION CON EL IMPORTE DE 1968SOLES EL 30/12 MONTO APROBADO EXCEPCION, SEÑORA TIENE 45 AÑOS NO TRABAJA DEPENDE DE SUS HIJOS Y JUSTAMENTE ES SU HIJA QUIEN LA ESTA APOYANDO PARA CANCELAR TODAS SUS DEUDAS TIENE MAS DEUDAS CON MIBANCO Y OTRAS ENTIDADES. LLADA SE REALIZO DESDE CEL 17</t>
  </si>
  <si>
    <t>DT:8100</t>
  </si>
  <si>
    <t>PROMOCION: 1070</t>
  </si>
  <si>
    <t>ADELANTARA 09-01-2020 --&gt; 200 SOLES</t>
  </si>
  <si>
    <t>RESTANTE  870 SOLES</t>
  </si>
  <si>
    <t xml:space="preserve">PAGARA ATRAVES DE INTERBANK </t>
  </si>
  <si>
    <t>DT:825.57</t>
  </si>
  <si>
    <t>CAM:300</t>
  </si>
  <si>
    <t xml:space="preserve">SE HABLA CON EL TT NOS DICE Q EL DEJO DE PAGAR PORQ EL CREDITO FUE PARA SU TIA . EL SE APERSONADO VARIAS VECES A LA AGENCIA Y NO PUDIERON RECIBIRLE EL PAGO . </t>
  </si>
  <si>
    <t>SUSTENTO :CLIENTE TIENE EL INTERES PERO POR NO TENER CONOCIMIENTO DE LA DEUDA LOS ANALISTAS NO PUDIERON AYUDARLO .</t>
  </si>
  <si>
    <t>FECHA DE PAGO :28/02</t>
  </si>
  <si>
    <t xml:space="preserve">SE ME FUE LA FICHA . </t>
  </si>
  <si>
    <t>EL SE ENCUENTRA EN AREQUIPA</t>
  </si>
  <si>
    <t>DT:8600//EXPERTIS: 3100</t>
  </si>
  <si>
    <t>BCP--&gt; AGENTE/ TARDE</t>
  </si>
  <si>
    <t>DE DONDE SACARA LA PLATA: ESTA ESPERANDO UN PAGO DE UN DEUDOR.//TRABAJA:  COMERCIANTE DE ORIFLAME//HIJOS: 1//ESPOSO: SI</t>
  </si>
  <si>
    <t>SE LE OFRECIO CANCELAR CON 3000 SOLES, PERO EL DIA DE HOY AL REALIZARLE EL RPP ME INDICO QUE SOLO CONTARIA PARA EL DIA SABADO  CON 2000 SOLES PARA PODER CANCELAR TODA LA DEUDA. PORQUE LE PAGARA UNA PERSONA QUE LE DEBE, SE LOGRA VISUALIZAR EN EL SEARCH QUE TIENE OTRA DOS DEUDAS EN CAJA TACANA  Y EN LA EMPRESA FINANCIERA CREDITOS AREQUIPA S A</t>
  </si>
  <si>
    <t>SE APROBO LA EXCEPSION POR 2300</t>
  </si>
  <si>
    <t>DT:867</t>
  </si>
  <si>
    <t>DK:480</t>
  </si>
  <si>
    <t>CAMAPAÑA: 304</t>
  </si>
  <si>
    <t>MOTIVO DE NO PAGO:DINERO FUE PARA TERCERA PERSONA.</t>
  </si>
  <si>
    <t>SUSTENTO DE PAGO:PAGO DE HABERES</t>
  </si>
  <si>
    <t>DT:900</t>
  </si>
  <si>
    <t>DK:425</t>
  </si>
  <si>
    <t>CAMPA:430</t>
  </si>
  <si>
    <t>TT CONFIRMA SU PAGO PARA MAÑANA 10/03 A PARTIR DE LAS 12MM APOYO CON CHRISTIAN.</t>
  </si>
  <si>
    <t>DT:912</t>
  </si>
  <si>
    <t>CAMAPAÑA:150</t>
  </si>
  <si>
    <t>FEHCA DE PAGO:24-04-20</t>
  </si>
  <si>
    <t xml:space="preserve">mOTIVO DE NO PAGO: No pago por que no le dieron LA informacion correcta , queria la carta no adeudo </t>
  </si>
  <si>
    <t>SUSTENTO DE PAGO:prestamo.</t>
  </si>
  <si>
    <t>DT:937</t>
  </si>
  <si>
    <t>Dk:333</t>
  </si>
  <si>
    <t>Campaña:333</t>
  </si>
  <si>
    <t>Fecha de pago: 28-03-20.</t>
  </si>
  <si>
    <t xml:space="preserve">Motivo de no Pago: cancelo todo la deuda </t>
  </si>
  <si>
    <t>Sustento de pago: sueldo</t>
  </si>
  <si>
    <t>Edad: 48 AÑOS</t>
  </si>
  <si>
    <t>Hijos: 3 HIJOS</t>
  </si>
  <si>
    <t>Deudas: UNICA DEUDA.</t>
  </si>
  <si>
    <t>DT:950</t>
  </si>
  <si>
    <t>MOTIVO DE NO PAGO: INDICA QUE SE FUE AL EXTRANJERO PAGANDO TODO SU DEUDA// A SU REGRESO LE INDICn que tiene una deuda por no anular su deuda.</t>
  </si>
  <si>
    <t>NO CUENTA CON TRABAJO</t>
  </si>
  <si>
    <t>DEUDAS: EN 4 BANCOS INDICA QUE ES SOLO POR NO ANULAR SUS TARJETAS.</t>
  </si>
  <si>
    <t>TT. ESTARA REALIZANDO HOY 07/02 LOS 200 SOLES.</t>
  </si>
  <si>
    <t>DT:950.00</t>
  </si>
  <si>
    <t>DK:260.00</t>
  </si>
  <si>
    <t>MONTO CAMPAÑA:100.00</t>
  </si>
  <si>
    <t>DEJO DE PAGAR POR QUE SE FUE DE VIAJE ,CANCELARA CON PAGO DE FIN DE MES.</t>
  </si>
  <si>
    <t>MOTIVO DE NO PAGO:VIAJES</t>
  </si>
  <si>
    <t>Search</t>
  </si>
  <si>
    <t xml:space="preserve">EDAD:36 AÑOS//SOLTERA//NO REGISTRA HIJOS//NO REGISTRA TRABAJO EN PLANILLA NI SEGURO EN ESSALUD//MANTIENE DEUDAS EN ESTADO DE PERDIDA CON </t>
  </si>
  <si>
    <t>ENTIDAD FINANCIERA</t>
  </si>
  <si>
    <t>TIPO DE PRODUCTO</t>
  </si>
  <si>
    <t>MONTO</t>
  </si>
  <si>
    <t>CALIFICACION</t>
  </si>
  <si>
    <t>DIAS ATRASO</t>
  </si>
  <si>
    <t>BANCO CENCOSUD S.A.</t>
  </si>
  <si>
    <t>CLIENTE ASIGNADO POR INBOUND</t>
  </si>
  <si>
    <t>DEUDAS :</t>
  </si>
  <si>
    <t>dt:9552</t>
  </si>
  <si>
    <t>dk:6840</t>
  </si>
  <si>
    <t>camAPAÑA:2700</t>
  </si>
  <si>
    <t>MOTIVO DE PAGO:TERCERA PERSONA</t>
  </si>
  <si>
    <t>SUSTENTO DE PAGO: HERMANO LE DAR EL DINERO YA HABIA CONVERSADO.</t>
  </si>
  <si>
    <t>DEUDAS: UNICA DEUDA</t>
  </si>
  <si>
    <t>OBSERVACION: TT, REALIZARA UN PRIMER DE DEPOSITO DE 300 SOLES MAÑANA 22-04-20, Y LA DIFERENCIA DE 2400 EL 29-04-20.</t>
  </si>
  <si>
    <t>DT:960.00</t>
  </si>
  <si>
    <t>CAMPAÑA 695.00</t>
  </si>
  <si>
    <t>MIN1 556</t>
  </si>
  <si>
    <t xml:space="preserve">TT INDICA QUE TIENE UN APROX DE 500.00 QUE ES LO QUE QUERIA IR A PAGAR // SE ACOGE A LA OPCION DE 556.00 DE LA SGTE MANERA: 200.00 EL DIA 12/02/2020 Y 356.00 EL DIA 15/02/2020 , SE LE INDICA UQE SE ENVIARA SMS </t>
  </si>
  <si>
    <t>Dt:961</t>
  </si>
  <si>
    <t>DK:369.83</t>
  </si>
  <si>
    <t>Fecha de pago:29-02-20 a las 10am</t>
  </si>
  <si>
    <t>Motivo de no pago: saco prestamo para un familiar y no pago.</t>
  </si>
  <si>
    <t>sustento de pago:pago de su sueldo</t>
  </si>
  <si>
    <t>Hijos: no registra.</t>
  </si>
  <si>
    <t>Edad:  31 años</t>
  </si>
  <si>
    <t>DEUDAS: unica deuda.</t>
  </si>
  <si>
    <t>llamada se realiza del discador a las 19:04pm 9 minutos. base asiganado tacita.</t>
  </si>
  <si>
    <t>DT:S/5,579.01</t>
  </si>
  <si>
    <t>DK:s/5,579.01</t>
  </si>
  <si>
    <t>Promoción:800 (EL MES PASADO SE FRACCIONO 2 CUOTAS DE 1200, YA PAGO 400)</t>
  </si>
  <si>
    <t>Sustento:TT CANCELA CON 800 SOLES HASTA EL 29/02/20 EN UN AGENTE BCP.</t>
  </si>
  <si>
    <t>Search: 52AÑOS / 2 HIJOS / NO FIGURA EN PLANILLA / SE COLGO EL SEARCH</t>
  </si>
  <si>
    <t>dt:s/8000.00</t>
  </si>
  <si>
    <t>dk: s/4482.00</t>
  </si>
  <si>
    <t>se aprueba exepcion de cancelacion de s/2200.00 cliente deposita mañana por agente bcp , dinero lo saca de ventas navideñas edad de 43 años</t>
  </si>
  <si>
    <t>DT; 25.900 SOLES / CAMPAÑA: 5.650 SOLES / TT MENCIONA QUE ESTA PAGANDO OTRO PRESTAMO POR ESO AUN NO LO PUEDE PAGAR / EL PRESTAMO FUE PARA OTRA PERSONA // EDAD:48 AÑOS // TRABAJA EN EL MINISTERIO PUBLICO SUELDO - 2 MIL APROX // HIJOS 2 HIJOS //  DEUDAS 2 SCOTIABANK</t>
  </si>
  <si>
    <t>- INTERBANK QUE SUMAN 41600 SOLEA APROX / ABONA 200 SOLES MENSUAL PARA CONGELAR EL INTERES /  DISKADOR</t>
  </si>
  <si>
    <t>dt_1800</t>
  </si>
  <si>
    <t>expertis: 850---&gt;ppc</t>
  </si>
  <si>
    <t>EL TT SE COMPROMETIO A PAGAR  SU DEUDA.</t>
  </si>
  <si>
    <t xml:space="preserve">dt100 dc50 tti solo debe saldo hoy cancel cn 50 soles, 46 años /2entidades/ si sale trabajo se manda nrod e cta/sustto ya tiwn dineri hoy 05/05 </t>
  </si>
  <si>
    <t>DT1000 DK815 DC700  TTI ANTES YA TUVO COMPROMISO INCUMPLISO POR Q NO UDO PAGAR ,SE PORGRMAAM PGO PARA EO LUNES 20/04 CANCELACION 500 SOLES /TIRNER 25AÑO* NO SALE DEUDA * NO SALE TRABAJO /SUSTENO DE POG :DIC YA VA CONSEGUIR//SE INGRESA GESTION DE NUEVO POR EROR EN PDP ES PPC</t>
  </si>
  <si>
    <t xml:space="preserve">DT11 DC4600 TT LE LLEGO CORREO PR IMPORTE MINIMO , PERO SOLO ODRA CAN CN 1500 OLES DIC NOPODRA MAS , TIENE 3 AÑOS , NO SALE DEUDA , SI LABORA EN ELE BANCO / TIT INBAUS ASIGNADO SOLO SE GESTIONA PO WASAPT /  CANCELARA EL 22/02 CN ECEPCION </t>
  </si>
  <si>
    <t xml:space="preserve">DT1150 DC400 TIT   TIENE 25 AÑOS DEBE 1 NETIDAD NO SALE  TRABAJO EN SHERK . PERO DIC SUSTENTO DE PGO DE SUNTRABAJO YA QUE LE OAGAN SEMANAL / INBAUS ASIGNADO/SE LLAMO SE NUEVO PARA REAFIRMSR COMPROMISO  YA Q EN PRIMERA LLAMADA NO SE GRABO </t>
  </si>
  <si>
    <t xml:space="preserve">DT1200 CAMPAÑA DE 690  TT MENCIONA DE PPC DE 690   HASTA EL 19/12  , ES INDEPENDIENTE Y MENCIONA QUE EL 18 ENTREGA UN TRABAJO Y EL 19/12 YA PUEDE CANCELAR </t>
  </si>
  <si>
    <t xml:space="preserve">DT1200DC 300 HARA CAN 300 EL 30/01 SUNTENTO DE PGO DE SU TRABAJO .36 AÑOSSI  SALE TRABAJO EN SHERK  SUELDO 913 SOLES 3 ENTIDADS / DISCADOR </t>
  </si>
  <si>
    <t xml:space="preserve">DT1210 DC150  TT LLAMAS A L CEL9 DIC LE LLEGO MSJ 136 SOLS SE ACUWRDA CAN CN 137 SOLES  HOY 27/5  SUSTENTO DE PGO YA TIENE DINERO/59AÑOS/ 2ENTODADES/NO SALE TRABAJO /ENATRANTE </t>
  </si>
  <si>
    <t>dt12100,dk6700,dc3900 sherk 50 sños si sale trabjo sueldo 81 soles debe 2 entidades hara cancelacion cn ecepcion de 3000 soles sustento depgo tiene cheque de cobri de jubilacion / discador / fecha demaximo de 22/01 ya q el lunes cobrara chueque y se dio plazo hasta el 22/01</t>
  </si>
  <si>
    <t xml:space="preserve">DT1300 DK700 DC700 ,RESP.41207292   -  ZENAIDA CHAVEZ TUNQUI , SE DA DESCUENTO 600  HOY DIA QUIERE CAN POR QUE QUIERE SOLICITAR REATAMO ES GARANTE DE TT /SE COMUNIC ANALISTA BERENICE,SE CFEDINKA / DAOS DEL SHER 39 AÑOS DEBE 2 ENTIDADES, SI LABORA /INBAUS ASIGNADO POR MARIANGELA /AUDIO MELINA </t>
  </si>
  <si>
    <t>DT1380</t>
  </si>
  <si>
    <t xml:space="preserve">se le ofrecio la campaña de cancelacion por 200 soles, para el dia 24 de enero / </t>
  </si>
  <si>
    <t>MUNICIPALIDAD DE PUEBLO LIBRE</t>
  </si>
  <si>
    <t>DEUDAS:</t>
  </si>
  <si>
    <t>:::::BANCO CENCOSUD S.A.</t>
  </si>
  <si>
    <t>::::FINANCIERA UNO S A</t>
  </si>
  <si>
    <t>DT1400</t>
  </si>
  <si>
    <t>EDAD:40</t>
  </si>
  <si>
    <t>MUNICIPALIDAD PUENTE PIEDRA</t>
  </si>
  <si>
    <t xml:space="preserve">TIENE DEUDA CON FINANCIERA UNO </t>
  </si>
  <si>
    <t xml:space="preserve">INFORMO QUE CANCELARA EL DIA LUNES 20 LOS 200 SOLES </t>
  </si>
  <si>
    <t>dt1400</t>
  </si>
  <si>
    <t>dc 240</t>
  </si>
  <si>
    <t>no pudo realizar el pago por falta de dinero</t>
  </si>
  <si>
    <t>nos confirma que el dia viernes realizara el pago , es posible que se acerce a la oficina para recoger personalmente su cdna</t>
  </si>
  <si>
    <t>41años</t>
  </si>
  <si>
    <t>CONSORCIO ANCASCOCHA</t>
  </si>
  <si>
    <t xml:space="preserve">DT1500 DC220 DIC NTES LEDIJEORJ 203 S ELE DIJO AHRA 220 NO OUDO PAGAR ANTES POR  Q NO TUVO,SSRH 32 AÑOS DIC LABORA , NO SAÑLE DEUDA PAGAR EL 28/02 // DISCADOR </t>
  </si>
  <si>
    <t>DT1500 DC220 DIC NTES LEDIJEORJ 203 S ELE DIJO AHRA 220 NO OUDO PAGAR ANTES POR  Q NO TUVO,SSRH 32 AÑOS DIC LABORA , NO SAÑLE DEUDA PAGAR EL 28/02 // DISCADOR // SE INGRESO DE NUEVO POR ERROR DE TIPIFIACION</t>
  </si>
  <si>
    <t>dt1680, se le ofrecio una campaña 1080s para cancelacion, se le dio numero para que nos llame.</t>
  </si>
  <si>
    <t>pd.se paso el discador</t>
  </si>
  <si>
    <t>dt1700 dk800 dc 170 tti   dic hara cancelcion  170 soles.30/04  /tiene 38 años , si sale trabajo , debe 2 entidades /sustentp de pgo ;se va oretar diberi,ya q segun ahora ya notrabaja</t>
  </si>
  <si>
    <t>dt1800 dc200 can cn 200 soles 29/05 sustento de pgo :ahorros /29años/sale trabajo /no sale deuda /sañe afp /</t>
  </si>
  <si>
    <t>DT18900 DC700 TIT SE LE ACEPTA PROPUESTA DE CANCELR CON EXECPION DE 250 SOLES 30/04 / SUSTENTO: DE LO Q LE PAGUEN /APROBADO POR JULIO</t>
  </si>
  <si>
    <t xml:space="preserve">DT21500 CANC 2500 , NO CUENTA CON DINERO , ESTA TRABJANDO EN EL CAMPO Y SACA DIARIO PARA LA COMIDA, TIENE UN HIJO MENOR DE EDAD DE 5 AÑOS ,CONSEGUIRA EL DINERO  </t>
  </si>
  <si>
    <t>DT2400 DK1100 DC300 , TT SE COMUNICO,DCI LE LLEGO MSJ AYER POR 207 SOLES Y PROPONE PAGAE ESE MONTO,SE ACUERDA CAN CN 208 SOELS 28/03 ,SUSTENTO DE G YA TIENE DINERO/27AÑOS / NO FIGURA DEUDA / NO SALE TRABAJO ACTIVO/TIT LLAMO A CEL09</t>
  </si>
  <si>
    <t>DT2800 , DC 500 TIT SE COMUNCO AL CEL 09 DIC NO PUDO PAGAR POR Q TUVO UINCONVENIENTES SE PORGEAMA PGO EL 16/03 500 SOLES /TINE 55 AÑOS DEBE UNA ENTIDAD , NO FIGURA TRABAJO / SUSTENTO DE POG , PARA ESA FEHCA CONSEGUIRA DINERO / TTI SE COMUNICO AL CEL 09</t>
  </si>
  <si>
    <t xml:space="preserve">DT28000 DK1500 DC1300   CEL 985401417  40 AÑOS DEVBE UNA ENTIDAD NO SALE TRABAJI EN SHER , PEOR DCI SUSTENTO DW PGO DE ADELANTO DE PAGO DE SUS TRABAJO EL DIA 22/01 DIC ADELANTARA 200 SOLES Y SALDO 1100 EL 24/01 / DISCADOR </t>
  </si>
  <si>
    <t>DT3400 DK1700  DC 1300 SUSTNTO VENTA DE MADERA , TIENE 33 AÑOS DEBE 1 ENTIDAD NOS SALE TRABJO EL 14/02 ABONA 100 SOLES Y EL 28/02 1200 SOLES Y CN ESO CANCELS DEUDS TOTAL /DISCDOR</t>
  </si>
  <si>
    <t>DT41000 DK19500 DC 10000  TIT  SE LE MANIENE COMPROMISO  DEL MES 7800 SOLES PARA EL 20/04 YA  QUE POR CUSRENTENA NO PAGO Y AHORA NO SABE COMO TRANSPORTARSE/32AÑOS , SALE TRABAJO 2048, DEBE UNS ENTIDAD /SUSTENTO DE POG DE LA VENTA DE UNA PROPIEDAD, /SABE VACACIOENS CESE/ASIGNADA POR SANDY</t>
  </si>
  <si>
    <t>DT4200 DC 900 DK 4200 ,TT SE ATRASO UNI DIAS DICE Y EN OH LE BLOQUARON TARJAETA QUISO PAGAR EL 21/12 Y NO PUDO TIENE 38 AÑOS , DEBE 4 ENTIDADES , NO FUG TRABAJO SE LE PREUNTS SUSTENTO DE PGO Y SOLO DIC Q ANTES KISO PAGAR Y NO LE ACESTSRON PGO  Y QUISA LO HAGA ANTS DE FEHCA PROGRAMADA 30/12</t>
  </si>
  <si>
    <t>DT4200 DK4200 DK1050 ,  ESTE MES CAN ULTIMA CUOTA 332 SOLES  , 06/03 DEBE 4 ENTIDADES , 42 AÑOS NO SALE TRABAJO SE PROGRAMA ULTIMA CUOTA</t>
  </si>
  <si>
    <t>dt4700 dk 2710 dc 2100 , pero ella indica que mando correo  Y SOLO PODRA PAGAR ESE MONTO  38 AÑOS DEBE 2 ENTIDADS SI TRABAJA SUELDO 2238  CLIENTE MUY CORTANTE NO DEJA PREGUNTAR MUCHO PERO ASEFURA Q LUNES PAGARA Y KIERE CARTA DE NO DEUDOR LO ANTES 27/01</t>
  </si>
  <si>
    <t>dt4700 dk3200dc3000 tt hara cancel ion cn 3000 soels el 12/05 sustento de pog ya tien 2500 completara cn 500 mas /tti debe dos entidades/50años/no sale trabaji</t>
  </si>
  <si>
    <t xml:space="preserve">dt500 dc300  tti ic cancela 300 30/05  susttni de pgo va juntar /25año/1entidad/sale trabajo </t>
  </si>
  <si>
    <t>DT500,DK390 DC330 910320150  48 AÑOS EN SHER NO SLE YTRABAJO NI DEUDA / SUSTENTO DE PGO DE SU TRABAJA EN SU CHACRA/ 10/02 /PPC 330</t>
  </si>
  <si>
    <t xml:space="preserve">dt5500 dk3300vdc2500 abonara antiipo de 100 hoy 16/01 y  el 28/01 an cn 2400 mas sustento de pgo de lo q vende sus ajos , en sherk no sale trabajo no sale deuda cn entidades pero ella dice ber a otra entidad q tambine esta pagando  tiene 50 años 959596039  discador se llamo de nuyebvo por q antese corto llamada </t>
  </si>
  <si>
    <t>DT600DC380 TIT   DIC HARA PGO EL 13/05 /220 /TITNEE 37AÑO /NO SALe afp/susttno dic el sabra,canc 220 el 13/05</t>
  </si>
  <si>
    <t>DT612</t>
  </si>
  <si>
    <t>se le realiza un nuevo compromiso de pago S/150.00 para el dia lunes 30</t>
  </si>
  <si>
    <t xml:space="preserve">no se guardo la tipificacion del dia de ayer </t>
  </si>
  <si>
    <t xml:space="preserve">DT6600, CANC 1000 tt indica que tiene problemas estuvo postrado en cama , necesita pagar porque necesita pasar sus cosas a su nombre, ya se encuentra trabajando y de ahi sustentaria el pago se verifica que tiene otras deudas con otras entidades hasta con 4 entidades , dk 2866, cliente se encuentra apurado por lo que se le enviara toda la informacion adicional por sms </t>
  </si>
  <si>
    <t>DT950 DK380 DC100 TTI LLAMA AL CEL9 X MSJ  75 SOLES SE PROPINE CAN CN 85 SOLES TA Q MSJ S PASADO  MAÑANA CN CN 85 SOLES 5/05 /29 AÑOS /2 ENTIDADES/SI LABORA/SUSTENTO DE PGO YA TINE DINERO /DESEA AUERDO DE CNCELCUONA SU CORREO /LLAMADA ENTRATNTE</t>
  </si>
  <si>
    <t xml:space="preserve">EDAD 38 </t>
  </si>
  <si>
    <t xml:space="preserve">TT NO PUDO PAGAR ANTERIORMENTE POR PROBLEMAS EN SU TIERRA , ESTA DEACUERDO EN PAGAR 2200 , DT 6300 , SE DICA A VENDER SU GANADITO  - SE ENVIA INFORMACION DE PAGO SMS Y WSP AL NUMERO DEL TT - TT PAGARA  JUEVES 19 </t>
  </si>
  <si>
    <t>POR PRTOBLEMNAS CON LA VENTA DE SU GANADO</t>
  </si>
  <si>
    <t>TRABAJA VENDER GANADO</t>
  </si>
  <si>
    <t>DK 4800</t>
  </si>
  <si>
    <t>EDL PRESTAMO FUE PARA U NEGOCIO Y SE FUERON A LA QUIEBRA, ESTA JUNTANDO EL DINERO CON LAS PERONAS PARA CANCELR LA DEUDA SE LE MENCIONA QUE EL DIA LUNES 07/10</t>
  </si>
  <si>
    <t xml:space="preserve">EFECTUARA EL PAGO 500 SOLES EL DIA DE HOY POR EL BCP </t>
  </si>
  <si>
    <t>EL 15/09 PAGARÀ S/.1990 COMO CANCELACION. AUTORIZADO POR MARIANGELA PIÑA</t>
  </si>
  <si>
    <t>EL 28/12 QUIERE HACER LA CANCELACION, DK 800, DT 1300, MIN1 690, DESEA QUE LE LEVANTEN EXCEPCION CON 400 PARA HACER LA CANCELACION DE LA DEUDA, NO PUDO PAGAR PORQUE SE ENFERMO Y NO PUDO TRABAJAR PORQUE SE FRACTURO EL HOMBRO, LE CAYO UN SACO DE ALIMENTO, QUIERE PAGAR PORQUE MAS ADELANTE QUIZAS SACA UN PRESTAMO, SUS HIJAS EN UNIVERSIDAD TIENE GASTOS PERO ESTE MES ESTA LIBRE DE GASTOS, SACO PRESTAMO PARA COMPRAR UN ARTEFACTO, 40 AÑOS, 3 HIJAS, 2 EN UNIVERISIDA, 1 EN ESCUELA, TRABAJA EN UNA EMPRESA DE ARTESANIA, GANA 1200, LLAMADA REALIZADA DESDE EL DISCADOR, PAGO PARA LAS 4 PM INDICADO POR EL TITULAR</t>
  </si>
  <si>
    <t xml:space="preserve">EL CLIENTE PAGARA EL DIA 29 YA Q PAGO EL DIA 8/11 SU CUOTA DE ESTE MES . </t>
  </si>
  <si>
    <t>EL CLIENTE SE COMUNICO CONMIGO PARA INDICARME EL MOTIVO DE PORQUE NO PAGO EL COMPROMISO, ASEGURO QUE EL DIA 30/11 PAGARA LO QUE SE COMPROMETIO YA QUE ESE DIA LE PAGAN DE SU TRABAJO.</t>
  </si>
  <si>
    <t xml:space="preserve">EL COMPROMISO SE GENERO EL DIA 08/11 Y NO FIGURA EN EL SISTEMA / SE LE GENERA COMPROMISO POR 3800 SOLES / </t>
  </si>
  <si>
    <t>el dia de hoy abona 50 soles de adelanto y lo restante el dia lunes // se le enviara acuerdo de pago</t>
  </si>
  <si>
    <t xml:space="preserve">EL DIA DE HOY CANCELA LA MITAD BAJO EL IMPORTE DE CAMPAÑA DE 700 SOLES HOY CANCELA 350 Y LO RESTANTE A FIN DE MES </t>
  </si>
  <si>
    <t>el dia de hoy realizara la cancelacion de la cuenta / DT 330, se le informa que puede realizar el pago en la agencia credinka</t>
  </si>
  <si>
    <t xml:space="preserve">el dia de hoy se genera nuevo compromiso de pago con importe de excepcion 1100 realisa el abono hoy </t>
  </si>
  <si>
    <t xml:space="preserve">EL DIA DE HOY TRAS APROBAR SU EXCEPCION ,REALIZARA LA CANCELACION CUANDO LLEGUE DE VIAJE / HOY APROX 5PM </t>
  </si>
  <si>
    <t>el dia viernes realizara la cancelacion total campañaS/200.00 de su cuenta,no pudo antes ya que estuvo de viaje.</t>
  </si>
  <si>
    <t xml:space="preserve">EL JUEVES LE HARAN EL DESEMBOLSO DE UN PRESTAMO CON ELLO CANCELARA EL VIERNES, ENVIAR ACUERDO POR WSP </t>
  </si>
  <si>
    <t>EL MONTO DE 700 SE PUSO POR ERROR SE CORRIGE EN 600 COM EXCEPCION DE MARIANGELA</t>
  </si>
  <si>
    <t xml:space="preserve">EL PRESTAMO FUE PARA SU HERMANO // SE LE OFRECE PAGAR 202 SOLES </t>
  </si>
  <si>
    <t>el sr no pudo realizar el pago el dia de hoy indica que mañana Campaña s/600</t>
  </si>
  <si>
    <t xml:space="preserve">El trato se hizo en la oficina, nos menciona que el mes pasado recibio un mensaje de cancelacion de pago con 2200 soles, el cliente no pudo pagar ese monto porque no contaba con esa cantidad, se le niega esa cantidad, Deuda total : 19900 kapital: 12800 campaña 5000, se le hace execepcion de 3500 soles, hoy pagara 2200 y mañana 11/01 1300 ( un amigo le prestara, diferencia) se le envia inf por whasap. Search: 63 años, tiene 3 hijos, trabaja en EMPRESA MUNICIPAL DE MERCADOS SA, sueldo aprox 2500  tiene 2 deudas mas, , el dinero lo sacara de sus ahorros y de lo que un amigo le prestara.  </t>
  </si>
  <si>
    <t xml:space="preserve">ELEUTERIO NAPO ESPOSO DE TT RESPONSABLE DE PAGOS INFORMA QUE DEJO DE PAGAR POR UN TEMA DE LLUVIAS QUE ECHO A PERDER SU COSECHA, EN LA ACTUALIDAD TRABAJA PARA EMPRESA  GENERA PPC CON EL IMPORTE DE 370 PARA EL 30/11 DISCADOR </t>
  </si>
  <si>
    <t xml:space="preserve">ELSA ESPOSA RESPONSABLE     cerrado por whatsapp </t>
  </si>
  <si>
    <t>Fecha de Pago:  11/02</t>
  </si>
  <si>
    <t xml:space="preserve">MONTO : 3039 PPC . </t>
  </si>
  <si>
    <t>DT: 5273      DK : 3039</t>
  </si>
  <si>
    <t xml:space="preserve">Sustento:  en espera de un desembolso ,  compra de deuda . indica hacerlo antes del 11 si sale el desembolso . </t>
  </si>
  <si>
    <t xml:space="preserve">Search :  no reporta deudas  // Converso con Mayra anteriormente </t>
  </si>
  <si>
    <t xml:space="preserve">ELSA ESPOSA RESPONSABLE    </t>
  </si>
  <si>
    <t>Sustento: El prestamo le sale el dia lunes pide que se le espere hasta esa fecha  ya que tiene intencion de pago  .</t>
  </si>
  <si>
    <t>Search :  no reporta deudas //</t>
  </si>
  <si>
    <t>ELSA ESPOSA RESPONSABLE    INBOUND  CERRADO POR WHATSAPP</t>
  </si>
  <si>
    <t xml:space="preserve">Fecha de Pago:  30/01   </t>
  </si>
  <si>
    <t>Sustento:  en espera de un desembolso , compra de deuda . si el desembolso sale antes del 30 lo realiza . ya que quiere cancelar deuda de su esposo .</t>
  </si>
  <si>
    <t>ELSA ESPOSA RESPONSABLE    INBOUND</t>
  </si>
  <si>
    <t xml:space="preserve">Fecha de Pago:  24/01   </t>
  </si>
  <si>
    <t>Sustento:  va conseguir el dinero , asegura deposito si puede lo hace antes .</t>
  </si>
  <si>
    <t xml:space="preserve">Search :  no reporta deudas  // Converso con Mayra </t>
  </si>
  <si>
    <t>ENC ABUELA CARMENCANCELA SABADO 28/12  CLIE TE ASIGNADO INBAUS</t>
  </si>
  <si>
    <t>enc emilio trujillo se comunica confirma cancelacion cn 1000 soles , dt 4500 dc 1300, datos del sherk , 55 años 1 entidad no labora sustento de pgo :ya junto dinero cn sus hjos , /inbaus asigando ppr mariangela /cl llamo a cel de mariangela .no graba</t>
  </si>
  <si>
    <t>ENC PAREJA DE TIT SRA KATIA HARA CANCLACION CN 1300 ECEPCION APORBADA ,EL DIA DE HOY 07/04/PALTILLA YA SE LLENO EN GESTION ANTERIOR / CLIENTE ASIGNADO POR SANDY</t>
  </si>
  <si>
    <t>Encargada de la deuda la Sra. SUSY MAGALY DIAZ SALIZAR 44184599, DT 1300, indica que se hara responsable de la deuda de su hermana ya que la tt sufrio accidente y se fue a vivir a otro lado y ya no pago la deuda pendiente, indica que la garantizo con su casa y no quiere tener problemas, quiere cancelas con 550 soles, la tt tiene 27 años y no reporta entidades</t>
  </si>
  <si>
    <t xml:space="preserve">ENCARGADA DE PAGO LA SEÑORA DELIA INDICA QUE NO PUDO REUNIR TODO (1050) SOLO ABONO 430 Y RESTANTE 620 ABONA EL 27/12 </t>
  </si>
  <si>
    <t>PPC DE 620</t>
  </si>
  <si>
    <t xml:space="preserve">ENCARGADA YESENIA (PRIMA DE TT PAGA 225 VIERENS 06/09 Y REST FIN DE MES </t>
  </si>
  <si>
    <t>ENCARGADO 41653111 LISTER HUGO PARIONA HUAYRA SE COMPROMETE A REALIZAR PAGO DE S/ 6000 PARA EL DÍA LUNES 17/02. PROBABLEMENTE ADELANTE PAGO PARA EL DÍA DE MAÑANA , SE LE ENVÍA NÚMERO DE CUENTA DEL BCP .</t>
  </si>
  <si>
    <t xml:space="preserve">Encargado acepta propuesta de pago, realizará el pago el día de hoy 10/12. Se envía sms con número de cuenta. </t>
  </si>
  <si>
    <t xml:space="preserve">Encargado de pago se comunica, se aprueba contrapropuesta de s/ 10,000.00 para la cancelación solo por el día de hoy. Realizará pago en el BCP, se le envía número de cuenta vía sms. </t>
  </si>
  <si>
    <t>ENCARGADO DE PAGO SEÑOR URIEL ABONARA EL 23/11 YA QUE PARA ESA FECHA LE PAGARAN EN SU TRABAJO, CANCELA EN EL BANCO INTERBANK</t>
  </si>
  <si>
    <t>ENCARGADO HARA PAGO POR 137</t>
  </si>
  <si>
    <t xml:space="preserve">Encargado se comunica , indica que conversó con el titular y le indicó que realizarían el pago de s/3665 el día de mañana 29/09. Se enviará compromiso de pago vía whatsapp. </t>
  </si>
  <si>
    <t xml:space="preserve">Encargado se comunica, indica que se está acercando a la financiera para realizar el pago de s/ 5500 para la cancelación total. Realizará el pago en una hora, se dvll </t>
  </si>
  <si>
    <t xml:space="preserve">encargado se comunica, indica que tt aceptó propuesta y se está acercando a oficinas a realizar el pago. Se realiza compromiso por el importe de s/1150. </t>
  </si>
  <si>
    <t xml:space="preserve">Encargado se comunica, indica que tt realizará pago de s/580 el día 30/11; ya que tt se encuentra en provincia. </t>
  </si>
  <si>
    <t>Entidades: BANCO FALABELLA PERÚ S A (PERDIDA)</t>
  </si>
  <si>
    <t>DT: 974.71 soles</t>
  </si>
  <si>
    <t>DK: 724.08 soles</t>
  </si>
  <si>
    <t>Monto a cancelar: 400 soles (MONTO APROBADO)</t>
  </si>
  <si>
    <t>Edad: 38</t>
  </si>
  <si>
    <t>Fecha de castiga: 12-10-2017</t>
  </si>
  <si>
    <t>Hijos: 2</t>
  </si>
  <si>
    <t>Laborales: no especifica pero indica labora como obrero.</t>
  </si>
  <si>
    <t>Fecha aprox de pago: 31/03/2020</t>
  </si>
  <si>
    <t>TIT indica que se generó la deuda porque tuvo un accidente y no pudo pagar, actualmente esta laborando como independiente en obras, se viene gestionando desde septiembre del 2019 sin poder llegar aun acuerdo</t>
  </si>
  <si>
    <t>Entidades: COOPERATIVA DE AHORRO Y CREDITO LTDA MI FINANCIERA</t>
  </si>
  <si>
    <t>DT: 1,847.53 soles</t>
  </si>
  <si>
    <t>DK: 1,003.57 soles</t>
  </si>
  <si>
    <t>Monto a cancelar: 500 soles (MONTO APROBADO)</t>
  </si>
  <si>
    <t>Fecha de castiga: 28-01-2016</t>
  </si>
  <si>
    <t>Hijos: no tiene</t>
  </si>
  <si>
    <t>Fecha aprox de pago: 09/03/2020</t>
  </si>
  <si>
    <t>Hora:  1pm</t>
  </si>
  <si>
    <t>Se viene gestionando al cliente de junio 2019 como renuente.</t>
  </si>
  <si>
    <t>ENVIAR ACUERDO POR WSP 921502490</t>
  </si>
  <si>
    <t>ENVIAR ACUERDO VIA WSP, SE MENCIONO PENALIDAD DE 10 SOLES ADICIONAL, ENVIAR CTA BCP</t>
  </si>
  <si>
    <t>enviar carta por wsp brindara nro de su hna</t>
  </si>
  <si>
    <t>ENVIAR NRO DE CTA BCP</t>
  </si>
  <si>
    <t>LE LLEGO SMS CON DSCTO 183</t>
  </si>
  <si>
    <t>DT:1650</t>
  </si>
  <si>
    <t xml:space="preserve">ENVIAR NRO DE CTA IBK POR SMS, LE HA LLEGO MSJS </t>
  </si>
  <si>
    <t>ENVIARON SMS 1192 // SE INF MARIANG</t>
  </si>
  <si>
    <t xml:space="preserve">ERROR DE TIPIFICACION CLIENTE PAGARA EL DIA 28/03/20 SE INGRESA NUEVAMENTE COMPROMISO CON FECHA CORRECTA </t>
  </si>
  <si>
    <t xml:space="preserve">Excepcion : 606 soles en 3c de 202 soles </t>
  </si>
  <si>
    <t>sustento : tt indica q a ella le pagan del 17 al 28 de cada mes y de acuerdo a su fecha de pago lo realiza pero que si realizara la ultima cuota para realizar cancelacion, se fastidia mucho de los recordatorio y de las llamadas constantes.</t>
  </si>
  <si>
    <t xml:space="preserve">Search 57 años//soltero//tiene deuda en estado normal con </t>
  </si>
  <si>
    <t xml:space="preserve"> IMBOUND ASIGNADO  POR MRIANGELA PIÑA </t>
  </si>
  <si>
    <t>ES EL NUMERO NUEVO DEL TT .Y VA A PAGAR 700</t>
  </si>
  <si>
    <t xml:space="preserve">es una excepcion realizara la cancelacion este mes de diciembre , realizara un adelanto de 100 soles el dia 9/12 y la diferencia en la fecha del pago . </t>
  </si>
  <si>
    <t xml:space="preserve">Esposa Alisson encargada de pagos confirma pago del monto de 1800 soles a la cancelacion de la deuda de su esposo , excepcion aprobada / ppc </t>
  </si>
  <si>
    <t xml:space="preserve">ESPOSA CONFIRMA PAGO DEL MONTO DE 4500 SOLES EXCEPCION DE JULIO ENTONCES PAGARA EN 1 HORA APROX. EN EL BANCO IBK / PPC </t>
  </si>
  <si>
    <t>ESPOSA DE TT 48305003</t>
  </si>
  <si>
    <t>MEDELIN KARLA CRUZ ARREDONDO RESPONSABLE DE LOS PAGOS</t>
  </si>
  <si>
    <t>INDICA QUE ESTARA REALIZANDO CANCELACION DE DEUDA CON EL IMPORTE DE 1200SOLES EL DIA 28/01 LLAMADA DESDE CEL 17 EXCEPCION APROBADA POR JULIO</t>
  </si>
  <si>
    <t>ESPOSA DE TT CONFIRMA ABONO PARA HOY 08/01 ENVIARA VOUCHER</t>
  </si>
  <si>
    <t>ESPOSA DE TT SRA. ELIANA CONFIRMA ABONO PARA HOY POR LA TARDE</t>
  </si>
  <si>
    <t>ESPOSA DE TT SRA. PALACIOS CANCELARA 800 CON EXCPECION APROBAD POR MARIANG //10 AM</t>
  </si>
  <si>
    <t xml:space="preserve">esposa de tt tiene 524 hoy pero , no tiene movilidad para podeer acercarse a pagar termina la cuarentena y se acer  caserio centro poblado cancha grande </t>
  </si>
  <si>
    <t xml:space="preserve">esposa flavia se comunica indicando que el dia de hoy pagara el importe de 1500 soles y para el dia 27/12 los 1500 soles pagara lo restante entonces confirma pago a la cancelacion de la deuda excepcion de mariangela / PPC </t>
  </si>
  <si>
    <t xml:space="preserve">ESPOSA INDICO QUE CONVERSO CON TT CANCELARA EL DIA LUNES </t>
  </si>
  <si>
    <t xml:space="preserve">ESPOSA KATERINE DE TIT  LLAMO A EL COOPORATIVO HOY CANCELA DEUDA CN 866 SOLES POR MSJ Q LE LLEGO , SE LE PIDIO 1000 SOLES PERO ELLA SE GUIA POR EL MSJ </t>
  </si>
  <si>
    <t xml:space="preserve">ESPOSA SRA JUANA RESPONSABLE </t>
  </si>
  <si>
    <t>Fecha de Pago: 30/12</t>
  </si>
  <si>
    <t>DT: 1414        DK : 199</t>
  </si>
  <si>
    <t>Monto a Pagar : 200  PPC</t>
  </si>
  <si>
    <t xml:space="preserve">Sustento:  le van a pagar de su trabajo , no le habia depositado </t>
  </si>
  <si>
    <t>Search :  46 , reporta 2 deudas , no figura trabajo</t>
  </si>
  <si>
    <t xml:space="preserve">ESPOSO CONFIRMA PAGO DEL IMPORTE DE 250 SOLES / INBOUD </t>
  </si>
  <si>
    <t>ESPOSO DE  TITULAR CEL 931411293 SE HARA CARGO DE DEUDA Y REALIZARA PPCX120//GRAB EN DISCADOR</t>
  </si>
  <si>
    <t xml:space="preserve">esposo de tt 19957642 CARLOS FERNANDO, SARAPURA RIOS , será encargado de la deuda , realizará cancelación de s/ 250 el 20/09. </t>
  </si>
  <si>
    <t>ESPOSO DE TT CONFIRMA HACER CANCELACION *120 PARA EL DIA DE HOY</t>
  </si>
  <si>
    <t xml:space="preserve">esposo de tt realizara cancelacion d ela deuda : contrapropuesta 900 soles (aprobado por mariangela) </t>
  </si>
  <si>
    <t xml:space="preserve">esposo francisco indica que dentro de un rato dara respuests porque quiere cancelar con 200 soles pero se le pedira excepcion a mayra ya que tiene interes el esposo en pagar // vll </t>
  </si>
  <si>
    <t>ESPOSO JOSE CONF CAN PARA MAÑANA CON 500 SOLES, ENVIAR ACUERDO VIA WSP, CTA INTERBANK</t>
  </si>
  <si>
    <t xml:space="preserve">Esposo Jose Raul CCoropuna Ucharo DNI 48238319 encargado del deuda de esposa, tt indica que esta en el hospital, esta gestando tt haciendo controles, DT 2700, campaña 1200, quiere pagar la campaña el viernes 24/01, sacaron el prestamo para abrir negocio de comida, les fue mal y no pudieron pagar y familiares se pusieron mal y tuvieron que apoyar, trabaja en MUNICIPALIDAD DIST.DE CHALLHUAHUACHO, gana 2800, 26 años, ninguna entiedad reportada ni el tt ni el esposo. </t>
  </si>
  <si>
    <t xml:space="preserve">ESPOSO JOSE RAYMONDI DNI 09511999  ECN  DT 4300 4K2550 DC3000 SE ACORDO CANCELAR CN 2600 EL 31/01 MALANA ANTICI PARA  MAÑAA 2000SOLESY EL 31/01 600, SUSTENTO  FAMILIARQTRABAJA  EN MERCADO DE FRUTAS LE ESTA PRESTANDO DINERO  50AÑOS NO REGUSTRA DEUDA EN SHERK TAMPOCO SALE TRABAJO / </t>
  </si>
  <si>
    <t>ESPOSO ROGELIO INDICA QUE EFECTURA EL PAGO POR LA TARDE, EL ,MONTO DE 1090 , BRINDO CORREO: rogelio-paredes12@hotmail.com</t>
  </si>
  <si>
    <t xml:space="preserve">ESPOSO WILLIAM PAREDES CONFIRMA QUE YA CONSIGUIERON EL MONTO ENVIADO POR SMS CON EL MONTO S/ 2619.50 SOLES A LA LIQUIDACION DE LA DEUDA PAGARA EL DIA DE HOY 06/02 EN LA MISMA OFICINA DE CREDINKA / PPC </t>
  </si>
  <si>
    <t>ESTARA DEPOSITANDO 1500 SOLES</t>
  </si>
  <si>
    <t>estara realizando deposito 800 soles excepcion</t>
  </si>
  <si>
    <t>estara realizando deposito por 1000 soles</t>
  </si>
  <si>
    <t>estara realizando deposito por 200 soles</t>
  </si>
  <si>
    <t>ESTARA REALIZANDO DEPOSITO POR 2200 , GB NEGRO</t>
  </si>
  <si>
    <t>estara realizando deposito por 4100 soles</t>
  </si>
  <si>
    <t>estara realizando deposito por 420 soles, gb negro</t>
  </si>
  <si>
    <t>estara realizando deposito por 5500 soles, excepcion aprobada</t>
  </si>
  <si>
    <t>ESTARA REALIZANDO ULTIMA CUOTA 29/8 490 SOLES, YA REALIZO PAGO 490 9/8 CK</t>
  </si>
  <si>
    <t xml:space="preserve">este sabado adelanta 100 soles </t>
  </si>
  <si>
    <t>ESTUVO DELICADA DE SALUD POR ESO NO PUDO CANCELAR LA DEUDA . SE PRESTARA EL DINERO , TIENE 2 HIJOS MENORES DE EDAD Y ELLA SE HACE CARGO , ES INDEPENDIENTE//DT2400 CANC 1700</t>
  </si>
  <si>
    <t xml:space="preserve">eswin-20@hotmail.com / ttpagara el dia demañana sabdo a las 10/00 am </t>
  </si>
  <si>
    <t>EXCEPCION  APROBADA.</t>
  </si>
  <si>
    <t xml:space="preserve">PPC: 1000 SOLES </t>
  </si>
  <si>
    <t xml:space="preserve">700 SOLES PARA EL 27/05 </t>
  </si>
  <si>
    <t>300 SOLES PARA EL 30/05</t>
  </si>
  <si>
    <t>EXCEPCION 500 SOLES ABONO 250 EL DIA 15/12/19 APROVADO POR MARIANGELA</t>
  </si>
  <si>
    <t>EXCEPCION 5000 31/08</t>
  </si>
  <si>
    <t>excepción apobado por mariangela - se procede cobrar al cliente el monto acordado de 570 soles, enviar toda la información por WhatsApp, pagara el dia lunes 25 la totalidad.</t>
  </si>
  <si>
    <t>EXCEPCION APROB POR JULIO, CANCELARA CON 1200 SOLES HOY</t>
  </si>
  <si>
    <t xml:space="preserve">EXCEPCION APROBADA  PPC DE 5000 , </t>
  </si>
  <si>
    <t>TT  ENCARGARA A SU HERMANO QUE ES QUIEN LE PRESTARA EL DINERO PARA QUE LO PAGUE HASTA EL 15/05</t>
  </si>
  <si>
    <t>EXCEPCION APROBADA // PPC : 800 SOLES  (IMB)</t>
  </si>
  <si>
    <t>DT : 1,900 SOLES</t>
  </si>
  <si>
    <t>CAMPAÑA: 1,100 SOLES</t>
  </si>
  <si>
    <t xml:space="preserve">INDICA QUE SOLO PUEDE OAGAR 800 SOLES ,  400 EL DIA 15/01  Y LOS 400 RESTANTES EL DIA 25/01.     </t>
  </si>
  <si>
    <t xml:space="preserve">MOTIVO DE NO PAGO : PORQUE DINERO TENIA QUE PAGARLA SU HERMANO Y EL LE INDICO QUE YA HABIA PAGADO . </t>
  </si>
  <si>
    <t xml:space="preserve">DE DONDE SACARA DINERO: SACARA DINERO DE SU TRABAJO , LABORA EN UN SERVIS DE LICOR Y ES REPARTIDOR. </t>
  </si>
  <si>
    <t xml:space="preserve">SEARCH: 31 AÑOS // UNICA DEUDA. </t>
  </si>
  <si>
    <t xml:space="preserve">NO REGISTRA MAS. </t>
  </si>
  <si>
    <t xml:space="preserve">EXCEPCION APROBADA // PPC : 800 SOLES </t>
  </si>
  <si>
    <t>excepcion aprobada por Angel,enviara correo a Mariangela. cancelara el dia sabado S/.300.</t>
  </si>
  <si>
    <t xml:space="preserve">Excepcion aprobada por Julio </t>
  </si>
  <si>
    <t>PPC DE 500 /05/03</t>
  </si>
  <si>
    <t>Excepcion aprobada por Mariangela , 700 soles al 31/08 abonara 100 soles al 24/08  se enviara carta de no adeudo al correo : fabima22@hotmail.com</t>
  </si>
  <si>
    <t xml:space="preserve">Excepcion aprobada por Mariangela , hijo de garante sr: Dante se hara cargo de la cuenta , se genera PPC al 09/009 </t>
  </si>
  <si>
    <t xml:space="preserve">Excepcion aprobada por Mayra en base a 1,300 se genera PPC  , se espera un adelanto  // </t>
  </si>
  <si>
    <t>Excepcion aprobada por superior Mariangela , se genera PPC X 550 soles al 30/09 , abono hoy 100 y restante de 450 soles al 30/09 ...</t>
  </si>
  <si>
    <t xml:space="preserve">Excepcion aprobada, tt nos confirma que el pago a realizar sera 949, le informamos que su DT era de 5043, el dia de mañana cancelara la deuda total ! </t>
  </si>
  <si>
    <t>Excepcion aprobada. deuda totaL: 9700 campaña: 2700 ultimo 2300 // Oferta pagar 2000 soles para realizar la cancelacion, ella ya se presto 1800 y ella tiene 200 soles.search: 50 años, tiene un hijo menor de 12 años y una hija mayor pero discapacitada ( no camina) por eso no la puede ayudar. no tiene trabajo con planilla, tiene una deua en bcp. el dinero lo sacara de un prestamo que le haran, el dinero lo saco para un negocio que quebro. PPC 2000  dia 31/01  en credinka, se le enviara mensajede texto dando la inf de cancelacion</t>
  </si>
  <si>
    <t xml:space="preserve">EXCEPCION APROBADA:   PPC  - 5,300 SOLES </t>
  </si>
  <si>
    <t xml:space="preserve">DT : 19 MIL  SOLES </t>
  </si>
  <si>
    <t>CAMPAÑA 16 MIL SOLES</t>
  </si>
  <si>
    <t>CONTRAPROPUESTA : 5 MIL</t>
  </si>
  <si>
    <t xml:space="preserve">MOTIVO DE  NO PAGO : POR FALTA DINERO </t>
  </si>
  <si>
    <t>DONDE SACARA DINERO : FAMILIAR LE ESTA PRESTANDO .</t>
  </si>
  <si>
    <t>NO TIENE TRABAJO , SOLO HACE TRABAJOS EXTRAS EVENTUALES //</t>
  </si>
  <si>
    <t xml:space="preserve">NO REGISTRA TRABAJO </t>
  </si>
  <si>
    <t>EDAD: 50 AÑOS</t>
  </si>
  <si>
    <t xml:space="preserve"> ENTIDADES: 1 </t>
  </si>
  <si>
    <t>EXCEPCION APROBADA: PPC : 723 SOLES HOY 14/01</t>
  </si>
  <si>
    <t>HABLAMOS CON TT , SE LE BRINDA MONTOS :</t>
  </si>
  <si>
    <t>DT: 5,900 SOLES</t>
  </si>
  <si>
    <t xml:space="preserve">MOTIVO D ENO PAGO : SE QUEDO SIN TRABAJO .  PERO AHORA LABORA INDEPENDIENTE . </t>
  </si>
  <si>
    <t>CAMPAÑA :1,100 SOLES ..</t>
  </si>
  <si>
    <t xml:space="preserve">INDICA QUE LE LLEGO SMS CON EL IMPORTE DE :  723 SOLES ... </t>
  </si>
  <si>
    <t>SERCH: TIENE 1 ENTIDAD REPORTADA .</t>
  </si>
  <si>
    <t>EDAD: 52 AÑOS</t>
  </si>
  <si>
    <t xml:space="preserve">NO TIENE MAS DINERO PARA PAGAR YA QUE RECIEN ESTA EMPEZANDO DE NUEVO CON ALGUNOS TRABAJOS DE UN NEGOCIO QUE TUVO Y SE FUE A LA QUIEBRA. </t>
  </si>
  <si>
    <t xml:space="preserve">EXCEPCION APROVADA </t>
  </si>
  <si>
    <t>DT 5800 DK 2500 CAMPAÑA 1500</t>
  </si>
  <si>
    <t>CONTRAMPROPUESTA :1157  APROVACION POR 1200</t>
  </si>
  <si>
    <t>PPC DE 1200</t>
  </si>
  <si>
    <t xml:space="preserve">ESPOSA DE TT CANCELA EL 25/05 CUANDO SE LEVANTE LA CUARENTENA </t>
  </si>
  <si>
    <t xml:space="preserve">PPC DE 500 </t>
  </si>
  <si>
    <t xml:space="preserve">SE ACERCA A A AGENCIA DE SJL A REALIZAR EL PAGO , SE REGISTRA ENVIO DE CARTA DE NO ADEUDO Y ACUERDO DE CANCELACION POR WHATSAAP </t>
  </si>
  <si>
    <t xml:space="preserve">EXCEPCION APROVADA POR JULIO </t>
  </si>
  <si>
    <t>PPC DE 600</t>
  </si>
  <si>
    <t xml:space="preserve">TT SE PRESTA  PARA PODER CANCELAR DEUDA , CONFIRMA PAGO A LA 1 PM </t>
  </si>
  <si>
    <t>EXCEPCION DE 300 SOLES PAGARA HOY</t>
  </si>
  <si>
    <t xml:space="preserve">excepcion de 600 soles abonara 100 soles en sullana cañete 100 soles y diferencia de 500 a fin de mes - </t>
  </si>
  <si>
    <t>excepciòn es aprobada//se ingresa compromiso//tt enviarà voucher por whatsapp una vez realizado el pago</t>
  </si>
  <si>
    <t>EXCEPCION MAYRA TT QUIRE CANCELAR CON 100 SOLES SU DEUDA ACEPTADO</t>
  </si>
  <si>
    <t xml:space="preserve">EXECEPCION APROBADA POR MAYRA // TT PAGARA LA DEUDA  // EN AGENTE BCP // NO BRINDA  // GRABACION MI CELULAR PERSONAL  </t>
  </si>
  <si>
    <t>F PAGO:20/03</t>
  </si>
  <si>
    <t>DT:1.289,21</t>
  </si>
  <si>
    <t>MONTO CAMPAÑA:550</t>
  </si>
  <si>
    <t xml:space="preserve">TT INDICA QUE CANCELARA CON CAMPAÑA 550 A MAS TARDAR EL DIA 20/03 PERO EL PAGO se valida ingresos en el search </t>
  </si>
  <si>
    <t>manual base tacita del 13/03</t>
  </si>
  <si>
    <t>F.PAGO 23/12</t>
  </si>
  <si>
    <t>DT 3200 DK 2600 CAMPAÑA 1550 (EXCEPCION)</t>
  </si>
  <si>
    <t>SUSTENTO : TT INDICA QUE ESTA REALIANDO VENTA DE VEHICULO QUE TIENE MANCOMUNADO CON SU ESPOSA, CON ESTE INGRESO DE DINERO HARA CANCELACION DE DEUDA//ESTA EN LOS PAPELEOS DE TRANSFERNCIA PARA EL CIERRE DE LA VENTA Y EL COMPRADOR LE HAGA EL PAGO DEL BIEN.</t>
  </si>
  <si>
    <t>SEARCH 34 AÑOS //ES CASADO // TRABAJA EN LA CALERA SEGUN SEARCH POR QUE CLIENTE INDICA QUE YA NO ESTA LABORANDO APARECE EN ESSALUD VIGENTE HASTA 06/2010//MONTO APROBADO POREXCEPCION</t>
  </si>
  <si>
    <t>fam Luis pagara deuda con 200 soles por app interbank enviar nro de cta via wsp y carta por el mismo medio</t>
  </si>
  <si>
    <t>dt: 1020</t>
  </si>
  <si>
    <t>campaña: 200</t>
  </si>
  <si>
    <t xml:space="preserve">FAMILIA FRANCISCO SILVESTRE ENCARGADO / DT 1410 / CAMPAÑA 692 SOLES // SE RETRASARON POR UNOS PROBLEMAS DE SALUD NO ES QUE NO HAYA QUERIDO PAGAR / EDAD 50 AÑOS / NO TIENE DEUDAS EN DEMAS ENTIDADES /  SE ESCUCHA ENTRECORTADO LA LLAMADA </t>
  </si>
  <si>
    <t xml:space="preserve">Familiar nos comunica con titular, indica que accederá a campaña de cancelación con el importe de s/ 2800 para fin de mes. Realizará adelanto de s/1800 el 19/11 y el saldo restante para fin de mes 30/11. </t>
  </si>
  <si>
    <t>familiar realizara la cancelacion con el importe de s/350.00 el dia 20/04/2020, se le enviara el numero de cuenta de pro empresa y bcp (tiene desconfianza)</t>
  </si>
  <si>
    <t>fany esposa  cancelara se le dio excepcion de 210 soles</t>
  </si>
  <si>
    <t>FECHA 10/01</t>
  </si>
  <si>
    <t>DT 1770</t>
  </si>
  <si>
    <t>DK 1270</t>
  </si>
  <si>
    <t>CAMPAÑA 1300</t>
  </si>
  <si>
    <t>45AÑOS // UNIDAD DE GESTION EDUCATIVA LOCAL N? 8 CANETE</t>
  </si>
  <si>
    <t xml:space="preserve">PPC 1300 </t>
  </si>
  <si>
    <t>TT ABONARA 500 08/01 + 800 10/01</t>
  </si>
  <si>
    <t>fecha 10/03</t>
  </si>
  <si>
    <t>dt 3877</t>
  </si>
  <si>
    <t>dk 2188</t>
  </si>
  <si>
    <t>campaña 1751</t>
  </si>
  <si>
    <t>sustento prestamos</t>
  </si>
  <si>
    <t>search deudas 3 - 43 años</t>
  </si>
  <si>
    <t xml:space="preserve">excep 1000 </t>
  </si>
  <si>
    <t xml:space="preserve">whats por la mañana  </t>
  </si>
  <si>
    <t>FECHA 19/02</t>
  </si>
  <si>
    <t>DT 1812</t>
  </si>
  <si>
    <t>SUSTENTO PENSION DE JUBILADO</t>
  </si>
  <si>
    <t>SEARCH 72 AÑOS // 2 DEUDAS // 1 HERMANO</t>
  </si>
  <si>
    <t>PPC 500 EXCEP</t>
  </si>
  <si>
    <t>FECHA 20/02</t>
  </si>
  <si>
    <t>DT 21448</t>
  </si>
  <si>
    <t>DK 14101</t>
  </si>
  <si>
    <t>CAMPAÑA 9300</t>
  </si>
  <si>
    <t>SUSTENTO HIJA LE BRINDARA EL DINERO</t>
  </si>
  <si>
    <t>SEARCH 58 AÑOS // NO REGISTRA TRABAJO NI HIJOS / 0 DEUDAS</t>
  </si>
  <si>
    <t>PPC 4000 / EXCEP</t>
  </si>
  <si>
    <t>PRO EMPRESA</t>
  </si>
  <si>
    <t>FECHA 20/03</t>
  </si>
  <si>
    <t>DT 4589</t>
  </si>
  <si>
    <t>CAMPAÑA 1950</t>
  </si>
  <si>
    <t>SEARCH 32AÑOS // 1 HERMANO / 0 DEUDAS</t>
  </si>
  <si>
    <t>TT INTERESADO EN LIQUIDAR, NO CANCELO ANTERIORMENTE PORQUE CUANDO SE APERSONO A OFICINAS LE DIJERON QUE NO CONTABA CON DEUDA</t>
  </si>
  <si>
    <t>FECHA 28/02</t>
  </si>
  <si>
    <t>SUSTENTO NO INDICA</t>
  </si>
  <si>
    <t>TT FASTIDIADO DE LLAMADAS INDICA QUE SE APERSONARA A FIN DE MES A CANCELAR // SE VLL</t>
  </si>
  <si>
    <t>DT  3819</t>
  </si>
  <si>
    <t>ULTIMA CUOTA DE REF-.  280</t>
  </si>
  <si>
    <t>SEARCH 57 AÑOS // HOSPITAL DEPARTAMENTAL DE HUANCAVELICA</t>
  </si>
  <si>
    <t xml:space="preserve">PPC 280 </t>
  </si>
  <si>
    <t>FECHA DE  PAGO 05/03</t>
  </si>
  <si>
    <t>DT. 4050</t>
  </si>
  <si>
    <t>CAM .460</t>
  </si>
  <si>
    <t xml:space="preserve">TT  REALIZARA  LA  CANCELACION  EL DIA DE  05/03 CON  S/. 460 INDCA QUE  SI NO PAGO  ANTES ES POR QUE ESTA DESEMPLEADA. </t>
  </si>
  <si>
    <t>TRABAJO LANYARD S.A.C. SUELDO 930</t>
  </si>
  <si>
    <t>HIJOS NO  REGISTRA</t>
  </si>
  <si>
    <t xml:space="preserve">DEUDA S/. </t>
  </si>
  <si>
    <t>18322.56 CON  OTRO BANCO</t>
  </si>
  <si>
    <t>fecha de compromiso  28/12</t>
  </si>
  <si>
    <t xml:space="preserve">dt 6000 campaña 1400 </t>
  </si>
  <si>
    <t>sustento realizara cancelacion con abono qu le realizaran/ se estar acercanco a caja sullana hacer cancelacion</t>
  </si>
  <si>
    <t>search 22 años soltera //no cuenta con trabajo dependiente//sin vehiculos//tiene deuda con compartamos con calificacion normal//grab por discador</t>
  </si>
  <si>
    <t>Fecha de Pago   30/01</t>
  </si>
  <si>
    <t>DK    1700</t>
  </si>
  <si>
    <t>CAMPAÑA 600</t>
  </si>
  <si>
    <t xml:space="preserve"> TT ES INDEPENDIENTE dice que tiene intencion  va a pagar las dos cuotas que tiene en caja sullana y financiera oh   </t>
  </si>
  <si>
    <t>Edad</t>
  </si>
  <si>
    <t>Hijos</t>
  </si>
  <si>
    <t xml:space="preserve">entidades reportadas  </t>
  </si>
  <si>
    <t>BCP</t>
  </si>
  <si>
    <t>CMAC AREQUIPA</t>
  </si>
  <si>
    <t>cortezjoe59@gmail.com</t>
  </si>
  <si>
    <t>DK    1900</t>
  </si>
  <si>
    <t xml:space="preserve">Edad  </t>
  </si>
  <si>
    <t>FECHA DE PAGO -  30/12</t>
  </si>
  <si>
    <t>DT : 1300</t>
  </si>
  <si>
    <t>DK  :900</t>
  </si>
  <si>
    <t>CAMP : 870</t>
  </si>
  <si>
    <t xml:space="preserve">Sustento :TT DICE QUE MANDARA A PAGAR LA DEUDA A SU FAMILIAR YA QUE EL ESTA  TRABAJANDO. </t>
  </si>
  <si>
    <t>Search (  TIENE 29 AÑOS // TIENE DATOS LABORALES  // DEUDA CON 2 ENTIDADES FINANCIERAS</t>
  </si>
  <si>
    <t xml:space="preserve">SE LE LLAMA DEL CELULAR 6 DE JORDAN // DEL SISTEMA NO SE PUEDE LLAMAR SE LE HACE CONOCIMIENTO A MARIANGELA. </t>
  </si>
  <si>
    <t xml:space="preserve">FECHA DE PAGO   31-12  </t>
  </si>
  <si>
    <t>DT :  4100</t>
  </si>
  <si>
    <t>DK:  2200</t>
  </si>
  <si>
    <t>MIN :  3100</t>
  </si>
  <si>
    <t xml:space="preserve">CAMPAÑA APROBADO  1500 </t>
  </si>
  <si>
    <t>TT RADICA EN CHINCHA  TRABAJA  INDEPENDIENTE   EN  VENTA DE MUEBLES // TT A MEDIADOS DE LA 15 DE DICIEMBRE  CUANDO VENIA DE CAÑETE A CHINCHA INCAUTARON SU CARRO Y LO LLEVARON AL DEPOSITO // CLIENTE TUVO QUE HACER UN GASTO ENORME PARA SACAR SU CARRO // CLIENTE QUIERE SOLUCIONAR SU DEUDA Y PROPONE CON  1500 QUE YA TIENE A LA MANO CANCELARLO Y PAGARLO HOY MISMO .</t>
  </si>
  <si>
    <t xml:space="preserve">SEARCH // TT TIENE  30 AÑOS // TRABAJO INDEPENDIENTE // NO REGISTRA DEUDA FINANCIERA </t>
  </si>
  <si>
    <t xml:space="preserve">SE LE LLAMO DEL CELULAR  3  DE JIMENA </t>
  </si>
  <si>
    <t>Fecha de Pago  03/03</t>
  </si>
  <si>
    <t>DT 1851</t>
  </si>
  <si>
    <t xml:space="preserve">DK 950 </t>
  </si>
  <si>
    <t>Sustento PAGO QUE RECIBIRA POR DEUDA PENDIENTE</t>
  </si>
  <si>
    <t xml:space="preserve"> Search 36 AÑOS//  2 DEUDAS</t>
  </si>
  <si>
    <t>indica familiar fallecio por lo cual no pudo cancelar // cancelar el 25 ya que retornara de tarapoto//  SE INDICA PENALIDAD</t>
  </si>
  <si>
    <t>PPC 1000</t>
  </si>
  <si>
    <t>Fecha de Pago  10/02</t>
  </si>
  <si>
    <t>Fecha de Pago  13/01</t>
  </si>
  <si>
    <t>TT DICE QUE  OFRECIERON MONTO DE DESCUENTO EL CUAL `POR UNA MALA COORDINACION NON PUDO CANCELAR   ACUERDO POR 600 100 EL 17/01 Y 500 31/01</t>
  </si>
  <si>
    <t xml:space="preserve">AHORRO DE SU PAGO  DE ANTERIOR </t>
  </si>
  <si>
    <t>FECHA DE PAGO  13/02</t>
  </si>
  <si>
    <t>DT : 3525</t>
  </si>
  <si>
    <t>DK  1381</t>
  </si>
  <si>
    <t>CAMP 2000</t>
  </si>
  <si>
    <t>Sustento : REALIZARA UN PRESTAMOS Y QUE LE URGE CANCELAR</t>
  </si>
  <si>
    <t>SearcH 50 AÑOS // AZUMI INVERSIONES SAN AGUSTIN E</t>
  </si>
  <si>
    <t>PPC 1036  LLEGO SMS  CON INF DE DSCT</t>
  </si>
  <si>
    <t xml:space="preserve">PRO // AYACUCHO 6PM </t>
  </si>
  <si>
    <t xml:space="preserve">PPC 1500 LLEGO CORREO CON INF </t>
  </si>
  <si>
    <t>SE ENVIARA WHATS CON Nº DE CUENTA</t>
  </si>
  <si>
    <t>FECHA DE PAGO  18/02</t>
  </si>
  <si>
    <t>DT : 819</t>
  </si>
  <si>
    <t>DK   285</t>
  </si>
  <si>
    <t xml:space="preserve">CAMP  160 </t>
  </si>
  <si>
    <t>Sustento : SUELDO</t>
  </si>
  <si>
    <t>SearcH 54  AÑOS // 3 DEUDAA</t>
  </si>
  <si>
    <t>TT INDICA QUE POR PROBLEMAS PERSONALES NO ABONO //</t>
  </si>
  <si>
    <t>SE ENVIA WHATS CON Nº DE CUENTA</t>
  </si>
  <si>
    <t>FECHA DE PAGO  20-2</t>
  </si>
  <si>
    <t>DT 5000 CAMPAÑA 758.90</t>
  </si>
  <si>
    <t>TT INDICA QUE  HARA CANCELACION EL DIA 20-2 CON 758.90</t>
  </si>
  <si>
    <t>FECHA DE PAGO - 24-12</t>
  </si>
  <si>
    <t>DT : 1100</t>
  </si>
  <si>
    <t>DK  :500</t>
  </si>
  <si>
    <t>CAMP : 500</t>
  </si>
  <si>
    <t xml:space="preserve">Sustento :TT DICE QUE CANCELARA CON SEGURIDAD // LLAMARLA PARA CONFIRMAR  </t>
  </si>
  <si>
    <t>Search (  TIENE 26 AÑOS // NO TIENE DATOS LABORALES  // NO TIENE DEUDA ENTIDAD FINANCIERA   -( SISTEMA)</t>
  </si>
  <si>
    <t xml:space="preserve">Fecha de Pago  27/12  </t>
  </si>
  <si>
    <t>DK  350</t>
  </si>
  <si>
    <t>CAMPAÑA 350</t>
  </si>
  <si>
    <t>MANDABA A PAGAR PERO NO ESTABA DEPOSITANDO</t>
  </si>
  <si>
    <t>Edad    48</t>
  </si>
  <si>
    <t>Hijos   0</t>
  </si>
  <si>
    <t xml:space="preserve">entidades reportadas   TELEFONICA DEL PERU </t>
  </si>
  <si>
    <t>FECHA DE PAGO  28/ 02</t>
  </si>
  <si>
    <t>DT : 87104</t>
  </si>
  <si>
    <t>DK  151</t>
  </si>
  <si>
    <t>CAMP  150</t>
  </si>
  <si>
    <t>Sustento : INDEPENDIENTE</t>
  </si>
  <si>
    <t>SearcH  50 AÑOS // 0 HIJOS // 0 DEUDAS</t>
  </si>
  <si>
    <t xml:space="preserve">PPC 150 </t>
  </si>
  <si>
    <t>FECHA DE PAGO  29-2</t>
  </si>
  <si>
    <t>DT 5000 CAMPAÑA 1000</t>
  </si>
  <si>
    <t xml:space="preserve">TT  FUE GESTIONADO DE MI CELULAR PERSONAL PORQUE PIDIO QUE LO LLAMEN A LAS 7PM </t>
  </si>
  <si>
    <t>TT ESPECIAL ES MUY DESCONFIADO INDICA QUE HARA PAGO A MAS TARDAR FIN DE MES DICE QUE AVERIGUARA SOBRE LA EMPRESA ES MUY DESCONFIADO</t>
  </si>
  <si>
    <t>Fecha de Pago  31/01/2020</t>
  </si>
  <si>
    <t>DT  6972</t>
  </si>
  <si>
    <t>DK 4000</t>
  </si>
  <si>
    <t>CAMPAÑA  5200</t>
  </si>
  <si>
    <t xml:space="preserve"> SE CONTACTO CON TT  EL 11 DE DICIEMBRE MENCIONO QUE TUVO UNN  ACCIDENTE EN SU TRABAJO Y POR ESO EL PODIA CANCELAR EN ENERO  CONUN PAGO QUE REALIZARIAN EN SU TRABAJO , </t>
  </si>
  <si>
    <t xml:space="preserve">PAGO DE HABERES </t>
  </si>
  <si>
    <t>Edad 29</t>
  </si>
  <si>
    <t xml:space="preserve">NINGUNA  </t>
  </si>
  <si>
    <t xml:space="preserve">PPC DE 5200 </t>
  </si>
  <si>
    <t>Fecha de Pago  31/12</t>
  </si>
  <si>
    <t>DT  65,100</t>
  </si>
  <si>
    <t>DK 24,600</t>
  </si>
  <si>
    <t>CAMPAÑA 9900</t>
  </si>
  <si>
    <t xml:space="preserve">ECEPCION APROBADA 7500 - MARIANGELA </t>
  </si>
  <si>
    <t xml:space="preserve">ESPOSO DE TT EL SR, JIMMY QUISPE MESA SE HACE CARGO DE LA DEUDA , EL PRESTAMO FUE PARA UNA COSECHA EL CUAL LES FUE MAL Y ESTE MES TUVIERON UN  MEJOR COSECHA Y TIENEN EL DINERO INICIAL DE 6150 Y EL RESTANTE SE PRESTARAN PARA COMPLETAR 7500 . TIENE LA INTENCION DE PAGO YA QUE SE A COMUNICADO EN REITERAS VECES AL CELULAR PARA SABER SI LE APRUEBAN EL DESCUENTO </t>
  </si>
  <si>
    <t xml:space="preserve">DE LA COSECHA DE ESTE MES </t>
  </si>
  <si>
    <t xml:space="preserve"> LLAMADA DESDE CELULAR  YA QUE FUE UNA LLAMADA QUE ENTRO EL DIA 23/12 A LAS 5:30 AL CELULAR (982046443)</t>
  </si>
  <si>
    <t>Edad  23</t>
  </si>
  <si>
    <t>Hijos 1</t>
  </si>
  <si>
    <t xml:space="preserve">Haberes  NO TIEN E TRABAJO </t>
  </si>
  <si>
    <t>TELEFONICA MULTIMEDIA S.A.C.</t>
  </si>
  <si>
    <t>Fecha de pago :  17/03</t>
  </si>
  <si>
    <t>MONTO : 450 PPC</t>
  </si>
  <si>
    <t>DT: 2725       DK : 459            EXCEPCION</t>
  </si>
  <si>
    <t xml:space="preserve">Sustento:  tt ya tiene el pago confirmado para el 16/03 , tiene su recibo para cobrar en esa fecha . conseguridad el 17/03 deposita . va amortizar la mitad  antes si su hermana le facilita un dinero </t>
  </si>
  <si>
    <t>Search :  37 , no reporta deudas</t>
  </si>
  <si>
    <t>Fecha de pago :  20/01 = 250 , 30/01 = 200 ,  TOTAL = 450</t>
  </si>
  <si>
    <t>DT: 2925       DK : 659            EXCEPCION</t>
  </si>
  <si>
    <t xml:space="preserve">Sustento:  tt indica que le pagan de su trabajo el  20/01 = 250 , 200 = 30/01 , talvez lo realiza antes . </t>
  </si>
  <si>
    <t>Fecha de pago :  20/02</t>
  </si>
  <si>
    <t xml:space="preserve">Sustento:  tt esta por conseguir el dinero , tuvo problemas que le impidieron pagar .  va ir realizando abonos antes de la fecha de pago  . </t>
  </si>
  <si>
    <t>Fecha de pago : 16/03/20</t>
  </si>
  <si>
    <t>dt:1,327</t>
  </si>
  <si>
    <t>dk:455</t>
  </si>
  <si>
    <t>cancela con s/180</t>
  </si>
  <si>
    <t>sustento:cancela porque quiere trabajar con los bancos nuevamente , un familiar le facilitara dinero y dejo de pagar por temas de salud con su conviviente.</t>
  </si>
  <si>
    <t xml:space="preserve">search:31 años / no figura hijos se gestiono de discardor </t>
  </si>
  <si>
    <t>Fecha de Pago : 30/01</t>
  </si>
  <si>
    <t>MONTO  : 500 PPC EXCEPCION</t>
  </si>
  <si>
    <t>DT: 1000        DK :813</t>
  </si>
  <si>
    <t>Sustento: tiene el dinero en mano , se va acercar en la mañana . enviar compromiso de pago para seguridad de pago .</t>
  </si>
  <si>
    <t xml:space="preserve">Search :  25 , no reporta deudas </t>
  </si>
  <si>
    <t>FECHA DE PAGO : 30/01/2020</t>
  </si>
  <si>
    <t>SE MENCIONA INFORMACION DE PAGO ///SOBRE INFORMACION QUE SE OTORGO EN LLAMADA ANTERIOR</t>
  </si>
  <si>
    <t xml:space="preserve">SE MENCIONA PENALIDAD POR INCUMPLIMIENTO </t>
  </si>
  <si>
    <t>Fecha de pago : 30/12   Excepcion Julio</t>
  </si>
  <si>
    <t>Monto a pagar : 500  PPC</t>
  </si>
  <si>
    <t>DT: 1349       DK : 694</t>
  </si>
  <si>
    <t>Sustento:  se encuentra trabajando , hermana le va hacer giro le solicto que le puede prestar hasta 500 para que cancele . llamo a mi personal , cliente es de cuzco . plaza de armas</t>
  </si>
  <si>
    <t xml:space="preserve">Search :  56 , reporta 2 deudas </t>
  </si>
  <si>
    <t>FECHA DE PAGO : 31/01</t>
  </si>
  <si>
    <t xml:space="preserve">MONTO : 870 PPC . </t>
  </si>
  <si>
    <t xml:space="preserve">RESTANTE  870 SOLES    </t>
  </si>
  <si>
    <t>PAGARA ATRAVES DE INTERBANK AGENTE O BCP</t>
  </si>
  <si>
    <t xml:space="preserve">Fecha de Pago :20/12 </t>
  </si>
  <si>
    <t xml:space="preserve">DT S/.600 </t>
  </si>
  <si>
    <t>CAMPAÑA S/. 310</t>
  </si>
  <si>
    <t>el prestamos fue para su hermana, le fallo durante varios años, por diversos motivos principalmente economicos ,se alejo de hna,ahora tt esta en lima,no cuenta con su pareja , pero desea darle solucion a esa cuenta ,le duele que su hermana le haya fallado.</t>
  </si>
  <si>
    <t>Donde sacara el dinero : de un prestamo</t>
  </si>
  <si>
    <t>Search (tt no tiene trabajo registrado , 43 años deuda  ,notiene hijos)</t>
  </si>
  <si>
    <t>tiene otros prestamos pero esta al dia en sus pagos</t>
  </si>
  <si>
    <t>FECHA DE PAGO :31/01/2020</t>
  </si>
  <si>
    <t>DT 2250</t>
  </si>
  <si>
    <t>DK 998</t>
  </si>
  <si>
    <t xml:space="preserve">INDICA QUE A FINES DE MES ESTARA REALIZANDO EL PAGO DE LA CAMPAÑA </t>
  </si>
  <si>
    <t>54 AÑOS //INF LABORAL:10719204509 CHAMBI AQUINO ELVIS JEFFERSON//ING MENSUAL :930//NO REGISTRA INF DE FAMILIARES///</t>
  </si>
  <si>
    <t>REGISTRA 2 DEUDAS:</t>
  </si>
  <si>
    <t>1 FINANCIERA UNO-996.84-2019-11-30    5</t>
  </si>
  <si>
    <t>2MIBCO///803.55//2019-11-30</t>
  </si>
  <si>
    <t>FECHA DE PAGO 03/02/2020</t>
  </si>
  <si>
    <t>DT 3344</t>
  </si>
  <si>
    <t>EXPERTIS 1080</t>
  </si>
  <si>
    <t xml:space="preserve">SE MENCIONA A TT CANCELACION POR 1080/INDICA QUE HARA PAGO EL DIA DE HOY EN EL TRANSCURSO DE LA TARDE </t>
  </si>
  <si>
    <t>FECHA DE PAGO 04/02/2020</t>
  </si>
  <si>
    <t>DT 5057.07</t>
  </si>
  <si>
    <t>DK 2813.45</t>
  </si>
  <si>
    <t>EXPERTIS 2250</t>
  </si>
  <si>
    <t>TT MENCIONA QUE NO HABIA PODIDO REGULARIZAR DEUDA POR MOTIVO DE QUE TENIA GASTOS DE LA UNIVERSIDAD DE SU HIJA///INDICA QUE REGULARIZARA EL PAGO HOY 4/2</t>
  </si>
  <si>
    <t xml:space="preserve">INBOUND ASIGNADO //GESTIONADO POR MELINA CON AUDIO </t>
  </si>
  <si>
    <t>fecha de pago 09/03</t>
  </si>
  <si>
    <t>dt 1493</t>
  </si>
  <si>
    <t>dk 791</t>
  </si>
  <si>
    <t>expertis 579</t>
  </si>
  <si>
    <t xml:space="preserve">se contacto tt a corp 7 menciona que le enviaron sms con descuento tiene las posibilidades economicas para poder hacer el pago el dia de hoy por la tarde </t>
  </si>
  <si>
    <t xml:space="preserve">25 años//SOLIDEZ EMPRESARIAL S.A. ing mensual 1200//1 hermano//no registra deudas </t>
  </si>
  <si>
    <t>FECHA DE PAGO 09/03</t>
  </si>
  <si>
    <t>DT 227.07</t>
  </si>
  <si>
    <t>EXPERTIS 130</t>
  </si>
  <si>
    <t xml:space="preserve">TT MENCIONA QUE NO PUDO RELIZAR EL PAGO DE SU DEUDA POR INCONVIENTES DE DINERO / MUESTRA INTENCION DE PAGO //QUIERE LIQUIDAR DEUDA //SE MENCIONA IMPORTE DE CAMPAÑA POR 130//LO HARA COMO DEPOSITO EN EL BANCO INTERBANK </t>
  </si>
  <si>
    <t>29 AÑOS //NO REGISTRA INFORMACION LABORAL NI FAMILIAR // NO REGISTRA DEUDAS</t>
  </si>
  <si>
    <t xml:space="preserve">FECHA DE PAGO 10-3 </t>
  </si>
  <si>
    <t xml:space="preserve">DT 1500 CAMPAÑA 710 </t>
  </si>
  <si>
    <t xml:space="preserve">TT INDICA QUE HARA PAGO EL DIA MARTES 10-3 </t>
  </si>
  <si>
    <t>TT REGRESANDO DICE QUE HACE EL PAGO</t>
  </si>
  <si>
    <t>TT DESEA RECOGER DE MANERA PRESENCIAL SU CDNA</t>
  </si>
  <si>
    <t>SEARCH: EDAD 41 AÑOS, TT NO REGISTRA TRABAJO EN PLANILLA, TT SOLO TIENE DEUDA ORIGINADA CON PROEMPRESA</t>
  </si>
  <si>
    <t>FECHA DE PAGO 10-3</t>
  </si>
  <si>
    <t>DT 1861 CAMPAÑA 431</t>
  </si>
  <si>
    <t xml:space="preserve">CONVERSACION CON ANALISTA  </t>
  </si>
  <si>
    <t>SEARCH: EDAD 50 AÑOS TRABAJA EN EMPRESA DE TRANSPORTES Y SERVICIOS MULTIPLES DIONICIA CASILDA S.R.L. SOLO TIENE DEUDA CON PROEMPRESA</t>
  </si>
  <si>
    <t>INBOUD ASIGNADO</t>
  </si>
  <si>
    <t>Fecha de Pago 10-3</t>
  </si>
  <si>
    <t>DT 600 campaña  300</t>
  </si>
  <si>
    <t>SUSTENTO: TT INDICA QUE EL DIA 10 LE ESTAN PAGANDO EN EL TRABAJO Y QUE ESE DIA HACE CANCELACION</t>
  </si>
  <si>
    <t>SEARCH: 26 AÑOS , NO REGISTRA TRABAJO EN PLANILLA, TIENE DEUDA CON  CAJA MUNICIPAL DE AHORRO Y CREDITO CUSCO</t>
  </si>
  <si>
    <t>FECHA DE PAGO 11/02/2020</t>
  </si>
  <si>
    <t>DT 251</t>
  </si>
  <si>
    <t>TT CONFIRMA CANCELACION DE DEUDA POR 251//</t>
  </si>
  <si>
    <t xml:space="preserve">70 AÑOS /NO REGISTRA INFORMACION LABORAL //SI CUENTA CON LOS MEDIOS ECONOMICOS PARA PAGAR ESA CANTIDAD //NO REGISTRA DEUDA </t>
  </si>
  <si>
    <t>FECHA DE PAGO 11-2</t>
  </si>
  <si>
    <t>DT 2994 CANPAÑA 245</t>
  </si>
  <si>
    <t>TT DICE QUE TUVO UN COMPROMISO EL DIA 7-2 Y QUE TUVO UN PROBLEMA Y QUE POR ESO NO PUDO PAGAR</t>
  </si>
  <si>
    <t>TT DICE QUE MAÑANA 11-2 PAGARA</t>
  </si>
  <si>
    <t>FECHA DE PAGO 11-3</t>
  </si>
  <si>
    <t>DT 1200 CAMPAÑA 688</t>
  </si>
  <si>
    <t>ACUERDO CON TT PARA CANCELAR CON 688 CON PLAZO HASTA 11-3</t>
  </si>
  <si>
    <t xml:space="preserve"> NO HUBO TACITA DE 5 A 8 PM POR MANTENIMIENTO</t>
  </si>
  <si>
    <t>SEARCH : EDAD 42 AÑOS , NO REGISTRA TRABAJO EN PLANILLA, SOLO TIENE DEUDA ORIGINADA CON INTERBANK</t>
  </si>
  <si>
    <t>///SE ME FUE LA FICHA AYER</t>
  </si>
  <si>
    <t>DT 400.00 DK 235.00 CAMPAÑA: S/200.00</t>
  </si>
  <si>
    <t>TT DICE QUE SE ENCUENTRA EN LA CHACRA DICE QUE HOY NO PODRA HACER PAGO  Y QUE MAÑANA LO ESTARIA REALIZANDO</t>
  </si>
  <si>
    <t>SUSTENTO: TT TRABAJA EN EL CAMPO</t>
  </si>
  <si>
    <t>SEARCH: EDAD 49 AÑOS , NO REGISTRA TRABAJO EN PLANILLA SOLO TIENE DEUDA ORIGINADA CON PROEMPRESA</t>
  </si>
  <si>
    <t>DT:800.00 DK:160.00 CAMPAÑA:60.00</t>
  </si>
  <si>
    <t>TT INDICA QUE MAÑANA 11-3 HARA EL PAGO</t>
  </si>
  <si>
    <t>SUSTENTO DE PAGO: PAGO DE HABERES</t>
  </si>
  <si>
    <t>DEUDA:BANCO INTERBANK</t>
  </si>
  <si>
    <t>EDAD:64</t>
  </si>
  <si>
    <t>TRABAJA:SI</t>
  </si>
  <si>
    <t>FECHA DE PAGO 12/01</t>
  </si>
  <si>
    <t>DT 3150</t>
  </si>
  <si>
    <t xml:space="preserve">MENCIONA QUE REUNIRA LA CANTIDAD HASTA EL DIA 12 /01 //SI ES ANTES LO ESTARA REALIZANDO /INBOUND </t>
  </si>
  <si>
    <t>FECHA DE PAGO 12-2</t>
  </si>
  <si>
    <t xml:space="preserve">DT 9000 CAMPAÑA 430  </t>
  </si>
  <si>
    <t>TT DICE QUE RECIBE UN  DINERO EL DIA 11 Y QUE  PARA EL 12 HACE EL PAGO</t>
  </si>
  <si>
    <t>TT DESEA CDNA E INFORMACION AL WHATSAPP  DE SU HIJA 931419859</t>
  </si>
  <si>
    <t>Fecha de Pago 13/01</t>
  </si>
  <si>
    <t>DT   3100</t>
  </si>
  <si>
    <t xml:space="preserve">DK 2800 </t>
  </si>
  <si>
    <t>CAMPAÑA  500</t>
  </si>
  <si>
    <t xml:space="preserve"> A TT SE LE MENCIONA CAMPAÑA DE 500 PERO DICE QUE LE LLEGO MSJ CON DECUENTO DE 350</t>
  </si>
  <si>
    <t>TT NO ESTA TRABAJANDO PERO COMO LE LLEGO MSJ SE PRESTARA DE UN FAMILIAR EL DINERO PARA CUMPLIR  SI LE DAN ANTES PAGA PERO FECHA TOPE 13/01</t>
  </si>
  <si>
    <t>PRESTAMO FAMILIAR   10685195</t>
  </si>
  <si>
    <t>Edad   42</t>
  </si>
  <si>
    <t>Haberes  NO TRABAJA</t>
  </si>
  <si>
    <t>CalifDias Venc.</t>
  </si>
  <si>
    <t>EDPYME ACCESO CREDITICIO</t>
  </si>
  <si>
    <t>DT 5000</t>
  </si>
  <si>
    <t>DK 2000</t>
  </si>
  <si>
    <t>CAMPAÑA 5000</t>
  </si>
  <si>
    <t xml:space="preserve">TT SE COMUNICA   PARA PODER PAGAR , POR QUE DICE QUE LE ROBARON Y LE DISPARARON   ESTUVO INTERNADO , Y DICE QUE ESTA GESTIONANDO PRESTAMO CON EL BANCO EL COMERCIO </t>
  </si>
  <si>
    <t xml:space="preserve"> EMPEZARA NEUVAMENTE SU NEGOCIO DE VENTA DE CARTERAS  ZAPATOS </t>
  </si>
  <si>
    <t xml:space="preserve">Donde sacara el dinero </t>
  </si>
  <si>
    <t xml:space="preserve">PRESTAMO DE BANCO COMERCIO </t>
  </si>
  <si>
    <t>BCO DE LA NACION</t>
  </si>
  <si>
    <t>SCOTIABANK</t>
  </si>
  <si>
    <t>COOP DE AHOR Y CRED CRL F.BOLOGNESI LTDA</t>
  </si>
  <si>
    <t>FECHA DE PAGO 13/04</t>
  </si>
  <si>
    <t>CAMPAÑA EXPERTIS 700</t>
  </si>
  <si>
    <t>INDICA QUE CANCELARA DEUDA CON EL PAGO DE SU LIQUIDACION EL DIA 13/04-- MUESTRA INTENCION DE PAGO YA QUE ANTERIORMENTE SE HAN COMUNICADO CON ELLA</t>
  </si>
  <si>
    <t>FECHA DE PAGO 13/2/2020</t>
  </si>
  <si>
    <t>MONTO ACEPTADO 6000</t>
  </si>
  <si>
    <t>se contacta a tt se informa deuda total 112,060</t>
  </si>
  <si>
    <t>DK 30000</t>
  </si>
  <si>
    <t>EXPERTIS 12000</t>
  </si>
  <si>
    <t xml:space="preserve">TT PROPONE CANCELAR 4500 , SE LE INDICA QUE MEJORE SU PROPUESTA PARA SOLICITAR ALGUNA EXCEPCIONA GERENCIA </t>
  </si>
  <si>
    <t>FECHA DE PAGO 13-2</t>
  </si>
  <si>
    <t>DT 1644 CAMPAÑA 400 14-2</t>
  </si>
  <si>
    <t>TT HABLARA CON HIJA TT DICE QUE QUE PRESTARA Y QUE PAGO LO HARA EL DIA 13-2 Y QUE LE DEN ESE DIA UNA LLAMADA RECORDATORIA</t>
  </si>
  <si>
    <t>Fecha de Pago 14/01</t>
  </si>
  <si>
    <t>DK 600</t>
  </si>
  <si>
    <t>CAMPAÑA   400</t>
  </si>
  <si>
    <t xml:space="preserve">imbound  // cliente gestionado por maribel </t>
  </si>
  <si>
    <t xml:space="preserve">FECHA DE PAGO 14/03 </t>
  </si>
  <si>
    <t>DT 480</t>
  </si>
  <si>
    <t>EXPERTIS 280</t>
  </si>
  <si>
    <t>TT MENCIONA QUE NO PUDO CANCELAR DEUDA POR FALLECIMIENTO DE FAMILIAR //ACTUALMENTE EL ESTA TRABAJANDO //CANCELARA DEUDA CON EL PAGO DE SU REMUNERACION //</t>
  </si>
  <si>
    <t xml:space="preserve">40 AÑOS /1 HERMANO //REGISTRA 2 DEUDAS </t>
  </si>
  <si>
    <t>FECHA DE PAGO 14-2</t>
  </si>
  <si>
    <t xml:space="preserve">DT  7500  CAMPAÑA 1103  </t>
  </si>
  <si>
    <t>CAMPAÑA 1103 EN DOS PARTES 300 EL DIA 12-2 Y 803 EL DIA  14-2</t>
  </si>
  <si>
    <t>TT TRABAJA EN FICINA DE NORMALIZACION PREVISIONAL ONP</t>
  </si>
  <si>
    <t>DT 1644 CAMPAÑA 400 1</t>
  </si>
  <si>
    <t>TT HABLARA CON HIJA PARA QUE HAGA EL PAGO  TT DICE QUE QUE PRESTARA Y QUE PAGO LO HARA EL DIA 13-2 Y QUE LE DEN ESE DIA UNA LLAMADA RECORDATORIA/// SE ME FUE LA FICHA</t>
  </si>
  <si>
    <t>DT 2400  CAMPAÑA 350 14-2</t>
  </si>
  <si>
    <t>TT INDICA QUE HARA CANCELACION EL DIA 14-2 TT DESEA CDNA A SU  WHATSAPP</t>
  </si>
  <si>
    <t>TT TRABAJA EN PROTEMAX S.R.LTDA.</t>
  </si>
  <si>
    <t>DT 27910 CAMPAÑA 4000</t>
  </si>
  <si>
    <t xml:space="preserve">ACUERDO CON HERMANA DE TT Y RESPONSABLE DE PAGO MARLENE QUISPE DNI 15361560 DE TT </t>
  </si>
  <si>
    <t>INDICA HA LOGRADO REUNIR 4000 Y QUE HARA EL PAGO EL DIA 14-2</t>
  </si>
  <si>
    <t xml:space="preserve">DT 700 CAMPAÑA 297 </t>
  </si>
  <si>
    <t>TT ES TAXISTA Y DE LO QUE GANA PAGARA EL DIA 14-2</t>
  </si>
  <si>
    <t>FECHA DE PAGO 14-3 (REPROGRAMACION)</t>
  </si>
  <si>
    <t xml:space="preserve">DT 1600 CAMPAÑA 410 </t>
  </si>
  <si>
    <t xml:space="preserve">TT SE LE DA PLAZO HASTA EL DIA 14-3 PERO DICE QUE POSIBLEMENTE LO HAGA EL 10 </t>
  </si>
  <si>
    <t xml:space="preserve">ACUERDO CON TT PARA CANCELAR EN BASE A CAMPAÑA DE 410 DEL MES DE FEBRERO </t>
  </si>
  <si>
    <t>SEARCH: 44 AÑOS, NO REGISTRA TRABAJO EN PLANILLA, SOLO TIENE DEUDA CON PROEMPRESA</t>
  </si>
  <si>
    <t>fecha de pago 14-3</t>
  </si>
  <si>
    <t xml:space="preserve">dt 4783 campaña 540 </t>
  </si>
  <si>
    <t>tt dice que se acerco a financiera y le dijeron que deuda fue vendida</t>
  </si>
  <si>
    <t>acuerdo con tt para cancelar con 540 con plazo hasta el dia 14-3</t>
  </si>
  <si>
    <t>sustento: tt sacara dinero de lo que recibe de su trabajo</t>
  </si>
  <si>
    <t>search: edad 32 años, tiene deuda con CAJA MUNICIPAL DE AHORRO Y CREDITO DE AREQUIPA en perdida y BANCO FALABELLA DEL PERU EN PERDIDAD</t>
  </si>
  <si>
    <t>FECHA DE PAGO 14-3</t>
  </si>
  <si>
    <t>DT 490 CAMPAÑA 379</t>
  </si>
  <si>
    <t xml:space="preserve">TT INDICA QUE HARA PAGO EL DIA 14-3 </t>
  </si>
  <si>
    <t xml:space="preserve">TT DICE QUE PREGUNTARA POR PROPIEDAD DE SU DEUDA EN MIBANCO </t>
  </si>
  <si>
    <t>SEARCH: EDAD 34 AÑOS, TT NO REGISTRA TRABAJO EN PLANILLA, SOLO TIENE DEUDA ORIGINADA CON MIBANCO</t>
  </si>
  <si>
    <t>TT ES TAXISTA Y DE LO QUE GANA PAGARA</t>
  </si>
  <si>
    <t>fecha de pago 16/04</t>
  </si>
  <si>
    <t>DT 2793</t>
  </si>
  <si>
    <t>excepcion 800</t>
  </si>
  <si>
    <t>se contacta a tt se confirma cancelacion por excepcion de s/.800 lo realizara a traves del banco de la nacion - se anticipa pago al 16/04 o  17/04 con la venta de sus gallinas</t>
  </si>
  <si>
    <t>search no fue necesario ya que si tiene intencion de pago</t>
  </si>
  <si>
    <t>FECHA DE PAGO 16-3</t>
  </si>
  <si>
    <t>DT 11000 CAMPAÑA 2165</t>
  </si>
  <si>
    <t>TT INDICE QUE PAGO DE 1000 HACE EN QUINCENA Y QUE EL DINERO LO SACA DE UN PRESTAMO</t>
  </si>
  <si>
    <t>SEARCH: 48 AÑOS , TT TIENE DEUDA CON BANCO FINANCIERO DEL PERÚ EN PERDIDA Y BANCO FALABELLA PERÚ EN DUDODO</t>
  </si>
  <si>
    <t>DT 1520 CAMPAÑA 795</t>
  </si>
  <si>
    <t>TT DICE QUE ENCARGARA A SU HERMANO PARA QUE HAGA EL PAGO DICE QUE SOLO TIENE CERCA BANCO DE LA NACION</t>
  </si>
  <si>
    <t>SUSTENTO TT DICE QUE DINERO LO SACARA DE LO QUE TRABAJA</t>
  </si>
  <si>
    <t>SEARCH: 40 AÑOS, NO REGISTRSA PAGO EN PLANILLA, SOLO TIENE DEUDA CON CREDINKA</t>
  </si>
  <si>
    <t>Fecha de Pago 17/02</t>
  </si>
  <si>
    <t>DT  3785</t>
  </si>
  <si>
    <t>DK 2777</t>
  </si>
  <si>
    <t xml:space="preserve">CAMPAÑA 1000 </t>
  </si>
  <si>
    <t>Search  52 AÑOS / NO REGISTRA TRAABJS // NO DEUDAS</t>
  </si>
  <si>
    <t>INTERESADA EN LIQUIDAR DEUDA TOTAL PARA OBTENER CARTA DE NO ADEUDO // VENDRA A OFICINAS SE ENVIA DIRECCION</t>
  </si>
  <si>
    <t>FECHA DE PAGO 17/04</t>
  </si>
  <si>
    <t xml:space="preserve">SE MENCIONA PROPUESTA DE PAGO POR 350 ACCEDE //SE MENCIONA QUE LA CAMPAÑA ANTERIOR YA NO ESTA HABILITADA //INDICA QUE HASTA QUINCENA DEL MES PUEDE CONSEGUIR LOS 350NPARA QUE PAGUE SU DEUDA NO BRINDA MAS INFORMACION </t>
  </si>
  <si>
    <t>FECHA DE PAGO 17/2/2020</t>
  </si>
  <si>
    <t>EXPERTIS 734</t>
  </si>
  <si>
    <t>TT MENCIONA QUE SE ACOGERA A CAMPAÑA DE CANCELACION POR 734</t>
  </si>
  <si>
    <t xml:space="preserve">INDICA QUE CON EL PAGO DE SUS HABERES PAGARA DEUDA </t>
  </si>
  <si>
    <t>40 AÑOS //NO REGISTRA DEUDAS//</t>
  </si>
  <si>
    <t>FECHA DE PAGO 17-2</t>
  </si>
  <si>
    <t xml:space="preserve">DT 3500 CAMPAÑA 390 </t>
  </si>
  <si>
    <t xml:space="preserve">TT HARA CANCELACION DE DEUDA CON CAMPALA 390 EL DIA 17-2 </t>
  </si>
  <si>
    <t xml:space="preserve">DT 700 CAMPAÑA  140 </t>
  </si>
  <si>
    <t>TT SACARA DINERO DE UN PRESTAMO REALIZA PAGO CON CAMPAÑA  A MAS TARDAR EL DIA 17-2</t>
  </si>
  <si>
    <t>FECHA DE PAGO 18/12</t>
  </si>
  <si>
    <t>DK  :1100</t>
  </si>
  <si>
    <t>CAMP :890</t>
  </si>
  <si>
    <t xml:space="preserve">Sustento :TT ES DICE QUE DESEA APROVECHAR LA CAMPAÑA PARA QUE SALGA DE LA DEUDA.    </t>
  </si>
  <si>
    <t xml:space="preserve">Search (  TIENE 39 AÑOS // NO TIENE DATOS LABORALES  // NO TIENE DEUDA . </t>
  </si>
  <si>
    <t xml:space="preserve">PAGARA CON SEGURIDAD  // GRABACION  </t>
  </si>
  <si>
    <t>FECHA DE PAGO 18-2</t>
  </si>
  <si>
    <t>DT 2175 CAMPAÑA 167</t>
  </si>
  <si>
    <t>TT INDICA HARA CANCELACION HOY CON CAMPAÑA</t>
  </si>
  <si>
    <t>TT DESEA CDNA A SU CORREO juanfvo@hotmail.com</t>
  </si>
  <si>
    <t>FECHA DE PAGO 18-3</t>
  </si>
  <si>
    <t>DT 1100 CAMPAÑA 340</t>
  </si>
  <si>
    <t xml:space="preserve">TT ESCRIBE AL CORPORATIVO NRO 17 INDICA QUE NO HA PODIDO REALIZAR ELPAGO PORQUE SE NO SE ENCUENTRA EN TUMBRES QUE ESTE EN LA PARTE SIERRA  Y QUE EL DIA MIERCOLES 18-3 ESTARA HACIENDO EL PAGO </t>
  </si>
  <si>
    <t>fecha de pago 18-3</t>
  </si>
  <si>
    <t>dt 7000 campaña 1000</t>
  </si>
  <si>
    <t>tt dice que para quincena reune los 1000 , se le da de plazo hasta el dia 18-3</t>
  </si>
  <si>
    <t>sustento: tt sacara dinero de un prestamo</t>
  </si>
  <si>
    <t>search: edad 33 años tt tiene otra deuda con FINANCIERA EFECTIVA S A, no registrabajo en planilla</t>
  </si>
  <si>
    <t>FECHA DE PAGO 19-2</t>
  </si>
  <si>
    <t>DT 1200 CAMPAÑA 620</t>
  </si>
  <si>
    <t>TT DICE RECIBIO CAMPAÑA PARA CANCELAR CON MONTO CERCANO A 450, TT DICE QUE CUENTA CON LOS 400 Y QUE HOY HARIA CANCELACION</t>
  </si>
  <si>
    <t>ACUERDO CON TT EN BASE A EXCEPCION APROBADA DE 400 PARA CANCELAR HOY 19-2</t>
  </si>
  <si>
    <t>TT NO TIENE TRABAJO ACTUALMENTE</t>
  </si>
  <si>
    <t>TT ES PROFESORA POR CONTRATO</t>
  </si>
  <si>
    <t>SEARCH: TT TIENE 39 AÑOS, TIENE DEUDA CON 2 ENTIDADES FINANCIERAS MAS</t>
  </si>
  <si>
    <t>Fecha de Pago 20/12</t>
  </si>
  <si>
    <t>DT  1900 DK  1100 CAMPAÑA S/700 (EXCEPCION)</t>
  </si>
  <si>
    <t>ESTARA HACIENDO CANCELACION CON DINERO QUE RECIBIRA DE LO QUE ESTA JUNTANDO EN BANQUITO // NO ESTA TRABAJANDO</t>
  </si>
  <si>
    <t>Search 38 AÑOS// SIN TRABAJO DEPENDIENTE Y SIN SEGURO //HERMANOS PANEZ BUENO BETSABE PANEZ BUENO DIANA</t>
  </si>
  <si>
    <t>FECHA DE PAGO 20/12</t>
  </si>
  <si>
    <t>DT 1500 CAMPA 900</t>
  </si>
  <si>
    <t xml:space="preserve">Sustento indica que esta realizando con dinero ahorrado </t>
  </si>
  <si>
    <t>SEARCH TIENE 48 AÑOS Y TRABAJADOR DEPENDIENTE SUELDO 1520 EN LA EMPRESA ESTACION DE SERVICIOS EL GIRASOL EMPRESA INDIVIDUAL DE RESPONSABILIDAD LIMITADA</t>
  </si>
  <si>
    <t>FECHA DE PAGO 20-2</t>
  </si>
  <si>
    <t>DT 500 CAMPAÑA  120</t>
  </si>
  <si>
    <t>TT TIENE TRABAJO EVENTUAL DE ALLI SACARA DINERO</t>
  </si>
  <si>
    <t>TT DESEA CDNA A SU WHSTAPP</t>
  </si>
  <si>
    <t>TT DICE TENSDRA LOS 120 PARA ELDIA 20-2</t>
  </si>
  <si>
    <t>FECHA DE PAGO 20-3</t>
  </si>
  <si>
    <t>DT 24000 CAMPAÑA 2600</t>
  </si>
  <si>
    <t xml:space="preserve">ACUERDO CON RESPONSABLE DE PAGO AVELINO MONTALVAN SOSA DNI 16463335 PARA CANCELACION CON EXCEPCION DE 2000 CON PLAZO HASTA EL DIA 20-3 </t>
  </si>
  <si>
    <t>SEARCH: TT TIENE 56 AÑOS, NO REGISTRA TRABAJO EN PLANILLA, TIENE DEUDA CON CAJA MUNICIPAL DE AHORRO Y CREDITO PIURA POR s/.33200.88</t>
  </si>
  <si>
    <t>FECHA DE PAGO 21/12</t>
  </si>
  <si>
    <t>DT 3200 DK 2000 CAMPAÑA 1300</t>
  </si>
  <si>
    <t>SUSTENTO IBA A REALIZAR ABONO CON GRATIFICACION PERO NO LE HAN ABONADO, PERO LE HAN CONFIRMADO QUE LE ESTARAN ABONANDO PARA EL JUEVES POR LA NOCHE , CONFIRMA PPC PARA ELSABADO SIN FALTA//SE LE MENCIONA PENALIDAD EN CASO DE INCUMPLIMIENTO.</t>
  </si>
  <si>
    <t>SEARCH SOLTERA 27 AÑOS//DEPENDIENTE UNIVERSIDAD PRIVADA DEL NORTE SUELDO MINIMO//DEUDA TAMBIEN CON INTERBANK CLIFICACION  PERDIDA  POR 3000</t>
  </si>
  <si>
    <t>fecha de pago 22/02/2020</t>
  </si>
  <si>
    <t>dt 235</t>
  </si>
  <si>
    <t xml:space="preserve">INBOUND ASIGANDO </t>
  </si>
  <si>
    <t xml:space="preserve">41 años //20602529844 PROYECTO PESTALOZZI S.R.L. ING MENSUAL 728///TIENE 2 HERMANOS//NO REGISTRA DEUDAS </t>
  </si>
  <si>
    <t>FECHA DE PAGO 22-2</t>
  </si>
  <si>
    <t>DT 810 CAMPAÑA 165</t>
  </si>
  <si>
    <t>TT DICE LE PAGAN EL 21-2 Y QUE A MAS TARDAR EL DIA 22-2 HARA EL PAGO</t>
  </si>
  <si>
    <t>FECHA DE PAGO 2-3</t>
  </si>
  <si>
    <t>DT 438 CAMPAÑA 20</t>
  </si>
  <si>
    <t>TT DICE QUE ESTUVO LEJOS POR ESO NO SE ACERCO A PAGAR TT DICE QUE HOY HACE CANCELACION EN BASE A S/.20</t>
  </si>
  <si>
    <t xml:space="preserve">SEARCH: 24 AÑOS DE EDAD, NO REGISTRA TRABAJO EN PLANILLA </t>
  </si>
  <si>
    <t xml:space="preserve"> TT SOLO TIENE DEUDA CON EDPYME ALTERNATIVA Y CAJA SULLANA</t>
  </si>
  <si>
    <t>Fecha de Pago 24/01</t>
  </si>
  <si>
    <t>DT  3700</t>
  </si>
  <si>
    <t>DK  2000</t>
  </si>
  <si>
    <t>CAMPAÑA  1500</t>
  </si>
  <si>
    <t xml:space="preserve">tt le llego msj con un monto de descuento por 1360 </t>
  </si>
  <si>
    <t xml:space="preserve">tt tuvoun acuerdo el año pasado de 2000 ppc pero abono 400 diceque no termino de cancelar por que entro en desconfianza yaque cuando fue a pagar  salia el nombre de expertis  y la asesora que la atendio no le contesto la llamada  ya no cancelo restante </t>
  </si>
  <si>
    <t>Edad  46</t>
  </si>
  <si>
    <t>Hijos  2</t>
  </si>
  <si>
    <t>entidades reportadas</t>
  </si>
  <si>
    <t>PRO MUJER PERU</t>
  </si>
  <si>
    <t>FECHA DE PAGO 24-2 (REPROGRAMACION)</t>
  </si>
  <si>
    <t>FECHA DE PAGO 24-2</t>
  </si>
  <si>
    <t>ACUERDO CON TT PARA CANCELAR A MAS TARDAR EL DIA 24-2 TT DESEA LLAMADA RECORDATORIA EL DIA 21-2</t>
  </si>
  <si>
    <t>BRINDA NRO CELULAR 989378474</t>
  </si>
  <si>
    <t>SEARCH: 44 AÑOS , SOLO TIENE DEUDA CON PROEMPRESA</t>
  </si>
  <si>
    <t>FECHA DE PAGO 25/02</t>
  </si>
  <si>
    <t>DT : 18422</t>
  </si>
  <si>
    <t>DK  714</t>
  </si>
  <si>
    <t xml:space="preserve">Sustento : SUELDO  </t>
  </si>
  <si>
    <t>SearcH 50 AÑOS /UNIDAD DE GESTION EDUCATIVA UCAYALI - CONTAMANA/ NO REGITRA DEUDA //0 HJOS</t>
  </si>
  <si>
    <t>DEJO DE CANCELAR POR MOTIVOS DE ENFERMEDAD</t>
  </si>
  <si>
    <t xml:space="preserve">PPC 500 </t>
  </si>
  <si>
    <t>Fecha de Pago 25/03/2020</t>
  </si>
  <si>
    <t>DT 2,155.00</t>
  </si>
  <si>
    <t>DK 1,046.46</t>
  </si>
  <si>
    <t xml:space="preserve">Sustento tt cancelara deuda  con 220.00 soles el 25/03 no pudo acceder antres por motivos personales pero se compromete a cancelar a la fecha </t>
  </si>
  <si>
    <t>Search 45 años no cuenta con otras deudas no se verifica centro laboral</t>
  </si>
  <si>
    <t>FECHA DE PAGO 25-2</t>
  </si>
  <si>
    <t>DT 1900 CAMPAÑA 750 25-2</t>
  </si>
  <si>
    <t>TT SE ENCUENTRA EN PUNO DICE QUE NO VIVE CON SU ESPOSO</t>
  </si>
  <si>
    <t>TT DICE QUE LLAMAN A SU HIJA EN EL COLEGIO Y QUE LLAMAN A SU MADRE Y ESTA MOLESTA</t>
  </si>
  <si>
    <t>TT INDICA QUE PRIMERO SE APERSONARA A CREDINKA Y LUEGO HARA EL PAGO DE LA PROMOCION 750</t>
  </si>
  <si>
    <t>DT 3800 CAMPAÑA 2461</t>
  </si>
  <si>
    <t xml:space="preserve">TT DICE QUE HARA EL PAGO EL DIA 25-2 Y QUE DINERO LO SACARA DE SU TRABAJO </t>
  </si>
  <si>
    <t>SEARCH: TT SOLO TIENE DEUDA CON MIBANCO, TIENE 25 AÑOS, TT NO ESTA EN PLANILLA</t>
  </si>
  <si>
    <t>fecha de pago 26/02</t>
  </si>
  <si>
    <t>monto 235</t>
  </si>
  <si>
    <t xml:space="preserve">se contacta a tt se le indica recordatorio de pago //menciona que no ha podido acercarse a efectuar el pago porque ya han inciado las clases /es profesor //pero hara el pago el dia miercoles con total seguridad </t>
  </si>
  <si>
    <t>FECHA DE PAGO 26/12</t>
  </si>
  <si>
    <t>DT : 2800</t>
  </si>
  <si>
    <t>DK  :1500</t>
  </si>
  <si>
    <t>CAMP :900</t>
  </si>
  <si>
    <t xml:space="preserve">Sustento :TT TRABAJA INDEPENDIENTE PAGARA PORQUE QUIERE SALIR DE LA DEUDA . </t>
  </si>
  <si>
    <t xml:space="preserve">Search (  TIENE 27 AÑOS // UNO TIENE DATOS LABORALES  // TIENE 3 ENTIDADES FINANCIERAS . </t>
  </si>
  <si>
    <t xml:space="preserve">PAGARA CON SEGURIDAD  // GRABACION  FUE POR SISTEMA .  </t>
  </si>
  <si>
    <t>FECHA DE PAGO 27/01/20</t>
  </si>
  <si>
    <t xml:space="preserve">TAT SOLICITA CANCELAR SUS DOS ULTIMAS CUOTAS DE PAGO  FEBRERO Y MARZO : 490 SOLES Y S ELE OTORGA SU CARRTA NO ADEUDO </t>
  </si>
  <si>
    <t>fecha de pago 27/03</t>
  </si>
  <si>
    <t xml:space="preserve">tt muestra intencion de pago al mencionar opcion de liquidar deuda con 300 soles / indica que lo puede hacer a traves de agentes //el dia de mañana </t>
  </si>
  <si>
    <t xml:space="preserve">no fue necesario utilizar search debido a que si tiene intencion en cancelar deuda </t>
  </si>
  <si>
    <t>FECHA DE PAGO 27/2/2020</t>
  </si>
  <si>
    <t>MONTO EXPERTIS 272</t>
  </si>
  <si>
    <t>DT 8492</t>
  </si>
  <si>
    <t>DK 272</t>
  </si>
  <si>
    <t>912721055///TT MENCIONA QUE NO PAGO PORQUE SE ACERCARON A SU DOMICILIO Y PEGARON UNA NOTIFICACION ***/</t>
  </si>
  <si>
    <t xml:space="preserve">60 AÑOS /NO REGISTRA DEUDAS/ </t>
  </si>
  <si>
    <t>FECHA DE PAGO 27-2</t>
  </si>
  <si>
    <t>DT 3500 CAMPAÑA 960</t>
  </si>
  <si>
    <t>tt indica que se prestara dinero para cancelar con 960</t>
  </si>
  <si>
    <t>tt regresa a tambo el dia 24 o 25  tt se prestara dinero de su hemrno para cancelar</t>
  </si>
  <si>
    <t>DT 4864 CAMPAÑA 254</t>
  </si>
  <si>
    <t xml:space="preserve">TT DICE QUE TIENE ENFERMEDAD NO TRABAJA HACE 4 AÑOS SUS HIJOS LA MANTIENEN </t>
  </si>
  <si>
    <t xml:space="preserve">ACUERDO CON TT PARA CANCELAR  CON 254 TT DICE QUE A MAS TARDAR HACE PAGO EL DIA  27-2 Y SI PUEDE LO HACE ANTES </t>
  </si>
  <si>
    <t xml:space="preserve"> BRINDA NRO DE HIJA PARA QUE LE ENVIEN INFORMACION POR WHATSAPP 912483658</t>
  </si>
  <si>
    <t>FECHA DE PAGO 28/01/2020</t>
  </si>
  <si>
    <t>DT 741</t>
  </si>
  <si>
    <t>MENCIONA QUE CANCELARA SEGUN CAMPAÑA DE DESCUENTO //REUNIO ESA CANTIDAD ///</t>
  </si>
  <si>
    <t>DT 8672</t>
  </si>
  <si>
    <t>EXPERTIS 1750</t>
  </si>
  <si>
    <t xml:space="preserve">se contacta a esposa de tt /DNI: 21407511MALLMA ALEJO RENEE///MENCIONA QUE LE ENVIARON POR CORREO A SU ESPOSO UNA CAMPAÑA DE CANCELACION DE 1750//QUIERE REGULARIZAR DEUDA DEBIDO A QUE SU ESPOSO ESTA EN UN LUGAR SIN ACCESIBILIDAD //REGULARIZARA EL PAGO HOY Y QUIERE QUE SE LE ENVIE ACUERDO DE CANCELCION POR CORREO </t>
  </si>
  <si>
    <t>FECHA DE PAGO 28/02</t>
  </si>
  <si>
    <t>DT 1133</t>
  </si>
  <si>
    <t>MONTO 320</t>
  </si>
  <si>
    <t>SE CONTACTA TT A CORP 7//MENCIONA QUE NO CANCELO DEUDA PORQUE EL BANCO NO LE DIO LA APROBACION ///ACTUALMENTE SE HAN COMUNICADO DANDO LA COMFIRMACION Y PODRA PAGAR HASTA EL DIA 28/02</t>
  </si>
  <si>
    <t xml:space="preserve">69 AÑOS //ES PENSIONISTA///OFICINA PREVISIONAL DE LAS FUERZAS ARMADAS DEL MINISTERIO DE DEFENSA 958///REGISTRA 2 DEUDAS </t>
  </si>
  <si>
    <t>BANCO GNB PERU-BCO AZTECA DEL PERU QUE SUMA UN  TOTAL  7206.8///</t>
  </si>
  <si>
    <t>fecha de pago 28/02</t>
  </si>
  <si>
    <t>dt 2050</t>
  </si>
  <si>
    <t>dk 1780</t>
  </si>
  <si>
    <t>expertis 600</t>
  </si>
  <si>
    <t xml:space="preserve">indica que le enviaron un mensaje indicando que tiene deuda //se propone cancelar con 600 /tt acepta </t>
  </si>
  <si>
    <t>si es que puede reunir 300 hasta el 19/2 anticipara y lo restante a fin de mes</t>
  </si>
  <si>
    <t xml:space="preserve">50 años //no registra informacion laboral //solo registra 1 deuda en </t>
  </si>
  <si>
    <t>6930.06//</t>
  </si>
  <si>
    <t>llamada corp 7</t>
  </si>
  <si>
    <t>Fecha de Pago 28/02</t>
  </si>
  <si>
    <t>DT 4531</t>
  </si>
  <si>
    <t>Search 24 AÑOS //2 DEUDAS</t>
  </si>
  <si>
    <t>TT CANCELA ULTIMA CUOTA 1000</t>
  </si>
  <si>
    <t xml:space="preserve">CREDINKA POR LA MAÑANA </t>
  </si>
  <si>
    <t>FECHA DE PAGO 28-1</t>
  </si>
  <si>
    <t>DT 2800 DK 1700 PROPUESTA 800</t>
  </si>
  <si>
    <t>TT CANCELARA DEUDA CON 800 SOLES  EL DIA 28-1  TT INDICA QUE NO QUIERE  LLAMADA TELEFONICA , SE LE ENVIARA RECORDATORIO POR WHATSAPP</t>
  </si>
  <si>
    <t>TT DESEA CDNA A CORREO juancarlosrojasfabian@gmail.com</t>
  </si>
  <si>
    <t>FECHA DE PAGO 28-2 (REPROGRAMACION)</t>
  </si>
  <si>
    <t>DT 7000 CAMPAÑA 2300</t>
  </si>
  <si>
    <t>TT DICE QUE POR MOTIVO DE ENFERMEDAD DICE LA ESPEREN HASTA EL DIA 28-2 PARA ABONAR LOS 100 SOLES</t>
  </si>
  <si>
    <t>FECHA DE PAGO 28-2</t>
  </si>
  <si>
    <t>DT  12000 CAMPAÑA 400</t>
  </si>
  <si>
    <t xml:space="preserve">TT DESEA CDNA  A SU WHATSAPP </t>
  </si>
  <si>
    <t>SEARCH : TT SOLO TIENE DEUDA CON PROEMPRESA, 45 AÑOS, NO REGISTRA TRABAJO EN PLANILLA</t>
  </si>
  <si>
    <t>DT 5000 CAMPAÑA</t>
  </si>
  <si>
    <t>TT DICE QUE HARA CANCELACION CON 495 EL DIA 28-2</t>
  </si>
  <si>
    <t>TT DICE QUE DINERO LO SACARA DE LO QUE EL TIENE</t>
  </si>
  <si>
    <t>TT DESEA CDNA A SU CORREO</t>
  </si>
  <si>
    <t xml:space="preserve">SEARCH: TT TIENE DEUDA CON DOS ENTIDADES MAS </t>
  </si>
  <si>
    <t>DT 990 CAMPAÑA 600</t>
  </si>
  <si>
    <t>TT DICE QUE LE DEN PLAZO HASTA EL DIA 28-2 Y QUE ESE DIA HACE PAGO AL MEDIO DIA, TT DESEA CDNA A SU WHATSAPP, TT DESEA ACUERDO DE CANCELACION A SU WHATSAPP</t>
  </si>
  <si>
    <t>SEARCH: 34 AÑOS, TT SOLO TIENE DEUDA CON EDPYME ALTERNATIVA</t>
  </si>
  <si>
    <t>FECHA DE PAGO 29/05</t>
  </si>
  <si>
    <t>CAMPAÑA 500</t>
  </si>
  <si>
    <t>DICE QUE ACTUALMENTE ESTA TRABAJANDO /PERO EL VIERNES LLEGARA A LA CUIDAD PARA PAGAR LA CAMPAÑA HABILITADA //</t>
  </si>
  <si>
    <t xml:space="preserve">SI MUESTRA INTERES EN PAGAR </t>
  </si>
  <si>
    <t>FECHA DE PAGO 29-2</t>
  </si>
  <si>
    <t xml:space="preserve">DT 1000 CAMPAÑA 400 </t>
  </si>
  <si>
    <t>ACUERDO CON TT EB BASE ACAMPAÑA  400  200 EL DIA 17-2 Y 200 EL DIA 29-2</t>
  </si>
  <si>
    <t>TT DICE QUE DINERO LO SACA DE SU TRABAJO</t>
  </si>
  <si>
    <t>fecha de pago 29-2</t>
  </si>
  <si>
    <t>dt 1520 campaña 795</t>
  </si>
  <si>
    <t>tt indica que el dia 29-2 hara el pago y que el dinero lo sacara de su trabajo</t>
  </si>
  <si>
    <t>search:  edad 40 años, tt no registra trabajo en planilla, solo tiene deuda con credinka</t>
  </si>
  <si>
    <t>DT 2130 CAMPAÑA 446</t>
  </si>
  <si>
    <t>TT DICE QUE LE PAGAN A FIN DE MES Y QUE ESTARA HACIENDO PAGO A MAS TARDAR EL DIA 29-2 DICE QUE SI HACE EL PAGO ANTES ESTARA COMUNICANDO</t>
  </si>
  <si>
    <t>SEARCH: 38 AÑOS , TT TRABAJA EN CORPORACION REFRIGERADOS INY SA</t>
  </si>
  <si>
    <t>DT 2600 CAMPAÑA 770 20-2</t>
  </si>
  <si>
    <t>TT COBRA MENSUAL ALQUILERES Y DE ALLI SACA DINERO PARAT CANCELAR CON 770</t>
  </si>
  <si>
    <t>dt 28500 campoaña 1367</t>
  </si>
  <si>
    <t xml:space="preserve">tt dice que recibio sms para cancelar con 1189 </t>
  </si>
  <si>
    <t>tt esta en cuzco en el seguro medico tiene problema en el pie confirma</t>
  </si>
  <si>
    <t>tt dice que va conseguir como sea ese importe para cancelar con 1189</t>
  </si>
  <si>
    <t>dt 35787 campaña 1574</t>
  </si>
  <si>
    <t>tt recibio sms para cancelar con S/.1574 tt dice hara pago mañana</t>
  </si>
  <si>
    <t>DT 35787 CAMPAÑA 1737</t>
  </si>
  <si>
    <t>TT INDICA QUE TRABAJA Y DE LO QUE JUNTA CANCELARA DEUDA CON 1737</t>
  </si>
  <si>
    <t>TT SOLO TIENE DEUDA CON CREDINKA</t>
  </si>
  <si>
    <t>DT 4800 CAMPAÑA 1900</t>
  </si>
  <si>
    <t>Titular estuvo en  coma en el hospital, luego que le dieron de alta en enero le llamaron y le ofrecieron cancelar con 1150, tt no esta trabajando y dice que su esposo le prestar dinero para cancelar a fin mes.</t>
  </si>
  <si>
    <t>Acuerdo con tt para cancelar con excepcion de S/.1200 con plazo hasta el dia 29/02</t>
  </si>
  <si>
    <t>DT 6500 CAMPAÑA 1611 20</t>
  </si>
  <si>
    <t>ESPOSA DE TT MARIELA MARITZA  MELCHOR QUISPE DICE QUE RECIBIO SMS PARA CANCELAR CON 1611</t>
  </si>
  <si>
    <t>ACUERDO CON ESPOSA DE TT PARA CANCELAR CON 1611 CON PLAZO HASTA EL DIA 29-2</t>
  </si>
  <si>
    <t xml:space="preserve">DT 900 CAMPAÑA 462 </t>
  </si>
  <si>
    <t>TT DICE LE PAGAN A FIN DE MES TT TIENE TRABAJO EVENTUAL  Y QUE CONSEGUIRIA ESE DINERO DE 462  PARA FIN DE MES</t>
  </si>
  <si>
    <t>DK  2500</t>
  </si>
  <si>
    <t xml:space="preserve">SustentoTTT SER COMUNICA A CELULAR COOPORATIVO , INDICA QUE TIENE 500 A LA MANO  Y QUE QUIERE YA PAGAR SU DEUDA  , </t>
  </si>
  <si>
    <t xml:space="preserve">DE SU SUELDO </t>
  </si>
  <si>
    <t xml:space="preserve">Edad </t>
  </si>
  <si>
    <t>DT  1418.73</t>
  </si>
  <si>
    <t>DK  839.23</t>
  </si>
  <si>
    <t>CAMPAÑA  615</t>
  </si>
  <si>
    <t>Sustento prestamo de un familiar</t>
  </si>
  <si>
    <t>Search no carga search</t>
  </si>
  <si>
    <t>cancelara porque desea obtener su carta de no adeuda</t>
  </si>
  <si>
    <t>DT 1497.15</t>
  </si>
  <si>
    <t>DK  1194</t>
  </si>
  <si>
    <t xml:space="preserve">CAMPAÑA 600 </t>
  </si>
  <si>
    <t xml:space="preserve">Sustento VENDE ACCESORIO DE COMPUTO </t>
  </si>
  <si>
    <t>Search  35 AÑOS //  SIN TRABAJO</t>
  </si>
  <si>
    <t>SE ENVIARA ACUERDO DE CANCELACION</t>
  </si>
  <si>
    <t>FECHA DE PAGO 30/01/2020</t>
  </si>
  <si>
    <t>EXPERTIS 300</t>
  </si>
  <si>
    <t>INDICA QUE OTRA ENTIDAD COBRARA LA DEUDA PARA ELLO NECESITA EL ACUERDO DE CANCELACION///PAGARA A FIN DE MES /</t>
  </si>
  <si>
    <t>FECHA DE PAGO 30/03</t>
  </si>
  <si>
    <t>DT 925</t>
  </si>
  <si>
    <t>EXPERTIS 450</t>
  </si>
  <si>
    <t>TT SE COMUNICA POR WHATSAPP CORP N°3//POR CAMPAÑA DE CANCELACION , INDICA QUE PREVIAMENTE YA HABIA ABONADO 100 SOLES PERO PERDIO EL CELULAR Y TODOS LOS CONTACTOS POR ESO YA NO PUDO COMUNICARSE CON ASESORA ANTERIOR //.</t>
  </si>
  <si>
    <t xml:space="preserve">SOLICITA ACUERDO DE CANCELACION POR CORREO </t>
  </si>
  <si>
    <t xml:space="preserve">SE SOLICITA PREVIO ABONO PARA QUE SE CONSIDERE CAMPAÑA DE PAGO HASTA EL FIN DE MES </t>
  </si>
  <si>
    <t xml:space="preserve">27 AÑOS /PROYECTO Y GESTION SERVICIOS INTEGRALES S.A.C ING MENSUAL 1413//NO REGISTRA DEUDAS </t>
  </si>
  <si>
    <t>FECHA DE PAGO 30/12</t>
  </si>
  <si>
    <t>DT : 200</t>
  </si>
  <si>
    <t>DK  :170</t>
  </si>
  <si>
    <t>CAMP :170</t>
  </si>
  <si>
    <t xml:space="preserve">Sustento:TT CONFIRMA PAGO DE LOS  100 PARA EL DIA DE HOY YA QUE AYER CUANDO FUE A PAGAR LA ENTIDAD YA ESTABA CERRADA PAGARA PARA ACTIVAR LA CAMPAÑA Y PUEDA CANCELAR LA DEUDA Y LO RESTANTE 30 SOLES PARA EL DIA 30/12. SE LE INFORMA  AMARIANGELA  </t>
  </si>
  <si>
    <t xml:space="preserve">Search (  TIENE 58 AÑOS // NO  TIENE DATOS LABORALES  //  TIENE DEUDA CON 4 ENTIDAD FINANCIERA </t>
  </si>
  <si>
    <t xml:space="preserve">SE LA LLAMO DEL CELULAR 12 GRABACION  </t>
  </si>
  <si>
    <t>DT 480 DK195 CAMPAÑA 230</t>
  </si>
  <si>
    <t>SUSTENTO INDICO QUE PAGARIA CON PAGO DE MENSUALIDA, PERO PARA ESTE MES TIENE GASTOS POR LO QUE REPROGRMA PARA 30/12 LA CANCELACION//SE LE COMENTA QUE TENDRA PENALIDAD EN CASO NO CUMPLIR CON COMPROMISO.</t>
  </si>
  <si>
    <t>SEARCH 44 AÑOS, ACTIVO DEPENDIENTE EMPRESA ALEGRIA PALMA CRISTINA//SUELDO MINIMO</t>
  </si>
  <si>
    <t>fecha de pago 31/01/2020</t>
  </si>
  <si>
    <t>DT 5055</t>
  </si>
  <si>
    <t>DK 3500</t>
  </si>
  <si>
    <t>EXPERTIS 1225</t>
  </si>
  <si>
    <t>se activa campaña de cancelacion de la deuda por 1225/menciona que con el pago de sus haberes estara efectuando el pago</t>
  </si>
  <si>
    <t>enc de pago //28 años//46690837</t>
  </si>
  <si>
    <t>ALATA</t>
  </si>
  <si>
    <t>VENCES</t>
  </si>
  <si>
    <t>ENRIQUE PLINIO//G &amp; S GESTION Y SISTEMAS S.A.C.</t>
  </si>
  <si>
    <t>fecha de pago 31/03</t>
  </si>
  <si>
    <t>dt 3090</t>
  </si>
  <si>
    <t>expertis 500</t>
  </si>
  <si>
    <t xml:space="preserve">se propone cancelar con 500///dice que segun sus posibilidades puede abonar ahora 100 soles y lo restante a fin de mes </t>
  </si>
  <si>
    <t>51 años//no registra informal laboral no familiar //tiene una deuda COMPARTAMOS FINANCIERA</t>
  </si>
  <si>
    <t>692.28///</t>
  </si>
  <si>
    <t>FECHA DE PAGO 31/03</t>
  </si>
  <si>
    <t>DT 3760</t>
  </si>
  <si>
    <t>DK 2592</t>
  </si>
  <si>
    <t>EXPERTIS 520</t>
  </si>
  <si>
    <t>TT CONFIRMA PAGO PARA EL DIA DE MAÑANA 31/03 POR 520 /INDICA QUE NO PUDO REALIZAR EL PAGO EL DIA HOY PORQUE NO LE ACEPTARON EN EL BANCO /SE MENCIONA QUE EL PAGO DEBE IR A LA CUENTA DE EXPERTIS /LO REALIZARA EL DIA DE MAÑANA</t>
  </si>
  <si>
    <t>DATOS SEARCH(NO FUE NECESARIO POR ABORDAJE DE GESTION ANTERIOR)</t>
  </si>
  <si>
    <t>DT 6159.21</t>
  </si>
  <si>
    <t>DK 5110.61</t>
  </si>
  <si>
    <t>PPC 615</t>
  </si>
  <si>
    <t>Sustento NEGOCIO INDEPENDIENTE</t>
  </si>
  <si>
    <t>Search 37 AÑOS // DEUDA CREDISCOTIA</t>
  </si>
  <si>
    <t>CANCELA ULTIMA CUOTA 615 DE REFINANCIAMIENTO</t>
  </si>
  <si>
    <t>DT 7026.45</t>
  </si>
  <si>
    <t>DK 4644.46</t>
  </si>
  <si>
    <t>3RA CUOTA DE 1150</t>
  </si>
  <si>
    <t xml:space="preserve">ENCARGADO DE PAGO GUSTAVO GOMEZ CARMEN CONFIRMA PAGO DE ULTIMA CUOTA </t>
  </si>
  <si>
    <t>SEARCH DATOS DE ENC///46 AÑOS///TRANSPORTE DE COMBUSTIBLES LEON SOCIEDAD COMERCIAL DE RESPONSABILIDAD LIMITADA</t>
  </si>
  <si>
    <t>2568///NO REGISTRA DEUDAS //</t>
  </si>
  <si>
    <t>Fecha de Pago 31/12</t>
  </si>
  <si>
    <t xml:space="preserve">DT </t>
  </si>
  <si>
    <t>CAMPAÑA</t>
  </si>
  <si>
    <t>PPC DE 750 HASTA 31/12 ABONA 200 EL 27/12</t>
  </si>
  <si>
    <t xml:space="preserve">tt menciona que tuvo problemas personales  en esa fecha y ahora se vino a lima a trabajar y actualmente tiene un a tienda de abarrotes </t>
  </si>
  <si>
    <t xml:space="preserve"> de sus ventas de el negocio que tiene , </t>
  </si>
  <si>
    <t>Edad  24</t>
  </si>
  <si>
    <t>fecha de pago 31-2</t>
  </si>
  <si>
    <t>dt 1150 campaña 570</t>
  </si>
  <si>
    <t>tt tuvo percance con familiar que se enfermo y que dinero que era para cancelar de alli gasto, dice que fin de mes haria el pago, tt dice que dinero que gasto le van a devolver a fin de mes</t>
  </si>
  <si>
    <t>FECHA DE PAGO 31-3</t>
  </si>
  <si>
    <t xml:space="preserve">DT 1000 CAMPAÑA 390 </t>
  </si>
  <si>
    <t>ACUERDO CON TT CANCELACION CON 390 EN DOS PARTES: 150 EL DIA 14-3 Y 240 EL DIA  31-3</t>
  </si>
  <si>
    <t xml:space="preserve">SUSTENTO: TT DICE QUE SE PRESTARA </t>
  </si>
  <si>
    <t xml:space="preserve">TT BRINDA NRO WHATSAPP 980403293 </t>
  </si>
  <si>
    <t>SEARCH: EDAD 41 AÑOS , NO REGISTRA TRABAJO EN PLANILLA, SOLO TIENE DEUDA ORIGINADA CON CREDINKA</t>
  </si>
  <si>
    <t xml:space="preserve">DT 1100 CAMPAÑA 500 </t>
  </si>
  <si>
    <t>ACUERDO CON TT PARA CANCELAR CAMPAÑA 500 EN DOS PARTES; 250 EL DIA 23-3 Y 250 EL DIA 31-3</t>
  </si>
  <si>
    <t>AYER NO SE PUDO GRABAR PORQUE LA TACITA ESTABA EN MANTENIMIENTO DE 5 A 8PM</t>
  </si>
  <si>
    <t>SEARCH: EDAD 52 AÑOS, NO REGISTRA TRABAJO EN PLANILLA, SOLO TIENE DEUDA ORIGINADA CON CAJA SULLANA</t>
  </si>
  <si>
    <t>DT 1489 CAMPAÑA 200</t>
  </si>
  <si>
    <t>ACUERDO CON TT PARA CANCELAR CON 200 EN DOS PARTES 100 EL 16-3 Y 100 EL 31-3</t>
  </si>
  <si>
    <t xml:space="preserve"> TT DICE QUE A MAS TARDAR EL DIA 16-3 ABONA 100</t>
  </si>
  <si>
    <t>DT 2700 CAMPAÑA 500 11-3</t>
  </si>
  <si>
    <t>TT TIENE GASTOS ESCOLARES DE SUS HIJOS DICE QUE PARA FINES TENDRIA DINERO</t>
  </si>
  <si>
    <t xml:space="preserve">SUSTENTO: SE LE PREGUNTA A TT DE DONDE SACARA EL DINERO Y ELLA DICE QUE ELLA VERA DE DONDE LO SACA </t>
  </si>
  <si>
    <t>SEARCH: EDAD 35 AÑOS, TT REGISTRA TRABAJO EN PLANILLA, TIENE DEUDA CON BANCO FALABELLA DEL PERU</t>
  </si>
  <si>
    <t xml:space="preserve">DT 2823 CAMPAÑA 850 </t>
  </si>
  <si>
    <t>ACUERDO CON PARA CANCELAR EN DOS PARTES 400 11-3 Y  450 31-3</t>
  </si>
  <si>
    <t>SEARCH: EDAD 41 AÑOS , TT TRABAJA EN UNIVERSIDAD NACIONAL DANIEL ALCIDES CARRION TT TIENE DEUDA CO BANCO DE LA NACION EN DUDOSO Y CAJA HUANCAYO EN PERDIDA</t>
  </si>
  <si>
    <t xml:space="preserve">DT 3200 CAMPAÑA 2257 </t>
  </si>
  <si>
    <t>ACUERDO CON TT CANCELACION DE CAMPAÑA EN DOS PARTES 1000 EL DIA 12-3 Y 1257 EL DIA 31-3</t>
  </si>
  <si>
    <t>TT SE ENCUENTRA EN PROVINCIA TT DESEA CDNA DE POR WHATSAP</t>
  </si>
  <si>
    <t>TT SE PRESTARA PARA CANCELAR</t>
  </si>
  <si>
    <t>SEARCH: EDAD 30 AÑOS, NO REGISTRA TRABAJO EN PLANILLA, TIENE DEUDA CON MIBANCO EN PERDIDA Y BANCO FALABELLA EN DUDOSO</t>
  </si>
  <si>
    <t>//SE ME FUE LA FICHA// EN LA LLAMADA SE FUE LA SEÑAL Y SE TUVO QUE LLAMAR DE CORPORATIVO PARA TERMINA LA LLAMADA</t>
  </si>
  <si>
    <t>DT 950 CAMPAÑA 530 14-3</t>
  </si>
  <si>
    <t xml:space="preserve">TT DICE LE PAGAN LOS FINES DE MES </t>
  </si>
  <si>
    <t>SUSTENTO: TT SACARA DINERO DELO QUE GANA A FIN DE MES</t>
  </si>
  <si>
    <t xml:space="preserve">TT DESEA CDNA A SU WHATSAPP </t>
  </si>
  <si>
    <t>SEARCH: EDAD 33 AÑOS NO REGISTRA TRABAJO EN PLANILLA  SOLO TIENE DEUDA ORIGINADA  CON CAJA SULLANA</t>
  </si>
  <si>
    <t>FECHA DE PAGO 4-3</t>
  </si>
  <si>
    <t>DT 400 CAMPAÑA 156</t>
  </si>
  <si>
    <t>SE HACE REPROGRAMACION TT INDICA QUE EL DIA 4-3 HACE EL PAGO DE s/.50  y con ello cancela la deuda ya que en febrero abono S/.100</t>
  </si>
  <si>
    <t>FECHA DE PAGO 6-2</t>
  </si>
  <si>
    <t>DT 2200 DIFERENCIA A PAGAR 400</t>
  </si>
  <si>
    <t>ACUERDO CON TT PARA PAGAR EXCEPCION DE 895 EN DOS PARTES: SEGUNDA Y ULTIMA PARTE DE 400 PÁRA HOY 6-2</t>
  </si>
  <si>
    <t>Fecha de Pago</t>
  </si>
  <si>
    <t>DT 1900  DK 754 CAMPAÑA 230</t>
  </si>
  <si>
    <t>TT INTERESADO EN CANCELAR , DICE QUE CONSIGUE DINERO A MAS TARDAR EL DIA VIERNES 10-1</t>
  </si>
  <si>
    <t xml:space="preserve">Search </t>
  </si>
  <si>
    <t>TT TIENE 70 AÑOS TRABAJA EN OFICINA DE NORMALIZACION PREVISIONAL ONP</t>
  </si>
  <si>
    <t>TIENE DEUDA CON OTROS DOS BANCOS</t>
  </si>
  <si>
    <t>Fecha de Pago:   30/03          discador</t>
  </si>
  <si>
    <t>MONTO  : 600   PPC ..  SALDO INCIIAL : 300 PARA EL 16/03</t>
  </si>
  <si>
    <t>DT:  600    DK :  600</t>
  </si>
  <si>
    <t xml:space="preserve">Sustento: tt esta trabajando en la cosecha , el año pasado en planilla se compromete  a cancelar .  </t>
  </si>
  <si>
    <t xml:space="preserve">Search : 27 , sueldo 2803 , no reporta deudas </t>
  </si>
  <si>
    <t xml:space="preserve">Fecha de Pago:   30/03        discador </t>
  </si>
  <si>
    <t>MONTO : 250 PPC</t>
  </si>
  <si>
    <t>DT: 750     DK : 0</t>
  </si>
  <si>
    <t xml:space="preserve">Sustento:  tt tuvo un problema con sus papeles , indica que el 30 va pagar  esta trabajando , mantiene a sus hijos que estan estudiando por eso no puede abonar antes , y quiere pagar para sacar credito . </t>
  </si>
  <si>
    <t xml:space="preserve">Search : 30 , reporta 2 deudas , sueldo  : 500 </t>
  </si>
  <si>
    <t>Fecha de Pago:   31/03              discador , tipifique mal con noc  audio</t>
  </si>
  <si>
    <t xml:space="preserve">MONTO : 650 PPC  </t>
  </si>
  <si>
    <t>DT: 1600      DK : 1400</t>
  </si>
  <si>
    <t xml:space="preserve">Sustento:  tt le pagan a fin de mes  ,  antes no puede . que ya quedo en esa fecha y se va enviar informacion por whatsapp , no pago por gastos </t>
  </si>
  <si>
    <t xml:space="preserve">Search :  49 , no reporta deudas </t>
  </si>
  <si>
    <t xml:space="preserve">Fecha de Pago:   31/03         DISCADOR </t>
  </si>
  <si>
    <t>MONTO : 760 PPC</t>
  </si>
  <si>
    <t>DT: 2600      DK : 1100</t>
  </si>
  <si>
    <t xml:space="preserve">Sustento: tt trabaja en su negocio , va pagar a fin de mes , no puede abonar antes , indica que tuvo gastos escolares , y este mes di va cumplir ya que tiene varias promesas incumplidas </t>
  </si>
  <si>
    <t xml:space="preserve">Search : 44 , reporta 2 deudas </t>
  </si>
  <si>
    <t xml:space="preserve">Fecha de Pago:  02/03 , CERRADO WHATSAPP </t>
  </si>
  <si>
    <t xml:space="preserve">Monto : 600  PPC </t>
  </si>
  <si>
    <t>DT: 1220      DK : 600</t>
  </si>
  <si>
    <t>Sustento:  tt se encuentra cerca al banco para cobrar el dinero y poder el pago de los 600 . con seguridad .</t>
  </si>
  <si>
    <t xml:space="preserve">Search :  45 , reporta 1 deuda </t>
  </si>
  <si>
    <t>Fecha de Pago:  04/03 codigo caja arequipa : 12018</t>
  </si>
  <si>
    <t>MONTO : 5200 PPC</t>
  </si>
  <si>
    <t>DT: 15700       DK : 7300</t>
  </si>
  <si>
    <t xml:space="preserve">Sustento: tt tiene el dinero en mano hizo la venta de un terreno que ya le pagaron . conseguirdad va pagar hoy . codigo de caja arequipa : 12018 </t>
  </si>
  <si>
    <t xml:space="preserve">trabaja en educacion . </t>
  </si>
  <si>
    <t xml:space="preserve">Search :  37 , sueldo 1365 , no reporta deudas </t>
  </si>
  <si>
    <t xml:space="preserve">Fecha de Pago:  06/03             CERRADO WHATSAPP </t>
  </si>
  <si>
    <t xml:space="preserve">MONTO : 950 PPC </t>
  </si>
  <si>
    <t>DT:  2500    DK : 1400</t>
  </si>
  <si>
    <t xml:space="preserve">Sustento:  tt tiene el dinero en mano monto 950 va pagar el dia de hoy , se encuentra trabajando . si en caso no se pueda acercar va mandar a su esposo  , no pago por gastos y otras cuentas pendientes . </t>
  </si>
  <si>
    <t xml:space="preserve">Search : 31 , sueldo del 2019- 02 = 1748 , no reporta deudas </t>
  </si>
  <si>
    <t xml:space="preserve">Fecha de Pago:  06/03 </t>
  </si>
  <si>
    <t xml:space="preserve">MONTO : 150 PPC </t>
  </si>
  <si>
    <t>DT: 1200       DK : 400</t>
  </si>
  <si>
    <t xml:space="preserve">Sustento: : tt se encuentra de viaje y regresa para que el 06 haga el pago con seguridad el monto de  150  </t>
  </si>
  <si>
    <t>Search :  49 , no reporta deudas</t>
  </si>
  <si>
    <t xml:space="preserve">Fecha de Pago:  11/02  </t>
  </si>
  <si>
    <t xml:space="preserve">MONTO : 1100 PPC EXCEPCION   JULIO </t>
  </si>
  <si>
    <t>DT: 3100       DK : 1800</t>
  </si>
  <si>
    <t xml:space="preserve">Sustento: tiene el dinero en su tarjeta de ahorro , se va acercar el lunes 10/02 , se le pide quen lo haga antes del  11/02 . no pago por inconvenientes y no le aceptaban el dinero . </t>
  </si>
  <si>
    <t>Search :  56 , no reporta deudas</t>
  </si>
  <si>
    <t xml:space="preserve">rociolef@hotmail.com  ENVIAR COMPROMISO DE PAGO </t>
  </si>
  <si>
    <t xml:space="preserve">MONTO : 2700    PPC  .   INBOUND </t>
  </si>
  <si>
    <t>DT: 3517        DK : 2534</t>
  </si>
  <si>
    <t xml:space="preserve">Sustento:  tiene el dinero en mano , 2700 soles .  ya esta en agencia de qapaq . </t>
  </si>
  <si>
    <t>Search :  44 , no reporta deudas</t>
  </si>
  <si>
    <t>Fecha de Pago:  12/02      corporativo</t>
  </si>
  <si>
    <t>MONTO : 2187 PPC SMS . CAMPAÑA    EXCEPCION</t>
  </si>
  <si>
    <t>DT: 8600       DK : 3000</t>
  </si>
  <si>
    <t>Sustento: tiene el dinero en mano , se comunica por sms , antes del medio dia va pagar , no pago antes por problemas de trabajo . interesado en cancelar . en credinka de la pampilla .</t>
  </si>
  <si>
    <t xml:space="preserve">Search : 49 , no reporta deudas </t>
  </si>
  <si>
    <t>Fecha de Pago:  12/02</t>
  </si>
  <si>
    <t>MONTO  : 1300   PPC EXCEPCION</t>
  </si>
  <si>
    <t>DT: 24000       DK : 17700</t>
  </si>
  <si>
    <t>Sustento: tiene el dinero en mano 2500 , se puede conseguir hasta 500 para completar 3000 , mas no puede pagar , no esta trabajando . esta estudiando apoyo de mama .  tuvo accidente con el carro que trabaja y dejo de pagar y no tenia herramienta de trabajo por eso vendio su carro y le pusieron denuncia porque transportaba fiscales . carro en malas condiciones .</t>
  </si>
  <si>
    <t xml:space="preserve">Search :  27 , no reporta deudas . </t>
  </si>
  <si>
    <t xml:space="preserve">Fecha de Pago:  13/01 = 200 ,   30/01 = 495 //  TOTAL : 695 PPC </t>
  </si>
  <si>
    <t>DT: 1822    DK : 1065</t>
  </si>
  <si>
    <t>Sustento: tt  le depositan a fin de mes , va adelantar 200 para el 13/01 . , no pago por desconfianza , anteriormente le estafaron</t>
  </si>
  <si>
    <t>Search :  no hay search .  le reportaron a mariangela</t>
  </si>
  <si>
    <t xml:space="preserve">Fecha de Pago:  13/02    asignacion v8 </t>
  </si>
  <si>
    <t xml:space="preserve">MONTO : 211 PPC   ultimo pago </t>
  </si>
  <si>
    <t>DT: 1470       DK : 210</t>
  </si>
  <si>
    <t xml:space="preserve">Sustento: esta trabajando , tiene 4 hijos , le pagan el 12 y 13 . </t>
  </si>
  <si>
    <t xml:space="preserve">Search :  47 , no reporta deudas </t>
  </si>
  <si>
    <t xml:space="preserve">Fecha de Pago:  14/02       discador </t>
  </si>
  <si>
    <t xml:space="preserve">MONTO : 250 PPC </t>
  </si>
  <si>
    <t>DT:  1200    DK : 250</t>
  </si>
  <si>
    <t xml:space="preserve">Sustento:  tt saco prestamo para otra persona pero va responder por el pago y va conseguir  para solucionar . no sabia que tt habia dejado de pagar . </t>
  </si>
  <si>
    <t xml:space="preserve">Search : 42 , reporta 1 deuda </t>
  </si>
  <si>
    <t xml:space="preserve">Fecha de Pago:  14/02     DISCADOR </t>
  </si>
  <si>
    <t>MONTO :  1100 PPC</t>
  </si>
  <si>
    <t>DT: 1700     DK : 1100</t>
  </si>
  <si>
    <t xml:space="preserve">Sustento: tt le pagan quincena o antes , esta trabajando informa que va amortizar una parte antes , se encuentra en plaza norte , va pagar en los olivos </t>
  </si>
  <si>
    <t xml:space="preserve">Search : 40 , no reporta deudas </t>
  </si>
  <si>
    <t>Fecha de Pago:  14/03</t>
  </si>
  <si>
    <t xml:space="preserve">MONTO : 400 PPC   ULTIMO PAGO  </t>
  </si>
  <si>
    <t>DT:  3861      DK : 1544</t>
  </si>
  <si>
    <t xml:space="preserve">Sustento:  ultimo pago va pagar con seguridad el 14 .  </t>
  </si>
  <si>
    <t>Search :  34 , no reporta deudas</t>
  </si>
  <si>
    <t>Fecha de Pago:  17-01-2020 / por la tarde</t>
  </si>
  <si>
    <t>DT : 750</t>
  </si>
  <si>
    <t>DK : 480</t>
  </si>
  <si>
    <t>promocion: 100 soles</t>
  </si>
  <si>
    <t>PORQUE NO PAGO: porque le querian cobrar otra vez</t>
  </si>
  <si>
    <t>PARA QUE SACO EL PRESTAMO: hizo compras</t>
  </si>
  <si>
    <t>Search :</t>
  </si>
  <si>
    <t>edad: 26</t>
  </si>
  <si>
    <t xml:space="preserve">si trabaja: no trabaja </t>
  </si>
  <si>
    <t>cuanto gana: -</t>
  </si>
  <si>
    <t>Fecha de Pago:  18/02</t>
  </si>
  <si>
    <t>MONTO : 2200 PPC EXCEPCION</t>
  </si>
  <si>
    <t>DT: 3800        DK : 3300</t>
  </si>
  <si>
    <t xml:space="preserve">Sustento:  tiene el dinero de los 2200 indica que ya cuentan con el dinero para pagar el dia de hoy 18-02  . no se pago por temas de estudios y problemas familiares  . le llego monto sms : 2559 .  </t>
  </si>
  <si>
    <t xml:space="preserve">Search :  30 , reporta 1 deuda .  sueldo 2018 : 689 - 1600 planilla </t>
  </si>
  <si>
    <t xml:space="preserve">MONTO : 300 PPC </t>
  </si>
  <si>
    <t xml:space="preserve">Sustento: conseguir el dinero , asegura el martes 18/02 , no pago porque mando a pagar a su familiar no lo hizo  . </t>
  </si>
  <si>
    <t>Fecha de Pago:  18/03   codigo de recaudo  11977</t>
  </si>
  <si>
    <t xml:space="preserve">MONTO : 1550   PPC EXCEPCION ULTIMO PLAZO </t>
  </si>
  <si>
    <t>DT: 8300       DK : 2700</t>
  </si>
  <si>
    <t xml:space="preserve">Sustento: tt va pagar el 18/03 - espera pago de municipio el 16/03 , cobra el 17 y viaja para el 18/03 hacer el pago . </t>
  </si>
  <si>
    <t xml:space="preserve">Search :  34 , reporta 1 deuda </t>
  </si>
  <si>
    <t xml:space="preserve">autorizo mariangela </t>
  </si>
  <si>
    <t xml:space="preserve">Fecha de Pago:  19/02            tasita manual </t>
  </si>
  <si>
    <t xml:space="preserve">MONTO  : 470 PPC </t>
  </si>
  <si>
    <t>DT: 650       DK : 610</t>
  </si>
  <si>
    <t xml:space="preserve">Sustento: tiene el dinero va pagar el dia de hoy 19/02 .  se enviara cuenta bcp y codigo 16046 . </t>
  </si>
  <si>
    <t xml:space="preserve">Search :  52 , no reporta 1 deuda </t>
  </si>
  <si>
    <t>Fecha de Pago:  19/02</t>
  </si>
  <si>
    <t>MONTO : 1400 PPC EXCEPCION</t>
  </si>
  <si>
    <t>DT:  4200      DK : 2800</t>
  </si>
  <si>
    <t>Sustento: tiene el dinero en mano 1400 , el cual va pagar el  19/02 , ese dia le dan permiso en su trabajo , trabaja de limpieza . madre soltera .tiene gastos</t>
  </si>
  <si>
    <t xml:space="preserve">Search :  39 , reporta 1 deuda  </t>
  </si>
  <si>
    <t>Fecha de Pago:  20/02                 INBOUND</t>
  </si>
  <si>
    <t xml:space="preserve">MONTO : 1000   PPC  EXCEPCION </t>
  </si>
  <si>
    <t>DT: 5500       DK : 2900</t>
  </si>
  <si>
    <t xml:space="preserve">Sustento:  tt tiene el dinero en mano los 1000 sus hijas le prestaron , para que saquen credito y puedan mejorar su casa ya que esta en estado precario . se acerca hoy 20/02 . esta cerca a la agencia . </t>
  </si>
  <si>
    <t xml:space="preserve">Search :  60 , no reporta deudas .     </t>
  </si>
  <si>
    <t xml:space="preserve">Fecha de Pago:  20/02 </t>
  </si>
  <si>
    <t xml:space="preserve">MONTO  : 215 PPC </t>
  </si>
  <si>
    <t>DT:  450      DK : 215</t>
  </si>
  <si>
    <t xml:space="preserve">Sustento:  tt en la espera de un dinero , actualmente asegura pagar en esa fecha sin ningun tipo de inconveniente  .  no pago porque no contaba con el dinero . </t>
  </si>
  <si>
    <t xml:space="preserve">Search :  24 , no reporta deudas  </t>
  </si>
  <si>
    <t xml:space="preserve">Fecha de Pago:  20/03           discador </t>
  </si>
  <si>
    <t>DT:  3800    DK :1900</t>
  </si>
  <si>
    <t xml:space="preserve">Sustento: tt alquila terreno y menciono que para este mes va cancelar con seguridad hasta el dia 20/03 . el dinero es seguro  . antes lo realizo porque se le complico . </t>
  </si>
  <si>
    <t xml:space="preserve">Search : 61 , no reporta deudas </t>
  </si>
  <si>
    <t>FECHA DE PAGO:  20-2</t>
  </si>
  <si>
    <t>DT 35042 CAMPAÑA 26900</t>
  </si>
  <si>
    <t>TT INDICA QUE LA CANCELACION DE LOS 26900 POSIBLEMENTE LA HAGA ANTES DEL 20, TT SACARA DINERO DE VENTA DE UN TERRENO</t>
  </si>
  <si>
    <t>TT DESEA ACUERDO DE CANCELACION A SU WHATSAPP</t>
  </si>
  <si>
    <t>TT TIENE 35 AÑOS, SOLO TIENE DEUDA CON CREDINKA</t>
  </si>
  <si>
    <t xml:space="preserve">Fecha de Pago:  21/02       tasita manual </t>
  </si>
  <si>
    <t xml:space="preserve">MONTO : 350 PPC         va pagar en caja arequipa </t>
  </si>
  <si>
    <t>DT: 500        DK : 350</t>
  </si>
  <si>
    <t xml:space="preserve">Sustento:  tiene el dinero indica que no hay agencias cerca se le indica que si no cumple va ser un monto superior . plazo hasta el 20/02 en caja arequipa . se enviara cuenta . </t>
  </si>
  <si>
    <t xml:space="preserve">Search :  31 , reporta 1 deuda </t>
  </si>
  <si>
    <t>Fecha de Pago:  21/02</t>
  </si>
  <si>
    <t xml:space="preserve">Sustento: tiene el dinero en mano monto de 1400 , mañana trabaja hasta la 1 pm , hace el pago en la tarde . trabaja de limpieza . </t>
  </si>
  <si>
    <t xml:space="preserve">Fecha de Pago:  21/03         CERRADO POR WHATSAPP </t>
  </si>
  <si>
    <t xml:space="preserve">Monto : 600 PPC            </t>
  </si>
  <si>
    <t>DT: 3628        DK : 839</t>
  </si>
  <si>
    <t>Sustento: recien ah regresado de viaje va pagar el 21 . conseguridad</t>
  </si>
  <si>
    <t>Search :  27 , reporta 1 deuda , trabaja , sueldo 1253</t>
  </si>
  <si>
    <t>Fecha de Pago:  22/01</t>
  </si>
  <si>
    <t>MONTO  : 600 PPC</t>
  </si>
  <si>
    <t>DT:  630      DK : 593</t>
  </si>
  <si>
    <t xml:space="preserve">Sustento: va conseguir el dinero , salio de su trabajo , tiene intencion de pago . no pago por mal trato hacia su persona . </t>
  </si>
  <si>
    <t xml:space="preserve">Search :  42 , reporta 1 deuda </t>
  </si>
  <si>
    <t>Fecha de Pago:  22/02</t>
  </si>
  <si>
    <t xml:space="preserve">MONTO : 3000 PPC   EXCEPCION </t>
  </si>
  <si>
    <t>DT:  20366      DK : 10682</t>
  </si>
  <si>
    <t xml:space="preserve">CAMPAÑA: 3500      O   3 CUOTAS 1600 </t>
  </si>
  <si>
    <t xml:space="preserve">Sustento:  TT indica que consiguio 3000 para cancelar  . indica que su auto esta con orden de captura . llamo del numero de su compañero : 989750280 interesado en pagar .  trabaja de lunes a viernes , tiene sabado libre . para poder pagar en caja sullana  . , se le solicita que lo haga antes , va hablar con su hermana . </t>
  </si>
  <si>
    <t>Search :  42 , tiene 1 deuda , tiene vehiculo placa : B4I642</t>
  </si>
  <si>
    <t>Fecha de Pago:  23/01     CERRADO POR WHATSAPP</t>
  </si>
  <si>
    <t>MONTO : 1300 PPC  EXCEPCION</t>
  </si>
  <si>
    <t>DT: 4533       DK : 3165</t>
  </si>
  <si>
    <t xml:space="preserve">Sustento:  TT tiene 1300 en mano . va acercarse a pagar el dia de hoy 25/01 . no pago porque no le prestaron los 100 soles  . quier aprovechar campaña ya que no paga universidad .  // cliente habia consultado con mayra desde un inicio para cerrarlo con monto que habia propuesto . </t>
  </si>
  <si>
    <t xml:space="preserve">Search : 51 , SUELDO PROMEDIO 1500 , no reporta deudas </t>
  </si>
  <si>
    <t xml:space="preserve">se consulto a mariangela  . </t>
  </si>
  <si>
    <t>Sustento:  tiene 1300 en mano , le van a prestar 100 soles  , en la tarde hace el pago . trabaja en educacion quiere pagar ahora , ya que no esta pagando universidad .</t>
  </si>
  <si>
    <t xml:space="preserve">Fecha de Pago:  23/01     CONSULTO A MARIANGELA </t>
  </si>
  <si>
    <t xml:space="preserve">MONTO : 400 PPC </t>
  </si>
  <si>
    <t>DT: 3485       DK : 1318</t>
  </si>
  <si>
    <t>Sustento: tiene 200 soles recaudado , hoy en la tarde le estan completando para 400 y hacerlo el 23/01 , porque no tenia todo por eso no pago .se le hacia doble viaje . // segun los productos tieene un convenio de 12 cuotas 200 , comenzo en enero 2019</t>
  </si>
  <si>
    <t xml:space="preserve">Fecha de Pago:  23/01    </t>
  </si>
  <si>
    <t>MONTO  :  2395 PPC     SMS CAMPAÑA</t>
  </si>
  <si>
    <t>DT:  5300     DK : 3420</t>
  </si>
  <si>
    <t xml:space="preserve">Sustento: tiene el dinero en mano , interesado en pagar , no pago por problemas de transacciones y otros inconvenientes .  esta trabajando al medidodia esta pagando . </t>
  </si>
  <si>
    <t>Search :  59 , no reporta deudas</t>
  </si>
  <si>
    <t xml:space="preserve">enviar acuerdo compromiso de pago </t>
  </si>
  <si>
    <t>Fecha de Pago:  24/01</t>
  </si>
  <si>
    <t>MONTO : 210 PPC EXCEPCION</t>
  </si>
  <si>
    <t>DT: 720       DK : 390</t>
  </si>
  <si>
    <t xml:space="preserve">Sustento: tiene el dinero en mano , se comunica porque le llego correo el año pasado y recien verifica su correo . </t>
  </si>
  <si>
    <t xml:space="preserve">Search :  30 años , sueldo basico , no reporta deudas </t>
  </si>
  <si>
    <t>Fecha de Pago:  25/01</t>
  </si>
  <si>
    <t xml:space="preserve">MONTO : 2851 PPC    TIENE SMS DE CAMPAÑA DISCADOR  . </t>
  </si>
  <si>
    <t>DT: 10852       DK : 5701</t>
  </si>
  <si>
    <t xml:space="preserve">Sustento: cuenta con un cheque que esta esperando la firma del alcalde el viernes regresa para firmar y el sabado esta viajando a primera hora hacer el pago . antes del mediodia . no pago anteriormente no contaba con dinero  . </t>
  </si>
  <si>
    <t xml:space="preserve">Search :  51 ,  reporta 2 deudas </t>
  </si>
  <si>
    <t xml:space="preserve">Fecha de Pago:  26/02   corporativo </t>
  </si>
  <si>
    <t>MONTO : 400 PPC    SE COMUNICO FUE AGENCIA DE SULLANA</t>
  </si>
  <si>
    <t>DT: 580       DK : 400</t>
  </si>
  <si>
    <t>Sustento: tt dejo de pagar por accidente de sus padres y otros inconvenientes , quiere liquidar su deuda se acerco a caja sullana , indica que le van hacer un giro y el 26 va pagar con seguridad .</t>
  </si>
  <si>
    <t>Search :  50 , no reporta deudas</t>
  </si>
  <si>
    <t>Fecha de Pago:  26/02</t>
  </si>
  <si>
    <t xml:space="preserve">Monto : 20000  PPC EXCEPCION  </t>
  </si>
  <si>
    <t>DT: 54357       DK : 43357</t>
  </si>
  <si>
    <t xml:space="preserve">Sustento: RONY OLLOS ZORRILLA indica que se va pagar el dia de hoy 26/02 monto  20000  . Dinero en mano </t>
  </si>
  <si>
    <t>pago por venta de un terreno</t>
  </si>
  <si>
    <t xml:space="preserve">Search : 33 , sueldo basico , no reporta deudas </t>
  </si>
  <si>
    <t xml:space="preserve">agencia de celendin va pagar </t>
  </si>
  <si>
    <t xml:space="preserve">Fecha de Pago:  27/01   SE CONSULTO A MARIANGELA </t>
  </si>
  <si>
    <t xml:space="preserve">MONTO :  1300 PPC </t>
  </si>
  <si>
    <t>DT:   5295     DK : 2756</t>
  </si>
  <si>
    <t xml:space="preserve">Sustento: tiene el dinero para pagar el dia de hoy , esta trabajando , va pagar a las 4pm . se comunico .  descuento generado </t>
  </si>
  <si>
    <t xml:space="preserve">Search :  39 , sueldo 2018 = 265 </t>
  </si>
  <si>
    <t>Fecha de Pago:  27/01</t>
  </si>
  <si>
    <t>MONTO  : 100 PPC</t>
  </si>
  <si>
    <t>DT:   245     DK : 0</t>
  </si>
  <si>
    <t xml:space="preserve">Sustento:  tt no esta trabajando le van a depositar , tiene gastos en sus hijos </t>
  </si>
  <si>
    <t>Search :  24 , no reporrta deudas</t>
  </si>
  <si>
    <t>Fecha de Pago:  28/01      BANCO LA NACION</t>
  </si>
  <si>
    <t>MONTO : 200  PPC</t>
  </si>
  <si>
    <t>DT:  745      DK : 57</t>
  </si>
  <si>
    <t xml:space="preserve">Sustento: tiene el dinero en mano monto 200 ,  no hay agencias por donde vive . solo banco la nacion , asegura pagar . </t>
  </si>
  <si>
    <t>Search :  32 , sueldo 2018 = 1325 ,  no reporta deudas</t>
  </si>
  <si>
    <t xml:space="preserve">Fecha de Pago:  28/02                        SMS </t>
  </si>
  <si>
    <t>MONTO : 500 PPC   EXCEPCION</t>
  </si>
  <si>
    <t>DT: 1540        DK : 1410</t>
  </si>
  <si>
    <t>Sustento: tt le pagan el 28/02 , trabaja en planilla , interesado en cancelar sus deudas . le llego sms por 810 , solo va disponer de 500 para el 28/02 , esta pagando otro credito 900 mensual . y gastos en su hijo que esta enfermo .</t>
  </si>
  <si>
    <t xml:space="preserve">Search : 34 , sueldo : 1800 , reporta deuda con oh y alternativa </t>
  </si>
  <si>
    <t>Fecha de Pago:  28/02             CERRADO WHATSAPP</t>
  </si>
  <si>
    <t xml:space="preserve">Sustento: pago a fines , va pagar el monto de 150 el 28/02  , ya pago 150 el 18/02 .  cerrado whatsapp </t>
  </si>
  <si>
    <t xml:space="preserve">Fecha de Pago:  28/02        Discador </t>
  </si>
  <si>
    <t>Monto : 250 PPC</t>
  </si>
  <si>
    <t>DT: 400       DK : 250</t>
  </si>
  <si>
    <t xml:space="preserve">Sustento:  tt tiene 200 le falta completar hasta el viernes haga el pago 28/02 . segun tt ya habia pagado que es de un mantenimiento que  le estan cobrando . </t>
  </si>
  <si>
    <t>Search :  65 , sueldo basico  , no tiene deudas</t>
  </si>
  <si>
    <t xml:space="preserve">Fecha de Pago:  28/02       DISCADOR </t>
  </si>
  <si>
    <t>MONTO  : 700 PPC  .      -------------  EL 15/02 = 100 SALDO INICIAL</t>
  </si>
  <si>
    <t>DT: 3800       DK : 1900</t>
  </si>
  <si>
    <t xml:space="preserve">Sustento:  esta por conseguir el dinero , no pago por desconfianza . trabajando . </t>
  </si>
  <si>
    <t xml:space="preserve">Search :   43 , reporta 2 deudas </t>
  </si>
  <si>
    <t xml:space="preserve">Fecha de Pago:  28/02      DISCADOR </t>
  </si>
  <si>
    <t>MONTO : 200                      /////   18/02 = 100 , 28/02 = 100</t>
  </si>
  <si>
    <t>DT: 250       DK :  200</t>
  </si>
  <si>
    <t xml:space="preserve">Sustento:  va conseguir el dinero tuvo problemas , le pagan a fin de mes </t>
  </si>
  <si>
    <t xml:space="preserve">Search :  58 , no reporta deudas </t>
  </si>
  <si>
    <t>Fecha de Pago:  28/02     se envia cuenta bcp y codigo de caja arequipa 0011977</t>
  </si>
  <si>
    <t xml:space="preserve">MONTO : 1550 PPC EXCEPCION ULTIMO PLAZO </t>
  </si>
  <si>
    <t xml:space="preserve">Sustento: tt trabaja en mina indica que recibe un pago a fin de mes se le indica ultimo plazo . por excecpiones incumplidas . no accede a monto mayor se aprueba monto 1550 . hasta el 28/02 </t>
  </si>
  <si>
    <t>CERRADO POR WHATSAPP</t>
  </si>
  <si>
    <t xml:space="preserve">Fecha de Pago:  28/02 </t>
  </si>
  <si>
    <t xml:space="preserve">Monto : 1945 PPC EXCEPCION SMS </t>
  </si>
  <si>
    <t>DT: 3377       DK : 1945</t>
  </si>
  <si>
    <t>Sustento: cuenta con el dinero para pagar , el dia de mañana se va acercar en su analista de qapaq confirma la venta de la deuda y hace el pago , le llego sms de campaña .  no pago por desconfianza , problemas en su negocio.</t>
  </si>
  <si>
    <t xml:space="preserve">Search : 34 , reporta 1 deuda </t>
  </si>
  <si>
    <t xml:space="preserve">MONTO : 251 PPC </t>
  </si>
  <si>
    <t>DT:  251      DK : 220</t>
  </si>
  <si>
    <t xml:space="preserve">Sustento: tt indica que hasta el 28/02 va pagar  los 251 , va ir abonando 50 soles por semana o dias  . ya no tiene los 251 no le aceptaron el pago en proempresa de puente piedra , se le indica que nos de la llamada cuando este en la agencia  . esta trabajando . </t>
  </si>
  <si>
    <t xml:space="preserve">Search :  70 , hermano , no reporta deudas </t>
  </si>
  <si>
    <t>Fecha de Pago:  28/12   EXCEPCION JULIO</t>
  </si>
  <si>
    <t>DT: 128,827       DK : 70727</t>
  </si>
  <si>
    <t xml:space="preserve">MONTO A PAGAR : 5600 PPC      hora : 11:30 am </t>
  </si>
  <si>
    <t xml:space="preserve">Sustento: tiene el dinero en mano , ayer no alcanzo en el banco era mas de las 6pm , le depositaron muy tarde . </t>
  </si>
  <si>
    <t xml:space="preserve">Search :  49, sueldo 1045 , reporta 1 deuda </t>
  </si>
  <si>
    <t>ayer tambien habia conversado despues de mi jornada de trabajo y me indico y aseguro deposito para el dia de hoy 28/12</t>
  </si>
  <si>
    <t>Fecha de Pago:  28/12</t>
  </si>
  <si>
    <t>DT: 3751       DK : 1695</t>
  </si>
  <si>
    <t xml:space="preserve">Monto a pagar : 1700 PPC </t>
  </si>
  <si>
    <t>Sustento: dinero recaudado converso con mayra</t>
  </si>
  <si>
    <t>Search : 53 , no reporta deudas , sueldo 1050</t>
  </si>
  <si>
    <t>FECHA DE PAGO:  28/12/2019</t>
  </si>
  <si>
    <t>MONTO TOTAL: 9.980</t>
  </si>
  <si>
    <t>CAPITAL:5800</t>
  </si>
  <si>
    <t>MOTIVO DE RETRASO: tt menciona que a tenido pagos pendientes de cheques trabajo en trnsporte / peor en els earch no figura / el dinero de los 2700 es de sus pagos pendientes que le daran se le indica que ya antes se  aestado brindando camapañas</t>
  </si>
  <si>
    <t>EDAD:41 años</t>
  </si>
  <si>
    <t>HIJOS: 2 hijas menores</t>
  </si>
  <si>
    <t>DEUDAS 3 deudas / caja arequipa / financiera creditos crear /  edpyme acceso crediticio sa</t>
  </si>
  <si>
    <t xml:space="preserve">Fecha de Pago:  29/02             Base sms mariangela </t>
  </si>
  <si>
    <t xml:space="preserve">MONTO  : 2049    PPC            </t>
  </si>
  <si>
    <t>DT: 3621       DK : 2800</t>
  </si>
  <si>
    <t>Sustento: tt va recibir un pago el 29/02 monto 2049 . lo hace en credinka o en interbank , no pago por problemas  y por eso incumplio . Esta trabajando</t>
  </si>
  <si>
    <t xml:space="preserve">Search :  26 , no reporta deudas </t>
  </si>
  <si>
    <t xml:space="preserve">Fecha de Pago:  29/02        DISCADOR </t>
  </si>
  <si>
    <t xml:space="preserve">Sustento:  tt dejo de pagar por problemas , el dia de mañana le pagan 29/02 antes del mediodia . recibe un cheque ///  quiere pagar su deuda natural y juridica .  </t>
  </si>
  <si>
    <t xml:space="preserve">Fecha de Pago:  29/02      asignacion asesores v8 mansual </t>
  </si>
  <si>
    <t xml:space="preserve">MONTO : 750   PPC .    ULTIMO PAGO </t>
  </si>
  <si>
    <t>DT: 2010        DK : 650</t>
  </si>
  <si>
    <t xml:space="preserve">Sustento: le pagan a fines , pero talves consigue el dinero antes para el  20 </t>
  </si>
  <si>
    <t>Search :  24 , reporta 1 deuda , suelfo 1287</t>
  </si>
  <si>
    <t xml:space="preserve">Fecha de Pago:  29/02 </t>
  </si>
  <si>
    <t xml:space="preserve">MONTO : 425  PPC . ULTIMO PAGO </t>
  </si>
  <si>
    <t>DT: 5102       DK : 1244</t>
  </si>
  <si>
    <t xml:space="preserve">Sustento: va pagar con seguridad  . le pagan a fin de mes , por bcp </t>
  </si>
  <si>
    <t xml:space="preserve">Search :  41 , sueldo 1253 , no reporta deudas </t>
  </si>
  <si>
    <t xml:space="preserve">autorizado mariangela . </t>
  </si>
  <si>
    <t xml:space="preserve">Fecha de Pago:  30/01  CORPORATIVO </t>
  </si>
  <si>
    <t>Sustento: tiene 400 soles  no pago por las lluvias y viaje  asegura pagar el 30/01 o antes . // segun los productos tieene un convenio de 12 cuotas 200 , comenzo en enero 2019</t>
  </si>
  <si>
    <t>PEDI AYUDA  MELINA PARA CONTACTAR A CLIENTE AUIDO DE MELINA Y MI VOZ .</t>
  </si>
  <si>
    <t xml:space="preserve">Fecha de Pago:  30/01 </t>
  </si>
  <si>
    <t>MONTO : 500 PPC      INB</t>
  </si>
  <si>
    <t>DT: 1521        DK : 613</t>
  </si>
  <si>
    <t xml:space="preserve">Sustento: tiene el dinero en mano va pagar en la tarde . 4 pm esta en viaje </t>
  </si>
  <si>
    <t xml:space="preserve">Search :  54 , reporta 1 deuda </t>
  </si>
  <si>
    <t>Fecha de Pago:  30/01</t>
  </si>
  <si>
    <t xml:space="preserve">MONTO : 1600 PPC </t>
  </si>
  <si>
    <t>DT: 13000        DK : 7136</t>
  </si>
  <si>
    <t>Sustento:  trabaja para una empresa le pagan para fin de mes , no pago por falta de pago de proveedores .</t>
  </si>
  <si>
    <t xml:space="preserve">Search :  50 , sueldo basico  1000  </t>
  </si>
  <si>
    <t xml:space="preserve">en seguimiento   discador </t>
  </si>
  <si>
    <t xml:space="preserve">MONTO : 2000 PPC </t>
  </si>
  <si>
    <t>DT:  4360      DK : 2611</t>
  </si>
  <si>
    <t xml:space="preserve">Sustento:  tt esta trabajando , juega un pandero , tipo junta  . no pago por que no tenia dinero y sin trabajo . asegura pago hacer recordar </t>
  </si>
  <si>
    <t xml:space="preserve">Search :  48 , reporta 3 deudas . </t>
  </si>
  <si>
    <t>MONTO : 292 PPC EXCEPCION</t>
  </si>
  <si>
    <t>DT: 782        DK :  564</t>
  </si>
  <si>
    <t>Sustento:  tiene el dinero y le llego sms por 292 . para pagar hoy  30/01 , tt dejo de pagar por trabajo - sms</t>
  </si>
  <si>
    <t xml:space="preserve">Search :  26 , sueldo basico , no reporta deudas </t>
  </si>
  <si>
    <t xml:space="preserve">MONTO : 800 PPC </t>
  </si>
  <si>
    <t>DT: 1200       DK :  826</t>
  </si>
  <si>
    <t>Sustento: tiene 400 de recaudo . va conseguir la diferencia , aparte su papa felix aguado le va decir que le apoye con pago . sino le apoya igual va cancelar .porque quiere salir de infocorp</t>
  </si>
  <si>
    <t>Search :   28 , no reporta deudas , vehiculo bajaj  moto</t>
  </si>
  <si>
    <t>Fecha de Pago:  31/01    SE ENVIA CUENTA .  EXCEPCION</t>
  </si>
  <si>
    <t>MONTO : 2200</t>
  </si>
  <si>
    <t>DT: 14342       DK : 9982</t>
  </si>
  <si>
    <t xml:space="preserve">Sustento:  tiene el dinero en mano  2200 asegura pago </t>
  </si>
  <si>
    <t>Search :  47 , reporta 1 deuda</t>
  </si>
  <si>
    <t xml:space="preserve">Fecha de Pago:  31/01    VER DETALLE . Y TIPIFICACION </t>
  </si>
  <si>
    <t>MONTO : 400 PPC EXCEPCION</t>
  </si>
  <si>
    <t>DT:  11200      DK : 3900</t>
  </si>
  <si>
    <t xml:space="preserve">Sustento: tiene en mano 200 y el dia de mañana le prestan los 200 con seguridad para completar los 400 . </t>
  </si>
  <si>
    <t xml:space="preserve">Search :  46 , reporta 1 deuda </t>
  </si>
  <si>
    <t xml:space="preserve">SE COMUNICO A CORPORATIVO MORADO . POLITICAS DE LA EMPRESA .  REGLAMENTOS DE EXPERTIS , SE CONSULTO CON JULIO  .  MAYRA ME PASO LA  LLAMADA .  </t>
  </si>
  <si>
    <t>Fecha de Pago:  31/01</t>
  </si>
  <si>
    <t xml:space="preserve">MONTO : 1000 PPC  </t>
  </si>
  <si>
    <t>DT: 2022       DK : 0</t>
  </si>
  <si>
    <t xml:space="preserve">Sustento: le depositan en esa fecha </t>
  </si>
  <si>
    <t>Search :  22 , sueldo 2017 = 583</t>
  </si>
  <si>
    <t xml:space="preserve">MONTO : 1480.  PPC </t>
  </si>
  <si>
    <t>DT:   1480.15     DK :765.60</t>
  </si>
  <si>
    <t>Sustento: tiene el dinero en pago  .</t>
  </si>
  <si>
    <t>Search :  65 , no reporta deudas</t>
  </si>
  <si>
    <t xml:space="preserve">MONTO : 260 PPC EXCEPCION SMS </t>
  </si>
  <si>
    <t>DT: 2481      DK : 1300</t>
  </si>
  <si>
    <t xml:space="preserve">Sustento: tiene el dinero en mano , estara trabajando , buenos ingresos sms de campaña . </t>
  </si>
  <si>
    <t>Search :  37 , sueldo 2500 , no reporta deudas</t>
  </si>
  <si>
    <t xml:space="preserve">MONTO : 600 PPC </t>
  </si>
  <si>
    <t>DT: 1346       DK : 574</t>
  </si>
  <si>
    <t xml:space="preserve">Sustento: tt esta trabajando va aprovechar la campaña . no pago por gastos y problemas de trabajo . </t>
  </si>
  <si>
    <t xml:space="preserve">Search :  41 , sueldo 2823 , reporta 1 deuda </t>
  </si>
  <si>
    <t xml:space="preserve">Fecha de Pago:  31/03            discador </t>
  </si>
  <si>
    <t>MONTO : 1300</t>
  </si>
  <si>
    <t xml:space="preserve">SALDO INCIAL : 200  PARA EL  09/03 </t>
  </si>
  <si>
    <t>DT: 2300     DK : 1300</t>
  </si>
  <si>
    <t xml:space="preserve">Sustento:  tt ya empezo a laborar para poder cancelar y salir de la deuda , ya que no pago por gastos en sus hijos y problemas </t>
  </si>
  <si>
    <t xml:space="preserve">Search :  43 , no reporta deudas </t>
  </si>
  <si>
    <t>Fecha de Pago:  31/03</t>
  </si>
  <si>
    <t>MONTO : 100   PPC         SALDO INICIAL : 50  HOY 06/03</t>
  </si>
  <si>
    <t xml:space="preserve">Sustento: tiene 50 soles en mano tuvo problemas en el negocio por el tren de lima  . negociante , la diferencia a fin de mes o antes  . </t>
  </si>
  <si>
    <t>Fecha de Pago:  9/03/20</t>
  </si>
  <si>
    <t>DK: 55.50</t>
  </si>
  <si>
    <t>Sustento: SUELDO*</t>
  </si>
  <si>
    <t>PPC 55.50 INDICA QUE EL PAGO TODO SOLO TUVO UN RETRAZO Y POR ESO LE AN PERFUDICADO</t>
  </si>
  <si>
    <t>961100679 PPC 55.50</t>
  </si>
  <si>
    <t>Fecha de Pago: 02/03</t>
  </si>
  <si>
    <t>Monto  : 1800 PPC     EXCEPCION</t>
  </si>
  <si>
    <t>DT: 6343     DK : 5000</t>
  </si>
  <si>
    <t>Sustento: tt se esta acercando al banco para cobrar su dinero y de ahi acercarse a pagar las deudas de esa manera nos informo que sino alcanzaba el sabado 29/02 , lo realizaba el dia de hoy 02/03 // tiene deuda de empresa con nosotro y otro credito personal   .  10177161 .</t>
  </si>
  <si>
    <t xml:space="preserve">Search : estado activo  , no reporta deudas  </t>
  </si>
  <si>
    <t xml:space="preserve">Fecha de Pago: 03/01 </t>
  </si>
  <si>
    <t>MONTO A PAGAR : 300 PPC</t>
  </si>
  <si>
    <t>DT:  1299      DK : 0</t>
  </si>
  <si>
    <t>Sustento: tiene 200 , se va prestar 100</t>
  </si>
  <si>
    <t xml:space="preserve">Search : 44 , reporta 1 deuda , </t>
  </si>
  <si>
    <t>Fecha de Pago: 03/02</t>
  </si>
  <si>
    <t xml:space="preserve">MONTO : 295 PPC . EXCEPCION JULIO </t>
  </si>
  <si>
    <t>Sustento: tt le depositaron a fin de mes , despues de 1 dia , ya tiene los 295 para pagar y poder cancelar  . ah cumplido en sus fechas indicadas , anteriormente le estafaron</t>
  </si>
  <si>
    <t xml:space="preserve">Search : 40 , sueldo 2018 = 2597 , no reporta deudas </t>
  </si>
  <si>
    <t>Fecha de Pago: 06/01           CERRADO POR WHATSAPP</t>
  </si>
  <si>
    <t xml:space="preserve">Monto a pagar : 500 PPC EXCEPCION </t>
  </si>
  <si>
    <t>DT: 3169       DK : 824</t>
  </si>
  <si>
    <t xml:space="preserve">Sustento: tt cuenta con 400 hizo gastos , le falta 100 que le van a prestar </t>
  </si>
  <si>
    <t xml:space="preserve">Search :  43 , reporta 2 deudas </t>
  </si>
  <si>
    <t xml:space="preserve">Fecha de Pago: 06/03          discador </t>
  </si>
  <si>
    <t xml:space="preserve">MONTO : 200 PPC </t>
  </si>
  <si>
    <t xml:space="preserve">DT: 1300      DK : 500 </t>
  </si>
  <si>
    <t xml:space="preserve">Sustento:  tiene el dinero anteriormente fue estafada con otra entidad indica ir a oh confirma de la cartera vendida  y luego hace el pago  con seguridad , indica que dejo dejo 2 cuotas por pagar  . </t>
  </si>
  <si>
    <t>Search :  37 , sueldo de  1000 hasta febrero del 2019 , no reporta deudas</t>
  </si>
  <si>
    <t>Fecha de Pago: 07/01  CERRADO POR WHATSAPP</t>
  </si>
  <si>
    <t>DT: 2775    DK :  1890</t>
  </si>
  <si>
    <t>MONTO A PAGAR :  1250 PPC</t>
  </si>
  <si>
    <t xml:space="preserve">Sustento:  le van a depositar de su trabajo .  en diciembre ya abono 100 </t>
  </si>
  <si>
    <t xml:space="preserve">Search :  no tiene deudas , 47 </t>
  </si>
  <si>
    <t>Fecha de Pago: 07/01</t>
  </si>
  <si>
    <t xml:space="preserve">MONTO : 410 PPC  EXCEPCION </t>
  </si>
  <si>
    <t>DT:  1976      DK : 1014</t>
  </si>
  <si>
    <t xml:space="preserve">Sustento: tiene el dinero  , reporta 2 deudas , tiene el dinero separado para pagar la deuda , le ofrecieron campaña de 410 en diciembre financiera oh </t>
  </si>
  <si>
    <t>Search :  37 , reporta 2 deudas  , sueldo 2019 septiembre = 1493</t>
  </si>
  <si>
    <t>Fecha de Pago: 08/01</t>
  </si>
  <si>
    <t>MONTO : 500 PPC EXCEPCION ULTIMO PLAZO</t>
  </si>
  <si>
    <t xml:space="preserve">Sustento: tt ya cuenta con los 500 para hacer el pago el dia de hoy 08/01  indica que no pago porque le faltaba completar con los 100 . asegura pagar hoy 08/01 . por la tarde , </t>
  </si>
  <si>
    <t>Fecha de Pago: 09/03/20</t>
  </si>
  <si>
    <t>DT: 2150 PPC :300 EXCEPCION</t>
  </si>
  <si>
    <t>Sustento: DINERO AHORRADO</t>
  </si>
  <si>
    <t>HOY PAGARA 300 SOLES  PPC * AGENTE BCP</t>
  </si>
  <si>
    <t>Fecha de Pago: 09-01-2020</t>
  </si>
  <si>
    <t>DT : 2000</t>
  </si>
  <si>
    <t>DK :900</t>
  </si>
  <si>
    <t xml:space="preserve">PROMOCION: 260 </t>
  </si>
  <si>
    <t xml:space="preserve">Search : ACCIDENTE: ENERO 2019 LO ATROPELLO UN TRAILER. </t>
  </si>
  <si>
    <t>edad: 38</t>
  </si>
  <si>
    <t>si trabaja: no trabaja</t>
  </si>
  <si>
    <t>cuanto gana: cubre soat pacifico</t>
  </si>
  <si>
    <t>PORQUE NO PAGO: problemas economicos en esa epoca</t>
  </si>
  <si>
    <t xml:space="preserve">PARA QUE SACO EL PRESTAMO:  prestamo para una certificacion. </t>
  </si>
  <si>
    <t>CONTRAPROPUESTA DEL TT: 150 soles.</t>
  </si>
  <si>
    <t>ACCIDENTE: ENERO 2019 LO ATROPELLO UN TRAILER// ENVIO DOCUMENTOS QUE COMPRUEBAN ACCIDENTE  Y DOCUMENTOS DE LA PROMOCION DE LA TARJETA OH.</t>
  </si>
  <si>
    <t xml:space="preserve">LA FAMILIA LO AYUDA ECONOMICAMENTE </t>
  </si>
  <si>
    <t>Fecha de Pago: 10/02        EXCEPCION</t>
  </si>
  <si>
    <t>MONTO A PAGAR :  750 PPC</t>
  </si>
  <si>
    <t>DT: 2675    DK :  1792</t>
  </si>
  <si>
    <t xml:space="preserve">Sustento:  no le llegaron a depositar todo  , el 10/02 le estan depositando se cobra penalidad por incumplimiento . </t>
  </si>
  <si>
    <t>Search :  no tiene deudas , 47       audio y se manda mensaje por whatsapp</t>
  </si>
  <si>
    <t>Fecha de Pago: 10/02</t>
  </si>
  <si>
    <t>MONTO : 200 PPC</t>
  </si>
  <si>
    <t>DT:  830      DK : 230</t>
  </si>
  <si>
    <t xml:space="preserve">Sustento: le van a depositar el viernes . esta en el campo y regresa a la ciudad . para cancelar .  asegura cumplir con pago </t>
  </si>
  <si>
    <t xml:space="preserve">Search :  29 , reporta 1 deuda .  </t>
  </si>
  <si>
    <t xml:space="preserve">Fecha de Pago: 10/03        CERRADO POR WHATSAPP </t>
  </si>
  <si>
    <t xml:space="preserve">Sustento:  tt cuenta con los 200 soles para pagar la deuda , no pago porque no le dieron permiso en el trabajo . va mandar a un familiar . nos reporto por whatsapp </t>
  </si>
  <si>
    <t>FECHA DE PAGO: 10-2</t>
  </si>
  <si>
    <t>DT 3000 CAMPAÑA 1000</t>
  </si>
  <si>
    <t>TT INDICA QUE DINERO FUE PARA UN FAMILIAR, TT DICE QUE DINERO LO SACARA DE LO QUE GANA TT DICE QUE PAGO LO HACE EL DIA 8-2</t>
  </si>
  <si>
    <t>TT SE LE INDICA VIGENCIA DE CAMPAÑA HASTA EL DIA 10-2</t>
  </si>
  <si>
    <t xml:space="preserve">Fecha de Pago: 11/02     audio y whatsapp capturas </t>
  </si>
  <si>
    <t>MONTO : 6000 PPC EXCEPCION</t>
  </si>
  <si>
    <t>DT: 41000        DK : 33600</t>
  </si>
  <si>
    <t xml:space="preserve">Sustento: tiene el dinero en mano 6000 , ya este cliente se esta coordnando con Julio , Nataly y Cesar Menacho que aprobo excepcion . se va acercar a credinka de magisterio . entre las 9am - 12 pm . jefe de operaciones LIZ ARROYO , le va dar el compromiso de pago . tambien se le comunico el dia de ayer a mariangela .  cliente se maneja de esta manera ya que siempre incumple sus excepciones . </t>
  </si>
  <si>
    <t xml:space="preserve">Search :  38 , vehiculos , no reporta deudas </t>
  </si>
  <si>
    <t>Fecha de Pago: 11/03/20</t>
  </si>
  <si>
    <t>DT:  660  PPC 500</t>
  </si>
  <si>
    <t>Sustento: SUELDO</t>
  </si>
  <si>
    <t xml:space="preserve">CAMPAÑA 500 SOLES 11/03/20 </t>
  </si>
  <si>
    <t>NO PAGO MEESES ATRAS POR QUE NO TENIA</t>
  </si>
  <si>
    <t>ES CASADA EN AGROINDUSTRIAS AIB S.A</t>
  </si>
  <si>
    <t xml:space="preserve">ANOS: 63 </t>
  </si>
  <si>
    <t>DT:498       PPC: 350</t>
  </si>
  <si>
    <t>MAMA: MIRIAM LILIANA SOBRINO CHERREZ CANCELA LA DEUDA DE SU HIJO CON 350</t>
  </si>
  <si>
    <t>HIJO : 24 AÑOS</t>
  </si>
  <si>
    <t xml:space="preserve">TRABAJA EN TROPICAL FARM S.A.C. </t>
  </si>
  <si>
    <t>Fecha de Pago: 13/02/20</t>
  </si>
  <si>
    <t>DT:S/1,493.95</t>
  </si>
  <si>
    <t>DK:s/961.10</t>
  </si>
  <si>
    <t>Promoción: 350</t>
  </si>
  <si>
    <t>Sustento: TT CUENTA CON CRONOGRAMA VIGENTE CON QAPAQ, ENVIA VOUCHERS Y CRONOGRAMA DE PAGOS / HARA CANCELACION DE ULTIMA CUOTA IMPORTE DE S/350 SOLES HASTA EL 13/02 EN QAPAQ</t>
  </si>
  <si>
    <t>Search: 35 AÑOS/ NO FIGURA HIJOS / NO FIGURA EN PLANILLA/ DEUDAS 961.10</t>
  </si>
  <si>
    <t>FECHA DE PAGO: 13/03</t>
  </si>
  <si>
    <t>DT: 3000</t>
  </si>
  <si>
    <t>DK: 2500</t>
  </si>
  <si>
    <t>CAMPAÑA: 1400(POR EXCEPCIÓN)</t>
  </si>
  <si>
    <t>SUSTENTO: TITULAR INDICA QUE NO TRABAJA Y QUE SE PRESTO EL MONTO DE LOS 1400 DE FAMILIARES, INDICA QUE NO CUENTA MAS CON DINERO MOTIVO POR EL CUAL PASO EL HUAICO POR SU DOMICILIO Y QUE TODA SU FAMILIA ESTA EN LA CALLE; SE ESTAN RECUPERANDO DEL DESASTRE. SOLICITA CARTA DE NO ADEUDO PARA PODER INGRESAR A TRABAJAR.</t>
  </si>
  <si>
    <t>EDAD: 35 / SOLTERO</t>
  </si>
  <si>
    <t>NO REGISTRA HIJOS</t>
  </si>
  <si>
    <t>TRABAJADOR ACTIVO EN PLANILLA(NO REGISTRA EN ESSALUD)</t>
  </si>
  <si>
    <t>VEHICULO/PLACA: C34479</t>
  </si>
  <si>
    <t>DEUDAS REGISTRADAS:</t>
  </si>
  <si>
    <t>MIBANCO BANCO DE LA MICRO EMPRESA S A</t>
  </si>
  <si>
    <t>Otras Garantías no preferidas</t>
  </si>
  <si>
    <t>BANCO WIESE SUDAMERIS VENTA DE CARTERA</t>
  </si>
  <si>
    <t>GRABACION POR DISCADOR Y LA SEGUNDA PARTE GRABADA EN NEGOCIAZION</t>
  </si>
  <si>
    <t>Fecha de Pago: 13/04/20</t>
  </si>
  <si>
    <t>DT:S/4,513.29</t>
  </si>
  <si>
    <t>DK:s/3,745.22</t>
  </si>
  <si>
    <t>Campaña: s/2622</t>
  </si>
  <si>
    <t>Sustento de pago:tt se acoge a campaña enviada por sms para la cancelacion de su deuda, abonara en MIBANCO o BCP el dia lunes 13/04 ya que esta internado en su trabajo y sale el dia sabado / discador</t>
  </si>
  <si>
    <t>DT:S/46.99</t>
  </si>
  <si>
    <t>DK:s/46.99</t>
  </si>
  <si>
    <t>Campaña: s/50</t>
  </si>
  <si>
    <t>Sustento de pago: tt abonara en bcp / discador</t>
  </si>
  <si>
    <t xml:space="preserve">Fecha de Pago: 13/12    </t>
  </si>
  <si>
    <t>MONTO A PAGAR : 1050     EXCEPCION POR JULIO</t>
  </si>
  <si>
    <t>DT:  4645        DK: 2804</t>
  </si>
  <si>
    <t>Sustento: TIENE EL DINERO EN MANO</t>
  </si>
  <si>
    <t>Search : TRABAJA , TIENE BUEN SUELDO</t>
  </si>
  <si>
    <t>FECHA DE PAGO: 13-3</t>
  </si>
  <si>
    <t>DT 1600 DK 900 CAMPAÑA 200</t>
  </si>
  <si>
    <t>ACUERDO CON TT PARA CANCELAR EN BASE A 200 SOLES A MAS TARDAR EL DIA 13-3</t>
  </si>
  <si>
    <t>SUSTENTO: TT DICE QUE SU ESPOSO RECIBIRA UN DINERO EL DIA 12-3</t>
  </si>
  <si>
    <t>SEARCH: EDAD 37 AÑOS, NO REGISRA TRABAJO EN PLANILLA, SOLO TIENE DEUDA ORIGINADA CON FINANCIERA OH</t>
  </si>
  <si>
    <t>Fecha de Pago: 14/12   , EXCEPCION JULIO</t>
  </si>
  <si>
    <t>DT y DK :850 - 840</t>
  </si>
  <si>
    <t>Sustento: TIENE DINERO EN MANO . MIRIAM VINZOM ESPOSA VA HACER EL PAGO  ,, TT ESTA TRABAJANDO MANDA A ESPOSA .</t>
  </si>
  <si>
    <t xml:space="preserve">Search : TT TRABAJA  , 44 , NO FIGURA EN SEARCH . NO REPORTA DEUDAS  , AUDIOS CON TT Y ESPOSA . </t>
  </si>
  <si>
    <t>Fecha de Pago: 14/12/19</t>
  </si>
  <si>
    <t>DT:180     DK:180</t>
  </si>
  <si>
    <t xml:space="preserve">Sustento:  ppc 180 esposo / </t>
  </si>
  <si>
    <t xml:space="preserve">Searchsr simon flres </t>
  </si>
  <si>
    <t>FECHA DE PAGO: 14-2</t>
  </si>
  <si>
    <t>DT 3000 CAMPAÑA  999</t>
  </si>
  <si>
    <t xml:space="preserve">TT RECIBIO SMS PARA CANCELAR CON 914 </t>
  </si>
  <si>
    <t>TT TRABAJA EN CAMPAMENTO REGRESA  A LA CIUDAD ENTRE EL 11 Y 12 Y SE LE DA DE PLAZO PARA CANCELAR HASTA EL DIA 14-2</t>
  </si>
  <si>
    <t xml:space="preserve">Fecha de Pago: 15/02        ASIGNACION V8 . </t>
  </si>
  <si>
    <t>MONTO : 350 PPC --  ULTIMO PAGO</t>
  </si>
  <si>
    <t>DT: 4000       DK : 2000</t>
  </si>
  <si>
    <t xml:space="preserve">Sustento:  tiene el dinero , se encuentra de viaje ,y regresa sabado para cumplir con pago  . </t>
  </si>
  <si>
    <t xml:space="preserve">Search : 49 , SUELDO 1583 , no reporta deudas </t>
  </si>
  <si>
    <t>Fecha de Pago: 15/02/20</t>
  </si>
  <si>
    <t xml:space="preserve">DT:  1,927        DK:265  PPM 105 ULTIMA CUOTA </t>
  </si>
  <si>
    <t>Sustento:TAT SE LE INDICA QUE AUN EN FEBRERO E SU ULTIMA CUOTA 105 SOLES PPC / TIENE CRONOGRAMA</t>
  </si>
  <si>
    <t>EDAD 50 AÑOS</t>
  </si>
  <si>
    <t xml:space="preserve">TT INDICA QUE TUVO UN PROBLEMA DE SALUD Y QUE NO PUDO CANCELARA Y SOLO TIENE 300 AHORA SE LE DIO LA OPCION DE PAGAR 500 EN DOS PARTES. / 300 SOLES 7/02 Y 200 SOLES 14/02 </t>
  </si>
  <si>
    <t>TRABAJO LA VENTUROSA S.A. TRABAJO ESTABLE</t>
  </si>
  <si>
    <t xml:space="preserve">EDAD: 52 AÑOS /MIBANCO BANCO </t>
  </si>
  <si>
    <t>Fecha de Pago: 15/04/20</t>
  </si>
  <si>
    <t>DT:S/3700</t>
  </si>
  <si>
    <t>DK:s/2,011.64</t>
  </si>
  <si>
    <t>Campaña: s/700</t>
  </si>
  <si>
    <t>Sustento de pago: tt indica que le llego un sms con campaña de s/402 soles, se le indica ue tiene vigencia de 48HRS, pagara el 15/04 por bcp</t>
  </si>
  <si>
    <t>FECHA DE PAGO: 15-2</t>
  </si>
  <si>
    <t xml:space="preserve">DT 2845 CAMPAÑA 700 </t>
  </si>
  <si>
    <t>TT ENVIO FOTO DE PROMOCION QUE LE HIZO FINANCIERA OH PARA CANCELAR CON 197</t>
  </si>
  <si>
    <t>TT INDICA CANCELARA DEUDA CON 197 EL DIA 14-2</t>
  </si>
  <si>
    <t>SE LE DA PLAZO HASTA EL DIA 15-2</t>
  </si>
  <si>
    <t xml:space="preserve">Fecha de Pago: 16/03                 CERRADO WHATSAPP </t>
  </si>
  <si>
    <t>Monto : 1600 PPC              EXCEPCION</t>
  </si>
  <si>
    <t>DT: 12000     DK : 12000</t>
  </si>
  <si>
    <t xml:space="preserve">Sustento:  tt le pagan en su trabajo  , quiere cancelar todo  . solo le faltan pagar 3 cuotas 650 .  en enero y febrero hizo dos pagos de 700 , envio voucher  .   cuenta con cronograma de oh  validado por mariangela </t>
  </si>
  <si>
    <t>Search : 49 , reporta 1 deuda  ,  sueldo basico</t>
  </si>
  <si>
    <t>Fecha de Pago: 16/03</t>
  </si>
  <si>
    <t>DT:S/1,896.98</t>
  </si>
  <si>
    <t>DK:s/843.66</t>
  </si>
  <si>
    <t xml:space="preserve">Promoción: </t>
  </si>
  <si>
    <t>Sustento: TT cancela deuda con 352 en qapaq</t>
  </si>
  <si>
    <t>Search: 56 AÑOS //NO FIGURA EN PLANILLA/ NO FIGURA HIJOS EN SEARCH/ DEUDAS 1791.27</t>
  </si>
  <si>
    <t>Fecha de Pago: 16/03/20</t>
  </si>
  <si>
    <t>Promoción:1,300 // 800 (EL MES DE ENERO SE FRACCIONO 2 CUOTAS DE 1200, YA PAGO 400)</t>
  </si>
  <si>
    <t>Sustento:TT INDICA QUE NO PUDO PAGAR YA QUE PAGO EL COLEGIO DE SUS HIJOS, CANCELA CON 850 SOLES HASTA EL 16/03/20 EN UN AGENTE BCP</t>
  </si>
  <si>
    <t xml:space="preserve">FECHA DE PAGO:  </t>
  </si>
  <si>
    <t>DT: 250        PPC 200.00 .</t>
  </si>
  <si>
    <t>Sustento:  SUELDO*</t>
  </si>
  <si>
    <t>INDICA QUE PAGARA EL DIA 16/03 ** NO PAGO POR TEMAS PERS..</t>
  </si>
  <si>
    <t>Fecha de Pago: 16/05/20</t>
  </si>
  <si>
    <t>DT:S/ 1955</t>
  </si>
  <si>
    <t>DK:s/ 716</t>
  </si>
  <si>
    <t>Campaña: s/ 215</t>
  </si>
  <si>
    <t>Sustento de pago: tt se comunica por sms por campaña de 215, abonara en bcp.</t>
  </si>
  <si>
    <t>Motivo de impago: indico que esta interesada ya que recien empezo a trabajar.</t>
  </si>
  <si>
    <t>Fecha de Pago: 17/01/20</t>
  </si>
  <si>
    <t>DT:S/1,764</t>
  </si>
  <si>
    <t>DK:s/768</t>
  </si>
  <si>
    <t>Promoción:500</t>
  </si>
  <si>
    <t>Sustento: TT SE ACOJE A CAMPAÑA Y CANCELA CON 500 EN INTERBANK</t>
  </si>
  <si>
    <t>Search: NO HAY SEARCH</t>
  </si>
  <si>
    <t>fecha de pago: 17-3</t>
  </si>
  <si>
    <t>dt 8900 campaña 1378</t>
  </si>
  <si>
    <t>tt indica que pago lo hara el dia 17-3</t>
  </si>
  <si>
    <t>sustento: tt sacara dinero su trabajo</t>
  </si>
  <si>
    <t>search: edad 32 años ,  tt labora en JUNTA DE PROPIETARIOS DEL MERCADO DE PRODUCTORES FIORI tt tiene deuda con dos entidades financieras en perdida</t>
  </si>
  <si>
    <t>Fecha de Pago: 18/02/20</t>
  </si>
  <si>
    <t>DT:S/1,010.34</t>
  </si>
  <si>
    <t>DK:s/491.32</t>
  </si>
  <si>
    <t>Promoción: S/450</t>
  </si>
  <si>
    <t>Sustento: TT SE ACOJE A CAMPAÑA, CANCELA CON 450 EN PRO EMPRESA, POR LA TARDE CON SU SUELDO. (DISCADOR)</t>
  </si>
  <si>
    <t>Search: 49 AÑOS / NO FIGURA HIJOS/ NO FIGURA EN PLANILLA / NO CARGA DEUDAS</t>
  </si>
  <si>
    <t>Fecha de Pago: 18/03/20</t>
  </si>
  <si>
    <t>DT:7,945       DK: 3,522</t>
  </si>
  <si>
    <t xml:space="preserve">Sustento: SUELDO* CANCELACION DE SU DEUDA CON 256 SOLES </t>
  </si>
  <si>
    <t>Fecha de Pago: 18/12</t>
  </si>
  <si>
    <t>Monto: 600    PPC  EXCEPCION JULIO</t>
  </si>
  <si>
    <t>DT:1339        DK : 1199</t>
  </si>
  <si>
    <t>Sustento:  tiene el dinero en mano</t>
  </si>
  <si>
    <t>Search :  59 , no figura trabajo , no reporta deudas</t>
  </si>
  <si>
    <t xml:space="preserve">cliente cerrado por whatsapp </t>
  </si>
  <si>
    <t>SE CONVERSO CON MARIANGELA , AUTORIZACION</t>
  </si>
  <si>
    <t>Fecha de Pago: 20/01</t>
  </si>
  <si>
    <t>MONTO : 1000 PPC EXCEPCION</t>
  </si>
  <si>
    <t>DT: 9136       DK : 4791</t>
  </si>
  <si>
    <t xml:space="preserve"> Sustento:  tt se va prestar el dinero , se le indico hasta el 15 dijo que el 20 con seguridad igual da la posibilidad de realizarlo antes . solicita acuerdo.  esta trabajando tt  , se retraso porque radicaba en otro pais . </t>
  </si>
  <si>
    <t>Search :   34 , reporta 1 deuda ,  sueldo septiembre 2019 =  3845</t>
  </si>
  <si>
    <t>correo : ivan_fer19@hotmail.com</t>
  </si>
  <si>
    <t>MONTO : 500 PPC .   LLAMO AL PERSONAL</t>
  </si>
  <si>
    <t>DT: 1436       DK : 695</t>
  </si>
  <si>
    <t xml:space="preserve">Sustento: tiene el dinero en mano , llamo para pagar el dia de hoy . </t>
  </si>
  <si>
    <t xml:space="preserve">Search :  sueldo 2018 = 3180 ,  no reporta deudas . </t>
  </si>
  <si>
    <t xml:space="preserve">cliente se le nota apurado no se le menciono algunas indicaciones . </t>
  </si>
  <si>
    <t>Fecha de Pago: 20/02    CERRADO WHATSAPP</t>
  </si>
  <si>
    <t xml:space="preserve">MONTO : 1220 PPC </t>
  </si>
  <si>
    <t>DT:  2209      DK : 1116</t>
  </si>
  <si>
    <t>Sustento:  le demoran en el pago de su trabajo . va hacer lo posible de hacerlo antes del  20 .</t>
  </si>
  <si>
    <t>Search :  31 , reporta 2 deudas , sueldo septiembre 2019 = 930</t>
  </si>
  <si>
    <t xml:space="preserve">Fecha de Pago: 20/03    DISCADOR </t>
  </si>
  <si>
    <t xml:space="preserve">MONTO : 1200 PPC </t>
  </si>
  <si>
    <t>DT: 2300     DK : 1200</t>
  </si>
  <si>
    <t xml:space="preserve">Sustento: tt trabaja en colectivo el cual reune el pago con seguridad para esa fecha si es posible antes , no pago por problemas . tiene vehiculo </t>
  </si>
  <si>
    <t xml:space="preserve">Search : 38 , vehiculo , no reporta deudas </t>
  </si>
  <si>
    <t>Fecha de Pago: 20-01-2020</t>
  </si>
  <si>
    <t>DK :950</t>
  </si>
  <si>
    <t>promocion: 200</t>
  </si>
  <si>
    <t>PORQUE NO PAGO: se nego a pagar por estafa de la financiera oh</t>
  </si>
  <si>
    <t>PARA QUE SACO EL PRESTAMO:  no fue prestamo fue la tarjeta credito</t>
  </si>
  <si>
    <t xml:space="preserve">llamese si tiene deudas: no tiene deudas oslo fiannciera oh </t>
  </si>
  <si>
    <t>edad:45</t>
  </si>
  <si>
    <t>si trabaja: administrador</t>
  </si>
  <si>
    <t>pago hara por la tarde.</t>
  </si>
  <si>
    <t>Fecha de Pago: 20-12-19 / en la mañana</t>
  </si>
  <si>
    <t>DT : 330</t>
  </si>
  <si>
    <t>DK : 250</t>
  </si>
  <si>
    <t>Sustento: pagara esta semana porque su ingeniro le pagara la obra.</t>
  </si>
  <si>
    <t>Edad:52</t>
  </si>
  <si>
    <t>llamese si tiene deudad: no tiene otra deuda mas</t>
  </si>
  <si>
    <t>si trabaja : soldador</t>
  </si>
  <si>
    <t>cuanto gana: gana por obra / 500 soles semanales.</t>
  </si>
  <si>
    <t>PORQUE NO PAGO: Por su ex mujer, por su separacion</t>
  </si>
  <si>
    <t>PARA QUE SACO EL PRESTAMO: para su negocio/ comercio de ropa.</t>
  </si>
  <si>
    <t>Fecha de Pago: 21/02        EXCEPCION</t>
  </si>
  <si>
    <t>Sustento: no le llegaron a pagar , fue al municipio le dise el alcalde con seguridad para el 20 y 21/02 . le va depositar .</t>
  </si>
  <si>
    <t xml:space="preserve">Search :  no tiene deudas , 47       whatsapp y audio </t>
  </si>
  <si>
    <t>Fecha de Pago: 21/05/20</t>
  </si>
  <si>
    <t>DT:S/ 500</t>
  </si>
  <si>
    <t xml:space="preserve">DK:s/ </t>
  </si>
  <si>
    <t>Campaña: s/ 250 - 200</t>
  </si>
  <si>
    <t>Sustento de pago: tt se acoge a campaña tiene dinero, pagara en 200 en agente bcp, discador</t>
  </si>
  <si>
    <t>Fecha de Pago: 21/12    EXCEPCION JULIO</t>
  </si>
  <si>
    <t>DT: 2980     DK : 1330</t>
  </si>
  <si>
    <t xml:space="preserve">Monto a pagar : 300  PPC  </t>
  </si>
  <si>
    <t>Sustento: el sabado 21/12 le depositan pension de sus hijos con seguridad . quiere pagar en mismo caja sullana si en caso alcanza por el tiempo de cierre de caja sullana , lo realiza el 23/12  , dinero fue para otra persona que no le quiere pagar y esta cansada de llamadas y salir de infocorp</t>
  </si>
  <si>
    <t xml:space="preserve">Search :  32 , no figura trabajo , reporta  1 deuda </t>
  </si>
  <si>
    <t>FECHA DE PAGO: 21-2</t>
  </si>
  <si>
    <t>DT 4800 DK 3298 CAMPAÑA 1800</t>
  </si>
  <si>
    <t>TT DICE QUE EL DIA 20-2 ESTARA EN PUNO Y QUE HARA PAGO</t>
  </si>
  <si>
    <t>TT TIENE DEUDA CON OTRA ENTIDAD FINANCIERA, TT TRABAJA EN OFICINA</t>
  </si>
  <si>
    <t>FECHA DE PAGO: 21-3</t>
  </si>
  <si>
    <t>DT 8692 CAMPAÑA 2472</t>
  </si>
  <si>
    <t>ACUERDO CON TT PARA CANCELAR CON EXCEPCION DE 2000 CON PLAZO HASTA EL DIA 21-3, TT DESEA CDNA A SU WHATSAPP</t>
  </si>
  <si>
    <t>SUSTENTO:TT SE VA PRESTAR DINERO PARA CANCELAR</t>
  </si>
  <si>
    <t>SEARCH: TT TIENE 37 AÑOS, NO REGISTRA TRABAJO EN PLANILLA, SOLO TIENE DEUDA CON PROEMPRESA</t>
  </si>
  <si>
    <t>Fecha de Pago: 22/01</t>
  </si>
  <si>
    <t>MONTO : 1500  PPC EXCEPCION</t>
  </si>
  <si>
    <t>DT: 10860       DK :  7591</t>
  </si>
  <si>
    <t>Sustento:  tiene el dinero destinado para cancelar , no pago porque su esposo le entrego tarde el dinero .  va pagar en la tarde 22/01 = 1500 , solcita informacion por whatsapp</t>
  </si>
  <si>
    <t xml:space="preserve">Search :  37 , reporta 1 deuda </t>
  </si>
  <si>
    <t>Fecha de Pago: 22/01/20</t>
  </si>
  <si>
    <t>DT: 19,684         DK: 17,605</t>
  </si>
  <si>
    <t>SUSTENTO DE PAGO: EL DIA MARTES 21 ESTARA COBRANDO SUS FACTURAS DE SU NEGOCIO CON ELLO PAGARA/ INDICA Q S ELE ENVIE EL ACUERDO DE CANCELACION D ESU DEUDA/  EXCEPCION JULIO</t>
  </si>
  <si>
    <t>Fecha de Pago: 22-01-2020</t>
  </si>
  <si>
    <t>Fecha de Pago: 23/03</t>
  </si>
  <si>
    <t>MONTO A PAGAR :  850 PPC</t>
  </si>
  <si>
    <t xml:space="preserve">Sustento: tt va hacer la venta de su pequeño terreno ya le confirmaron fecha del 22 , el 23 se va acercar a pagar , aparte espera su pago de municipio </t>
  </si>
  <si>
    <t xml:space="preserve">Search :  no tiene deudas , 47       </t>
  </si>
  <si>
    <t>FECHA DE PAGO: 23/03/20</t>
  </si>
  <si>
    <t>DT 4720   DK 2270  PPC 350</t>
  </si>
  <si>
    <t xml:space="preserve">SUSTENTO DE PAGO: TAT INDICA QUE ABONARA 100 EL DIA 9/03/20 DE SU SUELDO SEMANAL HASTA EL DIA 23/03/20 </t>
  </si>
  <si>
    <t>Fecha de Pago: 23/03/20</t>
  </si>
  <si>
    <t>DT: 341        PPC 253.00</t>
  </si>
  <si>
    <t xml:space="preserve">AVAL JOSE MERCEDES SANCHEZ LLONTOP / </t>
  </si>
  <si>
    <t xml:space="preserve">INDICA QUE NO PUEDE PAGAR POR TEMAS ECO.. </t>
  </si>
  <si>
    <t>MODALIDAD DE PAGO: 120 SOLES 13DE MARZO</t>
  </si>
  <si>
    <t xml:space="preserve">                                            133 SOLE 23 DE MARZO</t>
  </si>
  <si>
    <t xml:space="preserve">SEARCH 31AÑOS EL AVAL </t>
  </si>
  <si>
    <t>SEARCH TAT: 42 AÑOS</t>
  </si>
  <si>
    <t>DEUDAD:CAJA MUNICIPAL DE AHORRO Y CREDITO DE SULLANA S A</t>
  </si>
  <si>
    <t xml:space="preserve">* AVAL SE COMUNICA Y NO SE GRABA LA LLAMADA POR QUE SE ESTABA ACTUALIZANDO EL ACR SE TOMA PAMTALLAZO DE LA LLMADA** </t>
  </si>
  <si>
    <t>Fecha de Pago: 23/12</t>
  </si>
  <si>
    <t xml:space="preserve">CAMPAÑA : 205    PPC </t>
  </si>
  <si>
    <t>DT y DK : 385 - 224</t>
  </si>
  <si>
    <t>Sustento:  PAGO DE ALQUILER DE LOCAL</t>
  </si>
  <si>
    <t xml:space="preserve">Search :  64 , NO FIGURA TRABAJO , REPORTA DEUDA EN ESTADO NORMAL </t>
  </si>
  <si>
    <t>Fecha de Pago: 23/12/19</t>
  </si>
  <si>
    <t>DT: 7932   DK: NO S ELE INFORMA / OFERTA SOLO POR ESTE MES 3200 SOLES / SEÑOR INIDCA QUE SI VA PAGAR ABONO 200 SOLES INDICA QUE LAS DEMAS CAMPAÑAS ERA MUCHO.</t>
  </si>
  <si>
    <t xml:space="preserve">Sustento: SELE REPROGRMA EL PAGO PPC 300 SOLES YA ABONO </t>
  </si>
  <si>
    <t>FECHA DE PAGO: 23/12/2018</t>
  </si>
  <si>
    <t>DT : 600</t>
  </si>
  <si>
    <t>DK  : 210</t>
  </si>
  <si>
    <t>CAMP :210</t>
  </si>
  <si>
    <t xml:space="preserve">Sustento :TT CONFIRMA PAGO YA QUE ESE DIA RECIBE SU PAGO - TRABAJO INDEPENDIENTE . </t>
  </si>
  <si>
    <t xml:space="preserve">Search (  TIENE 23 AÑOS // NO TIENE DATOS LABORALES // Y TIENE DEUDA CON CAJA CUSCO ---  HAY AUDIO  </t>
  </si>
  <si>
    <t>Fecha de Pago: 24/01/20</t>
  </si>
  <si>
    <t xml:space="preserve">DT: 8,535         DK: 5,096    PPC 1528.80 CENTIMOS </t>
  </si>
  <si>
    <t xml:space="preserve"> Sustento: TIENE AHORRADO / QUIERE SU CARTA NO ADEUDO </t>
  </si>
  <si>
    <t>INB MAYRA</t>
  </si>
  <si>
    <t>DT:S/725.68</t>
  </si>
  <si>
    <t>DK:s/268.62</t>
  </si>
  <si>
    <t>Promoción: 250</t>
  </si>
  <si>
    <t xml:space="preserve">Sustento:TT SE ACOGE A CAMPAÑA Y CANCELA CON 250 EN CREDINKA, </t>
  </si>
  <si>
    <t>FECHA DE PAGO: 24/01/2020</t>
  </si>
  <si>
    <t>DT 3752.08</t>
  </si>
  <si>
    <t>DK 1884.09</t>
  </si>
  <si>
    <t>SE COMUNICA RESPONSABLE DE PAGO SRA GINA DEL NUMERO 969985061//SE ACOGE A CAMPAÑA DE CANCELACION POR 1500 SOLES //NO HAY AUDIO DEBIDO A QUE SE PRESTO CELULAR //CUANDO REALICE LA CANCELACION SE COMUNICARA CON ALESSANDRA///</t>
  </si>
  <si>
    <t xml:space="preserve">INBOUND ASIGNADO POR MARIANGELA </t>
  </si>
  <si>
    <t>Fecha de Pago: 24/02/20</t>
  </si>
  <si>
    <t>DT:S/9,061.49</t>
  </si>
  <si>
    <t>DK:s/4,055.53</t>
  </si>
  <si>
    <t>Promoción: S/1220</t>
  </si>
  <si>
    <t>Sustento: tt cancela con excepcion de s/900 soles hasta el dia lunes 24/02 en un banco bcp o interbank, se envia info por whatsapp, dinero es juntado de su sueldo y una parte de un prestamo familiar</t>
  </si>
  <si>
    <t>Search: 41 años/ no figura en planilla / no figuran hijos/ deuda total 1510.41</t>
  </si>
  <si>
    <t>FECHA DE PAGO: 24/03</t>
  </si>
  <si>
    <t>DK: 800</t>
  </si>
  <si>
    <t>TITULAR INDICA QUE PAGARA EL MONTO DE 600 SOLES EL 24/03, SE LE ENVIA INFORMACION A SU NUMERO PARA EL PAGO EN EL BANCO INTERBANK.</t>
  </si>
  <si>
    <t>EDAD:35 AÑOS / SOLTERO</t>
  </si>
  <si>
    <t>DEUDA: CONECTA CMS S.A.</t>
  </si>
  <si>
    <t>VEHICULO: HYNDAI / PLACA: C7U166</t>
  </si>
  <si>
    <t>TRABAJADOR EN PLANILLA</t>
  </si>
  <si>
    <t>NO REGISTRA INFORMACION DE DEUDA</t>
  </si>
  <si>
    <t>GRABACION POR DISCADOR</t>
  </si>
  <si>
    <t>FECHA DE PAGO: 24/03/20</t>
  </si>
  <si>
    <t>DT:2700.00   DK:1200.00</t>
  </si>
  <si>
    <t>SUSTENTO DE PAGO:  REUNIRA DINERO DE SU SUELDO.</t>
  </si>
  <si>
    <t>*INDICA SOLO PUEDE SALIR UNA VEZ A MES A LA CUIDAD PARA PAGAR.</t>
  </si>
  <si>
    <t>* TRABAJA EN RED DE SALUD N? 04 - AGUAYTIA - SAN ALEJANDRO</t>
  </si>
  <si>
    <t>GANA:1276.00</t>
  </si>
  <si>
    <t>*BANCO FINANCIERO DEL PERÚ CREDITO PAGANDO **</t>
  </si>
  <si>
    <t xml:space="preserve">*AÑO:42 *UCAYALI </t>
  </si>
  <si>
    <t>INBOUND MARIANGELA*NO HAY AUDIO .. SE EN VIA POR SMS LO ACORDADO Y EL NUMEOR DE CUENTA*</t>
  </si>
  <si>
    <t>Fecha de Pago: 24/12/19</t>
  </si>
  <si>
    <t xml:space="preserve">DT: 1050    DK: 606.00  EXCEPCION: 350.00 APROBADO JULIO. H </t>
  </si>
  <si>
    <t xml:space="preserve">Sustento: INDICA QUE SIPAGARA ELLA PENSABA QUE ERA PARA FIN DE MES LA PRIMERA EXCEPCION </t>
  </si>
  <si>
    <t>DT: 1050    DK: 606.00  EXCEPCION: 350.00</t>
  </si>
  <si>
    <t>Sustento:  S ELE APBRUEBA EXCEPCION AL TAT CON 350 SOLES MAX HASTA L DIA DE MAÑANA /</t>
  </si>
  <si>
    <t>Fecha de Pago: 25/01/20</t>
  </si>
  <si>
    <t>DT: 1967          DK:XX    PPC 950</t>
  </si>
  <si>
    <t>Sustento: LE VAN A PAGAR EL 23 O 22 .</t>
  </si>
  <si>
    <t>Fecha de Pago: 25-01-2020</t>
  </si>
  <si>
    <t>DK :650</t>
  </si>
  <si>
    <t>PORQUE NO PAGO: dejo de pagar</t>
  </si>
  <si>
    <t>PARA QUE SACO EL PRESTAMO: para un familiar</t>
  </si>
  <si>
    <t xml:space="preserve">Search : </t>
  </si>
  <si>
    <t>llamese si tiene deudas: no tiene deudas</t>
  </si>
  <si>
    <t xml:space="preserve">edad: 32 </t>
  </si>
  <si>
    <t>si trabaja: constructoras metalicas</t>
  </si>
  <si>
    <t xml:space="preserve">cuanto gana:  ganas mas que el minimo </t>
  </si>
  <si>
    <t>CONTRAPROPUESTA DEL TT: 300 soles</t>
  </si>
  <si>
    <t>Fecha de Pago: 26/05/20</t>
  </si>
  <si>
    <t>DT:S/ 1,519.64</t>
  </si>
  <si>
    <t>Campaña: s/ 192.70</t>
  </si>
  <si>
    <t>Sustento de pago:  tt se comunica por whatsapp por sms de cmpaña, cancela con campaña por transferencia de interbank</t>
  </si>
  <si>
    <t>Motivo de impago: tuvo un percance por una queja de una compra</t>
  </si>
  <si>
    <t>fecha de pago: 26-3</t>
  </si>
  <si>
    <t>dt 3100 campaña 1281</t>
  </si>
  <si>
    <t>tt indica que en 10 dias esta realizando la venta de una propiedad y que se estaria haciendo el cambio de nombre  de la propiedad y que para el dia 23 o 234 contaria com el efectivo, tt dice que agregara nro corporativo  porque no quiere la llamen mas personas, se le da de plazo hasta el dia 26-3</t>
  </si>
  <si>
    <t>Search: edad 54 años , no registra trabajo en planilla solo tiene deuda con PROEMPRESA</t>
  </si>
  <si>
    <t xml:space="preserve">Fecha de Pago: 27/01   INBOUND </t>
  </si>
  <si>
    <t>MONTO : 1400</t>
  </si>
  <si>
    <t>DT: 3215       DK : 1797</t>
  </si>
  <si>
    <t xml:space="preserve">Sustento: inbound asignado , negociado por mayra . </t>
  </si>
  <si>
    <t xml:space="preserve">Search :  35 , reporta 1 deuda </t>
  </si>
  <si>
    <t>Fecha de Pago: 27/05/20</t>
  </si>
  <si>
    <t>DT:S/ 1503</t>
  </si>
  <si>
    <t>Campaña: s/ 145</t>
  </si>
  <si>
    <t>Sustento de pago: tt se comunica al corporativo para cancelar con sms que le llego a su celular, tiene dinero en mano, abonara en agente</t>
  </si>
  <si>
    <t>Motivo de impago: no trabajaba</t>
  </si>
  <si>
    <t>Fecha de Pago: 27-01-2020</t>
  </si>
  <si>
    <t>DT :480</t>
  </si>
  <si>
    <t>DK :225</t>
  </si>
  <si>
    <t xml:space="preserve">promocion: 180 + 45 de envio a domicilio </t>
  </si>
  <si>
    <t>PORQUE NO PAGO: estsba efermerma utopico</t>
  </si>
  <si>
    <t>PARA QUE SACO EL PRESTAMO: para agrandar sus tiendas</t>
  </si>
  <si>
    <t>Llamese si tiene deudas:</t>
  </si>
  <si>
    <t>edad: 25</t>
  </si>
  <si>
    <t>si trabaja:vende pescado.</t>
  </si>
  <si>
    <t xml:space="preserve">cuanto gana: </t>
  </si>
  <si>
    <t xml:space="preserve">tiene hijos: 2 </t>
  </si>
  <si>
    <t>CONTRAPROPUESTA DEL TT:</t>
  </si>
  <si>
    <t xml:space="preserve">direccion:  CA.  MZ. i LT. 15 AH. OBDULIO RIVERA - QUERECOTILLO - al costado de la panaderia carreño </t>
  </si>
  <si>
    <t>Fecha de Pago: 28/01</t>
  </si>
  <si>
    <t>DT: 2700       DK : 930</t>
  </si>
  <si>
    <t xml:space="preserve">Sustento:  tiene el dinero en mano 400 soles , indica que le llego sms por 640 , indica que la deuda ya la habia cancelado hace años cuando era FNV  , le entregaron su carta de no adeudo en la agencia de la pampilla esta por viajar ya pago todas sus deudas solo le falta de credinka para salir de infocorp. </t>
  </si>
  <si>
    <t>Search :  38 , no reporta deudas , sueldo 2018 = 1749</t>
  </si>
  <si>
    <t>Fecha de Pago: 28/01/19</t>
  </si>
  <si>
    <t>DT: 11,435          DK: *** abono: 100 15/01/20</t>
  </si>
  <si>
    <t>Sustento:tat indica que a mediados de estas semanas se acerca a LA UGEL Y QUE ACELEREN EL PROCESO DE PAGO POR TIEEMPO DE SERVICIO</t>
  </si>
  <si>
    <t>Fecha de Pago: 28/01/20</t>
  </si>
  <si>
    <t>DT:  1393       DK: XX   PPC 800  EXCEPCION MARIANGELA</t>
  </si>
  <si>
    <t>SUSTENTO DE PAGO: SUELDO D ELA PESCA*</t>
  </si>
  <si>
    <t xml:space="preserve">Fecha de Pago: 28/02           seguimiento va venir a expertis el 17/02 </t>
  </si>
  <si>
    <t xml:space="preserve">MONTO  : 3000  PPC </t>
  </si>
  <si>
    <t>DT:  5600      DK : 3000</t>
  </si>
  <si>
    <t>Sustento: tt indica que le van hacer un pago de su trabajo 100% seguro ,se comunico correo enviado . interesado en cancelar .// el 17/02 se va acercar a expertis . recoger su compromiso de pago .</t>
  </si>
  <si>
    <t xml:space="preserve">Search :  34 , sueldo 5125 . , reporta 1 deuda </t>
  </si>
  <si>
    <t xml:space="preserve">Fecha de Pago: 28/02      tasita base manual </t>
  </si>
  <si>
    <t>MONTO  : 280  PPC</t>
  </si>
  <si>
    <t xml:space="preserve">2.DT 1,300 y DK 463 </t>
  </si>
  <si>
    <t>3.Sustento: tt le pagan el 28/02 , indica que no le pagaron , asegura deposito</t>
  </si>
  <si>
    <t>Fecha de Pago: 28/02</t>
  </si>
  <si>
    <t>MONTO : 1100 PPC     ULTIMO PAGO          ACUERDO INCIAL = 2300</t>
  </si>
  <si>
    <t>EL 31/01 ABONO = 1200  CUOTA DE EXCEPCION</t>
  </si>
  <si>
    <t>DT: 6872       DK : 3391</t>
  </si>
  <si>
    <t xml:space="preserve">Sustento:  pago de su trabajo ,  . a fin de mes , no contestaba porque estaba de viaje . solo contestaba esposa . </t>
  </si>
  <si>
    <t>Search :  30 , no reporta deudas , sueldo de septiembre 2834</t>
  </si>
  <si>
    <t>Monto : 600 PPC             EL 10/02 = 300 , 28/02 = 300  BCP O CDK</t>
  </si>
  <si>
    <t>Sustento: cerrado por whatsapp</t>
  </si>
  <si>
    <t>Fecha de Pago: 28/02/20</t>
  </si>
  <si>
    <t>DT:S/2710</t>
  </si>
  <si>
    <t>DK:s/1,985.51</t>
  </si>
  <si>
    <t>Promoci?n: 1600</t>
  </si>
  <si>
    <t>Sustento TT SE ACOGE A CANCELACION CON 1600 SOLES HASTA EL 28/02, SE ENVIA INFO POR WHATSAPP</t>
  </si>
  <si>
    <t>Search:  33 AÑOS/ NO FIGURA HIJOS/ NO FIGURA PLANILLA/ DEUDAS 6917.42</t>
  </si>
  <si>
    <t>Fecha de Pago: 28/05/20</t>
  </si>
  <si>
    <t>DT:S/ 691.64</t>
  </si>
  <si>
    <t>DK:s/ 334.48</t>
  </si>
  <si>
    <t>Campaña: s/ 340</t>
  </si>
  <si>
    <t>Motivo de impago:tt se acoge a campaña cancela con 340 numero de whatsapp 989882882, paga en bcp, discador</t>
  </si>
  <si>
    <t>DT:S/ 76</t>
  </si>
  <si>
    <t>DK:s/ 46</t>
  </si>
  <si>
    <t>Campaña: s/ 46</t>
  </si>
  <si>
    <t xml:space="preserve">Sustento de pago: tt indica que tiene el dinero en mano cancela con campaña, en agente bcp, </t>
  </si>
  <si>
    <t>Motivo de impago: tt indica que genero la cancelacion total de la deuda, y ahora que quiere sacr un credito y se entero que debia</t>
  </si>
  <si>
    <t>DT:S/338</t>
  </si>
  <si>
    <t>DK:s/</t>
  </si>
  <si>
    <t>Campaña: s/200 - 86</t>
  </si>
  <si>
    <t>Sustento de pago: tt se comunica al corporativo por sms, tiene dinero en mano, abona en sullana , brinda whatsapp 931070447</t>
  </si>
  <si>
    <t xml:space="preserve">Motivo de impago: por viaje </t>
  </si>
  <si>
    <t>Fecha de Pago: 28/12/19</t>
  </si>
  <si>
    <t>DT:11,100       DK: 7,200   CAMPAÑA S/2,560.00</t>
  </si>
  <si>
    <t xml:space="preserve">Sustento: PPC 2560.00 SOLES CANCELA SU DEUDA , YA SE A VENIDO NEGOCIANDO CON EL TAT TIEMPO ATRAS * PRO WHATSAP O LLAMAS  Y EN REITERADAS OCACIONES QUISO PAGAR MENOS / SE LE AYUDA POR QUE DICE SER UNA PERSONA QUE AYUDA A SUS PADRES Y SU NEGOCITO NO LE DA MUCHO / S ELE OTORGA PLAZAO MAX HASTA EL DIA 28/12/19 / </t>
  </si>
  <si>
    <t>SEARCH : CAJA MUNICIPAL DE AHORRO Y CREDITO TRUJILLO Y SAGA FALABELLA * 30 AÑOS</t>
  </si>
  <si>
    <t xml:space="preserve">Fecha de Pago: 28-02-2020// </t>
  </si>
  <si>
    <t>DT : 6200</t>
  </si>
  <si>
    <t>DK : 4000</t>
  </si>
  <si>
    <t>PROMO: 850</t>
  </si>
  <si>
    <t>edad:  39</t>
  </si>
  <si>
    <t>si trabaja: ayuda a su esposo, vende comida</t>
  </si>
  <si>
    <t>PORQUE NO PAGO: problemas familiares</t>
  </si>
  <si>
    <t>PARA QUE SACO EL PRESTAMO:  cosas personales</t>
  </si>
  <si>
    <t xml:space="preserve">CONTRAPROPUESTA DEL TT: INDICA QUE LE LELGO EL SMS DE PAGAR EL MINIMO 1 PERO DESEA PAGARLO EN 2 PARTES: </t>
  </si>
  <si>
    <t xml:space="preserve">minimo 1 : 743 </t>
  </si>
  <si>
    <t>enero: 31-01-2020 = 400</t>
  </si>
  <si>
    <t>febrero: 28-01-2020 = 400</t>
  </si>
  <si>
    <t>PAGARA 800 SOLES EN DOS PARTES EN ENERO Y FEBRERO</t>
  </si>
  <si>
    <t>llamada por cooporativo 20</t>
  </si>
  <si>
    <t>FECHA DE PAGO: 28-2</t>
  </si>
  <si>
    <t>DT 400 CAMPAÑA 150</t>
  </si>
  <si>
    <t>TT YA PAGO 100 EL DIA 5-2 Y EL DIA 28-2 PAGARA 50 EL DIA PARA CANCELAR LOS 150</t>
  </si>
  <si>
    <t xml:space="preserve">Fecha de Pago: 29/01        </t>
  </si>
  <si>
    <t>MONTO  : 400 PPC EXCEPCION</t>
  </si>
  <si>
    <t>DT: 4918       DK : 2350</t>
  </si>
  <si>
    <t xml:space="preserve">Sustento:  su primo le va prestar 400 para una resonancia , el lo va utilizar para pagar la deuda . indica que complete la diferencia dise que no alcanza . porque solo le van a prestar 400 . dise que el 28/01 le hace la entrega a las 5pm y el dia 29/01 estara depositando .  esta trabajando  </t>
  </si>
  <si>
    <t>Search :  38 , reporta 1 deuda , sueldo 2019 = 2024</t>
  </si>
  <si>
    <t>Fecha de Pago: 29/01/20</t>
  </si>
  <si>
    <t xml:space="preserve">DT:  22,610        DK: 17,222   PPC 2050 LE LLEGO UN SMS </t>
  </si>
  <si>
    <t>Sustento: RECIBIRA UN DINERO * NO DA MAS RAZON</t>
  </si>
  <si>
    <t>TAT INDCIA QUE RECIEN LLEGO DEL EXTRANJERO Y QQUIERE PAGAR CON CAMPAÑA 2050 QUE LA FAMILIA LE INDICO</t>
  </si>
  <si>
    <t xml:space="preserve">DT: 10,600       DK: 8,421 PPC 1800 </t>
  </si>
  <si>
    <t>Sustento DE PAGO RECIBIRA UN DINERITO</t>
  </si>
  <si>
    <t>SU AMIGO EL SR FRANCICO SE ACERCARA A PAGAR LA DEUDA A LA EMPRESA EL DIA 28/01 Y EL DIA 29 PAGAR</t>
  </si>
  <si>
    <t>Fecha de Pago: 29/02/20</t>
  </si>
  <si>
    <t>DT:S/4,699</t>
  </si>
  <si>
    <t>DK:s/2,402</t>
  </si>
  <si>
    <t>Promoción: S/1,900</t>
  </si>
  <si>
    <t>Sustento: TT SE ACOGE A CAMPAÑA Y CANCELA CON S/1900 EL 29/02 EN CAJA AREQUIPA O BCP, CON SUELDO (DISCADOR)</t>
  </si>
  <si>
    <t>Search: 51 AÑOS / NO FIGURA EN PLANILLA / NO FIGURAN HIJOS/ DEUDAS 10490.12</t>
  </si>
  <si>
    <t>Fecha de Pago: 29-01-2020</t>
  </si>
  <si>
    <t>DT : 1200</t>
  </si>
  <si>
    <t>DK : 700</t>
  </si>
  <si>
    <t>promoc: 480</t>
  </si>
  <si>
    <t>PORQUE NO PAGO: por enfermedad</t>
  </si>
  <si>
    <t>PARA QUE SACO EL PRESTAMO: para su negocio/ venta de autoradios</t>
  </si>
  <si>
    <t>edad:31</t>
  </si>
  <si>
    <t>si trabaja: no quiere decir.</t>
  </si>
  <si>
    <t>cuanto gana: no quiere ser.</t>
  </si>
  <si>
    <t>Pagara por la tarde tarde</t>
  </si>
  <si>
    <t>DT :2800</t>
  </si>
  <si>
    <t>DK :380</t>
  </si>
  <si>
    <t xml:space="preserve">Sustento: VIENE AHORRANDO SU DINERO POR LAS DEUDAS QUE TIENE// Search  </t>
  </si>
  <si>
    <t>llamese si tiene deudaS: CMAC TRUJILLO ( DEUDA DE SU HERMANO ) // FINANCIERA UNO.</t>
  </si>
  <si>
    <t>edad: 36</t>
  </si>
  <si>
    <t>si trabaja : ENFERMERA</t>
  </si>
  <si>
    <t>cuanto gana: 1800</t>
  </si>
  <si>
    <t>PORQUE NO PAGO:CAYO ENFERMA POR EMBARAZO</t>
  </si>
  <si>
    <t>PARA QUE SACO EL PRESTAMO: TARJETA DE CREDITO</t>
  </si>
  <si>
    <t>CONTRAPROPUESTA DEL TT: 340</t>
  </si>
  <si>
    <t xml:space="preserve">EN LA QUINCENA ABONARA 50 SOLES </t>
  </si>
  <si>
    <t xml:space="preserve">Fecha de Pago: 30/01 </t>
  </si>
  <si>
    <t>MONTO A PAGAR :  650 PPC</t>
  </si>
  <si>
    <t>Sustento:  no le llegaron a depositar todo , indica que le van a depositar entre 25 al 27 . indica hasta el 30 mayor seguridad .   solo pago 600 el 07/01</t>
  </si>
  <si>
    <t>Fecha de Pago: 30/01</t>
  </si>
  <si>
    <t xml:space="preserve"> Sustento:  TT tiene un cheque  y aparte le van hacer un prestamo . no pago porque le fallaron su pago . interesado en pagar </t>
  </si>
  <si>
    <t xml:space="preserve">MONTO : 2150 PPC EXCEPCION      INBOUND </t>
  </si>
  <si>
    <t>DT: 6588        DK : 5121</t>
  </si>
  <si>
    <t xml:space="preserve">Sustento:  tt en espera de un desembolso . el cual asegura para el  30/01 . se comunica , es inbound </t>
  </si>
  <si>
    <t>numero corporativo : 975380289</t>
  </si>
  <si>
    <t xml:space="preserve">Search :  45 , sueldo 2200 , no reporta deudas . </t>
  </si>
  <si>
    <t>MONTO : 50 PPC</t>
  </si>
  <si>
    <t>DT:  1616      DK :499</t>
  </si>
  <si>
    <t xml:space="preserve">Sustento: ya abono 200 solo le falta 50 para terminar de cancelar </t>
  </si>
  <si>
    <t>Search :  54 ,no reporta deudas</t>
  </si>
  <si>
    <t xml:space="preserve">FECHA DE PAGO: 30/01/20 </t>
  </si>
  <si>
    <t>SUSTENTO DE PAGO: REALIZARA UNA POLLADA / LE LE INFORMA QUE SOLO TIENE UNA DIA DE GRACIA HASTA EL DIA 31/01/20 EN FEBRERO NO SE LE DARA LA MISMA CAMPAÑA</t>
  </si>
  <si>
    <t>Fecha de Pago: 30/01/20</t>
  </si>
  <si>
    <t xml:space="preserve">DT:   1150       DK: 650  PPC 450 </t>
  </si>
  <si>
    <t>Sustento: LE PAGARAN . ABONO 100 SOLES / Y PPC 350 EL DIA 30/01/20</t>
  </si>
  <si>
    <t>INDICA QUE A ELLA SOLO LE FALTABA PAGAR 300 SOLES PERO LA SEMANA PASADA SSE HACERCO LE DIEJIERON QUE LA DEUDA EL COMO 1000 / SE COMPROMETE A CANCELAR LA DEUDA</t>
  </si>
  <si>
    <t>DT:  3,694        DK: 1,868      PPC: 602.50</t>
  </si>
  <si>
    <t xml:space="preserve">Sustento: LE PAGARAN EL DIA 30/01/20 </t>
  </si>
  <si>
    <t xml:space="preserve">TAT LE LLEGO SMS POR 602.50 CENTIMOS PARA CANCELAR  </t>
  </si>
  <si>
    <t>DT: 25,951         DK: 14,669</t>
  </si>
  <si>
    <t>TAT SE COMPROMETE A PAGAR LA DEUDA CON CAMPAÑ POR CORREO ELECT.. POR 5000 SOLES // SE NEGOCIA EN BASE A 5000 POR UNICO MES *. YA EN EL MES QUE VIENE SERIA UN IMPORTE MAYOR INDICA TENER EL DINERO EN MANO*</t>
  </si>
  <si>
    <t>SEARCH 65 AÑOS</t>
  </si>
  <si>
    <t>MANTIENE DEUDA CON NOSOTROS OH</t>
  </si>
  <si>
    <t>REFINANCIA PERU S.A.</t>
  </si>
  <si>
    <t>DT: S/30,367.00         DK:S/ 26,525.OO  PPC 5306</t>
  </si>
  <si>
    <t>SUSTENTO DE PAGO: TAT  EN ANTERIORES CONVERCION QUE TENEMOS INDCO QUE ELLA DIENE AHORADO ALGO DE 3000 SOLES AL CUAL LA DIFRENCIA DE SU SUELDO PARA HACI CANCELAR LA DEUDA **HOJA YA NO SE LE PREGUNTA MUCHO MARIBEL POR QUE EL TAT EN REITEDAS OCACIONES ME INDICO DE DONDE SACARIA EL DINERO POR QUE ELLA QUIERE CANCELAR LA DEUDA CON 4000 SOLES SE LE INDIC QUE NO * SE LLEGO A CONCLUCION 5306 SOLES Y CERRAMOS EL TRATO*</t>
  </si>
  <si>
    <t>* TAT ADELANTA PAGO DE 306 SOLES EL DIA 20/01/20 LA DIFERENCIA A FIN DE MES*</t>
  </si>
  <si>
    <t>Fecha de Pago: 30/02/20</t>
  </si>
  <si>
    <t>DT: 2,486     PPC 1500</t>
  </si>
  <si>
    <t>Sustento: INDICA QUE SU AMIGA LE DARA EL DINERO /DEL UN PRESTAMOS / 53 SEARCH SOLO TIENE DEUDA EN LA FINANCIERA QAPAQ</t>
  </si>
  <si>
    <t>Fecha de Pago: 30/03/20</t>
  </si>
  <si>
    <t>DT:   706</t>
  </si>
  <si>
    <t>Sustento: COMO SIEMPRE CANCELA PAGA ELLA Y SU HIJO A FIND E MES D ESUS SUELDO. CANCELACION</t>
  </si>
  <si>
    <t>DT:1390.00          PPC. 480</t>
  </si>
  <si>
    <t xml:space="preserve">Sustento: AHORROS </t>
  </si>
  <si>
    <t xml:space="preserve">*100 SOLES SEMANALES TTOAL PPC 480 SOLES </t>
  </si>
  <si>
    <t xml:space="preserve">*AÑOS 28 AÑOS </t>
  </si>
  <si>
    <t xml:space="preserve">*NO TIENE DEUDA </t>
  </si>
  <si>
    <t xml:space="preserve">INB </t>
  </si>
  <si>
    <t>DT:2,791          DK: 1,189 ADELANTO DE PAGO: 150</t>
  </si>
  <si>
    <t>PPC TOTAL:150 SOLES</t>
  </si>
  <si>
    <t>Sustento:SUELDO*</t>
  </si>
  <si>
    <t>INDICA QUE NO PAGO POR QUE NO ESTABA SEGURO.</t>
  </si>
  <si>
    <t>*32 AÑOS</t>
  </si>
  <si>
    <t>*DEUDA:SERVICIO DE ADMINISTRACION TRIBUTARIADECHICLAYO</t>
  </si>
  <si>
    <t>QUIERE UN CREDITO* /LLAMO AL LINIA 1 (MOVIL BLANCO)/</t>
  </si>
  <si>
    <t xml:space="preserve">POR CONTILGENCIA SE CONSULTA A GEFATURA COLOCARLO UNA PPC YA Q ESO ES LA NEGOCIACION INICIAL </t>
  </si>
  <si>
    <t>DT:S/3,423.88</t>
  </si>
  <si>
    <t>DK:S/3,224.37</t>
  </si>
  <si>
    <t>Promoción: s/2000</t>
  </si>
  <si>
    <t>Sustento: ESPOSA SEÑORA GLADYS RESPONSABLE DE PAGO, CANCELA CON EXCEPCION S/2MIL SOLES / S/1000 HOY 12/03 Y EL REMANENTE A FIN DE MES, ABONARA EN BANCO BCP POR LA TARDE DESPUES DE LAS 4PM QUE SALE DE SU TRABAJO</t>
  </si>
  <si>
    <t xml:space="preserve">Search: 33 AÑOS /  NO FIGURA HIJOS / NO FIGURA EN PLANILLA / DEUDA TOTAL 1752.92 </t>
  </si>
  <si>
    <t xml:space="preserve">Fecha de Pago: 30/04   base </t>
  </si>
  <si>
    <t>Fecha de Pago: 30/04/20</t>
  </si>
  <si>
    <t>DT:S/1900</t>
  </si>
  <si>
    <t>DK:s/1260</t>
  </si>
  <si>
    <t>Campaña: s/500</t>
  </si>
  <si>
    <t>Sustento de pago: TT NO SE ENCUENTRA TRABAJANDO POR LA CUARENTENA, SIN EMBARGO REALIZARA EL ESFUERZO Y SE ACOGE A CAMPAÑA PARA CANCELAR A FIN DE MES EN INTERBANK / DISCADOR</t>
  </si>
  <si>
    <t>DT:S/3.200</t>
  </si>
  <si>
    <t>DK:s/1.200</t>
  </si>
  <si>
    <t>Campaña: s/350</t>
  </si>
  <si>
    <t>Sustento de pago: tt cancela con un dinero que recibe a fin de mes, pagara en interbank / discador</t>
  </si>
  <si>
    <t>DT:S/387.63</t>
  </si>
  <si>
    <t>DK:s/353.65</t>
  </si>
  <si>
    <t>Campaña: s/300</t>
  </si>
  <si>
    <t>Sustento de pago: tt pagara con su sueldo acogiendose a campaña, paga en bcp / discador</t>
  </si>
  <si>
    <t>Motivo de impago:no le enviaron codigo de cuenta</t>
  </si>
  <si>
    <t>DT:S/790</t>
  </si>
  <si>
    <t>Sustento de pago: se acoge a campaña, cancela en sullana / discador</t>
  </si>
  <si>
    <t>Motivo de impago:no quiere decir</t>
  </si>
  <si>
    <t xml:space="preserve">DT:S/ </t>
  </si>
  <si>
    <t>Campaña: s/ 150</t>
  </si>
  <si>
    <t>Sustento de pago:tt se hara un prestamo, abonara en agente, discador</t>
  </si>
  <si>
    <t xml:space="preserve">Motivo de impago:no sabia de deuda, </t>
  </si>
  <si>
    <t>DT:S/1520</t>
  </si>
  <si>
    <t>Sustento de pago: tt indica que se acogera a campaña y cancela con 500 soles, se envia informacion por whastapp con medios de pago</t>
  </si>
  <si>
    <t>FECHA DE PAGO: 30/12</t>
  </si>
  <si>
    <t>DT 22000 CAMPAÑA S/5200 CON EXCEPCION 2400 (EN UN SOLO PAGO)</t>
  </si>
  <si>
    <t>SUSTENTO TT INDICA QUE NO PUDO REALIZAR ABONO POR QUE NO LLEGO JUNTAR EL DINERO POR QUE NO LE PAGARON//SE LE INDICA EN CASO DE INCUMPLIMIENTO PENALIDAD//GRAB POR DISCADOR</t>
  </si>
  <si>
    <t>SEARCH 31 AÑOS// NO TIENE TRABAJO DEPENDIENTE//DEUDA CON TARJETA ESTILO</t>
  </si>
  <si>
    <t>DT: 1896</t>
  </si>
  <si>
    <t>MONTO DE PAGO : 400</t>
  </si>
  <si>
    <t>Sustento: TT ESPERA DE CONSEGUIR EL DINERO A MAS TARDAR LO REALIZARA VERA SI PUEDE ANTES NOS INFORMARA</t>
  </si>
  <si>
    <t>EDAD: 42</t>
  </si>
  <si>
    <t xml:space="preserve">TRABO E INGRESOS : SI </t>
  </si>
  <si>
    <t>FAMILIARES : ESPOSA  / 4 HERMANOS</t>
  </si>
  <si>
    <t>ENTIDADES REPORT: NO</t>
  </si>
  <si>
    <t>MONTO A PAGAR :  1350 ,   EL 20/12  va adelantar 100 soles</t>
  </si>
  <si>
    <t>Sustento:  regresa de viaje , ya cuenta con el dinero .</t>
  </si>
  <si>
    <t>Fecha de Pago: 30/12/19</t>
  </si>
  <si>
    <t>DT:  1950.00 DK:600.00</t>
  </si>
  <si>
    <t>Sustento: SOLICITA CAMPAÑA PARA CANCELAR LA DEUDA POR S/300.00 SOLES YA ABONO 100 Y 200 A FIN DE MES /30/12/19 O 31/12/19</t>
  </si>
  <si>
    <t>SEARCH: 49 AÑOS TIENE  DEUDA EN MIBANCO BANCO DE LA MICRO EMPRESA -Créditos castigados-801.88</t>
  </si>
  <si>
    <t xml:space="preserve">DT: 7932   DK: NO S ELE INFORMA / OFERTA SOLO POR ESTE MES 3200 </t>
  </si>
  <si>
    <t xml:space="preserve">Sustento: SELE REPROGRMA EL PAGO PPC 300 SOLES YA ABONO PPC LO RESTANTE 1300  SOLES TOTAL 3200 SOLES  INDICA QUE SU PRIMA LE ESTA DANDO LOS 1300 SOLES PERO NO SABE SI ES PARA HOY EN LA TARDE O LUNES POR QUE A ELLA LE ESTAN DANDO EL DINERO ESTA EN CUSCO YA / YA NO ESTA EN LA SELVA </t>
  </si>
  <si>
    <t>DT:1,182    DK: 696 CAMPAÑA: 600.00</t>
  </si>
  <si>
    <t>Sustento: TAT SE REPROGRAMA EL PAGO DE LA DIFERENCIA / YA ABONO 200 SOLES ** TOTAL 600</t>
  </si>
  <si>
    <t xml:space="preserve">DT:10,300.00   DK:10,100.00 </t>
  </si>
  <si>
    <t>Sustento: ENCARGADO DE LOS PAGOS EL HIJO RONALDIÑO IMA INIDCA QUE AYUDARA  ASU PADRE A PAGAR ESA CUENTA SI PADRE TIENE 48 AÑOS Y EN LA ACTUALIDAD TRABA DE AGRICULTOR RONALDIÑO INIDCA QUE EN UNA PRIMERA INSTANCIA SE OFRECIO A PAGAR EN PASES EN CUOTAS EN BASE A SU DEUDA CAPITAL 6,500 / LE INIDCARON QUE NO QUE MEJORE SU PROPUESTA DE PAGAR EN CUOTAS/ DESPUES MEJORO LA PROPUESTA A 700 SOLE POR 10 MESES AL CUAL SE SOLICITO UNA EXCEPCION JULIO LO APROBO POR 8500 EN 10 CUOTAS MENSUAL 850 AL CUAL EL TAT SE NEGO A PAGAR / EL QUERIA REFINANCIARLO POR 1 AÑO PERO SOLO EL CAPITAL NO LOS INTERESES / SE LE OFRECE CANCELAR CON 5MIL / INIDCA QUE NO PODRIA PAGAR ESE IMPORTE INIDCA/ EL SOLO QUERIA PAGAR LA DIFERENCIA 3000.00 SOLES PARA HACER LA CANCELACION AL CUAL S ELE NIEGA / Y SE LE INIDCA QUE SI CANCELA ESTE MES MAXDESC QUE S ELE PODRIA HACER EN 4500 SOLES SIEMPRE CUANDO ABONE 200 SOLES ADLEANTADO * SE COMPROMETIO Y CONFIRMO PAGO DE LA DIFERCIA</t>
  </si>
  <si>
    <t>CAJA</t>
  </si>
  <si>
    <t>Fecha de Pago: 30/5/20</t>
  </si>
  <si>
    <t>DT:S/ 700</t>
  </si>
  <si>
    <t>Campaña: s/ 580 - 380</t>
  </si>
  <si>
    <t>Sustento de pago: tt solicita cancelar con 380 en agente bcp se prestara dinero.discador</t>
  </si>
  <si>
    <t>Fecha de Pago: 30-01-2020</t>
  </si>
  <si>
    <t>DK :970</t>
  </si>
  <si>
    <t>PROMOCION. 200</t>
  </si>
  <si>
    <t xml:space="preserve">MIERCOLES 15-01-2020---&gt; 100 SOLES </t>
  </si>
  <si>
    <t xml:space="preserve">Sustento: PARA QUE SAQUE EL PRESTAMO: </t>
  </si>
  <si>
    <t xml:space="preserve">llamese si tiene deuda: </t>
  </si>
  <si>
    <t>edad: 35 años.</t>
  </si>
  <si>
    <t>si trabaja: NO TIENE TRABAJO FIJO// MECANICO</t>
  </si>
  <si>
    <t>cuanto gana: NO SABE</t>
  </si>
  <si>
    <t>PORQUE NO PAGO:</t>
  </si>
  <si>
    <t>PARA QUE SACO EL PRESTAMO: SOBREGIRO LA TARJETA// SU EX ESPOSA/</t>
  </si>
  <si>
    <t>NO SABIA NADA DE LA DEUDA//  VIVE EN PAITA PIURA.</t>
  </si>
  <si>
    <t>Fecha de Pago: 31/01    CERRADO WHATSAPP</t>
  </si>
  <si>
    <t>MONTO: 2500 PPC  EXCEPCION</t>
  </si>
  <si>
    <t>DT: 12333       DK : 8359</t>
  </si>
  <si>
    <t>Sustento: le pagan a fin de mes , no pago anteriormente por desconfianza mala informacion . esta trabajando .  asegura deposito</t>
  </si>
  <si>
    <t xml:space="preserve">Search :  30 , reporta 1 deuda </t>
  </si>
  <si>
    <t>Fecha de Pago: 31/01</t>
  </si>
  <si>
    <t>MONTO : 360 PPC</t>
  </si>
  <si>
    <t>DT: 2850       DK :  1179</t>
  </si>
  <si>
    <t xml:space="preserve">Sustento: esta trabajando le pagan a fin de mes  , aegura pagar el 31 .no pago por que no cuenta con el dinero . tuvo un percance </t>
  </si>
  <si>
    <t xml:space="preserve">Search :  43 , sueldo 2019 = 6242 . , reporta 4 deudas </t>
  </si>
  <si>
    <t>Fecha de Pago: 31/01/20</t>
  </si>
  <si>
    <t xml:space="preserve">TAT PRIMEOR QUERIA PAGAR PARA EL 1 D EFEBRERO / SE LE INDICA DE PENALIDADES Y DEMANDA / INDICA QUE A ELLA LE PAGAN EN LA NOCHE PLAN DE 6 A 7 PM SE INIDCA QUE TIENE PLAZO MAXINO 8PM * </t>
  </si>
  <si>
    <t>LA VENTUROSA S.A. ELLA CUENTA CON TRABAJO ESTABLE</t>
  </si>
  <si>
    <t>52 AÑOS /MIBANCO BANCO DEDUA INB*</t>
  </si>
  <si>
    <t>FECHA DE PAGO: 31/03</t>
  </si>
  <si>
    <t>DT 1821</t>
  </si>
  <si>
    <t>TT MENCIONA QUE YA SE HABIAN COMUNICADO Y LE INDICARON LA PROPUESTA DE CANCELACION POR 450</t>
  </si>
  <si>
    <t>SUSTENTO DE PAGO: CON EL PAGO DE SUS HABERES</t>
  </si>
  <si>
    <t xml:space="preserve">44 AÑOS/UNIDAD EJECUTORA 003 CORTE SUPERIOR DE JUSTICIA DE LIMA ING MENSUAL 1481/NO REGISTRA DEUDAS </t>
  </si>
  <si>
    <t>Fecha de Pago: 31/03/20</t>
  </si>
  <si>
    <t>DT:S/794</t>
  </si>
  <si>
    <t>DK:s/937</t>
  </si>
  <si>
    <t>Promoción:780 / 3 cuotas de 280</t>
  </si>
  <si>
    <t>Sustento: TT CANCELA COMO VIENE REALIZANDO HASTA LA FECHA</t>
  </si>
  <si>
    <t>Search: 38 AÑOS / NO FIGURA HIJOS / NO FIGURA EN PLANILLA / DEUDA CON TELEFONICA DEL PERU SAA 27.07</t>
  </si>
  <si>
    <t>Fecha de Pago: 31/12/19</t>
  </si>
  <si>
    <t xml:space="preserve">DT:  11,435     DK: 8,784.00 PPC: 5,030.00 SOLES </t>
  </si>
  <si>
    <t xml:space="preserve">Sustento:TAT INDICAQ QUE EL DINERO DEL BANCO DE LA NACION SI LE AN OTORGADO EL CREDITO SOLO QUE LE FALTA EL DINERO PARA CANCELAR INDICA QUE ESTA A LA ESPERA DEL DINERO DE PAGOS POR TIEMPO DE SERVICO DEL ESTADO POR MAS D E30 AÑOS COMO DOCENTE ESO ES  UN APROX DE 4000 MIL SOLES ESO ESTARIA DESTINADO UNA PARTE A LA FINANCIERA CREDINKA / </t>
  </si>
  <si>
    <t>SEARCH: 51 AÑOS / SOLO TIENE CREDITOS DEL BANCO D ELA NACION</t>
  </si>
  <si>
    <t>FECHA DE PAGO: 31-1</t>
  </si>
  <si>
    <t>DT 3300 CAMPAÑA 1535</t>
  </si>
  <si>
    <t>TT INDICA QUE MAÑANA 31-1 ESTARA CANCELANDO AL MEDIO DIA CON EXCEPCION DE 1160</t>
  </si>
  <si>
    <t>TT GANA SUELDO MINIMO Y TIENE DEUDA CON OTRA ENTIDAD FINANCIERA</t>
  </si>
  <si>
    <t>FECHA DE PAGO: 31-3</t>
  </si>
  <si>
    <t xml:space="preserve">DT 5500 CAMPAÑA 2000 </t>
  </si>
  <si>
    <t>TT PROPONE 1300 PARA ESTE MES</t>
  </si>
  <si>
    <t>SE LE PROPONE 7 CUOTAS DE 350</t>
  </si>
  <si>
    <t>TT PROPONE CANCELAR A FIN DE MES CON 1300 PERO POSIBLEMENTE TENGA ANTES PARA EL DIA 18</t>
  </si>
  <si>
    <t>TT PERCIBE MENSUAL 350 SOLES   TT TRABAJA DE INDEPENDIENTE NO TIENE TRABAJO FIJO ES AYUDANTE COCINA LAVA ROPA</t>
  </si>
  <si>
    <t>SEARCH: EDAD 33 AÑOS SOLO TIENE DEUDA CON PROEMPRESA NO REGISTRA TRABAJO EN PLANILLA</t>
  </si>
  <si>
    <t>Fecha de Pago: 7/01/20</t>
  </si>
  <si>
    <t>DT:28,571          DK: 3420  PPC POR 2,800 SOLES (EN 31/01/20 SE VISUALIZARA SU DESCUENTO D EPLANILLA DE 454 SOLES )</t>
  </si>
  <si>
    <t>Sustento: TAT PAGARA 2,346 MAÑANA 7 DE ENERO Y A FIN DE MES SE LE DESCUENTA DE PLANILLA 454 TOTAL 2800 SOLES PPC INFORMACION MARIANGELA</t>
  </si>
  <si>
    <t>FECHA DE PAGO: EL DIA DE HOY CANCELARIA</t>
  </si>
  <si>
    <t>MONTO TOTAL: 7700</t>
  </si>
  <si>
    <t>CAPITAL: 6600</t>
  </si>
  <si>
    <t>CAMPAÑA: 2750</t>
  </si>
  <si>
    <t xml:space="preserve">MOTIVO DE RETRASO: PROBLEMAS ECONOMICOS NO CONTABAN CON LOS MEDIOS SUFICIENTES PARA CANELAR Y SU MAMA ES SU GARANTE Y SU HERMANO QUE LO AYUDABA  APAGAR FALLECIO / EL TT RECIEN SE A RECIBIO EL 01/01 // </t>
  </si>
  <si>
    <t>EDAD: 26 AÑOS</t>
  </si>
  <si>
    <t xml:space="preserve">HIJOS: NO TIENE HIJOS </t>
  </si>
  <si>
    <t xml:space="preserve">DEUDAS: PRESTAMO COPERATIVA / SUB OFICIAL / </t>
  </si>
  <si>
    <t xml:space="preserve"> TT PROPONE DE 1700 SOLES PARA CANCELAR EL DIA DE HOY / APROBADO EL MONTO DE LA DEUDA </t>
  </si>
  <si>
    <t>Fecha de Pago: HOY</t>
  </si>
  <si>
    <t>DT: 750         DK:XXX      PPC 78</t>
  </si>
  <si>
    <t xml:space="preserve">Sustento:TAT PAGA SU ULTIMA CUOTA DE 78 SOLES ASIGNADO MARYRA </t>
  </si>
  <si>
    <t>Fecha de Pago:</t>
  </si>
  <si>
    <t>DT : 350</t>
  </si>
  <si>
    <t>DK : 330</t>
  </si>
  <si>
    <t>Sustento: tine 4 hijos menores unos de ellos esta enfermo, es soltera, nos menciona que el mes pasado le ofrecieorn pagar 220 soles. ( se le tuvo que ofrecer lo mismo)</t>
  </si>
  <si>
    <t>Search : se valida,  tiene planilla, tiene 45 años, no tiene vehiculo, no tienes otras deudas.</t>
  </si>
  <si>
    <t>( llamese si tiene deudad, edad, si trabaja cuanto gana)</t>
  </si>
  <si>
    <t>PORQUE NO PAGO: no pago poque dejo  trabajar.</t>
  </si>
  <si>
    <t xml:space="preserve">PARA QUE SACO EL PRESTAMO: fue para un negocito que tenia de bordado, para sus maquinas hace tiempo. </t>
  </si>
  <si>
    <t>Fecha de Pago:10/01/20</t>
  </si>
  <si>
    <t>DT:7,379.87</t>
  </si>
  <si>
    <t>DK:5,606.42</t>
  </si>
  <si>
    <t>Promoción: 1000</t>
  </si>
  <si>
    <t>Sustento: TT ABONO MES PASADO 200 Y ESTE MES SE ACOGE A CAMPAÑA DE CANCELACION POR IMPORTE DE S/1000 SOLES (MAYRA CERRO EL COMPROMISO) PAGARA EN INTERBANK</t>
  </si>
  <si>
    <t>Search: 71 AÑOS //DEUDA CON BCO FALABELLA PERÚ</t>
  </si>
  <si>
    <t>17703.70 // TRABAJA EN 20334929281 UNIDAD DE GESTION EDUCATIVA LOCAL 07 201909 A SUELDO: 910</t>
  </si>
  <si>
    <t>Fecha de Pago:10-01-2020</t>
  </si>
  <si>
    <t>DT : 1400</t>
  </si>
  <si>
    <t>DK : 830</t>
  </si>
  <si>
    <t>promocion: 170</t>
  </si>
  <si>
    <t>tiene deudas: NO TIENE</t>
  </si>
  <si>
    <t>-- A LA ESPERA DE LA CARTA DE NO ADEUDO DE LAS DIFERENTES FINANCIARES</t>
  </si>
  <si>
    <t>edad: 39</t>
  </si>
  <si>
    <t>si trabaja: si mafre-- asesor comercial</t>
  </si>
  <si>
    <t>cuanto gana: 3000 A 4000</t>
  </si>
  <si>
    <t xml:space="preserve">PORQUE NO PAGO: se quedo sin trabajo </t>
  </si>
  <si>
    <t>PARA QUE SACO EL PRESTAMO: tarjeta de credito</t>
  </si>
  <si>
    <t>POR CORREO: paolaserrano227@gmail.cpom</t>
  </si>
  <si>
    <t>celular: 9243405027</t>
  </si>
  <si>
    <t>FECHA DE PAGO:11-2</t>
  </si>
  <si>
    <t xml:space="preserve">DT 800 CAMPAÑA 80 </t>
  </si>
  <si>
    <t>TT INDICA HARA PAGO A MAS TARDAR EL DIA 11-2</t>
  </si>
  <si>
    <t>fecha de pago:13/03/20</t>
  </si>
  <si>
    <t>Sustento:se reprograma compromiso por motivo que no le pagaron y nos confirma cancelacion para mañana a las 3 pm con s/105  // whatsapp:920723902</t>
  </si>
  <si>
    <t>se llamo del cel N°19</t>
  </si>
  <si>
    <t>Fecha de Pago:14/01/20</t>
  </si>
  <si>
    <t>DT:S/7,437.82</t>
  </si>
  <si>
    <t>DK:s/5,164.72</t>
  </si>
  <si>
    <t>Promoción:3000</t>
  </si>
  <si>
    <t>Sustento: gerencia aprueba descuento ya que se verifica en sistema envio de sms 2499, TT CANCELA EN EL BANCO INTERBANK EL MARTES 14/1, SE ENVIA INFORMACION POR WHATSAPP</t>
  </si>
  <si>
    <t>Search: 61 AÑOS/20131370301 MINISTERIO PUBLICO-GERENCIA GENERAL</t>
  </si>
  <si>
    <t xml:space="preserve">201909 A 1928/DEUDA </t>
  </si>
  <si>
    <t xml:space="preserve">14806.70, </t>
  </si>
  <si>
    <t xml:space="preserve">5495.19, </t>
  </si>
  <si>
    <t>428.54 / NO FIGURA HIJOS</t>
  </si>
  <si>
    <t>Fecha de Pago:15-01-2020</t>
  </si>
  <si>
    <t>DK : 1200</t>
  </si>
  <si>
    <t>promocion:minimo 2 ---&gt; 850//minimo---&gt; 780</t>
  </si>
  <si>
    <t xml:space="preserve">Sustento: mantiene a su abuelita, persona de edad.// tiene hija// pasa pension//  corre con todos los gastos de su abuelita// vive huancavelina </t>
  </si>
  <si>
    <t>PORQUE NO PAGO: LA TIA  no cumplio con los pagos</t>
  </si>
  <si>
    <t>PARA QUE SACO EL PRESTAMO: para su tia, para ayudarla con sus gastos</t>
  </si>
  <si>
    <t>si tiene deudas: no tiene deudas</t>
  </si>
  <si>
    <t>si trabaja: si // en almacen</t>
  </si>
  <si>
    <t>cuanto gana: 2063</t>
  </si>
  <si>
    <t xml:space="preserve">CONTRAPROPUESTA DEL TT: 400 soles cancelar todo, el se ocupa de los gastos de el, de su hija, y de su abuela que es mayor  y solo tiene para cancelar 400 soles el dia de hoy. </t>
  </si>
  <si>
    <t>DT : 500</t>
  </si>
  <si>
    <t>DK :200</t>
  </si>
  <si>
    <t>promocion: 150</t>
  </si>
  <si>
    <t>llamese si tiene deuda:</t>
  </si>
  <si>
    <t>edad:  26</t>
  </si>
  <si>
    <t xml:space="preserve">si trabaja: empresa de huancavelica ventas </t>
  </si>
  <si>
    <t>cuanto gana: 425</t>
  </si>
  <si>
    <t>PORQUE NO PAGO:  porque tuvo problemas economicos</t>
  </si>
  <si>
    <t>PARA QUE SACO EL PRESTAMO:  para negocio de taxi para su esposo</t>
  </si>
  <si>
    <t>Fecha de Pago:16/03</t>
  </si>
  <si>
    <t xml:space="preserve">Sustento:  tt cuenta con  200 que le falta 50 soles , pero no deposita los 200 que tiene , hasta el momento no le prestan y le van hacer un pago .  </t>
  </si>
  <si>
    <t xml:space="preserve">Fecha de Pago:17/12/19 </t>
  </si>
  <si>
    <t>DT: 1650 DK:900 EXCEPCION: S/700.00 MARIANGELA</t>
  </si>
  <si>
    <t>Sustento: SE LE APRUEBA LA CAMPA DE SMS PARA QUE CANCELE LA DEUDA POR S/700.00 SOLES EL  EL ANTERIOR LLAMADO EL INIDCO QUE LE PAGARN HOY POR ESO MAÑANA PAGARIA SI O SI.</t>
  </si>
  <si>
    <t>SEARCH: 57 AÑOS Y NO TIENE DEUDA* INB*</t>
  </si>
  <si>
    <t>Fecha de Pago:18/02/20</t>
  </si>
  <si>
    <t>DT:S/1580</t>
  </si>
  <si>
    <t>DK:s/1100</t>
  </si>
  <si>
    <t>Promoción: S/880</t>
  </si>
  <si>
    <t>Sustento: TT SE COMUNICA INDICANDO QUE LE LLEGO UN SMS CON EL IMPORTE DE S/629, ABONARA EL DIA DE HOY ANTES DEL MEDIO DIA EN CREDINKA, TIENE DINERO EN MANO</t>
  </si>
  <si>
    <t>Search: 29 AÑOS/ TRABAJA EN 20181709066</t>
  </si>
  <si>
    <t>MUNICIPALIDAD PROVINCIAL DE CHUMBIVILCAS 201909</t>
  </si>
  <si>
    <t>A 1807 / NO FIGURA HIJOS / DEUDAS AMERICA MOVIL PERU S.A.C. - EQUIPOS</t>
  </si>
  <si>
    <t>AMERICA MOVIL PERU S.A.C.87.01 019-01-20</t>
  </si>
  <si>
    <t>DT:S/2,450.91</t>
  </si>
  <si>
    <t>DK:s/1,511.48</t>
  </si>
  <si>
    <t>Sustento: tt cancela s/2000 soles en qapaq (inbound)</t>
  </si>
  <si>
    <t>Search: 56 años/ no figura hijos/ no figura en planilla/ deuda 3113.45</t>
  </si>
  <si>
    <t>Fecha de Pago:18-01-2020</t>
  </si>
  <si>
    <t>DT : 3200</t>
  </si>
  <si>
    <t>DK :1700</t>
  </si>
  <si>
    <t>CAMPAÑA: 340</t>
  </si>
  <si>
    <t>Sustento: TT SE COMUNICA AL CORPORATIVO DEBIDO AL MENSAJE ENVIADO Y DESEA SU ESTADO DE CUENTA// INDICA QUE ELLA CONSIGUIO LOS 240 SOLES PORQUE YA HABIA QUEDADO ESE MONTO Y QUIERE PAGAR EL DIA SABADO.</t>
  </si>
  <si>
    <t>PORQUE NO PAGO: por problemas economicos</t>
  </si>
  <si>
    <t>PARA QUE SACO EL PRESTAMO:  por la tarjeta de credito.</t>
  </si>
  <si>
    <t>INTERBANK</t>
  </si>
  <si>
    <t>FISOLO SE MANTIENE DE LA PENSION DE SU EX MARIDO</t>
  </si>
  <si>
    <t>cuanto gana: ---</t>
  </si>
  <si>
    <t>CONTRAPROPUESTA DEL TT: 240 CANCELAR TODA SU DEUDA CON ESTE MONTO</t>
  </si>
  <si>
    <t>Fecha de Pago:20/01</t>
  </si>
  <si>
    <t>DT:S/2400</t>
  </si>
  <si>
    <t>Promoción: 970</t>
  </si>
  <si>
    <t>Sustento: TT SE ACOJE A CAMPAÑA Y CANCELA EL 20/01 EN SULLANA</t>
  </si>
  <si>
    <t>Search: 53 AÑOS / NO FIGURA FAMILIARES / NO FIGUTA TRABAJO / DEUDA CON CO FALABELLA PERÚ 3734.02</t>
  </si>
  <si>
    <t>Fecha de Pago:20/02/20</t>
  </si>
  <si>
    <t>DT:S/165</t>
  </si>
  <si>
    <t>DK:s/96</t>
  </si>
  <si>
    <t>Promoción: 90</t>
  </si>
  <si>
    <t>Sustento: TT SE ACOJE A CAMPAÑA, CANCELA CON 90 EN PROEMPRESA (DISCADOR)</t>
  </si>
  <si>
    <t>Search: 38 AÑOS / TRABAJA EN 20136617746 TRANSLIMA S.A.</t>
  </si>
  <si>
    <t>201909 A 1089 / NO FIGURA HIJOS / NO FIGURAN DEUDAS</t>
  </si>
  <si>
    <t>Fecha de Pago:21/05/20</t>
  </si>
  <si>
    <t>DT:S/1885</t>
  </si>
  <si>
    <t>Campaña: s/985</t>
  </si>
  <si>
    <t>Sustento de pago: tt se comunica al corporativo, indica que tiene 850 en mano, cancelara con 850 que a juntado hasta el momento, en credinka, solicita ayuda con carta de no adeudo, lo requiere a la breveda.</t>
  </si>
  <si>
    <t>Motivo de impago:no estaba trabajando.</t>
  </si>
  <si>
    <t>Fecha de Pago:22/05/20</t>
  </si>
  <si>
    <t>DT:S/2000</t>
  </si>
  <si>
    <t>DK:s/617</t>
  </si>
  <si>
    <t>Campaña: s/200 - s/123</t>
  </si>
  <si>
    <t>Sustento de pago: tt se comunica por whatsapp por sms que le llego, campaña de 123 soles, cancela en agente bcp , tiene dinero en mano.</t>
  </si>
  <si>
    <t>fecha de pago:23/01</t>
  </si>
  <si>
    <t>dt:26592</t>
  </si>
  <si>
    <t>dk:17056</t>
  </si>
  <si>
    <t xml:space="preserve">monto de pago:6822.45 </t>
  </si>
  <si>
    <t xml:space="preserve">sustento:  tiene un dinero ahorrado </t>
  </si>
  <si>
    <t>edad:26</t>
  </si>
  <si>
    <t>trabajo e ingresos: corte superior de justicia de ucayali</t>
  </si>
  <si>
    <t>familiares:no</t>
  </si>
  <si>
    <t xml:space="preserve">entidades reportadas : todas las cuentas las tiene al dia </t>
  </si>
  <si>
    <t>Fecha de Pago:23/05/20</t>
  </si>
  <si>
    <t>DT:S/1,619.20</t>
  </si>
  <si>
    <t>Campaña: s/1,150</t>
  </si>
  <si>
    <t>Sustento de pago: tt indica que cuenta con s/1000 para cancelar, es todo lo que tiene, depositara en un banco bcp o interbank</t>
  </si>
  <si>
    <t>fecha de pago:24/01</t>
  </si>
  <si>
    <t>dt:1201</t>
  </si>
  <si>
    <t>dk:271</t>
  </si>
  <si>
    <t>monto de pago:100</t>
  </si>
  <si>
    <t xml:space="preserve">sustento:sueldo </t>
  </si>
  <si>
    <t>edad:40</t>
  </si>
  <si>
    <t xml:space="preserve">trabajo e ingresos:techint. sac </t>
  </si>
  <si>
    <t>familiares:</t>
  </si>
  <si>
    <t xml:space="preserve">entidades reportadas :no tiene </t>
  </si>
  <si>
    <t xml:space="preserve">intentara realizar el pago por transferencia interbancaria si es que consigue ayuda , sino se dirigira a un banco interbank para poder realizar el pago </t>
  </si>
  <si>
    <t>FECHA DE PAGO:24/01/2020</t>
  </si>
  <si>
    <t>DT 8806</t>
  </si>
  <si>
    <t>SE CONTACTA A TT //SE MENCIONA APROBACION DE EXCEPCION POR 1000 SOLES //SE INDICA QUE LA CAMPAÑA ESTARA ACTIVA HASTA LAS 4PM ///</t>
  </si>
  <si>
    <t>54 AÑOS //NO REGISTRA INF LABORAL //SOLO TIENE 1 DEUDA EN CREDISCOTIA</t>
  </si>
  <si>
    <t>Fecha de Pago:25/05/20</t>
  </si>
  <si>
    <t>DT:S/2500</t>
  </si>
  <si>
    <t>Campaña: s/915</t>
  </si>
  <si>
    <t>Sustento de pago: tt se acoge a campaña, cancela con 915 en credinnka, discador</t>
  </si>
  <si>
    <t>Fecha de Pago:26/12/19</t>
  </si>
  <si>
    <t>DT:2,379</t>
  </si>
  <si>
    <t>DK:1,631</t>
  </si>
  <si>
    <t>Promoción:1000</t>
  </si>
  <si>
    <t>Sustento: TT SE ACOGE A CAMPAÑA Y LIQUIDA CON 1000 ANTES DEL 26/12 EN SULLANA YA QUE EN ESTA SEMANA RECIBIRA UN DINERO</t>
  </si>
  <si>
    <t>Search:40 AÑOS // 20550028515</t>
  </si>
  <si>
    <t>GRUPO SALUD DEL PERU SERVICIOS COMERCIALES S.A.C. - GSP SERVICIOS COMERCIALES S.A.C. //</t>
  </si>
  <si>
    <t>BCO FALABELLA PERÚ 798.96 //TELEFONICA DEL PERU SAA 182.76</t>
  </si>
  <si>
    <t>Fecha de Pago:27/01/20</t>
  </si>
  <si>
    <t>DT:S/ 1,432.24</t>
  </si>
  <si>
    <t>DK:s/763.19</t>
  </si>
  <si>
    <t>Promoción: le llego sms de 558</t>
  </si>
  <si>
    <t>Sustento: tt pide acojerse a campaña de sms que se le envio, cancela con 558 soles en el banco interbank</t>
  </si>
  <si>
    <t>Search: 38 años / 2 hijos 1 esposa / trabaja en 20102078781</t>
  </si>
  <si>
    <t>SAN MARTIN CONTRATISTAS GENERALES S.A.</t>
  </si>
  <si>
    <t>201909 / no figura deudas</t>
  </si>
  <si>
    <t>Fecha de Pago:27/05/20</t>
  </si>
  <si>
    <t>DT:S/1,297.81</t>
  </si>
  <si>
    <t>Campaña: s/122</t>
  </si>
  <si>
    <t>Sustento de pago: tt se comunica al corporativo por sms que le llego, cancela con campaña en agente bcp, quiere carta de cesion de derechos, tiene dinero en su trajeta bcp, derrepente transfiere desde su app</t>
  </si>
  <si>
    <t>Motivo de impago:porque mandaba a un tercero y depositaba por partes y le dejo un saldo</t>
  </si>
  <si>
    <t>DT:S/349.35</t>
  </si>
  <si>
    <t>Campaña: 278</t>
  </si>
  <si>
    <t xml:space="preserve">Sustento de pago: a tt le sms con campaña para cancelar, cancela con 278, pagara por navion (negociado por sandy) </t>
  </si>
  <si>
    <t>Motivo de impago:prestamo sacado para un familiar y este no pago</t>
  </si>
  <si>
    <t>Fecha de Pago:27-01-2020</t>
  </si>
  <si>
    <t>DT :7000</t>
  </si>
  <si>
    <t>DK :7000</t>
  </si>
  <si>
    <t>CAMPAÑA: 2000</t>
  </si>
  <si>
    <t xml:space="preserve">PORQUE NO PAGO: PORQUE SE ENFERMO Y GASTO 200 SOLES DE LOS 900  </t>
  </si>
  <si>
    <t>MOTIVO DE RESTASO: PROBLEMAS FAMILIARES</t>
  </si>
  <si>
    <t xml:space="preserve">PARA QUE SACO EL PRESTAMO:  PARA ELLA MISMA </t>
  </si>
  <si>
    <t>Search ::</t>
  </si>
  <si>
    <t>llamese si tiene deudas edas: BANCO RIPLEY  CAJA PIURA / EDYPIME  SUMAN 4500 SOLES</t>
  </si>
  <si>
    <t xml:space="preserve">si trabaja:TRABAJA CON SU TIA QUE VENDE COMIDA </t>
  </si>
  <si>
    <t xml:space="preserve">cuanto gana: no quiere decir. </t>
  </si>
  <si>
    <t xml:space="preserve">CONTRAPROPUESTA DEL TT: 700 soles ya que ella vive en ecuador, y se ira a trabajar otra ve, ya ya no podra generar un refinanciamiento, ya que alla tiene gastos, quiere pagar el dia de hoy  los 800 soles. </t>
  </si>
  <si>
    <t>Fecha de Pago:28/01</t>
  </si>
  <si>
    <t>DT:S/899.35</t>
  </si>
  <si>
    <t>DK:s/298.54</t>
  </si>
  <si>
    <t>Promoción: 300</t>
  </si>
  <si>
    <t>Sustento:TT INDICA QUE SE ACOGE A CAMPAÑA, ABONARA 300 HOY EN CREDINKA EN UNA HORA Y MEDIA</t>
  </si>
  <si>
    <t>Search: 45 AÑOS/ 2 HIJOS, 1 ESPOSA / TRABAJA EN 20411808972 AGRICOLA PAMPA BAJA S.A.C.201909 A 1373 / NO FIGURAN DEUDA</t>
  </si>
  <si>
    <t>Fecha de Pago:28/02/20</t>
  </si>
  <si>
    <t>DT:S/1,327</t>
  </si>
  <si>
    <t>DK:s/455</t>
  </si>
  <si>
    <t>Promoción: S/250</t>
  </si>
  <si>
    <t>Sustento: CANCELA EN INTERBANK EL 28/02 EL IMPORTE DE S/250 CON SU SUELDO / DISCADOR</t>
  </si>
  <si>
    <t>Search: 31 AÑOS / NO FIGURA HIJOS/ TRABAJA EN 20100128056</t>
  </si>
  <si>
    <t>SAGA FALABELLA S A</t>
  </si>
  <si>
    <t>DT:S/288</t>
  </si>
  <si>
    <t>DK:s/112</t>
  </si>
  <si>
    <t>Promoción: s/100</t>
  </si>
  <si>
    <t>Sustento: tt se prestara de padre para cancelar, abonara en credinka campaña de s/100</t>
  </si>
  <si>
    <t>Search: 38 años/ no figura en planilla / no figurn hijos/ deudas 2835.00</t>
  </si>
  <si>
    <t>DT:S/8,638.41</t>
  </si>
  <si>
    <t>DK:s/4,592.77</t>
  </si>
  <si>
    <t>Promoción: S/4815</t>
  </si>
  <si>
    <t>Sustento: TT CANCELA 4815 DE LA MISMA MANERA QUE ABONO EL MES PASADO, ENVIARA COMPROBANTE POR WHATSAPP</t>
  </si>
  <si>
    <t>Search: 41 AÑOS/ NO FIGURA HIJOS / TRABAJA EN 20601433827</t>
  </si>
  <si>
    <t>INVERSIONES A &amp; S TRAVEL?S S.A.C.</t>
  </si>
  <si>
    <t>2443/ DEUDAS 9463.43</t>
  </si>
  <si>
    <t>Fecha de Pago:28/12/19</t>
  </si>
  <si>
    <t>DT:92,973.41</t>
  </si>
  <si>
    <t>DK:11,516.69</t>
  </si>
  <si>
    <t>Promoción:10,500</t>
  </si>
  <si>
    <t>Sustento: TT ACEPTA CAMPAÑA Y CANCELA CON 10500 / AH VENDIDO SUS COSAS PARA PODER CANCELAR</t>
  </si>
  <si>
    <t>Search: 44 AÑOS/ CREDISCOTIA FINANCIERA</t>
  </si>
  <si>
    <t>3061.89 /</t>
  </si>
  <si>
    <t>Fecha de Pago:29/02/20</t>
  </si>
  <si>
    <t>DT:S/728</t>
  </si>
  <si>
    <t>DK:s/400.12</t>
  </si>
  <si>
    <t>Promoción: S/380</t>
  </si>
  <si>
    <t>Sustento: TT SE ACOJE A CAMPAÑA Y CANCELA CON 380, ABONARA LOS SABADOS 100 HASTA EL SABADO 29 QUE CANCELA LA TOTALIDAD, EN PRO EMPRESA, CON SUELDO (DISCADOR)</t>
  </si>
  <si>
    <t>Search: 37 AÑOS / TRABAJA EN 20477831860 HORNOS SCHEMIN S.A.C.</t>
  </si>
  <si>
    <t>201909 A 930 /DEUDAS NO CARGA</t>
  </si>
  <si>
    <t>Fecha de Pago:29/05/20</t>
  </si>
  <si>
    <t>DT:S/1,925.12</t>
  </si>
  <si>
    <t>Campaña: s/250</t>
  </si>
  <si>
    <t>Sustento de pago: tt se comunica al corporativo, cancela con 250 en interbank, se prestara dinero.</t>
  </si>
  <si>
    <t>FECHA DE PAGO:29-2</t>
  </si>
  <si>
    <t>DT 790 CAMPAÑA 300 10-2</t>
  </si>
  <si>
    <t>TT DESE CDNA A SU WHSTAPP</t>
  </si>
  <si>
    <t>TT LE PAGAN A FIN DE MES Y QUE HARA CANCELACION A FIN DE MES DE LOS 300 SOLES</t>
  </si>
  <si>
    <t>Fecha de Pago:30/01</t>
  </si>
  <si>
    <t>DT: 10200</t>
  </si>
  <si>
    <t xml:space="preserve">DK: 6800 </t>
  </si>
  <si>
    <t>MONTO DE PAGO : 250 ABONARA EL 30/01</t>
  </si>
  <si>
    <t>SE PROPONE 8500 INDICQ UE NO LE DESC NADA QUIERE PAGAR CAPITAL 6800 SE PROPONE 7000 EN UNA SOLA CUOTA INDIAC QUE VERA MAS ADELANTE LO QUE QUIERE ES CANCELAR Y NO PERJUDICARSE NO PAGO POR PROBLEMAS FAMILIRES Y EST MES TIENE GASTOS POR LA PROMOCIONDE SUS HIJAS</t>
  </si>
  <si>
    <t>Sustento: DE SU TRBAJO LABORA EN CABINAS DE INTERNET SOLO EN LAS NOCHE SPOR QUE ESTUDIA EN LAS MAÑANAS</t>
  </si>
  <si>
    <t>EDAD:29</t>
  </si>
  <si>
    <t>TRABO E INGRESOS : TRBAJA EN CABINAS DE INTERNET</t>
  </si>
  <si>
    <t>FAMILIARES : 2 HIJAS Y 2 HERMANOS</t>
  </si>
  <si>
    <t>Fecha de Pago:30/01/20</t>
  </si>
  <si>
    <t>DT:S/1,395</t>
  </si>
  <si>
    <t>DK:1,294.65</t>
  </si>
  <si>
    <t xml:space="preserve">Promoción: s/1050 // 3 CUOTAS DE 400 // </t>
  </si>
  <si>
    <t>Sustento: HIJA DE TT MAYRA RESPONSABSLE DEL PAGO CANCELA CON EXCEPCION SOLICITADA, IMPORTE DE S/650 EL 30/01/20 EN AGENTE BCP POR LA TARDE, TIENE 500 EN MANO Y SE PRESTARA 150</t>
  </si>
  <si>
    <t>Search:62 años / NO FIGURA HIJOS/ PENSIONADA /NO TIENE DEUDA</t>
  </si>
  <si>
    <t>DT:S/1650</t>
  </si>
  <si>
    <t>DK:s/870</t>
  </si>
  <si>
    <t>Promoción: 1200</t>
  </si>
  <si>
    <t>Sustento: TT SE ACOJE A CAMPAÑA Y CANCELA EN QAPAQ (LLAMADA DEL DISCADOR)</t>
  </si>
  <si>
    <t>Search: 41 AÑOS / NO FIGURA HIJOS / TRABAJA 20603670451</t>
  </si>
  <si>
    <t>CONSTRUCCIONES Y MAQUINARIAS VILLAR E.I.R.L 201909 A 930/ DEUDA CON ENTEL PERU S.A.147.90</t>
  </si>
  <si>
    <t>Fecha de Pago:30/03/20</t>
  </si>
  <si>
    <t>DT:S/5,600</t>
  </si>
  <si>
    <t>DK:s/3,890</t>
  </si>
  <si>
    <t>Campaña:s/2,250 s/1,942</t>
  </si>
  <si>
    <t>Sustento de pago: tt se comunica al corporativo 8 tiene el dinero en mano, indica que le llego un sms con importe de s/1942 soles, abonara en inerbank el dia de hoy</t>
  </si>
  <si>
    <t>Motivo de impago:no pago ya que en ese momento le exigian un importe con el que ella no contaba.</t>
  </si>
  <si>
    <t>Sustento: VENTA DE GANADO/RES/</t>
  </si>
  <si>
    <t>INDICA QUE FUE AL RESTAURANTE Y NO LE PAGARON, SE LE OFRECE CANCELAR NUEVAMENTE CON 320 SOLES CON UN *ADELANTO DE PAGO 50 SOLES.</t>
  </si>
  <si>
    <t>Fecha de Pago:30/05/20</t>
  </si>
  <si>
    <t>DT:S/1442</t>
  </si>
  <si>
    <t>Campaña: s/195</t>
  </si>
  <si>
    <t xml:space="preserve">Sustento de pago: tt se comunica a corporativo y se acoge a campaña y cancela, su esposa abonara, </t>
  </si>
  <si>
    <t>Motivo de impago: se accidento</t>
  </si>
  <si>
    <t>Fecha de Pago:30/12/19</t>
  </si>
  <si>
    <t>DT:1,563.44</t>
  </si>
  <si>
    <t>DK:1,076.01</t>
  </si>
  <si>
    <t>Promoción:650</t>
  </si>
  <si>
    <t>Sustento: TT SE ACOGE A CAMPAÑA Y CANCELA CON 650 POR LA TARDE EN CAJA SULLANA // discador</t>
  </si>
  <si>
    <t>Search: 31 AÑOS /DEUDA MIBCO 462.32</t>
  </si>
  <si>
    <t>DT:6,767.94</t>
  </si>
  <si>
    <t>DK:3,203.67</t>
  </si>
  <si>
    <t xml:space="preserve">Promoción: 641 </t>
  </si>
  <si>
    <t>Sustento: TT DICE QUE OH LE OFRECIO 641 Y PIENSA PAGAR ESO EL DIA 30/12,SE ENVIARA INFORMACION POR WHATSAPP // DISCADOR</t>
  </si>
  <si>
    <t>Search:36 años //20549068201</t>
  </si>
  <si>
    <t>VERISURE PERU S.A.C.</t>
  </si>
  <si>
    <t>Fecha de Pago:31/01/20</t>
  </si>
  <si>
    <t>DT:S/1270</t>
  </si>
  <si>
    <t>DK:s/755.29</t>
  </si>
  <si>
    <t>Promoción: 955</t>
  </si>
  <si>
    <t>Sustento: HIJA DE TT ES RESPONSABLE DE PAGO, SEÑORITA Freyssy, genera la cancelacion de deuda en QAPAQ CON EXCEPCION DE 760 // 375 EL 8/01 Y 385 EL 31/01</t>
  </si>
  <si>
    <t>Search: 43 AÑOS / TIENE HIJOS / NO FIGURA EN PLANILLA / DEUDAS 3994.08</t>
  </si>
  <si>
    <t>DT:S/500</t>
  </si>
  <si>
    <t>DK:s/256</t>
  </si>
  <si>
    <t>Promoción: S/275</t>
  </si>
  <si>
    <t>Sustento:TT INDICA QUE NO PUDO ABONAR YA QUE NO REUNIO EL DINERO Y NO QUIERE PERDER EL CRONOGRAMA QUE SE LE REALIZO, CANCELA SU DEUDA CON IMPORTE DE S/275 SOLES HASTA EL 31/01 DE LA MISMA MANERA EN LA QUE VIENE REALIZANDO</t>
  </si>
  <si>
    <t>Search: 39 AÑOS/ NO FIGURA HIJOS / NO FIGURA EN PLANILLA / DEUDA TOTAL: 5526.26</t>
  </si>
  <si>
    <t>Fecha de Pago:31/03/20</t>
  </si>
  <si>
    <t>DT:S/2,850</t>
  </si>
  <si>
    <t>DK:s/1,230</t>
  </si>
  <si>
    <t>Campaña: S/290</t>
  </si>
  <si>
    <t>Sustento de pago: tt trabaja con financiera compartamos y realiza abonos mensuales, este mes no les pagara y utilizara ese dinero para cancelar esta deuda, abonara en bcp  por la mañana (solicita cancelar con 245 soles por sms que le llego ayer con ese descuento)</t>
  </si>
  <si>
    <t>Motivo de impago: dejo de pagar porque operaron a su mama y dejo de trabajar para cuidarla</t>
  </si>
  <si>
    <t>DT:S/7,730.84</t>
  </si>
  <si>
    <t>DK:s/1,467.36</t>
  </si>
  <si>
    <t>Sustento: TT ABONARA CUOTA DE FEBRERO EL 4/03 , NO PUDO CUMPLIR PORQUE NO LE PAGARON, Y EL 31/03 PAGARA SU ULTIMA CUOTA EN SULLANA</t>
  </si>
  <si>
    <t>Search: 72 AÑOS/ NO FIGURA HIJOS / NO FIGURA ENPLANILLA/ DEUDAS 23201.25</t>
  </si>
  <si>
    <t>FECHA DE PAGO:31/12</t>
  </si>
  <si>
    <t>SE MENCIONA A TT SI YA TIENE RESPUESTA A LA CAMPAÑA QUE SE LE OTORGO POR 1000 SOLES //SE BRINDO COD DE PAGO 12275</t>
  </si>
  <si>
    <t>fecha de pago:31-3</t>
  </si>
  <si>
    <t>dt 2300 campaña 900 9-3</t>
  </si>
  <si>
    <t>saco prestamo para negocio de muebleria y se fue la quiebra negocio</t>
  </si>
  <si>
    <t>tt hace dos meses salio de ciudad del cuzco para trabajar</t>
  </si>
  <si>
    <t>acuerdo con tt para cancelar con 900 adelanto de 200 el dia 9-3 y 700 el 31-3</t>
  </si>
  <si>
    <t>sustento: dice que va sacar dinero de su trabajo</t>
  </si>
  <si>
    <t>search: edad 27 años, no registra trabajo en planilla, tiene deuda con dos entidades mas</t>
  </si>
  <si>
    <t>Fecha de Pago:4/02/20</t>
  </si>
  <si>
    <t>DT:S/1,425.77</t>
  </si>
  <si>
    <t>DK:s/480.54</t>
  </si>
  <si>
    <t>Sustento: TT NO PUDO GENERAR LA CANCELACION DE SU DEUDA EL 31/02 YA QUE NO TUVO PERMISO DE SALIR DEL TRABAJO, INDICA QUE MAÑANA CANCELA CON SEGURIDAD, SE LE COBRA PENALIDAD POR INCUMPLIMIENTO, POR LO QUE CANCELA CON 250 SOLES, ABONARA COMO LO VIENE REALIZANDO</t>
  </si>
  <si>
    <t>Search: 44 AÑOS/ NO FIGURA EN PLANILLA/ NO FIGURA HIJOS/ DEUDA 4655.36</t>
  </si>
  <si>
    <t>FECHA DE PAGO:4-2</t>
  </si>
  <si>
    <t>TT INDICA QUE HOY 4-2 HARA PAGO DE CAMPAÑA DE 750</t>
  </si>
  <si>
    <t>Fecha de Pago:7/02/20</t>
  </si>
  <si>
    <t>DT:S/2,140.90</t>
  </si>
  <si>
    <t>DK:s/1,199.90</t>
  </si>
  <si>
    <t>Promoción:1000 // TT SOLICITA CAMPAÑA SMS QUE LE LLEGO POR IMPORTE DE  878</t>
  </si>
  <si>
    <t>Sustento: TT CANCELA CON 878 HASTA EL 7/02/20 EN CREDINKA, ENVIARA COMPROBANTE POR WHATSAPP</t>
  </si>
  <si>
    <t>Search: 34 AÑOS/ NO FIGURA HIJOS/ NO FIGURA EN PLANILLA/ DEUDAS 3750.18</t>
  </si>
  <si>
    <t>FECHA DE PAGO:7-2</t>
  </si>
  <si>
    <t xml:space="preserve">DT 400 CAMPAÑA 120 </t>
  </si>
  <si>
    <t>TT HARA PAGO MAÑANA 7-2 CON CAMPAÑA 120</t>
  </si>
  <si>
    <t>FECHA DE PAGO:8-2</t>
  </si>
  <si>
    <t xml:space="preserve">DT 2000 CAMPAÑA 1250 </t>
  </si>
  <si>
    <t>TT DICE QUE RECIBIRA UN PRESTAMO Y QUE CON ESO PAGA TT DESEA  CDNA A SU WHSTAPP</t>
  </si>
  <si>
    <t>Fecha de Pago:9/03/20</t>
  </si>
  <si>
    <t>DT:S/701.15</t>
  </si>
  <si>
    <t>DK:s/644.75</t>
  </si>
  <si>
    <t>Promoción: s/472</t>
  </si>
  <si>
    <t>Sustento: tt se acerca a oficina, coordina con MAriangela, abonara con 472 como cancelacion en agente bcp</t>
  </si>
  <si>
    <t>Search: 33 años/no cuenta con hijos/ no figura en planilla/ deudas 1522.57</t>
  </si>
  <si>
    <t>fecha de pago24/01</t>
  </si>
  <si>
    <t>dt:5321</t>
  </si>
  <si>
    <t>dk:2173</t>
  </si>
  <si>
    <t>monto de pago:1200</t>
  </si>
  <si>
    <t xml:space="preserve">sustento:prestaran dinero </t>
  </si>
  <si>
    <t xml:space="preserve">trabajo e ingresos: independiente </t>
  </si>
  <si>
    <t>familiares:0</t>
  </si>
  <si>
    <t>entidades reportadas :no tiene</t>
  </si>
  <si>
    <t>FECHA PAGO 26/12</t>
  </si>
  <si>
    <t>DT 1770 DK 900 CAMPAÑA 700</t>
  </si>
  <si>
    <t>Sustento Indic que se estara acercando hacer cancelacion por cobro de sueldo trabja en municipalida de chiclayo//grb discador</t>
  </si>
  <si>
    <t>FECHA PAGO FINAL 25/03</t>
  </si>
  <si>
    <t>DT 718</t>
  </si>
  <si>
    <t xml:space="preserve">CAM 350 </t>
  </si>
  <si>
    <t>TT  REALIZARA LA  CANCELACION  DE LA DEUDA CON S/. 350 EN 3 PARTES DENTRO DEL MES EL 11/03 S/. 100 EL 18/03 S/. 100 Y  EL 25/03 S/. 150.</t>
  </si>
  <si>
    <t>EDAD 26</t>
  </si>
  <si>
    <t xml:space="preserve">NO  REGISTRA TRABAJO NI HIJOS </t>
  </si>
  <si>
    <t>DEUDA ACTIVA</t>
  </si>
  <si>
    <t>12000 CON OTRO BANCO</t>
  </si>
  <si>
    <t>Fecha: 31/03/2020</t>
  </si>
  <si>
    <t>DT:3200</t>
  </si>
  <si>
    <t>DK:1729</t>
  </si>
  <si>
    <t>campaña 1000</t>
  </si>
  <si>
    <t>ppTT menciona que no pago por que no le dieron facilidades de pago, se da opcion de campaña de 1000 para el 31/03 abonara 100 el 20/03</t>
  </si>
  <si>
    <t>Sustento: su sueldo</t>
  </si>
  <si>
    <t xml:space="preserve">Search: 38 años </t>
  </si>
  <si>
    <t>tiene trabajo ingreso 4400</t>
  </si>
  <si>
    <t xml:space="preserve">sin datos de hijo </t>
  </si>
  <si>
    <t>1 entidad reportada</t>
  </si>
  <si>
    <t>correo : juan16jjb@gmail.com</t>
  </si>
  <si>
    <t>fecja de pago 30-12</t>
  </si>
  <si>
    <t>dt 7200 dk 5516 campaña 1150 30-12</t>
  </si>
  <si>
    <t>tt dice que conseguira el dinero de campaña para el dia 30 brinda nro 970701776 tt  desea cdna a ese numero</t>
  </si>
  <si>
    <t>FELIPE TAPIA HUANCA  responsable  42826915</t>
  </si>
  <si>
    <t>Fecha de Pago:  04/01</t>
  </si>
  <si>
    <t>Monto : 2100 PPC - EXCEPCION</t>
  </si>
  <si>
    <t>DT:  6856      DK : 4587</t>
  </si>
  <si>
    <t>Sustento: trabaja en una obra , construccion , espera su pago , o se va hacer prestamo</t>
  </si>
  <si>
    <t>Search :  41 , no reporta deudas</t>
  </si>
  <si>
    <t>Monto :  700 .   /////            10/02 = 200 , 28/02 = 500 . TOTAL : 700</t>
  </si>
  <si>
    <t xml:space="preserve">Sustento: trabaja en una obra , construccion , pago de su trabajo  .  no pago porque en el campo sus animales se murieron y realizo gastos . </t>
  </si>
  <si>
    <t xml:space="preserve">FELIX AGUADO GONZALES PAPA RESPONSABLE </t>
  </si>
  <si>
    <t xml:space="preserve">MONTO : 700 PPC  </t>
  </si>
  <si>
    <t>Sustento:  tiene el dinero en mano va hacer el pago . no adelanto por desconfianza indica que su hijo necesita la carta de no adeudo para que pueda trabajar . y salir de infocorp .</t>
  </si>
  <si>
    <t>Feria : TT cancelará el 14/09 400 soles y el 30/09 el monto de 900.00.</t>
  </si>
  <si>
    <t xml:space="preserve">Melina realiza seguimiento. </t>
  </si>
  <si>
    <t>FERIA LIMA: TT PAGA PPC X 1000 HOY, CTA CON EFECTIVO.</t>
  </si>
  <si>
    <t xml:space="preserve">Feria: TT ABONA 4,800.0 SOLES </t>
  </si>
  <si>
    <t>FP  30/12</t>
  </si>
  <si>
    <t>DT 8300 CAMP 1500</t>
  </si>
  <si>
    <t>SUSTENTO :TT INDICA QUE NO PUDO HACER ABONO POR QUE POR MOTIVO DE VIAJE NO SE PUDO ACERCAR///INDICA QUE ESTARA ABONANDO YA EL MONTO TOTAL //SE LE MENCIONO PENALIDAD POR INCUMPLIMIENTO</t>
  </si>
  <si>
    <t xml:space="preserve">FP </t>
  </si>
  <si>
    <t>TT INDICA QUE QUIERE HACER CANCELACION EL DIA DE HOY , NOS DERIVO CON SU ASISTENTE LA SRTA NANCY //INGRESO LLAMADA EN EL CEL 17//SE LE DIO INFORMACION DE DT 14200 CAMPAÑA 2300//</t>
  </si>
  <si>
    <t>SEARCH  EDAD 48 AÑOS //TRABAJADOR DEPENDIENTE R &amp; R SERVICIOS INTEGRALES Y PROYECTOS S.A.C.//SOLTERO//DEUDAS</t>
  </si>
  <si>
    <t>FP /26/12</t>
  </si>
  <si>
    <t>DT1200 DK 770 CAMP 850</t>
  </si>
  <si>
    <t>INDICA QUE ESTRA ABONANDO DEUDA CON PAGO MESNSUAL//GRAB POR DISCADOR</t>
  </si>
  <si>
    <t>FP 04/02</t>
  </si>
  <si>
    <t>CAMPAÑA 1200</t>
  </si>
  <si>
    <t>Sustento : Se hablo con el hijo de la tt Saul Lopez Romero, es quien se esta haciendo cargo de la deuda lo que se acercara el dia de hoy a realizar la cancelacion//INBOUND</t>
  </si>
  <si>
    <t xml:space="preserve">Search edad 56 años viuda//trabajadora en planilla en onp//deuda vigente con banco de la nacion y caja arequipa con calificacion normal </t>
  </si>
  <si>
    <t>FP 11/04</t>
  </si>
  <si>
    <t>dt s/4045 dk s/2267</t>
  </si>
  <si>
    <t>SUSTENTO El sr Jose indica que cuenta con s/550 para poder realizar la cancelacion en el banco interbank, asignado por inbound.</t>
  </si>
  <si>
    <t>search no aplica</t>
  </si>
  <si>
    <t>FP 12/02</t>
  </si>
  <si>
    <t>TT INDICA QUE LE LLEGO UN MENSAJE DE CAMPAÑA PARA REALIZAR CANCELACION//QUIERE QUE SE LE ENVIE LA INFORMACION POR WHATSAPP PARA REALIZAR ABONO// NO DEJO QUE LE EXPLIQUEMOS Y LA HAGAMOS LA CONSULTA YA QUE DE MANERA CORTANTE INDICO ABONAR Y QUIERE MONTOS EXACTOS//DISCADOR//981158234</t>
  </si>
  <si>
    <t>SEARCH 40 AÑOS //CASADO//CON 1 HIJA//TRABAJADOR DEPENDIENTE  ACTIVO EN AMERICATEL//DEUDA PENDIENTE CON BANCO DE CREDITO DEL PERU</t>
  </si>
  <si>
    <t>FP 13/01</t>
  </si>
  <si>
    <t>SUSTENTO TT INDICA QUE NO PUDO HACER ABONO POR QUE NO PODIA REUNIR EL EFECTIVO//EL ATRASO DE PAGO CON CREDINKA FUE POR GASTOS DE FAMILIARES POR ENFERMEDAD Y NO PODIA ABONAR CUOTAS//INDICA QUE EL DINERO YA LO TIENE POR INGRESOS//CALIFICACION PERDIDA CAJA CUZCO//SE LE OFRECIO CAMP *1200 DT 3000//EDAD27 AÑOCASADA CON 1 HIJO//GRAB POR DISCADOR</t>
  </si>
  <si>
    <t>FP 13/01/20</t>
  </si>
  <si>
    <t>SUSTENTO TT INDICA QUE NO SABIA NADA DE DEUDA YA QUE PENSO QUE HIZO CANCELACION DE DEUDA EN CREDINKA HASTA QUE SE HAN COMUNICADO DE EXPERTIS INDICANDO DEUDA PENDIENTE//SE LE DICE DT 400 CAMP S/280//SE ESTARA ACERCANDO A CREDINKA.</t>
  </si>
  <si>
    <t>SEARCH TRABAJADOR DEPENDIENTE ACTIVO EN  I.E.P. LA SALLE//CALIFICACION NORMAL CON BANCO AZTECA//GRAB POR DISCADOR</t>
  </si>
  <si>
    <t>FP 14/02</t>
  </si>
  <si>
    <t>TT SE COMUNICO AL CORPORATIVO 17, INDICA QUE SE ESTRA ACERCANDO HACER EL ABONO, INDICA QUE LE LLEGO MENSAJE DE CANCELACION POR S/750</t>
  </si>
  <si>
    <t>FP 16/03</t>
  </si>
  <si>
    <t>DT 3500 CAMPAÑA 2000</t>
  </si>
  <si>
    <t xml:space="preserve">SUSTENTO TT INDICA QUE ESTARA REALIZANDO CANCELACION YA QUE NO QUERIA HACER ABONO Y NO TENER PROBLEMAS//ES DESCONFIADO POR LO QUE SE ENVIARA CARTA DE SECION DE DERECHOS </t>
  </si>
  <si>
    <t>SEARCH 54 AÑOS//SOLTERO//TRABAJADOR DEPENDIENTE PNCVFS EN PLANILLA //1 HIJO//NO REGISTRA DEUDAS ATRASADAS</t>
  </si>
  <si>
    <t>FP 17/01</t>
  </si>
  <si>
    <t>TT INDICA QUE SE ESTARA ACERCANDO A INTERBANK PARA CANCELACION DE DEUDA//GRAB POR DISCADOR</t>
  </si>
  <si>
    <t>NO HAY SEARCH// SE COLGO</t>
  </si>
  <si>
    <t>FP 17/02</t>
  </si>
  <si>
    <t>SUSTENTO TT INDICA QUE EL ATRASO DE PAGO FUE POR MOTIVOS DE VIAJE Y DESPUES NO LE DIERON FACILIDADES DE CANCELACION//INDICA QUE PAGARIA PARA QUINCENA YA QUE ES FECHA CUANDO RECIBE PAGO//GRAB POR DISCADOR//983688415</t>
  </si>
  <si>
    <t xml:space="preserve">SEARCH EDAD 34 AÑOS //SOLTERA//SIN TRABAJO EN PLANILLA//DEUDA PENDIENTE CON ATRASO </t>
  </si>
  <si>
    <t>SUSTENTO TT INDICA QUE SE ENCUENTRA DE VIAJE Y ESTARA RETORNANDO PARA LA QUINCENA DONDE ESTARA REALIZANDO CANCEALACION EN CREDINKA//SE LE OFRECE CAMPAÑA DE S/180 DT 400 //CONFIRMA ABONO PARA FECHA INDICADA//GRAB POR DISCADOR //941204174</t>
  </si>
  <si>
    <t>SEARCH 23 AÑOS //NO TRABAJA EN PLANILLA//NO REGISTRA DEUDAS EN SEARCH</t>
  </si>
  <si>
    <t>FP 18/02</t>
  </si>
  <si>
    <t>TT INDICA QUE EL PRESTAMO LO SACO PARA SU HERMANA QUIEN NO CUMPLIO LOS PAGOS, INDICA QUE PARTE DEL DINERO LO ESTA SACANDO POR PAGO DE LA ONPE POR TRABAJAR MOMENTANEAMENTE EN LAS ULTIMAS ELECCIONES.</t>
  </si>
  <si>
    <t>SEARCH 33 AÑOS//SOLTERO //NO REGISTRA HIJOS NI TRABAJO EN PLANILLA//NO REPORTA DEUDAS ATRASADAS</t>
  </si>
  <si>
    <t>FP 2/01/20</t>
  </si>
  <si>
    <t>CAMPAÑA 140</t>
  </si>
  <si>
    <t>SUSTENTO : TT INDICO QUE NO PUDO REALIZAR LA CANCELACION POR QUE NO LLEGARON A DAR EL DINERO QUE LE HIBAN A PAGAR//EL DIA D HOY SE ESTA ACERCANDO A REALIZAR CANCELACION</t>
  </si>
  <si>
    <t>FP 20/02</t>
  </si>
  <si>
    <t>CAMPAÑA S/1000( CON EXCEPCION)</t>
  </si>
  <si>
    <t>SUSTENTO INDICA QUE ESTARA RECIBIENDO ESTE IMPORTE COMO PAGO PENDIENTE QUE LE TIENEN INDICA DE TENER EL DINERO ANTES DE LA FECHA ADELANTARA PAGO.</t>
  </si>
  <si>
    <t>SEARCH 40AÑOS //SOLTERO//NO TRABAJA EN PLANILLA//DEUDA CON UNA ENTIDAD(COOPERATIVA DE AHORRO Y CREDITO GENESIS)//CREDITO CON PICHINCHA//CMAC AREQUIPA//AZTECA//EFECTICA</t>
  </si>
  <si>
    <t>FP 20/04</t>
  </si>
  <si>
    <t>DT 395</t>
  </si>
  <si>
    <t>SUSTENTO INDICA QUE ESTARA CONSIGUIENDO EL DINERO PERO TODAVIA PARA EL 20 YA AHORA NO ESTA TRABAJANDO, PERO QUIERE SALIR DE LA DEUDA PARA QUE SE LE ENTREGUE LA CARTA DE NO ADEUDO/SE ENVIO MENSAJE CON INFORMACION</t>
  </si>
  <si>
    <t>DT 7700  / 256 (ultima cuota de reprogramacion)</t>
  </si>
  <si>
    <t>SUSTENTO TT INDCIQ UE NO PUDO CANCELAR DEUDA YA QUE EN SU TRABAJO NO LA DEJAN SALIR, YA QUE TRABAJA EN UNA CAS DE REPOSO, TIENE EL DINERO Y LA INTENCION DE HACER EL PAGO DE SU ULTIMA LETRA.DICE QUE ESTARA SALIENDO PARA EL 13/04 , FECHA EN QEU PEDIRA VACACIONES.</t>
  </si>
  <si>
    <t>SEARCH NO SE UTILIZO</t>
  </si>
  <si>
    <t>FP 21/02 CAMPAÑA 2344 (CON EXCEPCION)</t>
  </si>
  <si>
    <t>TT MENCIONA QUE ESTA SOLICITANDO UN PRESTAMO A UN FAMILIAR CERCANO PARA CANCELAR DEUDA,PERO SOLO PUEDEN DARLE EL MONTO DE S/.2,344 YA QUE EL MES PASADO LE DIERON S/.200 Y POR HABERLE LLEGADO EL SMS DE S/.2,544 A FINES DE MES NO LE PUDIERON DAR TODO EL PRESTAMO//TT MENCIONA QUE EL VIERNES ABONARÀ ENTRE S/.200 A S/.300 PARA PAGAR EL RESTANTE EL 21/02</t>
  </si>
  <si>
    <t>25 AÑOS//NO TRABAJA EN PLANILLA</t>
  </si>
  <si>
    <t>FP 21/02</t>
  </si>
  <si>
    <t>CAMPAÑA S/120 DT 120</t>
  </si>
  <si>
    <t>TT INDICA QUE TUVO EL RETRASO POR ENFERMEDAD Y QUE SOLO DEJO UNA CUOTA PENDIENTE//INDICA QUE SEA ACERCARA EL FIN DE SEMANA PARA REALIZAR ABONO//944766178//DISCADOR SE FUE LA FICHA</t>
  </si>
  <si>
    <t>SEARCH 54 AÑOS SOLTERA//SIN HIJOS //REPORTA ATRASO CON PROEMPRESA ESTADO PERDIDA</t>
  </si>
  <si>
    <t>DT 990</t>
  </si>
  <si>
    <t xml:space="preserve">TT INDICA QUE SE ESTARA ACERCANDO A CREDINKA A REALIZAR ABONO//INDICA QUE ATRASO SE DEBE A PROBLEMAS PERSONALES </t>
  </si>
  <si>
    <t xml:space="preserve">SEARCH 28 AÑOS//SOLTERO//EN SEARCH NO RESPORTA DEUDA CON ATRASO </t>
  </si>
  <si>
    <t>FP 21/02/20</t>
  </si>
  <si>
    <t>TT INDICA QUE POR PERCANCES EN SU TRABAJO NO PUDO REALIZAR CANCELACION, INDICA QUE SE ESTARA ACERCANDO EL FIN DE SEMANA EN BANCO INTERBANK //SE LE INDICA PENALIDAD EN CASO DE INCUMPLIMIENTO</t>
  </si>
  <si>
    <t>FP 21/12</t>
  </si>
  <si>
    <t>DT 1300 DK 600 CAMPAÑA 550</t>
  </si>
  <si>
    <t>Sustento/ se estar acercanco a realizar abono a interbank/con dinero que le estaran prestando</t>
  </si>
  <si>
    <t>search 35 años/deuda perdida con mii banco//tien deuda con crear vigente con calificacion normal//grab por discador</t>
  </si>
  <si>
    <t>FP 23/01</t>
  </si>
  <si>
    <t>CAMP 1000 (CON EXCEPCION)</t>
  </si>
  <si>
    <t>TT INDICA QUE LE HAN RETRASADO EN EL PAGO QUE LE IVAN A REALIZAR POR TRABAJOS DE AGRICULTURA YA QUE SOLO LE HAN PAGADO LA MITAD Y LA DIFERNCIA LE ESTARAN DANDO A FINES DE MES//QUIERE PAGAR TODO EN UNA SOLA CUOTA Y NO PUEDE HACER ADELANTO POR QUE SE QUEDARIA SIN NADA PARA SU ALIMENTACION //SE LE INFORMO DE PENALIDAD//ESTA INTERESADO EN CANCELAR POR DESCUENTO YA QUE EL PRESTAMO FUE PARA SU HERMANA Y ELLA SE NIEGA A CANCELARLO.//MANUAL</t>
  </si>
  <si>
    <t xml:space="preserve">DT 1300 </t>
  </si>
  <si>
    <t>CAMPAÑA 700(CON EXCEPCION)</t>
  </si>
  <si>
    <t>SUSTENTO :TT INDICA QUE ESTARA REALIZANDO CANCELACION  EN AGENTE BCP//930833624GRAB POR DISCADOR</t>
  </si>
  <si>
    <t>SEARCH: SOLTERO//31 AÑOS//DEUDAS NO REGISTRA</t>
  </si>
  <si>
    <t>FP 23/12</t>
  </si>
  <si>
    <t>DT1400 DK 1100 CAMP 800</t>
  </si>
  <si>
    <t>SUSTENTO TT SE ACERCAR HACER CACELACION EN CAJA SULLANA// ABONARA CON SUS INGRESOS</t>
  </si>
  <si>
    <t>SERCH EDAD 42 AÑOS //NO TRABAJA DE MANERA DEPENDIENTE//GRAB DISCADOR</t>
  </si>
  <si>
    <t>FP 25/01</t>
  </si>
  <si>
    <t>CAMPAÑA 165</t>
  </si>
  <si>
    <t xml:space="preserve">TT INDICA QUE NO PUDO REALIZAR CANCELACION YA QUE POR MOTIVOS DE ATRASO EN EL PAGO DE SU LIQUIDACION NO PUDO ACERCARSE A CANCELAR//CONFIRMA CANCELACION </t>
  </si>
  <si>
    <t>FP 26/02</t>
  </si>
  <si>
    <t>DT 4105 CAMAPAÑA S/1000(CON EXONERACION)</t>
  </si>
  <si>
    <t>TT INDICA QUE ESTARA REALIZANDO EL ABONO EN FECHA PROGRAMADA YA QUE EL DINERO LO ESTRA ENTREGANDO SU HERMANA, INDICA ABONAR ANTES DE FECHA EN CASO LE ENTREGUEN ANTES EL DINERO//INBOUND</t>
  </si>
  <si>
    <t>SEARCH 41 AÑOS SOLTERA CON 3 HIJOS //NO REGISTRA DEUDAS CON ATRASO</t>
  </si>
  <si>
    <t>FP 27/01</t>
  </si>
  <si>
    <t>SUSTENTO TT INDICA QUE ATRASO DE PAGO FUE POR QUE EN CREDINKA NO QUIEERO RECIBIR PAGO A FINES DE MES Y LUEGO YA NO TENIA EL DINERO PARA LAS CUOATAS//DICE QUE SOLO QUEDO PENDIENTE DOS LETRAS //SE LE OFRECE CAMP 580 DT 1200 //NO HAY SEARCH//GRAB POR DOSCADOR //921053833</t>
  </si>
  <si>
    <t>FP 27/02</t>
  </si>
  <si>
    <t>SUSTENTO TT INDICA QUE PARA AFINES RECIBIRA DINERO, YA QUE TAMBIEN TIENE GESTIONES DE CANCELACION CON CAJA AREQUIPA, INDICA QUE SE COMUNICARON DANDO CAMPAÑA//INDICA QUE EL ATRASO SE DEBE QUE SACO EL PRESTAMO PARA OTRA PERSONA QUIEN LE FALLO Y DESPUES FALLECIO SU MAMA DEJANDO DE LADO LA DEUDA,//GRAB POR DISCADOR 975769234</t>
  </si>
  <si>
    <t>SEARCH SOLTERO DE 57 AÑOS//SIN HIJOS//DEUDAS PENDIENTES CON CAJA AREQUIPA Y NUEVA VISION</t>
  </si>
  <si>
    <t>TT INDICA QUE ESTARA RECIBIENDO UN DINERO CON LO QUE REALIZARA CANCELACION,ESTA INTERESA EN CDN POR QUEQUIERE SOLICITAR PRESTAMO .</t>
  </si>
  <si>
    <t>SEARCH SOLTERA 28 AÑOS//SIN TRABAJO EN PLANILLA NO REGISTRA ACTIVA EN ESSALUD//SIN HIJOS//NO REGISTRA DEUDAS ATRASADAS</t>
  </si>
  <si>
    <t>FP 28/01</t>
  </si>
  <si>
    <t>CAMPAÑA 760</t>
  </si>
  <si>
    <t>TT INDICA QUE NO PUDO REUNIR IMPORTE EL MES ANTERIOR Y  REUNIRA DINERO DE LAS GANANCIAS QUE TENDRA DEL CULTIVO YA QUE SE DEDICA A LA AGRICULTURA//938614600//GRAB POR DISCADOR</t>
  </si>
  <si>
    <t>SEARCH EDAD 44//SOLTERA//CON DEUDAS :</t>
  </si>
  <si>
    <t>FP 28/02</t>
  </si>
  <si>
    <t>TT INDICA QUE SU SOBRINO CONFIRMO QUE REUNIRA EL DINERO DE SU NEGOCIO PARA PODER REALIZAR LA CANCELACION/SU SOBRINO MANUEL ES QUIEN  LO APOYA EN CUANTO LOS PENDIENTES QUE PUEDA TENER YA QUE ANTERIORMENTE SE ENFERMO Y EL LO APOYO EN CUANTO A LOS GASTOS YA QUE EL ES SU AHIJADO</t>
  </si>
  <si>
    <t xml:space="preserve">SEARCH 69 AÑOS CASADO//NO REPORTA DEUDA </t>
  </si>
  <si>
    <t>FP 28/03</t>
  </si>
  <si>
    <t>SUSTENTO TT CONFIRMA ABONO DE LA ULTIMA CUOTA DE S/232, PARA FIN DE MES, SE FASTIDIA POR LA LLAMADA DE PROGRAMACION INDICANDO QUE YA TIENE UN ACUERDO POR CRONOGRAMA ,POR LO QUE COMPROMISO SE REALIZO POR WHATSAPP.</t>
  </si>
  <si>
    <t>SEARCH 61 AÑOS//CASADA//DEUDAS PENDIENTES CREDISCOTIA FINANCIERA S A</t>
  </si>
  <si>
    <t>FP 28/12</t>
  </si>
  <si>
    <t>Sustento/ Se hace reprogramacion de cancelacion ya que indica que aun no le han pagado aguinaldo por lo que el fin de semana se estara acercanco a realizar abono a interbank con dinero que le estaran prestando</t>
  </si>
  <si>
    <t>search 35 años/deuda perdida con mii banco//tiene deuda con crear vigente con calificacion normal</t>
  </si>
  <si>
    <t>DT 2100 CAMPAÑA 150</t>
  </si>
  <si>
    <t>SE ACERCARA HACER CANCELACION POR BCP //POR WATHSAPP SOLICITA EL ENVIO DE CARATA DE NO ADEUDO</t>
  </si>
  <si>
    <t>FP 29/01</t>
  </si>
  <si>
    <t>TT INDICA QUE EL RETRASO CON OH FUE POR PERCANSES Y PROBLEMAS QUE NO PODIA JUNTAR PARA LA CUOTA //TRABAJADOR DEPENDIENTTE //39 AÑOS //DEUDAS CON BANCO DE CREDITO DEL PERU</t>
  </si>
  <si>
    <t>DUD</t>
  </si>
  <si>
    <t>BANCO DE CREDITO DEL PERU</t>
  </si>
  <si>
    <t>fp 29/04</t>
  </si>
  <si>
    <t>campaña s/10000</t>
  </si>
  <si>
    <t>Sustento Se coordina con el sr Lucio , quien es yerno del tt encargado de la cancelacion de la deuda, indica que con el pago de una reparacion civil que se le entregara pasando el 20 de abril realzzara cancelacion/en caso de que le entregan antes el dinero realizara pago.</t>
  </si>
  <si>
    <t>search No registra deuda INBOUND QUE LLAMO A MI MOVIL EN MARZO</t>
  </si>
  <si>
    <t>dt22200 excepcion s/1500</t>
  </si>
  <si>
    <t>TT ocnfirma cancelacion de deuda para este mes ya que con apoyo de su hermana quien le esta ayudando a reunir el importe como lo ha hecho los meses anteriores</t>
  </si>
  <si>
    <t>search deudas con 2 entidades</t>
  </si>
  <si>
    <t>FP 3/01</t>
  </si>
  <si>
    <t>TT CONFIRMA CANCELACION POR S/320//LLAMADA DESDE FIJO//INBOUND</t>
  </si>
  <si>
    <t>FP 30/01</t>
  </si>
  <si>
    <t>ÇAMPAÑA 2000 DT 6900</t>
  </si>
  <si>
    <t>SUSTENTO TT INDICA QUE ANTERIORMENTE NO PUDO RELIZAR CANCELACION DE DEUDA POR QUE SE ENCONTRABA EN UN JUICIO POR QUE NO LE ALCANZABA POR LOS PAGOS QUE TENIA QUE HACER A SU ABOGADO//INDICA QUE PARA FIN DE MES RECIBIRA UN IMPORTE CON LO UQE CANCELARA DEUDA //GRAB POR DISCADOR//938387772</t>
  </si>
  <si>
    <t>SEARCH SOLTERO 31 AÑOS//SOLTERO//SIN DEUDAS REGISTRADAS//</t>
  </si>
  <si>
    <t>DT 3100 CAMPAÑA 1200</t>
  </si>
  <si>
    <t>SUSTENTO TT INDICA QUE SE RETRASO EN LOS PAGOS POR QUE SALIO AL EXTRANJERO Y QUEDO DEUDAS PENDIENTES//INDICA QUE ESTA EN LA SELVA Y QUE REGRESARA A LIMA PARA LAS ELECCIONES PARA REALIZAR CANCELACION // INDICA QUE EL LUNES REALIZARA UN ADELANTO DE S/600 Y LA DIFERENCIA LO ABONARA A FIN DE MES//GRAB POR DISCADO//944181266</t>
  </si>
  <si>
    <t>SEARCH 56 AÑOS SEPARADO//SIN TRABAJO DEPENDIENTE DEUDAS CAJA MUNICIPAL DE AHORRO Y CREDITO TRUJILLO</t>
  </si>
  <si>
    <t>DT 7600 CAMPAÑA 2300 (1700 CON EXCEPCION)</t>
  </si>
  <si>
    <t>SUSTENTO TT INDICA QUE SE RETRASO EN SUS PAGOS POR MOTIVOS DE ENFERMEDAD , AHORA CUENTA CON EL APOYO DE SUS HERMANOS Y SUS HIJOS PARA COMPLETAR IMPORTE QUE TIENE CON UNA ACTIVIDAD QUE ESTA ORGANIZANDO//REALIZARA CANCELACION A FIN DE MES.</t>
  </si>
  <si>
    <t>SEARCH SOLTERO//64 AÑOS NO REGISTRA DEUDA</t>
  </si>
  <si>
    <t>DT 8000 CAMPAÑA 2900</t>
  </si>
  <si>
    <t>SUSTENTO INDICA QUE RECIBIRA UN IMPORTE YA QUE SE DEDICA A LA AGRICULTURA,, DICE QUE EN CASO DE RECIBIR EL DINERO ANTES ABONORA UN ADELANTO.</t>
  </si>
  <si>
    <t>SEARCH SOLTERO 52 AÑOS//CON VEHICULO PLACA C56177// DEUDAS</t>
  </si>
  <si>
    <t>CREDISCOTIA FINANCIERA S A</t>
  </si>
  <si>
    <t>DT 830</t>
  </si>
  <si>
    <t xml:space="preserve">SE LE OFRECE CAMPAÑA DE 440//INDICA QUE PEDIRA ADELANTO EN SU TRABAJO PARA PODER HACER CANCELACION DE DEUDA, SI PUEDE HARA ABONO ANTES DE FECHA </t>
  </si>
  <si>
    <t xml:space="preserve">SEARCH SOLTERO 24 AÑOS SOLTERO//DEUDA VIGENTE CON CAJA AREQUIPA//NO PRESENTA ATRASOS </t>
  </si>
  <si>
    <t>TT CONFIRMA CANCELACION EN FECHA INDICADA EN BANCO INTERBANK//SE OFRECIO CAM 300 DT3500 //GRAB POR DISCADOR</t>
  </si>
  <si>
    <t>SEARCH 44 AÑOS//SIN TRABJO DEPENDIENTE//DEUDA ENTIDAD FINANCIERA</t>
  </si>
  <si>
    <t>TT INDICA QUE ESTARA ABONANDO EL HOY POR LA TARDE, SE ESTARA ACERCANDO AL INTERBANK A REALIZAR CANCELACION.</t>
  </si>
  <si>
    <t>SEARCH 43 AÑOS SOLTERO, TRABAJADOR  DEPENDIENTE//DEUDAS VIGENTES EN CALIF PERDIDA CAJA MUNICIPAL DE AHORRO Y CREDITO DE SULLANA S A</t>
  </si>
  <si>
    <t>CAJA MUNICIPAL DE AHORRO Y CREDITO DE SULLANA S A</t>
  </si>
  <si>
    <t>FP 30/01/20</t>
  </si>
  <si>
    <t>DT 600 CAMP 56</t>
  </si>
  <si>
    <t>TT INDICA QUE TIENE LA INFORMACION DE EQUIFAX DE CANCELACION CON S/56 SOLES //ENVIARA A UN FAMILIAR PARA QUE HAGA PAGO EN INTERBANK // 929261029</t>
  </si>
  <si>
    <t>SEARCH SOLTERO DE 36 AÑOS //DEUDAS VIGENTES SOLO CON FINANCIERA UNO S A</t>
  </si>
  <si>
    <t>FP 30/03</t>
  </si>
  <si>
    <t>DT 3800 CAMPAÑA 450</t>
  </si>
  <si>
    <t>TT INDICA QUE NO PUDO HACER SU CANCELACION ANTERIORMENTE POR QUE NO LE BRINDARON FASCILIDADES NI DESCUENTOS CUANDO TUVO EL RETRASO //SE ENCUENTRA DE VIAJE POR LO QUE NO PUEDE RELZAR ANTES ABONO YA QUE SE ENCUENTRA EN ZONA ALEJADA.</t>
  </si>
  <si>
    <t>SEARCH  42 AÑOS//SOLTERO//NO REGISTRA EN PLANILLA Y SEGURO EN ESSALUD FUE HASTA EL 2014//DEUDA CON BANCO RIPLEY PERU S A</t>
  </si>
  <si>
    <t>TT INDICA QUE SU HIJA FLOR HURTADO ENCARGADO DE LOS PAGOS SE ACERCARA REALIZAR EL PAGO DE LA ULTIMA DE CUOTA DE 12 , PARA REALIZAR CANCELACIO, INDICA QUE EN CASO DE PODER HACER ABONO ANTES DE LA FECHA LO REALIZARA, DEPUES SE ESTARA ACERCANDO POR LA CARTA DE NO ADEUDO.//GRAB POR DISCADOR</t>
  </si>
  <si>
    <t>SEARCH 58 AÑOS//CASADO //DEUDA CON ATRASO CON AZTECA EN ESTADO DE PERDIDA</t>
  </si>
  <si>
    <t>FP 30/12</t>
  </si>
  <si>
    <t>CAMPAÑA 525</t>
  </si>
  <si>
    <t>SUSTENTO TT INDICA QUE ESTABA PREOCUPADA POR QUE ANTERIORMENTE TENIA UN ACUERDO CON EMPRESA ACREEDORA CANCELAR EN TRES CUOTAS DE S/525, AHORA LA CARTERA ESTA EN EXPERTIS Y QUIERE REALIZAR LA CANCELACION POR EL MISMO IMPORTE//YA CUENTA CON EL DINERO //INBOUD</t>
  </si>
  <si>
    <t>DT 2100 CAMPAÑA 180</t>
  </si>
  <si>
    <t>SUSTENTO SE ESTRA ACERCANDO A BCP AREALIZAR ABONO O VERA SI PUEDE HACER UNA TRASFERENCIA//QUIERE CARTA DE NO ADEUDO POR WHATSAPP//GRAB POR DISCADOR</t>
  </si>
  <si>
    <t>FP 31/01</t>
  </si>
  <si>
    <t>TT INDICA QUE SE ACERCARA HACER LA CANCELACION DE LA DEUDA QUE NO HA PODIDO ANTES YA QUE SE ENCONTRABA EN EL CAMPO//SE LE OFRECE CAMPAÑA DE 650 Y DT 2000//GRAB POR DISCADOR//963721904</t>
  </si>
  <si>
    <t>SEARCH SOLTERO DE 41 AÑOS//NO REGISTRA OTRAS DEUDAS VIGENTES</t>
  </si>
  <si>
    <t>FP 31/12</t>
  </si>
  <si>
    <t>CAMP S/191</t>
  </si>
  <si>
    <t>TT INDICA QUE SE ACERCARA ABONAR A BANCO INTERBANK POR EL IMPORTE DE  S/191.4</t>
  </si>
  <si>
    <t>SUSTENTO TT INDICIA QUE NO LE HAN PAGADO TODAVIA YA QUE LE ESTARAN PAGANDO HOY COMO A LAS  6 DE LA TARDE//CONFIRMA CANCELACION PARA EL 31/12.//NO TUBO AGUINALDO Y ESTARA PAGANDO CON PAGO DE FIN DE MES</t>
  </si>
  <si>
    <t>FP 6/01/20</t>
  </si>
  <si>
    <t>SUSTENTO TT INDICA QUE HARA CANCELACION POR EL IMPORTE DE S/1000, EL MONTO RECIBIRA DE UNOS TRABAJOS QUE HA REALIZADO,(EL SOLO DE DEDICA A LA AGRICULTURA), SE HARA CARGO YA QUE LA DEUDA FUE PARA SU HERMANA//CONFIRMA CANCELACION EN LA CAJA SULLANA</t>
  </si>
  <si>
    <t>SEARCH CASADO 29 AÑOS//SIN TRABAJO DEPENDIENTE SOLO SE DEDICA A LA AGRICULTURA</t>
  </si>
  <si>
    <t>FP 6/03</t>
  </si>
  <si>
    <t>TT INDICA QUE SE ESTARA ACERCANDO A CREDINKA HACER CONSULTA ,SE LE MENCIONA QUE DEUDA HA SIDO DERIVADA A LA EMPRESA EXPERTIS CON UNA CAMPAÑA E CANCELACION //INDICA QUE SE ACERCARA HACER CANCELACION //DISCADOR//929482071</t>
  </si>
  <si>
    <t>SEARCH 32 AÑOS//SOLTERA//NO REGISTRA HIJOS//DEUDA PENDIENTE CON CAJA MUNICIPAL DE AHORRO Y CREDITO CUSCO S A</t>
  </si>
  <si>
    <t>FP 9/03</t>
  </si>
  <si>
    <t>TT INDICA QUE SE ESTARA ACERCADO HACER CANCELACION YA QUE LE LLEGO UN CORREO CON UNA CAMPAÑA DE S/695//LO QUE CONTARIA CON EL DINERO LA PROX SEMANA YA QUE TENIA INTENCION DE CANCELAR DEUDA//INDICA QUE QUIERE QUE LE ENVIEN LA INFORMACION DEL COMPROMISO DE PAGO AL CORREO//GRAB POR DISCADOR// 977904860</t>
  </si>
  <si>
    <t>SEARCH 46 AÑOS//CASADO//SIN TRABAJO DEPENDIENTE//NO REGISTRA DEUDAS CON ATRASO</t>
  </si>
  <si>
    <t>FP27/2/2020</t>
  </si>
  <si>
    <t>TT INDICA QUE ATRASO FUE POR QUE EL PRESTAMO LO SACO PARA UN FAMILIAR QUIEN NO LO ESTABA PAGANDO PUNTUAL //TIENE ACTUALMENTE PRESTAMO GRUPAL CON COMPARTAMOS//TIENE INTERES DE CANCELAR DEUDA//DISCADOR</t>
  </si>
  <si>
    <t>SEARCH SOLTERA 47 AÑOS SIN HIJOS /NO TRABJA EN PLANILLA//DEUDA ATRASADA CON PROEMPRESA//DEUDA VIGENTE EN NORMAL CON COMPARTAMOS//</t>
  </si>
  <si>
    <t>FP28/01(DE PODER EFECTUAR PAGO ANTES LO HARA)</t>
  </si>
  <si>
    <t>TT INDICA QUE CANCELO DEUDA  EN 3 CUOTAS POR CONVENIO PERO NO LO CANCELARON DEUDA SINO LO HICIERON COMO ABONO QUEDANDO SALDO PENDIENTE//CAJA HUARAL PERDIDA// QUIERE UN COMPROMISO DE PAGO PARA ASEGURAR CANCELACION//SIN TRABAJO DEPENDIENTE//CASADA //EDAD 40AÑOS//SE INFORMA DE PENALIDA POR INCUMPLIMIENTO//CAMP 260 DT1070</t>
  </si>
  <si>
    <t>FP29/02</t>
  </si>
  <si>
    <t>TT INDICA QUE EL MES ANTERIOR NO PUDO REALIZAR ABONO POR QUE SU MADRE SE ENFERMOS Y ENTRO DE EMERGENCIA EL ATRASO SE DEBIO A QUE CANCELO DEUDA  EN 3 CUOTAS POR CONVENIO PERO NO LO CANCELARON DEUDA SINO LO HICIERON COMO ABONO QUEDANDO SALDO PENDIENTE.</t>
  </si>
  <si>
    <t>SEARCH DEUDA CON CAJA HUARAL PERDIDA//SIN TRABAJO DEPENDIENTE//CASADA //EDAD 40AÑOS//SE INFORMA DE PENALIDA POR INCUMPLIMIENTO//CAMP 260 DT1070</t>
  </si>
  <si>
    <t>FPAGO 30/12</t>
  </si>
  <si>
    <t>DT  400 CAMPAÑA S/140</t>
  </si>
  <si>
    <t xml:space="preserve">SUSTENTO SE REALIZARA EN AGENTE BCP //ABONO CON SUELDO DE FIN DE MES //GRAN POR DISCADOR. </t>
  </si>
  <si>
    <t xml:space="preserve">FRANK INDICA QUE NO PUDO LLEGAR A REALIZAR EL PAGO YA MAÑANA PAGARA EL MONTO DE 500 SOLES YA QUE NO LE DIO TIEMPO / PPC </t>
  </si>
  <si>
    <t>FRCHA DE PAGO 31-3</t>
  </si>
  <si>
    <t>DT 5400 CAMPAÑA 4200</t>
  </si>
  <si>
    <t>TT INDICA QUE FUE A CREDINKA Y LE DIJERON QUE EXPERTIS ES EL ACREEDER YA ESTA CON LA DUDA DESPEJADA</t>
  </si>
  <si>
    <t>ACUERDO CON TT PARA CANCELAR CON CAMPAÑA 4200 EN DOS PARTES: 300 EL 16-3 Y 3900 EL 31-3</t>
  </si>
  <si>
    <t>SUSTENTO: TT A LA ESPERA DE RECIBIR DINERO DE LA VENTA DE SU PROPIEDAD</t>
  </si>
  <si>
    <t>SEARCH; EDAD 52 AÑOS, NO REGISTRA TRABAJO EN PLANILLA, TT TIENE DEUDA CON 2 ENTIDADES FINANCIERAS</t>
  </si>
  <si>
    <t xml:space="preserve">FUE APROBADO EL IMPORTE DE LOS 1031 Y LO REALIZARA EL PAGO EL DIA 17/01 , SE LE INDICA TODAS LAS CONDICIONES. NOS MANDA TODOS LOS SUSTENTOS DE LA EMPRESA OH QUE TENIA . </t>
  </si>
  <si>
    <t xml:space="preserve">GABRIELA HIJA DE TT RESPONSABLE DE PAGO SE COMUNICA CON NOSOTROS,  QUIERE HACERSE CARGO YA QUE TT RECIBIO UN MENSAJE PARA LA CANCELACION DE DEUDA DT: 5251 CAMPAÑA: 1700 QUIERE CANCELAR HACE COMPROMISO PARA EL DIA DE MAÑANA 31/12 LLAMADA REALIZADA DESDE CEL 17 </t>
  </si>
  <si>
    <t>GARANTES HIPOTECARIOS CANCELARÁN LA DEUDA POR S/50000, EL DÍA 09/05 EL ABOGADO ESTÁ REVISANDO LA TRANSACCIÓN EXTRAJUDICIAL.</t>
  </si>
  <si>
    <t>GIOVANNA ELIZABETH FIGUEROA LUCANAS DNI 41287524 ESPOSA ENC DE PAGOS Correo:giovannafg71@gmail.com ppc x 400  el 07/01 // PPC INBOUD</t>
  </si>
  <si>
    <t xml:space="preserve">GRABACION DE LLAMADA EN LA CARPETA </t>
  </si>
  <si>
    <t>MONTO DE CAMPAÑA 277</t>
  </si>
  <si>
    <t>TT COMENTA QUE NO CANCELA PORQUE TUVO PROBLEMAS PERSONALES , SIN EMBARGO PAGARA PORQUE TIENE UNA JUNTA DE MAMAS DONDE RECAUDAN DINERO Y CON ESO PODRA PAGAR SU DEUDA EL DIA 16 DE MARZO EL MONTO DE 277 SOLES.</t>
  </si>
  <si>
    <t>EDAD 32 AÑOS</t>
  </si>
  <si>
    <t xml:space="preserve">DEUDAS EN OTRAS FINANCIERAS </t>
  </si>
  <si>
    <t>NO TIENE HIJAS</t>
  </si>
  <si>
    <t xml:space="preserve">HABLAMON CON ROXANA ENCARGADA DE PAGO DE TT &gt; DT.&gt; 1,900 SOLES // CAMPAÑA &gt; 1,600 SOLES // REQUIERE PAGAR CON 800 SOLES QUE TIENE A LA MANO QUE FAMILIAR LE PRESTO.. ESTA INTERESADA EN PAGAR OR EL SEGURO DE SU HIJO QUE LO NESECITA YA QUE TT NO QUIERE HACERSE RESPONSABLE.  CANCELARA HOY CON 800 SOLES . </t>
  </si>
  <si>
    <t xml:space="preserve">hablamos con tt  se le brinda DT&gt;  200 indico que  no pago por motivos personales y descuido la deuda// se le brinda   campana &gt; 163 soles... dinero lo sacara de su trabajo ,... ya que le pagaran el dia 18 /01 . confirma pago . search &gt; no tiene entidades reportadas no figara centro laboral. solo hermanos. </t>
  </si>
  <si>
    <t xml:space="preserve">HABLAMOS CON TT NUEVAMENTE DT&gt; 1600 CAMPANA&gt; 700 //INDICA QUE NEGOCIO ESTUVO BAJO POR ESO NO PAGO... NO TIENE LOS 700 PARA PAGAR AHORITA PERO  AMORTIZARA..  200 EL DIA 10/01. DINERO LO SACRA DE SU TRABAJO YA QUE ELLA VENDE FRUTA EN EL MERCADO .  SEARCH &gt; NO HAY NINGUN REGISTRO .. SE LE INDCA MEDIDAS Y PENALIDAD. </t>
  </si>
  <si>
    <t>PPC&gt; 200 SOLES 10/01 // 500 SOLES 24/01.</t>
  </si>
  <si>
    <t>hermana de tt encargada de pago confirma cancelacion de deuda monto ACUERDO 1825.48   para mñn 06/12  se comunico con el numero 921399054</t>
  </si>
  <si>
    <t xml:space="preserve">HERMANA DE TT MENCIONA QUE TT NO ESTA / SE DEJA RECADO /  YULISA MARGOT FEBRES SUAREZ / CANCELARA LA DEUDA CON 180 SOLES / EL 0 ABONA 50 SOLES / Y EL 30/11 LA DIFERENCIA / </t>
  </si>
  <si>
    <t>HERMANA DE TT REALIZARA PAGO DE 290 SOLES E DIA DE HOY // (APROBADO POR NATHALY)</t>
  </si>
  <si>
    <t>HERMANA DE TT SR. SHIRLEY LIZETH CANCELARA 1700 PARA EL 15/10</t>
  </si>
  <si>
    <t>HERMANA INDICA QUE EL TT SE ESTARA ACERCANDOA CANCELAR DEUDA</t>
  </si>
  <si>
    <t xml:space="preserve">HERMANA JHENY CONFIRMA PAGO DEL IMPORTE DE 800 SOLES YA QUE SE LE APROBO POR EXCEPCION DE MARIANGELA // PPC </t>
  </si>
  <si>
    <t>HERMANA SAIDA MENDEZ NINO DNI 43001903- // MOTIVO DE RETRASO EL GTT ESTABA PAGANDO NORMAL POR CESECHA DE ARROZ / PERO SE RETRASO  YA QUE PERDIO TODO LO SEMBRADO // NECESITAN SACAR OTRO PRESTAMO TIENE TITULO DE PROPIEDAD EN LA CAJA SULLANA // EDAD 30 AÑOS / TRABAJA EN SEGURIDAD DE PERU Y SERVICIOS SUELDO 1530 SOLES // LA HERMANA ES LA QUE SE HARA CARGO **/ HIJOS NO VIFURA EN EL SEARCH //DEUDAS EN EL SEARCH NO FIGURAN // LA ENCARGADA ES NEGOCIANTE//  LO PAGARA EL DIA DE HOY /</t>
  </si>
  <si>
    <t xml:space="preserve">HERMANO DE TT AGAR DEUDA // CANCELARA CON EL IMPORTE DE 500 SOLES EL DIA DE HOY (APROBADO POR MARIANGELA) </t>
  </si>
  <si>
    <t xml:space="preserve">HERMANO MENCIONA QUE SI HARAN EL ABONO DE LA ULTIMA DE 2250 SOLES / YA ABONO LOS 5 MIL SOLES Y 3 CUOTAS RESTA 1 CUOTA DE 2250 SOLES </t>
  </si>
  <si>
    <t>HIJA DE LA TT JANET MENCIONA QUE TRATARA DE CONSEGUIRSE LOS 6 MIL SOLES, SOLO ESTA DIPONIENDO DE 3500 SOLES PARA CANCELAR LA DEUDA / SE LE VUELVE A INDICAR QUE LA DEUDA ES MAS DE 30 MIL SOLES</t>
  </si>
  <si>
    <t xml:space="preserve">HIJA DE LA TT SRTA ROSSY PALOMINO HARA EL PAGO DE LA DUDA EN BASE A 17.500 SOLES / CANCELACIN TOTAL DE LA DEUDA </t>
  </si>
  <si>
    <t>HIJA DE TT  REALIZARA LA CANCELACION CON EL IMPORTE DE 500 SOLES EL DIA DE HOY 13/01. EXCEPCION APROBADA .</t>
  </si>
  <si>
    <t>SE LE ENVIO SMS CON TODO LO CONVERSADO Y  SE LE INDICO PENALIDAD POR INCUMPLIMIENTO CORRESPONDIENTE POR SMS YA QUE EN LLAMDA NO S ELE MENCIONO .. YA QUE SE TUVO 2 COMUNICACIONES CON TT .</t>
  </si>
  <si>
    <t>HIJA DE TT ERLINDA FLORES DICE  QUE LO HABLADO CON FAMILIARES HARAN PAGO CON CAMPAÑA 1127 EL DIA 30-12</t>
  </si>
  <si>
    <t>HIJA DE TT ERLINDA FLORES INDICA QUE PAGARA SALDO PENDIENTE DE 327 SOLES PARA CANCELAR  TODA LA DEUDA EL DIA 7-1</t>
  </si>
  <si>
    <t>HIJA DE TT HARA PAGO DE LA DEUDA X EL MONTO DE S/170, ESPERA DE EXCEPCION DE MARIANGELA.</t>
  </si>
  <si>
    <t xml:space="preserve">HIJA DE TT KATERINE SUPO MENCIONA QUE SE COMPLICO AL SACAR EL DINERO DE LA CUENTA MANCOMUNADA YA QUE SU NOVIO NO QUIERE QUE SAQUE EL DINERO PERO SE PRESTO DE UNA SEÑORA, EL DIA DE HOY ABONARA 1 MIL SOLES Y LA DIFERENCIA DE 7 MIL EL DIA 29/8 O ANTES </t>
  </si>
  <si>
    <t xml:space="preserve">HIJA DE TT MENCIONA QUE SI ABONARA LOS 1300 SOLES YA ABONO 1200 SOLES EL DIA 30/09 - APROBADO POR MAYRA </t>
  </si>
  <si>
    <t xml:space="preserve">HIJA DE TT MENICIONA QUE ABONARA 3 MIL SOLES EL DIA 10/09 Y LOS 4500 SOLES EL DIA 30/09 / CANCELACION EN BSE A 12 MIL SOLES </t>
  </si>
  <si>
    <t xml:space="preserve">Hija de tt rosalia leonardo sánchez acepta propuesta de 470 para cancelar el día de hoy. Brinda correo leonardosrosalia@gmail.com  para enviarle la carta de no adeudo.    </t>
  </si>
  <si>
    <t xml:space="preserve">HIJA MENCIONA QUE TT NO ESTA INDIRA ZEGARRA CANCELA CON 70 SOLES // TT NO ESTA PERO SI CANCELA </t>
  </si>
  <si>
    <t xml:space="preserve">HIJA RAQUEL CANCELARA DEUDA </t>
  </si>
  <si>
    <t xml:space="preserve">hijo de titular solicito reprogramacion para realizar la cancelacion con 6000 soles el dia jueves en el transcurso de la tarde , confirma cancelacion para dia jueves </t>
  </si>
  <si>
    <t>HIJO DE TT REALIZARA LA CANCELACION CON EL IMPORTE DE 1,820.00 SOLES EL DIA DE HOY 04/10. ( APROBADO POR MAYRA )</t>
  </si>
  <si>
    <t>Hijo en mina, paga por transferencia ppc x 1010 hoy, pide carta al correo:cesar20058@hotmail.com</t>
  </si>
  <si>
    <t>hijo joel confirma pago del importe de 2700 soles para excepcion de mariangela // ppc</t>
  </si>
  <si>
    <t>hijo responsable de pago Miguel, pagara con 350 soles hoy se envio nro de cta bcp</t>
  </si>
  <si>
    <t>hijo RUBEN EMILIO MALLMA ESPINOZA dni 43001420 responsable de pago realizara la cancelacion de la deuda con el importe 860.00, lo realizara en BCP</t>
  </si>
  <si>
    <t>HIJO WILMER CONFIRMA QUE CANCELARÀ DEUDA  EN CREDINKA//ENVIARÀ COMPROBANTE DE PAGO POR WHATSAPP</t>
  </si>
  <si>
    <t>HIJO WILMER CONFIRMA QUE MAÑANA AL MEDIO DIA ESTARÀ REALIZANDO LA CANCELACIÒN DE LA DEUDA</t>
  </si>
  <si>
    <t>HIJO WILMER MENCIONA QUE NO PUDO REALIZAR PAGO DE LA DEUDA Y QUE LO HARÀ EL LUNES EL PAGO DE S/250</t>
  </si>
  <si>
    <t xml:space="preserve">HIJO WILMER PAGARA PPC 150 </t>
  </si>
  <si>
    <t xml:space="preserve">hoy  hara pago </t>
  </si>
  <si>
    <t>hoy 20-12 no pudo pagar el importe de 2000 soles porque la empresa donde trabaja no le pago, se estuvo pidiente algun importe pero no cuenta con dinero, TT desea pagar el dia martes 24-12 antes del medio dia.</t>
  </si>
  <si>
    <t xml:space="preserve">HOY 21/8 TT VA CANCELAR </t>
  </si>
  <si>
    <t>hoy abona menciona que no cancelo a la fecha por tiempo y dinero mencion a que ya quiere cancelar // el dia 13/01 abono por bcp/op:449193 hora 6:26</t>
  </si>
  <si>
    <t xml:space="preserve">HOY ABONARA 100 SOLES, DIFERENCIA PARA LUNES </t>
  </si>
  <si>
    <t>hoy adelanta 6 mil y 6 mil el 30/04</t>
  </si>
  <si>
    <t xml:space="preserve">HOY CANCELARA </t>
  </si>
  <si>
    <t>hoy cancelara on dscto</t>
  </si>
  <si>
    <t>HOY GENERO PAGO DE 103 SOLES</t>
  </si>
  <si>
    <t xml:space="preserve">IDELFONSA CAMPOS ROMERO / ESPOSA DE TT MENCONA QUE TT ESTA DELICADO DE SALUD Y SOLO SE DEDICAN A LA SIEMBRA DE PAPA HAN VIAJADO A HUANUCO Y SOLO LE PRESTARON 6 MIL SOLES PERO SE E INDICO QUE MINIMO 500 MAS (6500 SOLES) YA QUE EL PRECIO DE LA PAPA A BAJADO / YA ABONO 200 SOLES EL MES PASADO PARA QUE SE CONGELEN LOS INTERESES // </t>
  </si>
  <si>
    <t xml:space="preserve">IDELFONSA CAMPOS ROMERO / ESPOSA DE TT MENCONA QUE TT ESTA DELICADO DE SALUD Y SOLO SE DEDICAN A LA SIEMBRA DE PAPA Y QUE SUS SOBRINOS LE PRESTARAN EL DINERO PEOR SOLO 7 MIL SOLES PARA FINES DE MES / YA ABONO 200 SOLES EL MES PASADO PARA QUE SE CONGELEN LOS INTERESES // DEUDA TOTAL DE 17950 / CAMPAÑA 10900 SOLES / TT TIENE 65 AÑOS HA NO TRABAJA EL TT / 3 HIJAS MAYORES / SIND EUDA EN EL SEARCH SE VERIFICO </t>
  </si>
  <si>
    <t>IFP 31/01 CAMPAÑA 900</t>
  </si>
  <si>
    <t>NDICA QUE NO PUDO REALIZAR EL PAGO POR FALTA DE TIEMPO INDICA QUE SE ESTARA ACERCANDO EL DIA DE MAÑANA POR LA TARDE</t>
  </si>
  <si>
    <t>Imbound  asignado por mayra.</t>
  </si>
  <si>
    <t>dt : 500</t>
  </si>
  <si>
    <t>dk: 300</t>
  </si>
  <si>
    <t>campaña: 285 soles</t>
  </si>
  <si>
    <t>edad: 32 años</t>
  </si>
  <si>
    <t xml:space="preserve">entidades: 1 </t>
  </si>
  <si>
    <t xml:space="preserve">hermanos : 5 </t>
  </si>
  <si>
    <t xml:space="preserve">no tiene as registro en search </t>
  </si>
  <si>
    <t xml:space="preserve">IMBOUND  OFRECE PAGAR 1205 SOLES  PARA SU CANCELACION  EL DIA 17 DE ABRIL </t>
  </si>
  <si>
    <t xml:space="preserve">IMBOUND ASIGANADO, SE RESPETA EL CRONOGRAMA QUE TENA EN FINANCIERA OH / Deuda total:3600 campaña 1353, pagara 187 29/02 La ultima y tercera cuota. search:38 años, no tiene trabajo en planilla tiene deuda en BBVA en categoria 1. menciona que se le envio un cronograma errado, se le explica.  solo pide que corrijan eso. </t>
  </si>
  <si>
    <t>imbout (tt se comunica para pagar )</t>
  </si>
  <si>
    <t xml:space="preserve">par de 200 se le brinda informacion de deposito </t>
  </si>
  <si>
    <t>INBOUD</t>
  </si>
  <si>
    <t xml:space="preserve">CANCELO 350 INTERBAK OP 00142 28/02 </t>
  </si>
  <si>
    <t>m.barrueto2784@gmail.com</t>
  </si>
  <si>
    <t>INBOUND , CANCELA DEUDA IMPORTE DE S/195.00</t>
  </si>
  <si>
    <t xml:space="preserve">INBOUND , CLIENTE CANCELA DEUDA CON EL IMPORTE DE S/950.00 </t>
  </si>
  <si>
    <t xml:space="preserve">INBOUND / PPC 118 SOLES MAYRA NO HAY AUDIO </t>
  </si>
  <si>
    <t>inbound // asigando por mariangela gestionado por Mayra cancelo por INTERBANK ENVIAR CARTA DE NO ADEUDO POR</t>
  </si>
  <si>
    <t xml:space="preserve"> ( aguirocsac@gmail.com)</t>
  </si>
  <si>
    <t>INBOUND // DT/950 MIN2/700 TT INDICA TUBO UN ACCIDENTE Y DEJO DE TRABAJAR ESTUBO EN REABILITACION // EL DINERO ESTA ESPERANDO SU PAGO DE FIN DE MES PARA PODER HACER LA CANCELACION INDICA QUE SI TIENE ANTES UN DINERO SE ESTARIA COMUNICANDO CON NOSOTROS // EDAD 41 AÑOS // DEUDA CON BANCO AZTECA MONTO 1053.82 //</t>
  </si>
  <si>
    <t>INBOUND ///</t>
  </si>
  <si>
    <t>ESPOSO DE TT 43303788 DE LA CRUZ GREFA RILDO LEONEL</t>
  </si>
  <si>
    <t>EXPERTIS 1500</t>
  </si>
  <si>
    <t>MENCIONA QUE SE ACOGERA A LA CAMPÑA PARA LIQUIDAR DEUDA //</t>
  </si>
  <si>
    <t xml:space="preserve">INBOUND ASIGNADO // tt se comunica numero de mariangela quiere pagar porque le llego </t>
  </si>
  <si>
    <t xml:space="preserve">  DT: 9100   , </t>
  </si>
  <si>
    <t>CAMPAÑA : 1325</t>
  </si>
  <si>
    <t xml:space="preserve">ES DOCENTE TIENE BUENOS INGRESOS </t>
  </si>
  <si>
    <t xml:space="preserve">51 AÑOS </t>
  </si>
  <si>
    <t>2 HERMANOS</t>
  </si>
  <si>
    <t>DEUDAS : BANCO PICHINCHA</t>
  </si>
  <si>
    <t xml:space="preserve">    BCO DE LA NACION</t>
  </si>
  <si>
    <t xml:space="preserve">      CREDISCOTIA FINANCIERA</t>
  </si>
  <si>
    <t xml:space="preserve">COOP. SANTA MARIA MAGDALENA </t>
  </si>
  <si>
    <t xml:space="preserve">LLEGO A LIMA </t>
  </si>
  <si>
    <t>INBOUND ASIGNADO POR MARIANGELA</t>
  </si>
  <si>
    <t>DT 4,601.55</t>
  </si>
  <si>
    <t>DK 2,762.70</t>
  </si>
  <si>
    <t>CAMPAÑA 1,588.55</t>
  </si>
  <si>
    <t>CONTRAPROPUESTA EN MANO: 700</t>
  </si>
  <si>
    <t>CASTIGO: 2 AÑOS</t>
  </si>
  <si>
    <t xml:space="preserve">HISTORIAL: NO TIENE COMPROMISOS </t>
  </si>
  <si>
    <t>PLANILLA: NO FIGURA</t>
  </si>
  <si>
    <t>SUSTENTO DE PAGO: TIENE DINERO A MANO, SI LE DAN VISTO BUENO LO CANCELA</t>
  </si>
  <si>
    <t xml:space="preserve">OBS:TT INDICA QUE ES LO UNICO QUE TIENE PARA PODER CANCELAR DEUDA </t>
  </si>
  <si>
    <t>PPC : 147 SOLES ( ESTA ES SU ULTIMA CUOTA DE CONVENIO )</t>
  </si>
  <si>
    <t xml:space="preserve">DT: 3 MIL SOLES </t>
  </si>
  <si>
    <t>CAMPAÑA: 2,800 SOLES</t>
  </si>
  <si>
    <t>CAMPAÑA: 2,100  SOLES</t>
  </si>
  <si>
    <t xml:space="preserve">PAGA MENSUAL 147 SOLES LOS  30  DE CADA MES. </t>
  </si>
  <si>
    <t>INDICA QUE CONVENIO ACABA EN FEBRERO .</t>
  </si>
  <si>
    <t>MOTIVO DE NO PAGO: NO SABIA DONDE PAGAR YA QUE OH NO LE RECIBIA EL PAGO Y INTERBANK TAMPOCO ..</t>
  </si>
  <si>
    <t>TRABAJA EN : GRUPO SALUD DEL PERU SERVICIOS COMERCIALES S.A.C. - GSP SERVICIOS COMERCIALES S.A.C.</t>
  </si>
  <si>
    <t>SUELDO: 2,650 SOLES</t>
  </si>
  <si>
    <t>EDAD: 49 AÑOS</t>
  </si>
  <si>
    <t>inbound asignado por mariangella / cancelo  con 526.60 en interbank, envia vouccher. enviar carta de no adeuda a  aascsr@hotmail.com // araceliylexi@gmail.com / op 00128</t>
  </si>
  <si>
    <t xml:space="preserve">INBOUND ASIGNADO POR MARIANGELLA / GESTIONADO POR JORDAN </t>
  </si>
  <si>
    <t xml:space="preserve">150 SOLES AL 20-03 SEARCH: 55 AÑOS, NO REGISTRA DEUDAS, NO REGISTRA TRABAJO., TIENE 3 HIJOS. </t>
  </si>
  <si>
    <t>INBOUND ASIGNADO POR MAYRA</t>
  </si>
  <si>
    <t>DT: NO APLICA</t>
  </si>
  <si>
    <t>DK: NO APLICA</t>
  </si>
  <si>
    <t>MDI: NO APLICA</t>
  </si>
  <si>
    <t>SEARCH: NO APLICA</t>
  </si>
  <si>
    <t>STP: NO APLICA</t>
  </si>
  <si>
    <t>TT YA PAGÒ, SE GENERA COMPROMISO</t>
  </si>
  <si>
    <t>INBOUND ASIGNADO SEGUNDA VUELTA . AUDIO MELITA</t>
  </si>
  <si>
    <t xml:space="preserve">CLIENTE LLAMO A NUMERO DE MAYRA </t>
  </si>
  <si>
    <t>Fecha de Pago: 30/03</t>
  </si>
  <si>
    <t>MONTO : 600 PPC    SALDO INICIAL : 13/03 = 100</t>
  </si>
  <si>
    <t>DT: 915     DK : 415</t>
  </si>
  <si>
    <t xml:space="preserve">Sustento: tt se comunica va adelantar 100 y la diferencia para fin de mes , credito fue para su esposo y tt quiere salir de infocorp .  </t>
  </si>
  <si>
    <t xml:space="preserve">Search : 51 , reporta dos deudas </t>
  </si>
  <si>
    <t xml:space="preserve">inbound Asignado. Deuda total 3800 campaña: 820 / se respeta l cronograma de pago de OH. 29/02 316.20 tercera y ultima cuota. search: 52 años, trabaja en DIRECCI?N DE REDES INTEGRADAS DE SALUD LIMA CENTRO, tiene deuda BANCO INTERNACIONAL DEL PERÚ categoria 1 . se menciona penalidad/ tenias dudas sobre la carta de no adeudo, ya que se le dijo al inicio qie saldria al nombre de OH, pero se explica pero sera al nombre d ela empresa expertis. </t>
  </si>
  <si>
    <t xml:space="preserve">INBOUND DT : 16700 DK : 5000 , Cesar Calderon Cespedes exesposo dni : 08134021 se hace responsable  se comunica al numero de mariangela indica que cuenta con 1000 para pagar entre hoy o mañana 11/03 . tt le pidio que le ayudara ya que es la madre de sus hijos , no indica porque motivo dejo de pagar , se encuentra en lima y esta por regresar en huanuco quiere saber si es aprobatorio esa cantidad para pagarlo . </t>
  </si>
  <si>
    <t xml:space="preserve">Search :  56 , reporta deuda de proempresa </t>
  </si>
  <si>
    <t xml:space="preserve">EXCEPCION-. 1000 APROBADA POR JULIO </t>
  </si>
  <si>
    <t>RESPONSABLE</t>
  </si>
  <si>
    <t>EDAD:50</t>
  </si>
  <si>
    <t xml:space="preserve">SUSTENTO DESEMBOLSO DE SU TARJETA </t>
  </si>
  <si>
    <t>Inbound llamo al celular de mayra . asignado</t>
  </si>
  <si>
    <t xml:space="preserve">se completo para inbound . </t>
  </si>
  <si>
    <t xml:space="preserve">Fecha de Pago: 19/03 </t>
  </si>
  <si>
    <t>MONTO  : 770</t>
  </si>
  <si>
    <t xml:space="preserve">Sustento: tt le pagan el 18/03 y hace el pago el 19/03 .conseguridad converso con mayra . </t>
  </si>
  <si>
    <t xml:space="preserve">Search : 55 , no reporta deudas </t>
  </si>
  <si>
    <t xml:space="preserve">sin audio cerrado por mayra se enviara mensaje. </t>
  </si>
  <si>
    <t xml:space="preserve">INBOUND MARIANGELLA. Deuda total: 3500 campaña: 538 pagara el dia de hoy 20/01 responsable Nadia Solis </t>
  </si>
  <si>
    <t xml:space="preserve">80513247, nuera del tt. nos menciona que dejo de pagar porque el sr se enfermo de cancer y estuvo delicado. search: 74 años, solo debe a fianciaera OH, es pensionista recibe un aprox de 400 soles.977384329. Dania Solis se hara cargo hoy. </t>
  </si>
  <si>
    <t xml:space="preserve">inbound mayra hablo por correo ,  lo cerre por whatsapp , capturas </t>
  </si>
  <si>
    <t>Fecha de Pago: 14/01 = 100 , 30/01 = 1220 , PPC TOTAL : 1320</t>
  </si>
  <si>
    <t xml:space="preserve">CAMPAÑA : 1320 </t>
  </si>
  <si>
    <t>Sustento: tuvo un accidente en el trabajo , recien empezo a trabajar con su sueldo va cancelar , va adelantar un pago inicial el 14/01 , interesado en cancelar . reporta 2 deudas el cual ya las cancelo solo debe de credinka .</t>
  </si>
  <si>
    <t>INBOUND POR MARIANGELA , PPC X 950 EXCEPCION POR MAYRA  //</t>
  </si>
  <si>
    <t>INBOUND TT INDICA QUE CANCELARA HOY EL MONTO DE 4100 SOLICITA CARTA DE NO ADEUDO schorres@credinka.com</t>
  </si>
  <si>
    <t>INBOUND</t>
  </si>
  <si>
    <t>FECHA DE PAGO 06/03</t>
  </si>
  <si>
    <t>EXPERTIS 150</t>
  </si>
  <si>
    <t xml:space="preserve">TT INDICA QUE LE HAN ENVIADO PROPUESTA DE CANCELACION POR 130//TIENE DINERO EN MANO </t>
  </si>
  <si>
    <t>48 AÑOS //NO REGISTRA DEUDA //NO REGISTRA INFORMACION LABORAL</t>
  </si>
  <si>
    <t xml:space="preserve">LLAMADA DE CORP 7 </t>
  </si>
  <si>
    <t xml:space="preserve">INBOUND// DT/60 TT INDICA QUE QUIERE PAGAR SU DEUDA DE CREDINKA INDICA QUE SE  A CERCARA EL MARTES 25/02/20 DONDE INDICA QUE LA DEUDA LA DEJO EN NUEVA VISION POR LO CUAL LO PAGARA </t>
  </si>
  <si>
    <t xml:space="preserve">INDIC AQUE NO PUDO PAGAR POR QUE SALE TARDE DE SU TRABAJO, PERO QUE MAÑANA ESTARIA PAGANDO </t>
  </si>
  <si>
    <t>* 56 SOLES PPC</t>
  </si>
  <si>
    <t xml:space="preserve">INDICA LA SEÑORA QUE NO EFECTUO EL PAGO POR QUE SU HIJA ENFERMO BRINDO FOTOS DE LO SUCEDIDO PERO INDICO QUE SI CANCELARA A FIN DE MES </t>
  </si>
  <si>
    <t xml:space="preserve">indica q va a cancelar el 31/08 va a cancelar el importe de la liquidacion de los 370 . </t>
  </si>
  <si>
    <t xml:space="preserve">Indica que cancelará hoy, solicita que envienmos compromiso de pago. </t>
  </si>
  <si>
    <t xml:space="preserve">INDICA QUE NO PUDO CANCELAR LA DEUDA POR QUE NO TENIA DINERO INDICO QUE TENIA A LA MANO 500 SOLES MAÑANA CONSEGUIRA LOS 50 SOLES MAS PÁRA CANCELAR </t>
  </si>
  <si>
    <t>INDICA QUE PAGARA HOY YA QUE TUVO INCONVENIENTES. 132/ PPC</t>
  </si>
  <si>
    <t>INDICA QUE POR FALTA DE TIEMPO NO PUDO HACER ABONO YA QUE ACABA DE LLEGAR DEVIAJE INDICA QUE ESTARA ACERCANDOSE A PAGAR POR LA TARDE//SE ESTARA ACERCANDO AL INRTERBAK</t>
  </si>
  <si>
    <t>indica que se encuentra en junin pero cancelara por que le cancelaran</t>
  </si>
  <si>
    <t>INDICA QUE SE ESTARA ACERCANDO HACER CANCEALCION *500 //ABONARA CON SUELDO DE FIN DE MES //DT 1500 DK 500 CAMP 500//GRAB POR DISCADOR//QUIERE LA CARTA DE NO ADEUDO EL MISMO DIA SE LE MENCIONA QUE PUEDE ACERCARSE A LA OFICINA DE EXPERTIS PARA ACELERAR LA ENTREGA YA QUE SE TIENE COMO PLAZO MAXIMO 15 DIAS PARA HACERLE EL ENVIO.</t>
  </si>
  <si>
    <t>INDICA QUE SE ESTARA ACERCANDO HACER CANCELACION</t>
  </si>
  <si>
    <t xml:space="preserve">indica que su esposo aun no retorna de viaje y que regresara miercoles o jueves. Por ello se realziará reprogramacion hasta el dia viernes como máximo. </t>
  </si>
  <si>
    <t xml:space="preserve">indica que su suegra le dara el dia lunes pero para poder estar mas segura solicita efectuar la cancelacion hasta el dia mierco les 18 </t>
  </si>
  <si>
    <t xml:space="preserve">Indica que tuvo un retraso de su pago de haberes y que como máximo realizará el pago el 10/12. </t>
  </si>
  <si>
    <t>INDICA QUE YA LE CONFIRMARON PAGO DE SU TRABAJO ENTRE EL LUNES O MARTES, CANCELA EL MIERCOLES 28/08</t>
  </si>
  <si>
    <t>INDICAM CANCELAR CON 1400 RECICBIRA UNA JUNTITA PARA CANCELAR</t>
  </si>
  <si>
    <t xml:space="preserve">INDICO CANCELAR EL VIERNES </t>
  </si>
  <si>
    <t>indico cancelar hoy por que el dia indicado no bajo al pueblo y no quiere operder la campaña</t>
  </si>
  <si>
    <t xml:space="preserve">INDICO CANCELARA EL VIERNES TAMBIEN MENCIONO QUE NO CANCELO ANTERIORMENTE POR QUE NO SABIA COMO REALIZARLO SE LE INDICO </t>
  </si>
  <si>
    <t xml:space="preserve">indico que la semana que viene recibira un dinerito llamar dias antes </t>
  </si>
  <si>
    <t xml:space="preserve">indico que por motivo de salud non pudo cancellar pero indico que le de   hasta fin de mes </t>
  </si>
  <si>
    <t xml:space="preserve">INDICO QUE RECIBE SU SUELDO EL DIA LUNES A PRIMERA HORA </t>
  </si>
  <si>
    <t>indico que se encuentra en altura que la ultima vez que la atendieron le gritan y no las entiende se le indico que su deuda es de 300 soles pero por canpaña puede cancelar con 150  y acepto el dia miercoles ira al pueblo se le indico cancele por bcp por que no tiene credinka cercano</t>
  </si>
  <si>
    <t xml:space="preserve">indico ya salio de prision y quiere cancelar la deuda tratara de conseguir los 400n soles antes de fin de mes </t>
  </si>
  <si>
    <t>IT HARA CANCWKQACUON HOY</t>
  </si>
  <si>
    <t xml:space="preserve">JAIME ELI LLAMCTNATA HIJO DE TT se hara cargo de la deuda / abonara 100 soles el dia 18/11 y los 400 soles el dia 30/11 aprobado por amriangela </t>
  </si>
  <si>
    <t xml:space="preserve">JAVIER FERNANDEZ BALDEON - PABLO FERNANDEZ BALDEON // MENCIONAN QUE SE LE APAGO EL CEL A SU HERMANO EL TAMBIEN ES ENCARAGDO DE LA DEUDA EL SR PABLO MENCIONO QUE NO LOGRARON VENDER LAS RECS QUE TENIAN PARA JUNTAR LOS 10 MIL SOLES Y SOLO LOGRO JUNTAR 8 MIL SOLES QUE ES MAS QUE EL MIN 1 / SE LE ACEPTA QUE SE LE DIO LAFACILIDAD DE PAGAR LOS 8 MIL AHORA Y LA DIFERENCIA A FINES PEOR O PUEDEN YA QUE DEBEN A OTROS FAMILIARES Y BANCS TMB Y A ENIDADES DEL ESTADO / SE LE DA PLAZO HASTA EL DIA DE MAÑANA A MAS TARDAR SI LO PUEDE HACER HOY SERIA MUCHO MEJOR / YA HUBO COMUNICACION ANTES CON EL OTRO ENCARGAD SE SUBIRAN LOS DOS AUDIOS </t>
  </si>
  <si>
    <t xml:space="preserve">jennifer tavara sojo HIJA MAYOR ENCARGADA ACEPTA PAGAR EL MONTO DE 1500 SOLES EL DIA MARTES 14/01 </t>
  </si>
  <si>
    <t xml:space="preserve">jhonathan alcazar consuelo 72771030  DT 28000 CANC 13000 ,  Cliente indica que en bbva le han elevado la cancelacion con 3500 soles e ira a realizar la cancelacion el dia lunes 947367090 -40255988 su hijo trabaja y con el bono de navidad estaria cancelando ,solicita facilidad de cancelacion con 6000 soles </t>
  </si>
  <si>
    <t xml:space="preserve">joel camarena ochola // se hace responsable de la deuda adelanta 300 soles en quincena </t>
  </si>
  <si>
    <t>JOSE MARCO QUISPE DIAZ</t>
  </si>
  <si>
    <t>DNI: 47172764</t>
  </si>
  <si>
    <t>CELULAR: 974397657</t>
  </si>
  <si>
    <t>expertis: 280</t>
  </si>
  <si>
    <t>MOTIVO: SE RETRASO, LOS INTERESES CRECIERON Y YA NO PAGO.</t>
  </si>
  <si>
    <t>TRABAJANDO: AVIACION/ AUXILIAR DE RAMPA</t>
  </si>
  <si>
    <t>HIJOS: 0</t>
  </si>
  <si>
    <t>EXPERTIS: 380---&gt; PAGAR EN 2 PARTES/ RECIEN EMPEZO A TRABAJAR, LE PAGARAN A FIN DE MES.</t>
  </si>
  <si>
    <t>K:225</t>
  </si>
  <si>
    <t>CAMAPAÑA:111</t>
  </si>
  <si>
    <t>FECHA DE PAGO:16-04-20</t>
  </si>
  <si>
    <t>MOTIVO DE PAGO : MOTIVOS ECONOMICOS</t>
  </si>
  <si>
    <t>DEUDA : 2 ENTIDADES.</t>
  </si>
  <si>
    <t>K:232</t>
  </si>
  <si>
    <t>CMAPAÑA:132</t>
  </si>
  <si>
    <t>FECHA:23-05</t>
  </si>
  <si>
    <t>9:AM</t>
  </si>
  <si>
    <t>MOTIVO DE NO PAGO:NO FUE SU DEUDA TERCERA PERSONA.</t>
  </si>
  <si>
    <t>SUSTENTO DE PAGO:</t>
  </si>
  <si>
    <t>LA CLIENTE COMENTA QUE NO CUENTA CON DINERO PORQUE TODAVÍA NO LE PAGAN, EN LA QUINCENA RECIEN LE PAGARAN - 994573673 - DT: 900; PAGARA 600 SOLES</t>
  </si>
  <si>
    <t xml:space="preserve">LE ACEPTAN EL PAGO AL CLIENTE 513 SOLES </t>
  </si>
  <si>
    <t>SMS CAMPAÑA</t>
  </si>
  <si>
    <t xml:space="preserve">LE ACEPTAN LA EXCEPCION DE TAT POR 200 SOLES </t>
  </si>
  <si>
    <t xml:space="preserve">LE INTERESO CAMPAÑA CON EL MONTO DE 330 </t>
  </si>
  <si>
    <t>le llego sms con campaña de dscto, pide carta por correo lachira9@hotmail.com</t>
  </si>
  <si>
    <t>LE LLEGO SMS CON DSCTO HOY- 217 - ENVIAR CTA BCP VIA WSP</t>
  </si>
  <si>
    <t>SUSTENTO DE PAGO :VENDE GAS</t>
  </si>
  <si>
    <t>DT:1,772</t>
  </si>
  <si>
    <t>CAMPAÑA: 218</t>
  </si>
  <si>
    <t xml:space="preserve">LE LLEGO SMS CON DSCTO MINIMO, ESTA POR RECIBIR UN DINERO </t>
  </si>
  <si>
    <t>LE LLEGO SMS POR 812 SOLES</t>
  </si>
  <si>
    <t>LE OTORGAN LA CAMPAÑA DE CANCELACION DE SU DEUDA POR 1500 SOLES INDICA PODER PAGAR A M AS TARDAR EL DIA 20/12/19 SE LE INDICA QUE SI O SI ESTARIRA PAGANDO SE LE INFORMA DE LAS PENALIDADES *</t>
  </si>
  <si>
    <t>LEVANTAMIENTO BASE TACITA 12/02</t>
  </si>
  <si>
    <t xml:space="preserve">PPC - 500 05/02 </t>
  </si>
  <si>
    <t xml:space="preserve">DT: 2,500  DK: 800 campaña : 500 </t>
  </si>
  <si>
    <t xml:space="preserve">TT ESTUVO EN ESPERA DE UN PAGO DE LA MUNICIPALIDAD , DICE QUE TIENE INTENCION DE PAGO PERO LE DEMORARON , ESTE VIERNES ABONA 50 SOLESY RESTANTE FIN DE MES </t>
  </si>
  <si>
    <t xml:space="preserve">tt cancelara la deuda con el importe de 500 soles </t>
  </si>
  <si>
    <t>motivo de no pago : porque no le pagaban en su trabajo .</t>
  </si>
  <si>
    <t>sustento : dinero lo sacara de trabajo .</t>
  </si>
  <si>
    <t>Trabajo : MUNICIPALIDAD DISTRITAL DE MEGANTONI</t>
  </si>
  <si>
    <t>sueldo : 6,262 soles</t>
  </si>
  <si>
    <t xml:space="preserve">entidades: 1  banco - OH </t>
  </si>
  <si>
    <t xml:space="preserve">LEVANTAMIENTO DE CAIDOS FEBRERO </t>
  </si>
  <si>
    <t>DT  6289  DK  3800 CAMPAÑA  770</t>
  </si>
  <si>
    <t xml:space="preserve"> TT SE COMUNICA A COOPORATIVO E INDICA QUE  NO PUDO REUNIR EL MES PASADO EL IMPORTE DE CANCELACION </t>
  </si>
  <si>
    <t xml:space="preserve">ESTE MES ABONA EL 14/03 </t>
  </si>
  <si>
    <t xml:space="preserve"> SEARCH :</t>
  </si>
  <si>
    <t xml:space="preserve"> EDAD   37  TRABAJO : SUELDO 3100 DEUDAS 0</t>
  </si>
  <si>
    <t xml:space="preserve">LEVANTAMIENTO DE MI BASE CAIDOS </t>
  </si>
  <si>
    <t>DT 4216   CAMPAÑA 530 ( PENALIDAD 10 SOLES )</t>
  </si>
  <si>
    <t xml:space="preserve">DATOS SEARCH </t>
  </si>
  <si>
    <t>LEYVA MORENO PAPADEL TT MENCIONA QUE HARA EL PAGO DE LOS 900 SOLES /  SE CMUNICOAL CEL NEGRITO</t>
  </si>
  <si>
    <t>LICELIA DE LA CRUZ ESPOSA RESPOSABLE</t>
  </si>
  <si>
    <t>DT: 4215 DK: 2464</t>
  </si>
  <si>
    <t xml:space="preserve">CAMPAÑA SMS : 492  EXCEPCION </t>
  </si>
  <si>
    <t xml:space="preserve">SUSTENTO: VA CONSEGUIR EL DINERO DE SU TRABAJO , ENVIO CAPTURA DE SMS </t>
  </si>
  <si>
    <t xml:space="preserve">MOTIVO : CUARENTENA QUIERE PAGAR DEUDA DE SU ESPOSO Y PROBLEMAS ANTERIORMENTE , </t>
  </si>
  <si>
    <t xml:space="preserve">llama a coorporativo </t>
  </si>
  <si>
    <t>dt 1,721.42 campaña 210</t>
  </si>
  <si>
    <t xml:space="preserve">mnp: menciona que no tuvo tiempo  de ir pagar </t>
  </si>
  <si>
    <t xml:space="preserve">sustento : le llego msj y quiere hacer la cancelacion , ya que le parece que es una buena oferta    </t>
  </si>
  <si>
    <t>LLama hija de tt srta Karen y tt , desean excepcion enviada por sms 1571 soles , se solicita excepcion a superior Mariangel es aceptada . Se enviara carta al numero .941552732</t>
  </si>
  <si>
    <t>LLAMA TT AL CEL PERSONAL PARA INDICAR QUE CANCELARA HOY , MONTO FALTANTE  8,004  , SE GENERA PPC . SE INFORMO A NATHALY Y MARIANGELA.</t>
  </si>
  <si>
    <t xml:space="preserve">llamada cayo discador pero nuevamente se le hace refresh en el sms //mct // menciona encaragda de pago , SRA ISABEL LACHOS, menciona que le propusieron que puede cancelar con ese importe </t>
  </si>
  <si>
    <t>dt:1800</t>
  </si>
  <si>
    <t>campaña:700</t>
  </si>
  <si>
    <t>excepcion campaña:471</t>
  </si>
  <si>
    <t xml:space="preserve">sustento: ayuda de su hermano se le envia sms </t>
  </si>
  <si>
    <t>LLAMADA DE DISCADOR TT INDICA QUE ESTA INTERESADO EN CANCELAR PERO RECIEN COBRA FIN DE MES PERO PUEDE REUNIR EL DINERO, SE LE NEGOCIA POR 1800 SOLES, 100 SOLES EL DIA 09/09 POR LA TARDE, TT INTERESADO SE LE ENVIA FORMA DE PAGO POR WS PERSONAL</t>
  </si>
  <si>
    <t>LLAMADA DE DISCADOR, SE FUE LA FICHA TITULAR INDICA QUE NO PUDO CANCELAR  EL DIA 21/08 POR ACCIDENTE DE SU HIJO , SE LE REACTIVA  CAMPAÑA POR EL MONTO CANCELANDO 50 SOLES EL DIA 27/08 Y 670 EL DIA 28/08, TT SABE FORMA DE PAGO, NOS ENVIARA FOTO DE COMPROBANTE A LAS 2 PM</t>
  </si>
  <si>
    <t xml:space="preserve">LLAMADA EN DISCADOR  SE CONVERSA CON CLIENTE MENCIONA QUE NO PUDO CANCELAR POR PERCANSE. CANCELA EL MIERCOLES 11 DE MARZO </t>
  </si>
  <si>
    <t>DT:750</t>
  </si>
  <si>
    <t>EDAD:51</t>
  </si>
  <si>
    <t>HERMANOS 4</t>
  </si>
  <si>
    <t xml:space="preserve">SUSTENTO CONSEGUIRA </t>
  </si>
  <si>
    <t>llamada entrante al cooporativo 20 ,por camapaña otorgada via sms , cl se acerco a oficina , cliente negociado por mayra , cerro en 3000 soles , no hay audio de negociacion</t>
  </si>
  <si>
    <t>LLAMADA FUE REALIZADA EL DIA DE AYER JUEVES 13/02</t>
  </si>
  <si>
    <t>EXPERTIS 180</t>
  </si>
  <si>
    <t xml:space="preserve">TT MENCIONO QUE TUVO INCNVENIENTES PERSONALES POR ESO NO PUDO CANCELAR </t>
  </si>
  <si>
    <t xml:space="preserve">42 AÑOS/NO REGISTRA DEUDAS //NO REGISTRA INFORMACION LABORAL </t>
  </si>
  <si>
    <t>LLAMADA INBOUND</t>
  </si>
  <si>
    <t>LLAMADA INGRESANTE DE DISCADOR TT INDICA QUE PUEDE CANCELAR 850 SOLES EL DIA 14 DE SEP , EL DIA VIERNES 06/09 200 SOLES Y LA DIF EL DIA 14/09, SE ENVIARA FORMA DE PAGO POR NUMERO PERSONAL</t>
  </si>
  <si>
    <t>llamada por discador , tt indica que realizara pago de 358 soles, 100 soles el dia 07/09 y la diferencia el 28, se enviara mensaje con forma de pago</t>
  </si>
  <si>
    <t>llamada por discador .</t>
  </si>
  <si>
    <t xml:space="preserve">dt : 2,500 </t>
  </si>
  <si>
    <t>dk : 800</t>
  </si>
  <si>
    <t xml:space="preserve">campaña : 500 </t>
  </si>
  <si>
    <t xml:space="preserve">LLAMADA POR DISCADOR INDICA QUE NO PUDO REGULARIZAR EL PAGO POR QUE SALIO DE VIAJE, EL 04/09 REALIZARA EL PAGO DE 60 SOLES </t>
  </si>
  <si>
    <t xml:space="preserve">LLAMO : SR PERCY SEGUNDO MEJIA FARFAN 41913882  (EDAD 38 AÑOS,DEUDA POR 5455.41)RESPONSABLE DE PAGO DE SU EX ESPOSA INDICA QUE SE QUEDO SIN NEGOCIO Y SIN CARRO INDICA QUE SE QUIERE HACER RESPONSABLE DE SU PAGO PERO CUENTA A LA MANO CON 1500 SOLES PARA PAGAR EL DIA DE MAÑANA // TT EDAD 36 AÑOS, DEUDA CON MONTO  2069.13 </t>
  </si>
  <si>
    <t xml:space="preserve">llamo tt a mi tlf personal - fijo de trabajo : 016412900 - hora : 15:55 pm </t>
  </si>
  <si>
    <t xml:space="preserve"> dt s/ 1,300 dk s/1,300      dk s/ 700   campaña s/200.00 </t>
  </si>
  <si>
    <t>search : no se aplica - 56 años</t>
  </si>
  <si>
    <t>stp : sigue trabajando de serenazgo - encargara a una amiga a pagar - nos enviara la fotografia de su abono via whatsapp a mi nro</t>
  </si>
  <si>
    <t xml:space="preserve">observ : tt enviara a su amiga a pagar el dia lunes 13/04 - s/200  por banco o agente bcp - interbank - trabaja como serenazgo y no tendra tiempo de poder ir - su mamá tampoco podria acercarse - pide se envie sms al cel : 996066114 - formato de pago -  se le escucha con interfernecia - no se pudo grabar llamada - se eleva incidencia a sandy  - maribel - se adjunta prints de la llamada </t>
  </si>
  <si>
    <t xml:space="preserve">lograron vender su ganado con ello cancelan hoy con excepcion de Mariangela </t>
  </si>
  <si>
    <t xml:space="preserve">LUIS VALDIVIA CABRERA HIJO RESPONSABLE  .  AUDIO MELINA </t>
  </si>
  <si>
    <t>Fecha de Pago:   04/03</t>
  </si>
  <si>
    <t xml:space="preserve">MONTO : 200 PPC  </t>
  </si>
  <si>
    <t>DT: 9700     DK : 1</t>
  </si>
  <si>
    <t>Sustento: responsable va pagar el 04/03 monto 200 . mama se encuentra de viaje .  se comunica corporativo azul  (9)</t>
  </si>
  <si>
    <t xml:space="preserve">Search : 64 , reporta 3 deudas </t>
  </si>
  <si>
    <t xml:space="preserve">INBOUND ASIGNADO </t>
  </si>
  <si>
    <t>MADRE DE TT LA SRA LUZMILA BAZAN ENCARAGADA DE PAGO CONFIRMA CANCELACION PARA EL DIA DE HOY 08 DE ENERO POR EL IMPORTE DE 1500 SOLES .</t>
  </si>
  <si>
    <t xml:space="preserve">madre de tt marixa maza será la encargada , realizará pago de s/ 300 en 02 partes. Primera cuota de s/ 150 para el 13/09 y el saldo restante hasta el 27/09. </t>
  </si>
  <si>
    <t xml:space="preserve">madre de tt marixa maza será la encargada , realizará pago de s/ 300 en 02 partes. Primera cuota de s/ 150 para el 13/09 y el saldo restante hasta el 27/09.  ( SE ME FUE LA FICHA). </t>
  </si>
  <si>
    <t>MADRE DE TT SRA ANA MARIA CHURA MAMANI  SE HARA CARGO DE DEUDA `POR IMPORTE 1550 // NO SABIA QUE TT TENIA DEUDA Y QUIERE LIQUIDAR</t>
  </si>
  <si>
    <t xml:space="preserve">HOY 08/01 1000 POR LA TARDE + 550 31/01 </t>
  </si>
  <si>
    <t xml:space="preserve">MAMA DANY DE TIT HARA CANCWLAXION </t>
  </si>
  <si>
    <t>MAMA DE TT /MENCIONA QUIEN SE HARA CARGO DE PAGO ES EL PAPA DE TT SEGUNDO AGUSTIN OBANDO LEIVA DNI  26664518 ///SE ACERCARON A LA OFICINA DE CREDINKA EN CHILETE PARA PODER SABER COMO CANCELAR Y OBTENER SUSU DOCUMENTOS LO CUAL NO LE BRINDARON INFORMACION ////MAMA DE TT //MELANIA DIAZ///SE MENCIONA DT//5000///PAGARA 3000 PARA LIQUIDAR DEUDA ////QUIERE LOS DOCUMENTOS QUE DEJO EN CREDINKA ///</t>
  </si>
  <si>
    <t xml:space="preserve">MAMA DE TT SE COMUNICA Y MENCIONA QUE TUBO PROBLEMAS CON SU TERAPIA Y QUE ABONARA EL DIA DE HOY 100 SOLES Y LOS 900 SOLES LOS HARA EL DIA LUNES 26/08 / SE COMUNICO </t>
  </si>
  <si>
    <t xml:space="preserve">mamà se hará cargo de  la deuda de la hija,  se confirmo que pagará 397 soles antes del mes. </t>
  </si>
  <si>
    <t xml:space="preserve">MANUAL BASE TACITA LLAME DE MI PERSONAL / MONTO A PAGAR 160 .   PENALIDAD POR INCUMPLIMIENTO , VA PAGAR AL MEDIODIA </t>
  </si>
  <si>
    <t>MANUEL MELO DIAZ SOBRINO DE TT MENCIONA QUEDESEA AYUDAR A TU TIO YA QUE ES SU PADRINO Y TT CAYO DELICADO DE SALUD EN VARIAS OCASIONES Y ES QUIEN LO AYUDA ECONOCIMANTE / PROPUSO CANCELAR CON 2300 SOLES EL MES PASADO Y SE LE OFRECIO ABONAR 300 SOLES COMO ABONO LIBRE EN BAE AL TOTAL PARA CONSIDERARLO EN ALGUNA CAMPAÑA / PROPONE 3 MIL SOLES PARA CANCELAR LA DEUDA EL DIA 25/01 QUE ES DE SU SUELDO Y DE UN AHORRA DE CONSTRUCCION / ANTES TENIA 5200 SOLES PERO HACE DOS SEMANAS SE ENFERMO EL T</t>
  </si>
  <si>
    <t xml:space="preserve">MANUEL MELO MENCIONA QUE RECIEN LLEGO A LA CIUDAD INDICA ESTAN VIENDO EL PAGO // QUE EL DIA LUNES 20/01 ABONARA LOS 300 SOLS Y EL DIA 28/01 O MAXIMO 29/01 HARA EL PAGO DE LOS 2700 SOLES / SE LE MENCIONA LA PENALIDAD / LA EXCEPCION ESRA AUN VIGENTE SE MODIFICA FECHA DE PAGO / YA LA NEGOCION ESTA ABAJO </t>
  </si>
  <si>
    <t>MAÑANA EN LA TARDES PAGARA, SE ENVIARA SMS CON NUMERO DE  CUENTA. [EXCEPCIÓN]</t>
  </si>
  <si>
    <t>mañana generar el pago del los 300 soles por la tarde, aun no genera el pago porque recien le pagaran.</t>
  </si>
  <si>
    <t xml:space="preserve">mañana realizara la cancelacion de los S/.597,le llego un mensaje de texto con la promocion , tenemos el screen/ </t>
  </si>
  <si>
    <t>mañana realizara la cancelacion,se acercara a la agencia y se comunicara con nostros ,dejamos nuestro tel.</t>
  </si>
  <si>
    <t xml:space="preserve">MARILU ZANABRIA HERMANA ENCARGaDA 40312846  </t>
  </si>
  <si>
    <t xml:space="preserve">Fecha de Pago:  10/02 </t>
  </si>
  <si>
    <t>MONTO : 4000 PPC  EXCEPCION</t>
  </si>
  <si>
    <t>DT: 7200       DK : 7200</t>
  </si>
  <si>
    <t xml:space="preserve">Sustento: tt le aprobaron un desembolso por 4000 en el banco , anteriormente era cliente de nosotros y cancelo su deuda en el 2017 . se comunico con expertis porque quiere solucionar deuda de tt que esta enfermo y se encuentra en puerto maldonado . interesada en pagar </t>
  </si>
  <si>
    <t xml:space="preserve">Search : ambos no reportan deudas . 38 </t>
  </si>
  <si>
    <t>MARIO ESPOSO RESPONSABLE</t>
  </si>
  <si>
    <t>Fecha de Pago: 24/01</t>
  </si>
  <si>
    <t xml:space="preserve">MONTO: 812 PPC , </t>
  </si>
  <si>
    <t>DT: 11338       DK : 4270</t>
  </si>
  <si>
    <t xml:space="preserve">Sustento:  deposito mensual , le pagan en esa decha </t>
  </si>
  <si>
    <t>Search :  38 , no reporta deudas</t>
  </si>
  <si>
    <t>MARURI ATAULLUCO PERCY</t>
  </si>
  <si>
    <t>DK 420</t>
  </si>
  <si>
    <t>NO PAGO POR VIAJE Y S EENFERMO , GASTO PERSONAL , UNA MOTO ,TRABAJA , CONTRUCCION ,</t>
  </si>
  <si>
    <t>EDAD 31</t>
  </si>
  <si>
    <t>SENVIA SMS , WSP INFORMACION DEL PAGO</t>
  </si>
  <si>
    <t xml:space="preserve">MAX 3.30 PM HORA **  SE LE DA EXCEPCION MARIANGEL  // PAGARA 1500.00 SOLES </t>
  </si>
  <si>
    <t>max fin de mes pagara</t>
  </si>
  <si>
    <t>MAYRA ME LLAMA  Y CLIENTE PAGARA EN AGENCIA 23 MIN</t>
  </si>
  <si>
    <t>MC 200 DT 1300</t>
  </si>
  <si>
    <t xml:space="preserve">TT INDICA QUE EL MES PASADO NO PAGO PORQUE ESTABA EN EMBARAZO RIESGOSO Y NO PUDO HACER , SE LE INDICO EL MONTO DE SU DEUDA 200 SOLES MC 200 DT 1300 GRABACION DE AUDIO </t>
  </si>
  <si>
    <t>MCT-  CONTESTO SU ESPOSO RESPONSABLE DE PAGO.</t>
  </si>
  <si>
    <t>CESAR MANUEL SALAZAR CHAVEZ DNI 43713121</t>
  </si>
  <si>
    <t xml:space="preserve">Fecha de Pago: </t>
  </si>
  <si>
    <t>DT : 950//DK : 890///PROMOCION: 650</t>
  </si>
  <si>
    <t xml:space="preserve">llamese si tiene deudas: </t>
  </si>
  <si>
    <t>CAJA NUESTRA GENTE</t>
  </si>
  <si>
    <t>si trabaja: OBRERO</t>
  </si>
  <si>
    <t>cuanto gana:  950 SOLES MENSUAL</t>
  </si>
  <si>
    <t>PORQUE NO PAGO: DICE QUE SI ESTUVO PAGANDO PERO QUE NO LE AVISARON QUE HUBO CAMBIO DE CUENTA// QU EL BANCO DESAPARECIO // PAGO 2500 SOLES Y QUE ESE PAGO JAMAS DE RECONOCIO. // PAGABA MENSUALMENTE 312 SOLES.</t>
  </si>
  <si>
    <t>PARA QUE SACO EL PRESTAMO: PARA SU CASA// PARA LA COMPRA DE UN TERRENO.</t>
  </si>
  <si>
    <t>PAGARA EN 2 PARTES---&gt;</t>
  </si>
  <si>
    <t>20-01-2020---&gt; 325</t>
  </si>
  <si>
    <t>30-01-2020----&gt; 325</t>
  </si>
  <si>
    <t>MDI: en gestion anterior titular menciona que estaba mal de salud</t>
  </si>
  <si>
    <t>campaña: 1300</t>
  </si>
  <si>
    <t>SEARCH: no se utilizo</t>
  </si>
  <si>
    <t>STP: tt dice que dinero lo sacara de su trabajo</t>
  </si>
  <si>
    <t xml:space="preserve">OBSERVACION: acuerdo con tt para ppc de S/.1300 el dia 20-3 </t>
  </si>
  <si>
    <t>MDI: NO PUDO CUMPLIR CON LA OTRA MITAD YA QUE LA TERCERA PERSONA QUE LE IBA A PRESTAR EL DINERO LE IMCUMPLIO</t>
  </si>
  <si>
    <t>CAMPAÑA:1100 PARA EL 31/03</t>
  </si>
  <si>
    <t>STP: LE PRESTARAN EL DINERO PARA PAGAR</t>
  </si>
  <si>
    <t>OBSERVACION: ABONO EL MES PASADO POR QUE EL TERCERO LE PRESTO EL DINERO</t>
  </si>
  <si>
    <t>MDI: TERCERO PARA QUE FUE EL PRESTAMO NO PAGO</t>
  </si>
  <si>
    <t>CAMPAÑA: 990 // CONTRAOFERTA:500</t>
  </si>
  <si>
    <t>SEARCH: SOLO PROEMPRESA COMO ENTIDAD REPORTA</t>
  </si>
  <si>
    <t>STP: PRIMO SE HARA CARGO DE LA DEUDA</t>
  </si>
  <si>
    <t>OBSERVACION: PRIMO OFRECE CONTRAOFERTA DE 500 SOLES PARA CANCELAR LA DEUDA</t>
  </si>
  <si>
    <t>MDI:DEJÒ DE TRABAJAR</t>
  </si>
  <si>
    <t>CAMPAÑA:S/.175</t>
  </si>
  <si>
    <t>STP: HERMANA LE VA A PRESTAR</t>
  </si>
  <si>
    <t>OBSERVACIÒN:</t>
  </si>
  <si>
    <t>SE MENCIONA QUE CAMPAÑA SOLO ESTARÀ ACTIVA HASTA EL 18/03, PERO PARA EXTENDERLO HASTA FIN DE MES DEBE DAR UN ADELANTO DE S/.50 Y HASTA FIN DE MES PODRÀ ABONAR LA DIFERENCIA DE S/.125</t>
  </si>
  <si>
    <t>mdi:no tuvo dinero</t>
  </si>
  <si>
    <t>campaña:400</t>
  </si>
  <si>
    <t>shek:3entidades</t>
  </si>
  <si>
    <t xml:space="preserve">stp:pretamo de familair </t>
  </si>
  <si>
    <t>obser:tit cancela cn con expecion aporbada de 400 soles  hasta el 14/03/discador de la mañana</t>
  </si>
  <si>
    <t xml:space="preserve">Menciona cancelar con importe de 500 soles campaña de mes de marzo </t>
  </si>
  <si>
    <t>dt: 1500</t>
  </si>
  <si>
    <t xml:space="preserve">campaña: 500 </t>
  </si>
  <si>
    <t>edad : 66</t>
  </si>
  <si>
    <t xml:space="preserve">sustento ;trabajo </t>
  </si>
  <si>
    <t xml:space="preserve">menciona abonar antes </t>
  </si>
  <si>
    <t xml:space="preserve">menciona cliente que le llego el sms para que cancele con importe de 416 // se le indico cancelar con 420 </t>
  </si>
  <si>
    <t xml:space="preserve">dt:1200 </t>
  </si>
  <si>
    <t xml:space="preserve">edad: 50 </t>
  </si>
  <si>
    <t xml:space="preserve">campaña: 420 </t>
  </si>
  <si>
    <t>MENCIONA CLIENTE QUE SI DESEA LIQUIDAR LA DEUDA QUE MENCIONO ANTERIORMENTE QUE IRA A LA CIUDAD ESTE MES DE MARZO A QUINCENA MENCIONA VIAJA ESTOS DIAS ,SE ENCUENTRA EN LA ciudad yungay ancash</t>
  </si>
  <si>
    <t>DT: 8500</t>
  </si>
  <si>
    <t xml:space="preserve">CAMPAÑA:5000 </t>
  </si>
  <si>
    <t>laborando conductor :</t>
  </si>
  <si>
    <t xml:space="preserve">tiene 3000 A LA MANO JUNTO </t>
  </si>
  <si>
    <t xml:space="preserve">EDAD:32 AÑOS </t>
  </si>
  <si>
    <t xml:space="preserve">DEUDAS: INTERBANK </t>
  </si>
  <si>
    <t xml:space="preserve">HERMANOS: 4 </t>
  </si>
  <si>
    <t xml:space="preserve">REALIZA EL ABONO DE EL DIA LUNES 16 </t>
  </si>
  <si>
    <t xml:space="preserve">menciona que en quincena realiza el abono de los 1000 soles como campaña, indica </t>
  </si>
  <si>
    <t>dt: 5000</t>
  </si>
  <si>
    <t>campaña:1000</t>
  </si>
  <si>
    <t xml:space="preserve">sustento : dinero trabajo </t>
  </si>
  <si>
    <t>trabajo: CCCC DEL PERU S.A.C.</t>
  </si>
  <si>
    <t>menciona que la deuda es para otra persona  , tt esta trabajando y tiene interes de pago , DT 3000 ACUERD 1100  35 AÑOS NO TIENE MAS DEUDAS MÑM CANCELARIA  957074001</t>
  </si>
  <si>
    <t xml:space="preserve">MENCIONA QUE NO CANCELO POR PERCANCE DE`PAGOS INCUMPLIDOS, SE LE INDICA ABONAR HASTA EL DIA 16 </t>
  </si>
  <si>
    <t>DT:850</t>
  </si>
  <si>
    <t xml:space="preserve">42 AÑOS </t>
  </si>
  <si>
    <t xml:space="preserve">5 HERMANOS </t>
  </si>
  <si>
    <t xml:space="preserve">SUSTENTO : TRABAJO, SERVICIO DE INGENIERO AGRONOMO HACE ASESORAMIENTO </t>
  </si>
  <si>
    <t xml:space="preserve">TRABAJA CON CACHUELO </t>
  </si>
  <si>
    <t xml:space="preserve">menciona que no cancelo por problemas  cancelar se le indico </t>
  </si>
  <si>
    <t xml:space="preserve">sustento de pago : adelanto de su trabajo </t>
  </si>
  <si>
    <t>dt:900</t>
  </si>
  <si>
    <t>campaña:500</t>
  </si>
  <si>
    <t>edad: 25 años</t>
  </si>
  <si>
    <t>hermanos : 3</t>
  </si>
  <si>
    <t xml:space="preserve">deudas: mibanco </t>
  </si>
  <si>
    <t xml:space="preserve">activacion de campaña el dia lunes 09 </t>
  </si>
  <si>
    <t>menciona que no realizo el pago por que no consiguio el dinero // indica que el dia lunes se le dice DT: 3457</t>
  </si>
  <si>
    <t>campaña: 320</t>
  </si>
  <si>
    <t xml:space="preserve">menciona que no tiene trabajo lo sacaron del trabajo trabaja en el monte, su jefe llegara el domingo para darle su dinero adelnata 100 soles el viernes , comenta que el vive en el monte tiene que bajar hacia el pueblo para realizar pago </t>
  </si>
  <si>
    <t>dt:995</t>
  </si>
  <si>
    <t xml:space="preserve">campaña:637 </t>
  </si>
  <si>
    <t xml:space="preserve">sustento: trabajo </t>
  </si>
  <si>
    <t xml:space="preserve">se le envia sms para que realice el abono </t>
  </si>
  <si>
    <t xml:space="preserve">menciona que se encuentra delicada es por eso el motivo de pago -no se encuenentra laborando sus hijos la ayudan trabaja en educacion, se le indica que debe realizar activacion de campaña con minimo de 50 soles el dia de mañana </t>
  </si>
  <si>
    <t xml:space="preserve">sustento : ayuda de sus hijos </t>
  </si>
  <si>
    <t xml:space="preserve">MODIFICACION - PPC - 500 SOLES </t>
  </si>
  <si>
    <t xml:space="preserve">INDICA QUE SOLO PUEDE PAGAR ESO NO CONSIGUE MAS . </t>
  </si>
  <si>
    <t xml:space="preserve">MONTO APROBADO ( PPC- 1000 SOLES 04/03. ) </t>
  </si>
  <si>
    <t>DK: 1,350.00</t>
  </si>
  <si>
    <t>CAMPAÑA: 1,400</t>
  </si>
  <si>
    <t>motivo de no pago : se pelio con su esposo y dejo de pagar , porque el dinero no les alcanza .</t>
  </si>
  <si>
    <t>ahora solo an juntado mil soles porque no trabaja.</t>
  </si>
  <si>
    <t xml:space="preserve">edad: 32 años </t>
  </si>
  <si>
    <t xml:space="preserve">entidades: solo con credinka </t>
  </si>
  <si>
    <t xml:space="preserve">hermanos : 2 </t>
  </si>
  <si>
    <t>no hay mas registros/</t>
  </si>
  <si>
    <t xml:space="preserve">Monto Aprobado: 250 soles </t>
  </si>
  <si>
    <t>DT: 1,459.97</t>
  </si>
  <si>
    <t>DK: 586.80</t>
  </si>
  <si>
    <t xml:space="preserve">Min2: 429.25 </t>
  </si>
  <si>
    <t>Deuda del cliente fue castigada el 21-06-2017, solo quiere pagar 250 soles ya que es la única cuota que le faltaba en ese entonces ya que se originó por una mala gestión de un asesor de caja sullana, cliente viene trabajando con EDPYME ACCESO CREDITICIO SOCIEDAD ANONIMA  (NORMAL)  y banco falabella que tiene 169 días de atraso (CPP), no hay información laboral ni familiar."</t>
  </si>
  <si>
    <t>MONTO TOTAL 800 soles</t>
  </si>
  <si>
    <t>CAPITAL 500</t>
  </si>
  <si>
    <t xml:space="preserve">CAMPAÑA 370 soles </t>
  </si>
  <si>
    <t xml:space="preserve">MOTIVO DE RETRASO  el prestamo fue para su hermana que fallecio por eso recien cuando se acerco a la caja sullana le inidcaron que expertis tiene la deuda, el dinero se lo dara su cuñado / </t>
  </si>
  <si>
    <t>EDAD 41 años</t>
  </si>
  <si>
    <t xml:space="preserve">HIJOS dos hijos / </t>
  </si>
  <si>
    <t xml:space="preserve">DEUDAS  tiene creditos al dia con financiera crear y caja piura </t>
  </si>
  <si>
    <t xml:space="preserve">MONTO TOTAL NEGOCIADO:  / HORARIO DE PAGO: Mañana / ADICIONAL - </t>
  </si>
  <si>
    <t xml:space="preserve">MONTO TOTAL NEGOCIADO:  / HORARIO DE PAGO: Mañana / ADICIONAL - dk    5600 cam 3700   </t>
  </si>
  <si>
    <t xml:space="preserve">MONTO TOTAL NEGOCIADO:  / HORARIO DE PAGO: Mañana / ADICIONAL - dk 1400 cam </t>
  </si>
  <si>
    <t xml:space="preserve">MONTO TOTAL NEGOCIADO:  / HORARIO DE PAGO: Mañana / ADICIONAL - DK 426 CAM 350  TT PP 170 SE CONSULTARA CON GERENCIA </t>
  </si>
  <si>
    <t xml:space="preserve">MONTO TOTAL NEGOCIADO:  / HORARIO DE PAGO: Mañana / ADICIONAL - dk 4k  campa  2550    tt abonara 300 o 150  motivo fallecio familiar  </t>
  </si>
  <si>
    <t xml:space="preserve">MONTO TOTAL NEGOCIADO:  / HORARIO DE PAGO: Mañana / ADICIONAL - esta en el campo sale fin de mes se le informa deuda 3mil </t>
  </si>
  <si>
    <t>MONTO TOTAL NEGOCIADO:  / HORARIO DE PAGO: Mañana / ADICIONAL - informa que va tratar de conseguir algo mas para fines esta en la selva baja fines</t>
  </si>
  <si>
    <t xml:space="preserve">MONTO TOTAL NEGOCIADO:  / HORARIO DE PAGO: Mañana / ADICIONAL - PAR  500 SOLES X AGENTE  BCP </t>
  </si>
  <si>
    <t xml:space="preserve">MONTO TOTAL NEGOCIADO:  / HORARIO DE PAGO: Mañana / ADICIONAL - PARCIAL 500 SOLES RESP X  WH CONTINUA  CON SUS  ABINIS MENSUALES </t>
  </si>
  <si>
    <t>MONTO TOTAL NEGOCIADO:  / HORARIO DE PAGO: Mañana / ADICIONAL - tt ab mañana 50 y diferencia 600 hasta fines de mes</t>
  </si>
  <si>
    <t xml:space="preserve">MONTO TOTAL NEGOCIADO:  / HORARIO DE PAGO: Mañana / ADICIONAL - TT CONFIRMA ABONO 150 PERO EVALUARA CAN 400 DE SU DT 4.2K </t>
  </si>
  <si>
    <t>MONTO TOTAL NEGOCIADO:  / HORARIO DE PAGO: Mañana / ADICIONAL - tt dice q podria canc 800 no asegura de lo contrario solo ab 50 hasta el 27 menciona qe quiere los doc de su terreno q dejo</t>
  </si>
  <si>
    <t>MONTO TOTAL NEGOCIADO:  / HORARIO DE PAGO: Mañana / ADICIONAL - TT INDICA QUE NO PUDO PAGAR POR MOTIVOS DE SALUD, HASTA FIN DE MES REUNE ABONO O CAN CON 600 SO</t>
  </si>
  <si>
    <t>MONTO TOTAL NEGOCIADO:  / HORARIO DE PAGO: Mañana / ADICIONAL - tt indica que se acercará a liquidar 2k como adelanto base a 3k dentro del mes. Lunes 2k y el 30 1k</t>
  </si>
  <si>
    <t xml:space="preserve">MONTO TOTAL NEGOCIADO:  / HORARIO DE PAGO: Mañana / ADICIONAL - TT MENCIONA Q POR TEMAS DE DINERO SOLO  PUEDE CANCELAR BAJO EL MONTO DE ABONO DE 300 SOLES </t>
  </si>
  <si>
    <t xml:space="preserve">MONTO TOTAL NEGOCIADO:  / HORARIO DE PAGO: Mañana / ADICIONAL - tt por ahora confirma abono, hasta q le preste dinero ff </t>
  </si>
  <si>
    <t>MONTO TOTAL NEGOCIADO:  / HORARIO DE PAGO: Mañana / ADICIONAL - tt tuvo problemas ahora solo puede abonar 100</t>
  </si>
  <si>
    <t xml:space="preserve">MONTO TOTAL NEGOCIADO:  / HORARIO DE PAGO: Mañana / NOTA: </t>
  </si>
  <si>
    <t xml:space="preserve">MONTO TOTAL NEGOCIADO:  / HORARIO DE PAGO: Mañana / NOTA:  dk 900 cam 900 </t>
  </si>
  <si>
    <t>MONTO TOTAL NEGOCIADO:  / HORARIO DE PAGO: Mañana / NOTA:  DT 21K  camp  14.7k  para el 27 o 29 realizar el pago de 200</t>
  </si>
  <si>
    <t>MONTO TOTAL NEGOCIADO:  / HORARIO DE PAGO: Mañana / NOTA: 203 soles en 3 meses</t>
  </si>
  <si>
    <t>MONTO TOTAL NEGOCIADO:  / HORARIO DE PAGO: Mañana / NOTA: 4500 indica que ha reunido</t>
  </si>
  <si>
    <t>MONTO TOTAL NEGOCIADO:  / HORARIO DE PAGO: Mañana / NOTA: ABONA A CUENTA , CONFIRMAR SOBRE CANC ESTA VIENDO HACER UNA ACTIVIDAD PARA REUNIR DINERO</t>
  </si>
  <si>
    <t>MONTO TOTAL NEGOCIADO:  / HORARIO DE PAGO: Mañana / NOTA: abona hasta el 15 100 y fin de mes 100</t>
  </si>
  <si>
    <t>MONTO TOTAL NEGOCIADO:  / HORARIO DE PAGO: Mañana / NOTA: abona. si no puede mejorar propuesta de pago</t>
  </si>
  <si>
    <t>MONTO TOTAL NEGOCIADO:  / HORARIO DE PAGO: Mañana / NOTA: ABONO</t>
  </si>
  <si>
    <t xml:space="preserve">MONTO TOTAL NEGOCIADO:  / HORARIO DE PAGO: Mañana / NOTA: adelanta hoy 50 soles </t>
  </si>
  <si>
    <t xml:space="preserve">MONTO TOTAL NEGOCIADO:  / HORARIO DE PAGO: Mañana / NOTA: ahijada indica que tit reunira el monto de 300 para proponer su solucion pero hasta el 26 no esta segura no se compromete es pensionista la tit aun asi pide se le llame sino tartara de realizar abono </t>
  </si>
  <si>
    <t xml:space="preserve">MONTO TOTAL NEGOCIADO:  / HORARIO DE PAGO: Mañana / NOTA: apoyo de supervisora tt confirma pago de 9k para el 17.04 previa consulta con supervisora. </t>
  </si>
  <si>
    <t xml:space="preserve">MONTO TOTAL NEGOCIADO:  / HORARIO DE PAGO: Mañana / NOTA: cliente confirma que abonara a la cuenta a las 10 am, de ser posible cumplira tambien con la propuesta del mes. campaña por 15 mil. </t>
  </si>
  <si>
    <t xml:space="preserve">MONTO TOTAL NEGOCIADO:  / HORARIO DE PAGO: Mañana / NOTA: cliente esta viendo la forma de conseguir propuesta  de pago </t>
  </si>
  <si>
    <t xml:space="preserve">MONTO TOTAL NEGOCIADO:  / HORARIO DE PAGO: Mañana / NOTA: cliente indica que esta tratando de reunir el dinero </t>
  </si>
  <si>
    <t xml:space="preserve">MONTO TOTAL NEGOCIADO:  / HORARIO DE PAGO: Mañana / NOTA: CLIENTE INFORMA QUE POR EL MOMENTO NO PUEDE PLANTEAR UN ACUERDO CANCELATORIO, POR MOTIVOS QUE NO LE CONFIRMAN EL DINERO. MENCIONA QUE SI PARA EL 23 DE MAYO SU MAMÁ NO LE DA EL DINERO QUE LE TIENE PENDIENTE ABONARÁ 600 SOLES Y PARA EL MES QUE VIENE TERMINA DE CANCELAR BAJO MEJORA DE PROPUESTA </t>
  </si>
  <si>
    <t xml:space="preserve">MONTO TOTAL NEGOCIADO:  / HORARIO DE PAGO: Mañana / NOTA: confirma si reune CAN hasta 6k, o abona </t>
  </si>
  <si>
    <t xml:space="preserve">MONTO TOTAL NEGOCIADO:  / HORARIO DE PAGO: Mañana / NOTA: dk  1200 cam  500 </t>
  </si>
  <si>
    <t>MONTO TOTAL NEGOCIADO:  / HORARIO DE PAGO: Mañana / NOTA: dk  500 cam 400</t>
  </si>
  <si>
    <t xml:space="preserve">MONTO TOTAL NEGOCIADO:  / HORARIO DE PAGO: Mañana / NOTA: dk  5800 cam 5k  tt pp 1300 se evaluara con gerencia </t>
  </si>
  <si>
    <t xml:space="preserve">MONTO TOTAL NEGOCIADO:  / HORARIO DE PAGO: Mañana / NOTA: dk 18900 cam  5400  tt este mes solo pagara 200 ya que esta mal de salud </t>
  </si>
  <si>
    <t>MONTO TOTAL NEGOCIADO:  / HORARIO DE PAGO: Mañana / NOTA: dk 2400 cam  1300</t>
  </si>
  <si>
    <t xml:space="preserve">MONTO TOTAL NEGOCIADO:  / HORARIO DE PAGO: Mañana / NOTA: dk 26k cam  20k  tt pp 4k se le pide mejora se evaluara con gerencia </t>
  </si>
  <si>
    <t>MONTO TOTAL NEGOCIADO:  / HORARIO DE PAGO: Mañana / NOTA: dk 3100 cam 2600</t>
  </si>
  <si>
    <t xml:space="preserve">MONTO TOTAL NEGOCIADO:  / HORARIO DE PAGO: Mañana / NOTA: dk 3800 cam 3k  tt pp 1k se le pide mejora y se evaluara con gerencia </t>
  </si>
  <si>
    <t>MONTO TOTAL NEGOCIADO:  / HORARIO DE PAGO: Mañana / NOTA: dk 52k cam  29k  tt por el momento solo abonara 200 soles hasta reunir mas adelante una pp</t>
  </si>
  <si>
    <t xml:space="preserve">MONTO TOTAL NEGOCIADO:  / HORARIO DE PAGO: Mañana / NOTA: dk 650   can 400  tt pp 250 se evaluara con gerencia y se le pide mejora de propuesta </t>
  </si>
  <si>
    <t>MONTO TOTAL NEGOCIADO:  / HORARIO DE PAGO: Mañana / NOTA: dt  6700 camp   3k   tt propone  2500   pero con afp   caso contrario abono</t>
  </si>
  <si>
    <t xml:space="preserve">MONTO TOTAL NEGOCIADO:  / HORARIO DE PAGO: Mañana / NOTA: dt 12,792.36 camp   3k  tt propone  1.5k   para el  24 o caso contrario   se solicita abono  llamar dias antes  </t>
  </si>
  <si>
    <t xml:space="preserve">MONTO TOTAL NEGOCIADO:  / HORARIO DE PAGO: Mañana / NOTA: DT 4.9K SOLO HARA ABONO MIN 200 Y EN OCT CAN </t>
  </si>
  <si>
    <t xml:space="preserve">MONTO TOTAL NEGOCIADO:  / HORARIO DE PAGO: Mañana / NOTA: DT 5K SE EVALUA CAN 500  YA Q TIENE SOLO 400 Y QUIERE TERMINAR DE JUNTAR PARA PODER RECIEN CAN TOTAL </t>
  </si>
  <si>
    <t xml:space="preserve">MONTO TOTAL NEGOCIADO:  / HORARIO DE PAGO: Mañana / NOTA: ES POSIBLE QUE BUSQUE CANCELAR, MENCIONA HASTA 800 SOLES PODER REUNIR, CONFIRMA </t>
  </si>
  <si>
    <t>MONTO TOTAL NEGOCIADO:  / HORARIO DE PAGO: Mañana / NOTA: esposa zenovia  dice q mañlana haria abono a cta 3pm  posteriormente confirmaria prop pero dice q solo seria de 2k igual se confirmara mejora dice fdm</t>
  </si>
  <si>
    <t xml:space="preserve">MONTO TOTAL NEGOCIADO:  / HORARIO DE PAGO: Mañana / NOTA: esposo gian confrima pago de 100 para el 15 y restante a fdm en comunicacion igual tratara de recaudar para cancelar pero confirmara </t>
  </si>
  <si>
    <t>MONTO TOTAL NEGOCIADO:  / HORARIO DE PAGO: Mañana / NOTA: esta juntando la propuesta esperando pagos de lo contrario abona 200 a base de capital se informo</t>
  </si>
  <si>
    <t xml:space="preserve">MONTO TOTAL NEGOCIADO:  / HORARIO DE PAGO: Mañana / NOTA: Excepción condicionada a cumplimiento por S/16,500 para hoy, tt confirma pago entre 3 o 4pm, ya confirmó con el banco la transferencia de la deuda a Expertis Master. </t>
  </si>
  <si>
    <t>MONTO TOTAL NEGOCIADO:  / HORARIO DE PAGO: Mañana / NOTA: hasta fin de mes pide tiempo</t>
  </si>
  <si>
    <t xml:space="preserve">MONTO TOTAL NEGOCIADO:  / HORARIO DE PAGO: Mañana / NOTA: HERMANA INDICA QUE SE ACERCA A PAGAR, SI NO REALIZA CAN ANONA 200 Y PROXIMO MES REUNE CAN </t>
  </si>
  <si>
    <t xml:space="preserve">MONTO TOTAL NEGOCIADO:  / HORARIO DE PAGO: Mañana / NOTA: hija jesenia asume deuda. prop can con 3k pero se solic mejora, sino llega concreta abonar min 200. ( tien 2 cred) se indica carta de notificación/ transanción extrajudicial/ CN legatilizada. </t>
  </si>
  <si>
    <t xml:space="preserve">MONTO TOTAL NEGOCIADO:  / HORARIO DE PAGO: Mañana / NOTA: hijo alejandro dice q desea asumir dd pero para el siguiente mes se le dice q min haga un abono se da 6800 dice q podria llegar hasta 2k se le dice q mejore propuesta confirmara de lo contrario hara abono </t>
  </si>
  <si>
    <t>MONTO TOTAL NEGOCIADO:  / HORARIO DE PAGO: Mañana / NOTA: hijo ivan dice q ellos iban a poner una denuncia a indecopi porque ya habian cancelado su deuda pero no le dieron su cna, dice q no llegan a mas porque no les pagan de una deuda q le tienen, solo llegan a proponer 1200, se le pide abono de 200 min si no llegan a cancelar se evaluara cuando haga el primer abono lo hara en andes de huanuco</t>
  </si>
  <si>
    <t xml:space="preserve">MONTO TOTAL NEGOCIADO:  / HORARIO DE PAGO: Mañana / NOTA: mañana indica qu abona 200 soles </t>
  </si>
  <si>
    <t>MONTO TOTAL NEGOCIADO:  / HORARIO DE PAGO: Mañana / NOTA: Monto negociado: 25,000.00</t>
  </si>
  <si>
    <t xml:space="preserve">Sustento: comunicación vía wasap por llamada se le menciona  importe de can s/38,800.00 sr menciona que tiene de su cts el importe de s/4,000.00 se le menciona importe no es factible muy bajo se le brinda piso de can s/25,000.00 sr menciona no poder el puede juntar hasta julio el importe de s/10,000.00 se le menciona toda propuesta es el mismo mes ya que los importes cambian se le menciona fraccione a 12 cuotas importe de s/4700.00 sr menciona que no el tiene su hijo menor en terapia t se le complica sr menciona desea realizar ya una cancelación. Sr menciona que para fin de mes solo abonara s/600.00, estará informando en caso logre juntar su propuesta mencionada. </t>
  </si>
  <si>
    <t xml:space="preserve">Motivo de no pago: salud de su hijo </t>
  </si>
  <si>
    <t xml:space="preserve">Fecha: </t>
  </si>
  <si>
    <t>Propuesta: 4,000.00</t>
  </si>
  <si>
    <t xml:space="preserve">MONTO TOTAL NEGOCIADO:  / HORARIO DE PAGO: Mañana / NOTA: paga el virnes o lunes 100 y fines otro 100 no logra liquidar </t>
  </si>
  <si>
    <t xml:space="preserve">MONTO TOTAL NEGOCIADO:  / HORARIO DE PAGO: Mañana / NOTA: PAR  300 SOLES  X  AGENTE BCP </t>
  </si>
  <si>
    <t xml:space="preserve">MONTO TOTAL NEGOCIADO:  / HORARIO DE PAGO: Mañana / NOTA: PAR 200 SOLES  LUNES 22/7 </t>
  </si>
  <si>
    <t xml:space="preserve">MONTO TOTAL NEGOCIADO:  / HORARIO DE PAGO: Mañana / NOTA: PAR 200 SOLES LUNES 30/12 EN CAJA LOS  ANDES </t>
  </si>
  <si>
    <t xml:space="preserve">MONTO TOTAL NEGOCIADO:  / HORARIO DE PAGO: Mañana / NOTA: PARCIAL 200 SOLES </t>
  </si>
  <si>
    <t>MONTO TOTAL NEGOCIADO:  / HORARIO DE PAGO: Mañana / NOTA: PARCIAL 200 SOLES  PRESTAMO PARA TERCERO EN OF  CREDINKA TACNA MIERCOLES 12/6</t>
  </si>
  <si>
    <t xml:space="preserve">MONTO TOTAL NEGOCIADO:  / HORARIO DE PAGO: Mañana / NOTA: PARCIAL 300 SOLES EN OF  CREDINKA LUNES 17/6 </t>
  </si>
  <si>
    <t xml:space="preserve">MONTO TOTAL NEGOCIADO:  / HORARIO DE PAGO: Mañana / NOTA: SE CONVERSA CON EL TT SE LE MENCIONA ACERCA DE LA CAMPAÑA TT MENCIONA Q POR EL MOMENTO SEGUIRA CON SU ABONO DE 200 SOLES CABE LE POSIBILIDAD DE LIQUIDAR SU DEUDA ESTA A ESPERA DE UN DINERO QUE LE TIENEN Q PAGAR PERO ES EL MONTO DE 1200 SE LE MENCIONA Q ES UNA PROPUESTA Q SE TENDRIA Q EVALUAR PERO IGUAL SE LE MENCIONA Q MEJORE LA CAMPAÑA DE PAGO </t>
  </si>
  <si>
    <t xml:space="preserve">MONTO TOTAL NEGOCIADO:  / HORARIO DE PAGO: Mañana / NOTA: se dedica  ayudante de carga se le informa camo 1300 dice que no puede conseguir va tratar de juntar algo y avisara sino amortiza juntar </t>
  </si>
  <si>
    <t>MONTO TOTAL NEGOCIADO:  / HORARIO DE PAGO: Mañana / NOTA: se espera abono a cta de 500 dice q cl q se prestaria de amistad pra poder llegar a completar , si cumple se hra nva consulta para excep</t>
  </si>
  <si>
    <t xml:space="preserve">MONTO TOTAL NEGOCIADO:  / HORARIO DE PAGO: Mañana / NOTA: se le informa camp 550 dice que va tratar de buscar pero dice pasando el 20 se le dice que trate de prestarse antes va conversar con su familiar se solicita adelanto minimo 200 para darle mas tiempo </t>
  </si>
  <si>
    <t xml:space="preserve">MONTO TOTAL NEGOCIADO:  / HORARIO DE PAGO: Mañana / NOTA: Se llega acuerdo previa consulta con gerencia de pagar el monto de 12800, haciendo un primer pago de 800 el 14/03 y diferencia de 12000 el 31/03, en coordinacion con supervisor se maneja par. </t>
  </si>
  <si>
    <t xml:space="preserve">MONTO TOTAL NEGOCIADO:  / HORARIO DE PAGO: Mañana / NOTA: SEÑOR MENCIONA QUE HASTA EL LUNES ABONARA EL IMPORTE DE 100 SOLES Y HASTA EL 14.06 EL IMPORTE RESTANTE </t>
  </si>
  <si>
    <t xml:space="preserve">MONTO TOTAL NEGOCIADO:  / HORARIO DE PAGO: Mañana / NOTA: señor moises menciona que el puede buscar una cancelacion total con el importe de 700 soles menciona que el quiere solucionar de la sra juana se le menciona que se realizara nuevamente la consulta sr menciona que por mientras abonaria los 200 soles </t>
  </si>
  <si>
    <t xml:space="preserve">MONTO TOTAL NEGOCIADO:  / HORARIO DE PAGO: Mañana / NOTA: SRA GENOVEVA ATAO RESPIENDE LA LLAMADA MENCIONA QUE ELLA SE ENCARGARA DE PAGAR LA DEUDA PROPONE PARA EL IMPORTE DE 5K PARA EL MES SIGUINETE SE LE REFUTA INFORMACION MENCIONA QUE ESTA CONVERSANDO CON SUS HERMANAS Y SUS HIJOS PARA PODER JUNTAR EL DINERO. BRINDA SU NUMERO 958484888: </t>
  </si>
  <si>
    <t xml:space="preserve">MONTO TOTAL NEGOCIADO:  / HORARIO DE PAGO: Mañana / NOTA: SRA MENCIONA QUE EL DIA LUNES SE ACERCARIA A CREDINKA A LAS 9:30AM </t>
  </si>
  <si>
    <t>MONTO TOTAL NEGOCIADO:  / HORARIO DE PAGO: Mañana / NOTA: Tiene problemas al ingresar a telecredito y no puede descargar la constancia, pago ese monto por santander. tiene una campaña por 12,000 pago internacional solo paso a expertis el monto 10,715.39 soles ,su pago fue de Euro a soles ,por cuenta de BCP 193..</t>
  </si>
  <si>
    <t>MONTO TOTAL NEGOCIADO:  / HORARIO DE PAGO: Mañana / NOTA: tit indica que esta recaudando el monto sino puede totalidad abonara los 200</t>
  </si>
  <si>
    <t xml:space="preserve">MONTO TOTAL NEGOCIADO:  / HORARIO DE PAGO: Mañana / NOTA: tt  dicestaria abonando aun no puede vanclar </t>
  </si>
  <si>
    <t>MONTO TOTAL NEGOCIADO:  / HORARIO DE PAGO: Mañana / NOTA: tt ab 200 en agosto / dice q esta evaluando cancelacion de la deuda si no llega, solo ab 200</t>
  </si>
  <si>
    <t xml:space="preserve">MONTO TOTAL NEGOCIADO:  / HORARIO DE PAGO: Mañana / NOTA: TT aun no tiene una respuesta de propuesta de cancelacion , esta viendo por otros medios , pero confirma con seguridad su abono de 600 soles el 24 de julio a base de la deuda total 76,078.57 - Igual si tiene alguna novedad a una propuesta se comunicara </t>
  </si>
  <si>
    <t>MONTO TOTAL NEGOCIADO:  / HORARIO DE PAGO: Mañana / NOTA: tt cancelara la deuda hasta fines pero se le pide ab de 200 hasta el jueves 18 / si abona se deja 800 hasta el 30 pagara en of de chota</t>
  </si>
  <si>
    <t>MONTO TOTAL NEGOCIADO:  / HORARIO DE PAGO: Mañana / NOTA: tt confirma cancelación hasta con 2k, se pide que mejore propuesta</t>
  </si>
  <si>
    <t>MONTO TOTAL NEGOCIADO:  / HORARIO DE PAGO: Mañana / NOTA: TT DICE Q QUIERE HACER CANCELACION PERO AUN NO CUENTA CON EFECTIVO, ESPERA PAGO DE LA MUNIC Q LE DIJO ESTE MES, MIENTRAS OFRECE LA AMORTIZAC , PROPONE 1K PERO DEPENDE Q LE PAGUEN SINO SOLO ABONA , SE LE INDIC Q IGUAL LA PROP A CONFIRMAR DEBE SER MAYOR</t>
  </si>
  <si>
    <t xml:space="preserve">MONTO TOTAL NEGOCIADO:  / HORARIO DE PAGO: Mañana / NOTA: TT DICE Q SU HIJA AUN NO PUDO CONSEGUIR EL DINERO . PIDE MAS PLAZO HASTA FIN DE MES PARAA PODER CAN 2K AUN SE MANTIENE . PERO SINO HARA ABONO MIN 200 </t>
  </si>
  <si>
    <t>MONTO TOTAL NEGOCIADO:  / HORARIO DE PAGO: Mañana / NOTA: tt estara evulando si puede liquidar deuda</t>
  </si>
  <si>
    <t xml:space="preserve">MONTO TOTAL NEGOCIADO:  / HORARIO DE PAGO: Mañana / NOTA: TT HARA ABONO 600 CON FINALIDAD DE CONTAR UNA CAMPAÑA MENOR EN EL 5TO MES APROX </t>
  </si>
  <si>
    <t xml:space="preserve">MONTO TOTAL NEGOCIADO:  / HORARIO DE PAGO: Mañana / NOTA: TT HARA ABONO DE 400 FDM SIN EMBARGO SE LE ACLARA EN BASE AL TOTAL 30.9K </t>
  </si>
  <si>
    <t>MONTO TOTAL NEGOCIADO:  / HORARIO DE PAGO: Mañana / NOTA: TT ind que no reunio el dinero mañana abona 200 soles de acuerdo a cumplimeinto se eleva excepcion hasta fines por la diferencia.</t>
  </si>
  <si>
    <t>MONTO TOTAL NEGOCIADO:  / HORARIO DE PAGO: Mañana / NOTA: tt indica que abona 200 o quizas lo hagan un prestamos para que pague hasta 1500 soles menciona al dia 20/08</t>
  </si>
  <si>
    <t>MONTO TOTAL NEGOCIADO:  / HORARIO DE PAGO: Mañana / NOTA: tt indica que cancela con 700 hasta finesde mes se le pide adelanto de 350 dice hasta el 20 y 350 hasta fines para canc se mantiene en par hasta que cancele los 700</t>
  </si>
  <si>
    <t>MONTO TOTAL NEGOCIADO:  / HORARIO DE PAGO: Mañana / NOTA: tt indica que podria reunir hasta 800 converso con leonor pide llamar hasta el 28 se maneja como par segun lo conversado con sup/ tt desea cancelar no kiere hacer abonos</t>
  </si>
  <si>
    <t>MONTO TOTAL NEGOCIADO:  / HORARIO DE PAGO: Mañana / NOTA: tt indica que quincena va abonar pero lo mas probable es que tenga el importe de 2000 soles para proponer</t>
  </si>
  <si>
    <t xml:space="preserve">MONTO TOTAL NEGOCIADO:  / HORARIO DE PAGO: Mañana / NOTA: tt indica que tratara de reunir hasta 3000 soles fin de mes . menciona que tiene que recibir un dinero, confirma, si no abonaría </t>
  </si>
  <si>
    <t xml:space="preserve">MONTO TOTAL NEGOCIADO:  / HORARIO DE PAGO: Mañana / NOTA: TT MENCIONA Q ESTARIA REALIZANDO EL PAGO DE UN ABONO DE 200 SOLES EL DIA 11/10/2024 SE LE BRINDA LA CAMPAÑA PERO POR TEMAS DE SALUD DE SU MAMA NO PUEDE CUBRIR LA CANCELACION DE LA DEUDA </t>
  </si>
  <si>
    <t xml:space="preserve">MONTO TOTAL NEGOCIADO:  / HORARIO DE PAGO: Mañana / NOTA: TT MENCIONA Q ESTARIA REALIZANDO LOS </t>
  </si>
  <si>
    <t>MONTO TOTAL NEGOCIADO:  / HORARIO DE PAGO: Mañana / NOTA: TT MENCIONA Q SOLO ABONARA EL MONTO DE 500 SOLES PARA EL 15/05/2024</t>
  </si>
  <si>
    <t>MONTO TOTAL NEGOCIADO:  / HORARIO DE PAGO: Mañana / NOTA: tt menciona que esta viendo en reunir el dinero para que cancele pero se le dificulta por ahora quiere abonar, en caos reuna algun importe se comunicara para que proponga un importe. Pagara en la misma agencia su abono</t>
  </si>
  <si>
    <t xml:space="preserve">MONTO TOTAL NEGOCIADO:  / HORARIO DE PAGO: Mañana / NOTA: tt paga en cdk el sol </t>
  </si>
  <si>
    <t xml:space="preserve">MONTO TOTAL NEGOCIADO:  / HORARIO DE PAGO: Mañana / NOTA: tt por tema de salus de padres  y de ella   es albina  quiere proponer 500 para liquidar </t>
  </si>
  <si>
    <t xml:space="preserve">MONTO TOTAL NEGOCIADO:  / HORARIO DE PAGO: Mañana / NOTA: TT VENDRA OFICINA X LA CAN 5K A LAS 11AM </t>
  </si>
  <si>
    <t xml:space="preserve">MONTO TOTAL NEGOCIADO:  / HORARIO DE PAGO: Mañana / NOTA: va seguir amortizando minimo lunes 12am si le pagan antes avisara </t>
  </si>
  <si>
    <t xml:space="preserve">MONTO TOTAL NEGOCIADO:  / HORARIO DE PAGO: Mañana / NOTA: va seguir amortiznado minimo </t>
  </si>
  <si>
    <t xml:space="preserve">MONTO TOTAL NEGOCIADO:  / HORARIO DE PAGO: Mediodía / ADICIONAL - cliente indica que no pudo cumplir con su compromiso de pago por motivos de salud que la fecha 26 estaria realizando su CAN </t>
  </si>
  <si>
    <t>MONTO TOTAL NEGOCIADO:  / HORARIO DE PAGO: Mediodía / ADICIONAL - dk 1100 cam 800   pp 500 se le pide mejorar</t>
  </si>
  <si>
    <t xml:space="preserve">MONTO TOTAL NEGOCIADO:  / HORARIO DE PAGO: Mediodía / ADICIONAL - me comunico con la titular segun la aprobación de gerecia abonara el monto de 1k el 12.03 como abono con base a los 15k que restan del acuerdo la cual lo pagara a fin de mes. </t>
  </si>
  <si>
    <t xml:space="preserve">MONTO TOTAL NEGOCIADO:  / HORARIO DE PAGO: Mediodía / ADICIONAL - Se informó a titular que por el cronograma incumplido si quiere fraccionar en dos cuotas sería en base a 20K tt menciona que es muy elevado porque él dejo debiendo 16k se le deja claro que es un cronograma que incumplió que no demuestra intención de pago porque bloquea las llamadas. Y responde que si paga 20k lo hará en 10 cuotas para no descapitalizarce y se le dice que es un cronograma NO APROBADO si alarga el tiempo el importe a pagar es mayor. TT realizará abono de 5K el dia martes y dentro </t>
  </si>
  <si>
    <t>MONTO TOTAL NEGOCIADO:  / HORARIO DE PAGO: Mediodía / ADICIONAL - TE INDICA QUE ABONARA  300 EN  BASE A  DK, SI ES  QUE PUEDE CONSEGUIR TODO EL ESE DIA CANCELARA CON 600 SOLES.</t>
  </si>
  <si>
    <t>MONTO TOTAL NEGOCIADO:  / HORARIO DE PAGO: Mediodía / ADICIONAL - TT SOLO AB 150 EL 27 HASTA Q PUEDA CONSEGUIR EL DINERO</t>
  </si>
  <si>
    <t xml:space="preserve">MONTO TOTAL NEGOCIADO:  / HORARIO DE PAGO: Mediodía / NOTA: dk 1200 cam 750     </t>
  </si>
  <si>
    <t>MONTO TOTAL NEGOCIADO:  / HORARIO DE PAGO: Mediodía / NOTA: SE CONVERSO CON TT, NOS INDICA QUE NO HA PODIDO LLEGAR A 4.5K DADO QUE DINERO QUE RECAUDO INICIALMENTE FUE DE 4K FUE PROVENIENTE A UN PRESTAMO, HA ESTADO CONVERSANDO CON TERCEROS Y PUDO CONSEGUIR S/. 200 MAS, JUNTANDO S/. 4200 // SE REALIZO CONSULTA, SE DA ULTIMA OPORTUNIDAD DE PODER CANCELAR BAJO IMPORTE DE S/. 4200 SOLAMENTE POR HOY 07/03 BAJO EXCEPCION, TT CONFIRMA REALIZARA PAGO EN OFICINA BBVA 12PM APROXIMADAMENTE.</t>
  </si>
  <si>
    <t>MONTO TOTAL NEGOCIADO:  / HORARIO DE PAGO: Mediodía / NOTA: se maneja de manera interna, monto minimo 1600</t>
  </si>
  <si>
    <t>MONTO TOTAL NEGOCIADO:  / HORARIO DE PAGO: Mediodía / NOTA: tt   abono 340 se etsa conversando pra la cancelacion</t>
  </si>
  <si>
    <t>MONTO TOTAL NEGOCIADO:  / HORARIO DE PAGO: Mediodía / NOTA: tt   dic el martes 1 hastes ese dia</t>
  </si>
  <si>
    <t xml:space="preserve">MONTO TOTAL NEGOCIADO:  / HORARIO DE PAGO: Mediodía / NOTA: TT ABONA 600 MAÑANA 5-6 Y 100 HASTA EL 28-6 , SE GRABA PARCIAL PRIMERO ENVIARA WSP PARA ENVIARLE LA CARTA </t>
  </si>
  <si>
    <t>MONTO TOTAL NEGOCIADO:  / HORARIO DE PAGO: Mediodía / NOTA: TT confirma abono minimo 200 para mantener la conicliacion y beneficio descuento si lo hace antes informara o si tiene alguna respuesta de la  propuesta</t>
  </si>
  <si>
    <t>MONTO TOTAL NEGOCIADO:  / HORARIO DE PAGO: Mediodía / NOTA: TT esta esperando un prestamo de familiar para proponer monto de 1 k como maximo sino abonara 200 para reducir deuda y tener beneficio de campaña a confirmar</t>
  </si>
  <si>
    <t>MONTO TOTAL NEGOCIADO:  / HORARIO DE PAGO: Mediodía / NOTA: tt indica que no pudo reunir ya que su hija empeoro se acoge a pago parcial de 200 soles en base de su deuda de 3995</t>
  </si>
  <si>
    <t>MONTO TOTAL NEGOCIADO:  / HORARIO DE PAGO: Mediodía / NOTA: TT PAGA 200 SOLES AL 8-6 Y RESTO DE 300 AL 28-6   CANCELA CON 500 , DESPUES SE PEDIRA MODIFICAR</t>
  </si>
  <si>
    <t>MONTO TOTAL NEGOCIADO:  / HORARIO DE PAGO: Mediodía / NOTA: tti  solo podta abinar 200 sioes ya se consulto coin suopervisora</t>
  </si>
  <si>
    <t xml:space="preserve">MONTO TOTAL NEGOCIADO:  / HORARIO DE PAGO: Tarde / ADICIONAL - </t>
  </si>
  <si>
    <t xml:space="preserve">MONTO TOTAL NEGOCIADO:  / HORARIO DE PAGO: Tarde / ADICIONAL - 10850 camp  3400  tt realizara abono para mantener camp </t>
  </si>
  <si>
    <t>MONTO TOTAL NEGOCIADO:  / HORARIO DE PAGO: Tarde / ADICIONAL - cliente indica que esta de viaje ya dispone del efectivo, perolo tiene en ica y el esta en otro lado que no hay banco quiere seguridad por eso no puede adelantar quiere pagar todo en una cuota se manje por interno con supervisor</t>
  </si>
  <si>
    <t>MONTO TOTAL NEGOCIADO:  / HORARIO DE PAGO: Tarde / ADICIONAL - dice que pagar 50 no puede mas por su trabajo que le pagan poco</t>
  </si>
  <si>
    <t>MONTO TOTAL NEGOCIADO:  / HORARIO DE PAGO: Tarde / ADICIONAL - dk  200 cam 150</t>
  </si>
  <si>
    <t>MONTO TOTAL NEGOCIADO:  / HORARIO DE PAGO: Tarde / ADICIONAL - DK 4500 CAM 1500</t>
  </si>
  <si>
    <t xml:space="preserve">MONTO TOTAL NEGOCIADO:  / HORARIO DE PAGO: Tarde / ADICIONAL - dk 7k cam 6 k </t>
  </si>
  <si>
    <t>MONTO TOTAL NEGOCIADO:  / HORARIO DE PAGO: Tarde / ADICIONAL - DK 900 CAM 800  TT PROPONE 300</t>
  </si>
  <si>
    <t xml:space="preserve">MONTO TOTAL NEGOCIADO:  / HORARIO DE PAGO: Tarde / ADICIONAL - dt 4800  camp 1850  tt esta en zona rural  sale dia 28.2  tratara de conseguir la camp para que cancele el dia 29 </t>
  </si>
  <si>
    <t xml:space="preserve">MONTO TOTAL NEGOCIADO:  / HORARIO DE PAGO: Tarde / ADICIONAL - dt 600 camp 400 tt realizara aboo </t>
  </si>
  <si>
    <t xml:space="preserve">MONTO TOTAL NEGOCIADO:  / HORARIO DE PAGO: Tarde / ADICIONAL - hijo  puede que este mes haga una propuesta </t>
  </si>
  <si>
    <t xml:space="preserve">MONTO TOTAL NEGOCIADO:  / HORARIO DE PAGO: Tarde / ADICIONAL - informa que para fin de mes amrtiza minimo esta en busca de tener dinero no asegura </t>
  </si>
  <si>
    <t xml:space="preserve">MONTO TOTAL NEGOCIADO:  / HORARIO DE PAGO: Tarde / ADICIONAL - se conversa con tt la cual se llega a un acuerdo para poder evaluar los 4 k la cual se le da que abone mil soles el dia 23 y lo restante indica el dia 29 si lo consigue antes lo realiza en seguimoento </t>
  </si>
  <si>
    <t>MONTO TOTAL NEGOCIADO:  / HORARIO DE PAGO: Tarde / ADICIONAL - Se le otorga opción de pasar a evaluación el día de mañana con 20K. Se maneja por interno</t>
  </si>
  <si>
    <t>MONTO TOTAL NEGOCIADO:  / HORARIO DE PAGO: Tarde / ADICIONAL - titular hara lo posible de mejorar propuesta se  esta consultando con supervision</t>
  </si>
  <si>
    <t xml:space="preserve">MONTO TOTAL NEGOCIADO:  / HORARIO DE PAGO: Tarde / ADICIONAL - tt abona monto de 100soles fecha dada </t>
  </si>
  <si>
    <t xml:space="preserve">MONTO TOTAL NEGOCIADO:  / HORARIO DE PAGO: Tarde / ADICIONAL - tt abonara 200 soles ya qie el sigite mes taratara de liquidar su deuda </t>
  </si>
  <si>
    <t>MONTO TOTAL NEGOCIADO:  / HORARIO DE PAGO: Tarde / ADICIONAL - tt continúa abonando</t>
  </si>
  <si>
    <t>MONTO TOTAL NEGOCIADO:  / HORARIO DE PAGO: Tarde / ADICIONAL - TT indica que no pudo completar lo acordado porque no encontro cambista y que solo dispuso de 3m soles, menciona que le dejo el dinero a su padre ya que se encuentra en lima para que pueda efectuar la conversion a soles y que posiblemente el dia de hoy pueda estar liquidando el saldo pendiente de 4m pero que confirmara en el transcurso del dia.</t>
  </si>
  <si>
    <t xml:space="preserve">MONTO TOTAL NEGOCIADO:  / HORARIO DE PAGO: Tarde / ADICIONAL - tt paga cuota de mes </t>
  </si>
  <si>
    <t xml:space="preserve">MONTO TOTAL NEGOCIADO:  / HORARIO DE PAGO: Tarde / ADICIONAL - tt realizo abono  100 le falta  1.4 k </t>
  </si>
  <si>
    <t xml:space="preserve">MONTO TOTAL NEGOCIADO:  / HORARIO DE PAGO: Tarde / NOTA: </t>
  </si>
  <si>
    <t>MONTO TOTAL NEGOCIADO:  / HORARIO DE PAGO: Tarde / NOTA:  indica  es madre soltera  con menores hijos solo puede  abonar ..se  ofrecio cancel 1800 indica  imposible  tener  el dinero pero vera  como dar solucion sino solo el abono de 200</t>
  </si>
  <si>
    <t xml:space="preserve">MONTO TOTAL NEGOCIADO:  / HORARIO DE PAGO: Tarde / NOTA:  indica  solo puede  abonar </t>
  </si>
  <si>
    <t xml:space="preserve">MONTO TOTAL NEGOCIADO:  / HORARIO DE PAGO: Tarde / NOTA: *MONTO NEGOCIADO: dk y dt </t>
  </si>
  <si>
    <t xml:space="preserve">*SUSTENTO: tt indica que ella esta pagando otras cuentas que ahora ahra todo lo posible parw e dia viernes abonar 600 soles en base de su dk hasta que tenga la posiblidad de can </t>
  </si>
  <si>
    <t xml:space="preserve">*MOTIVO DE NO PAGO: sobre endeudamiento </t>
  </si>
  <si>
    <t>*FECHA: 29/08</t>
  </si>
  <si>
    <t xml:space="preserve">*PROPUESTA:tt abonara 600 soles en base de su DT </t>
  </si>
  <si>
    <t>*OBSERVACION:</t>
  </si>
  <si>
    <t>MONTO TOTAL NEGOCIADO:  / HORARIO DE PAGO: Tarde / NOTA: CLIENTA INDICA QUE NO PUDO REUNIR PORQUE EL DINERO SE LO GASTO EN SU HIJA EN UN CENTRO PARTICULAR ME MANDA PRUEBAS DE LOS GASTOS INDICA QUE TENDRA EL DINERO ENTRE 15 Y 17</t>
  </si>
  <si>
    <t xml:space="preserve">MONTO TOTAL NEGOCIADO:  / HORARIO DE PAGO: Tarde / NOTA: cliente indica  no puede reunir los 1k ya que esta recien operada, solo se queda en abonos </t>
  </si>
  <si>
    <t>MONTO TOTAL NEGOCIADO:  / HORARIO DE PAGO: Tarde / NOTA: CLIENTE NO PUDO ABONAR EN MAYO POR UNOIS GASTOS CON SU HIJA ESTE MES SE QUIERE PONER AL DIA</t>
  </si>
  <si>
    <t xml:space="preserve">MONTO TOTAL NEGOCIADO:  / HORARIO DE PAGO: Tarde / NOTA: contesta what </t>
  </si>
  <si>
    <t xml:space="preserve">MONTO TOTAL NEGOCIADO:  / HORARIO DE PAGO: Tarde / NOTA: deuda  para  tercero solo puede  abonar </t>
  </si>
  <si>
    <t>MONTO TOTAL NEGOCIADO:  / HORARIO DE PAGO: Tarde / NOTA: dice antes de fin de mes entre lunes o martes va seguir amortizando minimo</t>
  </si>
  <si>
    <t>MONTO TOTAL NEGOCIADO:  / HORARIO DE PAGO: Tarde / NOTA: dice que esta de viaje llega antes del 20 entre 15 y 17 si consigue algyuien que le preste baja antes del 15 aun no cuenta con dinero para liquidar</t>
  </si>
  <si>
    <t>MONTO TOTAL NEGOCIADO:  / HORARIO DE PAGO: Tarde / NOTA: dice que no puede junatar dinero 850 trabaja en venta ambulatoria mercado 2 hijis pequeños dice que puede pagar minimo a maorizar y el otro mes pagar todo ve ver si consguie algo hasta fin de mes</t>
  </si>
  <si>
    <t xml:space="preserve">MONTO TOTAL NEGOCIADO:  / HORARIO DE PAGO: Tarde / NOTA: dt 11530  dk 7364   tt propone cancelar con 2 k  esta juntando el dinero trabaja en la sierra le complica salis a la ciudad comu ultms opcion  indica que pedira apoyo a su familiar para que realice abono </t>
  </si>
  <si>
    <t xml:space="preserve">MONTO TOTAL NEGOCIADO:  / HORARIO DE PAGO: Tarde / NOTA: dt 3.4 k camp 840   tt  realizara abono  propone cancelar con 500   pero quiere apersonarse a la oficina </t>
  </si>
  <si>
    <t xml:space="preserve">MONTO TOTAL NEGOCIADO:  / HORARIO DE PAGO: Tarde / NOTA: dt 3.6 k   camp 2.5 k  indica que ttratara de conseguir 2 k para que cancele  con puntualidad hija le esta apoyando a tt </t>
  </si>
  <si>
    <t>MONTO TOTAL NEGOCIADO:  / HORARIO DE PAGO: Tarde / NOTA: DT 4.1K SOLO HARA UN ABONO 150</t>
  </si>
  <si>
    <t>MONTO TOTAL NEGOCIADO:  / HORARIO DE PAGO: Tarde / NOTA: DT 5.4K TT SOLO HARA ABONO DE MES Y TRATARA DE PAGAR EL ABONO PENDIENTE EN TOTAL 300 SINO SOLO EL ABONO 150</t>
  </si>
  <si>
    <t>MONTO TOTAL NEGOCIADO:  / HORARIO DE PAGO: Tarde / NOTA: dt 50,491.42 camp  28k   tt quiere proponer pero todavia no dan rspta   se le solicita abono 200</t>
  </si>
  <si>
    <t xml:space="preserve">MONTO TOTAL NEGOCIADO:  / HORARIO DE PAGO: Tarde / NOTA: ENCARGADO DE PAGOS DE TT INDICA QUE ESTA EN ESPERO DE UN DINERO PARA PODR VER SI ES FATIBLE CANCELAR LA CUAL INDICA QUE EL DIA 15 ABONA 200 SOLES O UNA POSIBLE EXTP CON 2 K </t>
  </si>
  <si>
    <t>MONTO TOTAL NEGOCIADO:  / HORARIO DE PAGO: Tarde / NOTA: hija Rosa abonara 200 soles esta juntando el dinero.</t>
  </si>
  <si>
    <t xml:space="preserve">MONTO TOTAL NEGOCIADO:  / HORARIO DE PAGO: Tarde / NOTA: indica  no logra  reunir los 850 esta viendo si fam le  puede  prestar  abonara  si consigue  se  cambia  acuerdo </t>
  </si>
  <si>
    <t xml:space="preserve">MONTO TOTAL NEGOCIADO:  / HORARIO DE PAGO: Tarde / NOTA: INDICA AUN ESTA EN CAMPO PIDE PLAZO PARA PODER VIAJAR </t>
  </si>
  <si>
    <t>MONTO TOTAL NEGOCIADO:  / HORARIO DE PAGO: Tarde / NOTA: informa que aun va seguir amortizando minimo</t>
  </si>
  <si>
    <t>MONTO TOTAL NEGOCIADO:  / HORARIO DE PAGO: Tarde / NOTA: rdp hijo jose quiñones paga en cdk</t>
  </si>
  <si>
    <t>MONTO TOTAL NEGOCIADO:  / HORARIO DE PAGO: Tarde / NOTA: rdp hijo moises paga por agente multired</t>
  </si>
  <si>
    <t xml:space="preserve">MONTO TOTAL NEGOCIADO:  / HORARIO DE PAGO: Tarde / NOTA: RP  indica  antes  de  quincena  monto de  100 resto a  cierre  de  mes  </t>
  </si>
  <si>
    <t>MONTO TOTAL NEGOCIADO:  / HORARIO DE PAGO: Tarde / NOTA: se generado como par hatsa cumplimiento de excepcion, conversado con super.</t>
  </si>
  <si>
    <t>MONTO TOTAL NEGOCIADO:  / HORARIO DE PAGO: Tarde / NOTA: se le informa camo 1100 dice que aun no sabe va tratar de juntarse sino amortiza pero si consigue dinero llamara se le hara seguimiento</t>
  </si>
  <si>
    <t xml:space="preserve">MONTO TOTAL NEGOCIADO:  / HORARIO DE PAGO: Tarde / NOTA: se le informa camp 1200 dice que es mucho  no puede va tratar de conseguir algoo y se va tratar de prestar de su hermana y dira cuando conseguirdo pero dice fin de mes de lo contrataio amortiza </t>
  </si>
  <si>
    <t>MONTO TOTAL NEGOCIADO:  / HORARIO DE PAGO: Tarde / NOTA: se le informa deuda 2900 dice que esta viendo la forma de prestarse se le dice que pague 100 el dia 15 y fin de mes la diferencia</t>
  </si>
  <si>
    <t>MONTO TOTAL NEGOCIADO:  / HORARIO DE PAGO: Tarde / NOTA: se manda docuemntios</t>
  </si>
  <si>
    <t>MONTO TOTAL NEGOCIADO:  / HORARIO DE PAGO: Tarde / NOTA: se maneja como par sujeto a modificar pdp a ppc con dinero en mano en coordinacion con super. cl conf.pago en cdk</t>
  </si>
  <si>
    <t>MONTO TOTAL NEGOCIADO:  / HORARIO DE PAGO: Tarde / NOTA: SEGUNDA SEMANA 100 SOLES RESTO A CIERRE</t>
  </si>
  <si>
    <t xml:space="preserve">MONTO TOTAL NEGOCIADO:  / HORARIO DE PAGO: Tarde / NOTA: T HARA ABONO DE 200 SOLES </t>
  </si>
  <si>
    <t>MONTO TOTAL NEGOCIADO:  / HORARIO DE PAGO: Tarde / NOTA: TT abona 100 soles el 15 y 100 a fines, se ofrecio min1 estara consultando si le pueden prestar no asegura esta mal de salud. 5pm</t>
  </si>
  <si>
    <t>MONTO TOTAL NEGOCIADO:  / HORARIO DE PAGO: Tarde / NOTA: tt abonara 100 el 15/08 y 300 hasta el 27.</t>
  </si>
  <si>
    <t>MONTO TOTAL NEGOCIADO:  / HORARIO DE PAGO: Tarde / NOTA: tt abonara abonara 100 el 8 y otros 100 el 15 si cumple se le ayudara con propuesta de cancelacion con 400 dentro del mes</t>
  </si>
  <si>
    <t>MONTO TOTAL NEGOCIADO:  / HORARIO DE PAGO: Tarde / NOTA: tt emnciona que pagara el dia 22 no pahgara mas solo los 400 soles que aocrdo</t>
  </si>
  <si>
    <t>MONTO TOTAL NEGOCIADO:  / HORARIO DE PAGO: Tarde / NOTA: TT hara el esfuerzo que venir a Lima, teme ser estafada en caso pueda antes presentara propuesta de cancelacion o min abona.</t>
  </si>
  <si>
    <t xml:space="preserve">MONTO TOTAL NEGOCIADO:  / HORARIO DE PAGO: Tarde / NOTA: TT HARA LA CAN 4K EL MIERCOLES 24 . SU FAMILIAR LE ESTARIA PRESTADO 3K Y LOS 1K RECIEN CONSEGUIRIA EL MIERCOLES, SE HIZO CONSULTA Y SE CAN 4K HASTA EL MIERCOLES Y DE ACUERDO ESO SE APROBARIA EXCEP </t>
  </si>
  <si>
    <t>MONTO TOTAL NEGOCIADO:  / HORARIO DE PAGO: Tarde / NOTA: TT ind que estara abonando si en caso no logra recibir el dinero que le tienen pendiente, si en caso logra tenerlo se comunicara para apoyarlo con propuesta de cancelacion.</t>
  </si>
  <si>
    <t>MONTO TOTAL NEGOCIADO:  / HORARIO DE PAGO: Tarde / NOTA: TT INDICA Q SU FAMILIAR RECIEN LE DARIA UNA RESPUESTA MAÑANA X LA CAN SE LE ACLARA Q LA EVALUACION ERA HOY . SIN MEBARGO INDICA Q NO PODRA CON LA INICIAL Y SOLO PODRA SEGUIR REALIZANDO LOS ABONO DE MES DE 800</t>
  </si>
  <si>
    <t>MONTO TOTAL NEGOCIADO:  / HORARIO DE PAGO: Tarde / NOTA: TT INDICA QUE NO TIENE LA SEGURIDAD DE CONSEGUIR LIQUIDAR LA DEUDA PERO CONSEGUIRA 200 SOLES YA QUE SE LE EXPLICA QUE YA SE ACEPTAN PAGOS DE 50 SOLES SI LLEGA A CONSEGUIR AVISARA PARA FPAGAR EN 2 PARTES DENTRO DEL MISMO MES PREVIA EVALUACION</t>
  </si>
  <si>
    <t xml:space="preserve">MONTO TOTAL NEGOCIADO:  / HORARIO DE PAGO: Tarde / NOTA: tt indica que su familiar le prestara algo para mejorar los 6 mil soles que ofrece pero que no sabe si es para el dia 3 o la primera semana de agosto la cual se le indica que para poder ayudarlo se tiene que ver un pago este mes se acoge al abono de los 200 soles y si en caso contrario su familiar le presta el se comunica </t>
  </si>
  <si>
    <t>MONTO TOTAL NEGOCIADO:  / HORARIO DE PAGO: Tarde / NOTA: TT informa seguira abonando 600 a base de la DT para el 20 de junio por agente bcp - aun no cuenta con liquidez para una cancelacion.</t>
  </si>
  <si>
    <t xml:space="preserve">MONTO TOTAL NEGOCIADO:  / HORARIO DE PAGO: Tarde / NOTA: TT PAGA 400 MAÑANA Y 500 A FIN DE MES  , SE GRABA PRIMER PAGO DSP SE MODIFICA CANCELACION DESPUES DE CUMPLIMIENTO </t>
  </si>
  <si>
    <t>MONTO TOTAL NEGOCIADO:  / HORARIO DE PAGO: Tarde / NOTA: tt paga por ibk</t>
  </si>
  <si>
    <t xml:space="preserve">MONTO TOTAL NEGOCIADO:  / HORARIO DE PAGO: Tarde / NOTA: va seguir amortizando  minimo fin de mes </t>
  </si>
  <si>
    <t xml:space="preserve">MONTO TOTAL NEGOCIADO:  / HORARIO DE PAGO: Tarde / NOTA: va ser un esfuerzo minimo 100 su hermana le va apoyar se le informa deuda camp 2500 dice que por ahora no puede pagar ve estar buscando la forma de conseguir dinero </t>
  </si>
  <si>
    <t xml:space="preserve">MONTO TOTAL NEGOCIADO:  / HORARIO DE PAGO: Tarde / NOTA: va tratar de conseguir minimo 50 mas porque en el campo no gana mucho </t>
  </si>
  <si>
    <t xml:space="preserve">MONTO TOTAL NEGOCIADO:  / HORARIO DE PAGO: Tarde / NOTA: x la tarde se le informa deuda 2800 aun dice no tener </t>
  </si>
  <si>
    <t>MONTO TOTAL NEGOCIADO: 0 / HORARIO DE PAGO: Mañana / ADICIONAL - CLIENTE SE ACOJE A LA CAMPAÑA DE 390 HOY PAGARÁ 200 LA DIFERENCIA 190 SERÍA PARA VIERVES 23</t>
  </si>
  <si>
    <t>MONTO TOTAL NEGOCIADO: 0 / HORARIO DE PAGO: Mediodía / ADICIONAL - Se acepta cancelacion con beneficio de 2100 hasta el dia miercoles 27. Se consulta si puede emitir un adelanto e indica que no es factible porque el dinero proviene de su esposo que cobra el 26 pero no esta definido el horario motivo por el cual para el 27 ya contara con el dinero. Se le menciona que el beneficio solo esta habilitado durante ese dia y que en caso de no cancelar no se volvera a otorgar el mismo beneficio. Se maneja con supervisora</t>
  </si>
  <si>
    <t>MONTO TOTAL NEGOCIADO: 1,523.00 / HORARIO DE PAGO: Mañana / NOTA: cliente indico que confirmara si junto los 1000 soles para cancelar hasta fdm, caso contrario abonara 200 soles, se hara segm.</t>
  </si>
  <si>
    <t>MONTO TOTAL NEGOCIADO: 10,522.54 / HORARIO DE PAGO: Tarde / ADICIONAL -  cliente indica no contar con el dinero solo puede abonar para evitar la cobranza mayor se ofrecio cancel 2500</t>
  </si>
  <si>
    <t>MONTO TOTAL NEGOCIADO: 100 / HORARIO DE PAGO: Mañana / NOTA: tt esta gestionando pagos eventuales le pagan cada lunes se logra convencer de anticipar pago y saldo lo pagara el 15  en base a c1</t>
  </si>
  <si>
    <t xml:space="preserve">MONTO TOTAL NEGOCIADO: 100 / HORARIO DE PAGO: Tarde / ADICIONAL - </t>
  </si>
  <si>
    <t xml:space="preserve">MONTO TOTAL NEGOCIADO: 1000 / HORARIO DE PAGO: Mañana / NOTA: dk 1600  cam 1k </t>
  </si>
  <si>
    <t>MONTO TOTAL NEGOCIADO: 1000 / HORARIO DE PAGO: Mañana / NOTA: PAGO MIN 1000 EL 26-07 //  TT INDICA QUE YA TIENE 1K EN MANO ESTA HACIENDO LAS GESTIONES PARA AGENCIARSE DE LA DIF ENTRE EL 24-25/07 YA ESTARA CONFIRMANDO EL EFECTIVO Y A MAS TARDAR EL 26 CONTARIA CON EL MP: 5K // PARA ESA FECHA YA SOLUCIONA LA DEUDA.</t>
  </si>
  <si>
    <t>MONTO TOTAL NEGOCIADO: 1000 / HORARIO DE PAGO: Mañana / NOTA: tt realizara abono de 1000 soles el dia 15.04 en caja trujillo , dijo que se esta prestando para reunir monto de cancelacion ya que el mes pasado le robaron y no pudo pagar completo se le dijo que confirme efectivo en mano</t>
  </si>
  <si>
    <t>MONTO TOTAL NEGOCIADO: 1000 / HORARIO DE PAGO: Mediodía / ADICIONAL - tt  dic abinaria esa fecha</t>
  </si>
  <si>
    <t xml:space="preserve">MONTO TOTAL NEGOCIADO: 1000 / HORARIO DE PAGO: Mediodía / ADICIONAL - tt indica que hara abono de de 1000 soles  el dia 19.01.2024  en credinka dijo que esta mal de salud y es por eso que no se a acercado doctor le tiene que dar de alta quisiera que se de la cancelacion  por ese monto  se le dijo que  primero confirmara monto    </t>
  </si>
  <si>
    <t>MONTO TOTAL NEGOCIADO: 1000 / HORARIO DE PAGO: Mediodía / ADICIONAL - tt realizara abono de 1000 soles el dia 30.01 en agente de b.nacion</t>
  </si>
  <si>
    <t xml:space="preserve">MONTO TOTAL NEGOCIADO: 1000 / HORARIO DE PAGO: Tarde / NOTA: tt pagara en total 1k abona hoy 500 y dif fines de mes se envia info a su wsp / se dio dt 4076 y dk 1850 </t>
  </si>
  <si>
    <t xml:space="preserve">MONTO TOTAL NEGOCIADO: 10000 / HORARIO DE PAGO: Mediodía / NOTA: TT PAGO 5000 AYER 23/12 SIN AUTORIZACION , LE INDICO QUE FALTA EL SALDO RESTANTE DE 5000 POR EL ACUERDO QUE SE AUTORIZA DE CANCELAR CON 10000, INDICA QUE ESTA BUSCANDO Y PAGA EN FECHA 30  A 31 COMO LIMITE , INDICO FECHA LIMITE 30/12 , ACLARO QUE DE NO COMPLETAR ,SE CONSIDERA SU PAGO SOBRE EL TOTAL DE LA DEUDA  </t>
  </si>
  <si>
    <t>MONTO TOTAL NEGOCIADO: 10000 / HORARIO DE PAGO: Tarde / NOTA: Excepción condicionada a cumplimiento, tt mañana abonará S/1,000 y saldo de S/9,000 hasta el dia 20.05 se le indica que puede ir haciendo abonos hasta completar totalidad indica que lo considerará. Efectuará pago de 1k mañana PM.</t>
  </si>
  <si>
    <t xml:space="preserve">MONTO TOTAL NEGOCIADO: 10000 / HORARIO DE PAGO: Tarde / NOTA: Se informa a titular que procedió el su propuesta de liquidar la cuenta con el importe de 10k, en dos cuotas dentro del mes, hoy paga 5k, y día 15/12 paga 5k. </t>
  </si>
  <si>
    <t xml:space="preserve">MONTO TOTAL NEGOCIADO: 10000 / HORARIO DE PAGO: Tarde / NOTA: Se informa a titular que procedió su propuesta, de liquidar su cuenta con el importe de 10k, generando un adelanto de 1k, el día de mañana 04/03/2026, quedando pendiente el importe de 9k para el día 31/03/2026, pagara en la misma entidad. </t>
  </si>
  <si>
    <t>MONTO TOTAL NEGOCIADO: 10000 / HORARIO DE PAGO: Tarde / NOTA: Se le confirma compromiso   a tt   monto  10000  CORREO  HASCENCIO1980@GMAIL.COM</t>
  </si>
  <si>
    <t>en 2 partes :</t>
  </si>
  <si>
    <t>5000 fecha 22-12</t>
  </si>
  <si>
    <t xml:space="preserve">5000 fecha 31-12 </t>
  </si>
  <si>
    <t xml:space="preserve">MONTO TOTAL NEGOCIADO: 1011 / HORARIO DE PAGO: Mañana / NOTA: TT ABONA PAR DE 150 </t>
  </si>
  <si>
    <t xml:space="preserve">MONTO TOTAL NEGOCIADO: 10249.88 / HORARIO DE PAGO: Mañana / NOTA: D.K.  S/ 10,249.88  - PAR  S/200 SOLES  JUEVES 26/6 NO PUEDE  CAN SEGUIRA CON SUS ABONOS MENSUALES </t>
  </si>
  <si>
    <t>MONTO TOTAL NEGOCIADO: 10468 / HORARIO DE PAGO: Mañana / NOTA: se agenda un abono de 700 para el dia 21 de Jumio</t>
  </si>
  <si>
    <t xml:space="preserve">MONTO TOTAL NEGOCIADO: 105154 / HORARIO DE PAGO: Mañana / NOTA: titular indica que asesor aún no le brinda respuesta sobre el crédito, amortizará 1k en base a su dk 105,154.95 como última opción y poder llegar a una solución en enero en caso préstamo no salga este mes ya que la gestión está preaprobada - hará abono como fecha tope el 31   // se le brindó campaña de 40k hasta 32500 - su contrapropuesta sería 20k </t>
  </si>
  <si>
    <t xml:space="preserve">MONTO TOTAL NEGOCIADO: 10696 / HORARIO DE PAGO: Mañana / NOTA: </t>
  </si>
  <si>
    <t xml:space="preserve">MONTO TOTAL NEGOCIADO: 10949.59 / HORARIO DE PAGO: Mañana / NOTA: Abono de S/600.00  a base de  la DT,  por confirmar si tt cancela con S/7,000.00 (piso de supervisora), se elevó caso </t>
  </si>
  <si>
    <t xml:space="preserve">MONTO TOTAL NEGOCIADO: 1100 / HORARIO DE PAGO: Mañana / NOTA: tt hoy realizara adelanto de 600 y diferencia a fin de mes </t>
  </si>
  <si>
    <t xml:space="preserve">MONTO TOTAL NEGOCIADO: 1100 / HORARIO DE PAGO: Tarde / NOTA: dt 3100 camp 1950  tt propone  400  se le indica  mn1 1100  realizara abono 300 dia 23.4 y el restante dia 30.4  indica que trabaja en mina  </t>
  </si>
  <si>
    <t xml:space="preserve">MONTO TOTAL NEGOCIADO: 1160 / HORARIO DE PAGO: Mañana / NOTA: TT PAGARA PARCIAL ,BUSCARA IMPORTE A PROPONES PARA CANCELAR </t>
  </si>
  <si>
    <t>MONTO TOTAL NEGOCIADO: 1220 / HORARIO DE PAGO: Mañana / NOTA: Se le informa a TT ultima chance de generar adelanto ya que vienen incumpliendo constantemente, informa que el viernes no lo pudo generar por estar de onomastico, se informo a super e indico que lo realice hoy</t>
  </si>
  <si>
    <t>MONTO TOTAL NEGOCIADO: 1220 / HORARIO DE PAGO: Tarde / NOTA: TT se comunica por wsp e indica que por la tarde estará efectuando el adelanto del 50% y la diferencia hasta fdm</t>
  </si>
  <si>
    <t xml:space="preserve">MONTO TOTAL NEGOCIADO: 1263 / HORARIO DE PAGO: Mañana / NOTA: DT 1263 CAMP 500 ABONA PAR DE 250 </t>
  </si>
  <si>
    <t>MONTO TOTAL NEGOCIADO: 13,740.19 / HORARIO DE PAGO: Mañana / NOTA: TT INDICA QUE AUN NO CONSIGUE EL DINERO, SE DIO LA OPCION DE ABONAR 200 SOLES</t>
  </si>
  <si>
    <t xml:space="preserve">MONTO TOTAL NEGOCIADO: 1300 / HORARIO DE PAGO: Mañana / NOTA: tt id que a su esposo se le complicó el tema del pago, abonará 100 el miercoles 14 - y antes de fdm 50 mas // verá la manera de reunir 1300 para elevar excepcion nuevamente </t>
  </si>
  <si>
    <t xml:space="preserve">MONTO TOTAL NEGOCIADO: 13000 / HORARIO DE PAGO: Tarde / NOTA: tt pide que se llame por wsp .. se brinda DT 46,180.04 se da can 30.8k indica q un estudio le dio can 12k - pero le pedia can en 1 solo pago , en ese entonces no podia - se da opcion de can hasta con 15k , pide que se apoye con el ajuste anterior se da como maximo 13k  -  pero pide que se aplaze hasta el 20 marzo -  Hara anticipo de 2 mil hoy y 11 mil el dia 20 marzo - depende de pago de su trabajo , y tiene un negocio que tiene un ganancia que lo ayudaria a recaudar el monto de los 13k </t>
  </si>
  <si>
    <t xml:space="preserve">MONTO TOTAL NEGOCIADO: 13000 / HORARIO DE PAGO: Tarde / NOTA: tt se le brinda compromiso  de 13mil en 2 partes  por el horario va realizarlo mañana  05/02  los 1k  y saldo  de  12k el 27/02 </t>
  </si>
  <si>
    <t xml:space="preserve">solicita documento  de compromiso a correo   y wht  </t>
  </si>
  <si>
    <t xml:space="preserve">va tratar de realizarlo ahora   pagara por el bcp  </t>
  </si>
  <si>
    <t>MONTO TOTAL NEGOCIADO: 1400 / HORARIO DE PAGO: Tarde / NOTA: Monto negociado: 1400 piso de superv</t>
  </si>
  <si>
    <t>sustento: prestamo FAM y cobro de haberes</t>
  </si>
  <si>
    <t xml:space="preserve">Motivo de no pago:  problemas  economicos </t>
  </si>
  <si>
    <t xml:space="preserve">Fecha: 17/10 disponibilidad de pago monto de 500 </t>
  </si>
  <si>
    <t>Propuesta: 1400 ( 500 para hoy viernes 17/ 200 para miercoles  22/ y la diferencia  de 700 ultimo dia  habil 31/ )</t>
  </si>
  <si>
    <t xml:space="preserve">Observación: cliente menciona  son dos  deudas  que tiene  con el banco , se menciona  deuda por  la  Tarjeta DT 2,512.99  camp excepcional 1400,pago lo realiza por  transferencia </t>
  </si>
  <si>
    <t>MONTO TOTAL NEGOCIADO: 14000 / HORARIO DE PAGO: Mediodía / NOTA: tt confirma abonar 500 soles dentro de la semana hasta sabado. si es antes informara como adelanto. propuso 4k a liquidar resto pagaria como se converso el 29 de agosto. pagara informa en chota- trabaja en el campo</t>
  </si>
  <si>
    <t xml:space="preserve">MONTO TOTAL NEGOCIADO: 14000 / HORARIO DE PAGO: Mediodía / NOTA: TT CUMPLIO CON ADELANTO DE 1MIL SOLES AL ACUERDO DE 14MIL SOLES QUE SE ENVIO, SE LE INDICO A TT QUE SI TIENE MONTO ANTES DEL 31 LO EFECTUE O PUEDE IR REALIZANDO ADELANTOS ANTES DE LA FECHA, TT QUEDA CONFORME MANDO COMPROBANTE A SUPER Y CORPO, SOLO RESTA 13MIL HASTA 31 DE MARZO </t>
  </si>
  <si>
    <t xml:space="preserve">MONTO TOTAL NEGOCIADO: 150 / HORARIO DE PAGO: Mañana / ADICIONAL - </t>
  </si>
  <si>
    <t xml:space="preserve">MONTO TOTAL NEGOCIADO: 150 / HORARIO DE PAGO: Mañana / ADICIONAL - abonara 150 </t>
  </si>
  <si>
    <t xml:space="preserve">MONTO TOTAL NEGOCIADO: 1500 / HORARIO DE PAGO: Mañana / NOTA: dk  700 cam 1500  tt confirmara liquidez </t>
  </si>
  <si>
    <t xml:space="preserve">MONTO TOTAL NEGOCIADO: 1500 / HORARIO DE PAGO: Mañana / NOTA: DK1900 CAM 1500  TT ESTA ESPERANDO UN PAGO DE SU TRABAJO A FIN DE MES </t>
  </si>
  <si>
    <t>MONTO TOTAL NEGOCIADO: 1500 / HORARIO DE PAGO: Mañana / NOTA: TT INDICA QUE PUEDE CONSEGUIR S/1500 PARA PAGAR LA DEUDA, PERO ESTO SERIA PARA JUNIO. SE LE SOLICITA UN ABONO DE S/100 PARA DARLE EL PLAZO DE ESPERA. EL LUNES ABONARÁ LOS S/100</t>
  </si>
  <si>
    <t xml:space="preserve">MONTO TOTAL NEGOCIADO: 1500 / HORARIO DE PAGO: Mañana / NOTA: TT PAGARA S/7500  FINANCIADO EN EL MES 2 CUOTAS  . 1ERA CUOTA  S/1500  EL DIA 13/03 Y EL DIA 31 DE MARZO S/6000 </t>
  </si>
  <si>
    <t xml:space="preserve">MONTO TOTAL NEGOCIADO: 1500 / HORARIO DE PAGO: Mañana / NOTA: tt propone 500 se le indico disposicion de dinero a mano por incumpliento indica sino abona 200 soles para no perder beneficio y resto fin de mes. esta en el campo </t>
  </si>
  <si>
    <t>MONTO TOTAL NEGOCIADO: 1500 / HORARIO DE PAGO: Mañana / NOTA: TT realiza abono de 1500 soles, envía comprobante de pago, restaría 15000 soles para culminar compromiso de pago.</t>
  </si>
  <si>
    <t>MONTO TOTAL NEGOCIADO: 1500 / HORARIO DE PAGO: Mediodía / NOTA: tt indica que abonara 1500 soles  el  dia 28.05 en caja los andes  dijo que conseguir adicinal mas   para poder elevar propuesta de pago  por una cancelacion  aproximada mente de 200 adicional  se le dijo que reuna o maximo posible motivo de no pago  tenia negocio de tortas y l fue mal quebro , quiere soliucionar indica que no pago por desconfianza  por que lo llaman de varios numeros  pero mas no podria conseguir</t>
  </si>
  <si>
    <t xml:space="preserve">MONTO TOTAL NEGOCIADO: 1500 / HORARIO DE PAGO: Tarde / ADICIONAL - PAGO DE ABONO DE 200 </t>
  </si>
  <si>
    <t>MONTO TOTAL NEGOCIADO: 1500 / HORARIO DE PAGO: Tarde / NOTA: compromiso  1500 en 2 partes   750  20-04  y 750 30-04    tiene en efectivo  hora 4pm   envia correo:  jareir_1@hotmail.com</t>
  </si>
  <si>
    <t xml:space="preserve">MONTO TOTAL NEGOCIADO: 1500 / HORARIO DE PAGO: Tarde / NOTA: tt hoy abona 750 por bbva transferencia y dif el 19 de 750 </t>
  </si>
  <si>
    <t xml:space="preserve">MONTO TOTAL NEGOCIADO: 15000 / HORARIO DE PAGO: Mañana / ADICIONAL - TT DICE Q  SRA LE DEBE DE LLENADO DE TECHO LE PAGARA RECIEN ESTA SMANA VIERNES O FDS ESTARIA DANDO ADELANTGO PARA ACOGERSE A CMPÑA DE 3K </t>
  </si>
  <si>
    <t xml:space="preserve">MONTO TOTAL NEGOCIADO: 1540 / HORARIO DE PAGO: Mañana / ADICIONAL - TT ABONA PAR DE 110 </t>
  </si>
  <si>
    <t xml:space="preserve">MONTO TOTAL NEGOCIADO: 1600 / HORARIO DE PAGO: Mañana / NOTA: TT INDICA QUE YA CUENTA CON EL IMPORTE A LA MANO PARA LIQUIDAR Y LO RESTANTE PARA FINES DE MES </t>
  </si>
  <si>
    <t xml:space="preserve">MONTO TOTAL NEGOCIADO: 16000 / HORARIO DE PAGO: Tarde / NOTA: se le confirma  compromiso  de 16k    tt pagara en 2 partes  1k  el 16/02  y  15k el 27/02   </t>
  </si>
  <si>
    <t xml:space="preserve">enviara correo  </t>
  </si>
  <si>
    <t xml:space="preserve">MONTO TOTAL NEGOCIADO: 1785 / HORARIO DE PAGO: Mañana / NOTA: </t>
  </si>
  <si>
    <t>MONTO TOTAL NEGOCIADO: 18905 / HORARIO DE PAGO: Mañana / ADICIONAL - AMORTIZACIÓN</t>
  </si>
  <si>
    <t xml:space="preserve">MONTO TOTAL NEGOCIADO: 19,452.70 / HORARIO DE PAGO: Tarde / ADICIONAL -  cliente  solo puede abonar </t>
  </si>
  <si>
    <t xml:space="preserve">MONTO TOTAL NEGOCIADO: 2,180.14 / HORARIO DE PAGO: Mañana / NOTA: RP SR CIRO ID CONFIRMA POR WSP ABONO PARA HOY DE 100.00 </t>
  </si>
  <si>
    <t>MONTO TOTAL NEGOCIADO: 2,278.59 / HORARIO DE PAGO: Mañana / NOTA: LLAMO TT MENCIONA QUE AUN NO CONFIRMO SU FAM QUE LE PRESTE EL DINERO, SINO LE PRESTARA ABONARA 200 SOLES HASTA EL SABADO Y EL PROX MES CANCELAR.</t>
  </si>
  <si>
    <t>MONTO TOTAL NEGOCIADO: 2,569.84 / HORARIO DE PAGO: Mañana / NOTA: tt indica  que por ahora no hay alguna propuesta para cancelacion total confirma el monto de los 200 abase de la deuda  capital  2,569.84 indica se le brindo  minmo2    2,196.87  minimo 1   1,464.58</t>
  </si>
  <si>
    <t>MONTO TOTAL NEGOCIADO: 2,582.64 / HORARIO DE PAGO: Mañana / NOTA: TT INDICA QUE QUIERE LIQUIDAR CON S/ 600 PERO NO CUENTA SE VA A CONSEGUIR  S/200</t>
  </si>
  <si>
    <t xml:space="preserve">MONTO TOTAL NEGOCIADO: 20,210.35 / HORARIO DE PAGO: Tarde / ADICIONAL - CONVENIO DE 100 HOY EL DIA 15 1000 O 500 Y LA DIFERENCIA EL DIA 29 NOS ASEGURA SUS ADELANTOS </t>
  </si>
  <si>
    <t>MONTO TOTAL NEGOCIADO: 200 / HORARIO DE PAGO: Mañana / ADICIONAL - CLIENTE REALIZARA DEPOSITO DE 200 SOLES EL 26. MENCIONA QUE EVALUARA PODER CONSEGUIR UN DINERO HABER SI PUEDE CANCELAR.</t>
  </si>
  <si>
    <t xml:space="preserve">MONTO TOTAL NEGOCIADO: 200 / HORARIO DE PAGO: Mañana / ADICIONAL - dk  5k cam 2300  </t>
  </si>
  <si>
    <t xml:space="preserve">MONTO TOTAL NEGOCIADO: 200 / HORARIO DE PAGO: Mañana / ADICIONAL - dk 12 k cam 5k  tt propone 2k se le dice que mejore </t>
  </si>
  <si>
    <t>MONTO TOTAL NEGOCIADO: 200 / HORARIO DE PAGO: Mañana / ADICIONAL - dk 2500 cam 2k</t>
  </si>
  <si>
    <t xml:space="preserve">MONTO TOTAL NEGOCIADO: 200 / HORARIO DE PAGO: Mañana / ADICIONAL - dk 7k cam 2900  </t>
  </si>
  <si>
    <t xml:space="preserve">MONTO TOTAL NEGOCIADO: 200 / HORARIO DE PAGO: Mañana / NOTA: </t>
  </si>
  <si>
    <t xml:space="preserve">MONTO TOTAL NEGOCIADO: 200 / HORARIO DE PAGO: Mañana / NOTA:  SE MANEJA DE MANERA INTERNA PROP. DE S/1500 ( SE SUBIRA A SIST. CUANDO CL CANCELE EL TOTAL) / SE SUBE COMO PAR EL ADL DE 200 HOY 13-06 Y LA DIF DE 1300 EL 25-06  / TT ENVIARA VOUCHER POR WSP - CANCELA EN CDK </t>
  </si>
  <si>
    <t xml:space="preserve">MONTO TOTAL NEGOCIADO: 200 / HORARIO DE PAGO: Mañana / NOTA: dk 2814  cam 2500   </t>
  </si>
  <si>
    <t>MONTO TOTAL NEGOCIADO: 200 / HORARIO DE PAGO: Mañana / NOTA: Monto de propuesta 1000 Indica que no puede mejorar mas por temas económicos, se esta prestando el dinero. dice que llamo a la SBS y no le dan razón que expertis sea acreedor, sin embargo ya quiere finalizar con esto Pagaria hoy a las 4pm con el importe de 1M. Enviara aun familiar</t>
  </si>
  <si>
    <t>MONTO TOTAL NEGOCIADO: 200 / HORARIO DE PAGO: Mañana / NOTA: tt menciona que generara su pago de S/200 el 28-06 O  posiblemente vea la manera de liquidar solicita dvll mañana 8am para conversar</t>
  </si>
  <si>
    <t xml:space="preserve">MONTO TOTAL NEGOCIADO: 200 / HORARIO DE PAGO: Mañana / NOTA: TT REALIZARA PAGO PARCIAL DE S/. 200, NO TIENE MAYORES INGRESOS YA QUE SU PAPA ESTA DELICADO DE SALUD // FECHA 27/06 </t>
  </si>
  <si>
    <t>MONTO TOTAL NEGOCIADO: 200 / HORARIO DE PAGO: Tarde / ADICIONAL - DK   2800 CAM 1900</t>
  </si>
  <si>
    <t xml:space="preserve">MONTO TOTAL NEGOCIADO: 200 / HORARIO DE PAGO: Tarde / ADICIONAL - dk  29k cam 14k  </t>
  </si>
  <si>
    <t xml:space="preserve">MONTO TOTAL NEGOCIADO: 2000 / HORARIO DE PAGO: Mañana / ADICIONAL - </t>
  </si>
  <si>
    <t xml:space="preserve">MONTO TOTAL NEGOCIADO: 2000 / HORARIO DE PAGO: Mañana / NOTA: dk8400 cam  3600  tt pp 2k   si no logra reunir los 2k previa aceptacion de gerencia pagara 200 mensual </t>
  </si>
  <si>
    <t xml:space="preserve">MONTO TOTAL NEGOCIADO: 2000 / HORARIO DE PAGO: Tarde / NOTA: Se informa a titular que su propuesta procedió,  cancela con el importe de 2000 soles, entregando hoy como adelanto el importe de 1500 soles y fin de mes 500 soles. </t>
  </si>
  <si>
    <t>MONTO TOTAL NEGOCIADO: 2000 / HORARIO DE PAGO: Tarde / NOTA: tt abonara adelanto del 50% y la diferencia hasta fin de mes se le envia compromiso de pago via wsp se le indica que descuento es solo por unica vez</t>
  </si>
  <si>
    <t xml:space="preserve">MONTO TOTAL NEGOCIADO: 20000 / HORARIO DE PAGO: Mediodía / NOTA: TT HARA EL ADELANTO DE 5 MIL EL DIA DE HOY Y S/15 MIL EL DIA 28 FEB </t>
  </si>
  <si>
    <t xml:space="preserve">MONTO TOTAL NEGOCIADO: 20449 / HORARIO DE PAGO: Mañana / NOTA: se le brinda dt s/25,606.77 se el brinda dk s/20,449.45 se le indica c1 d/7000 </t>
  </si>
  <si>
    <t xml:space="preserve">tt indica que cuenta como abono de s/1500  indica que cuenta con ese monto que estará haciendo el monto el día de 15-12 por el aplicativo bcp </t>
  </si>
  <si>
    <t xml:space="preserve">MONTO TOTAL NEGOCIADO: 20500 / HORARIO DE PAGO: Tarde / NOTA: SE LE CONFIRMA COMPROMISO: </t>
  </si>
  <si>
    <t xml:space="preserve">HOY 15-10  500 Y EL MARTES 21-10 20,000 </t>
  </si>
  <si>
    <t>MONTO TOTAL NEGOCIADO: 210 / HORARIO DE PAGO: Mañana / ADICIONAL - tt indica domingo llega a cusco y podr abonar 10 dif la sgte semana. es sobre 420</t>
  </si>
  <si>
    <t xml:space="preserve">MONTO TOTAL NEGOCIADO: 21700 / HORARIO DE PAGO: Mañana / NOTA: DT 21700 CAMP 9000 TT ABONA PAR DE 200 </t>
  </si>
  <si>
    <t xml:space="preserve">MONTO TOTAL NEGOCIADO: 220 / HORARIO DE PAGO: Mañana / NOTA: DT 950 CAMP 700 TT ABONA PAR DE BASE A TOTAL </t>
  </si>
  <si>
    <t>MONTO TOTAL NEGOCIADO: 22137 / HORARIO DE PAGO: Tarde / ADICIONAL - SE BRINDO CAMPAÑA DE 17.600 Soles o FRACCIONAR 3 CUOTAS DE 5.860 Soles COMENTA QUE AUN ESTA A ESPERA DEL DINERO PARA PODER EVALUAR LA CANCELACION POR EL MOMENTO ABONARA 1 MIL Soles EN BASE A DT.</t>
  </si>
  <si>
    <t xml:space="preserve">MONTO TOTAL NEGOCIADO: 2220 / HORARIO DE PAGO: Tarde / NOTA: TT confirma que ya dispone del dinero para el adelanto para el día de hoy, menciona que por favor se le respete el acuerdo para que pueda abonar la diferencia de 1220 hasta fdm, se le brindan fechas de pago </t>
  </si>
  <si>
    <t>05/02 - 1000</t>
  </si>
  <si>
    <t>27/02 - 1220</t>
  </si>
  <si>
    <t xml:space="preserve">MONTO TOTAL NEGOCIADO: 24000 / HORARIO DE PAGO: Mañana / NOTA: tt propone 5k dice q tiene problemas por pension de alimentos y q este mes le sale un negocio seguro y con eso podria hacer el pago , </t>
  </si>
  <si>
    <t>MONTO TOTAL NEGOCIADO: 2440 / HORARIO DE PAGO: Tarde / NOTA: Monto negociado:2,440</t>
  </si>
  <si>
    <t>sustento: Indica que recientemente se encuentra laborando</t>
  </si>
  <si>
    <t>Motivo de no pago: No contaba con trabajo estable</t>
  </si>
  <si>
    <t>Fecha: 10/10/2025</t>
  </si>
  <si>
    <t xml:space="preserve">Propuesta: S/2440, adelanto de S/1000  10/10 y restante de S/1440 el 21/10 </t>
  </si>
  <si>
    <t>Observacion:Se le ofrece DT 3,805.07, DK 2,585.52, MIN1 S/2440, indica que podría abonar S/1000 hoy 10/10 a las 2pm, S/220 el 17/10, por lo que el restante de S/1220  abonaría el 21/10, se consulta caso con supervisor, para generar el PAR.</t>
  </si>
  <si>
    <t>MONTO TOTAL NEGOCIADO: 2455 / HORARIO DE PAGO: Tarde / NOTA: Titular indica que por ahora no puede confirmar cancelación, se brinda opción de abono de S/600.00 a base de la DT S/4,796.72 tt se acopla; por confirmar si le prestan dinero y se eleva caso con gerencia. Campaña otorgada 2455</t>
  </si>
  <si>
    <t>MONTO TOTAL NEGOCIADO: 250 / HORARIO DE PAGO: Mañana / ADICIONAL - tt hara abono de 250 el dia 04/04 en agentes de banco bcp  a las 09am</t>
  </si>
  <si>
    <t>MONTO TOTAL NEGOCIADO: 2500 / HORARIO DE PAGO: Mañana / NOTA: Monto aprobado: S/ 2,500.</t>
  </si>
  <si>
    <t>El titular realizará un pago de S/ 2,000 hoy 15/12 y el 30/12 completará con los S/ 500.00 restantes.</t>
  </si>
  <si>
    <t>MONTO TOTAL NEGOCIADO: 2715 / HORARIO DE PAGO: Tarde / NOTA: TT indica que genera el pago de 100 soles para separar su campaña hasta fines de mes e indica que también esta esperando su afp nos brinda la solicitud de espera es con seguridad el pago a fines de mes, se le indica que genera un abono el día de hoy de 50 soles, la otra semana 50 soles y a fines de mes la cancelación TOTAL de su deuda, se conversó con sandy para que nos pueda apoyar de esa manera</t>
  </si>
  <si>
    <t>MONTO TOTAL NEGOCIADO: 27498 / HORARIO DE PAGO: Mañana / NOTA: SE CONSULTA CON SUPERVISORA, SE INGRESA PAR POR CANCELACION 18K</t>
  </si>
  <si>
    <t xml:space="preserve">MONTO TOTAL NEGOCIADO: 2755 / HORARIO DE PAGO: Mañana / NOTA: </t>
  </si>
  <si>
    <t>MONTO TOTAL NEGOCIADO: 2800 / HORARIO DE PAGO: Mañana / ADICIONAL - tt abona par de 100</t>
  </si>
  <si>
    <t xml:space="preserve">MONTO TOTAL NEGOCIADO: 284.65 / HORARIO DE PAGO: Tarde / ADICIONAL - tt confirma pago de 100 soles </t>
  </si>
  <si>
    <t xml:space="preserve">MONTO TOTAL NEGOCIADO: 285 / HORARIO DE PAGO: Tarde / ADICIONAL - TT. Indica que esta reuniendo dinero confirmara disponible para cancelacion de su deuda </t>
  </si>
  <si>
    <t xml:space="preserve">MONTO TOTAL NEGOCIADO: 2900 / HORARIO DE PAGO: Tarde / NOTA: Tt confirma que realizara hoy adelanto de 1mil soles y restante el dia 30 de enero 1900 soles, pago lo realizara banco bbva </t>
  </si>
  <si>
    <t>MONTO TOTAL NEGOCIADO: 29597 / HORARIO DE PAGO: Tarde / NOTA: TT INDICA QUE SOLO CUENTA CON EL IMPORTE DE 5100, AL DIA 28 COMPLETARIA 900 INDICA QUE HA ECHO TODO LO POSIBLE PERO NO HA CONSEGUIDO, SE INDICA QUE SE VALIDARA SU CASO PARA PODER APOYARLO</t>
  </si>
  <si>
    <t>MONTO TOTAL NEGOCIADO: 3,177.87 / HORARIO DE PAGO: Tarde / ADICIONAL -  CLIENTE INDICA SOLO PUEDE ABONAR, PIDE AYUDA POR LLUVIAS  NO ESTAN TRABAJANDO</t>
  </si>
  <si>
    <t>MONTO TOTAL NEGOCIADO: 3,492.81 / HORARIO DE PAGO: Tarde / ADICIONAL - PAGARA LA AMORTIZACION 50 Y LA DIFERENCIA PAGARA EL DIA 16</t>
  </si>
  <si>
    <t>MONTO TOTAL NEGOCIADO: 300 / HORARIO DE PAGO: Mañana / ADICIONAL - 300 adelanta 100 el 15 y saldo el 27se espera pago para modif pdp</t>
  </si>
  <si>
    <t>MONTO TOTAL NEGOCIADO: 300 / HORARIO DE PAGO: Mañana / ADICIONAL - dt10400 min 8500 min 7200  tt se acercara a realizar el abono en caja los andes ok s eenvia ifo por sms 11 am se acercara</t>
  </si>
  <si>
    <t xml:space="preserve">MONTO TOTAL NEGOCIADO: 300 / HORARIO DE PAGO: Mañana / ADICIONAL - Nieto Johan Huaman Torres edp dara un adelanto 100 soles 10 am oficina huancayo santa dependiendo del abono los 200 soles para 30/03 </t>
  </si>
  <si>
    <t xml:space="preserve">MONTO TOTAL NEGOCIADO: 300 / HORARIO DE PAGO: Mañana / NOTA: </t>
  </si>
  <si>
    <t>MONTO TOTAL NEGOCIADO: 300 / HORARIO DE PAGO: Mañana / NOTA: sra augusta  esposa encargada hara pago de 300 el dia 30.04 en caja los andes 08 am , dice que hijo le prestara dinero y vendera un cuyes</t>
  </si>
  <si>
    <t>MONTO TOTAL NEGOCIADO: 300 / HORARIO DE PAGO: Tarde / ADICIONAL - DK 1900 CAM 1900</t>
  </si>
  <si>
    <t xml:space="preserve">MONTO TOTAL NEGOCIADO: 3000 / HORARIO DE PAGO: Mañana / ADICIONAL -  tit indica que solo tiene 3mil  indica que el monto de los 1000 soles / va ver si en caso consigue lo cancela pero no me asegura </t>
  </si>
  <si>
    <t xml:space="preserve">MONTO TOTAL NEGOCIADO: 3000 / HORARIO DE PAGO: Mañana / NOTA: TT HARA UN ABONO A BASE IGUAL VERA PARA VER COMO EXCEPCION CON CUANDO PASA  PARA CANCELAR </t>
  </si>
  <si>
    <t xml:space="preserve">MONTO TOTAL NEGOCIADO: 3000 / HORARIO DE PAGO: Tarde / NOTA: Se confirma con tt, menciona que enviemos el documento por wtsp y correo,que esten las cuentas si antes del día 12 tiene el monto de adelanto lo realizara, se confirma compromiso, se le aclaro clausula que indicara en compromiso sobre la carta no adeudo 24 a 72 horas habiles </t>
  </si>
  <si>
    <t xml:space="preserve">va generar primero adelanto de 1mil y restante el 30 enero </t>
  </si>
  <si>
    <t xml:space="preserve">MONTO TOTAL NEGOCIADO: 3050 / HORARIO DE PAGO: Tarde / NOTA: SE LE BRINDA COMO ULTIMA OPCION 3050 SOLES, PERO CON ADELANTO, TT SOLICITA ADELANTO EL LUNES Y RESTANTE EL 29, SE LE INDICA QUE HOY DE UN ANTICIPO DE 300 A 500 Y EL LUNES COMPLETAR LOS 1MIL Y EL RESTANTE PARA EL 29 DE MAYO, SOLICITA DOCUMENTO POR WTSP PARA QUE REALICE HOY UN ANTICIPO </t>
  </si>
  <si>
    <t xml:space="preserve">MONTO TOTAL NEGOCIADO: 32,652.34 / HORARIO DE PAGO: Tarde / ADICIONAL -  cliente indica  por trabajo estuvo en la  selva  sin señal , indica solo puede  abonar , se recalca  visita al domicilio </t>
  </si>
  <si>
    <t xml:space="preserve">MONTO TOTAL NEGOCIADO: 320 / HORARIO DE PAGO: Mañana / NOTA: se le brinda dt s/ 436.77 se le brinda camp dk s/ 320 indica que no cuenta con el motno se le brinda opcion de que pague el monto de la camp dk s/320 en dos cuotas la primera cuota indica cancelar en s/160 15-10 y el otro monto a fin de mes de los s/160 </t>
  </si>
  <si>
    <t>MONTO TOTAL NEGOCIADO: 3300 / HORARIO DE PAGO: Mañana / ADICIONAL - tt dice q debido a q tuvo q usar dinero por accidente de fam no podra hacer pago solo amortizar pero esta viendo reunir dinero porq quiere solucionar lo mas pronto abonaria hoy 100 y 100 a fin de mes</t>
  </si>
  <si>
    <t>MONTO TOTAL NEGOCIADO: 3300 / HORARIO DE PAGO: Mediodía / NOTA: Titular indica que no coloco tierras a primo porque de eso dependia cancelar ,ahora accede a pago de 200 soles Hoy 05/06 por agente BCP,para qeu asi el 17/06 pueda cancelar bajo propuesta de 3300 soles y asi cancele,el sale de la zona laejada por trabajo el 13/06 y llega el 15/06 concreta con us primo y emplea pago el 17/06,pago de cancelacion lo manejaria en agencia chiclayo-Lambayeque.</t>
  </si>
  <si>
    <t>MONTO TOTAL NEGOCIADO: 3300 / HORARIO DE PAGO: Tarde / ADICIONAL - Titular accede a pago de 200 soles en caja TRUJILLO para el martes 30.04 antes de 4pm ya que espera pago que es de 12pm a 1pm.quiere cancelar con el importe de campaña que le llego por correo de 1800 soles y en Mayo pagarlo con su AFP y asi asumir deuda docuemnto por correo le llego.CAMPAÑA de 3100 dk 3300 soles.</t>
  </si>
  <si>
    <t xml:space="preserve">MONTO TOTAL NEGOCIADO: 3380 / HORARIO DE PAGO: Mañana / NOTA: </t>
  </si>
  <si>
    <t>MONTO TOTAL NEGOCIADO: 3400 / HORARIO DE PAGO: Mañana / ADICIONAL - tt indica que cuenta con abono de 3400 soles  para el dia 26/02  , nos dijo que  esta confirma importe adicional  si lo logra c onseguir  para solicitar.</t>
  </si>
  <si>
    <t>MONTO TOTAL NEGOCIADO: 34210 / HORARIO DE PAGO: Mañana / ADICIONAL - ESTA A LA ESPERA DE UN PREST FAM SE SOLICITA ABONO A CUENTA EN SEÑAL DE INTENCION DE PAGO DICE FIN DE SMNA PUEDE ENVIAR A PAGAR SI CONSIGUE AVISARA</t>
  </si>
  <si>
    <t xml:space="preserve">MONTO TOTAL NEGOCIADO: 3463 / HORARIO DE PAGO: Tarde / NOTA: DT 3463 CAMP 2000 TT ABONA PAR DE 200 </t>
  </si>
  <si>
    <t>MONTO TOTAL NEGOCIADO: 34800 / HORARIO DE PAGO: Mediodía / NOTA: dt 516,400 dk 34800 camp 24400 tti se le ofrese campaña pero continuarta haciendo pagos de 200 soles, solo cuenta  con eso para el 28/07 a base de la dk</t>
  </si>
  <si>
    <t xml:space="preserve">MONTO TOTAL NEGOCIADO: 35,860.25 / HORARIO DE PAGO: Tarde / ADICIONAL - pagara 500 como adelanto quiere acogerse a la campaña de excepcion del mes pasado pero se le dice q como min tiene q pagar el adelanto para volver a evaluarlo y considerarle la campaña </t>
  </si>
  <si>
    <t>MONTO TOTAL NEGOCIADO: 350 / HORARIO DE PAGO: Mediodía / NOTA: TT CONFIRMA EL PAGO DE LA MITAD PARA EL DIA DE MAÑANA INDICA QUE SALE A LAS 7 PM INTENTARA REALIZARLO HOY LOS 175 SINO EL DIA DE MAÑANA AL MEDIODIA  SU TRABAJO ES ROTATIVO Y EL RESTANTE DE 175 A FIN DE MES , LO EFECTUARA EN AGENTE BCP MÁXIMO AL MEDIODÍA EL DIA DE MAÑANA</t>
  </si>
  <si>
    <t xml:space="preserve">MONTO TOTAL NEGOCIADO: 3500 / HORARIO DE PAGO: Mañana / NOTA: </t>
  </si>
  <si>
    <t>MONTO TOTAL NEGOCIADO: 3500 / HORARIO DE PAGO: Mañana / NOTA: Se informa aprobación de 3,500 para cancelar, primer pago el viernes 06 de marzo el importe de adelanto 1,100 y restante de 2,400 el día 16 de marzo</t>
  </si>
  <si>
    <t xml:space="preserve">MONTO TOTAL NEGOCIADO: 3500 / HORARIO DE PAGO: Tarde / NOTA: SE BRINDA RESPUESTA DE GERENCIA A TT </t>
  </si>
  <si>
    <t>3500 EN DOS CUOTAS DENTRO DEL MES</t>
  </si>
  <si>
    <t>18 DE MARZO  - 2K</t>
  </si>
  <si>
    <t>30 DE MARZO - 1.5K</t>
  </si>
  <si>
    <t>TT SEÑALA QUE HARA EL PAGO DE HOY EN TRANSFERENCIAS BCP</t>
  </si>
  <si>
    <t xml:space="preserve">SE EXPLICA PROCESO DE CARTA DE NO ADEUDO </t>
  </si>
  <si>
    <t xml:space="preserve">SE SOLICITA DOCUMENTO PPC CON ADELANTO </t>
  </si>
  <si>
    <t xml:space="preserve">MONTO TOTAL NEGOCIADO: 3500 / HORARIO DE PAGO: Tarde / NOTA: se le confirma compromiso   3500 fraccionado en 2 partes </t>
  </si>
  <si>
    <t>1k  fecha 23-12-2025</t>
  </si>
  <si>
    <t xml:space="preserve">2.5k fecha 31-12-2025 </t>
  </si>
  <si>
    <t xml:space="preserve">se espera envio de correo   </t>
  </si>
  <si>
    <t xml:space="preserve">MONTO TOTAL NEGOCIADO: 3500 / HORARIO DE PAGO: Tarde / NOTA: tt va adelantar hoy 2mil y el jueves 5 1500 soles </t>
  </si>
  <si>
    <t xml:space="preserve">MONTO TOTAL NEGOCIADO: 35000 / HORARIO DE PAGO: Tarde / NOTA: DT 35000 CAMP 9200 ABONA PAR DE 200 </t>
  </si>
  <si>
    <t xml:space="preserve">MONTO TOTAL NEGOCIADO: 35669.57 / HORARIO DE PAGO: Tarde / NOTA: Titular incomodo por las reiteradas llamadas, indica que ya explico que no se le llame antes de las 5pm, ya que no puede atender llamada por temas de trabajo, indica que de momento no puede acceder a la cancelación ni fraccionamiento en cuotas, continuara con amortización a la dk: 35,669.57. importe a pagar 600 soles. </t>
  </si>
  <si>
    <t>MONTO TOTAL NEGOCIADO: 3600 / HORARIO DE PAGO: Tarde / NOTA: TT abonará hoy S/100.00 y el día de mañana que le dan el dinero abonará el importe de S/3,500.00 para la cancelación total de la deuda.Indica que mañana 9 a.m. le han citado.Se maneja de esta manera conversado con sv.</t>
  </si>
  <si>
    <t>MONTO TOTAL NEGOCIADO: 36000 / HORARIO DE PAGO: Mañana / NOTA: tt quiere cancelar saldo de ppm este mes , daria adelanto de 300 para demostrar intencion pues tuvo retencionde sunat en sus ctas lo que impidio pago pero esta smana debe estar resolviendo mas o menos demora 15 a 20 dias lo liberen</t>
  </si>
  <si>
    <t xml:space="preserve">MONTO TOTAL NEGOCIADO: 367 / HORARIO DE PAGO: Mañana / NOTA: </t>
  </si>
  <si>
    <t xml:space="preserve">MONTO TOTAL NEGOCIADO: 37,167.89 / HORARIO DE PAGO: Tarde / NOTA: se habla con el tt indica q no se concreto la venta porq a la esposa no le gusto la tierra y el lugar donde esta localizado ,se le menciona q no se pudo concluir la peticion del cliente ya q no dispone del monto ,se le indica DT:37,167.89 MIN1:24,280.07 menciona q en ENERO posiblemente viaje al extranjero , por eso quiero solucionar el credito , los papeles de la venta de la propiedad estan al dia pero no cuenta con la disponibilidad , se le indica q para poder esperarle min tendria q hacer el abono de los 600.00 , dice q esta semana estara en la cerro y bajara el 24 para a ser el abono , ya q ayer se fue al banco y si le quisieron dar un un dinero pero salto la alerta de la deuda . </t>
  </si>
  <si>
    <t xml:space="preserve">MONTO TOTAL NEGOCIADO: 3700 / HORARIO DE PAGO: Tarde / NOTA: Por autorizacion interna  se le acepto   cancelar con  3700 soles con la condicion de que pague  700 el 23-05 y los 3000 el 30-05 </t>
  </si>
  <si>
    <t xml:space="preserve">fecha: 23-05 </t>
  </si>
  <si>
    <t xml:space="preserve">propuesta :  3700  en 2 partes dentro del mes </t>
  </si>
  <si>
    <t xml:space="preserve">motivo:ACTUALMENTE NO CUENTO CON UN TRABAJO FORMAL LO CUAL HA GENERADO MI FALTA DE LIQUIDEZ ,  </t>
  </si>
  <si>
    <t>sustento :  ESTOY ACUDIENDO A UN PRÉSTAMO FAMILIAR PARA PODER CERRAR LA DEUDA</t>
  </si>
  <si>
    <t xml:space="preserve">MONTO TOTAL NEGOCIADO: 3800 / HORARIO DE PAGO: Mañana / NOTA: TT VA REALIZAR PAGO DE 50 SOLES 3 SEMANAS SEGUIDAS PARA COMPLETAR CUOTA </t>
  </si>
  <si>
    <t xml:space="preserve">MONTO TOTAL NEGOCIADO: 3800 / HORARIO DE PAGO: Tarde / NOTA: DT 4652 CAMP 2900 TT ABONA PAR DE 200 </t>
  </si>
  <si>
    <t xml:space="preserve">MONTO TOTAL NEGOCIADO: 3800 / HORARIO DE PAGO: Tarde / NOTA: SE ACUERDA PARA EL DIA DE MAÑANA PAGAR LOS 3,800 SOLES, SE LE HACE CLARO QUE SOLO HASTA MAÑANA </t>
  </si>
  <si>
    <t>MONTO TOTAL NEGOCIADO: 3800 / HORARIO DE PAGO: Tarde / NOTA: Se informa aprobacion de 3,800 condicion de anticipo de 1,000 el dia 14 de marzo y restante el 20, indica via correo ericsontimana@gmail.com y whatsapp</t>
  </si>
  <si>
    <t xml:space="preserve">MONTO TOTAL NEGOCIADO: 3900 / HORARIO DE PAGO: Mediodía / NOTA: numero personal de titular se comunica. se informo deuda total y campaña 2775 a liquidar informa que esta juntando el monto que le dea mas tiempo , de lo contrario abonara 300 como minimo </t>
  </si>
  <si>
    <t>MONTO TOTAL NEGOCIADO: 3950 / HORARIO DE PAGO: Mañana / ADICIONAL - tt haria abono de 200 el sabado 17 si cumple se genera ppc por 550 saldo a fin de mes</t>
  </si>
  <si>
    <t>MONTO TOTAL NEGOCIADO: 4,649.00 / HORARIO DE PAGO: Mañana / NOTA: PAREJA GREGORIO APAZA HUAYCANI ENCARDADA DEL PAGO, INDICO QUE JUNTARA PARA PP DE 800 A 1000 SOLES SINO JUNTA, HARA ABONO DE 200 SOLES</t>
  </si>
  <si>
    <t>MONTO TOTAL NEGOCIADO: 400 / HORARIO DE PAGO: Mediodía / NOTA: tt quiere cancelar con importe de s/. 440 // primero realizara pago parcial de s/. 400 para fecha 18/06 como pago parcial y diferencia s/. 40 para 27/06</t>
  </si>
  <si>
    <t xml:space="preserve">MONTO TOTAL NEGOCIADO: 400 / HORARIO DE PAGO: Tarde / NOTA: TT CANCELA 400 , PAGA 200 HOY Y 200 SOLES AL 29/12 . ENVIO CONVENIO PAGA HOY </t>
  </si>
  <si>
    <t xml:space="preserve">MONTO TOTAL NEGOCIADO: 4000 / HORARIO DE PAGO: Tarde / NOTA: propuesta :4k   por interno se acepta   1k  18-06  y 3k  30-06 </t>
  </si>
  <si>
    <t xml:space="preserve">tt informa que recién le pagaron   1000 k  hoy  solicita apoyo para que los 3k q faltan hasta fdm   envia correo idssac@gmail.com </t>
  </si>
  <si>
    <t xml:space="preserve">MONTO TOTAL NEGOCIADO: 4000 / HORARIO DE PAGO: Tarde / NOTA: Se le brindo conformidad a tt, tt menciona que documento se envie por wtsp para proceder con el pago, hoy adelantara 2mil soles y restante el 28 de noviembre </t>
  </si>
  <si>
    <t>MONTO TOTAL NEGOCIADO: 41,186.81 / HORARIO DE PAGO: Tarde / NOTA: se conversa con Julio, y se cierra el cliente por 14K para el dia 31.07 antes de las 5 pm. esposa karina reyes es quien se hará cargo del pago ya que tt tiene prblemas de salud en la columna. Se envia el correo indicando que es una campaña ecepcional que se le esta activando.</t>
  </si>
  <si>
    <t>MONTO TOTAL NEGOCIADO: 4100 / HORARIO DE PAGO: Mañana / NOTA: Hijo Jilmer indica manejar pago a cuenta de 150 soles para el Jueves 20/06 por caja los andes por la mañana .</t>
  </si>
  <si>
    <t>MONTO TOTAL NEGOCIADO: 41000 / HORARIO DE PAGO: Mañana / ADICIONAL - TT INDICA QUE YA SE VENDIO LA PROPIEDAD DE SU FAMILIAR Y SOLO LE DARAN EL MONTO DE 20MIL TIENE GASTOS ESCOLARES  EL DIA LUNES 25  LE HARAN EL DEPOSITO DEL DINERO´QUE YA TIENE FECHA FIJA 25/03   SE MANEJA POR INTERNO CASO PUNTUAL.</t>
  </si>
  <si>
    <t xml:space="preserve">MONTO TOTAL NEGOCIADO: 416 / HORARIO DE PAGO: Mañana / NOTA: DK 416 TT INDICA QUE RECIBE PAGO ESE DIA, DEPENDE LO QUE RECIBA TAMBIEN HARA PROPUESTA DE CANCELACION </t>
  </si>
  <si>
    <t xml:space="preserve">MONTO TOTAL NEGOCIADO: 420 / HORARIO DE PAGO: Mañana / ADICIONAL - </t>
  </si>
  <si>
    <t>MONTO TOTAL NEGOCIADO: 420 / HORARIO DE PAGO: Mañana / ADICIONAL - TITULAR ACCEDE A ADELANTO DE 150 SOLES EL VIERNES 05.01 EN CAJA LOS ANDES CAMPAÑA DE 420 SOLES LO RESTANTE SERIA PARA EL MARTES 30.01.OFICIANA DE ATALAYA.HERMANO SE ENCARGA DE PAGO .</t>
  </si>
  <si>
    <t xml:space="preserve">MONTO TOTAL NEGOCIADO: 4200 / HORARIO DE PAGO: Tarde / NOTA: TT va efectuar el adelanto hoy de 1,000 soles y completara el 50% de adelanto el dia 12 noviembre, restante de 2100 lo completara el 28 de noviembre, tt brindo su correo mautino93@gmail.com para envio de compromiso de pago </t>
  </si>
  <si>
    <t xml:space="preserve">MONTO TOTAL NEGOCIADO: 4250 / HORARIO DE PAGO: Tarde / NOTA: </t>
  </si>
  <si>
    <t>MONTO TOTAL NEGOCIADO: 4300 / HORARIO DE PAGO: Tarde / NOTA: Titular indica que por ahora no puede confirmar cancelación, se brinda opción de abono de S/600.00 a base de la DT S/13,247.01 tt se acopla; por confirmar si le prestan dinero y se eleva caso con gerencia. Campaña otorgada 4300</t>
  </si>
  <si>
    <t xml:space="preserve">MONTO TOTAL NEGOCIADO: 435603 / HORARIO DE PAGO: Mañana / NOTA: Se le hace aprobación del importe de 43,300 para el día 27/07 , se inidca a tt observación por parte de gerencia en cumplir con la fecha y el importe , tt menciona que  irá coordinandolo con el vendedor para no fallar y cuaqluier inconveniente estará informando , se coloca PAR de 1k en coordinanción con Superv. para no afectar el proyectado. </t>
  </si>
  <si>
    <t>MONTO TOTAL NEGOCIADO: 4380 / HORARIO DE PAGO: Mañana / NOTA: TT menciona que ya tiene la mitad del dinero, que la diferencia se la estarán otorgando el día de hoy por la noche o a más tardar el día de mañana temprano, por lo cual solicita se le brinde adelanto de 1K para mañana y la diferencia de 3380 hasta el día 27. Se enviará acuerdo de pago.</t>
  </si>
  <si>
    <t xml:space="preserve">MONTO TOTAL NEGOCIADO: 4416 / HORARIO DE PAGO: Tarde / NOTA: </t>
  </si>
  <si>
    <t xml:space="preserve">MONTO TOTAL NEGOCIADO: 450 / HORARIO DE PAGO: Mañana / ADICIONAL - TT confirma abono pero no sabe si podrá cancelar o no, dice que dará confirmación despues </t>
  </si>
  <si>
    <t>MONTO TOTAL NEGOCIADO: 4579 / HORARIO DE PAGO: Mañana / ADICIONAL - TT ABONARA DE FORMA MENUSUAL EL IMPORTE DE 250</t>
  </si>
  <si>
    <t>MONTO TOTAL NEGOCIADO: 4600 / HORARIO DE PAGO: Mañana / NOTA: TT PIDE QUE LE DEMOS MAÑANA PLAZO YA CONFIRMO QUE LA PERSONA LE VA PRESTAR LOS 600 SOLES MAÑANA, EN LA MAÑANA SE ENVIA DOCUMENTO CARTA CAMPÑA PARA QUE PUEDA EFECTUAR EL ABONO SE SOLCITO APOYO A SUPERVISORA YA QUE TT PLANTE CANCELAR LO RESTANTE EN ESTE MES</t>
  </si>
  <si>
    <t xml:space="preserve">MONTO TOTAL NEGOCIADO: 47430 / HORARIO DE PAGO: Mañana / NOTA: Se le brindó piso a tt S/12500 soles, inicial S/4000 15-01-26 y 8500 a fin de mes, aplicativo bbva. </t>
  </si>
  <si>
    <t xml:space="preserve">MONTO TOTAL NEGOCIADO: 47720.75 / HORARIO DE PAGO: Tarde / NOTA: Se le brindo la dt, se le indico hasta las 12 c de tacita, tt menciona que el seguira con sus abonos de 600 soles para el dia 25, esta viendo un dinero para realizar la cancelacion de la cuenta, vera si tambien nos da una respuesta hasta esa fecha, se le envia los numeros de cuenta, se le menciono mejora de abono pero no dio respusta, solo los 600 soles </t>
  </si>
  <si>
    <t xml:space="preserve">MONTO TOTAL NEGOCIADO: 4780 / HORARIO DE PAGO: Mañana / ADICIONAL - TT ABONA 150 A CUENTA SE BRINDO CAMP PERO DICE ES MUCHO PROPONE 700 Q SE LE DICE MEJORE PORQ ANTES OFRECIO 1K </t>
  </si>
  <si>
    <t>MONTO TOTAL NEGOCIADO: 4800 / HORARIO DE PAGO: Mañana / NOTA: tt  cancelara 4800 1era  cuota 1000  09/03 y 31 s/3800</t>
  </si>
  <si>
    <t>MONTO TOTAL NEGOCIADO: 4850 / HORARIO DE PAGO: Mañana / NOTA: Titular indica que por ahora no puede confirmar cancelación, se brinda opción de abono de S/600.00 a base de la DT S/14,465.78 tt se acopla; por confirmar si le prestan dinero y se eleva caso con gerencia. Campaña otorgada 4850</t>
  </si>
  <si>
    <t xml:space="preserve">MONTO TOTAL NEGOCIADO: 48651 / HORARIO DE PAGO: Mañana / NOTA: ME COMUNICO CON TT Y SE LE MENCIONA DT, DK Y MIN1 COMO CAMPAÑA DE DESCUENTO DE S/35980.00  NOS INDICA QUE HACE TRABAJOS EVENTUALES Y YA HIZO LA VENTA DE ALGUNAS COSAS QUE TENIA Y REUNIÓ 4250.00 PARA CANCELAR EL DIA DE HOY 31/03 A LAS 3PM ESTARIA HACIENDO EL DEPOSITO  - MONTO NEGOCIADO DE S/4250.00 </t>
  </si>
  <si>
    <t>MONTO TOTAL NEGOCIADO: 4985 / HORARIO DE PAGO: Mañana / NOTA: Titular manejo de pagio minimo de 150 soles ,esta tratando de lograr propuesta reunir ya que ya soluciono con financiera OH.pago en caja los andes el martes 30/07.</t>
  </si>
  <si>
    <t xml:space="preserve">MONTO TOTAL NEGOCIADO: 50 / HORARIO DE PAGO: Tarde / NOTA: DT 287 DK 278 TT INDICA QUE SEGUIRA REALIZANDO ABONO DE 50 SOLES </t>
  </si>
  <si>
    <t xml:space="preserve">MONTO TOTAL NEGOCIADO: 500 / HORARIO DE PAGO: Mañana / NOTA: TT CONFIRMA REALIZARA PAGO EN CAJA LOS ANDES ABONO S/. 500 // 28/06 </t>
  </si>
  <si>
    <t xml:space="preserve">MONTO TOTAL NEGOCIADO: 500 / HORARIO DE PAGO: Mañana / NOTA: TT GENERARA UN PAGO MIN DE S/500 EN CDK </t>
  </si>
  <si>
    <t xml:space="preserve">MONTO TOTAL NEGOCIADO: 500 / HORARIO DE PAGO: Tarde / ADICIONAL - DK1350 CAM 1K  TT PP 500  SE EVALUARA CON GERENCIA </t>
  </si>
  <si>
    <t xml:space="preserve">MONTO TOTAL NEGOCIADO: 500 / HORARIO DE PAGO: Tarde / NOTA: DT 1,724 SE LE INDICA A TT QUE CAMP 500 SOLES SE REALIZARA SIEMPRE Y CUANDO REALIZE UN ADELANTO DE POR MEDIO, INDICO ADELANTO PARA HOY, SE HACE LA CONSULTA CON SUPER </t>
  </si>
  <si>
    <t>MONTO TOTAL NEGOCIADO: 500 / HORARIO DE PAGO: Tarde / NOTA: se confirma con tt el pago de sud edua por500 so , coordinado con jefe mayra , envio sustentos de su discapacidad , se concreta la negociacion con pago alas 4pm por agencia de huancayo</t>
  </si>
  <si>
    <t xml:space="preserve">MONTO TOTAL NEGOCIADO: 500 / HORARIO DE PAGO: Tarde / NOTA: sr ROGER encargado  realizara abono de 500 soles el dia 30.05 en caja los andes </t>
  </si>
  <si>
    <t xml:space="preserve">MONTO TOTAL NEGOCIADO: 5000 / HORARIO DE PAGO: Mediodía / NOTA: Se le indica a tt monto aprobado de los 5mil soles, se aclara las dudas correspondientes al documento de compromiso de pago porque clienta quiere detallado el monto de adelanto y de restante, se le explico clausulas a tt cada una, le quedo todo claro, va realizar el adelanto en 2 horas, envia su correo para Lourdesantonioinga@gmail.com para acuerdo de pago </t>
  </si>
  <si>
    <t>MONTO TOTAL NEGOCIADO: 5000 / HORARIO DE PAGO: Tarde / NOTA: Se informa a titular que su propuesta procedió, mañana 23/12 paga 2k, fin de mes paga 3k.</t>
  </si>
  <si>
    <t>MONTO TOTAL NEGOCIADO: 5200 / HORARIO DE PAGO: Mañana / NOTA: Monto negociado:  5200</t>
  </si>
  <si>
    <t xml:space="preserve">sustento:   prestamo fam </t>
  </si>
  <si>
    <t xml:space="preserve">Motivo de no pago:   problemas  economicos </t>
  </si>
  <si>
    <t xml:space="preserve">Fecha:  18/ 1500 </t>
  </si>
  <si>
    <t>Propuesta:   5200</t>
  </si>
  <si>
    <t>Observación:  se indica  DT  15,386.41</t>
  </si>
  <si>
    <t>_ TT indica  hoy  realiza  pago 1500,ya que fam recien ayer por  la  noche  le deposito</t>
  </si>
  <si>
    <t xml:space="preserve">_ Señala  realiza  pago de  1500 y  la diferencia para  fines  de mes  viernes 27/ ya que le facilitan el dinero </t>
  </si>
  <si>
    <t>_ Se recalca de no cumplir pago hoy , se procede con la  cobranza sin goce a beneficio</t>
  </si>
  <si>
    <t xml:space="preserve">MONTO TOTAL NEGOCIADO: 550 / HORARIO DE PAGO: Mañana / ADICIONAL - tt quiere negociar con 500 soles se hace mencion que mejore la propuesta hasta 550 se espera rspta </t>
  </si>
  <si>
    <t>MONTO TOTAL NEGOCIADO: 5660 / HORARIO DE PAGO: Mañana / ADICIONAL - TT ABONA PAR DE 200</t>
  </si>
  <si>
    <t xml:space="preserve">MONTO TOTAL NEGOCIADO: 59,563.46 / HORARIO DE PAGO: Mañana / NOTA:  TT POR EL MOMENTO NO PUEDE ACOGERSE A UNA CAMPAÑA. CONTINUARA AMORTIZNDO S/200 DT.59,563.46  DK. 50,684.24 </t>
  </si>
  <si>
    <t>MONTO TOTAL NEGOCIADO: 5900 / HORARIO DE PAGO: Mañana / NOTA: tt esta juntando informa monto de propuesta 1.5 k como maximo  de igual forma se le comenta mejorar o abonara 200</t>
  </si>
  <si>
    <t>MONTO TOTAL NEGOCIADO: 600 / HORARIO DE PAGO: Mañana / ADICIONAL - tt indica que hara abono de 600 el dia sabado 23.03 en caja los andes de huachipa  a las 09 am</t>
  </si>
  <si>
    <t xml:space="preserve">MONTO TOTAL NEGOCIADO: 600 / HORARIO DE PAGO: Mañana / NOTA: </t>
  </si>
  <si>
    <t>MONTO TOTAL NEGOCIADO: 600 / HORARIO DE PAGO: Mediodía / NOTA: tt abonar 200</t>
  </si>
  <si>
    <t xml:space="preserve">MONTO TOTAL NEGOCIADO: 6000 / HORARIO DE PAGO: Mañana / NOTA: TT REALIZARA PAGO DE 200 HOY Y 5800 PARA EL DIA DE MAÑANA </t>
  </si>
  <si>
    <t xml:space="preserve">MONTO TOTAL NEGOCIADO: 6000 / HORARIO DE PAGO: Tarde / NOTA: TT HARA EL PAGO DE 2MIL HOY Y 4MIL EL DIA 30 ENERO - GENERA LA CONFIRMACION - HARA PAGO POR SCOTIABANK </t>
  </si>
  <si>
    <t xml:space="preserve">MONTO TOTAL NEGOCIADO: 6050 / HORARIO DE PAGO: Mañana / ADICIONAL - CONFIRMA SU ABONO DE 150 AHCIENDO UN ESFUERZO ES LO QUE DEPOSITA MAS NO PUEDE INDICA </t>
  </si>
  <si>
    <t xml:space="preserve">MONTO TOTAL NEGOCIADO: 6274 / HORARIO DE PAGO: Mañana / NOTA: </t>
  </si>
  <si>
    <t>MONTO TOTAL NEGOCIADO: 63000 / HORARIO DE PAGO: Mañana / NOTA: Tt menciona que esta viendo la manera de poder conseguir para cancealr la deuda, se le indico DT y campaña de 17600 pero no sabe cuanto le daran ya que depende de otras personas, se le ofrece fraccionar su deuda C12X1730 pero dice que es mucho, que podria pagar 800 soles en caso no pueda liquidar, confirma abono para el 30/05, se le explica que es con base a DK</t>
  </si>
  <si>
    <t xml:space="preserve">MONTO TOTAL NEGOCIADO: 63497.65 / HORARIO DE PAGO: Tarde / NOTA: Se le brindo opcion de amoritzar a la deuda en base a la dt , hasta lo minimo 600 soles con la intencion de que en mayo de solucion a la cuenta, tt viene ahorra para cancelar la propuesta que brindo no se acepto, entonces se acopla abono este mes para solucionar en mayo, por la condicion que tiene ira reuniendo por trabajo de clases virtuales que realizara </t>
  </si>
  <si>
    <t>MONTO TOTAL NEGOCIADO: 65156 / HORARIO DE PAGO: Mañana / NOTA: tt indica q se acercaria a oficina el viernes 21  para cerrar acuerdo de pago, prop de 10k, adelanto de 1k el viernes 21 q indica lo hara aca en ofic via transf  bbva, y saldo de 9k  el 28-02, se genera par y se espera cumplimiento del adelanto para modificar a  ppc x 10k **se consult con superv**</t>
  </si>
  <si>
    <t>MONTO TOTAL NEGOCIADO: 69144 / HORARIO DE PAGO: Mañana / ADICIONAL - tt indica que sus hermanos le prestaran pero aun no entonces hara abono de pago</t>
  </si>
  <si>
    <t xml:space="preserve">MONTO TOTAL NEGOCIADO: 69292.06 / HORARIO DE PAGO: Tarde / NOTA: NOS COMUNICAMOS NUEVAMENTE CON TT INDICA QUE MEJOR REALIZARA UN ABONO DE 800 HASTA QUE LA VENTA DE LAS COSAS QUE TIENE SE CONRCRETEN Y PUEDA PROPONER SI EN TODO CASO ES FCTIBLE EN ESE MOMENTO CANCELAR 8K LO ESTARIA PROPONIENDO QUE ES LO MAXIMO QUE PUEDE TENER SI NO EN TODO CASO ABONARA 800 A BASE LA DEUDA TOTAL SE RECALCA ESO, SE ESTARIA ACERCNADO EN LA AGENCIA BBVA APROX DE 2 PM QUE ES SU ALMUERZO </t>
  </si>
  <si>
    <t>MONTO TOTAL NEGOCIADO: 7,285.74 / HORARIO DE PAGO: Mañana / NOTA: TT se comunico mediante wsp que no le pudieron facilitar el dinero para el día viernes por lo cual solicita plazo para realizar el pago correspondiente hasta fin de mes, indico tratar adelanto de 1K con posible opcion a cancelar bajo propuesta realizada, se agenda PAR para el día 30.</t>
  </si>
  <si>
    <t xml:space="preserve">MONTO TOTAL NEGOCIADO: 700 / HORARIO DE PAGO: Mañana / NOTA: dk 700 cam 550   su hijo se hara cargo de la deuda </t>
  </si>
  <si>
    <t xml:space="preserve">MONTO TOTAL NEGOCIADO: 700 / HORARIO DE PAGO: Mañana / NOTA: TT. Indica que abonara 500 soles 15-06  y 200 soles fin de mes </t>
  </si>
  <si>
    <t xml:space="preserve">MONTO TOTAL NEGOCIADO: 7000 / HORARIO DE PAGO: Mañana / NOTA: tt informa que pagara con seguridad el dia 20 bien parcial o propuesta de 1 k . hermano esta en la mina en chile pagara en arequipa - pampilla </t>
  </si>
  <si>
    <t>MONTO TOTAL NEGOCIADO: 710 / HORARIO DE PAGO: Tarde / NOTA: Se le ofrece DT 1,015.66, DK 710 Soles, tt indica que quiere conciliar la deuda y acceder al beneficio, pero el cobra a fines de mes. Se le indica que al menos debe realizar un adelanto del 50% para poder considerarle un plazo adicional, solicita que se le pueda apoyar con el adelanto de S/355 hasta el día 17/10, y el restante de S/355 hasta el 31/10, se consulta caso con supervisor y se genera PAR de forma momentanea hasta cumplimiento de abono.</t>
  </si>
  <si>
    <t xml:space="preserve">MONTO TOTAL NEGOCIADO: 72729 / HORARIO DE PAGO: Mañana / ADICIONAL - TT MENCIONA QUE AUN NO SALE EL DINERO ESTA ESPERANDO NO LE DNA FECHA SE LE SOLICITA ABONO ESTE MES COMO CONGELAMIENTO DE CAMPAÑA DE 300 </t>
  </si>
  <si>
    <t>MONTO TOTAL NEGOCIADO: 750 / HORARIO DE PAGO: Tarde / NOTA: tt confirma acceder a campaña por s/750 soles como cancelación, hoy abona 50% s/375 soles y el saldo esta realizando el pago el 30 octubre</t>
  </si>
  <si>
    <t xml:space="preserve">MONTO TOTAL NEGOCIADO: 757 / HORARIO DE PAGO: Mañana / NOTA: tt este mes abonara 100  pero en julio solicitara propuesta   para liquidar deuda   </t>
  </si>
  <si>
    <t xml:space="preserve">MONTO TOTAL NEGOCIADO: 775 / HORARIO DE PAGO: Mañana / NOTA: es una ppc de 1550 //  hoy pagara la mitad y a fin de mes la diferencia </t>
  </si>
  <si>
    <t xml:space="preserve">MONTO TOTAL NEGOCIADO: 78423 / HORARIO DE PAGO: Mañana / NOTA: Se le brindo dt dk campaña con 16,140 menciono que podia reunir 10k  tt responde correo enviado mejora monto de propuesta    menciona que ah podido conseguir hasta  12k se lo darán entre hoy y mañana  para resolver su cuenta   se le persuade que es importante un adelanto para poder ingresar su consulta  confirma un abono de 600 a su voluntad para comprometerse con la cancelación por el importe de mejora a 12k  dinero que le prestarán  </t>
  </si>
  <si>
    <t xml:space="preserve">MONTO TOTAL NEGOCIADO: 8,279.26 / HORARIO DE PAGO: Tarde / ADICIONAL -  CL indica  le  ofrecieron can monto mennor  700 soles , se  explica  perdio camp se  altera  se pone  presion con notif de planilla  indica  solo abonara para detener accion mayor </t>
  </si>
  <si>
    <t>MONTO TOTAL NEGOCIADO: 8,311.93 / HORARIO DE PAGO: Mañana / NOTA: CLIENTE ABONARA 200 SOLES, CASO NO JUNTE LOS 1500.00 SOLES PARA ABONAR SE VLL.</t>
  </si>
  <si>
    <t>MONTO TOTAL NEGOCIADO: 8,521.03 / HORARIO DE PAGO: Tarde / NOTA: gestion anterior se brinda montos, cliente indica  no puede asumir  montos elevados, se brinda abono de 600 a la DT, como comportamiento de pago</t>
  </si>
  <si>
    <t>*Monto Negociado: 8,521.03</t>
  </si>
  <si>
    <t>*Sustento:  desempleo</t>
  </si>
  <si>
    <t>*Motivo de no pago: familiar no lo puede ayudar (prest )</t>
  </si>
  <si>
    <t>*Fecha: 29/08</t>
  </si>
  <si>
    <t xml:space="preserve">*Propuesta: 600 a la  DT </t>
  </si>
  <si>
    <t>MONTO TOTAL NEGOCIADO: 800 / HORARIO DE PAGO: Mañana / NOTA: dk 800 cam  800</t>
  </si>
  <si>
    <t>MONTO TOTAL NEGOCIADO: 800 / HORARIO DE PAGO: Mañana / NOTA: dk 800 cam  800 4 cuotas de 200</t>
  </si>
  <si>
    <t xml:space="preserve">MONTO TOTAL NEGOCIADO: 800 / HORARIO DE PAGO: Mediodía / NOTA: campña   800   no ha agente bcp    tt esta buscando   </t>
  </si>
  <si>
    <t>MONTO TOTAL NEGOCIADO: 8000 / HORARIO DE PAGO: Tarde / NOTA: compromiso  8000 en 2 partes dentro del mes,    hoy  1mil   y   7mil fdm</t>
  </si>
  <si>
    <t xml:space="preserve">tt ind    que   va ir abonando   en el r¿transcurso del mes  para terminar antes </t>
  </si>
  <si>
    <t>envia correo  Lfacundocorrea@gmail.com LFACUNDOC@HOTMAIL.COM</t>
  </si>
  <si>
    <t xml:space="preserve">MONTO TOTAL NEGOCIADO: 8200 / HORARIO DE PAGO: Mañana / NOTA: dk 9900 cam 8200 </t>
  </si>
  <si>
    <t>MONTO TOTAL NEGOCIADO: 8217 / HORARIO DE PAGO: Mañana / NOTA: Se fija par ya que tt indica que puede adelantar 1000 ese dia y la diferencia la estaria generando el 27 o 28 en base al cobro de sus cheques. Se maneja como par por extension del tiempo para generar PPC</t>
  </si>
  <si>
    <t xml:space="preserve">MONTO TOTAL NEGOCIADO: 835 / HORARIO DE PAGO: Mañana / NOTA: TT REALIZARA ABONOS PARCIALES </t>
  </si>
  <si>
    <t xml:space="preserve">MONTO TOTAL NEGOCIADO: 848 / HORARIO DE PAGO: Tarde / NOTA: TT INDICA AUN SE ENCUENTRA LEJOS DE CIUDAD </t>
  </si>
  <si>
    <t xml:space="preserve">MONTO TOTAL NEGOCIADO: 850 / HORARIO DE PAGO: Mañana / ADICIONAL - SE NEGOCIA CON TT A BASE DE 4300 SOLES A CANCELAR CON 850 SOLES INF. QUE MAÑANA DARA RSPTA A LAS 4 DESEA QUE LE MANDO X WSP INFO. </t>
  </si>
  <si>
    <t xml:space="preserve">MONTO TOTAL NEGOCIADO: 8500 / HORARIO DE PAGO: Tarde / NOTA: Monto negociado: 28.500 </t>
  </si>
  <si>
    <t>sustento:  cobro de  AFP _ prest fam</t>
  </si>
  <si>
    <t>Motivo de no pago:  problema  de  salud (asume  tratamiento)</t>
  </si>
  <si>
    <t>Fecha: 18/11 pago del 50%  monto de 4250 -  completando la diferencia el dia  viernes 28/11</t>
  </si>
  <si>
    <t>Propuesta:  8.500</t>
  </si>
  <si>
    <t>Observación:  se indica  prop es aprobada como campaña excepcional , condicion realizar  pagos en tiempo y  forma  correcta, señala  pago lo realiza  por  la  tarde ya que  tiene  tratamiento y  termina  debilitado, facilita  su correo     Jcardenastaipe@hotmail.com</t>
  </si>
  <si>
    <t>MONTO TOTAL NEGOCIADO: 880.41 / HORARIO DE PAGO: Mañana / NOTA: tt confirmara que abone los 200 y se consigue para cancelar confirmara</t>
  </si>
  <si>
    <t xml:space="preserve">MONTO TOTAL NEGOCIADO: 88960 / HORARIO DE PAGO: Mañana / NOTA: TT menciona que esta viendo ofrecer un predio el cual le estan dando más de 30kn para cancelar pero aún no se  concreta, se indico DT: 88,960  y CAN: 80k , FRACC 7,408 x 12M  pero dice que ahora es imposible comenta que puede abonar los 300 se le menciona que no es factible y MIN 600 , tt indica que podría pagar al día 24/06 pero hoy haría un adelanto de S/200 y saldo el 24/06, se adjunta  cuentas </t>
  </si>
  <si>
    <t>MONTO TOTAL NEGOCIADO: 9000 / HORARIO DE PAGO: Tarde / NOTA: se le confirma   compromiso  envia correo:  jhonn.vega.m.25@gmail.com monto   9k  fraccionado en 2 partes :</t>
  </si>
  <si>
    <t xml:space="preserve">4k fecha 17-12 </t>
  </si>
  <si>
    <t>5k fecha 31-12</t>
  </si>
  <si>
    <t xml:space="preserve">MONTO TOTAL NEGOCIADO: 926 / HORARIO DE PAGO: Mediodía / NOTA: TT PAGA CUOTA 430 EL 15-11  Y RESTO AL 30-11 PARA SU ULTIMA CUOTA </t>
  </si>
  <si>
    <t xml:space="preserve">MONTO TOTAL NEGOCIADO: 94,458.72 / HORARIO DE PAGO: Tarde / ADICIONAL - FAM  quiere  dar solucion se  pide  monto alto indica  es del campo acepta  solo abonar </t>
  </si>
  <si>
    <t xml:space="preserve">MONTO TOTAL NEGOCIADO: 950 / HORARIO DE PAGO: Mañana / NOTA: </t>
  </si>
  <si>
    <t xml:space="preserve">MONTO TOTAL NEGOCIADO: 950 / HORARIO DE PAGO: Mañana / NOTA: dk 2100 cam 950   tt pp 500 se evaluara con gerencia </t>
  </si>
  <si>
    <t>MONTO TOTAL NEGOCIADO: 950 / HORARIO DE PAGO: Tarde / ADICIONAL - TT ABOANARA 200 ESTE MES Y POSIBLE CONSEGUIRA EL TOTAL</t>
  </si>
  <si>
    <t xml:space="preserve">MONTO TOTAL NEGOCIADO: 9500 / HORARIO DE PAGO: Mañana / NOTA: DT 9500 CAMP 4500 TT ABONA PAR DE 200 </t>
  </si>
  <si>
    <t>MONTO TOTAL NEGOCIADO: 975 / HORARIO DE PAGO: Mañana / NOTA: DT  3,023.73 - tt  informa   para fin de mes   can  o abono</t>
  </si>
  <si>
    <t>MONTO TOTAL NEGOCIADO: 9800 / HORARIO DE PAGO: Mediodía / ADICIONAL - TT indica que el dia de mañana se acercara al banco para validar informacion y que posterior a la validacion efectuara abono de 1m como inicial e intencion de pago para poder respetar el acuerdo que se le esta otorgando para que pueda liquidar por el importe de 7500 hasta el 27. Se solicita apoyo de supervisora.</t>
  </si>
  <si>
    <t xml:space="preserve">MONTO TOTAL NEGOCIADO: 9800 / HORARIO DE PAGO: Tarde / NOTA: Se converso con supervisora, se esta ingresando un par porque el dia de mñana tt confirma 9800 soles para cancelar antes de las 11am, se llamara antes para confirmar y realizar envio del acuerdo a correo electronico , realizara el pago como transferencia bcp, se le explico envio de carta no adeudo 24 horas </t>
  </si>
  <si>
    <t>MONTO TOTAL NEGOCIADO: 98252 / HORARIO DE PAGO: Mañana / NOTA: SE INFORMA APROBACION SOLO POR HOY ULTIMA FECHA, TT INDICA AHORA LO REALIZARIA, SE ENVIA ACUERDO, SE RECALCA Y ACLARA EXCEPCION SOLO POR HOY POR REITERADOS INCUMPLIMIENMTOS</t>
  </si>
  <si>
    <t xml:space="preserve">MONTO TOTAL NEGOCIADO: 9896 / HORARIO DE PAGO: Mañana / ADICIONAL - TT ABONA PAR DE 150 </t>
  </si>
  <si>
    <t>Motivo de no cierre - Se eleva excepción / NOTA: tt 450 para cancelar</t>
  </si>
  <si>
    <t>Motivo de no cierre - Se eleva excepción / NOTA: tt propone cancelar con 200 indica no disponer de dinero para cancelar tiene carga familiar</t>
  </si>
  <si>
    <t>Motivo de no pago: Problemas personales</t>
  </si>
  <si>
    <t>campaña:500 soles</t>
  </si>
  <si>
    <t>sustento de pago:cuenta con monto de ahorros.</t>
  </si>
  <si>
    <t>se reprograma pago de 500 soles para el lunes 16-03-20 a solictud de cliente ,comunicacion via whatsapp del coop. 17 ya que no contesta llamada del coop. ni del discador.</t>
  </si>
  <si>
    <t>MOTIVO DE NO PAGO: salud sufre de hipotiroidismo mas de 4 años y no pudo salir de cas.</t>
  </si>
  <si>
    <t>campaña:914</t>
  </si>
  <si>
    <t>Search: 2 entidades.</t>
  </si>
  <si>
    <t>sustento de pago: Familiar le prestara dinero.</t>
  </si>
  <si>
    <t>TT. Realizara un primer pago el dia 18-03-20 a las 3pm.</t>
  </si>
  <si>
    <t>y la diferencia el 30-03-20.</t>
  </si>
  <si>
    <t>(llamada se realiza del discador.)</t>
  </si>
  <si>
    <t>Motivo de VLL - Confirmará disponibilidad de dinero / MONTO TOTAL NEGOCIADO:  / NOTA:  MONTO TOTAL NEGOCIADO: 300 / NOTA: MONTO NEGOCIADO 300 SOLES DK 1,155.80 CIENTE INDICA QUE</t>
  </si>
  <si>
    <t xml:space="preserve"> ESTA ESPERANDO EL PAGO DE SU TRABAJO QUE APENAS LE ABONEN VA DEPOSITAR EL DIA DE MAÑANA PIDO APOYO</t>
  </si>
  <si>
    <t xml:space="preserve"> POR PARTE DEL SUPERCISOR.</t>
  </si>
  <si>
    <t>Motivo de VLL - Confirmará disponibilidad de dinero / MONTO TOTAL NEGOCIADO:  / NOTA: cliente confirma el pago de su cancelacion con 200 soles para esta quincena se le realiza la consulta a supervisor</t>
  </si>
  <si>
    <t xml:space="preserve">Motivo de VLL - Confirmará disponibilidad de dinero / MONTO TOTAL NEGOCIADO:  / NOTA: D,T, S/ 181.84 SE LE OFRECE MA S/100 SOLES </t>
  </si>
  <si>
    <t xml:space="preserve">TT INTERESADA  EN PAGAR ESTABA LLENDO  A  LA OF  CAJA LOS  ANDES  Y LA LLAMARON QUE SU  ESPOSO SUFRIO  ROBO ENVIO  EVIDENCIAS  </t>
  </si>
  <si>
    <t>Motivo de VLL - Confirmará disponibilidad de dinero / MONTO TOTAL NEGOCIADO: 200 / NOTA: PPC 200 SOLES</t>
  </si>
  <si>
    <t xml:space="preserve">Motivo de VLL - Confirmará disponibilidad de dinero / MONTO TOTAL NEGOCIADO: 200 / NOTA: tt inidca que quiere pagar con 150 se solicta que mejore propuesta por 200 a espera de confirmacion para poder realizar el pago llamar ppor la tarde para confirmar </t>
  </si>
  <si>
    <t xml:space="preserve">Motivo de VLL - Confirmará disponibilidad de dinero / MONTO TOTAL NEGOCIADO: 250 / NOTA: tendra el dinero fin de mes antes del 30 de abril 250 soles ppc abono total de la deuda todo comunicado por whatsaap </t>
  </si>
  <si>
    <t xml:space="preserve">Motivo de VLL - Confirmará disponibilidad de dinero / MONTO TOTAL NEGOCIADO: 250 / NOTA: TT PROPONE LIQUIDAR CON 250, SE ESPERA RPTA DE GERENCIA PARA PROCEDER CON EL PAGO </t>
  </si>
  <si>
    <t xml:space="preserve">Motivo de VLL - Confirmará disponibilidad de dinero / MONTO TOTAL NEGOCIADO: 300 / NOTA: PPC 300 SOLES MIERCOLES 10/7   X AGENTE BCP </t>
  </si>
  <si>
    <t xml:space="preserve">Motivo de VLL - Confirmará disponibilidad de dinero / MONTO TOTAL NEGOCIADO: 300 / NOTA: TT SE ACOJE A CANCELAR LA DEUDA BAJO EL MONTO DE 300 CANCELADO HOY 02/08/2024 UNA CUOTA DE 100 SOLES Y LA DIFERENCIA PARA EL 21 DE AGOSTO </t>
  </si>
  <si>
    <t>Motivo de VLL - Confirmará disponibilidad de dinero / MONTO TOTAL NEGOCIADO: 340 / NOTA: SE CONTACTA A TT, MENCIONA QUE HA TENIDO DIVERSOS PROBLEMAS PARA REALIZAR SU PAGO, INDICA QUE ES TRANSPORTISTA Y NO TIENE MUCHO TIEMPO PARA ACERCARSE A LA CAJA, SE NEGOCIA CANCELACION EN BASE A S/. 340 // INDICA QUE HOY PODRIA ABONAR S/. 69, EL MIERCOLES 04/05 S/. 131 Y EL SABADO 07/05 S/. 140, PIDE LLAMAR DENTRO DEL MEDIO DIA PARA CONFIRMAR ABONO DE S/. 69</t>
  </si>
  <si>
    <t>Motivo de VLL - Confirmará disponibilidad de dinero / MONTO TOTAL NEGOCIADO: 350 / NOTA: SE LE OFRECE LIQUIDAR CON 350// SE PRESTARA PERO CONSULTARA ANTES DE MANDAR EXCEPCION // LLAMAR POR LA TARDE O ELLA SE COMUNICARA HOY 03/07</t>
  </si>
  <si>
    <t xml:space="preserve">Motivo de VLL - Confirmará disponibilidad de dinero / MONTO TOTAL NEGOCIADO: 450 / NOTA: pareja de tt encargada del pago indica que a tenido inconvenientes con el pago que estará por confirmar a las 1pm para liquidar la deuda.  </t>
  </si>
  <si>
    <t xml:space="preserve">Motivo de VLL - Confirmará disponibilidad de dinero / MONTO TOTAL NEGOCIADO: 456 / NOTA: TT CONFIRMARA SI ADELANTA 300 HOY Y DIFERENCIA  DE 156 EL 27 TIENE HIJO MENOR  RECIEN A ENCONTRADO TRABAJO EVENTUAL TIENE INTENSIÓN DE SOLUCIONAR </t>
  </si>
  <si>
    <t>Motivo de VLL - Confirmará disponibilidad de dinero / MONTO TOTAL NEGOCIADO: 547.00 / NOTA: tt se comunico  de otro numero dice que no pudo contactarse  de su otro numero porque ya no lo utiliza y dice   que se le llame  por la ultima cuota que debe   se le dijo que se tiene que elevar una excepcion porque incumplio convenio de pago  queda restante monto de 303 soles dijo que mando a pagar pero al parecer no se realizo  se le dijo que primero se tiene que elevar excepcion ya que su campaña es de 547, confirmara  mañana a mas tardar si puede abonar monto .confirmara si puede reunir efectivo .</t>
  </si>
  <si>
    <t>Motivo de VLL - Confirmará disponibilidad de dinero / MONTO TOTAL NEGOCIADO: 550 / NOTA: TT REALIZA TRABAJOS EVENTUALES. NO PUDO CUMPLIR CON SU PAGO ANTERIORMENTE. CON EL DESCTO TEXTO 80% DESCTO. SUFRIO UN ASALTO. LE LLEGO UN MENSAJE. QUIERE NEGOCIAR CON S/500 SE INDICA QUE MEJORE. INDICA HASTA S/550. SE BRINDA ALTERNATIVAS HASTA FIND E MES PARA QUE COMPLETE LO RESTANTE, NO ACCEDE. SE CONSULTA CON SV . INTERNAMENTE.</t>
  </si>
  <si>
    <t xml:space="preserve">Motivo de VLL - Confirmará disponibilidad de dinero / MONTO TOTAL NEGOCIADO: 694 / NOTA: TT indica que se le llame mañana para confirmar pago S/694, indica que tiene muchos gastos y preocupaciones ya que tiene a su hija mal de salud, pero desea cancelar deuda, se brindo DT:4,536.48 / DK:2,834.84, </t>
  </si>
  <si>
    <t xml:space="preserve">Motivo de VLL - Confirmará disponibilidad de dinero / MONTO TOTAL NEGOCIADO: 730 / NOTA: SE CONVERSA CON LA TT SE LE BRINDA LA CAMPAÑA DE 730 SOLES TT MENCIONA Q ESTA INTERESADA EN LIQUIDAR MENCIONA Q SE LE HABILITE CANCELAR HASTA EL DIA 15/10/2024  </t>
  </si>
  <si>
    <t xml:space="preserve">Motivo de VLL - Confirmará disponibilidad de dinero / MONTO TOTAL NEGOCIADO: 778 / NOTA: DT: S/. 2,316.64 - campaña de 778 , cl menicona que puede hacer el pago el dia de mñana ya que esta viajando para ciudad, cl confrima su pago antes del medio dia. </t>
  </si>
  <si>
    <t xml:space="preserve">Motivo de VLL - Confirmará disponibilidad de dinero / MONTO TOTAL NEGOCIADO: 850 / NOTA: tt tiene una contrapuesta de 400 soles  ya que indica que ella no es responsable </t>
  </si>
  <si>
    <t xml:space="preserve">Motivo de VLL - OTROS: TT INDICA Q AUN TIENE DESCONFIANZA . CONVERSAA CON ALGUIEN Q LA PUEDA ASESORAR Y CONFIRMARA  CAN 1.3K Q MEJORA / MONTO TOTAL NEGOCIADO: </t>
  </si>
  <si>
    <t>Motivo de VLL - OTROS: TT INDICA QUE FALLECIMIENTO DE SU ESPOSO RECIBIRA UN DINERO Y PODRA LIQUIDAR DEUDA. SE NEGOCIA X3800 PERO INDICA QUE LE DARAN 1800 CONTRAPROPUESTA. LO RECIBIRA ENTRE EL SABADO Y DOMINGO. / MONTO TOTAL NEGOCIADO: 1800</t>
  </si>
  <si>
    <t>Motivo de VLL - OTROS: tt pagara 1200 soles en 2 cuotas se maneja con vll hasta el lunes que indica q pagara la primera cuota una vez que pague se sube la excepcion en coordinacion con supervision / MONTO TOTAL NEGOCIADO: 1200</t>
  </si>
  <si>
    <t xml:space="preserve">nc katty trujillo se comunica confirma cancelacion cn 850 soles ,no puede ,asnya q sus paas son mayores  dt 4500 dc 1300, datos del sherk , 55 años 1 entidad no labora sustento de pgo :ya junto dinero cn sus hjos , /inbaus asigando ppr mariangela /cl llamo a cel de mariangela ./ se ingresa compormiso de nuevo con importe de 850 soles </t>
  </si>
  <si>
    <t>negoiacion por diskador / se confirma el monto de los 740 soles para el dia 31/01 / se actuvo la campaña /</t>
  </si>
  <si>
    <t>NO HAY GRABACION FUE POR EL CEL DE MARIANGELA</t>
  </si>
  <si>
    <t>FECHA DE PAGO 27/02</t>
  </si>
  <si>
    <t xml:space="preserve">MONTO EXPERTIS  100 </t>
  </si>
  <si>
    <t>DT 611.07</t>
  </si>
  <si>
    <t xml:space="preserve">55 AÑOS /NO REGISTRA INFORMACION LABORAL/TIENE 2 HERMANOS/NO REGISTRA DEUDAS /REGISTRA 1 VEHICULO </t>
  </si>
  <si>
    <t xml:space="preserve">NO PUDO PAGAR PORQUE SUFRIO DESALOJO DE LA CASA DONDE VIVE, TRABAJABA COMO CONDUCTOR EN JULIACA, "SE OFRCIO EN PAGAR 2500 SOLES" PERO SE REGATIO HASTA 2,000, PAGARA EL DIA 20-12; EL DINERO LO SACARA DE AHORRO; </t>
  </si>
  <si>
    <t>no se genero el pago , ya que tiene lectura de poderes el dia miercoles  , se genera reprogramacion hasta el dia  viernes , ultimo plazo</t>
  </si>
  <si>
    <t xml:space="preserve">NO SE LE INDICA DT: PORQ ELLA NOS INDICA Q TUVO UN ACUERDO CON OH EN EL 2017 AHORA ELLA NOS REPORTE QUE ESTE MES TIENE QUE CANCELAR EL CONVENIO PERO LE FALTA 5 CUOTAS Q SE LE MENCIONA PORQ PAGO INCUMPLIENDO FECHAS DE PAGO . SE LE INDICA Q EL REPORTE FUE DE 2828 Y Q SE LE APROBO EL MONTO DE LOS 1265 PARA QUE CANCELE , DEJO DE PAGAR POR UN MOTIVO DE Q OH LE BLOQUIO LA TARJETA PORQ TUVO DEUDA CON OTRO BANCO YA PAGO Y AHORA QUIERE CANCELAR , PAGARA EL 30 PERO PUEDE ADELANTARLO , SE LE MANDARA CONVENIO DE CANCELACION , SE LE LLAMA POR EL MORADO   </t>
  </si>
  <si>
    <t>No se le pudo mencionar dt, tt apurado (DT:6900)</t>
  </si>
  <si>
    <t>Campaña:730</t>
  </si>
  <si>
    <t>MotivoNoPago: por factor tiempo</t>
  </si>
  <si>
    <t>Edad:29</t>
  </si>
  <si>
    <t>Labor:MULTISERVICIOS PABLO &amp; LUIS ASOCIADOS SOCIDAD ANONIMA CERRADA</t>
  </si>
  <si>
    <t>Sueldo:795</t>
  </si>
  <si>
    <t>NOEMI QUISPE TRIVEÑO MAMA DE TT - POR PROBLEMAS ECONOMICOS, ESTA OFRECIENDO 2800 SIOLES PARA CANCELAR LA DEUDA // SE LE OFRECIO EL MONTO DE LOS 1500 SOLES 15/10 - Y LOS 1500 SOLES 31/10.</t>
  </si>
  <si>
    <t>NOS CMUNCIAMOS CON TT PARA RESPUESTA DE PAGO . SE COMPROMETE.</t>
  </si>
  <si>
    <t>PPC: 500 SOLES // 20/01.</t>
  </si>
  <si>
    <t xml:space="preserve">983642739// NOS COMUNCIAMOS CON TT , SE LE INDICA MONTOS : </t>
  </si>
  <si>
    <t xml:space="preserve">DT: 2 MIL SOLES </t>
  </si>
  <si>
    <t xml:space="preserve">CAMPAÑA: 500 SOLES // </t>
  </si>
  <si>
    <t>NO PAGO : POR PROBLEMAS ECONOMICOS E INCONVENINTES.</t>
  </si>
  <si>
    <t>NO FIGURA REGISTRO .</t>
  </si>
  <si>
    <t xml:space="preserve">ENTIDADES: 1 </t>
  </si>
  <si>
    <t>EDAD: 24 AÑOS.</t>
  </si>
  <si>
    <t xml:space="preserve">NOS COMENTA SI YA ESTA ACTIVO UNA CAMPAÑA PARA CANCELAR CON ESE IMPORTE DE 160 SOLES . SE LE INDICA Q LA CAMPAÑA SOLO ESTA ACTIVO HASTA EL DIA DE HOY , NOS DICE Q LO HARA EN MEDIA HORA. </t>
  </si>
  <si>
    <t>Nos comunicamos con aval , se le indica que realice el pago de s/ 150 el día de hoy para la cancelación total</t>
  </si>
  <si>
    <t xml:space="preserve">Nos comunicamos con aval, se le indica que como mínimo podríamos dejarle a s / 500 para la cancelación total. Acepta propuesta para el día sábado 17/10, solicita que enviemos acuerdo de pago vía whatsapp. </t>
  </si>
  <si>
    <t xml:space="preserve">Nos comunicamos con cuñado de tt 27570487 HUMBERTO VASQUEZ GUEVARA indica que se hará cargo de la deuda. Se le brinda opción de pago mc: s/ 1650 o fraccionar con 12 cuotas de s/ 217. Indica que se acogerá a la campaña de cancelación en 2 partes s/ 800 para el 10/10 y el saldo restangte para el 22/10. Solicita que enviemos acuerdo de pago al whatsapp 932941140. </t>
  </si>
  <si>
    <t>NOS COMUNICAMOS CON DT:  472.00 .... CANCELACION : 280 .. TT CANCELAR CON CAMPAÑA  DE 280.00 SOLES EL DIA 18/11 YA QUE RECIBE DINERO DE SU TRABAJO .</t>
  </si>
  <si>
    <t>Nos comunicamos con el responsable de pago el sr Percy y nos indica que no pudo pagar por que su tarjeta se bloqueo y el dia sabado se estuvo comunicando por whasap y no se le respondio no quiso abonar sin respuesta de uno el dia de ayer no contesto por que le robaron su celular y recien pudo recuperarlo// confirma pago para el dia de mañana 12/02/20</t>
  </si>
  <si>
    <t xml:space="preserve">nos comunicamos con el tt indica que no pago por un un tema de desconfianza nos indica que el dinero lo tiene pero el miercoles 12/02 que se le acaba sus vacaciones y comienza a trabajar  se acercara a la agencia de la av. Peru y averiguara y pagara alli mismo los 1400 soles se le reprograma fecha de pago para el 12/02 // todo por whasap </t>
  </si>
  <si>
    <t xml:space="preserve">Nos comunicamos con el tt indicandole el abono de los 500 soles a fines de mes se le enviara cuenta y se le indica de la penalidad llamada se realizo por el discador numero fijo y se cierra el compromiso por el celular que nos otorgo el cliente </t>
  </si>
  <si>
    <t xml:space="preserve">NOS COMUNICAMOS CON EL TT Y NOS INDICA QUE TUBO UN PROBLEMA Y QUE ESTARIA EFECTUANDO EL PAGO EL DIA 30 DE ENERO POR QUE ESTA DE VIAJE NOS INDICA QUE SIN FALTA SE ESTARIA ABONANDO LOS 600 INDICADOS </t>
  </si>
  <si>
    <t xml:space="preserve">NOS COMUNICAMOS CON ELL POR MENSAJE DE WHATSSAP Y NOS DICE QUE LO REALIZARA EL SABADO EL IMPORTE QUE LE FALTA YA Q ELLA FUE A LA MISMA FINANCIERA CON EL IMPORTE DE 1050 Y NOS DICE Q NO LE RECIBIERON CREDINKA Y POR ESO LE HICIERON PAGAR LA DIFERENCIA . </t>
  </si>
  <si>
    <t xml:space="preserve">Nos comunicamos con encargada , se acoge a cancelación con el importe de s/1500 para el día de mañana 29/01 a la 1 pm. </t>
  </si>
  <si>
    <t xml:space="preserve">Nos comunicamos con encargada Sra. Agustina Abarca, indica que ella es la encargada de los pagos y solicita info. Se le indica dt: 7802.13 , fraccionar en 12 cuotas de s/ 616 o cancelar con el importe de s/ 4200. Indica que cuenta con s/ 3,300 y que conseguirá el saldo restante para el viernes. Se compromete a realizar cancelación con el importe de s/ 4200 para el viernes 16/10.   </t>
  </si>
  <si>
    <t xml:space="preserve">Nos comunicamos con encargada sra. alicia , se aprueba contrapropuesta para realizar cancelación con el importe de s/ 10,000.00 solo por el día de hoy 03/12 (excepción aprobada por nathaly). Indica que viajará para poder realizar el pago y que lo realizará antes del medio día. Se envía acuerdo de cancelación vía Whatsapp. </t>
  </si>
  <si>
    <t xml:space="preserve">Nos comunicamos con encargada, indica que podrá acceder a la campaña de s/ 500 el día de hoy. Realizará el pago en el rango de 3 - 4 pm.  </t>
  </si>
  <si>
    <t xml:space="preserve">Nos comunicamos con encargada, indica que realizará el pago de s/5200 para la cancelación total el día de hoy 14/07. Posterior a ello se le indica que enviaremos la carta de no adeudo y la cesión de derechos; ya que desea realizar el levantamiento de embargo. </t>
  </si>
  <si>
    <t>Nos comunicamos con encargado Sr. Humberto , confirma abono de s/ 450 para el día 23/11.</t>
  </si>
  <si>
    <t xml:space="preserve">Nos comunicamos con encargado, indica que pudo conseguir los s/ 2000 y realizará el pago el día de mañana 30/09 en la mañana. Solicit que enviemos acuerdo de pago vía whatsapp. </t>
  </si>
  <si>
    <t xml:space="preserve">Nos comunicamos con encargado, se indica que aceptamos la propuesta de cancelación con el importe de s/ 1400. Realizará el pago el día de mañana 14/11. </t>
  </si>
  <si>
    <t xml:space="preserve">Nos comunicamos con esposa de titular, se le brinda info dt: s/ 951.34 , dk: s/ 692.83, mc: s/ 456. Indica que realizará el pago el día de hoy 29/01, solicita que enviemos número de cuenta vía whatsapp. </t>
  </si>
  <si>
    <t xml:space="preserve">Nos comunicamos con esposa de tt Sra patricia, se le indica que cuenta con campaña de s/ 250 para la cancelación total. Indica que realizará pago el lunes 25/01. Solicita que enviemos número de cuenta vía whatsapp. </t>
  </si>
  <si>
    <t xml:space="preserve">Nos comunicamos con esposa de tt Sra. América, se le brinda info dk: s/ 4,151.84, mc: s/ 2200. Indica que solo dispone de s/ 2000 para cancelar el día de hoy, se le indca que como mínimo le podríamos dejar el importe de s/ 2,085. Cliente realizará cancelación el día de hoy 10/11. </t>
  </si>
  <si>
    <t xml:space="preserve">Nos comunicamos con esposa de tt, se le indica que como mínimo le podríamos dar la campaña de s/650 para cancelar. Realizará pago el día de hoy 28/10, solicita que nos comuniquemos en una hora para validarlo. </t>
  </si>
  <si>
    <t xml:space="preserve">Nos comunicamos con esposa, indica que el telf de tt sigue averiado pero que con seguridad realizarán el pago el día de mañana 05/11. Realizarán el pago de s/ 2,424.00 , se dvll para validarlo al medio día. </t>
  </si>
  <si>
    <t xml:space="preserve">Nos comunicamos con esposo de titular rosalio huamani, indica que se mudará del pueblo de donde está con su esposa y antes de irse desean cancelar su deuda. Se le brinda importe de s/ 1250, indica que realizarán el pago el día de hoy 04/01 a las 3 pm aprox. Devolverán la llamada para activar la campaña. </t>
  </si>
  <si>
    <t>Nos comunicamos con familiar Sr. Fredy Meza Condori, se le brinda info: dt s/ 6,312.90. Se le brindan 2 opciones de pago:</t>
  </si>
  <si>
    <t>1) fraccionar la deuda total en 12 cuotas de s/ 526</t>
  </si>
  <si>
    <t>2) cancelar con el importe de s/ 3,200.00.</t>
  </si>
  <si>
    <t xml:space="preserve">Indica que accederá a la cancelación para el día viernes 15 , solicita que enviemos acuerdo de pago. Nos enviará correo por sms. </t>
  </si>
  <si>
    <t xml:space="preserve">Nos comunicamos con hermana de tt Sra. Rocío Gomez Gabriel, se le brinda info mc: 400. Indica que realizará cancelación el día lunes 09/11. Se enviará número de cuenta vía whatsapp. </t>
  </si>
  <si>
    <t xml:space="preserve">Nos comunicamos con hija de titular rosaura arevalo, indica que realizarán cancelación con el importe de s/ 176 el día de mañana 30/12. Solicita que enviemos número de cuenta vía whatsapp. </t>
  </si>
  <si>
    <t xml:space="preserve">Nos comunicamos con hija de titular, indica que tt es alcohólico y que en estos momentos no tiene la capacidad de asumir la deuda. Se le brinda mc: 114, accederá a realizar el pago el día de hoy a las 3 pm. </t>
  </si>
  <si>
    <t>Nos comunicamos con hijo de titular, se le indica que el importe mínimo que le podríamos brindar es de s/ 950. Restaría cancelar el importe de s/900 ya que el mes anterior abonó s/50. Realizará pago el día 10/10.</t>
  </si>
  <si>
    <t>NOS COMUNICAMOS CON HIJO DE TT QUIEN ASUMIRA LA DEUDA , YA QUE INDICA QUE LA QUE GASTO EL DINERO FUE SU HERMANA Y TRATARA DE AYUDARLA PARA SALIR DEL PROBLEMA.. CANCELARA CON EL IMPORTE DE 4 MIL SOLES (EXCEPCION APROBADA POR MARIANGELA)</t>
  </si>
  <si>
    <t xml:space="preserve">Nos comunicamos con hijo Jose encargado de pago y se llego a la consiliacion  de pago de los 1500 soles para el dia 29/02 // excepcion aprobada por Julio </t>
  </si>
  <si>
    <t xml:space="preserve">NOS COMUNICAMOS CON LA SEÑORA MERLI SE LE MENCIONA Q ES LA ULTIMA OPORTUNIDAD DE LA CANCELACION CON EL IMPORTE EN EXCEPCION NOS DICE Q ESTA EN TRUJILLO CARGANDO LOS PRODUCTOS DE VENTA , MAÑANA VA A PAGAR LOS 500 A ESO DE LAS 3:00 DE LA TARDE Y LA DIFERENCIA LO PAGARA EL DIA 13/01. SE LE MANDARA LA DOCUMENTACION DE LA CANCELACION . </t>
  </si>
  <si>
    <t xml:space="preserve">nos comunicamos con la tt indica que tubo problemas con el pago pero hoy a mas tardar le pagaran hoy ya le confirmaron por eso nos abonara el dia de mañana necesita se le envie el acuerdo de cancelacion </t>
  </si>
  <si>
    <t xml:space="preserve">Nos comunicamos con titular e indicamos que se aprueba el importe de s/2500 para realizar cancelación. Realizará el pago el día miercoles 23/09. Actualiza sus datos y brinda correo electrónico: megametal_04@hotmail.com. Menciona que el día 23 estará con esa numeración. </t>
  </si>
  <si>
    <t xml:space="preserve">Nos comunicamos con titular, accederá a cancelación con el importe de sw/ 2,200 el día de hoy 16/01. Se enviará compromiso de pago.   </t>
  </si>
  <si>
    <t xml:space="preserve">Nos comunicamos con titular, confirma pago de s/ 1400 el día de hoy. Realizará el pago en una hora. Se envía sms con informació. </t>
  </si>
  <si>
    <t>Nos comunicamos con titular, indica que accederá a la campaña de s/ 600 para el 22/09. Brinda correo electrónico: alondrajcb@gmail.com.</t>
  </si>
  <si>
    <t xml:space="preserve">Nos comunicamos con titular, indica que actualmente se encuentra laborando pero percibe un sueldo mínimo y que el préstamo fue para un tercero pero ella asumirá la deuda. Se compromete a realizar la cancelación con el importe de s/ 1000 brindando un adelanto de s/ 50 el día viernes 08. </t>
  </si>
  <si>
    <t xml:space="preserve">Nos comunicamos con titular, indica que como máximo podrá cancelar con el importe de s/350. Se acepta propuesta para el día de hoy 31/12. </t>
  </si>
  <si>
    <t xml:space="preserve">Nos comunicamos con titular, indica que dejó de pagar porque se separó de su esposo y tiene 3 hijos menores de edad. Se le brinda info dt: s/ 13,077.70 , cancelar con el importe de s/7000. Titular indica que realizará cancelación con la campaña para el día miercoles 30/09.  </t>
  </si>
  <si>
    <t xml:space="preserve">Nos comunicamos con titular, indica que el día de ayer tuvo una intervención policial y por ese motivo no pudo realizar el pago. Indica que lo realizará sin falta el día de hoy al medio día. </t>
  </si>
  <si>
    <t xml:space="preserve">Nos comunicamos con titular, indica que ha evaluado las alternativas y que se acogerá a la campaña de cancelación por el importe de s/ 2800. Realizará el pago a las 4pm. </t>
  </si>
  <si>
    <t xml:space="preserve">Nos comunicamos con titular, indica que le brindarán el préstamo pero solicita que le brindemos plazo hasta fin de mes para que lo pueda conseguir. Se indica que si incumple nuevamente perderá la campaña, se programa pago hasta el 29/01 como máximo. </t>
  </si>
  <si>
    <t xml:space="preserve">Nos comunicamos con titular, indica que no pudo realizar el pago porque se encuentra en un lugar alejado de Arequipa donde no hay agentes. Realizará el pago el 23/12 ya que en esa fecha retornará a la ciudad, solicita que lo llamemos al: 951655469. </t>
  </si>
  <si>
    <t xml:space="preserve">Nos comunicamos con titular, indica que no tenía conocimiento sobre la deuda ya que fue para un tercero. Se le brinda info dt: s/5267.11 mc: s/2200. Indica que un tercero le prestará el dinero para cancelar el día de hoy, realizará pago a las 4pm.  </t>
  </si>
  <si>
    <t xml:space="preserve">Nos comunicamos con titular, indica que pudo conseguir el dinero y que realizará el pago de s/1500 el día de mañana 30/09. </t>
  </si>
  <si>
    <t xml:space="preserve">Nos comunicamos con titular, indica que realizará el pago de s/1000 el día de mañana 24/09. </t>
  </si>
  <si>
    <t xml:space="preserve">Nos comunicamos con titular, indica que realizó el pago de s/ 2500 en el bcp. Enviará voucher. </t>
  </si>
  <si>
    <t xml:space="preserve">Nos comunicamos con titular, indica que recibió el compromiso de pago y que realizará el pago de s/ 2500 el día lunes 30/11 en el transcurso de la tarde. </t>
  </si>
  <si>
    <t xml:space="preserve">Nos comunicamos con titular, indica que se acercó a la financiera y le indicaron que debía un saldo mínimo. Se le indica que es un importe de s/ 50 para cancelar la deuda, lo realizará el día 30/10. </t>
  </si>
  <si>
    <t xml:space="preserve">Nos comunicamos con titular, indica que se acogerá a la campaña de s/ 1600 el día de hoy 20/01. Solicita que le enviemos acuerdo de pago vía whatsapp. </t>
  </si>
  <si>
    <t xml:space="preserve">Nos comunicamos con titular, indica que se acogerá a la campaña de s/ 200 para el día de hoy 20/01. Solicita que enviemos número de cuenta vía whatsapp. </t>
  </si>
  <si>
    <t xml:space="preserve">Nos comunicamos con titular, indica que se atrasó con sus pagos por pagar otra deuda (crediscotia) y menciona que desea cancelar para poder restablecerse en las entidades financieras. Se le brinda campaña de s/ 350 para cancelar, acepta realizar pago para el día 27/11. </t>
  </si>
  <si>
    <t xml:space="preserve">Nos comunicamos con titular, indica que su hermana no pudo realizar el pago porque no le abonaron su sueldo completo. Solicita que le brindemos plazo hasta el 29/12. Menciona que si reunen el dinero antes de la fecha se comunicarán, se solicita que brinde adelanto. </t>
  </si>
  <si>
    <t xml:space="preserve">Nos comunicamos con titular, se indica que aceptamos la propuesta para que cancele con s/ 400 el día de mañana 08/12.   </t>
  </si>
  <si>
    <t xml:space="preserve">Nos comunicamos con titular, se indica que el monto mínimo es de s/ 1,150. Realizará el pago el día de mañana 30/12 a las 10 am. Solicita que enviemos compromiso de pago vía whatsapp. </t>
  </si>
  <si>
    <t xml:space="preserve">Nos comunicamos con titular, se indica que si puede acceder a la campaña de s/ 4753 para realizar la cancelación total. Indica que realizará el pago con sus ahorros el día 20/11. Solicita que enviemos acuerdo de pago vía whatsapp al número 938512555.    </t>
  </si>
  <si>
    <t xml:space="preserve">Nos comunicamos con titular, se inorma que excepción fue aprobada. Realizará el pago de la primera armada el día miercoles 09 y el saldo restante el 31/12. Se envía acuerdo de pago vía whatsapp. </t>
  </si>
  <si>
    <t xml:space="preserve">Nos comunicamos con titular, se le brinda info : dt: s/ 274.98 , mc: s/ 150. Indica que realizará cancelación el día de hoy 18/12, solicita que enviemos info vía whatsapp. </t>
  </si>
  <si>
    <t xml:space="preserve">Nos comunicamos con titular, se le brinda info dt: s/ 1,567.78 , mc: s/500. Cliente realizará la cancelación el día de hoy, solicita que enviemos número de cuenta vía whatsapp . </t>
  </si>
  <si>
    <t xml:space="preserve">Nos comunicamos con titular, se le brinda info dt: s/ 480, mc: s/ 390. Titular tenía el conocimiento de su saldo capital y se acogerá a la campaña de cancelación para el día de hoy 26/11. Se envía número de cuenta vía whatsapp </t>
  </si>
  <si>
    <t xml:space="preserve">Nos comunicamos con titular, se le brinda info dt: s/ 828.80, mc: s/ 400. Indica que realizará cancelación con el importe de s/ 400 el día 30/10. Menciona que probablemente podrá realizar el día 28 o 29 , se dvll en esas fechas. </t>
  </si>
  <si>
    <t xml:space="preserve">Nos comunicamos con titular, se le brinda info mc: 1000 o fraccionar en 6 cuotas de s/ 260. Indica que desea acceder a la cancelación el día de mañana 28/10 , solicita que enviemos número de cuenta por sms. </t>
  </si>
  <si>
    <t xml:space="preserve">Nos comunicamos con titular, se le brinda info mc: 500 o fraccionar en 3 cuotas de s/216. Cliente interesado en la campaña de cancelación indica que puede realizar pago el día de mañana 23/09. Solicita que enviemos acuerdo de pago vía whatsapp. </t>
  </si>
  <si>
    <t xml:space="preserve">Nos comunicamos con titular, se le brinda info: mc:1200 o fraccionar con 06 cuotas de s/ 260. Indica poder realizar cancelación ya que en estos meses ha estado ahorrando. Solicita que programemos el pago para el día lunes y que nos comuniquemos al siguiente número: 957739458  </t>
  </si>
  <si>
    <t xml:space="preserve">Nos comunicamos con titular, se le brinda información de la deuda. Dt: s/ 2,553.94 , dk: s/ 1,073.18 y mc: s/700.. Indica que accederá a la campaña de cancelación el día de hoy 30/12. </t>
  </si>
  <si>
    <t xml:space="preserve">Nos comunicamos con titular, se le brinda la información dt: s/ 1,690, dk: s/ 1,118 mc: s/890. Solicita poder acogerse a la campaña de cancelación el día de mañana 06/01. Indica que lo realizará saliendo de su trabajo a las 12:30 pm. </t>
  </si>
  <si>
    <t xml:space="preserve">Nos comunicamos con titular, se le brinda mc: 1100. Indica que accederá para el día de mañana. </t>
  </si>
  <si>
    <t xml:space="preserve">Nos comunicamos con titular, se le indica la campaña de s/ 633 para la cancelación. Realizará pago el día de hoy al medio día. Se dvll para validar el pago. </t>
  </si>
  <si>
    <t xml:space="preserve">Nos comunicamos con titular, se le indica que aceptamos el importe de s/ 400 para el día lunes 14/12 como máximo. Solicita que enviemos info vía whatsapp. </t>
  </si>
  <si>
    <t xml:space="preserve">Nos comunicamos con titular, se le indica que como mínimo le podríamos dar el monto de s/ 400. Acepta propuesta , indica que lo realizará para el lunes 25/01. Se enviará compromiso de pago vía whatsapp. </t>
  </si>
  <si>
    <t xml:space="preserve">Nos comunicamos con titular, se le indica que el importe capital es de s/ 240. Se acogerá a campaña para cancelarla el día de hoy. (cliente realizará levantamiento de hipoteca). </t>
  </si>
  <si>
    <t xml:space="preserve">Nos comunicamos con titular, se le indica que el importe mínimo para cancelar es de s/350. Indica que realizará el pago el día 28/10 ya que tiene que viajar para poder realizar el pago, se le da opción de cancelar en otros bancos pero se niega ya que anteriormente fue estafada por asesores. Se le explica proceso de pago y se le indica que enviaremos acuerdo de pago por whatsapp. </t>
  </si>
  <si>
    <t xml:space="preserve">Nos comunicamos con titular, se le indica que la solicitud de s/ 900 ha sido aprobada. Realizará el pago el día de hoy a las 3pm , se envía número de cuenta de interbank vía whatsapp. </t>
  </si>
  <si>
    <t xml:space="preserve">Nos comunicamos con titular, se le indica que se brindará la campaña de s/184 para la cancelación. Realizará el pago el día de hoy 14/09. </t>
  </si>
  <si>
    <t xml:space="preserve">Nos comunicamos con tt , se acoge a campaña por el importe de s/ 4200 hasta el 28/02. Realizará abono el lunes 17/02, nos confirmará el importe el día viernes. </t>
  </si>
  <si>
    <t xml:space="preserve">NOS COMUNICAMOS CON TT INDICA QUE LO REGRESARON DE A SU CASA PERO QUE EL DIA SABADO ESTARA EFECTUANDO EL ABONO POR QUE HABRA MAS TRANSITO Y PODRA REALIZAR EL PAGO SE LE INDICA SE LE ENVIARA CUENTA BCP para QUE LO PUEDA REALIZAR POR ESE MEDIO </t>
  </si>
  <si>
    <t xml:space="preserve">NOS COMUNICAMOS CON TT PARA CONFIRMAR EXCEPCION APROBADA POR LOS 1000 SOLES 500 PARA EL DIA DE HOY 500 PARA EL LUNES SE LE ENVIE MENSAJE PARA CONFIRMACION </t>
  </si>
  <si>
    <t xml:space="preserve">nos comunicamos con tt para indicarle la aprobacion de su excepcion indica vendra a ofina antes del medio dia se converso con mariangela y se esperara en oficina </t>
  </si>
  <si>
    <t>NOS COMUNICAMOS CON TT QUIEN INDICA QUE EL SE ENCUENTRA EN EL CUZCO Y QUE ENVIARA A SU MAMA PARA QUE PUEDA PAGAR LA DEUDA PENDIENTE.. QUE SMPROMETE PARA EL DIA DE HOY.</t>
  </si>
  <si>
    <t xml:space="preserve">NOS COMUNICAMOS CON TT, CONFIRMA PAGO PARA EL DIA DE MAÑANA POR LA TARDE.. INDICO QUE SI CONTABA CON EL DINERO PERO QUE NO PODIA HABLAR YA QUE ESTABA EN UNA REUNION. </t>
  </si>
  <si>
    <t>nos comunicamos con tt, indica que aun no puede viajar al cusco ya que ahi cuenta con el dinero, solicita que se le de la prorroga hasta el dia 30/04/2020 se acepta solicita numero de cuenta en credinka ya que encontro un agente donde ella esta. brinda correo anamariavargascordovaz@gmail.com</t>
  </si>
  <si>
    <t xml:space="preserve">Nos comunicamos con tt, indica que ya visualizó el acuerdo y que realizará el pago el día de mañana 18/06. </t>
  </si>
  <si>
    <t xml:space="preserve">Nos comunicamos con tt, menciona que hace 6 meses caja los andes le brinda campaña de s/ 1600 para cancelar. Indica que ha podido conseguir hasta s/ 1990, se solicita como última alternativa s/ 1995 y acepta propuesta. Solicita que enviemos compromiso de pago vía whatsapp. </t>
  </si>
  <si>
    <t xml:space="preserve">Nos comunicamos con tt, se le brinda info: dt: s/ 2,111.77, dk: s/ 1,476.00 fraccionado en 6 cuotas de s/ 246 o cancelar con s/1000. Titular indica que accederá a cancelación para el día viernes 13 , solicita que enviemos núm de oficinas por sms. </t>
  </si>
  <si>
    <t xml:space="preserve">Nos comunicamos con tt, se le indica que aprobamos el importe de s/ 2050 para la cancelación total. Brindará adelanto de s/ 1000 el 16/03 y el saldo restante hasta el 31/03. Se enviará sms con número de cuenta. </t>
  </si>
  <si>
    <t>Nos comunicamos con tt, se le indica que su excepción se aprobó para el día de mañana o miercoles en la mañana como máximo para realizar la cancelación con el importe de s/ 2500. Enviará correo para enviar el acuerdo de pago.</t>
  </si>
  <si>
    <t xml:space="preserve">nos comunicamos contt se le brnda montos&gt; DT&gt; 3,821.00 soles .. campaña. 1,800 soles//  tt se acoge a camapaña y realizara cancelacion de la deuda hoy 26/12 con 1,800 soles // </t>
  </si>
  <si>
    <t xml:space="preserve">nos confirma el pago para el dia de hoy mediante transferencia BCP / </t>
  </si>
  <si>
    <t xml:space="preserve">nos confirma la cancelacion para el dia 28 por el monto de 7500/  </t>
  </si>
  <si>
    <t>nos contactamos con la pareja el señor brayan y nos dice q va a pagar hoy siquiera 50 soles y la diferencia lo hara mañana 550 .</t>
  </si>
  <si>
    <t xml:space="preserve">nos dice el hermano q estuvo de viaje y q nos dice q este fin recibe una plaa y q va a ver si lo cancela. lo restante . </t>
  </si>
  <si>
    <t xml:space="preserve">NOS DICE EL SEÑOR KEVIN Q EL SABADO VA A PAGAR LOS 900 PARA ÑA CANCELACION . </t>
  </si>
  <si>
    <t xml:space="preserve">NOS DICE Q NOS CONTRAPROPONE EL IMPORTE DE 1382 Y ES LO Q TIENE EN MANO PARA CANCELAR LA DEUDA A LA TOTALIDAD . PARA HOY </t>
  </si>
  <si>
    <t xml:space="preserve">NOS DICE Q POR UN TEMA DE FAMILIAR DEJO DE PEGAR PERO QUE ESTE MES VA A PAGAR . </t>
  </si>
  <si>
    <t xml:space="preserve">nos escribio por whatsapp informando que el dia de mañana no podra hacer el pago ya que su prestamo se lo daran el dia lunes y ese mismo dia con confianza realizara el pago. </t>
  </si>
  <si>
    <t xml:space="preserve">NOS INDICA Q A LAS 3 ESTARIA YENDO A LA FINANCIERA PARA Q CANCELE EM IMPORTE DICE Q ESTA DEJANDO TODO EN LA OBRA . </t>
  </si>
  <si>
    <t xml:space="preserve">NOS INDICA Q CON ESE IMPORTE YA ESTARIA LIQUIDANDO. </t>
  </si>
  <si>
    <t xml:space="preserve">nos indica q el dia 30 esta cancelando porq su hermano hoy o mañana le esta dando el dinero </t>
  </si>
  <si>
    <t xml:space="preserve"> para q cancele </t>
  </si>
  <si>
    <t xml:space="preserve">nos indica q pagara este fin de mes porq le van a pagar en el trabajo q si va a pagar . </t>
  </si>
  <si>
    <t>NOS INDICA Q YA REALIZO EL PRIMER PAGO Y Q LE FALTA LA DIFERENCIA DE 500 SOLES Y SU CORREO:ISSE.0610@GMAIL.COM  , VA A TRATAR DE ADELANTAR EL PAGO.</t>
  </si>
  <si>
    <t xml:space="preserve">NOS INDICA QUE POR UN TEMA DE SALUD NO PUDO REALIZAR EL PAGO QUE EL DIA LUNES A MAS TARDAR IRA A SER EL PAGO DE LA CAMPAÑA DE 800 SOLES . </t>
  </si>
  <si>
    <t xml:space="preserve">NUEVAMENTE SE FUE LA  FICHA FALTABAN   MAS DE 30 SEGUNDOS ......TT TUBO UN ACCIDENTE , POR ESO SE ATRAZO , AHORA SE DEDICA A LA FRUTA  EL DINERO SACARA DE LA VENTA DE FRUTA , ACUERD 1700,  TIENEN INTERES DE PAGO , TIENE 53 AÑOS , UNICA DEUDA VERIF EN SEARCH . CANCELARA EL 31 /01  MONTO 1700 SOLES </t>
  </si>
  <si>
    <t xml:space="preserve">NUMERO DE HIJO DE TITULAR //931947946 LUIS MORILLOS HIJO SE HACE CARGO DT: 600 CAMPAÑA :350 EL DIA 10 DE ENERO VIAJARA PARA UN TRABAJO PERO ADELANTA ESE DIA 50 SOLES LO RESTANTE HASTA FIN DE MES </t>
  </si>
  <si>
    <t>NUNCA USO LA TARJETA , ACTUALMENTE TRABAJA TENCICO DENTAL , Y EL DINERO DE SU SUELDO LO PAGARA , NO LO PAGO POR QUE NO SABIA QUE LE COBRABAN MANTENIEMIENTO</t>
  </si>
  <si>
    <t xml:space="preserve">DK 60 </t>
  </si>
  <si>
    <t>DC 20</t>
  </si>
  <si>
    <t xml:space="preserve">ORTENCIA  DAVILA  CASTRO  // ESPOSA // Y  TT SE COMUNICAN QUE QUIEREN CANCELAR LA DEUDA // PAGARAN EN LA MISMA CAJA AREQUIPA  // DE NO CANCELAR SE LE COBRARA LA TOTALIDAD // AUDIO NARANJA  .  </t>
  </si>
  <si>
    <t>P GESTION</t>
  </si>
  <si>
    <t xml:space="preserve">PABLO FERNANDEZ GONZAGLEZ - 40294939 ENCARAGDO DE LA DEUDA//  DT: 22 MIL SOLES / CAMPAÑA: 10 MIL SOLES // NEGOCIO EN FRACASO CULTIVO PAAPA CAMOTE // EL DINERO DE LA CANCELACION ES DE UN AHORRO // EL HIJO ESTA VIAJANDO DE AREQUIPA A OTRA CIUDAD// EDAD: 66 AÑOS / DEUDAS: NINGUNA DEUDA EN EL SEARCH / HIJOS NO SE VE / </t>
  </si>
  <si>
    <t xml:space="preserve">PADRE DE TT VIVIANO SALVADOR /INDICA QUE REALIZARA PAGO A FIN DE MES </t>
  </si>
  <si>
    <t>PAGA 200 SOLES EL DIA MARTES 05/09/19 Y LOS 200 EL DIA 10/09/19 EXCEPCION APROVADO POR MARIANGELA</t>
  </si>
  <si>
    <t xml:space="preserve">PAGA EL 06/09 </t>
  </si>
  <si>
    <t>PAGARA 180 PPC 4PM</t>
  </si>
  <si>
    <t>PAGARA 200 PPC 12PM</t>
  </si>
  <si>
    <t xml:space="preserve">Pagara 250 soles para la cancelacion, 21/01. el dinerose  lo sacara de su sueldo. se le menciona penalidad y que la inf se la envio por mensaje de texto. </t>
  </si>
  <si>
    <t xml:space="preserve">pagara 320 soles ppc--  generara la cancelacion total// </t>
  </si>
  <si>
    <t xml:space="preserve">pagara 487 soles 26/12 ( el cliente se comunico con mayra llimpe por el correo enviado y pagara ese importe) </t>
  </si>
  <si>
    <t xml:space="preserve">PAGARA 75 SOLES </t>
  </si>
  <si>
    <t>pagara 850 el dia lunes 16-12, el dinero para el pago se emprestará de familiares, 972533217 (se me fue discador) (compromiso por discador)</t>
  </si>
  <si>
    <t>PAGARA EL 17 DE FEBRRO VIA INTERBANK , S EENVIA INFO VIA WSP , SMS</t>
  </si>
  <si>
    <t xml:space="preserve">DC 700 </t>
  </si>
  <si>
    <t>CONTRAPROPUESTA 500 SOLES</t>
  </si>
  <si>
    <t xml:space="preserve">SE MEJORA A 550 </t>
  </si>
  <si>
    <t xml:space="preserve">TT NO CANCELO LA DUDA , POR QUEN EL PRESTAMO FUE PARA UNA AMIGA LA CUAL LE INCUMPLIO , ACTUALMENTE TIENE UN NEGOCIO DE VENTA DE AGUA POTABLE , TIENE LA NECESIDAD DE LIQUIDAR SUDEUDA PRO QUE QUIERE PONER UN NEGOCIA MAS GRANDE , TT SACARA EL DINERO DE SU NEGOCIO DE VENTA , TIENE 2 HIJOS , RECIBE UNA PENSION DE ALIMENTOS DE PARTE DEL PADRE, </t>
  </si>
  <si>
    <t>SERCH 39 AÑOS</t>
  </si>
  <si>
    <t>ATRASO</t>
  </si>
  <si>
    <t>EMPRESA FINANCIERA CREDITOS AREQUIPA S A - FINANCIERA CREAR -  PERDIDA</t>
  </si>
  <si>
    <t>LLAMA MANUAL</t>
  </si>
  <si>
    <t>IMBOUND OTORGADO POR JULIO</t>
  </si>
  <si>
    <t>PAGARA EL 28 DE FEBRRO VIA INTERBANK , S EENVIA INFO VIA WSP</t>
  </si>
  <si>
    <t xml:space="preserve">Pagará el monto de 37,000 soles. </t>
  </si>
  <si>
    <t xml:space="preserve">Pagará hoy </t>
  </si>
  <si>
    <t>PAGARA MARTES 18</t>
  </si>
  <si>
    <t>DT 1900</t>
  </si>
  <si>
    <t xml:space="preserve"> PRESTAMO FUE PARA COMPRAR UNAS COSAS PERO AL FINAL LO EMPLEO EN EL COLEGIO DE SUS HIJOS , 4 HIJOS , TRABAJA INDEPENDIENTE , PAGARA CON EL TIPODE  TRABAJO QUE TIENE</t>
  </si>
  <si>
    <t>EDAD 46 AÑOS</t>
  </si>
  <si>
    <t>SIN DEUDAS</t>
  </si>
  <si>
    <t>PAGARA MIERCOLES 19</t>
  </si>
  <si>
    <t>DT 410</t>
  </si>
  <si>
    <t>TRABAJA TAXI , TUVO UN ACCIDENTE POR ESO NO PAGO LA DEUDA,PAGARA CON EL DINERO DE SU TRABAJO , SIN HIJOS , SOLO CONVIVIENTE</t>
  </si>
  <si>
    <t>SERCH SIN DEDUDAS CON OTRAS ENTIDADES</t>
  </si>
  <si>
    <t>40 AÑOS</t>
  </si>
  <si>
    <t>Pagará por agencia</t>
  </si>
  <si>
    <t>PAGARA S/250 SOLES CON EXCEPCION EN BCP POR TRANSFERENCIA EL 23-05 SOLICITA ACUERDO DE CANCELACION.</t>
  </si>
  <si>
    <t>NO PAGO: TEMAS ECONOMICOS, Y CUARENTENA</t>
  </si>
  <si>
    <t>SUSTENTO: DINERO LO SACA DE SU TRABAJO Y DE UN PRESTAMO DE UN FAMILIAR</t>
  </si>
  <si>
    <t xml:space="preserve">SEARCH: LA DEUDA QUE TENIA CON FINANCIETA OH YA LO PAGO. </t>
  </si>
  <si>
    <t>PAGARA TT UNA DELANTO DE 50 SOLES EL MARTES 11 Y EL DIA 28 DE FEBRERO POR 270 EN TOTAL 320</t>
  </si>
  <si>
    <t>VALENCIA ALBILDO ELSY MARIBEL</t>
  </si>
  <si>
    <t>DC 320</t>
  </si>
  <si>
    <t xml:space="preserve">SE ENFERMO SU HIJA , TRABAJA SEMANAL , EL PRESTAMO FUE PARA OTRA PERSONA  NO LE CUMPLIO, PAGARIA CON SUS PAGOS SEMANAL DE LA CHACRA , MADRE SOLTERA DE 2 HIJOS MENORES . </t>
  </si>
  <si>
    <t>SERCH 38 AÑOS</t>
  </si>
  <si>
    <t>DEUDAS EN PERDIDA</t>
  </si>
  <si>
    <t>CAJA RURAL DE AHORRO Y CREDITO CHAVIN S.A</t>
  </si>
  <si>
    <t>BANCO AZTECA</t>
  </si>
  <si>
    <t>SE CIERRA LA FICHA DONDE ESTA LA NEGOCIACION Y PRIMER CONTACTO - CIERRE DE NEGOCIACION MANUAL</t>
  </si>
  <si>
    <t xml:space="preserve">PAGARA ULTIMA CUOTA 30/09 </t>
  </si>
  <si>
    <t>Pagará última cuota de 25,000 soles a fines de mes.</t>
  </si>
  <si>
    <t>PAGARA28 FEBRERO</t>
  </si>
  <si>
    <t>HIJA  MARIA GALLARDO -RESPONSABLE DE PAGO</t>
  </si>
  <si>
    <t>TAPIA GALLARDO EMERITA</t>
  </si>
  <si>
    <t>DT 9500</t>
  </si>
  <si>
    <t>DC 3000</t>
  </si>
  <si>
    <t>PAGARA</t>
  </si>
  <si>
    <t>500 SOLES = 15 FEBRERO</t>
  </si>
  <si>
    <t>2500 SOLES = 28 FEBRERO</t>
  </si>
  <si>
    <t xml:space="preserve">HIJA INDICA QUE SU MAMA EST DELICADA DE SALUD - SE AH OPERADO , SRA MARIA INDIVCA QUE SUS HIJOS SE HARAN CARGO DE LA DEUDA , NO TRABAJA SOLO SE DEDICA A CUIDAR A SU MADRE , </t>
  </si>
  <si>
    <t>SERCH  EDAD 65 AÑOS</t>
  </si>
  <si>
    <t>SIN REGITRO DE TRABAJO</t>
  </si>
  <si>
    <t>SIN DEDUDAS CON OTROS BANCOS</t>
  </si>
  <si>
    <t xml:space="preserve">PAGO  ESTA PROGRAMADO PARA EL DIA 12/03 SEGUN EL AUDIO DEL DIA 10/03 , SE ESTA GENERANDO COMPROMISO POR SALDO RESTANTE  , </t>
  </si>
  <si>
    <t xml:space="preserve">PAGO DE CANCELACION </t>
  </si>
  <si>
    <t xml:space="preserve">PAGO HOY EL IMPORTE DE s/.678 </t>
  </si>
  <si>
    <t>Par de 1000 para 14/09 se esta negociando en base a 4500</t>
  </si>
  <si>
    <t>PAR DE 80 /RESTANTE FIN DE MES 400 (PPC)</t>
  </si>
  <si>
    <t xml:space="preserve">PCC: 400 </t>
  </si>
  <si>
    <t>IND HOY PAGARA / 400  EXCEPCION APROVADO</t>
  </si>
  <si>
    <t>SMS CAMPAÑA ENVIADO</t>
  </si>
  <si>
    <t>PDP ASIGNADA</t>
  </si>
  <si>
    <t>PDP PARA FIN DE MES SE INGRESO MAL LA FECHA DE PAGO, SE REAFIRMA COMPROMISO</t>
  </si>
  <si>
    <t>PDP PROGRAMADA</t>
  </si>
  <si>
    <t>PEDRO ANTONIO ALATTA CASTILLO</t>
  </si>
  <si>
    <t>EL PRESTAMO ERA PARA UNA EMPRESA ,TIENE UN HIJO MENOR DE EDAD , CREADO EMPRESA , EL DINERO PROVENDRA DE ALLI , SE CERRO EL DISCADOR</t>
  </si>
  <si>
    <t>DK 700</t>
  </si>
  <si>
    <t>DC 650</t>
  </si>
  <si>
    <t>Piedad</t>
  </si>
  <si>
    <t xml:space="preserve">por motivos de salud , dt 600 canc 200 , se verifica deuda con banco zteca y caja piura , estatrabajando tiene 39 años </t>
  </si>
  <si>
    <t xml:space="preserve">por motivos de salud no podia abonar y envio a un familiar para que pueda llegar a un arreglo pero ya no pudo regresar, le pagaran a fin de mes por eso pide realizar la cancelacion el dia sabado </t>
  </si>
  <si>
    <t>por motivos de salud no podia abonar y envio a un familiar para que pueda llegar a un arreglo pero ya no pudo regresar, le pagaran a fin de mes por eso pide realizar la cancelacion el dia sabado ( se me fue la ficha)</t>
  </si>
  <si>
    <t>POR MOTIVOS ECONOMICOS NO PUDO TERMINAR DE ANCELAR DE LA DEUDA , DT 5348 CANC 900 , SALDARIA AL DEUDA CON EL PAGO DE SU TRABAJO //982173246-(963282547)SE ENCUENTRA EN MADRE DE DIOS POR LO QUE PODRIA REALIZAR EL PAGO SOLO EN BANCO DE LA NACION</t>
  </si>
  <si>
    <t>por temas de la tacita no se puede elevar , se aprobo con autorizacion de sandy cancelar con el importe de s/1500.00 para el dia de mañana se envia doc</t>
  </si>
  <si>
    <t>PPC</t>
  </si>
  <si>
    <t>PPC  -  400 SOLES - 16/03.</t>
  </si>
  <si>
    <t>dt: 800 soles</t>
  </si>
  <si>
    <t xml:space="preserve">dk: 500 </t>
  </si>
  <si>
    <t>campaña: 400 soles //</t>
  </si>
  <si>
    <t>motivo de no pago : por motivos economicos .</t>
  </si>
  <si>
    <t xml:space="preserve">interesada en la campaña indica que se le llame luego para poder llegar a un acuerdo. </t>
  </si>
  <si>
    <t>Sustento : dinero lo sacara de adelanto que le dara su jefe, mando el screm por watsapp de la respuesta para el dia 16.</t>
  </si>
  <si>
    <t>edad: 39 años</t>
  </si>
  <si>
    <t>trabaja: MARINES SECURITY SOCIEDAD ANONIMA CERRADA</t>
  </si>
  <si>
    <t>sueldo: 930 soles</t>
  </si>
  <si>
    <t xml:space="preserve">no registra mas informacion . </t>
  </si>
  <si>
    <t xml:space="preserve">PPC   TT CANCELARA el total de la deuda S/ 50  </t>
  </si>
  <si>
    <t>ppc  : 97.50 soles  29/05</t>
  </si>
  <si>
    <t>DT: 1,100 soles</t>
  </si>
  <si>
    <t>DK:400 soles</t>
  </si>
  <si>
    <t>CAMPANA:97.50</t>
  </si>
  <si>
    <t>SUSTENTO DE PAGO: tiene plata en mano</t>
  </si>
  <si>
    <t>MOTIVO DE IMPAGO: tuvo problemas familiares.</t>
  </si>
  <si>
    <t>PPC - 1,300 SOLES 09/03.</t>
  </si>
  <si>
    <t>Realizara el pago a las 5 de la tarde, ya cuenta con dinero en mano.</t>
  </si>
  <si>
    <t>dt : 2,500</t>
  </si>
  <si>
    <t>dk : 1,600</t>
  </si>
  <si>
    <t>campana : 1600</t>
  </si>
  <si>
    <t>contrapropuesta 1, 300</t>
  </si>
  <si>
    <t xml:space="preserve">motivo de no pago :  por problemas economicos ya que no es la unica entidad que paga.  </t>
  </si>
  <si>
    <t xml:space="preserve">sustento: dinero lo tiene a mano </t>
  </si>
  <si>
    <t>edad: 48 años</t>
  </si>
  <si>
    <t xml:space="preserve">no registra centro laboral. </t>
  </si>
  <si>
    <t>hizo consulta a sunarp de los 2 vehiculos que figuran a su nombre y no carga .</t>
  </si>
  <si>
    <t>PPC  100 SOLES YA bono 50 soles</t>
  </si>
  <si>
    <t xml:space="preserve">PPC - 150 SOLES 14/05. </t>
  </si>
  <si>
    <t>DT: 700 soles</t>
  </si>
  <si>
    <t>DK: 300 soles</t>
  </si>
  <si>
    <t xml:space="preserve">CAMPANA:150 soles </t>
  </si>
  <si>
    <t xml:space="preserve">SUSTENTO DE PAGO: dinero recibe de trabajos eventuales </t>
  </si>
  <si>
    <t xml:space="preserve">MOTIVO DE IMPAGO: no tiene trabajo y le era imosoble acercarse a pagar . </t>
  </si>
  <si>
    <t>PPC  180 // CREDINKA  ABANCAY</t>
  </si>
  <si>
    <t xml:space="preserve">PPC  1956.00 </t>
  </si>
  <si>
    <t xml:space="preserve">PPC - 250 SOLES </t>
  </si>
  <si>
    <t>S/100 - 15/05</t>
  </si>
  <si>
    <t>S/150 - 25/05</t>
  </si>
  <si>
    <t>DT: 2,800 SOLES</t>
  </si>
  <si>
    <t>DK: 1,200 SOLES</t>
  </si>
  <si>
    <t>CAMPANA: 250 SOLES</t>
  </si>
  <si>
    <t xml:space="preserve">SUSTENTO DE PAGO: DE SU SUELDO DE TRABAJO </t>
  </si>
  <si>
    <t xml:space="preserve">MOTIVO DE IMPAGO: TIENE FAMILIAR QUE ESTA EN CUIDADOS INTENCIOVOS, NO CONTABA </t>
  </si>
  <si>
    <t>PPC - 250 SOLES (IMBOUND)</t>
  </si>
  <si>
    <t>CLIENTE CANCELARA DEUDA.</t>
  </si>
  <si>
    <t>DT: 1,600 SOLES</t>
  </si>
  <si>
    <t>DK: 700</t>
  </si>
  <si>
    <t xml:space="preserve">CAMPAÑA: 250 SOLES </t>
  </si>
  <si>
    <t>EDAD: 40 AÑOS</t>
  </si>
  <si>
    <t xml:space="preserve">ENTIDADES: </t>
  </si>
  <si>
    <t xml:space="preserve">PPC  300 HASTA EL 31/10 ( 50 17/10) </t>
  </si>
  <si>
    <t>PPC - 700 SOLES - EXCEPCION APROBADA POR MARIANGELA PIÑA )</t>
  </si>
  <si>
    <t>DT: 8,900 SOLES</t>
  </si>
  <si>
    <t>CAMPAÑA: 780 SOLES</t>
  </si>
  <si>
    <t xml:space="preserve">MOTIVO DE NO PAGO: PORQUE TENIA OTROS PENDIENTE Y MOTIVOS FAMILIARES.  </t>
  </si>
  <si>
    <t xml:space="preserve">CONTRAPROPUESTA : 700 SOLES </t>
  </si>
  <si>
    <t>DE DONDE SACARA DINERO : DE SU TRABAJO</t>
  </si>
  <si>
    <t>LABORA EN : CREDITEX S.A.A.</t>
  </si>
  <si>
    <t xml:space="preserve">SUELDO : 1,895.00 SOLES </t>
  </si>
  <si>
    <t>PPC - 800 CONFIRMA. FECHA DE PAGO :30/01.</t>
  </si>
  <si>
    <t xml:space="preserve"> DT: 2,500 SOLES</t>
  </si>
  <si>
    <t xml:space="preserve">CAMPAÑA: 850 SOLES ... </t>
  </si>
  <si>
    <t>MOTIVO DE NO PAGO : SE RETIRO DE LA/ POLICIA Y NO LE PAGARON ...</t>
  </si>
  <si>
    <t>EDAD: 56 AÑOS</t>
  </si>
  <si>
    <t>ENTIDADES 2 : 1 NORMAL Y LA OTRA CON CPP .</t>
  </si>
  <si>
    <t>NO TIENE MAS REGISTROS .</t>
  </si>
  <si>
    <t>INDICA QUE SE LE LLAME PARA CONFIR PAGO AL MEDIO DIA .</t>
  </si>
  <si>
    <t xml:space="preserve">PPC - 900 SOLES </t>
  </si>
  <si>
    <t xml:space="preserve">NO PAGO AYER PORQUE TUVO INCONVENIENTES EN SU CASA </t>
  </si>
  <si>
    <t>HOY REALIZARA PAGO A LAS 4 DE LA TARDE.</t>
  </si>
  <si>
    <t xml:space="preserve">DT : 3 MIL SOLES </t>
  </si>
  <si>
    <t xml:space="preserve">DK: 1,900 SOLES  </t>
  </si>
  <si>
    <t xml:space="preserve">CAMPAÑA: 1,400 SOLES </t>
  </si>
  <si>
    <t>CONTRAPROPUESTA DE TT : 900 SOLES YA QUE CUENTA CON UN TRABJO EVENTUAL DONDE SOLO GANADA MENOS DE UN MINIMO Y QUIERE CANCELAR.</t>
  </si>
  <si>
    <t>MOTIVO DE NO PAGO: TUVO UN PERCANCE FAMILIAR</t>
  </si>
  <si>
    <t xml:space="preserve">SUSTEN; TO: DINERO LO SACARA DE TRABAJO . </t>
  </si>
  <si>
    <t xml:space="preserve">EDAD: 33 </t>
  </si>
  <si>
    <t xml:space="preserve">ENTIDADES : 1 BANCO DE LA NACION </t>
  </si>
  <si>
    <t>PPC  LUIS HALANOCA HUMPIRE  PAGARA 544 01/10 LLAMO A MI CEL</t>
  </si>
  <si>
    <t xml:space="preserve">PPC  ROLANDO MAMANI OSIS RECP CUÑADO SE DA EXCEPCION DE 4500 PARA 20/12 YA QUE QUIERE CANCELAR YA QUE ESTA A NOMBRE DE SU CULADA Y QUIERE SOLUCIONARLO TIENE OTRAS DEUDAS Y EDTA PRIORISANDO CREDINKA IRA ALA AGENCIA SE SICUANI YA TIENE EL DINERO </t>
  </si>
  <si>
    <t xml:space="preserve">PPC </t>
  </si>
  <si>
    <t>TT CANCELARA EN INTERBANK // SE ENVIARA CUERDO Y Nº DE CUENTA</t>
  </si>
  <si>
    <t xml:space="preserve">PPC * 100, SOLES </t>
  </si>
  <si>
    <t>PPC / MIL 1000 SOLES ULTIMA CUOTA DE PAGO</t>
  </si>
  <si>
    <t xml:space="preserve">ppc //  dt s/550.00 // dk s/ 407 // dscto s/420 </t>
  </si>
  <si>
    <t xml:space="preserve">dni : 73248528 // nombre hija : milagros valdiviezo gomez responsable del pago de importe de s/420.00 // trabaja en callcenter  y cobra / el cual indida que estaria realizando el pago el 16/03  por agente bcp //serach  edad 59 años // cuenta con 1 entidad reportada // cuenta con 1 hija // sin datos laborales </t>
  </si>
  <si>
    <t xml:space="preserve">llamada discador se me fue la ficha </t>
  </si>
  <si>
    <t>PPC //  ENCARGADO DE PAGO SR. JOSE LUISA  CANCELA ULTIMA CUOTA 3400 PARA LIQUIDAR DEUDA</t>
  </si>
  <si>
    <t>ppc // dt s/ 320 // tt indica que va a realizar pago por aente bcp el 20/03 asimismo menciona que tuvo problemas economicos con la misma entidad la cual no pudo pagar // va a pagar de sus ahorros // search edad 38 años // actualmente trabaja de manera independiente // tiene un hijo // no registra entidad financiera //</t>
  </si>
  <si>
    <t xml:space="preserve">ppc // dt s/1200 //tt indica que elñ dinero fue para un  tercero el cual no estaba realizando el pago puntual // tt menciona que va a realizar el pago el 2103 por agente bcp por la tarde el importe de s/250 //tt menciona que solicitara un sueldo adelantado y la diferencia finales de mes el 31/03  , actualmente trabaja search :no cuenta con hijos en search // 1 entidad financiera reportada </t>
  </si>
  <si>
    <t>ppc // dt s/1200 //tt indica que elñ dinero fue para un  tercero el cual no estaba realizando el pago puntual // tt menciona que va a realizar el pago el 2103 por agente bcp por la tarde el importe de s/250 //tt menciona que solicitara un sueldo adelantado y la diferencia finales de mes el 31/03  , actualmente trabaja search :no cuenta con hijos en search // 1 entidad financiera reportada // se me fue la ficha// autoozado por mariangela</t>
  </si>
  <si>
    <t xml:space="preserve">ppc // dt s/1840 // 35 años//tt menciona que no pudo realizar el pago debido a que depositaba dinero a un tercero para pagar que fue su ex la cual se fue con el dinero // actualmente trabaja de contratista  la cual para fin de mes confirma el pago por agente bcp horas de la tarde //search </t>
  </si>
  <si>
    <t xml:space="preserve">2 hijos </t>
  </si>
  <si>
    <t>no registra deudas financieras</t>
  </si>
  <si>
    <t>ppc</t>
  </si>
  <si>
    <t xml:space="preserve">ppc // dt s/600 // tt  va a realizar pago de s/400 para el dia 09/03 por un agente bcp por la tarde // indica que el dinero lo obtiene de sus ventas , trabaja en centro de lima como ambulante   // no pudo pagar por gastos // search : 1 hijo // 46 años // registra 1 entidad  </t>
  </si>
  <si>
    <t xml:space="preserve">ppc // s/1.1162.07// tt indica que va a realizar el pago de s/350 por agente bcp el 16/03 // acutlamente el dinero lo conseguiria por su empleo de una constructora // search //cuenta con 2 hijos //edad 36 años // cuenta con 2 editades reportadas </t>
  </si>
  <si>
    <t>PPC : 400 SOLES HOY 20/05 . CONFIRMA PAGO</t>
  </si>
  <si>
    <t>PPC : 550.00 // // 100 SOLES VIERNES 06/12.  Y LOS 450 RESTANTES EL DIA  20/12. (DISCADOR)</t>
  </si>
  <si>
    <t>PPC : 700 SOLES (IMB)</t>
  </si>
  <si>
    <t xml:space="preserve">DT: 900 SOLES </t>
  </si>
  <si>
    <t xml:space="preserve">CAMPAÑA : 700 </t>
  </si>
  <si>
    <t>No pago : tuvo problemas y ella penso ya habia cancelado poque pago su ultima cuota.</t>
  </si>
  <si>
    <t xml:space="preserve">Motivo de pago: familiar sacara una mototaxi y quiere su credito de la moto . </t>
  </si>
  <si>
    <t xml:space="preserve">Search: </t>
  </si>
  <si>
    <t>Edad: 44 años</t>
  </si>
  <si>
    <t xml:space="preserve">Entidades 2 - </t>
  </si>
  <si>
    <t xml:space="preserve">1 en estado - NORMAL </t>
  </si>
  <si>
    <t>1 en estado *- PERDIDA.</t>
  </si>
  <si>
    <t>PPC- 1,000 SOLES (IMBOUND MAYRA )</t>
  </si>
  <si>
    <t xml:space="preserve">DT : 7 MIL </t>
  </si>
  <si>
    <t xml:space="preserve">DK 4 MIL </t>
  </si>
  <si>
    <t xml:space="preserve">CAMPAÑA : 1,500 </t>
  </si>
  <si>
    <t>EDAD: 31 AÑOS</t>
  </si>
  <si>
    <t>TRABAJA EN : AMERICAN AIRLINES INC. SUCURSAL DEL PERU</t>
  </si>
  <si>
    <t>BUEN SUELDO .</t>
  </si>
  <si>
    <t>PPC- 1,100 SOLES FECHA : 30/01.</t>
  </si>
  <si>
    <t xml:space="preserve">LLEGO SMS CON : 1,100 SOLES  </t>
  </si>
  <si>
    <t xml:space="preserve">MOTIVO DE NO PAGO . TUVO ACCIDENTE </t>
  </si>
  <si>
    <t>Y DE DONDE SACARA DINERO : TRABAJO .</t>
  </si>
  <si>
    <t xml:space="preserve">EDAD : 25 AÑOS </t>
  </si>
  <si>
    <t>ENTIDADES : 0</t>
  </si>
  <si>
    <t>VEHICULO : MARCA RONCO</t>
  </si>
  <si>
    <t xml:space="preserve">PPC 100 </t>
  </si>
  <si>
    <t>PPC 100 EXCEPCION MARIANGELA</t>
  </si>
  <si>
    <t xml:space="preserve">PPC 100 SOLES EN AGENTE BCP. SRA RECIEN SE PUDO CONSEGUIR LOS 1OO. SE HABLA POR CORP. EXECEPCION / REPROGRAMACION. </t>
  </si>
  <si>
    <t xml:space="preserve">PPC 100 SOLES INDICA QUE TUBO UN PERCANCE Y QUE PARA EL DIA MIERCOLES ESTARIA PAGANDO 100 SOLES </t>
  </si>
  <si>
    <t>PPC 100 SOLES, CARTA POR WSP</t>
  </si>
  <si>
    <t>PPC 100// ASEGURA QUE REALIZARA ABONO</t>
  </si>
  <si>
    <t>PPC- 1000  - 03/02.  (IMB)</t>
  </si>
  <si>
    <t>DT: 7,600 SOLES</t>
  </si>
  <si>
    <t xml:space="preserve">CAMPAÑA: 4,500 SOLES </t>
  </si>
  <si>
    <t xml:space="preserve">ENTIDADES : 1 </t>
  </si>
  <si>
    <t xml:space="preserve">EDAD: 47 AÑOS </t>
  </si>
  <si>
    <t xml:space="preserve">NO TIENE MAS INFORMACION EN SEARCH. </t>
  </si>
  <si>
    <t>PPC 1000 CON EXCEPCION // APROBADO POR MAYRA</t>
  </si>
  <si>
    <t>TT SE APERSONO A OFIC/ CORD CON MARIANG</t>
  </si>
  <si>
    <t>ABONA 800 13/03 + 200 30/03</t>
  </si>
  <si>
    <t>SE ENVIA SMS</t>
  </si>
  <si>
    <t>PPC 1000.00 SOLES EXCEPCION MAYRA ABONO INICIAL 100 SOLES PARA EL DIA 15/10/19 Y LA DIFERENCIA 900 SOLES PARA EL DIA 31/09/19</t>
  </si>
  <si>
    <t xml:space="preserve">PPC 101, ENVIARA VOUCHER </t>
  </si>
  <si>
    <t>PPC 107</t>
  </si>
  <si>
    <t>PPC 1080 // EXCEPCION MARIAN</t>
  </si>
  <si>
    <t>PPC 1080 // EXCEPCION MARIANG</t>
  </si>
  <si>
    <t>PPC 112 SOLES  YA PAGO 1500 SOLES A LA CAJA AREQUIPA SE RECONOCE EL PAGO NOS ENVIA EL BAUCHER</t>
  </si>
  <si>
    <t>PPC 115 PRO EMPRESA //</t>
  </si>
  <si>
    <t xml:space="preserve">PPC 1200 HOY /  PPC </t>
  </si>
  <si>
    <t xml:space="preserve">PPC 1200 SOLES EXCEPCION MELINA </t>
  </si>
  <si>
    <t>INDICA SOBRE LA CUENTA DEL LA FINACIERA OH YA CANCELO Y YA SE ACERCO ALA FINANCIERA * AUN NO LE DAN SU CARTA NO ADEUDO</t>
  </si>
  <si>
    <t>PPC 1200</t>
  </si>
  <si>
    <t>ABONA 200 04/10 + 1000  31/10</t>
  </si>
  <si>
    <t>PPC 13/09</t>
  </si>
  <si>
    <t>PPC 130</t>
  </si>
  <si>
    <t xml:space="preserve">PPC 140 </t>
  </si>
  <si>
    <t xml:space="preserve">ppc 1400 por sms aprovado por JULIO HIGA cliente pago el dia 31/08/19 </t>
  </si>
  <si>
    <t>PPC 150 SOLES PARA EL DIA 30/09/19 EN TOTAL PAGO 350 SOLES</t>
  </si>
  <si>
    <t>PPC 150 SOLES SR.HUMBERTO / SE LE CHANCHA PROMESA POR QUE NO APARECE EN TASITA ORDENES DE MARIANGELA</t>
  </si>
  <si>
    <t>PPC 1500</t>
  </si>
  <si>
    <t xml:space="preserve">PPC 1500 </t>
  </si>
  <si>
    <t>CANCELA CON EXCEPC APROBADA POR MAYRA</t>
  </si>
  <si>
    <t>TT INDICA ESTABA ENFERMO POR ELLO NO PUEDO LIQUIDAR ANTES PORQUE GASTO DINERO EN MEDICINAS</t>
  </si>
  <si>
    <t xml:space="preserve">PPC 1500 SOLES / INICIAL 200 Y 1300 PARA EL DIA 29/11/19  TAT JESUS NESECITA SU CARTA NO CEUDOR* </t>
  </si>
  <si>
    <t>PPC 153 EXCEPCION MAYRA</t>
  </si>
  <si>
    <t>PPC 153 SOLES ABONO 50 SOLES</t>
  </si>
  <si>
    <t xml:space="preserve">ppc 16/09  </t>
  </si>
  <si>
    <t xml:space="preserve">PPC 1600 HASTA EL 29/11 ABONA 200 </t>
  </si>
  <si>
    <t xml:space="preserve">PPC 1647 29/08 INBOUD MORADO </t>
  </si>
  <si>
    <t xml:space="preserve">PPC 1700 // INDICA QUE BAJARA DE LA MINA EL DIA DOMINGO PARA CANCELAR DEUDA A PRIMERA HORA DEL LUNES </t>
  </si>
  <si>
    <t>PPC 177 dinaliza su convenio cob Oh  dse le indica Cta BP e IBK</t>
  </si>
  <si>
    <t>PPC 180 SOLES TT MARIA</t>
  </si>
  <si>
    <t>PPC 1800</t>
  </si>
  <si>
    <t>PPC 1897 SOLES INDICA QUE ARA LO POSIBLE POR QUE LE CONVIENE PAGAR EN UNA SOLA CUOTA QUE PAGAR EN 6 CUOTAS * TAT YOLANDA</t>
  </si>
  <si>
    <t xml:space="preserve">PPC 190 1 CUOTA PPC TAT </t>
  </si>
  <si>
    <t xml:space="preserve">PPC 1900 28 /11/19, dt:3869; </t>
  </si>
  <si>
    <t>PPC 20 SOLES  SE LE CARGA POR ERROR</t>
  </si>
  <si>
    <t>PPC 200</t>
  </si>
  <si>
    <t xml:space="preserve">PPC 200 / </t>
  </si>
  <si>
    <t>INDICA QUE TENDRA INCONV</t>
  </si>
  <si>
    <t>TTA NO CVUELVE  A LLMAR AL WHATSAP INIDCA QUE EL DIA 29 I SO SI YA QUE ES SU CANCELACION DE DEUDA *</t>
  </si>
  <si>
    <t>PPC 200 MARIANGELA</t>
  </si>
  <si>
    <t>ppc 200 soles  aprobado nuevamente por mariangela</t>
  </si>
  <si>
    <t xml:space="preserve">PPC 200 SOLES INDICA QUE NO LE JIRARON PERO SI O SI ESTE 4 DE OCT PPC </t>
  </si>
  <si>
    <t>PPC 200 SOLES TT CARLOS/</t>
  </si>
  <si>
    <t>FAMILIAR LE PRESTARA DINER PARA CANCELAR //  SE ENVIA WHATS CON Nº DE CUENTA</t>
  </si>
  <si>
    <t>PPC 2000 31/08 INBOUD AZUL</t>
  </si>
  <si>
    <t xml:space="preserve">PPC 2000.00 EXCEPCION APROBADO EN LE EXCEL DE MELINA </t>
  </si>
  <si>
    <t xml:space="preserve">TAT SOLICITA PAGAR 1800 SOLES PERO MEJORA PROPUESTA A 2000 SOLES </t>
  </si>
  <si>
    <t xml:space="preserve">SEARCH 41 AÑOS </t>
  </si>
  <si>
    <t>*TIENE DEUDA 3 ENTIDADES FINANCIERAS.</t>
  </si>
  <si>
    <t>*DEJO DE PAGAR POR SALUD Y SU ESTADO ECO.</t>
  </si>
  <si>
    <t>*QUIERE VOLLVER A TRABAJAR CON LOS BANCOS.</t>
  </si>
  <si>
    <t>ppc 208, envia nro de cta bcp via wsp</t>
  </si>
  <si>
    <t>sustento de pago: trabaja realizando ventas</t>
  </si>
  <si>
    <t>dt: 2320</t>
  </si>
  <si>
    <t>campaña: 208</t>
  </si>
  <si>
    <t>PPC 209 LE LLEGO SMS DE CAMPAÑA</t>
  </si>
  <si>
    <t xml:space="preserve">PPC 210 </t>
  </si>
  <si>
    <t>PPC 220</t>
  </si>
  <si>
    <t>PPC 220 SOLES , ENVIAR CTA IBK POR SMS</t>
  </si>
  <si>
    <t xml:space="preserve">PPC 2300 </t>
  </si>
  <si>
    <t>PPC 240</t>
  </si>
  <si>
    <t>PPC 247 SOLES ABONO EL DIA VIERN.. 18/10/19 50 SOLES FIN DE MES 197 SOLES PPC</t>
  </si>
  <si>
    <t>PPC 250</t>
  </si>
  <si>
    <t>ppc 250, enviar carta via wsp</t>
  </si>
  <si>
    <t>dt:2258</t>
  </si>
  <si>
    <t>campaña: 250</t>
  </si>
  <si>
    <t>PPC 2550 SOELS</t>
  </si>
  <si>
    <t>PPC 260</t>
  </si>
  <si>
    <t>PPC 261 // CHICLAYO</t>
  </si>
  <si>
    <t>PPC 264 SMS CAMAPÑA</t>
  </si>
  <si>
    <t>PPC 270</t>
  </si>
  <si>
    <t>PPC 2700</t>
  </si>
  <si>
    <t>TT POR ABONARA SABADO A MAS TARDAR</t>
  </si>
  <si>
    <t>PPC 280 EXCEPCION MAYRA</t>
  </si>
  <si>
    <t>PPC 2800 EXCEPCION ANGEL</t>
  </si>
  <si>
    <t xml:space="preserve">PPC 300 // </t>
  </si>
  <si>
    <t>PPC 300 //  TT INDICA VENDRA A OFICINA POR CARTA</t>
  </si>
  <si>
    <t>PPC 300 // INDICA QUE POR MOTIVOS DE TRABAJO NO AH PODIDO ACERCARSE</t>
  </si>
  <si>
    <t xml:space="preserve">PPC 300 31/08 INBOUD VERDE </t>
  </si>
  <si>
    <t>PPC 300 SE LE  LA INFORCION BCP</t>
  </si>
  <si>
    <t>PPC- 300 SOLES  07/02.</t>
  </si>
  <si>
    <t>DK: 200</t>
  </si>
  <si>
    <t>CAMPAÑA: 300</t>
  </si>
  <si>
    <t xml:space="preserve">MOTIVO DE NO PAGO : SU HIJA SE ENFERMO Y ESTUVO EN GASTOS. </t>
  </si>
  <si>
    <t>AHORA QUIERE PAGAR PORQUE SU MAMA ESTA PREOCUPADA POR ESE TEMA DE QUE LA ESTAN LLAMANDO .</t>
  </si>
  <si>
    <t>ENTIDADES: 1</t>
  </si>
  <si>
    <t>EDAD: 31</t>
  </si>
  <si>
    <t xml:space="preserve">NO TIENE MAS REGISTRO </t>
  </si>
  <si>
    <t>PPC 300 SOLES /SE ACERCARA ALA OFICINA DE MI BANCO Y ARA EL PAGO</t>
  </si>
  <si>
    <t xml:space="preserve">ppc 300 soles le aceptan la excepcion </t>
  </si>
  <si>
    <t>enviara correo para enviarle su compromiso de pago*</t>
  </si>
  <si>
    <t>ppc 300 sr. IRMA acapta pagar con 300 soles</t>
  </si>
  <si>
    <t>PPC 3000 HACE PAGO EN LA AGENCIA (ECEPCION MARIANGELA )</t>
  </si>
  <si>
    <t>PPC 3000 TT INDICA QUE SI PUEDE ARA SU ABONO DE 100 SOLES ANTES DE 15SENAS DE ESTE MES.</t>
  </si>
  <si>
    <t>ABONO HOY 300 BCP</t>
  </si>
  <si>
    <t xml:space="preserve">PPC 3000.00  </t>
  </si>
  <si>
    <t xml:space="preserve">PPC 307 </t>
  </si>
  <si>
    <t>PPC 307 INDICA QUE  POR FALTA DE TIEMPO NO PUDO GENERAR ABONO</t>
  </si>
  <si>
    <t>PPC 320</t>
  </si>
  <si>
    <t xml:space="preserve">TT CANCELA 100 04/02 + 220 28/02 </t>
  </si>
  <si>
    <t xml:space="preserve">POR MOTIVOS DE FALTA DE PAGO NO PUDO CANCEÑAR SE LE INDICA ADVERTENCIAS </t>
  </si>
  <si>
    <t>PPC 3200</t>
  </si>
  <si>
    <t>PPC 330 SOLES / PAGARA EL DIA 10/03/20 CANDELA LA DEUDA INTEBANK</t>
  </si>
  <si>
    <t>PPC 331 POR CAMPAÑA DE SMS /</t>
  </si>
  <si>
    <t>ENVIAR CARTA SECION DE DERECHO Y SU COMPROMISO DE PAGO / QUE SU SOBRINA QEU ES ABOGADA LO VA A VALIDAR</t>
  </si>
  <si>
    <t>PPC 345</t>
  </si>
  <si>
    <t xml:space="preserve">PPC 35.00 CON EXCEPCION POR CUARENTE INDICA QUE PAGAR POR EL BCP </t>
  </si>
  <si>
    <t>PPC 350</t>
  </si>
  <si>
    <t>PPC 350 // BCP</t>
  </si>
  <si>
    <t>PPC 350 VINO A OFCINA</t>
  </si>
  <si>
    <t>PPC 350 YA QUE EL DIA 18 LE PÀGAN Y EL DIA 19/09/19 ESTA PPC</t>
  </si>
  <si>
    <t>PPC 354.00  PARA HOY</t>
  </si>
  <si>
    <t xml:space="preserve">PPC 360 </t>
  </si>
  <si>
    <t>PPC 380 SOLES  TT NELLY.-</t>
  </si>
  <si>
    <t>PPC 3835 SOLE SLE LLEGO LA CAMPAÑA DE CANCELACION DE SU DEUDA</t>
  </si>
  <si>
    <t>PPC 384</t>
  </si>
  <si>
    <t>PPC 3840/* INDICA QUE LE ARAN UNA TRASFERENCIA /   EXCEPCIONMARIANGELA</t>
  </si>
  <si>
    <t>ppc 396 campaña</t>
  </si>
  <si>
    <t>axcepcion</t>
  </si>
  <si>
    <t>PPC 400 31/10 CANCELAR SUS ULTIMAS CUOTAS</t>
  </si>
  <si>
    <t>ppc 400 soles</t>
  </si>
  <si>
    <t>PPC 400 SOLES PADRASTRO ADGARDO</t>
  </si>
  <si>
    <t>LIQUIDAR CON EXCEPC</t>
  </si>
  <si>
    <t>ppc 443</t>
  </si>
  <si>
    <t xml:space="preserve">se cuelga la llmada / </t>
  </si>
  <si>
    <t xml:space="preserve">se vuelve a llmar y se compromete a pagar 443 can antes d elos 30/05/50  </t>
  </si>
  <si>
    <t>soicita enviar carta compromiso</t>
  </si>
  <si>
    <t>PPC 449</t>
  </si>
  <si>
    <t>61AÑOS //  INSERMEL S.A.C.</t>
  </si>
  <si>
    <t xml:space="preserve">CANCELARA ULTIMA CUOTAS // INBOUD // SE ENVIA Nº DE CUENTA A WHATS BCP // INTERBANK </t>
  </si>
  <si>
    <t>SE SOLICITA EXCEP</t>
  </si>
  <si>
    <t xml:space="preserve">PPC 450 PARA  EL DIA 30/11/19 INDICA QUE ara lo posible* se le indica que la campaña de 450 es para este mes nov. NO DICIEMBRE *YA ABONO LOS 50 SOLES </t>
  </si>
  <si>
    <t>PPC 450 SE LE REPROGRAMA SE HABIA BORRADO</t>
  </si>
  <si>
    <t xml:space="preserve">PPC 450 SOLES </t>
  </si>
  <si>
    <t xml:space="preserve">SE LE OTORGA LA CANCELACION / </t>
  </si>
  <si>
    <t xml:space="preserve">PPC 450 SOLES YA ABONO 50 SOLES </t>
  </si>
  <si>
    <t>TAT SE COMUNICA - SE INFORMA DE LA ACTIVACION DE EXCEPCION HOY ESTA PAGANDO.</t>
  </si>
  <si>
    <t>PPC 470</t>
  </si>
  <si>
    <t>PPC 470 // ABONARA 70 13/09 + 400 30/09</t>
  </si>
  <si>
    <t xml:space="preserve">ppc 473 soles ppc indica que bajara a sullana para una ppc </t>
  </si>
  <si>
    <t>PPC 476 ENVIAR ACUERDO DE CANCELACION</t>
  </si>
  <si>
    <t>PPC 488 EN DOS CUOTAS DENTRO DEL MES A 16/09/19 50% Y FIN DE MES LA TOTALIDAD</t>
  </si>
  <si>
    <t>PPC 50 SOLES HASTA EL 30/09</t>
  </si>
  <si>
    <t>PPC 50 SOLES PARA ANTES DE FIN DE FIN DE MES 30/12/19 YA ABONO 50 OPE: 986778 PPC CANCELACION D ESU DEUDA</t>
  </si>
  <si>
    <t>PPC 500 // CREDINKA HUANCAYO</t>
  </si>
  <si>
    <t>PPC 500 APROBADO CON MARIANGELA</t>
  </si>
  <si>
    <t>PPC 500 SOLES</t>
  </si>
  <si>
    <t>ABONARA 50 05/10 + 450 15/10</t>
  </si>
  <si>
    <t xml:space="preserve">TT CANCELA CON EXCEPCION 10/01 POR LA MÑANA EN CAJA SULLANA // CON ADELANTO DE SUELDO </t>
  </si>
  <si>
    <t>PPC 5000 // ABONARA 2000  05/09 + SALDO 3000 30/09</t>
  </si>
  <si>
    <t xml:space="preserve">PPC 500EXECCION MARIANGELA </t>
  </si>
  <si>
    <t>PPC 517</t>
  </si>
  <si>
    <t>PPC- 520 PARA EL DIA  05/01</t>
  </si>
  <si>
    <t xml:space="preserve">DT: 3000 </t>
  </si>
  <si>
    <t>CAMPAÑA : 520</t>
  </si>
  <si>
    <t>MOTIVO D ENO PAGO .. POR PROBLEMAS ..</t>
  </si>
  <si>
    <t>ENTIDADES : 1</t>
  </si>
  <si>
    <t>EDAD: 34</t>
  </si>
  <si>
    <t xml:space="preserve">NO REGISTRA MAS INFORMACION </t>
  </si>
  <si>
    <t>SUSTENTO : HARA UNA ACTIVIDAD Y CON ESE DINERO ESTARA CANCELANDO .</t>
  </si>
  <si>
    <t xml:space="preserve">PPC 55 </t>
  </si>
  <si>
    <t>PPC 550 30/10 (ADELANTO DE 50 SOLES HASTA EL 21/10)</t>
  </si>
  <si>
    <t>PPC 550.00 EXCEPCION</t>
  </si>
  <si>
    <t>PAGARA HOY DEL SCOTIABANK AL INTERBAK EXPERTIS</t>
  </si>
  <si>
    <t>PPC 5500</t>
  </si>
  <si>
    <t xml:space="preserve">SE GENERA EXCEPCION POR JULIO // </t>
  </si>
  <si>
    <t>PPC 575</t>
  </si>
  <si>
    <t xml:space="preserve">GUSTAVO GOMEZ CARMEN - ENC DE PAGOS MENCIONA QUE ESTARA PAGANDO EL ULTIMO IMPORTE EN ESTE MES INDICA QUE TIENE LA INTENCION DE PAGAR CUANTO ANTES PERO EL TEMA DE DINERO NO LE PERMITE HACERLO ANTICIPADAMENTE / PERO SI LLEGARA A COBRAR ANTES DE FIN DE MES ESTARA EFECTUANDOLO O DE LO CONTRARIO EL ULTIMO DIA DEL MES </t>
  </si>
  <si>
    <t xml:space="preserve">PPC 590 </t>
  </si>
  <si>
    <t>TT INDICA QUE EL MIERCOLES VIAJARA A CUSCO PAR LIQUIDAR DEUDA</t>
  </si>
  <si>
    <t>PPC 590</t>
  </si>
  <si>
    <t>TT INDICA QUE RECIBIRA JUNTA Y CANCELARA DEUDA</t>
  </si>
  <si>
    <t>PPC 60</t>
  </si>
  <si>
    <t xml:space="preserve">PPC 600 </t>
  </si>
  <si>
    <t xml:space="preserve">ppc 600 </t>
  </si>
  <si>
    <t>hoy abona 300 y 300 el dia 20</t>
  </si>
  <si>
    <t xml:space="preserve">PPC 600 EXCEPCION </t>
  </si>
  <si>
    <t>100 - 15*MAYO</t>
  </si>
  <si>
    <t>500 - 30 MAYO</t>
  </si>
  <si>
    <t>SI PUEDE CANCELAR LOS 600 SOLES LO ARA EL 15 PERO NO ES SEGURO INDICA QUE POR ELLO HASTA FIN DE MES</t>
  </si>
  <si>
    <t>PPC 600 EXCEPCION</t>
  </si>
  <si>
    <t>300 -15-MAYO</t>
  </si>
  <si>
    <t>300 -30-MAYO</t>
  </si>
  <si>
    <t xml:space="preserve">PPC 600 HASTA EL 06/12 , ABONA CON ECEPCION  DE MARIANGELA </t>
  </si>
  <si>
    <t>PPC 600 pagara Mañana Enviar CDN al correo erickmurillo1@hotmail.com</t>
  </si>
  <si>
    <t>PPC 600 SOLES  INDIC QUE TUBO PROBLEMAS AYER Y HOY PAGA</t>
  </si>
  <si>
    <t>PPC 600 SOLES INDICA QUE ESTA CANCELADO Y NO CANCELO PO QUE SU HIJA TUBO UN PROBLEMA SE LE INFORMA DE LAS PENALIDADES QUE HAY SI NO CUMPLE CON EL PAGO*</t>
  </si>
  <si>
    <t>PPC 600</t>
  </si>
  <si>
    <t>ABONARA 300 15/10 + 300 31/10</t>
  </si>
  <si>
    <t xml:space="preserve">PPC 6000 </t>
  </si>
  <si>
    <t>PPC 609 EXCEPCION MAYRA.</t>
  </si>
  <si>
    <t>PPC 6400 SOLES TAT ACEPTA PAGA / SE LE INDICA COMO ADELANTO DE PAGO ABONE COMO PARTE DEL PAGO 200 SOLES PARA EL DIA VIERNES 13/12/19 200 Y 6200.00 PARA EL DIA 20/12/19 SE CORDINA POR SMS CON EL TAT/ JULIO HIGA ACEPTA LA EXCEPCION A PAGAR *</t>
  </si>
  <si>
    <t xml:space="preserve">PPC 645 // </t>
  </si>
  <si>
    <t xml:space="preserve">PPC 645 SOLES TT </t>
  </si>
  <si>
    <t>PPC 650 SOLES CANCELACION DE LA DEUDA  EXCEPCION JULIO HIJA</t>
  </si>
  <si>
    <t>PPC 650/ INDICA QUE LA VEZ PASADA NO PAGO POR UN TEMA DE SU FAMILIA MAL / PPC DISCADOR*</t>
  </si>
  <si>
    <t>PPC 6500 SOLES CONFIRMADO EL PAGO PARA HOY</t>
  </si>
  <si>
    <t>PPC 6500</t>
  </si>
  <si>
    <t>2000 22/10 + 4500 31/10</t>
  </si>
  <si>
    <t xml:space="preserve">PPC 700 </t>
  </si>
  <si>
    <t>TT CANCELARA 700 A MAS TARDAR EL 30/12</t>
  </si>
  <si>
    <t>PPC 700 SOLES</t>
  </si>
  <si>
    <t>PPC 700 SOLES EXCEPCION MARIANGELA</t>
  </si>
  <si>
    <t>ESPOSA DE TT SRA. ELIANA LIQUIDARA EL LUNES CON PRESTAMO QUE RECIBIRA</t>
  </si>
  <si>
    <t>PPC- 717 SOLES (AUTORIZADO POR JULIO ) SE LE INDICO A MARIBEL DEL CASO .</t>
  </si>
  <si>
    <t xml:space="preserve"> (EXCEPCION APROBADA POR JULIO ) A CLIENTE LE LLEGO SMS DE LA FINANCIERA OH .</t>
  </si>
  <si>
    <t>MOTIVO DE NO PAGO :  INDICA QUE CUANDO FUE A PAGAR YA NO LE RECIBIERON PAGO Y LE DIJERON QUE LO TENIA ESTUDIO Y RECIEN LOGRA COMUNICARSE.</t>
  </si>
  <si>
    <t>EDAD: 43 AÑOS</t>
  </si>
  <si>
    <t>TRABAJA EN : INSTITUTO PERUANO DEL DEPORTE</t>
  </si>
  <si>
    <t>ENTIDADES 2: UNA ESTA EN NORMAL Y SOLO OH EN PERDIDA.</t>
  </si>
  <si>
    <t xml:space="preserve">PPC 750 </t>
  </si>
  <si>
    <t>EXCEP APROBADA POR MAYRA</t>
  </si>
  <si>
    <t>PPC 790</t>
  </si>
  <si>
    <t>dt 500 dk 1500 campaña 1100 (un solo mes )</t>
  </si>
  <si>
    <t>excepcion aprobada 1210 en 2 cuotas (450 abril y 790 mayo )</t>
  </si>
  <si>
    <t xml:space="preserve">TT PAGA SEGUNDA Y ULTIMA CUOTA </t>
  </si>
  <si>
    <t xml:space="preserve">PPC 840 , HASTA EL 31/10 </t>
  </si>
  <si>
    <t>PPC 848 // SMS</t>
  </si>
  <si>
    <t>PPC 850</t>
  </si>
  <si>
    <t>PPC 850- INDICA QUE EL DIA 28 ESTA BAJANDO O EL DIA 29 SOLICITA DOCUMENTO PARA QUE VALIDE Y CANCELE &lt;&lt;</t>
  </si>
  <si>
    <t>PPC 900 //  TT INDICA DE APERSONARA AGENCIA A LIQUIDAR DEUDA // POR MOTIVOS DE TRABAJO EN LA MINA DE ECUADOR NO PODIA GENERAR CANCELACION</t>
  </si>
  <si>
    <t>PPC 95</t>
  </si>
  <si>
    <t>PPC 960</t>
  </si>
  <si>
    <t xml:space="preserve">PPC 961 </t>
  </si>
  <si>
    <t>PPC 988</t>
  </si>
  <si>
    <t>ppc accede cancelar 356 campaña de sms lo realizara por bcp entre hoy o mañana.</t>
  </si>
  <si>
    <t xml:space="preserve">estafa de productos en su botica </t>
  </si>
  <si>
    <t>sustento: ya tiene el dinero</t>
  </si>
  <si>
    <t>PPC CAMPAÑA 3500 SOLES / NATALY INB* SR. BLLY ENVIARLE LA CUENTA DEL BCP</t>
  </si>
  <si>
    <t xml:space="preserve">PPC CANCELA DEUDA TOTALDE 500 31/08 INBOUD MORADO </t>
  </si>
  <si>
    <t xml:space="preserve">PPC CANCELARA CON 160 YA ADELANTO 50 SOLES BASE A LA CAMPAÑA CON EL MONTO DE 210 SOLES </t>
  </si>
  <si>
    <t xml:space="preserve">PPC CANCELARA EL MONTO DE 100 Y LUEGO 500 </t>
  </si>
  <si>
    <t>PPC CLIENTE CANCELA DEUDA TOTAL CON 330 31/08</t>
  </si>
  <si>
    <t>PPC Cliente envia captura de SMS por monto de S/. 691 al telefono blanco, se da la opcion de que pueda liquidar la deuda en base a S/. 700 y cliente confirma abonar el dia 23/11, trabajos independientes , tiene un caja sullana cerca, no lo pago por motivos personales que detallo en primer contacto.</t>
  </si>
  <si>
    <t>PPC CLIENTE MENCIONA QUE NO PAGO DEBIDO A QUE ANTES NO LO GUIARON MUY BIEN Y POR UN TEMA DE DESCONFIANZA AL REALIZAR LOS PAGOS | MENCIONA QUE PAGARA 195 SOLES PARA LIQUIDAR LA DEUDA EL 30/10 | TRABAJOS INDEPENDIENTES</t>
  </si>
  <si>
    <t xml:space="preserve">PPC Cliente menciona que por motivo de esposa que no realizaba el pago no lo pudo hacer / Se estara acercando el mismo el 31/10 a cancelar S/. 3520 / Trabajos independientes / </t>
  </si>
  <si>
    <t>PPC CLIENTE SOLICITA COMPROMISO PARA FECHA 31/10 POR MONTO DE S/. 450 | NO DA DETALLE DE MOTIVO DE NO PAGO | NO DA OPCION DE ABONO | CONFIRMA PAGO A FIN DE MES</t>
  </si>
  <si>
    <t>PPC CON 300 SOLES SRA. JULIO SU HIJO LE AYUDA A PAGAR */</t>
  </si>
  <si>
    <t xml:space="preserve">PPC DE  300 HASTA 31/10 </t>
  </si>
  <si>
    <t>PPC DE 100 ( TT DICE QUE CANCELO ANTES PERO VA A PAGAR PARA TERMINAR CON DEUDA )</t>
  </si>
  <si>
    <t>PPC DE 100 HASTA EK 13/09</t>
  </si>
  <si>
    <t>PPC DE 100</t>
  </si>
  <si>
    <t xml:space="preserve">TT SE COMUNICA POR WHATSAAP ,PARA CANCELAR DEUDA QUE ESTA EN AGENCIA , RECIEN , EL SABADO SE LE PERDIO SU CELULAR </t>
  </si>
  <si>
    <t>PPC DE 1000 , HASTA EL 31/10</t>
  </si>
  <si>
    <t xml:space="preserve">PPC DE 1000 ESPOSO FIDEL  SE HACE CARGO DE DEUDA </t>
  </si>
  <si>
    <t xml:space="preserve">PPC DE 1000 HASTA EL 29/11/ </t>
  </si>
  <si>
    <t>PPC DE 1000 HASTA EL 30/11 ABONA MAÑANA 200</t>
  </si>
  <si>
    <t>PPC DE 1000 PAGA HASTA EL 29/11</t>
  </si>
  <si>
    <t>PPC DE 1100 HASTA EL 30/09</t>
  </si>
  <si>
    <t xml:space="preserve">ppc de 1150 paga hasta el 11/09 , cancela bajo ecepcion de julio </t>
  </si>
  <si>
    <t xml:space="preserve">PPC DE 1200 TT ABONA CON DESCUENTO YA QUE ESTA SOLITANDO UN CREDITO </t>
  </si>
  <si>
    <t>PPC DE 125 HASTA EL 13/09</t>
  </si>
  <si>
    <t xml:space="preserve">PPC DE 1800 ENCARGADA SRA DELIA PAGO HOY 800 Y EL 20/12  INBOUND MARIANGELA  </t>
  </si>
  <si>
    <t xml:space="preserve">PPC DE 190 HASTA FIN DE MES </t>
  </si>
  <si>
    <t xml:space="preserve">PPC DE 200 SE ACERCA A AGENCIA A ABONAR  ,  LLMADA SE ESUCHA ORIGINALMETE ENTRECORTADO ,PERO SE LOGRA HACER ACUERDO CON TT ,SE FUE  LA FICHA </t>
  </si>
  <si>
    <t>PPC DE 230</t>
  </si>
  <si>
    <t xml:space="preserve">TT SE COMUNICA MEDIANTE WHATSAAP , CONFIRMANDO PAGO DE ULTIMA CUOTA DE CRONOGRAMA EN LA FECHA ACORDADA </t>
  </si>
  <si>
    <t xml:space="preserve">PPC DE 2500 31/10 3:30 </t>
  </si>
  <si>
    <t xml:space="preserve">PPC DE 2500 ABONA 200 EL SABADO 14/12 Y RESTANTE (2300) FIN DE MES (CLIENTE DE BASE ASIGNADA DE 11/12)  MENCIONA TAMBIEN QUE SU CONSUÑADA TIEN DEUDA Y DEJA DNI PARA PODER HACERLE SEGUIMIENTO </t>
  </si>
  <si>
    <t>PPC DE 2830 30/12 SE APRUEBA ECEPCION  POR JULIO , TT ESTARIA CANCELANDO ENTRE EL 25 Y 30/ 12 ( BASE A ASIGNADA 11/12)</t>
  </si>
  <si>
    <t>PPC DE 300  REPROGRAMACION</t>
  </si>
  <si>
    <t xml:space="preserve"> MNP: TT MENCIONA QUE NO PUEDE ABONAR HOY ,PERO PIDE QUE SE LE REPROGRAME,  Y SE LE MANDARA CUENTAS DE BCP NACION  , PARA QUE PUEDA REALIZAR EL PAGO </t>
  </si>
  <si>
    <t>PPC DE 300 HASTA EL 17/12  ESTA ENFERMA POR EL MOMENTO POR ESO PIDE LA FECHA DEL 17/12</t>
  </si>
  <si>
    <t>ppc de 300 virrnes 28/09</t>
  </si>
  <si>
    <t>PPC DE 335 HASTA EL 27/09</t>
  </si>
  <si>
    <t>PPC DE 350 HASTA EL 11/10</t>
  </si>
  <si>
    <t xml:space="preserve">MOTIVO DE NO PAGO :NOS COMUNICAMOS CON TT INFORMA QUE NO A PODIDO SALIR POR EL TEMA DE EMERGENCIA , PERO DESEA MANENER LA CAMPAÑA , SE LE REPROGRAMA </t>
  </si>
  <si>
    <t>PPC DE 385  16/09 CLIENTE TRABAJA EN DIFERENTES LUGARES SE LE LLAMA EL MIERCOLES 11 PARA DELANTO( SE FUE FICHA )</t>
  </si>
  <si>
    <t xml:space="preserve">ppc de 400 hasta el 30/09   200/ el 09/09 y 200 fin de mes </t>
  </si>
  <si>
    <t xml:space="preserve">PPC DE 400 HASTA EÑ 30 YA QUE A TT LE PAGANLOS ULTIMOS DIAS DEL MES </t>
  </si>
  <si>
    <t xml:space="preserve">PPC DE 410 ADELANTA EL 23/10 250  O MAS Y RESTANTE EL 31/10 (SE LLAMA DESDE DISCADOR (NO SE GUARDO AUDIO )  INBOUND  NATHALY </t>
  </si>
  <si>
    <t>PPC DE 450 , HASTA EL 29/11/2019</t>
  </si>
  <si>
    <t>PPC DE 50</t>
  </si>
  <si>
    <t>PPC DE 50 ( TT ABONO 300 ESTE MES Y LE FALTA 50 SOLES PARA COMPLETAR PAGO  TRATARA DE HACERLO ANTES  PERO SE INGRESA FECHA DE 31/10</t>
  </si>
  <si>
    <t>ppc de 500 (ecepcion de mayra )</t>
  </si>
  <si>
    <t>PPC DE 500 28/02</t>
  </si>
  <si>
    <t>SE CHANCA PPC YA QUE EL DIA DEL COMPROMISO SE ACORDO A FIN DE MES , PERO EN EL REGISTRO SE AGENDA EL MISMO DIA POR ERROR (SE DETALLA EN OBSERVACION EL ACUERDODEL DIA 12/02)</t>
  </si>
  <si>
    <t xml:space="preserve">PPC DE 500 SOLES , CON ECEPCION TT TIENE LOS 500 PARA PAGAR HOY </t>
  </si>
  <si>
    <t xml:space="preserve">PPC DE 530 REPROGRAMACION </t>
  </si>
  <si>
    <t xml:space="preserve">TT SE COMUNICA A COOPORATIVO PIDIENDO CAMBIO DE FACHA DE PAGO , MENCIONA QUE POR EL TEMA QUE ESTA PASANDO NO LE QUEDA CERCA AGENCIA DE IBK , SE LE FACILITARA OTRAS CUENTAS DE BCP Y NACION </t>
  </si>
  <si>
    <t>PPC DE 550 CLIENTE ABONA 100 EL 14/09 Y RESTANTE EL 30/09</t>
  </si>
  <si>
    <t>PPC DE 557 HASTA EL 13/09</t>
  </si>
  <si>
    <t>PPC DE 600  LUIS GUZMAN FLORES , PAPA DE TT SE HACE CARGO DE DEUDA PAGA 100 EL 17/10 Y REST FIN DE MES   950163124</t>
  </si>
  <si>
    <t xml:space="preserve">PPC DE 600 ESPOSO DE TT PAGA LA DEUDA SR JOSE DE LA CRUZ </t>
  </si>
  <si>
    <t xml:space="preserve">PPC DE 600 HASTA EL 18/09 ABONA EN AGENCIA </t>
  </si>
  <si>
    <t>PPC DE 600 HASTA EL 30/09</t>
  </si>
  <si>
    <t>PPC DE 640  (ECECPION DE MAYRA )</t>
  </si>
  <si>
    <t>PPC DE 670 HASTA 30/09 ( ABONA 70 EL 11/09)</t>
  </si>
  <si>
    <t xml:space="preserve">PPC DE 700   SE LE DA PLAZO HASTA EL 18/10  SI PUEDE EL 16/10 ESTARIA CANCELANDO </t>
  </si>
  <si>
    <t xml:space="preserve">PPC DE 700  SE ACERCA A AGENCIA EL 31/10 A PAGAR </t>
  </si>
  <si>
    <t xml:space="preserve">PPC DE 700 MONTO APROBADO  ENCARGADO RAMIRO OBLITAS ESPOSO DE TT SE HACE CARGO DE CUENTA </t>
  </si>
  <si>
    <t>PPC DE 750 (INBOUND MAYRA )</t>
  </si>
  <si>
    <t xml:space="preserve">PPC DE 780 ECEPCION  POR QUE TT MENCIONA ESTAR DE LICENCIA Y SOLO PUEDE REUNIR EL CAPITAL </t>
  </si>
  <si>
    <t>PPC DE 80</t>
  </si>
  <si>
    <t xml:space="preserve">PPC DE 800 HASTA EL 29/11 (ABONA 100 EL 15/11) RESTANTE A FIN DE MES </t>
  </si>
  <si>
    <t xml:space="preserve">PPC DE 850 HASTA EL 31/10 </t>
  </si>
  <si>
    <t xml:space="preserve">PPC DE 850 HASTA EL31/10 TT NO PUDO JUNTAR DINERO EL MES PASADO </t>
  </si>
  <si>
    <t>PPC DEN 670 HASTA EL 14/10(LLAMAR A LAS 3:30 PARA CONF. PAGO )</t>
  </si>
  <si>
    <t xml:space="preserve">PPC DT 2000 acuerd 880 pagara el 26/11  </t>
  </si>
  <si>
    <t>PPC ELISBAN HIJO RESP SE DA OPCION DE CANCELAR 380 LOS 240 12/10 LO RESTANTE A MAS TARDAR 30/10</t>
  </si>
  <si>
    <t>PPC ELISBAN HIJO RESP SE DA OPCION DE CANCELAR 380 LOS 240 12/10 LO RESTANTE A MAS TARDAR 30/10 ERROR EN TIPIFICACION</t>
  </si>
  <si>
    <t xml:space="preserve">PPC EN 980 SOLES ADELANTO 100 SOLES EL DIA 11/09/19   Y LOS 880 SOLES 30/09/19 EN TRANSCURSO DE LA SEMANAS SEGUIRA PAGANDO </t>
  </si>
  <si>
    <t xml:space="preserve">PPC GESTION POR DISCADOR | CLIENTE REALIZA COMPROMISO DE PAGO PARA EL 29/10 POR MONTO DE S/. 4500 | MENCIONA QUE PAGARA CON TRABAJO INDEPENDIENTE DE COBROS | ESTA INTERESADO EN PAGAR LA DEUDA. </t>
  </si>
  <si>
    <t xml:space="preserve">PPC GLENIS VANESSA HALLASI QUISPE DNI 43928587 ENCARGADO DE PAGO INDICA QUE TT JUNTO LOS 700 YA TIEN EN MANO PARA CNACELAR INDIACQ UE TTE STA DELICADO DE SALUD Y NO PUEDE CAMINAR QUIERE PGAR POR QUE QUIERE ACTIVAR EL SIS / NO TIENE FAMILIA / SIN TRABABAJO / 1 ENTIDAD REPORTADA / </t>
  </si>
  <si>
    <t xml:space="preserve">PPC HASTA EL 1400( TT DEPOSITA EL 31/10 EN LA TARDE </t>
  </si>
  <si>
    <t>PPC HENRY MARZIO GIBAJA VASQUEZ DNI : 42444692 HIJO RESP SE DA EXCEPCION DE 4500 PARA EL 30/09  ESPERA DE UN PAGO DE SU NEGOCIO NO PUEDE ABONAR SOLO DEPENDE DE ESE PAGO ES SEGURO INB ASIGANDO POR MARIANGELA</t>
  </si>
  <si>
    <t>TT FUE A OFIC DE EL SOL CONVERSO CON NATHALY</t>
  </si>
  <si>
    <t xml:space="preserve">PPC HIJA RESP BRIZEY SE DA EXCEPCION DE 1210 PARA EL 16/12 DEPENDE DE SU GRATIFICACION INDICA QUE NO PAGO POR QUE CALLO MAL DE SALUD PERO QUIERE SOLUCIONAR </t>
  </si>
  <si>
    <t>PPC INDICA QUE PAGARA MAÑANA MARTES PAGARA 537 SOLES / INB*</t>
  </si>
  <si>
    <t>PPC INDICQ UE ESTE SABADO 23/11 ENTRE LAS 9 AM O 10 AM LOS 3007  IRA APEDREGAL HA REALIZARTLA CANCELACION INDICQ UE YA HABIA INFORMADO ATERIORMENTE A LA SESORA Y YA SON VARIAS PERSONAS QUE LO LLMAN LLMADA DISCADOR</t>
  </si>
  <si>
    <t>PPC INDICQ UE NO PAGO POR QUE NO LE ACTARON EN VENTANILLA DEPUES DE LOS 20 DIAS DE RETRASO COMO LE TRATARON MAL NO PAGO INDICQ UE PAGAR EL 28/09 O 30/09 350 DEPENDE DE SU SUELDO  LLAMO AL BLANCO</t>
  </si>
  <si>
    <t>PPC NDE 3500 HASTA EL 17/09</t>
  </si>
  <si>
    <t>PPC PAGARÁ 300 HOY</t>
  </si>
  <si>
    <t xml:space="preserve">PPC PAGO DE SU ULTIMA CUOTA 300 29/08 </t>
  </si>
  <si>
    <t xml:space="preserve">PPC PARA EL DIA  18/10/19 400 SOLES </t>
  </si>
  <si>
    <t xml:space="preserve">PPC PARA EL DIA 28 Cancelara </t>
  </si>
  <si>
    <t>PPC PARA FIN DE MES 500 SOLES ABONO 50 SOLES EL DIA 14/11/19 INDICA QUE QUIERE TRABAJAR CON OTRAS ENTIDADES FINANCIERAS POR ESO PAGARA0.</t>
  </si>
  <si>
    <t xml:space="preserve">PPC POR 2100 31/08 INBOUD NEGRO </t>
  </si>
  <si>
    <t>PPC POR 3200.00 SOLES S ELE INDICA QUE ABONE 200 SOLES COMO ADELANTO D EPAGO Y EL DIA LUNES 16 A LAS 6 PM SE ESTARA ACERCANDO A CANCELAR LA DEUDA TOTAL / SMS NOS VUELVE  A LLAMAR.</t>
  </si>
  <si>
    <t>PPC QUIERE CANCELAR Y SACAR UN NUEVO PRESTAMO</t>
  </si>
  <si>
    <t>PPC RESP CUÑADA ROCIO QUISPE QUISPE SE DA EXCPECION  1500 PARA EL 12/11 928309730 NUMERO DEL RESP QUIERE PAGAR POR QUE EL TT ESTA DE VIAJE</t>
  </si>
  <si>
    <t>PPC RESP HIJA PAGARA LOS 400 SOLES 28/08 ASIGNADO POR MARIANGELA</t>
  </si>
  <si>
    <t xml:space="preserve">PPC S/250 SOLES </t>
  </si>
  <si>
    <t>TAT  DICE QUE SU MAMA LE PRESTARA 150 SOLES EL PONDRA LA DIFERENCIA</t>
  </si>
  <si>
    <t>SE LLAMA DEL DISCADOR NO SE PUEDE DESCARGAR LA LLMADA./ERROR DE SISTEMA * NEGOCIADO POR DISCADOR ANTES</t>
  </si>
  <si>
    <t xml:space="preserve">ppc se acepta canpaña de 520 para 28/04 entre las 12pm </t>
  </si>
  <si>
    <t xml:space="preserve">sustento: ya tiene el dinero </t>
  </si>
  <si>
    <t>pagara en el mismo proempresa</t>
  </si>
  <si>
    <t>PPC SE DA EXCEPCION  500 14/10 APROBADO POR JULIO LLAMADA EL CEL BLANCO</t>
  </si>
  <si>
    <t xml:space="preserve">PPC SE DA EXCEPCION 6000 PARA 29/08 UNICA FECHA APROBADO POR MAYRA </t>
  </si>
  <si>
    <t>PPC SE DA EXCEPCION DE 1400 PARA EL 21/11 A MAS TARDAR ABONARA 500 14/11  2PM YA TIENE 1000 SOLO ABONARA 500 INDICA QUE NO PAGO POR QUE  ALLO EN QUIEBRA INDICA QUE CONSEGUIRA LO QUE FALTA QUIERE PAGAR POR QUE QUIERE TRABAJR CON BANCOS PARA MEJORAR SU NEG LLAMADA DISCADOR</t>
  </si>
  <si>
    <t xml:space="preserve">PPC SE DA EXCEPCION DE 1783 DE CAMPAÑA DE SMS PARA 27/11 ENTRE LAS 4 PM O SI NO MANDARA ASU MAMA A REALIZAR EL DEPOSITO LLMADA AL CEL BLANCO </t>
  </si>
  <si>
    <t>PPC SE DA EXCEPCION DE 1800 PARA 10/09 ENTRE LAS 4PM TT SOLICITA EL FILE POR QUE QUIERE LA COPIA DE SU ESCRITURA</t>
  </si>
  <si>
    <t xml:space="preserve">PPC SE DA EXCEPCION DE 3000 PARA EL 30/09 A MAS TARDAR VERA SI PUEDE ANTES EL MES PASADO ABONO 2000 </t>
  </si>
  <si>
    <t>PPC SE DA EXCEPCION DE 3000 PARA EL 30/10 INDICA QUE NO PAGO POR TEMA DE SALUD INDICA QUE ES EL UNICO DIA QUE PUEDE POR TEMAS DE TRBAJAO YA QUE TRABJA EN CHACRA FUERA DE LA CIUDAD EXCEPCION APROBADA POR CESAR</t>
  </si>
  <si>
    <t>PPC SE DA EXCEPCION DE 4500 PARA MAS TARDAR 29/08 VERA SI PUEDE ANTES NO ENVIA UN FAMILIAR POR DESCONFIANZA NO SE REGISTRO CONPROMISO SE INFORMO A MARIANGELA</t>
  </si>
  <si>
    <t xml:space="preserve">PPC SE DA EXCEPCION DE 700 PARA 350 ESTE 7/09 Y 350 14/09 </t>
  </si>
  <si>
    <t>PPC SE DA EXCEPCION DE CANCELAR 1840 31/10 INB ASIGNADO</t>
  </si>
  <si>
    <t>PPC SE DA EXCEPCION DE CANCELAR 4500 CAMPAÑA DEL MES PASADO PARA EL 29/08 DEPENDE DE UN PAGO DE SU TRABAJO  NO PAGO POR QUE NO SABIA COMO PAGAR  LLMADA AL BLANCO</t>
  </si>
  <si>
    <t>PPC SE DA EXCEPCION DE CANCELAR CON 1200 PARA 20/08 2 PM YA TIENE EL DINERO INIDCA QUE HOY SI O SI LO ASE POR QUE VA VIAJAR LLAMO AL CEL BLANCO</t>
  </si>
  <si>
    <t xml:space="preserve">PPC SE DA EXCEPCION DE CANCELAR CON 1500 TT ES MUY DESCONFIADO SE LE ENVIARA ACUERDO Y DATOS DE LA EMPRESA YA QUE SI NO PAGARA </t>
  </si>
  <si>
    <t>PPC SE DA EXCEPCION DE CANCELAR CON 2200 PARA 26/08 YA TIENE EL DINERO LE PRESTO SU VECINA PAGARA ENTRE LAS 3:30PM YA QUE SE VA CONSEGUIR LOS 150 QUE LE FALTA</t>
  </si>
  <si>
    <t>PPC SE DA EXCEPCION DE CANCELAR CON 2500 PARA EL 23/12 A MAS TARDAR VERA SI LO PUEDE REALIZAR ANTES ESTA ALA ESPERA DE SU GRATIFICIACION TT NO PAGO POR MUCHOS INTERES DEL BANCO QUIERE SOLUCIONAR PARA MEJORAR SU RECOR CREDITICIO</t>
  </si>
  <si>
    <t xml:space="preserve">PPC SE DA EXCEPCION DE CANCELAR CON 4MIL ESTE EMS A MAS ATARDAR 30/10 TT INDICA QUE VA ASER LO TODO LO POSIBLE POR QUE ELLA QUIERE CANCELAR SE LE PIDE ABONO INDICA QUE NO  QUIERE PAGR TODO </t>
  </si>
  <si>
    <t xml:space="preserve">PPC SE DA EXCEPCION DE CANCELAR CON 5000 PARA EL 25/10 ABONARA EL 14/10 DE 2500 IRA EN LA MÑANA INDICA QUE SE VA PRESTAR Y VENDERAS SUS COAS POR QUE YA QUIERE CANCELAR </t>
  </si>
  <si>
    <t xml:space="preserve">PPC SE DA EXCEPCION DE CANVCELAR CON 6000 PARA 19/09 INDIC QUE YA TIEN 5MIL Y LOS 1MIL DEPENDE DE UN PAGO DE LA VENTA DE SU CAFE IRA A LA AGENCIA DE CHUMBIVILCAS ENTRE LAS 4 O 5PM </t>
  </si>
  <si>
    <t>PPC SE DA EXCEPCION DE PAGAR 1500 PARA EL 15/11 QUIERE PAGRA INDICA QUE NOPAGO POR QUE LA DEUDA FUE PARA OTRA PERSONA DE LA CUAL NO LE CUMPLIO INDICA QUE QUIERE PAGRA AHORA POR QUE DE AQUI REGRSA A TRBAJR Y NO BAJA ALA CIUDAD LLMADA CEL BLANCO</t>
  </si>
  <si>
    <t>PPC SE DA EXCEPCION DE PAGAR HASTA EL 30/10 LO  REST DEL DESC  5000 ABONO 2300 FALTA 2700</t>
  </si>
  <si>
    <t>PPC SE DA EXCEPCION PARA CANCELAR CON 900 03/09  APROBADO POR MAYRA ESCRIBIO AL CEL GRIS</t>
  </si>
  <si>
    <t>PPC SE DA EXEPCION DE 500 PARA 14/10 APROBADO POR JULIO LLMADA AL CEL BLANCO</t>
  </si>
  <si>
    <t>PPC SE DA OPCION DE CANCELA 2175 PARA EL 30/10 A MAS TARDAR ABONARA ENTRE LA SEMANA Y HOY 9/10 ABONARA 200 ENTRE LAS 3 PM VINO EL 07/10 CONVERSO CON MAYRA</t>
  </si>
  <si>
    <t>ppc se da opcion de cancelacion 392 29/04 campña de sms</t>
  </si>
  <si>
    <t>PPC SE DA OPCION DE CANCELAR 410 PARA 26/08 LLAMO A MI CEL SE COMUNICO POR EL SMS</t>
  </si>
  <si>
    <t xml:space="preserve">PPC SE DA OPCION DE CANCELAR 530 PARA EL 3/09 330 Y PARA 30/09 200 </t>
  </si>
  <si>
    <t xml:space="preserve">PPC SE DA OPCION DE CANCELAR 700 PARA EL 28/10 DEPNDE DE SU TRABAJO INDICQ UE NO PAGO LA VEZ PASADA POR QUE NO LE DIERON EL NUMERO DE LA CUENTA VERA SI LO PUEDE REALIZAR ANTES GESTION DISCADOR </t>
  </si>
  <si>
    <t>PPC SE DA OPCION DE CANCELAR 715 PARA EL 28/10 VERA SI PUEDEIR ABONANDO ANTES INDICQ EU NO PAGO POR UNOS PROBLEMAS YA ES UNAS SEMNAS SE ACERCO A ALA FINANCIERA LLMADA DISCADOR</t>
  </si>
  <si>
    <t>PPC SE DA OPCION DE CANCELAR CON 200 PARA EL 13/09 VERA SI PUEDE ESTE JUVES O AL MENOS UN ABONO NO PAGO SU ULTIA CUOTA POR QUE TUVO UN INCONVENIENTE</t>
  </si>
  <si>
    <t>PPC SE DA OPCION DE CANCELAR CON 3761 PAR EL 21/10 INDICA QUE DEPDNDE DE SU TRBAJA DE UNA OBRA  SI O SI TENDRA EL DINERO SE ENVIARA ACUERDO</t>
  </si>
  <si>
    <t>PPC SE DA OPCION DE CANCELAR CON 800 PARA EL 14/12 NO PAGO PR QUE EN LA CAJA NO LE DIERON REFERENCIA D ELA DEUDA SE COJE A CAMPAÑA DEPENDE SE SU NEGO INDEPENDIENTE UNICO NUMERO LLLMADA DISCADOR</t>
  </si>
  <si>
    <t>PPC SE DA OPCION DE CANCELAR CON CAMPAÑA DE SMS 5776 PARA EL 16/09 DEPENDE DE UN PAGO DE UNA LICITACION DE SUS ASESORIAS</t>
  </si>
  <si>
    <t>PPC SE DA OPCION DE CANPAÑA DE SMS 479 PARA EL 29/08 A MAS TARDAR HARA LO POSIBLE POR ABONAR ANTES O IR ADELNATANDO LLAMO AL CEL BLANCO</t>
  </si>
  <si>
    <t xml:space="preserve">PPC SE DA OPCION DE TORRES RAMOS ELVA ROGELIA DNI : 04439174 RESP ESPOSA INDICA QUE NO PAGARON POR QUE CALLO MAL DE SALUD INDICA QUE ELLA TENDRA EL DINERO Y PAGARA LOS 500 PARA EL 16/12 </t>
  </si>
  <si>
    <t>PPC SE DA OPCION E PAGAR 800 PARA 07/01 Y QUE ESTA INTERESADO EN CANCELAR LAS DOS CUOTA NO PAGO ANTERIORMENTE POR QUE NO TENIA EL DINERO PERO YA LO TIEN EN MANO Y QUIERE CANCELAR /  NO HAY SEARCH</t>
  </si>
  <si>
    <t>PPC SE DIO EXCEPCION DE 1500 PARA EL 7/12 YA QUE NO PAGO EL MES PASADO POR QUE TRABAJO FUERA DE LA CIUDAD Y NO ALCANZO LOS BANCOS YA TIENE EL DINERO</t>
  </si>
  <si>
    <t>PPC SE DIO OPCION DE CANCELAR CON 2000 ABONARA 1500 PARA EL 07/12 Y PARA EL 16/12 500  INBOUNG  ASIGNADO</t>
  </si>
  <si>
    <t>PPC SE DIO OPCION DE DESC DE 170 PARA LIQUIDAR  PGARA MÑANA 29/08 ASIGNADO POR MARIANGELA</t>
  </si>
  <si>
    <t xml:space="preserve">ppc se e brinda cancelar con el monto de 375 soles por ultima vez por incumplimiento </t>
  </si>
  <si>
    <t>PPC SE FUE LA FICHA POR DISCADOR|  CLIENTE CONFIRMA ABONO DE S/. 150 PARA EL 25/10 | NO PAGO POR QUE PRESTAMO FUE PARA AMIGO | TIENE TRABAJOS INDEPENDIENTES.</t>
  </si>
  <si>
    <t>PPC SE LOGRA COMPROMISO CON EL CLIENTE DE 810 SOLES MENCIONA QUE CANCELARA A MAS TARDAR EL DIA 28/10 LOS 310 SOLES Y EL DIA DE HOY A MAS TARDAR MAÑANA ESTARA ABONANDO 500 SOLES YA QUE LOS TIENE EN EFECTVO/ NO ESPECFICA MOTIVO DE NO PAGO. GESTION POR DISCADOR</t>
  </si>
  <si>
    <t>PPC SMS CAMPAÑA INFORME MARIANGELA</t>
  </si>
  <si>
    <t>PPC TT CANCELARA, S/ 300 SOLES SOLO TIENE ESE IMPORTE NO TIENE MAS 30/11/2019</t>
  </si>
  <si>
    <t>PPC TT menciona que no lo pudo pagar debido a que perdio el nr y que no tuvo forma de contacto, menciona que hizo un pago y esta interesado, se da la opcion de cancelar la deuda con S/700 para el dia 30/11, con un abono de S/. 100 para el dia 25/11.</t>
  </si>
  <si>
    <t xml:space="preserve">ppc tt pagara de acuerdo a lo acord 200 </t>
  </si>
  <si>
    <t xml:space="preserve">ppc tt pagara el DT 1000 para el 28 /11 </t>
  </si>
  <si>
    <t xml:space="preserve">ppc tt pagara el monto 1800 el 28/11  </t>
  </si>
  <si>
    <t xml:space="preserve">PPC TT PAGARA SU ULTIMA CUOTA  418 PARA EL 30/01 VERA SI LO PUEDE REALIZAR ANTES / NO TIENE ENTIDADAES REPORTADAS  / 46 AÑOS / NO TIENE TRBAJO ES NEGOCIANTE / </t>
  </si>
  <si>
    <t>PPC TT PAGARA SU ULTIMA CUOTA EL 15/10 330 VERA SI LO REALIZA ANTES</t>
  </si>
  <si>
    <t>PPC TT PAGARA SU ULTIMA CUOTA EL 18/10 330 VERA SI LO REALIZA ANTES no pago por que la resp no tiene el dinero</t>
  </si>
  <si>
    <t xml:space="preserve">PPC TT REALIZA PPC POR S/. 2000 MENCIONA QUE HIZO ABONO DE S/. 400 POR EVALUAR EL 09/10 Y EL LO RESTANTE LO ESTARA CANCELANDO EL 30/10 </t>
  </si>
  <si>
    <t>PPC TT ULTIMA CUOTA CANCELA 29/08 249.50</t>
  </si>
  <si>
    <t>PPC ULTIMA CUOTA 100 PARA EL 26/10</t>
  </si>
  <si>
    <t>PPC X 1300</t>
  </si>
  <si>
    <t>PPC X 1874</t>
  </si>
  <si>
    <t>ppc x 2900 11/05</t>
  </si>
  <si>
    <t>ppc x 400 19/05</t>
  </si>
  <si>
    <t>ppc x 400 soles, pdp asignado por sorteo</t>
  </si>
  <si>
    <t>ppc x 5mil - 1/6</t>
  </si>
  <si>
    <t>PPC X 6089.60 11/05</t>
  </si>
  <si>
    <t>ppc x 700 13/05</t>
  </si>
  <si>
    <t xml:space="preserve">PPC X S/ 500 </t>
  </si>
  <si>
    <t>PPC*100</t>
  </si>
  <si>
    <t>PPC*210</t>
  </si>
  <si>
    <t>PPC*220, SE ACERCA AGENTE BCP</t>
  </si>
  <si>
    <t>PPC*350</t>
  </si>
  <si>
    <t>PPC*350//SE ESTARA ACERCANDO A MI BANCO //GRAB EN DISCADOR</t>
  </si>
  <si>
    <t>PPC*900 , INDICA QUE SE ESTARA ACERCANDO A INTERBANK,// GRAB POR DISCADOR//SE FUE LA FICHA</t>
  </si>
  <si>
    <t>ppc/ dt s/250 // tt indica que no ha podido pagar porque ha tenido problemas economicos //menciona que va a realizar el pago de s/250 por la agencia de  credinka  horas de las tarde // tendra dinero por un prestamo //search edad 69 años //tiene 1 hijo // cuenta con 3 entidades reportadas //llamada manual</t>
  </si>
  <si>
    <t>PPC: 1,300 SOLES</t>
  </si>
  <si>
    <t>100  - 13/05</t>
  </si>
  <si>
    <t>1,200 - 30/05</t>
  </si>
  <si>
    <t>DT: 4,800 SOLES</t>
  </si>
  <si>
    <t>DK: 3,900 SOLES</t>
  </si>
  <si>
    <t>CAMPANA:1,300 SOLES</t>
  </si>
  <si>
    <t>SUSTENTO DE PAGO: CONTARA CON DINERO FIN DE MES CN SEGURIDAD DE TRABAJO.</t>
  </si>
  <si>
    <t>MOTIVO DE IMPAGO:  POR LAS LLUVIAS, SU CASA SE INUNDO Y ESTUVO EN GASTOS.</t>
  </si>
  <si>
    <t>TUVO PROBLEMAS ECONOMICOS.</t>
  </si>
  <si>
    <t>PPC: 1,380 SOLES // 500 19/05 -- 880 SOLES - 26/05</t>
  </si>
  <si>
    <t>DT: 13,500 soles</t>
  </si>
  <si>
    <t>DK: 7 mil</t>
  </si>
  <si>
    <t xml:space="preserve">CAMPANA: 1,600 soles </t>
  </si>
  <si>
    <t xml:space="preserve">le llego sms con 1,380 soles </t>
  </si>
  <si>
    <t>SUSTENTO DE PAGO: tiene 500 en mano y lo restante para el 26/05.</t>
  </si>
  <si>
    <t xml:space="preserve">MOTIVO DE IMPAGO: lo estfaron ya que trabaja en construccion y no le pagaron . </t>
  </si>
  <si>
    <t>PPC: 100 SOLES  - 21/02</t>
  </si>
  <si>
    <t xml:space="preserve">SE PIDE EXCEPCION BASE AL IMPORTE DE 700 SOLES COMO SE LE OFRECIO EN ENERO // </t>
  </si>
  <si>
    <t xml:space="preserve">TT PAGO EN ENERO 350 SOLES QUE SE ESTA RECONOCIENDO EN FEBRERO .. </t>
  </si>
  <si>
    <t xml:space="preserve">Y EL DIA 03/02 . REALZIO OTRO PAGO CON EL IMPORTE DE  250 SOLES. EN TOTAL SUMA 600 SOLES PAGADOS. </t>
  </si>
  <si>
    <t xml:space="preserve">RESTARIA 100 SOLES QUE PAGARA LA OTRA SEMANA. </t>
  </si>
  <si>
    <t>Y CON ELLO YA SE CONDONA LA DEUDA.</t>
  </si>
  <si>
    <t>TT INDICA QUE NO PUDO PAGAR OR PROBLEMAS PERO QUE EL DIA DE HOY ESTARA RALIZNADO LA CANCELACION CON EL IMPORTE DE 800 SOLES //</t>
  </si>
  <si>
    <t>*******************************************************************************</t>
  </si>
  <si>
    <t>PAGADOS:</t>
  </si>
  <si>
    <t>13/01-  S/350 - N.OPE  - 331648</t>
  </si>
  <si>
    <t>03/02 - S/250 -  N.OPE - 655611</t>
  </si>
  <si>
    <t>*******************************************************************</t>
  </si>
  <si>
    <t xml:space="preserve">DK: 900 </t>
  </si>
  <si>
    <t xml:space="preserve">CAMPAÑA: 800 </t>
  </si>
  <si>
    <t xml:space="preserve">EDAD: 67 AÑOS </t>
  </si>
  <si>
    <t>NO TIENE MAS INFORMACION .</t>
  </si>
  <si>
    <t xml:space="preserve">PPC: 100 SOLES </t>
  </si>
  <si>
    <t>(APROBADA POR MARIANGELA)</t>
  </si>
  <si>
    <t>DK: 600 SOLES</t>
  </si>
  <si>
    <t>campaña: 130 soles</t>
  </si>
  <si>
    <t>MOTIVO DE IMPAGO: NO CUMPLIO ANTERIOR PROMESA PORQUE NO SE LE ENVIO DOCUMENTO DE CANCELACION.</t>
  </si>
  <si>
    <t>PPC: 100 SOLES 06/05 (APROBADA POR MARIANGELA)</t>
  </si>
  <si>
    <t>MOTIVO DE IMPAGO: DEJO DE TRABAJAR POR ESO ESQUE NO PAGO.</t>
  </si>
  <si>
    <t>CUENTA CON 100 SOLES EN MANO PARA CANCELAR EL DIA DE MAÑANA .</t>
  </si>
  <si>
    <t>SUSTENTO: CUENTA CON PLATA EN MANO.</t>
  </si>
  <si>
    <t>PPC: 100 SOLES 12/05</t>
  </si>
  <si>
    <t>DT:300 SOLES</t>
  </si>
  <si>
    <t>DK:200 SOLES</t>
  </si>
  <si>
    <t>CAMPANA: 150 SOLES</t>
  </si>
  <si>
    <t>CONTRAPROPUESTA : 100 SOLES</t>
  </si>
  <si>
    <t>SUSTENTO DE PAGO: TIENE PLATA EN MANO</t>
  </si>
  <si>
    <t>MOTIVO DE IMPAGO: TUVO PROBLEMAS FAMILIARES</t>
  </si>
  <si>
    <t>indica que le evien acuerdo de cancelacion por wsp.</t>
  </si>
  <si>
    <t xml:space="preserve">PPC: 1200 SOLES </t>
  </si>
  <si>
    <t xml:space="preserve">TAT VENDERA SU TERNERO PARA CANCELAR LA DEUD. </t>
  </si>
  <si>
    <t>SE APRUEBA EXCEPCION.</t>
  </si>
  <si>
    <t xml:space="preserve">ppc: 1650.00 soles </t>
  </si>
  <si>
    <t xml:space="preserve">tat se cierra negociacion via whatsapp. se Informa a Mariangela. ppc para fin d emes </t>
  </si>
  <si>
    <t>solicita acuerdo de pago y carta secion de derecho.</t>
  </si>
  <si>
    <t xml:space="preserve">PPC: 188 SOLES </t>
  </si>
  <si>
    <t xml:space="preserve">LLEGO SMS CON 188 SOLES </t>
  </si>
  <si>
    <t>EDAD: 45</t>
  </si>
  <si>
    <t xml:space="preserve">ENTODADES: 4 </t>
  </si>
  <si>
    <t xml:space="preserve">SUSTENTO : SUELDO </t>
  </si>
  <si>
    <t>CENTRO LABORAL : ELECTROTIENDAS DEL PERU S.A.C</t>
  </si>
  <si>
    <t xml:space="preserve">SUELDO : 5,093 SOLES </t>
  </si>
  <si>
    <t xml:space="preserve">SUSTENTO :  PAGARA CON SU SUELDO </t>
  </si>
  <si>
    <t>TIENE CARRO .</t>
  </si>
  <si>
    <t>PPC: 3,500 - 21/02.</t>
  </si>
  <si>
    <t>978866676//</t>
  </si>
  <si>
    <t xml:space="preserve">se conversa con tt  , se le indica montos. </t>
  </si>
  <si>
    <t xml:space="preserve">DT: 21 mil soles </t>
  </si>
  <si>
    <t xml:space="preserve">Campaña : 6 mil soles </t>
  </si>
  <si>
    <t>motivo de no pago ; indica porque tuvo gastos y no pudo reunir diner para pagar .</t>
  </si>
  <si>
    <t>Contrapropuesta :  quiere Cancelar con 3,500  que tiene guardados para poder liquidar la deuda, indica que tiene un sueldo minimo en un trabajo nuevo ya que dejo de laborar .</t>
  </si>
  <si>
    <t xml:space="preserve">EDAD: 28 años </t>
  </si>
  <si>
    <t>TRABAJO EN: SM &amp; V INVERSIONES INMOBILIARIAS S.A.C  / Ya no labora.</t>
  </si>
  <si>
    <t xml:space="preserve">PPC: 3,900 SOLES - 12/02. EXCEPCION APROBADA. </t>
  </si>
  <si>
    <t>DT: 49,500</t>
  </si>
  <si>
    <t>DK: 16,700</t>
  </si>
  <si>
    <t xml:space="preserve">CAMPAÑA: 4,700 SOLES </t>
  </si>
  <si>
    <t xml:space="preserve">CONTRAPROPUESTA : 3,800 SOLES </t>
  </si>
  <si>
    <t>NO PAGO : POR DEMANDA DE ALIMENTOS YA QUE TIENE QUE MANDAR PENSION .</t>
  </si>
  <si>
    <t xml:space="preserve">SERACH: </t>
  </si>
  <si>
    <t>EDAD: 53 AÑOS</t>
  </si>
  <si>
    <t>TRABAJA EN : UNIDAD EJECUTORA 302 EDUCACION LEONCIO PRADO</t>
  </si>
  <si>
    <t>SUELDO: 1,365.00 SOLES</t>
  </si>
  <si>
    <t xml:space="preserve">HERMANOS : 1 </t>
  </si>
  <si>
    <t xml:space="preserve">PPC: 300 SOLES // ESPOSO DE TT INDICA SE HARA CARGO DE LA OBIGACION . </t>
  </si>
  <si>
    <t>PPC: 300 SOLES 30/01. (APROBADO POR JULIO)</t>
  </si>
  <si>
    <t>DT: 3,200 SOLES</t>
  </si>
  <si>
    <t xml:space="preserve">MOTIVO DE NO PAGO : NO TENIA EL CONOCIMIENTO DE LA DEUDA Y RECIEN SE ENTERO CUANDO FUE A SACAR OTRA TARJETA. </t>
  </si>
  <si>
    <t xml:space="preserve">CANCELACION : 500  </t>
  </si>
  <si>
    <t xml:space="preserve"> SEARCH:</t>
  </si>
  <si>
    <t>EDAD: 35 AÑOS</t>
  </si>
  <si>
    <t xml:space="preserve">TRABAJA: HOSPITAL HUARAL Y SERVICIOS BASICOS DE SALUD. </t>
  </si>
  <si>
    <t>SUELDO : 1,233 SOLES.</t>
  </si>
  <si>
    <t>1VEHICULO . PLACA : NG41379</t>
  </si>
  <si>
    <t>PPC: 353 SOLES  -  26/05</t>
  </si>
  <si>
    <t>DT: 3,000 mil soles</t>
  </si>
  <si>
    <t>DK: 1,200 soles</t>
  </si>
  <si>
    <t xml:space="preserve">CAMPANA:353.00 soles (llego sms) </t>
  </si>
  <si>
    <t xml:space="preserve">SUSTENTO DE PAGO: sueldo de trabajo </t>
  </si>
  <si>
    <t xml:space="preserve">MOTIVO DE IMPAGO: no tenia los recursos necesarios y la deuda era muy grande. </t>
  </si>
  <si>
    <t>PPC: 400 SOLES 28/02</t>
  </si>
  <si>
    <t>INDICA QUE QUIERE CANCELAE LA DEUDA EL DIA 28 . SE LE PIDE ADELANTO DE 100 SOLES HOY 10/02. - 150 EL DIA 15/02. Y LOS 150 RESTANTE . 28/02.</t>
  </si>
  <si>
    <t xml:space="preserve">DT: 2,500 SOLES </t>
  </si>
  <si>
    <t xml:space="preserve">DK: 900 SOLES </t>
  </si>
  <si>
    <t xml:space="preserve">CAMPAÑA: 400 SOLES </t>
  </si>
  <si>
    <t xml:space="preserve">MOTIVO DE NO PAGO: SE FUE DE VIAJE E INDICA QUE NO PAGO PORQUE TEBIA QUE PAGAR A MEDIAS CON SU HERMANA Y SE PELEARON Y ELLA NO PAGO SU PARTE . CUANDO LLEGO DE VIAJE Y SE ACERCA A LA FINANCIERA LE INDICAN QUE NO TIENE DEUDA. </t>
  </si>
  <si>
    <t xml:space="preserve">INDICO QUE NUNCA LO LLAMARON . </t>
  </si>
  <si>
    <t xml:space="preserve">EDAD: 24 AÑOS </t>
  </si>
  <si>
    <t>TRABAJA EN : SUPERMERCADOS PERUANOS SOCIEDAD ANONIMA S.P.S.A.</t>
  </si>
  <si>
    <t xml:space="preserve">SUELDO : 858 SOLES </t>
  </si>
  <si>
    <t xml:space="preserve">PPC: 500 SOLES  ( S/100 - 09/03  // S/400 SOLES 30/03. </t>
  </si>
  <si>
    <t>400 30/03. DT: 1,100 SOLES</t>
  </si>
  <si>
    <t xml:space="preserve">CAMPAÑA: 500 SOLES </t>
  </si>
  <si>
    <t>MOTIVO DE NO PAGO : NO CONTABA CON DINERO , QUIERE PAGAR FIN DE MES QUE LE PAGAN .. . SE LE SACO ADELANTO  DE 100 SOLES.</t>
  </si>
  <si>
    <t>EDAD: 35 AÑÓS</t>
  </si>
  <si>
    <t xml:space="preserve">FAMILIARES : </t>
  </si>
  <si>
    <t xml:space="preserve">1 HERMANO </t>
  </si>
  <si>
    <t>TIENE ESPOSA .</t>
  </si>
  <si>
    <t xml:space="preserve">NO TIENE MAS REGISTRO . </t>
  </si>
  <si>
    <t>PPC: 7 MIL SOLES (S/100 - 07-03)  (S/2,000 - 15-03)  (S/5,000 - 30-03)</t>
  </si>
  <si>
    <t xml:space="preserve">(DISCADOR) </t>
  </si>
  <si>
    <t xml:space="preserve">DT : 17,300 SOLES </t>
  </si>
  <si>
    <t>DK: 14,200 SOLES</t>
  </si>
  <si>
    <t xml:space="preserve">CAMPAÑA: 7 MIL </t>
  </si>
  <si>
    <t xml:space="preserve">MOTIVO DE NO PAGO : ESTUVO MAL </t>
  </si>
  <si>
    <t>ENTIDADES: NO TIENE NINGUNA MAS REPORTADA .</t>
  </si>
  <si>
    <t xml:space="preserve">NO TIENE MAS REGISTRO EN EL SEARCH .. </t>
  </si>
  <si>
    <t xml:space="preserve">( En el momento de la negociacion no cargaba search ) </t>
  </si>
  <si>
    <t>PPC: 7,800 SOLES  (S/2,000 - 09/03) (S/5,800 - 30/03)</t>
  </si>
  <si>
    <t>INDICO QUE NO PAGO ANTES PORQUE NO TIENE TIMEPO... PERO HOY ESTA LIBRE Y LO HARA A LA 1 O 2 DE LA TARDE.</t>
  </si>
  <si>
    <t>DT: 41 MIL SOLES</t>
  </si>
  <si>
    <t>DK; 20 MIL SOLES</t>
  </si>
  <si>
    <t>CAMAPAÑA: 7,800 SOLES</t>
  </si>
  <si>
    <t>NO PAGO : ESTABA TRABAJANDO Y NO LE DIO TIEMPO PARA CANCELAR ..</t>
  </si>
  <si>
    <t>CONTRAPOPUESTA : 7000 MIL ( CUENTA CON 2 MIL A MANO)</t>
  </si>
  <si>
    <t xml:space="preserve">DONDE SACARA DINERO: FAMILIAR LE PRESTARA PARA PAGAR LO RESTANTE. </t>
  </si>
  <si>
    <t>ENTIDADES: 0</t>
  </si>
  <si>
    <t>TRABAJA EN : JULAN CONSTRUCTORES S.A.C.</t>
  </si>
  <si>
    <t>SUELDO: 1,749 SOLES</t>
  </si>
  <si>
    <t>PPC: 843 SOLES 07/02. ( IMBOUND MAYRA )</t>
  </si>
  <si>
    <t xml:space="preserve"> DT: 1,800 soles</t>
  </si>
  <si>
    <t>DK: 900 SOLES</t>
  </si>
  <si>
    <t>CAMPAÑA: 843 SOLES</t>
  </si>
  <si>
    <t>TT INDICA Y CONFIRMA EL PAGO PARA EL DIA DE MAÑANA 07 E INDICA QUE YA NO QUIERE TENER DEUDA.</t>
  </si>
  <si>
    <t>TRABAJA EN: MARQUEZ GUEMBES CARLOS FELIPE</t>
  </si>
  <si>
    <t>SUELDO : 2000</t>
  </si>
  <si>
    <t>EDAD: 39 AÑOS .</t>
  </si>
  <si>
    <t>ENTIDADES: SOLO CON LA TARJETA OH.</t>
  </si>
  <si>
    <t xml:space="preserve">EN  FINANCIERA CREDITOS AREQUIPA ESTA NORMAL . </t>
  </si>
  <si>
    <t>PPC: 948 SOLES  (IMB MAYRA)</t>
  </si>
  <si>
    <t>CAMPAÑA: 948 SOLES</t>
  </si>
  <si>
    <t>LABORA EN : ENOBRA CONTRATISTAS S.A.C.</t>
  </si>
  <si>
    <t xml:space="preserve">PPC: S/1,100.00    ( S/600 - 11/03 -- S/500 - 27/03 ) ( IMBOUND) </t>
  </si>
  <si>
    <t xml:space="preserve">Esposo de tt , Responsable de pago : </t>
  </si>
  <si>
    <t>GERSON GUSTAVO PALOMINO SANCHEZ con DNI: 45499428</t>
  </si>
  <si>
    <t>indica que se hara cargo de la obligacon /</t>
  </si>
  <si>
    <t xml:space="preserve">Motivo de no pago : DESCONOCIA  LA DEUDA.. </t>
  </si>
  <si>
    <t>cuenta con 600 a mano , se le indica que abone lo que tiene en mano y los restante en dia 27/03.  (conforme)</t>
  </si>
  <si>
    <t>pide informacion por correo : gerson.palomino11 gmail.com</t>
  </si>
  <si>
    <t>edad : 29 años</t>
  </si>
  <si>
    <t>trabaja en : L Y M TABLEROS ELECTRICOS S.A.C.</t>
  </si>
  <si>
    <t>sueldo : 795 soles</t>
  </si>
  <si>
    <t>no tiene mas registro en search.</t>
  </si>
  <si>
    <t>PPM DNI : 45603613 JULIA ANAHUA ACARAPI HIJA RESP SE DA opcion de pagar 3500 ya abono 500 se dio excepcion de 2 cuotas pero consegui todo el monto y lo pagara 30/12  /68 años / no tiene trabajo ene searh / 2 hijos / gestion el sabado se informa al supervisor</t>
  </si>
  <si>
    <t>PPS SE DA EXCEPCION 1500 PARA 29/08 APROBADO POR MARIANGELA</t>
  </si>
  <si>
    <t>ppt aprobada</t>
  </si>
  <si>
    <t>Prima de tt se hace cargo pago paga este viernes 225 y restante fin de mes</t>
  </si>
  <si>
    <t xml:space="preserve">PROVACION DE EXCEPCION </t>
  </si>
  <si>
    <t>PPC DE 1600</t>
  </si>
  <si>
    <t>TT cancela mañana el monto aprovado fidelneira2404@gmail.com (carta por correo )</t>
  </si>
  <si>
    <t xml:space="preserve">pza manco capac se dedica a manco capac dejo de pagar por problema de salud  /// cayo de columna //ese fue el motivo confecciones </t>
  </si>
  <si>
    <t>edad : 43</t>
  </si>
  <si>
    <t>hermanos :4</t>
  </si>
  <si>
    <t xml:space="preserve">RALIZARA EL ABONO DE CANCELACION LO REALIZARA POR BCP YA QUE ENCUENTRA EN AREQUIPA </t>
  </si>
  <si>
    <t>rdp hijo eduardo alva abanto cancelara deuda en sullana, o bcp, se remite medios de pago por whatsap, para con sueldo / plantilla 20/05/20 13:04</t>
  </si>
  <si>
    <t>rdp roxana  velasquez ledesma, cancela en QAPAQ deuda con 2500 soles (excepcion aprobada)</t>
  </si>
  <si>
    <t xml:space="preserve">Realizará cancelación </t>
  </si>
  <si>
    <t xml:space="preserve">Realizará cancelación en el importe de s/ 55,000.00 </t>
  </si>
  <si>
    <t>REALIZARA CANCELACION TOTAL X S/1500</t>
  </si>
  <si>
    <t xml:space="preserve">realizará cancelación. </t>
  </si>
  <si>
    <t>REALIZARA DEPOSITO POR 40 SOLES GB NEGRO</t>
  </si>
  <si>
    <t xml:space="preserve">REALIZARA EL PAGO DE s/1500 EN DOS CUOTAS </t>
  </si>
  <si>
    <t xml:space="preserve">Ya realizo el pago de S/800 el dia de HOY Y 700 PARA EL 10/12 </t>
  </si>
  <si>
    <t xml:space="preserve">Realizará el pago hoy 31/01 </t>
  </si>
  <si>
    <t xml:space="preserve">Realizará el pago hoy, envía voucher </t>
  </si>
  <si>
    <t>realizara la cancelacion con lo restante para el dia 30/05.</t>
  </si>
  <si>
    <t>realizara la cancelacion de S/250.00 con el dinero de una junta que recibe ese dia ,jueves28/11,es taxista.</t>
  </si>
  <si>
    <t>realizara la transferencia hoy</t>
  </si>
  <si>
    <t xml:space="preserve">realizará pago </t>
  </si>
  <si>
    <t>REALIZARA PAGO 23/10 POR 345</t>
  </si>
  <si>
    <t>Realizará pago de 20,000 soles el día de hoy.</t>
  </si>
  <si>
    <t>Realizará pago de 25,000 soles para cancelar su deuda, hoy abonará el 50%.</t>
  </si>
  <si>
    <t xml:space="preserve">Realizará pago de 5500 y 2500 para fdm </t>
  </si>
  <si>
    <t>Realizará pago de 9800 soles el día de hoy.</t>
  </si>
  <si>
    <t>Realizará pago el día de hoy 28/12 , se envía número de cuenta del bcp vía whatsapp .</t>
  </si>
  <si>
    <t>realizara pago por medio del app scotiabank cancelara con dscto, tt trabja actualmente,</t>
  </si>
  <si>
    <t>campaña: 371</t>
  </si>
  <si>
    <t xml:space="preserve">Realizará pago. </t>
  </si>
  <si>
    <t xml:space="preserve">realizarán pago </t>
  </si>
  <si>
    <t>Realizo la cancelacion total de la deuda con 1800 el dia de hoy  27/12</t>
  </si>
  <si>
    <t xml:space="preserve">Realizó pago en 2 partes 2,000 soles el día 30 de Diciembre y 30,000 el día 31 de Diciembre </t>
  </si>
  <si>
    <t xml:space="preserve">RECORDATORIO DE PAGO </t>
  </si>
  <si>
    <t>REFINANCIAMIENTO :  REFINANCIAMIENTO POR EXCEPCION 4/4</t>
  </si>
  <si>
    <t xml:space="preserve">FECHA DE PAGO:  30/03  </t>
  </si>
  <si>
    <t xml:space="preserve">TT DICE QUE ESTARIA REALIZANDO SU ULTIMO PAGO DE PPM </t>
  </si>
  <si>
    <t>EDAD DE TT:  67 AÑOS</t>
  </si>
  <si>
    <t>DEUDAS: BCO DE LA NACION (CALIF. 4)</t>
  </si>
  <si>
    <t>SUELDO: MUNICIPALIDAD DISTRITAL CANOAS DE PUNTA SAL MAYOR AL MINIMO</t>
  </si>
  <si>
    <t>RENEGOCIACION - SE LE LLAMO DEL DISCADOR.</t>
  </si>
  <si>
    <t>DT: 1800</t>
  </si>
  <si>
    <t>CAMPAÑA: 260</t>
  </si>
  <si>
    <t>FECHA DE PAGO:  31/01</t>
  </si>
  <si>
    <t>tt dice que se sentia desconfiada porque anteriormente tambien le estuvieron llamando para que pague y por ello no quiso responder, pero dice que mañana estaria realizando el pago con la campaña de 260</t>
  </si>
  <si>
    <t>EDAD DE TT: 46</t>
  </si>
  <si>
    <t>DEUDAS:  SOLO REGISTRA CON FINANCIERA OH</t>
  </si>
  <si>
    <t>SUELDO:  NO REGISTRA PERO SI CUENTA CON TRABAJO.</t>
  </si>
  <si>
    <t xml:space="preserve">Reprograacion : PPC&gt; 70 soles </t>
  </si>
  <si>
    <t>motivo de impago : tuvo problemas con dinero.</t>
  </si>
  <si>
    <t xml:space="preserve">reprograma la fecha de pago </t>
  </si>
  <si>
    <t xml:space="preserve">REPROGRAMACION </t>
  </si>
  <si>
    <t>acuerdo con tt para cancelar 350  en dos parte: 200 el dia 15-4 y 150 el dia 30.5</t>
  </si>
  <si>
    <t>STP: DE SUS INGRESOS</t>
  </si>
  <si>
    <t>DT 2226   CAMPAÑA 1163</t>
  </si>
  <si>
    <t xml:space="preserve">TT ABONO EL DIA DE AYER 50 SOLES DEL COMPROMISO DE 1213 SE LE DA OPCION QUE REPROGRAMAR EL RESTANTE ESTE MES PARA PODER CANCELAR , </t>
  </si>
  <si>
    <t xml:space="preserve">reprogramacion </t>
  </si>
  <si>
    <t>ppc de 300</t>
  </si>
  <si>
    <t xml:space="preserve">tt menciona que no  tiene movilidad para acercarse a ka ciudad el dina lunes ira a la agencia </t>
  </si>
  <si>
    <t xml:space="preserve">TT SE COMUNICA POR WHATSAAP INDICANDO QUE SE LE REPROGRAME PARA FIN DE MES YA QUE NO PUDO REUNIR EL MONTO DE CANCELACION </t>
  </si>
  <si>
    <t>TT SE COMUNICA MEDIANTE WHATSAAP  PEDIA UNA REPROGRMACION  FALTABA CONFIRMAR Y YA  EN LAM TARDEB CONTESTA LLAMADA DONDE  SE ACUERDA EL,PAGO HASTA FIN DE MES EXTENDIENDO FECHA  JUEVES ABONA 200  Y FIN DE MES RESTANTE 1500</t>
  </si>
  <si>
    <t xml:space="preserve">REPROGRAMACION / HASTA 31-03 PAGARA 108 EN BCP, SR NOS ESCRIBE POR WHASAP. POR EL ESTADO DE EMEGENCIA NO PUEDE SALIR DE SU CASA, PERO SE LE PIDE SI CONSIGUE UN AGENTE BCP REALICE EL PAGO, CLIENTE NOS LLAMRA EL DIA QUE LO HAGA. </t>
  </si>
  <si>
    <t>REPROGRAMACION : PPC- 520  - ULTIMO PLAZO : 07/02.</t>
  </si>
  <si>
    <t>PAGO INCUMPIDO POR MOTIVO DE QUE NO ENCONTRO BANCO ABIERTO YA QUE SE HIZO TARDE. CONFIRMA PAGO HOY CON SEGURIDA.</t>
  </si>
  <si>
    <t>REPROGRAMACION 28/02</t>
  </si>
  <si>
    <t>200 SOLES</t>
  </si>
  <si>
    <t>SE REALIZA LLAMADA DESDE EL CORPORATIVO 19, TT INDICA QUE SE ALARGUE EL PLAZO HASTA EL 28/02 PARA CANCELAR</t>
  </si>
  <si>
    <t>TT INDICA QUE TUVO PROBLEMAS EN SU TRABAJO Y NO LE PAGAN AUN</t>
  </si>
  <si>
    <t>REPROGRAMACION 30-4</t>
  </si>
  <si>
    <t>DT 400 CAMPAÑA 188</t>
  </si>
  <si>
    <t>TT DICE QUE LUEGO DE CUARENTENA HACE EL PAGO</t>
  </si>
  <si>
    <t>STP: TT DICE QUE PASE SITUACION DE CUARENTENA Y EL PAGO LO HACE HASTA EL 15</t>
  </si>
  <si>
    <t>DT 6119 CAMPAÑA 2000</t>
  </si>
  <si>
    <t>TT SE COMUNICA A CELULAR CORPORATIVO, DICE QUE CUENTA CON 500 SOLES PARA ABONAR MAÑANA 2-4, TT DESEA ABONAR LO QUE TENGA EN EL TRANSCURSO DEL MES, SE LE INDICA QUE HASTA FIN DE MES CANCELE LOS 2000 SOLES DE EXCEPCION</t>
  </si>
  <si>
    <t>STP:TT DICE QUE DISPONE DE 500 PARA ABONAR MAÑANA</t>
  </si>
  <si>
    <t>REPROGRAMACION DE LA PPC 31/03</t>
  </si>
  <si>
    <t>TT INDICA QUE NO PUDO REALIZAR EL ABONO YA QUE NO LE PAGARON SEGUN LO CORRESPONDIENTE A LO QUE TENIA QUE COBRAR, INDICA QUE ESTE MES SI O SI REALIZARA LA CANCELACION DE LA DEUDA, INDICA QUE ABONARA UN MINIMO EL DIA DE HOY 02/03, EL RESTANTE A FIN DE MES, 57 AÑOS, TRABAJA EN SECTOR AGRARIO, ENTIDADES REPORTADAS CREDISCOTIA Y QAPAQ.</t>
  </si>
  <si>
    <t>DK 946</t>
  </si>
  <si>
    <t>MDI: DUDAS SOBRE DE DONDE ERA LA DEUDA, SE ENVIO CARTA DE SESION</t>
  </si>
  <si>
    <t>STP: HIJA 45187493 ESPINOZA CASIMIRO JESSICA LEONOR, INDICA QUE EL PAGO LO REALIZARAN EL DIA 18/05, HIJA A YUDARA A CANCELAR</t>
  </si>
  <si>
    <t>REPROGRAMACION DE PPC 31/03</t>
  </si>
  <si>
    <t>CLIENTE SOLO PUDO REALIZAR EL ABONO DE 400 SOLES EL MES PASADO YA QUE NO LE CUMPLIERON CON SU PAGO, ESTE MES LLEGA A LA CANCELACION DE LA CAMPAÑA BRINDADA DE 667, SOLO LE RESTATIA 277, SE LE COBRA 10 SOLES MAS POR PENALIDAD, TRABAJA COMO MAESTRO DE OBRAS, 28 AÑOS SOLO ENTIDAD REPORTADA QAPAQ</t>
  </si>
  <si>
    <t>REPROGRAMACION DE PPC</t>
  </si>
  <si>
    <t>INBOUND ASIGANADO POR MARIANGELA</t>
  </si>
  <si>
    <t>DK 107.87</t>
  </si>
  <si>
    <t>DT 772.78</t>
  </si>
  <si>
    <t>CAMPAÑA 90</t>
  </si>
  <si>
    <t>TT INDICA QUE SE OLVIDO DE REALIZAR EL ABONO YA QUE SE FUE DE VIAJE EN LA MADRUGADA, INDICA QUE EL VIERNES ESTARA REALIZANDO EL ABONO, DEUDA GENERADA POR UN SEGURO NO PAGADO, 60 AÑOS, NO REPORTA ENTIDADES EN EL SEARCH</t>
  </si>
  <si>
    <t>REPROGRAMACION PPC 02/03</t>
  </si>
  <si>
    <t>TT INDICA QUE NO PUDO REALIZAR EL ABONO PARA LA FECHA INDICA YA QUE SE FUE DE VIAJE, INDICA QUE SE ESTA ACERCANDO A REALIZAR LA CANCELACION, TRABAJA EN SERVICIO INTEGRADOS  DE LIMPIEZA SAC, 34 AÑOS, SOLO SULLANA COMO ENTIDAD REPORTADA, INDICA QUE QUIERE CARTA EN FISICO.</t>
  </si>
  <si>
    <t>REPROGRAMACION</t>
  </si>
  <si>
    <t>tt indica que el dia miercoles 8-4 recibira un cheque y desea le den plazo hasta el dia 9-4 para mas seguridad</t>
  </si>
  <si>
    <t>stp: recibira pago</t>
  </si>
  <si>
    <t>MDI: TT INDICA QUE TUVO PERCANCE</t>
  </si>
  <si>
    <t>ACUERDO CON TT PARA CANCELAR CON 688 CON PLAZO HASTA 31-3</t>
  </si>
  <si>
    <t>DT 1600 CAMPAÑA 158</t>
  </si>
  <si>
    <t xml:space="preserve">TT INDICA HARA LO POSIBLE PARA CANCELAR </t>
  </si>
  <si>
    <t xml:space="preserve">STP: TT DICE QUE SU ESPOSO RECIBE UN DINERO ESTA SEMANA Y QUE HABLARA CON EL </t>
  </si>
  <si>
    <t>reprogramacion</t>
  </si>
  <si>
    <t xml:space="preserve">dt 4783  campaña 540 </t>
  </si>
  <si>
    <t xml:space="preserve">STP: tt indica que dispone del efectivo para realizar el pago </t>
  </si>
  <si>
    <t>observacion: acuerdo con tt para cancelar con 540 con plazo hasta el dia 31-3</t>
  </si>
  <si>
    <t>tt indica que no puedo realizar el pago y que dispone del efectivo para realizar el pago hasta el dia 31-3</t>
  </si>
  <si>
    <t>acuerdo con tt para cancelar con 540 con plazo hasta el dia 31-3</t>
  </si>
  <si>
    <t>REPROGRAMACION: 28/01 5200 SOLES</t>
  </si>
  <si>
    <t>CLIENTE NO PUEDO ABONAR EL RESTANTE DE 1200 DE LOS 1500 ACORDADOS, SE REALIZA COMUNICACION POR WHATSAPP YA QUE NO CONTESTA POR QUE TRABAJA</t>
  </si>
  <si>
    <t xml:space="preserve">Se realiza llamada desde el corporativo 938869948, caso tipificado el 08/01, se le indica DT 8500, campaña 5500, tt indica que recien este mes estara recibiendo pagos de a pocos del sector agrario donde se dedica a la elaboracion de presupuestos, indica que el siguiente mes recibira pagos mas fluidos, tt indica que quiere cancelar de la siguiente manera para no fallar en sus pagos, abonar este mes 1500 de la siguiente manera 300 este lunes 13/01 y el restante de 1200 el 31/01, y el restante de campaña que seria 4000 soles en febrero ya que tendra disposicion de mucho mas efectivo para saldar deuda y llegar a la cancelacion total de la deuda </t>
  </si>
  <si>
    <t xml:space="preserve">REPROGRAMACION: TT INDICA QUE NO TERMINA SU TRABAJO AUN . Y EL DIA MIERCOLES CON SEGURIDAD LO ESTARA CANCELANDO. </t>
  </si>
  <si>
    <t>REPROGRAMACION: TT INDICA QUE TUVO INCONVENIENTE / EL DIA MIERCOLES CON TODA SEGURIDAD ESTARA PAGANDO .</t>
  </si>
  <si>
    <t>REPRORAMACION : TT INDICA QUE HOY ESTARA PAGANDO.. ESTA CAMBIANDO DOLARES Y EN 10 MINUTOS ESTARA CANCELANDO .</t>
  </si>
  <si>
    <t>REPS MAMA GLORIA DNI32795114  DT 1000 DC 700  DIC HJO SACO PRETAMO POR ESTUDIOS Y SE ENFERMO Y POR ESO NO PGO Y ELLA SE HARA RESPOSABLE DEL PGO CANCELARA CN 700 EL 24/0    SHERK TT TIENE 28 AÑOS  NO SALE TRABAJO  TAMPOCO DEUDA  , DA CEL DE ESPOSO 944665932/ INBAUS NATI</t>
  </si>
  <si>
    <t>RESPONDABLE DE PAGO : SARITA ARIAS SORIA dni: 46501878</t>
  </si>
  <si>
    <t>TT ESTA ENFERMA, SUFRE DE LA PRESION, NO TRABAJA.</t>
  </si>
  <si>
    <t xml:space="preserve">Fecha de Pago: 20- 01-2020  </t>
  </si>
  <si>
    <t>DT : 5900</t>
  </si>
  <si>
    <t>DK : 350</t>
  </si>
  <si>
    <t>CAMPAÑA: 1690</t>
  </si>
  <si>
    <t>PORQUE NO PAGO: por temas de salud// dejo de trabajar</t>
  </si>
  <si>
    <t>PARA QUE SACO EL PRESTAMO: por salud</t>
  </si>
  <si>
    <t>DATOS DEL RESPONSABLE DE PAGO// MAMA SOLTERA CUBRE CON TODOS LOS GASTOS, TIENE 2 HIJOS</t>
  </si>
  <si>
    <t>CMAC CUSCO S A</t>
  </si>
  <si>
    <t>edad: 31</t>
  </si>
  <si>
    <t>si trabaja: EMPLEADORA PUBLICA CONTRATADA--&gt; MUNICIPALIDAD PROVINCIAL LA CONVENCIÓN</t>
  </si>
  <si>
    <t>cuanto gana: 2167</t>
  </si>
  <si>
    <t>CONTRAPROPUESTA DEL TT: 850 SOLES</t>
  </si>
  <si>
    <t>RESPONSABLE  : FRANCISCO  ESPOSO //  TT PAGARA 280  // MDNP :  NO CONTABA CON EL DINERO // NO BRINDA  EXCEPCION APROBADO POR MARIANGELA.</t>
  </si>
  <si>
    <t xml:space="preserve">RESPONSABLE  : HERMANA DE TT ELIZABETH ///   PAGARA 800  // MDNP : NO CONTABA CON DINERO // NO BRINDA ·#  AUDIO MI CELULAR PERSONAL   APROBADO POR MAYRA  </t>
  </si>
  <si>
    <t xml:space="preserve">RESPONSABLE  : HIJAS DE TT   MERY TORRES  - SHARO TORRES // EXCEPCION APROBADA  PARA  CANCELACION DE LA DEUDA // NO BRINDA  #   </t>
  </si>
  <si>
    <t xml:space="preserve">RESPONSABLE :  MARILUZ  TT EXCEPCION APAROBADO  POR 500 PAGARA EN EL AGENTE BCP .   </t>
  </si>
  <si>
    <t xml:space="preserve">RESPONSABLE : HIJO  ODBED  ERA PPM PERO ASESORA TIPIFICO MAL // CANCELARA SU ULTIMA CUOTA ESTE MES DE NOVIEMBRE // NO BRINDA // AUDIO NARANJA SE LE CONSULTO A MAYRA PARA EXTENDER A FIN DE MES YA QUE SE RESPETARA LA TIPIFICACION DE LA ASESORA . </t>
  </si>
  <si>
    <t xml:space="preserve">SE BORRO DEL SISTEMA POR PROBLEMAS DEL DISCADOR HAY AUDIO  </t>
  </si>
  <si>
    <t xml:space="preserve">RESPONSABLE : SARA // SE LE CONFIRMA PAGO PARA FIN DE MES  CON SEGURIDAD YA QUE SU HERMANO NO PUDO PAGARLO  // AUDIO NARANJA // NO BRINDA  # </t>
  </si>
  <si>
    <t xml:space="preserve">RESPONSABLE ALBERTO MAMANI 80028364 / nos menciona que dejo de pagar porque tuvo un accidente trabajando en la mina, el responsable de compromete a apagar 1300 soles 16/01 en credinka. El dinero lo sacara de sus ahorros / search : 41 años. total  tiene 1 deuda, soltero, segun search no tiene trabajo con planilla. Deuda 4100 kapital: 2100 campaña de 1300 soles. ( se hace trato con responsable. </t>
  </si>
  <si>
    <t xml:space="preserve">responsable de pago el Sr, roger herrera  se compromete a pagar el importe de 1500 soles para el dia de hoy / ppc excepcion de mariangela  </t>
  </si>
  <si>
    <t xml:space="preserve">responsable julio flores andrade / reprogramacion hasta 31-03 monto 150 soles ( o sino la 1era semaa de abril )menciona que no hay movilidad, pide que bajen el monto, pero no se le asegura. </t>
  </si>
  <si>
    <t xml:space="preserve">RESPOSANSABLE : NILTON ESPOSO // MDNP : AYER SE LE HIZO TARDE NO PUDO LLEGAR  A CANCELAR // CANCELARA CON SEGURIDAD YA TIENE EL DINERO A LA MAÑO HAY GRABACION SI DESEAN ESCUCHARLO . </t>
  </si>
  <si>
    <t xml:space="preserve">ROGER HUAMAN HERMANO DE TE MENCINA QUE NO LE DIERON PERMISO E SU TRABAJO </t>
  </si>
  <si>
    <t>rpp</t>
  </si>
  <si>
    <t>RPP -  TT PAGARA 600  //  EN LA MISMA FINANCIERA QAPAQ  (SISTEMA)</t>
  </si>
  <si>
    <t>RPP CLIENTE CONFIRMA PAGO DE 250 SOLES PARA EL 31/10 | ABONA 50 SOLES EL 25/10 Y LOS 200 EL 31/10 | SE FUE LA FICHA | TRABAJO INDEPENDIENTE</t>
  </si>
  <si>
    <t xml:space="preserve">S/5,030.00 PPC ACUERDO DE CANCELACION CON MIN1 AL CUAL SE LE ENVIO DE CAMPAÑA EN NOV / TAT IRAA B.NACION A SACAR EL DINERO / EL ABONO YA 100 EL MES D ENOV PARA SEPARAR SU CAMPAÑA DE CANCELACION * SE LE INFORMA A MARIANGELA </t>
  </si>
  <si>
    <t>se accede a cancelar deuda con el importe de s/500.00 // se apruevba mayra y julio</t>
  </si>
  <si>
    <t>se accede a cancelar deuda con el importe de s/510.00 // se apruevba mayra y julio</t>
  </si>
  <si>
    <t>se accede a pagar con el importe de s/7000.00 cancela deuda con expecion ya cuentan con el dinero</t>
  </si>
  <si>
    <t>se acepta excepcion 1200 soles</t>
  </si>
  <si>
    <t>27/05/20 - se envia acuerdo de pago para que valide en agencia chepen</t>
  </si>
  <si>
    <t>SE ACEPTA EXCEPCION Y SE CIERRA EN 2100 SOLES PPC</t>
  </si>
  <si>
    <t>PARA EL DIA 28/05/20 PERO SI PUEDE EL DIA MIERCOLES ESTARIA PAGANDO.</t>
  </si>
  <si>
    <t xml:space="preserve">se acepta propuesta de cliente para realizar cancelación con el importe de s/ 40,000.00 </t>
  </si>
  <si>
    <t xml:space="preserve">Se acepta propuesta de pago por el monto de s/ 30,500.00 , encargado realizará el pago el día de hoy 29/01. </t>
  </si>
  <si>
    <t xml:space="preserve">Se acepta propuesta para cancelar con el importe de s/ 8000 de la siguiente manera: s/ 1000 para el 23/12 y el saldo restante para el 30/12. </t>
  </si>
  <si>
    <t xml:space="preserve">Se acepta solicitud de s/ 5000 para la cancelación total. Se programa pago para el 29/01. Solicita que enviemos acuerdo de pago vía whatsapp. </t>
  </si>
  <si>
    <t>SE ACORDÓ QUE PAGARÁ 155  SOLES EL DIA  VIERNES, DT 230, SE ENVIARA MENSAJE DE SMS CON EL NUMERO DE CUENTA, N PUDO PAGAR LOS COMPROMISOS ANTERIORES PORQUE SU CASA SE CAYO, PARA ESTE MES SE COMPROMETIO - 962901085 (COMPROMISO ´POR DISCADOR)</t>
  </si>
  <si>
    <t xml:space="preserve">Se activa campaña por 2,600.00 soles. Cliente indica que cancelarà a partis de las 10am en CDRK . Fondos grati. </t>
  </si>
  <si>
    <t>SE ACTIVA LA CAMAPAÑA POR 1000 MIL SOLES // PARA EL DIA DE HOY ANTES DE LAS 5 PM / LA NEGOCIACION ESTA ABAJO COMO TAT/</t>
  </si>
  <si>
    <t>SE ACUERDA CN EL RP LEGAL MENCIONA QUE EL DIA SABADO 07/09 CANELARA EL IMPORTE DE 2200 SOLES / EN BASE  A 5 MIL SOLES CANCELA / APROBADO POR JULIO EL SABADO 31/09</t>
  </si>
  <si>
    <t xml:space="preserve">SE ACUERDA CON EL CLIENTE EN ACEPTARLE EL MONTO DE LOS 12 MIL SOLES HASTA EL DIA 15/10 O ANTES / ENVIARA CORREO PARA PODER ENVIARLE SU ACUERDO DE CANCELACION / </t>
  </si>
  <si>
    <t xml:space="preserve">SE ACUERDA CON EL CLIENTE EN QUE SE LE APROBO EL MONTO DE LOS 500 SOLES LOS CUALES MENCIONA QUE LOS HARA EL DIA 23/12 YA QUE EL DINERO QUE LE PRESTARAN SE LO DARAN ESE DIA CONFIRMO ABONO / </t>
  </si>
  <si>
    <t>se acuerda con tt que del compromiso de pago de los S/.800 para cancelar , ya dio adelanto de S/.200 y la diferencia deberà pagarlo hasta el 30/10, de tener el dinero antes avisarà por sms//se le informa que de incumplir el pago no tendrà mas excepciòn a futuro y que lo abonado serà sobre la deuda total mas intereses</t>
  </si>
  <si>
    <t xml:space="preserve">se acuerdaa con el hermano de la tt roger huaman menciona que solo cuenta con 2000 mil soles para cancelar / los cuales los hara el dia sabado 12/10 </t>
  </si>
  <si>
    <t>Se aprobó el monto de 20,000 soles solo para cancelar por hoy.</t>
  </si>
  <si>
    <t xml:space="preserve">SE APROBO EXCEPCION DE 700 SOLES SR PAGARA EN CAJA SULLANA EL DINERO LO SACARA DE SUS AHORROS, SOLICITA CARTA ENVIANDOLA A SU CORREO. PPC 06-05 </t>
  </si>
  <si>
    <t xml:space="preserve">se aprobo excepcion importe de 300 se le indico por ultima vez se generara excepcion  </t>
  </si>
  <si>
    <t>se aprobo exepcion , lucelia esposa acced a cancelar con el importe s/492 el dia 15/05 se genera compromiso</t>
  </si>
  <si>
    <t>se aprobo exepcion cancelar el importe de s/250.00 el dia 10/03 guisella huaman garcia se hace responsable del pago</t>
  </si>
  <si>
    <t>se aprobo exepcion cl  , cancela con el importe de s/1395.00 el dia de hoy se envia forma de pago</t>
  </si>
  <si>
    <t xml:space="preserve">se aprobo exepcion de s/2700.00 , el dia demañana se esta cancelado la deuda  , se le envia acuerdo de cancelacion </t>
  </si>
  <si>
    <t xml:space="preserve">SE APROBO EXEPCION PARA CANCELAR CON EL IMPORTE DE S/1000.00 EL ENCARGADO DE PAGOS SR ARTURO SALAZAR MORAN  ESTARA DEPOSITANDO EL DIA DIA MAÑANA 21/02 DINERO LO SACA DE AHORROS  </t>
  </si>
  <si>
    <t>SE APROBO EXEPCION PARA CANCELAR CON EL IMPORTE DE S/500.00 EL DIA 28/02  , CLIENTE CANCELA CON SUELDO ACTIVO  , SE ENVIA FORMA DE PAGO .</t>
  </si>
  <si>
    <t>SE APROBO EXEPCION POR IMPORTE DE S/354.00 , SE CANCELA DD HOY</t>
  </si>
  <si>
    <t xml:space="preserve">se aprobo exepcion por julio higa </t>
  </si>
  <si>
    <t>dt : 149000.00</t>
  </si>
  <si>
    <t>dk: 410000.00</t>
  </si>
  <si>
    <t xml:space="preserve">cancela deuda con el importe de s/5000.00 soles el dia de mañana antes del medio dia en la agencia la negrita  , cliente obtiene el dinero del familiar( mama) tiene 45 años </t>
  </si>
  <si>
    <t>SE APROBO LA EXCEPSION PARA QUE PUEDA CANCELAR TODA SU DEUDA DE 1500 CON 450 SOLES.</t>
  </si>
  <si>
    <t>EL DIA DE HOY ADELANTARA 225 SOLES Y EL DIA 15-01 PAGARA LOS OTROS 225  Y CON ESO CANCELARA TODA SU DEUDA.</t>
  </si>
  <si>
    <t>DT : 1500</t>
  </si>
  <si>
    <t>DK :1000</t>
  </si>
  <si>
    <t>PROMOCION: 1000</t>
  </si>
  <si>
    <t xml:space="preserve">Sustento: VIVE SOLA Y PAGA TODOS SUS GASTOS </t>
  </si>
  <si>
    <t xml:space="preserve">llamese si tiene deudas: ELLA PAGO EN ENERO LO DE FALABELLA </t>
  </si>
  <si>
    <t>si trabaja : empresa de seguridad</t>
  </si>
  <si>
    <t>cuanto gana: 1350</t>
  </si>
  <si>
    <t>PORQUE NO PAGO: porque era joven y no le dio importancia</t>
  </si>
  <si>
    <t>PARA QUE SACO EL PRESTAMO:  hizo el favor d eprestar su nombre</t>
  </si>
  <si>
    <t>CONTRAPROPUESTA DEL TT: 450 quiere cancelar, 225 soles el dia de mañana 09-01-2020 y en la quincena pagara los otros 225 soles.</t>
  </si>
  <si>
    <t>SE APRUEBA A TAT CON EXCEPCION 500 SOLES INDICA QUE PAGARA PLAN D E11:30 AM YA TIENE EL DINERO EN MANO</t>
  </si>
  <si>
    <t xml:space="preserve">SE APRUEBA ECEPCION POR 3200  .SE INGRESA LA PPC DE 3100 CONTANDO CON SU PAGO DE 100 EL 14/12 REALIZADO ANTERIORMENTE , TT MENCIONA QUE QUIERE SU ACUEERDO DE CANCELACION </t>
  </si>
  <si>
    <t xml:space="preserve">Se aprueba excepcióm, titular confirma realizar el depósito de s/ 3800 para la cancelación al medio día. Indica que apenas lo realice enviará el voucher vía whatsapp. </t>
  </si>
  <si>
    <t xml:space="preserve">se aprueba excepcion con el imjporte de 1500 indico que si recibira el dinero del prestamod e su esposa asegura pago tambien se le indica que es unica excepcion por este mes </t>
  </si>
  <si>
    <t xml:space="preserve">se aprueba excepción con s/ 5000, se envía acuerdo de cancelación vía whatsapp. Se dvll para que confirme horario de pago. </t>
  </si>
  <si>
    <t>se aprueba excepción por el importe de s/ 6000 dentro del mes , en el cual ya se realizó abono de s/ 200 el 03/09 y realizará abono de s/ 800 el dia de mañana 11/09 a las 11 am. Menciona realizar pagos dentro del mes y completar la totalidad hasta el 30/09.</t>
  </si>
  <si>
    <t xml:space="preserve">SE APRUEBA EXCEPCION POR EL IMPORTE DE S/300.00 CUMPLIO ADELANTO  Y EL SALDO RESTANTE A FIN DE MES </t>
  </si>
  <si>
    <t xml:space="preserve">SE APRUEBA EXCEPCON POR 450 SOLES. HARA EL PAGO EN CREDINKA MENCIONA SI SE LLEGA APRESTAR LO PAGARA ANTES DEL 30-04. </t>
  </si>
  <si>
    <t>SUSTENTO: EL DINERO LO SACARA D EUN PRESTAMO QUE SE HARA.</t>
  </si>
  <si>
    <t xml:space="preserve">SEARCH: NO TIENE DEUDA. </t>
  </si>
  <si>
    <t>se aprueba exepcion  , cancela con s/500.00</t>
  </si>
  <si>
    <t>se aprueba exepcion con el importe de s/450.00 , cliente pagara el dia de mañana 07/05 , se ennvia doucmento de cancelacion</t>
  </si>
  <si>
    <t>SE APRUEBA EXEPCION DE CANCELACION  /  SE APERSONA EL DIA 18/12 A OFICINAS 10 AM //  SE ENVIA DIRECCION</t>
  </si>
  <si>
    <t xml:space="preserve">SE APRUEBA EXEPCION DE S/1000.00 PARA EL DIA 29/08 </t>
  </si>
  <si>
    <t xml:space="preserve">SE APRUEBA EXEPCION DE S/250.00 </t>
  </si>
  <si>
    <t>se aprueba exepcion de s/7500.00 por julio higa  , se le indica que solo tiene hoy para pagar  , se le envia forma de pgp</t>
  </si>
  <si>
    <t>se aprueba exepcion del importe de s/1900.00 para cancelar deuda , cliente se comunico , se envia forma de pagfo</t>
  </si>
  <si>
    <t>se aprueba exepcion del importe de s/300.00  , el lunes abona el importe de s/50.00 y saldo restante finde mes ( se reprograma  pago)</t>
  </si>
  <si>
    <t>se aprueba exepcion del importe de s/800.00 hijo rafael confirma para el dia 30/05 , dinero lo saca de ahorros , no tiene entidad reportada  , la tt es soltera , edad 58 años</t>
  </si>
  <si>
    <t>se aprueba exepcion para cancelar , cliente genera el deposito a mas tardar el dia de mañana 30/05 , se envia forma de pago</t>
  </si>
  <si>
    <t>SE APRUEBA EXPECION DE PAGO , CON LA CANCELACION DEL IMPORTE DE S/2000.00 SOLES HASTA EL DIA 29/08</t>
  </si>
  <si>
    <t>se aprueba expecion de s/700.00 para el dia 31/10.00 se adelanta s/100.010/10 y el restante el dia 31/10</t>
  </si>
  <si>
    <t>se aprueba expecion por el importe de s/1700.00 / hata el dia 20/12 , el dia sabado genera pago de s/500.00 y el saldo restante el dia 20/12</t>
  </si>
  <si>
    <t xml:space="preserve">se aprueba la campaña de exepcion de s/600.00 , para cancelar </t>
  </si>
  <si>
    <t xml:space="preserve">Se aprueba la solicitud para que tt realice cancelación con el importe de s/750 el día de hoy 14/09. </t>
  </si>
  <si>
    <t>SE APRUEBA MONTO DE S/410.00 PARA CANCELAR /  SE APROBO POR MARIANGELA</t>
  </si>
  <si>
    <t xml:space="preserve">Se aprueba solicitud de tt para que se realice la cancelación con el importe de s/ 12,000.00 para el día de mañana, se le indica que se activará la campaña hasta el medio día. </t>
  </si>
  <si>
    <t>se brinda exepcion de cancelar de s/750.00 hoy adelanta 200.00 y el saldo a mas tardar s/550.00 o se anula</t>
  </si>
  <si>
    <t>SE BRINDA TOTAL DE S/3292 Y PUEE CANCELAR  CON S/1000</t>
  </si>
  <si>
    <t>SE BRINDA TOTAL DE S/5987 / TT INDICA QUE LE LLEGO UN SMS INDICANDO CANCELAR CON S/ 3761 / GONZALESRV@HOTMAIL.COM</t>
  </si>
  <si>
    <t>se cancela dd  , con el importe de s/100.00 el dia de hoy , se gestiona po dscardor  esposa a cargo del pago</t>
  </si>
  <si>
    <t>SE CANCELA DEUDA EN 500 SOLES PPC , ABONA HASTA EL 31/10</t>
  </si>
  <si>
    <t>SE CIERRA TT POR WSP YA QUE NO PUEDE CONTESTAR PORQUE NO SE ENCUENTRA EN LA CALLE.</t>
  </si>
  <si>
    <t>CONFIRMA PAGO DE 150 PARA CANCELAR EL DIA 20/05.</t>
  </si>
  <si>
    <t xml:space="preserve">Se comfirmo el pago a traves del whatsapp, se pagara por bcp el monto de 400 soles (execepcion) el dia 21/12 </t>
  </si>
  <si>
    <t>SE COMUNICA A COORPORATIVO, CANCELARA 29-05</t>
  </si>
  <si>
    <t>DT: 1,167</t>
  </si>
  <si>
    <t>CAMPAÑA SMS: 507</t>
  </si>
  <si>
    <t>SE COMUNICA A GRIS  VENDERA SUS ANIMALES Y CON ELLO CANCELARA YA QUE QUIERE SACAR UN PRESTAMO, NRO DE HNO TT IND NO TENER MOVIL, SE COMUNICO A GRIS</t>
  </si>
  <si>
    <t xml:space="preserve">se comunica amiga de tt, inidca que tt a sufrido un acidente con su moto , pero va cancelar deuda con el monto de 500 soles </t>
  </si>
  <si>
    <t xml:space="preserve">se comunica asesora de caja sullana cliente pagara 4000 soles </t>
  </si>
  <si>
    <t>se comunica aval , se llega a un acuerdo a cancelar deuda con el importe de s/5000.00 solo dentro de este mes  , indica que hablaron con el dr alan quien les dijo sobre el tema de la deuda que fue cedida  , se envia documento al dr alan para que  tt lo recoja la carta en la agencia el pedregal  , se hablo con julio para el tema de la exepcion ya que no quieren dar adelanto.</t>
  </si>
  <si>
    <t xml:space="preserve">Se comunica aval y encargado Herbert Zelada Sánchez , se le indica mc: 200 para cancelar el día de hoy 12/12. Realizará pago hoy a las 4 pm. </t>
  </si>
  <si>
    <t xml:space="preserve">SE COMUNICA CON EL HIJO DE LA TT JHONATHAN QUIEN TRANSFIERE LA LLAMADA AL NUMERO DE LA TT , SE LOGRA CONTACTAR CON LA TT QUIEN SUFRE DE EPILEPSIA E INDICA NO TENER CONOCIMIENTO DE LO QUE HABIA OFRECIDO SU HIJO PARA CANCELAR LA DEUDA CON 6000 SOLES , TT PASA LA LLAMADA CON SU ABOGADO JUAN QUIEN ENVIA LA DOCUMENTACION DE LA ENFERMEDAD DE LA TT AL CORREO ELECTRONICO , CL INDICA CONTAR CON 4000 SOLES , SE ENVIA EXCEPCION A JULIO HIGA LA CUAL SE APRUEBA POR EL IMPORTE DE 4200 </t>
  </si>
  <si>
    <t xml:space="preserve">SE COMUNICA CON TT . SE LE OFRECE DT 2000 CAMPAÑA 800  </t>
  </si>
  <si>
    <t xml:space="preserve">Se comunica de TLF prestado. PPC </t>
  </si>
  <si>
    <t>SE COMUNICA EDER ORTIZ FALCON ESPOSO  DE TT QUIEN INDICA QUE QUIERE CANCELAR DEUDA CON EL IMPORTE DE 300 SOLES YA QUE SE LE BRINDO ANTERIORMENTE// REALIZARA EL PAGO EL DIA DE MAÑANA 03-09.  (300 APROBADO POR MARIANGELA)</t>
  </si>
  <si>
    <t xml:space="preserve">se comunica el msj que le llego </t>
  </si>
  <si>
    <t>dt 672 campaña 60</t>
  </si>
  <si>
    <t xml:space="preserve">MNP:MENCIONA QUE HIZO UNA COMPRA   UE SOLICITO EN UN PAGO PERO LE REGISTRASRON QUE TENIA QUE PAGAR EN 12 MESES / DICE QUE LE ENGAÑARON </t>
  </si>
  <si>
    <t xml:space="preserve">SUSTENTO : QUIERE CANCELAR YA QUE ESTA DEUDA SE DEBIO A UN ENGAÑO </t>
  </si>
  <si>
    <t xml:space="preserve">Se comunica encargada, indica que realizará el pago el día de hoy 27/01. </t>
  </si>
  <si>
    <t xml:space="preserve">se comunica encargado de la deuda sr. david, confirma pago de s/ 4000 el día de hoy a las 4:30 pm ( excepción aprobada por nathaly). </t>
  </si>
  <si>
    <t xml:space="preserve">se comunica esposa sra. angelica , se le brinda info dt: 1800.20, mc: 800 el día de hoy 30/12. </t>
  </si>
  <si>
    <t>se comunica esposo indicando que no hay movilidad, ellos viven a 1 hora en bus desde su pueblo, tienen toda la intencion de pagar y dinero en mano pero se le es imposible viajar, solicita apoyo para extender plazo y reprogramar fecha ya que seguira insistiendo hasta que logre movilizarse en el transcurso de la semana. se reprograma hasta fin de mes, paga en credinka.</t>
  </si>
  <si>
    <t xml:space="preserve">SE COMUNICA FAMILIAR ENCARGADO DE DEUDA SR. GUEVARA  ABONA HOY 780 COMO PPC </t>
  </si>
  <si>
    <t xml:space="preserve">Se comunica hermana de tt sra : Sara : menciona que desea llegar a una conciliaciòn , se informa descuento hasta 5,000 soles , se enviara acuerdo de cancelacion a los numeros . 956493142 - 947113710 // DNI: </t>
  </si>
  <si>
    <t xml:space="preserve">Se comunica Piedad, cliente abonara 4,300.0 soles </t>
  </si>
  <si>
    <t>se comunica representante legal sr cesar roman // se le indica deuda total de s/16000.00 , le llego sms de campaña de s/3712.00 estara cancelando el dia 16/12 se envia forma de pago</t>
  </si>
  <si>
    <t>se comunica resp de pago , se le brinda excep aprob por julio por 1000 soles</t>
  </si>
  <si>
    <t xml:space="preserve">SE COMUNICA TT //HARA PAGO PPC 422 POR SMS DE DESCUENTO </t>
  </si>
  <si>
    <t>SE COMUNICA TT A CORPORATIVO Nª7 //DT 6985//</t>
  </si>
  <si>
    <t>EXPERTIS 1600</t>
  </si>
  <si>
    <t>INDICA QUE SE ACCIDENTO CON UNA MOTO LINEAL POR ESO ES QUE NO PUDO CANCELAR LA DEUDA EN LA FECHA QUE SE COMPROMETIO ANTERIORMENTE /////MENCIONA QUE QUIERE ABRIR UN NEGOCIO POSTERIORMENTE Y QUIERE LIMPIAR SU HISTORIAL CREDITICIO SOBRE LAS DEUDAS///</t>
  </si>
  <si>
    <t>51 AÑOS/NO REGISTRA INFORMACION LABORAL NI FAMILIAR /</t>
  </si>
  <si>
    <t xml:space="preserve">ACR NO GRABO LLAMADA///SOLO SE ESCUCHA MI VOZ </t>
  </si>
  <si>
    <t>SE COMUNICA TT A CORPORATIVO Nª7 //SE MENCIONA DT 1540 /EXPERTIS 750///SE INDICA QUE GENERE UN ABONO DE 200 O 300 SOLES EL DIA DE HOY Y LOS RESTANTE HASTA EL ULTIMO DIA DEL MES //HARA TODO LO POSIBLE.</t>
  </si>
  <si>
    <t>ACR NO GRABA LLAMADA EN CORP Nª 7</t>
  </si>
  <si>
    <t>se comunica tt indicando que le enviaron un mensaje con descuento //se menciona que la propuesta para este mes es de 350 / accede propuesta y estara efectuandolo el dia hoy</t>
  </si>
  <si>
    <t>search no fue necesario ya que fue inbound(intencion de pago) corp 7</t>
  </si>
  <si>
    <t>SE COMUNICA TT POR CAMPAÑA DE DESCUENTO DE 1417//PPC 06/12////</t>
  </si>
  <si>
    <t xml:space="preserve">Se comunica tt, indica que su familiar se acercará al banco en estos días para realizar la cancelación total con el importe de s/2609. Se le brinda plazo hasta el 27/07. </t>
  </si>
  <si>
    <t xml:space="preserve">SE COMUNICO AL CELULAR 14 // </t>
  </si>
  <si>
    <t xml:space="preserve">DT:11300 </t>
  </si>
  <si>
    <t>CAMPAÑA: 5850</t>
  </si>
  <si>
    <t>EXCEPCION :4500</t>
  </si>
  <si>
    <t xml:space="preserve">TITULAR PROPONE CANCELAR CON IMPORTE DE     4100 , TIENE A LA MANO ESE IMPORTE PERO POR MOTIVO QUE SE ENCUENTRA EN ALTURA, NO PUEDE REALIZARLO HOY . REALIZARIA ABONO POR BANCO DE LA NACION </t>
  </si>
  <si>
    <t>SEARSH :</t>
  </si>
  <si>
    <t>EDAD: 51</t>
  </si>
  <si>
    <t>. NO TIENE DEUDA,</t>
  </si>
  <si>
    <t xml:space="preserve"> ES PROFESOR </t>
  </si>
  <si>
    <t>SE COMUNICO AL COORP 18</t>
  </si>
  <si>
    <t>DT: 1900  // CAMP: 500FECHA DE PAGO: 18/02</t>
  </si>
  <si>
    <t>TT DICE QUE TUVO PROBLEMAS FAMILIARES Y QUE NO PUDO CANCELAR POR QUE SE FUE DE VIAJE A HUANCAYO, DESEA CANCELAR CON CAMPAÑA DE 500 SOLES PARA HOY</t>
  </si>
  <si>
    <t>DEUDAS:  CMAC PIURA VENTA DE CARTERA AL FOCMAC CALIFICACION 0 - IMPORTE DE DE DEUDAS 0.00</t>
  </si>
  <si>
    <t>SUELDO:  INRETAIL PHARMA S.A.</t>
  </si>
  <si>
    <t xml:space="preserve">se comunico la tt indicando que converso con la persona a la que le saco el prestamo y que le indico pagara el dia lunes 24/02/20 a mismo Pro empresa // en mensaje por whasap se le recuerda penalidad </t>
  </si>
  <si>
    <t xml:space="preserve">SE COMUNICO LA TT MENCIONA QUE SU HIJO HARA EL PAGO DE LA DEUDA / ESTABA MAL DE SALUD / SU HIJO ESTARA PAGANDO LA DEUDA CON EL PRESTAMO DEL BANCO DE LA NACION LA TT ERA NEGOCIANTE LE DIO DERRAME CEREBRAL / SU HIJO ES POLICIA Y POR ESO PAGARA LA DEUDA / YA EL DIA MIERCOLES PAGARA LA DEUDA 18870 SOLES LO QUE CANCELARA / SE COMUNICO AL TELEFONO NEGRO / SE HACE PRESENTE A MAYRA </t>
  </si>
  <si>
    <t>SE COMUNICO TT DICE QUE LE ENVIARON MENSAJE DE CANCELACION POR 562///CONFIRMA PAGO PARA EL DIA MIERCOLES 29/01///</t>
  </si>
  <si>
    <t>SE COMUNICO A CORP 7</t>
  </si>
  <si>
    <t xml:space="preserve">ACR NO GRABA LLAMADAS SOLO SE ESCUCHA MI VOZ </t>
  </si>
  <si>
    <t xml:space="preserve">SE CONFIMA CON TT LA CANCELACION DE LOS 1200 SOLES EL DIA MIERCOLES 12/02 POR EL BANCO INTERBANK A LAS 4 DE LA TARDE // EXCEPCION APROBADA POR JULIO </t>
  </si>
  <si>
    <t>SE CONFIRMA A TT //CAMPAÑA SMS DE DESCUENTO POR 394 PARA CANCELACION DE DEUDA ///INDICA QUE HARA PAGO EL DIA LUNES 16/12</t>
  </si>
  <si>
    <t>SE CONFIRMA A TT PAGO POR 1500 SOLES PARA LIQUIDACION DE LA DEUDA // EXCEPCION APROBADA //</t>
  </si>
  <si>
    <t>SE CONFIRMA CANCELACION DE DEUDA SEGUN EXCEPCION ELEVADA POR 200 SOLES /LO ESTARA EFECTUANDO EN CREDINKA EL DIA DE HOY 15/05</t>
  </si>
  <si>
    <t xml:space="preserve">SE CONFIRMA CANCELACION DE LA DEUDA POR 200 SOLES </t>
  </si>
  <si>
    <t xml:space="preserve">TIENE EL DINERO //REALIZARA EL PAGO POR MEDIO DE BANCA MOVIL BCP </t>
  </si>
  <si>
    <t>SE CONFIRMA CON LA TT QUE FUE APROBADO SU DECUENTO CON 900 SOLES PARA EL DIA 10/12 // SE NEGOCIO POR DISKADOR</t>
  </si>
  <si>
    <t xml:space="preserve">Se confirma excepcion  aprobada (Maringela) 300 soles para hoy 27/08  , se enviara acuerdo de cancelacion al correo : jmori.pes@gmail.com  // </t>
  </si>
  <si>
    <t>Se confirma excepcion aprobada por Mayra de 1,200 soles al 22/10 conforme .</t>
  </si>
  <si>
    <t>Se confirma excepcion aprobada x 1,247.50 , menciona que mañana 16/10 pagara , se genera la PPC  //</t>
  </si>
  <si>
    <t xml:space="preserve">Se confirma excepciona aprobada x 700 soles al 21/10 se genera PPC  </t>
  </si>
  <si>
    <t xml:space="preserve">se confirma la excepcion aprobada por julio para el abono de 1500 soles para el dia lunes 25 por caja sullana o bcp se le indica penalidad y mensaje de informacion referente a la llamada realizada </t>
  </si>
  <si>
    <t>SE CONFIRMA LA VALIDACION DEL CRONOGRAMA D EPAGO 144 ULTOMA CUOTA Y CANCELA LA DEUDA</t>
  </si>
  <si>
    <t>se confirma pago de ultima cuota tratara de relizarlo fecha antes, pagara via bcp</t>
  </si>
  <si>
    <t xml:space="preserve">Se confirma que podemos enviar la carta de no adeudo el día de mañana. Titular accederá a la campaña por el importe de s/ 1200 el día de hoy 07/10. Indica que enviará el voucher vía whatsapp apenas realice el pago. </t>
  </si>
  <si>
    <t>Se confirmo cancelación bajo importe de 1400 por el día de hoy, TT comenta que realizará pago mediante transferencia BCP</t>
  </si>
  <si>
    <t>se confirmo el pago del dia de hoy por el monto de S/120.00</t>
  </si>
  <si>
    <t>SE CONSULTA CON JULIO CANCELAR LA DEUDA CON 350 SOLES LE AXCEPTA EXCEPCION ** AL CUAL EL CLIENTE ACCEDE PAGA HOY</t>
  </si>
  <si>
    <t>SE CONTACTA A HERMANA DE TT //DNI : 42686227</t>
  </si>
  <si>
    <t>ISABEL NARDA, OJEDA OJEDA/// HARA PAGO PPC 1300</t>
  </si>
  <si>
    <t xml:space="preserve">SE CONTACTA A TT //HARA PAGO PPC 930 </t>
  </si>
  <si>
    <t>SE CONTACTA A TT //SE MENCIONA IMPORTE DE 5100//INDICA QUE REALIZARA EL PAGO EL DIA DE MAÑANA Y ENVIARA A UN FAMILIAR A RECEPCIONAR LA CNA A LA OFICINA DE EXPERTIS //</t>
  </si>
  <si>
    <t>SE CONTACTA A TT INDICA QUE LIQUIDARA DEUDA HOY CON SMS DESCUENTO 4531</t>
  </si>
  <si>
    <t xml:space="preserve">SE CONTACTA A TT MENCIONA QUE HARA ABONO DE 200 SOLES LUNES 11/11 Y A FIN DE MES RESTANTE </t>
  </si>
  <si>
    <t xml:space="preserve">SE CONTACTA A TT MENCIONA QUE POR MOTIVOS ECONOMICOS HARA PAGO A FIN DE MES //TRATARA DE CONSEGUIR A QUINCENA LA MITAD Y LO RESTANTE A FIN DE MES </t>
  </si>
  <si>
    <t xml:space="preserve">SE CONTACTA A TT MENCIONA QUE POR MOTIVOS PERSONALES HARA EL PAGO DE 2500 Y LO RESTANTE A FIN DE MES //SE REPROGRAMA TAMBIEN MENCIONA QUE ESTA INGRESANDO AL APP DE BCP Y SE REGISTRA INCIDENCIAS LO QUE NO PERMITE REALIZAR LA TRANSACCION </t>
  </si>
  <si>
    <t>SE CONTACTA A TT MENCIONA QUE REALIZARA EL PAGO DE 331 SOLES /</t>
  </si>
  <si>
    <t>SE CONTACTA A TT SE MENCIONA CANCELACION DE DEUDA 600 SOLES</t>
  </si>
  <si>
    <t>DT 973</t>
  </si>
  <si>
    <t>NO SUSTENTA PAGO ///DICE QUE EL VIERNES ESTARA REALIZANDO EL PAGO Y SE MENCIONA COBRO DE PENALIDAD POR INCUMPLIMIENTO (100 SOLES)</t>
  </si>
  <si>
    <t xml:space="preserve">SE CONTACTA ASESORA DE AGENCIA DE CAJA SULLANA JULIACA POR CANCELACION DE DEUDA DE UN CLIENTE ///COMUNICA CON TT //SE INFORMA IMPORTE HARA PAGO PPC 321// LLAMADA TELEFONO FIJO </t>
  </si>
  <si>
    <t xml:space="preserve">SE CONTACTA CON CL PARA REALIZAR EL ACUERDO DE FRACCIONAMIENTO DE LA DEUDA PERO INDICA QUE QUISIERA REALIZAR YA LA CANCELACION PARA NO EXTENDER EL TIEMPO Y ASI OBTENER SU CARTA DE NO ADEUDO POR LO QUE SOLICITA REALIZAR CANCELACION CON EL IMPORTE DE 1500 SOLES PARA EL DIA DE HOY POR LA TARDE . EXCEPCION APROBADA POR MARIANGELA </t>
  </si>
  <si>
    <t>SE CONTACTA CON TT DICE QUE EL DIA DEL DEPOSITO NO LE DIERON EL DINERO QUE LE PRESTABAN SU HERMANO EL SR.ALBERT LENNIN HUILLCA DIAZ LE PRESTARA EL DINERO PERO SE LO DARA EL 29/11 SE REPROGRAMA PPC DE 3000 29/11 _(GRABACION NO SE HIZO COMPLETA , LLAMADA SALIENTE  DE DISCADOR )</t>
  </si>
  <si>
    <t>se contacta con tt y nos dice que ayer no pudo efectuar el pago porque no ubo sistema ella vive en chosica y nos confirma pago para el dia de hoy en el BCP , se le envia numero de cuenta.</t>
  </si>
  <si>
    <t>N°18</t>
  </si>
  <si>
    <t>SE CONTACTA CON TT YA QUE EL DIA DE AYER  NO SE CONTACTARON CON TT</t>
  </si>
  <si>
    <t xml:space="preserve">TT CONFIRMA QUE ABONARA HOY 18/12 1000 PARA LIQUIDAR DEUDA CON PRESTAMO SOLICITA </t>
  </si>
  <si>
    <t xml:space="preserve">SE CONTACTA TT //EFECTUO ABONO DE 100 ///REALIZARA PPC </t>
  </si>
  <si>
    <t xml:space="preserve">SE CONTACTA TT INFORMA QUE REALIZARA EL PAGO TOTAL A FIN DE MES </t>
  </si>
  <si>
    <t>SE CONTACTO CON TT, PAGARA  300 SOLES EL DIA LUNES 09-12, DT 1250 SOLES</t>
  </si>
  <si>
    <t>se conversa con clienta comenta que ella cancelo con importe de 200 soles, pero se le indica que tiene un restante de 20 soles mas intereses</t>
  </si>
  <si>
    <t xml:space="preserve">dt:95 </t>
  </si>
  <si>
    <t xml:space="preserve">campaña:30 </t>
  </si>
  <si>
    <t>edad27</t>
  </si>
  <si>
    <t xml:space="preserve">hoy realiza el abono </t>
  </si>
  <si>
    <t>sin datos familiares</t>
  </si>
  <si>
    <t xml:space="preserve">sin deudas </t>
  </si>
  <si>
    <t xml:space="preserve">se conversa con clienta menciona no pudo realizar el abono por inconveniente que tuvo cancela el dia viernes/07 </t>
  </si>
  <si>
    <t>DT:360</t>
  </si>
  <si>
    <t xml:space="preserve">campaña: 160 ultima vez </t>
  </si>
  <si>
    <t>trabajo:SERVICIOS INTEGRADOS DE LIMPIEZA SA (SIL SA)</t>
  </si>
  <si>
    <t>hermanos: 1</t>
  </si>
  <si>
    <t>SE CONVERSA CON CLIENTA MENCIONA QUE SI DESEA CANCELAR POR QUE SU HERMANO LE ESTA DEBIENDO UN DINERO QUE LE DEBE SU PAPA // HERMANO // MENCIONA TAMBIEN QUE EL DIA LUNES ADELANTA 200 SOLES PARA ACTIVACION DE CAMPAÑA</t>
  </si>
  <si>
    <t>DT:3000</t>
  </si>
  <si>
    <t>SUELDO:1600</t>
  </si>
  <si>
    <t>TRABAJA:</t>
  </si>
  <si>
    <t>APC CORPORACION S.A.</t>
  </si>
  <si>
    <t xml:space="preserve">se conversa con cliente menciona que desea cancelar con importe de 500 soles </t>
  </si>
  <si>
    <t>DT:1900</t>
  </si>
  <si>
    <t>CAMPAÑA: 750</t>
  </si>
  <si>
    <t>EXCEPCION : 500</t>
  </si>
  <si>
    <t xml:space="preserve">LABORANDO PERO SIN INFORMACION </t>
  </si>
  <si>
    <t>hermanos :2</t>
  </si>
  <si>
    <t>edad:39</t>
  </si>
  <si>
    <t>se conversa con cliente menciona que el dia de mañana realizara el abono de cancelacion aprovechando la camapaña</t>
  </si>
  <si>
    <t>dt:1790</t>
  </si>
  <si>
    <t>campaña:250</t>
  </si>
  <si>
    <t>edad:25</t>
  </si>
  <si>
    <t>1 hermano</t>
  </si>
  <si>
    <t>otras deudas: bcp</t>
  </si>
  <si>
    <t xml:space="preserve">seguro esalud inactivo </t>
  </si>
  <si>
    <t xml:space="preserve">sustento menciona ya tener el dinero perolo realizara el dia de mañana hoy no tiene tiempo </t>
  </si>
  <si>
    <t xml:space="preserve">SE CONVERSA CON CLIENTE MENCIONA QUE EL DIA SABADO SE ACERACA  A OFICINAS SE LE MENCIONA </t>
  </si>
  <si>
    <t>CAMPAÑA:2500</t>
  </si>
  <si>
    <t xml:space="preserve">SE LE INDICA QUE LA CAMPAÑA ES UNICA INDICO QUE EL DIA SABADO RECIBIRA UN PAGO DE VENTA DE MADERA  CANCELARIA EL DIA LUNES </t>
  </si>
  <si>
    <t xml:space="preserve">SUSTENTO :VENTA DE MADERA </t>
  </si>
  <si>
    <t>HERMANOS:3</t>
  </si>
  <si>
    <t xml:space="preserve">NO TIENE DEUDA </t>
  </si>
  <si>
    <t>se conversa con cliente menciona que el mes pasado le llego un sms con descuento de 200 soles se le ofrece :</t>
  </si>
  <si>
    <t xml:space="preserve">CAMPAÑA:280 </t>
  </si>
  <si>
    <t xml:space="preserve">SUSTENTO : RECIBIRA UN DINERO EL DIA DOMINGO </t>
  </si>
  <si>
    <t>SEARCH SE VERIFICA QUE TIENE TRABAJO CONCYSSA S A</t>
  </si>
  <si>
    <t>EDAD: 48</t>
  </si>
  <si>
    <t xml:space="preserve">se conversa con cliente menciona que le llego sms con descuento 214 se le ofrece </t>
  </si>
  <si>
    <t>DT:2100</t>
  </si>
  <si>
    <t xml:space="preserve">sustento que el 28 le pagan </t>
  </si>
  <si>
    <t>hermanos 2</t>
  </si>
  <si>
    <t>tiene deudas pendienta</t>
  </si>
  <si>
    <t>CAJA MUNICIPAL DE CREDITO POPULAR DE LIMA</t>
  </si>
  <si>
    <t>CAJA MUNICIPAL DE AHORRO Y CREDITO DE AREQUIPA</t>
  </si>
  <si>
    <t>CAJA MUNICIPAL DE AHORRO Y CREDITO HUANCAYO</t>
  </si>
  <si>
    <t>CAJA MUNICIPAL DE AHORRO Y CREDITO TRUJILLO</t>
  </si>
  <si>
    <t xml:space="preserve">se conversa con cliente menciona que no cancelaba su deudsa por que hace un par de años le dio un infarto // actualmente no labora </t>
  </si>
  <si>
    <t>edad:50</t>
  </si>
  <si>
    <t>hermano: 1</t>
  </si>
  <si>
    <t>hijo:2</t>
  </si>
  <si>
    <t xml:space="preserve">se conversa con cliente que debe adelantar su pago de cancelacion con importe de 1000 soles como penalidad por el mes pásado // hoy cancela </t>
  </si>
  <si>
    <t>SE CONVERSA CON EL TT SE LE INDICA Q ES LA ULTIMA CUOTA Y Q NO SE OLVIDE Y CON ESE IMPORTE CANCELA LA DEUDA . NOS DICE Q LO HARA EL 6/1</t>
  </si>
  <si>
    <t>se conversa con julio y me indica que minimo seria hata con los1700 soles para el dia de hoy maximo mañana / se le indico 1750 pero se le llamo a mariangela y acepto los 1700 soles los hara ahora en plaza vea o sino mañna / ya tiene la plantilla en la primera promesa</t>
  </si>
  <si>
    <t xml:space="preserve">se conversa con titular </t>
  </si>
  <si>
    <t>DT:12.100</t>
  </si>
  <si>
    <t>DK:8000</t>
  </si>
  <si>
    <t>CAMPAÑA: 7500</t>
  </si>
  <si>
    <t>SOLICITUD DE EXCEPCION 5000</t>
  </si>
  <si>
    <t xml:space="preserve"> se aprueba solicitud de excepcion de campaña con importe de 5000 soles </t>
  </si>
  <si>
    <t>Sustento: ella trabaja MUNICIPALIDAD DISTRITAL DE JOSE GALVEZ</t>
  </si>
  <si>
    <t xml:space="preserve">Search : no brinda informacion de familia </t>
  </si>
  <si>
    <t xml:space="preserve">fecha de pago : 28 / por que a ella le cancelan el dia 26 quiere mas dias para juntar lo restante </t>
  </si>
  <si>
    <t xml:space="preserve">menciona que tienen garantia : titulo de propiedad su casa </t>
  </si>
  <si>
    <t xml:space="preserve">Se conversa con titular indicando que el entra a su centro laboral temprano y sale a las 10pm no pudo realizar el abono pero asegura que el dia de mañana si lo puede realizar ya que ese dia descansa se le indico que era una excepcion se le genera un incremento a la excepcion por                         incumplimiento cancelara 710 mañana ultimo dia para excepcion </t>
  </si>
  <si>
    <t xml:space="preserve">SE CONVERSA CON TITULAR MENCIONA QUE EL MES PASADO NO PUDO CANCELAR POR PROBLEMAS // PERO SI DESEA CANELAR ESTE MES PERO CON IMPORTE DE MES PASADO </t>
  </si>
  <si>
    <t>CAMPAÑA: 627</t>
  </si>
  <si>
    <t>EXCEPCION :500</t>
  </si>
  <si>
    <t xml:space="preserve">SU HERMANA LE VA DAR EL DINERO MAÑANA VIERNES POR LA NOCHE SE LLAMA  GLADIS ANTON  // CANCELA EL  SABADO </t>
  </si>
  <si>
    <t>HERMANOS :5</t>
  </si>
  <si>
    <t>SIN TRABAJO</t>
  </si>
  <si>
    <t xml:space="preserve">HIJO:1 </t>
  </si>
  <si>
    <t xml:space="preserve">SE CONVERSA CON TITULAR MENCIONA QUE LE LLEGO SMS CON DESCUENTO SE LE INDICA QUE CANCELARIA EL DIA SABADO </t>
  </si>
  <si>
    <t>CAMPAÑA:470</t>
  </si>
  <si>
    <t>EDAD: 36</t>
  </si>
  <si>
    <t xml:space="preserve">NO TIENE MAS DEUDAS </t>
  </si>
  <si>
    <t>SIN INFORMACION DE FAMILIA</t>
  </si>
  <si>
    <t>SE CONVERSA CON TITULAR MENCIONA QUE LE LLEGO UN CORREO CON DESCUENTON DE LIQUIDACION CON IMPORTE DE 619 // SE LE MENCIONO SI VA CANCELAR INDICO SI YA DESEA OBTENER LA CARTA DE NO ADEUDO CANCELARA POR INTERBANK // SE LE ENVIA INFORMACION POR WHATSAPP</t>
  </si>
  <si>
    <t xml:space="preserve">Se conversa con titular menciona que se encuentra por chancay le mencionaron sus jefes que el sabado en la mañana el ya la empresa deposita en el banco de la nacion y luego al banco continental le deben 2 meses // comento tambien que trabajo anteriormente en huacho lo llamaron cordinar un dinero de electro peru donde trabajaba indica si le dan el dinero cancela todo // se le menciono que adelante si consigue el dinero </t>
  </si>
  <si>
    <t xml:space="preserve">se conversa con titular menciona que solo consiguio 500 soles se le indico </t>
  </si>
  <si>
    <t xml:space="preserve">campaña: 600 </t>
  </si>
  <si>
    <t xml:space="preserve">edad 55 </t>
  </si>
  <si>
    <t>otras deudas :</t>
  </si>
  <si>
    <t xml:space="preserve"> RIPLEY PERU </t>
  </si>
  <si>
    <t xml:space="preserve">sustento : tiene el dinero se le indico desde la mañana </t>
  </si>
  <si>
    <t xml:space="preserve">se conversa con titular se le indica la oferta de campaña 330 por unica vez y ultima vez se le indica excepcion adelanta 100 soles el dia lunes 6 </t>
  </si>
  <si>
    <t xml:space="preserve">se conversa con tt indica cancelar con la gratificacion </t>
  </si>
  <si>
    <t xml:space="preserve">SE CONVERSA CON TT LA DT: 1000 CAMPAÑA : 350 SE MENCIONA QUE CANCELE EL VIERNES ULTIMA OPCION DE PAGO O SE LE HARA COBRANZA A DU DOMICIO CON DIRECCION CONSIGNADA </t>
  </si>
  <si>
    <t xml:space="preserve">Se converso con titular indicandole que su DT: 1500 </t>
  </si>
  <si>
    <t xml:space="preserve">oferta de campaña : 550 comento que si desea cancelar pero a fin de mes se le indica que adelante el importe de 200 soles el dia 20/12 y los 350 restante el dia 28/12 al no generar el abono se le va generar una penalidad por incumplimiento </t>
  </si>
  <si>
    <t xml:space="preserve">se converso con titular se le menciono que se acepto la excepcion de 100 soles hoy tebndria que abonar con ayuda de su esposo el sr. </t>
  </si>
  <si>
    <t xml:space="preserve">GAMALY SURQUISLLA CHIPANE </t>
  </si>
  <si>
    <t xml:space="preserve">SE CONVERSO CON TITULARMENCIONAQUE EL LUNES SIN FALTA RECIEN LE ABONARAN HOY </t>
  </si>
  <si>
    <t>se converso con tt  via whattssap cancelara con  200 soles .</t>
  </si>
  <si>
    <t xml:space="preserve">se converso con tt indica que el dinero de gratificacion ya esta destinado para otras cuentas pero a fin de mes si cancela con pago de fin de mes </t>
  </si>
  <si>
    <t xml:space="preserve">se converso con tt indicandole que sera como ultima opcion de pago que se le  realizara </t>
  </si>
  <si>
    <t xml:space="preserve">SE COORDINO CON TT INDICO QUE SE ESTARA ACERCANDO A LA OFICINA PARA PODER HACER CANCELACION X S/3700 </t>
  </si>
  <si>
    <t xml:space="preserve">SE CORTO LA LLAMADA DEL DISCADOR </t>
  </si>
  <si>
    <t>DK 1065.77,DT 2000, campaña 1300, antiguedad de la deuda 1 año, quiere cancelar el dia 11/02 en la tarde, trabaja en construccion va juntar el dinero de su pago y un dinero que esta esperando, saco prestamo para su expareja y dejo de cancelar, se le juntaron las cuotas de diferentes entidades y no pudo cancelar todas las cuotas, tiene hijos, 28 años, no reporta entidades.</t>
  </si>
  <si>
    <t>SE DA OPCION DE CANCELAR 300 PAR EL 10/09 VERA SI PUEDE ABONAR ANTES EL MES PASADO ABONO 300 NO PAGO TODO POR QUE TUVO UN INCONVENIENTE DE SALUD CON SU HIJA</t>
  </si>
  <si>
    <t xml:space="preserve">SE DEVUELVE LA LLAMADA A NUMERO DEL TT Y MENCIONA QUE SI HARAN EL PAGO DE LOS 5500 SOLES COMO FECHA MAXIMO HASTA EL DIA DE MAÑANA / SE ENVIRA ACUERDO DE CANCELACION / EXCEPCION APROBADA POR MARIANGELA </t>
  </si>
  <si>
    <t xml:space="preserve">se diji dt 7000 dc 2000 dk 4984 sacara dinero de  trabajo q le daran mañana  fehc de pgo 24/12 </t>
  </si>
  <si>
    <t xml:space="preserve">SE DIJO dt7000 dk 2700 dc 5000 no kiere dedir de dodne saca el dinero </t>
  </si>
  <si>
    <t xml:space="preserve">  lunes 16/12  se ind penalida ase fue ficha, taza colgada, .jefas por favor enteder </t>
  </si>
  <si>
    <t xml:space="preserve">SE DIJO TD 1570 DK1000 DC1000 DIC HABERLE LLEGADO MSJ CN 690 DIC Y SE VERIFICA EN SHER DEBE 3 ENTIDADES Y HOY PAGARAN TAMBIE FALABLLA SE ACORDO CN ECEPCION CANCELAR CN 400 SOLES HOY DIA SUSTENTO TA TINE DINERO TIENE 31 AÑOS SI TRABAJA  ,/ MANDO CORREO </t>
  </si>
  <si>
    <t>se dvl el dia de hoy a las 4:30 pm para la cancelacion de s/3600.00 indica que el monto es viable, si lo tiene lo enviamos a evaluacion</t>
  </si>
  <si>
    <t xml:space="preserve">SE E MENCIONA AL CLIENTE QUE SE LE DARA CHANSE HASTA EL DIA 31/10 PARA QUE CANCELE LA CAMPAÑA ES SOLOPOR ESTE MES / </t>
  </si>
  <si>
    <t>Se eleva excepcion de 800 soles para la cancelacion de la deuda el dia 22/01/2020, se envia acuerdo de cancelacion a correo projasfasabi1@gmail.com</t>
  </si>
  <si>
    <t>se eleva excepcion por 250 para cancelacion fue abrobado</t>
  </si>
  <si>
    <t>SE ELEVA EXCEPCION(250)SE OFRECE DK 1,101.00 CAMP S/420 TT OFRECE 200 SE PIDE ELEVAR MONTO SE ACUERDA EN S/250 CON PISO DE SUP REALIZARA CAN HOY ANTES DEL MEDIO DIA</t>
  </si>
  <si>
    <t xml:space="preserve">SE ELEVO LA EXCEPCION Y FUE APROVADA CON EL IMPORTE DE LOS 950 . PAGARA EN LA MISMA FINANCIERA . </t>
  </si>
  <si>
    <t xml:space="preserve">se encuentra fuera del pueblo y la proxima semana esta de regreso ira a la caja sullana para realizar el pago campañaCancelacionS/.360.00/ </t>
  </si>
  <si>
    <t xml:space="preserve">SE ENCUENTRA LLENDO A CAJA SULLANA PARA EFECTUAR EL PAGO BAJO LA CAMPAÑA DE DESCUENTO </t>
  </si>
  <si>
    <t xml:space="preserve">Se envía correo según lo acordad. TItular indica que realizará cancelación el día de hoy con el importe de s/2500. </t>
  </si>
  <si>
    <t>Se envia sms al whatssap desde el corporativo 938869948, para confirmar excepcion aprobada con la cancelacion de la deuda con 780 soles para el 14/01</t>
  </si>
  <si>
    <t>SE ENVIARA INFO POR SMS, PAGARA 300 SOLES EL DIA DE MAÑANA, DT 1000, 969489120 (COMPROMISO POR DISCADOR)</t>
  </si>
  <si>
    <t>se envio cta bcp, menciona no pago por horario de trabajo</t>
  </si>
  <si>
    <t>SE ESTARA ACERCANDO HACER CANCELACION DE DEUDA //GRAB POR DISCADOR</t>
  </si>
  <si>
    <t xml:space="preserve">SE FUE FICHA </t>
  </si>
  <si>
    <t>DT 2000  DK 1000 CAMPAÑA 620</t>
  </si>
  <si>
    <t xml:space="preserve">DESCUENTO DE 620  </t>
  </si>
  <si>
    <t xml:space="preserve"> CLIENTE DICE QUE EL ANALISTA QUE LO ATENDIO , Y NO LE INFORMO SOBRE LOS INTERESES  EL DICE QUE ADELANTO 300  , EL DINERO LE ENTREGO A SU AMIGO  ,</t>
  </si>
  <si>
    <t xml:space="preserve">ES ALBAÑIL Y EL DINERO LO SACA DE UN TRABAJO  QUE ESTA REALIZANDO </t>
  </si>
  <si>
    <t>EDAD 44</t>
  </si>
  <si>
    <t>TRABAJO : NO REGISTRA</t>
  </si>
  <si>
    <t xml:space="preserve"> DEUDAS :</t>
  </si>
  <si>
    <t>SE FUE LA FICHA  AUN FALTABAN  30 SEGUNDOS ..... DT 1300 ACUERD 750 ... TT NO PUDO PAGAR POR MOTIVOS ECONOMICOS , LABORALES , ACTUALMENTE TRABAJA EN PLANILLA , SE VERIFICA EN SEARCH QUE TIENE DEUDAS , TIENE 37 AÑOS , TIENE INTENSION DE PAGO , CANCELAR EL 15/01 MONTO 750 SACARA EL DINERO DE AHORRO QUE TIENE  973972391</t>
  </si>
  <si>
    <t xml:space="preserve">se fue la ficha // menciona cancelar con importe de ccampaña que le ofrecieron </t>
  </si>
  <si>
    <t>dt:1550</t>
  </si>
  <si>
    <t>campaña: 180</t>
  </si>
  <si>
    <t xml:space="preserve">adelanto el dia de hoy de 50 soles </t>
  </si>
  <si>
    <t xml:space="preserve">sustento : su trabajo cobra a fin de mes </t>
  </si>
  <si>
    <t>search: 48 años</t>
  </si>
  <si>
    <t>SE GENERA COMPROMISO CON EL IMPORTE DE S/1100.00 , ADELANTA S/300.00 EL DIA VIERNES 06/09 Y EL SALDO RESTANTE EL DIA 13/09</t>
  </si>
  <si>
    <t>SE GENERA COMPROMISO DE PAGO DEL IMPORTE DE $/2200.00  , MSE CONTACTO CON EL SR GUILLERMO VICENTE ZVIETCOVICH ALVAREZ 957746849  , QUIEN ESTARA HACIENDO EFECTIVO EL PAGO  EN LA TARDE  , SE LE BRINDO LAS INDICACIONES</t>
  </si>
  <si>
    <t>se genera compromiso de pago en base a expecion el dia 28/10  , se apersonaron a la agencia el dia de ayer , aprobado por mariangela</t>
  </si>
  <si>
    <t>se genera compromiso de su ultima cuota  //  se programa el dia 20/09</t>
  </si>
  <si>
    <t>SE GENERA NUEVO COMPROMISO PARA CANCELAR CON EXCEPCION DE S/1300 A SOLICITUD DE CLIENTE Y APROBADO POR JULIO, CANCELA EL DIA DE HOY 19/02 POR LA TARDE EN CREDINKA, ENVIARA COMPROBANTE POR WHATSAPP</t>
  </si>
  <si>
    <t xml:space="preserve">Se genera por ultima vez pago de cancelacion c0n el importe de 3000 con excepcion raliza el abono el dia de mañana por caja arequipa </t>
  </si>
  <si>
    <t xml:space="preserve">Se genera PPC  x 127 soles al 21/10 </t>
  </si>
  <si>
    <t>Se genera PPC  x 3,150 soles al 14/10 cliente dice que un familiar le pagarà un dinero que le debe por ello si asegura pagar la totalidad  //</t>
  </si>
  <si>
    <t>Se genera PPC  x 500 soles al 31/10 excepcion aprobada por Mayra //</t>
  </si>
  <si>
    <t>se genera ppc por 900, tt abonara en sullana, se envia informacion `por whatsapp, (plantilla el 18/05/20 14:33)</t>
  </si>
  <si>
    <t xml:space="preserve">se generan compromiso de pago del importe de s/1000.00para este 10/06 </t>
  </si>
  <si>
    <t>kemberlyn.inga@gmail.com se envia forma de pago</t>
  </si>
  <si>
    <t xml:space="preserve">se genero una excepcion para que pueda pagar toda su deuda a 300 soles </t>
  </si>
  <si>
    <t>pagara el  dia de hoy</t>
  </si>
  <si>
    <t>se habia negociado via whatsapp ,  aprobada la excepcion se llamo a tt (se subio audio) , DT 3400  TT CANCELARA  2000 SOLES EL 16 /12  945081851</t>
  </si>
  <si>
    <t>SE HABLA CON EL CLIENTE  //  CANCELA DEUDA SE LE INDICA QUE EL INCUMPLIMIENTO SEGUIRA CRECIENDO MAS EL INTERES</t>
  </si>
  <si>
    <t xml:space="preserve">SE HABLA CON EL HERMANO DEL TT SILVERIO NOS INDICA Q 20 MIN VA A REALIZAR EL PAGO DE LOS 5000 EN EL BANCO BCP QUE LO TIENE EN MEDIA CUADRA DE DONDE EL SE ENCUENTRA , SE APROBO CON EXCEPCION POR DINERO EN MANO CON JULIO Y MAYRA. SE LE HIZO EL SEGUIMIENTO TODOS LOS DIAS PARA PODER VER SI REALMENTE TIENE EL DINERO EN MANO . </t>
  </si>
  <si>
    <t>SE HABLA CON EL HIJO DEL SEÑOR LUCANO SE LE INDICA Q SE LE ACEPTO EL IMPORTE DE LOS 1200 Y Q LO HARA MAÑANA O PASADO MAÑANA PORQ EL SE ENCUENTRA EN LA CHACRA Y SALDRA A LA CUIDAD A CANCELARLO TIENE LA PLATA EN MANO . NO TIENE WHATSSAP Y CORREO TAMPOCO.</t>
  </si>
  <si>
    <t xml:space="preserve">SE HABLA CON EL SEÑOR ALBERTO NOS DICE Q EN INGENIERO NO LE DIO EL DINERO DE SU BONO POR DISCAPACITADO YA Q TODAVIA NO TRABAJA AHORA MI CLIENTE SE A METIDO A UN BANQUITO DE PERSONAS NATURALES Y QUE EL VIERNES LE DARAN 500 DEL BANQUITO Y CON ES PAGARA . SE LE INDICA Q SE LE REPROGRAMARA EL PAGO . </t>
  </si>
  <si>
    <t xml:space="preserve">SE HABLA CON EL TT </t>
  </si>
  <si>
    <t>DT:15000</t>
  </si>
  <si>
    <t>CAMP:4300</t>
  </si>
  <si>
    <t xml:space="preserve">SUST:CLIENTE SE COMUNICA Y NOS DICE Q EL ES ALBAÑIL Y Q GANA 40 SOLES . EL SACO EL CREDITO PARA HACER CABINAS DE INTERNET Y DONDE NO LE FUE BIEN Y QUIERE Q LE AYUDEN Q EL NO TIENE DINERO Y Q EL ANALISTA LE COBRABA 1200 Y 900 EN ESOS MESES Y EL LOS PAGO Q NO ES POSIBLE Q LE COBREN MAS INTERES. </t>
  </si>
  <si>
    <t>CLIENTE CONTRAPROPONE EN CANCELAR CON 900 SOLES ORQ NO QUIERE PAGAR MAYOR INTERES.</t>
  </si>
  <si>
    <t>FECHA DE PAGO :29/02</t>
  </si>
  <si>
    <t>SE LE LLAMO DEL MORADO.</t>
  </si>
  <si>
    <t xml:space="preserve">SE HABLA CON EL TT NOS DICE LE DA MUCHA ALEGRIA A CANCELAR LA DEUDA Y SI ESTE MES ES DONDE PODRA CANCELAR NOS PROPONE EN CANCELAR EL DIA LUNES 23 COMO SEA LO HARA Y LE INTERESA PODER CANCELAR . </t>
  </si>
  <si>
    <t xml:space="preserve">SE HABLA CON EL TT NOS DICE Q HOY LO REALIZARA EL PAGO CON EL IMPORTE EN EXCEPCION 1482 Y NOS DICE Q YA CONSIGUIO EL DINERO , QUE EL MES PASADO NO LO HIZO POR UN MOTIVO DE SALUD DE SU MAMA PERO Q HOY SI O SI VA A PAGAR SI LE APROBAMOS ESA EXCEPCION NOS DICE QUE YA QUIERE SALIR DE ESTE PROBLEMA . DT:5400 // CAMP:1482.EL DINERO LO CONSIGUIO DE SU TRABAJO </t>
  </si>
  <si>
    <t>se habla con el tt nos dice q hoy realizara el pago en acuerdo de 1248 va a cancelar las 2 deudas . de sullana y interbank.</t>
  </si>
  <si>
    <t xml:space="preserve">se habla con el tt nos dice q va a pagar el martes 320 soles . va a pagar en la misma financiera . </t>
  </si>
  <si>
    <t xml:space="preserve">SE HABLA CON EL TT NOS DICE Q VA A PAGAR HOY MISMO LA DEUDA A ESO DE LAS 5:00 EN LA FINANCIERA INTERBANK SE LE MENCIONA DT:1200.41 Y Q SOLO HOY ESTA ACTIVO LA CAMPAÑA NO HABRA OTRO DIA . </t>
  </si>
  <si>
    <t xml:space="preserve">se habla con el tt nos pide que le apoyemos le indicamos q puede cancelar con el importe de 5200 como min y q si cancela hoy mañana mismo le generamos la carta de no adeudo a su correo , nos indica q no se podra acercar a la financiera que realizara una transferencia de cuenta interbancaria. </t>
  </si>
  <si>
    <t xml:space="preserve">se habla con el tt se comunica con alessandra para poder cancelar ya q la persona q le dio el dinero esta en orden de captura y la van a condenar por estafa , y nosdice que va a conseguir si o si el dinero de los 2500 como ultimo plazo . no tengo el audio de la cancelacion ya q en una primera instancia se le propuso campaña de 3500 . ya se reporto a mariangela . y cliente se comunica de el fijo y es de ucayali . </t>
  </si>
  <si>
    <t xml:space="preserve">SE HABLA CON EL TT SE LE INDICA Q SE LE APROBO LA CAMPAÑA DE 500 SOLES Y NOS DICE Q VA A PAGAR LUNES 200 Y LA DIFERENCIA 300 EL DIA 27/12. NOS BRINDARA EL NUMERO DE SU HIJA DE WHATSSAP 990544768 FATIMA LA HIJA DE LA TT . </t>
  </si>
  <si>
    <t>SE HABLA CON EL TT SE LE INDICA SI QUIERE CANCELAR SE LE VA A RESPETAR CON ESE IMPORTE DE 1000 SOLES Y CON ESO CANCELA LO REALIZARA EN UN AGENTE BCP O EL BANCO BCP. 913049781.</t>
  </si>
  <si>
    <t>SE HABLA CON EL TT Y SE LE INDICA Q FUE APROBADO LA CANCELACION CON EL IMPORTE DE LOS 400 Y NOS DICE Q TRATARA DE HOY DEPOSITAR TODO O SOLO 300 Y EL 28 LOS 100. NOS LLAMARA A ESO DE LAS 4:00 PARA IR AL BCP</t>
  </si>
  <si>
    <t xml:space="preserve">SE HABLA CON LA SR. MERLI NOS DICE Q NO FUE A TRUJILLO PARA LA VENTA DEL CHOCLO PORQ SU SOBRINA LE DIO UN INFARTO Y TUVIERON Q HACER UNA COLABORACION NOS DICE Q QUIERE Q LE AYUDEMOS POR LA DIFERENCIA PARA EL 20 DE ESTE MES . </t>
  </si>
  <si>
    <t xml:space="preserve">SE HABLA CON LA TT SE LE INDICA Q FUE APROBADO EL IMPORTE DE LA CAMPAÑA DE LOS 1000 SOLES EN BASE A LA EXCEPCION PARA PODER CANCELAR LA DEUDA A LA TOTALIDAD . </t>
  </si>
  <si>
    <t>se habla con la tt se le menciona q cancele hoy el imorte de los 573 que seria su ultima cuota de 573 del convenio que tuvo con oh nos dice q realizara el pago a las 5:00 de la tarde.se le llamo del morado .</t>
  </si>
  <si>
    <t xml:space="preserve">se habla con tt , se le brinda montos DT &gt; 3,500  //  indica que no pago por mitos de salud y mtivos de que ya no labora en la epresa OLVA CARGA S.A.C. .  indica que lo ayuden con alguna facilidad de pago .. se le brinda campaña&gt; 600 soles /  dinero lo sacara de la liquidacion de su trabajo .... realizara pago el dia &gt; 14/01.     quiere documento  cancelacion brinda correo &gt; lener / loyaga@hotmail.com ... wsp &gt;   cuenta con 2 entidades reportadas.  </t>
  </si>
  <si>
    <t>SE HABLA CON TT ... SE LE BRINDA MONTOS</t>
  </si>
  <si>
    <t>DT: 6,900 : SOLES</t>
  </si>
  <si>
    <t>CAMPAÑA : 800 SOLES</t>
  </si>
  <si>
    <t xml:space="preserve">INDICA QUE LE LLEGO SMS CON EL IMPORTE DE 654. SOLES </t>
  </si>
  <si>
    <t xml:space="preserve">SE VERIFICA QUE TUVO COMPROMISO INCUMPLIDO E INDICA QUE NO PAGO POR MALA INFORMACION Y LE GENERARON COMPROMISO CON LA FECHA INCORRECTA CUANDO EL INDICO QUE ESA FECHA NO CONTARIA CON EL DINERO . </t>
  </si>
  <si>
    <t xml:space="preserve"> DONDE SACARA DINERO:  DE SU TRABAJO Y YA CUENTA CON DINERO A LA MANO. </t>
  </si>
  <si>
    <t>REALIZARA  PAGO EL DIA 18/01.</t>
  </si>
  <si>
    <t>TRABAJA EN : TIENDAS POR DEPARTAMENTO RIPLEY S.A.</t>
  </si>
  <si>
    <t>SUELDO : 2,038 SOLES</t>
  </si>
  <si>
    <t>EDAD : 39 AÑOS</t>
  </si>
  <si>
    <t xml:space="preserve">HIJOS : 1 </t>
  </si>
  <si>
    <t>SE HABLA CON TT // DT&gt; 6,000  SOLES&gt; DK&gt; 2,500 SOLES //  CAMPAÑA &gt; 500  SOLES</t>
  </si>
  <si>
    <t xml:space="preserve">TT NO PUDO PAGAR ANTES PORQUE SE QUEDO SIN TRABAJO ,, ESTUVO HACIENDO TRABAJOS EVENTUALES ...// ESTA VES PAGARA PORQUE REQUIERE DE CARTA Y A SOLICITADO UN  PRESTAMO DE 500 SOLES A UN AMIGO PARA CANCELAR Y TIENE EL DINERO EN LA MANO ...   SE LE INDICA QUE TIENE QUE AGAR HOY INDICA QUE SI NO ALCANZA LO HARIA MAÑANA  07/01...  10AM CON MAS TRANQUILIDAD.. CONFIRMA PAGO . SEARCH /, NO TIENE REGISTRO . SOLO CON VEHICULO A SU NOMBRE QUE AHORA EL PROPIETARIO ES  &gt; ALVAREZ JULCA RONALD. </t>
  </si>
  <si>
    <t>Se habla con tt Marco Antonio Burga por whatsapp y confirma que mañana realizarà el abono de s/.1000 y el lunes 30/12 el restante que serìa s/.1000, cancelando de esa manera la deuda con CREDINKA</t>
  </si>
  <si>
    <t>SE HABLA CON TT Y CONFIRMA QUE HABLÒ CON SU AMIGO PARA QUE LE HAGA EL PRÈSTAMO DE S/.500 PARA EL DIA DE MAÑANA 09/01 Y S/.380 PAGARÀ EL 30/01, DE SER POSIBLE HACERLO ANTES CONFIRMARÀ AL CORPORATIVO</t>
  </si>
  <si>
    <t>46 AÑOS//SIN MAS DEUDAS//NO LABORA BAJO PLANILLA</t>
  </si>
  <si>
    <t>SE HABLA CON TT Y CONFIRMA REALIZAR CANCELACIÒN DE S/.1500, INDEPENDIENTEMENTE DEL ABONO DE LOS S/.100//NEGOCIACIÒN CON AYUDA DE MARIBEL CCARHUAS</t>
  </si>
  <si>
    <t>SE HABLA CON TT Y MENCIONA QUE SOLO CONSIGUIÒ S/.500, SE PROPONE REALIZAR EL PAGO DE S/.500 HOY Y HASTA EL 30/01 PAGAR LOS S/.300 QUE FALTA, CANCELANDO DE ESA MANERA LA DEUDA//TT ACEPTA Y ABONARÀ S/.500 POR LA TARDE</t>
  </si>
  <si>
    <t>SE HABLA CON TT, MUY DESCONFIADO DICE QUE QUIERE ACERCARSE A EXPERTIS, SE MENCIONA QUE CAMPAÑA ES HASTA HOY//TT CONFIRMA A MARIBEL CCARHUAS QUE EL LUNES 13/01 CANCELARÀ Y SE ACERCARÀ A EXPERTIS A SOLICITAR CARTA DE NO ADEUDO//SE ENVIA POR WHATSAPP Nº DE CTA DEL BCP Y DIRECCION DE EXPERTIS PARA RECOGER LA CARTA DE NO ADEUDO</t>
  </si>
  <si>
    <t xml:space="preserve">SE HABLO CON EL TT POR EL TELEFONO MORADO SE LE HARA LLEGAR LA CARTA DE LA CANCELACION PARA HOY MISMO Q LO CANCELE LA DEUDA . EN EL BANCO INTERBANK  LO HARA POR LA TARDE ESE PAGO VIVE EN CHACLACAYO . </t>
  </si>
  <si>
    <t xml:space="preserve">SE HABLO CON LA SRA LILIANA BEJARANO QUIEN ES EL FAMILIAR QUE HARA EL PAGO //  SE ENVIA FORMA DE PAGO PARA CANCELAR ANTES DEL MEDIO DIA  </t>
  </si>
  <si>
    <t>SE HABLO CON TT , S ELE BRINDA MONTOS.</t>
  </si>
  <si>
    <t xml:space="preserve">DT: 4 MIL SOLES </t>
  </si>
  <si>
    <t xml:space="preserve">CAMPAÑA: 600 SOLES </t>
  </si>
  <si>
    <t xml:space="preserve">NO PAGO : POR MOTIVOS PERSONALES </t>
  </si>
  <si>
    <t>DONDE SACARA DINERO: DE SU TRABAJO</t>
  </si>
  <si>
    <t>LABORA EN : HOSPITAL NACIONAL CAYETANO HEREDIA</t>
  </si>
  <si>
    <t xml:space="preserve">Se hablo con tt , se le indica DT&gt; 1,500. 00 , indica que es mucho, se le hablo que a diario se incrementa el interes....  //  se le hablo de la penalidad correspondiente .. Campaña &gt;  750.00 // indica que a las  6 tarde estara pagando.  indica si contar con el dinero en mano pero lo que no tiene es tiempo.. de no pagar hoy se anula todo tipo de ayuda . </t>
  </si>
  <si>
    <t xml:space="preserve">SE HABLO CON TT &gt; SE LE BRINDA &gt; DT &gt; 3 MIL // INDICO QUE TUVO PROBLEMAS ECONOMICOS. INDICA NO TENER 3 MIL SOLES // SE LE BRINDO CAMPAÑA&gt; 2000 MIL SOLES . // INDICA QUE TIENE  700 SOLES A MANO , SE LE INDICA QUE ABONE Y DICE QUE ES LO UNICO QUE TIENE QUE CUANDO RECIBA EL DINERO LO PAGARA TODO.. SE LE PIDE MINIMO UN ADELANTO DE 300 SOLES PARA HOY 02/01. CONFIRMA PAGO Y EL DIA 10-01. LOS 1700 RESTANTES  //  SUSTENTO DINER LO RECIBIRA DE SU TRABAJO .  OJO &gt; (NO SE VALIDO EN SEARCH PORQUE NO ABRE LA PAGINA) </t>
  </si>
  <si>
    <t xml:space="preserve">SE HACE ACUERDO CON SR FRANCISCO PAPA DE TT  QUIEN SE HACE CARGO DE DEUDA  PPC DE 3000 ADELANTO DE 100 EL MIERCOLES 4/12 PAGO TOTAL VIERNES 06/12 (ECEPCION JULIO) </t>
  </si>
  <si>
    <t xml:space="preserve">se hace el compromiso de pago de 500 soles excepcion aprobada por julio </t>
  </si>
  <si>
    <t>Se hace la confirmacion de la excepcion aprobada de 170 soles por medio de whatsapp del corporativo 19, indica que quiere un acuerdo de cancelacion al correo alexanderabc3@gmail.com</t>
  </si>
  <si>
    <t xml:space="preserve">SE HACE RECORDATORIO AL TAT CANCELACION CON 1800 SOLES </t>
  </si>
  <si>
    <t>se hace reprogramacion , tt indica que hara cancelacion hoy en la tarde</t>
  </si>
  <si>
    <t>SE HACE REPROGRAMACION DE FECHA DE CANCELACION PARA FIN DE MES//INDCA QUE SE ENVIARA MSJ RECORDATORIO.</t>
  </si>
  <si>
    <t>SE IND UE POR INCUMPLIMIENTO DE PAGO DEBE CAN CON 810 SOLES. EL 26/12 ABONARA 500 SOLES Y A FIN DE MES LA DIFERENCIA</t>
  </si>
  <si>
    <t>SE INDICA TT PPC X S/250 MAXIMO EL DIA DEHOY //GRAB POR DISCADOR</t>
  </si>
  <si>
    <t>Se informa aprobacion de 2,500 cancelara via IBK se enviar Carta campaña</t>
  </si>
  <si>
    <t xml:space="preserve">Se informa excepcion aprobada por 3000 soles para el 24/08 cliente si puede pagara antes  // </t>
  </si>
  <si>
    <t xml:space="preserve">SE INFORMA QUE REALIZE PAGO DE 5500 PARA LIQUIDAR DEUDA //HARA PAGO EL DIA DE MAÑANA </t>
  </si>
  <si>
    <t>SE INFORMO DT 10600 Y CAMPAÑA 3500, CONFIRMA CANCELACION DE DEUDA SEGUN CAMPAÑA//GRAB EN DISCADOR</t>
  </si>
  <si>
    <t>se ingresa acuerdo para mañana por 1020 abona en agencia , o mandara a hermano a expertis  correo  para acuerdo cancelacio  carlobaca@hotmail.com</t>
  </si>
  <si>
    <t>SE INGRESA COMPROMISO HASTA FIN DE MES  (ANTERIOR GESTION Y AUDIO CLIENTE CONFIRMA PAGO HASTA EL 31/12) SOLO QUE NO LO REGISTRE EN LA FECHA INDICADA ( SE PIDE AUTORIZACION DE MARIANGELA PARA PONER CON LA FECHA CORRECTA )</t>
  </si>
  <si>
    <t xml:space="preserve">SE INGRESA EL COMPROMISO DE PAGO DE LOS 210 SOLES PARA EL DIA DE HOY / </t>
  </si>
  <si>
    <t>Se ingresa la PPC para cancelar, no se contabiliza para el recupero de judicial</t>
  </si>
  <si>
    <t>SE INGRESA NUEVAMENTE ACUERDO YA QUE SE GUARDO POR EQUIVOCACION CON FECHA DE 8/01 CUANDO EL CLIENTE PAGA FIN  DE MES ,</t>
  </si>
  <si>
    <t>SE INGRESA PPC POR 1000 YA QUE LE EL COMPROMISO ENTERIOR SE SOLICITO EXCEPCION Y PAGO MENOS DEL PRIMER COMPROMISO</t>
  </si>
  <si>
    <t xml:space="preserve">Se ingresa promesa por 3era vez ya que no hay gestiones anteriores . Se genera PPC  x 220 para hoy 28/08 </t>
  </si>
  <si>
    <t>SE LE ACEPTO EL PAGO DE LOS 10 MIL SOLES AL CLIENTE PARA QUE CANCELE HASTA EL DIA 28/12 YA QUE ESE DIA RECIBIRA EL DINERO DE LA CAMPAÑA NAVIDEÑA DE LO QUE TRABAJO / QUE ABONE LOS 8 MIL Y LA DIFERENCIA EL DIA 28/12</t>
  </si>
  <si>
    <t xml:space="preserve">SE LE ACTIVA LA CAMPAÑA EN BASE A L IMPORTE DE 650 SOLES PARA EL DIA DE HOY / SE LE CONSULTA A NATALY Y ENVIARA CORREO / </t>
  </si>
  <si>
    <t>se le activa LA CAMPAÑA POR 60 SOLES PAGO EL DIA DE HOY /</t>
  </si>
  <si>
    <t>SE LE APROBO CON EL IMPORTE DE LOS 2150 PARA MAÑANA A PRIMERA HORA MANDARLE LA CARTA DE LA CANCELACION TOTAL . SE HABLO CON LA HERMANA DE XIOMARA , LA SEÑORITA CONSUELO.</t>
  </si>
  <si>
    <t xml:space="preserve">SE LE APRUEBA EL MONTO AL CLIENTE EL IMPORTE DE LOS 500 SOLES / PARA ELD IA VIERNES 22/11 / / </t>
  </si>
  <si>
    <t>SE LE APRUEBA EXCEPCION 480 SOLES APROVADO POR MARIANGELA</t>
  </si>
  <si>
    <t xml:space="preserve">se le aprueba excepcion para realizar cancelacion por el importe de s/ 700 para el 27/08 ( aprobado por mariangela). </t>
  </si>
  <si>
    <t>SE LE APRUEBA LA CAMPAÑA DE CANCELACION CON 900 SOLES EXCEPCION JULIO</t>
  </si>
  <si>
    <t xml:space="preserve">se le aprueba la excepcion al cliente para que  abonelos 1900 soles //  ya abono 100 soles / </t>
  </si>
  <si>
    <t>se le aprueba la excepcion de los 700 soles // arobado or julio se subras los audios correspondientes /</t>
  </si>
  <si>
    <t>SE LE APRUEBA MONTO DE 1700 PARA MAÑANA // ESPOSO DE TT / SE LE APROBO 1700 EN DOS PARTES 1500 MAÑANA Y 200 SOELS EN ENERO /</t>
  </si>
  <si>
    <t>SE LE BRINDA A TT DT 1500  Y SE OFRECE CAMPAÑA PARA CANCELAR D CON 630, TT INDICA QUE PUEDE PAGAR PARA EL 26/11 SE LE PIDE PRIMERO UN PAGO PARCIAL PARA ACTIVAR CAMPAÑA Y PODER ESPERARLA, PERO NO ACPETA YA QUE INFORMA QUE RECIEN PARA EL 26 LE PAGAN SU SUELDO DE TRABAJO, SE GENERA PPC DE 630 PARA EL 26/11 Y SE ADVIRTE QUE DE SER INCUMPLIDO COMPROMISO YA NO TENDRIA CAMPAÑA Y PAGARIA DT DE 1500 DISCADOR</t>
  </si>
  <si>
    <t xml:space="preserve">SE LE BRINDA DT&gt; 1,000 SOLES // CAMPAÑA 700 // Pagara base campaña 13/01. - 350 soles y  el dia 25/01 - 350 restantes. (SE PRESIONO) </t>
  </si>
  <si>
    <t xml:space="preserve"> Audio&gt; ( Alessandra se comunico) </t>
  </si>
  <si>
    <t xml:space="preserve">se le brinda excepcion con el importe de 750 soles lo realizara el pago el dia de mañana entre las 4 a 6 de la tarde . </t>
  </si>
  <si>
    <t xml:space="preserve">se le brinda mc: 500 // indica que realizará pago el dia martes 27/08 // solicita que enviemos num de cuenta via sms. </t>
  </si>
  <si>
    <t xml:space="preserve">se le brinda poder cancelar el importe en acuerdo , y realizara el pago en el agente BCP. mandarle la infor para q pague mañana o el miercoles a mas tardar . </t>
  </si>
  <si>
    <t>SE LE BRINDA UNA EXCEPCION DE 800 SOLES, QUE FUE APROVADO POR JULIO HIGA , CLIENTE VA A PAGAR EL DIA DE MAÑAN EN LA MAÑANA .</t>
  </si>
  <si>
    <t xml:space="preserve">Se le cede la axecepcion de 1300 soles. hoy 30/12 en caja sullana a la 1:00 pm. </t>
  </si>
  <si>
    <t>SE LE CONFIRMA A TAT  PAGO DE 750 SOLES APROBADO UNICAMENTE POR ESTE MES ADELANTO D EPAGO EL DIA 20/01/20**</t>
  </si>
  <si>
    <t>SE LE DETALLA DOS CUENTAS (OH  INTERBANK )</t>
  </si>
  <si>
    <t>DT 1100 DK 1000 CAMPAÑA 400</t>
  </si>
  <si>
    <t>PPC DE 500</t>
  </si>
  <si>
    <t xml:space="preserve">SUSTENTO DE NO PAGO , NO ESTABA TRABAJANDO , PÒR MOTIVOS DE SALUD NO TERMINO DE PAGAR ACTRUALMENTE YA SE ENCUENTRA EN LAS POSIBILIDADES DE PAGAR AMBAS CUENTAS </t>
  </si>
  <si>
    <t>EDAD  44</t>
  </si>
  <si>
    <t>HIJOS  NO REGISTRA</t>
  </si>
  <si>
    <t xml:space="preserve">TRABAJO: HOSPITAL DEP. HUANCAVELICA </t>
  </si>
  <si>
    <t>BANCO PICHINCHA</t>
  </si>
  <si>
    <t>C.A.C. STA ROSA DEL SECT. SALUD DE HUANCAVELICA</t>
  </si>
  <si>
    <t>COOPERATIVA DE AHORRO Y CREDITO EL TUMI</t>
  </si>
  <si>
    <t>DT 2600 DK 1500 CAMPAÑA 500</t>
  </si>
  <si>
    <t>Se le eleva una excepcion por el monto de 1200, ya que no llego a cosseguir el importe acordado..se comunica al copr.</t>
  </si>
  <si>
    <t>Se le envia sms por whatssap del corporativo 938869948 para confirmar que la excepcion de 500 soles fue aprobada e indicarle donde puede realizar el abono y hasta que fecha, informacion brindada el dia 10/01. DT 6500, campaña 1300</t>
  </si>
  <si>
    <t>SE LE ENVIARA EL NUMERO DE CTA POR MENSAJE DE TEXTO DE LOS BANCOS INTERBANK Y BANCO DE LA NACION</t>
  </si>
  <si>
    <t>SE COMPROMETIO A PAGAR 600 SOLES PARA EL DIA VIERNES 15 DE NOVIEMBRE HASTA EL MEDIO DIA.</t>
  </si>
  <si>
    <t>DT: 950 EXPERTIS: 850</t>
  </si>
  <si>
    <t>SE LE GENERO UNA EXCEPCION APROBADA POR MARIANGELA  PARA CANCELAR TODA SU DEUDA A 600 SOLES</t>
  </si>
  <si>
    <t>SE LE ENVIARA LA CARTA DE LA CANCELACION LO HARA EN 2 PARTES DENTRO DEL MES EL 16/12 DE 1500.00 Y LA DIFERENCIA A FIN DE MES SE LE MANDA LA DOCUMENTACION A SU CORREO CARLOS_RM1026@HOTMAIL.COM</t>
  </si>
  <si>
    <t>SE LE ENVIO UN SMS POR 812 SOLES PAGARA EL DIA 23/28/19 SE LE CONSULTA A JULIO</t>
  </si>
  <si>
    <t xml:space="preserve">SE LE GENERA COMPROMISO PARA FIN DE MES DE 730 SOLES DE CANCELACION EXCEPCION APROBADA POR JULIO </t>
  </si>
  <si>
    <t xml:space="preserve">SE LE GENERA EL COMPROMISO DE PAGO LA CAMPAÑA DE LOS 700 SOLES PARA EL DIA VIERNES 22/11 // </t>
  </si>
  <si>
    <t xml:space="preserve">se le genera un compromiso de pago por 150soles, el dia de ayer no se guardo la tipificacion/ se le envio un sms para el pago a realizar </t>
  </si>
  <si>
    <t xml:space="preserve">SE LE GENEREA COMPROMISO A LA TT PARA QUE CANCELE CON 300 SOLES </t>
  </si>
  <si>
    <t xml:space="preserve">SE LE HABIA PERDIDO EL CODIGO YA QUE CAMBIO DE NUMERO NO TENIA CELULAR , TIENE INTENSION DE PAGO , DT 180 ACUERDO 130   canelara el 13/12  130 soles   SE LE HABIA PERDIDO EL CODIGO YA QUE CAMBIO DE NUMERO NO TENIA CELULAR , TIENE INTENSION DE PAGO , DT 180 ACUERDO 130  cancelara 13/12 130 soles </t>
  </si>
  <si>
    <t xml:space="preserve">SE LE HACE EL RECORDATORIO DE SU PAGO DE LOS 250 RESTANTE PARA Q CON ESE IMPORTE CANCELE , NOS DICE Q LE A DICHO A SU AMIGO Q LE TOME LA FOTO DEL VOUCHER PORQ YA PAGO LOS 50 SOLES . </t>
  </si>
  <si>
    <t xml:space="preserve">SE LE HACE LA MODIFICACION A LA TT YA QUE SE LE PRESENTO UNOS PERCANSES Y LO HARA EL DIA JUEVES 30/01 EN LA CAJA SULLANA/ NO SE ELEVA EXCEPCION YA QUE LA VIGENCIA ESTA HASTA EL DIA / SE LE RECALCA LA PENALIDAD A LA CLIENTA </t>
  </si>
  <si>
    <t xml:space="preserve">se le hace recordatorio por whasap para hacer abono de los 1600 esta a la espera de su acuerdo para hacer su abono </t>
  </si>
  <si>
    <t>Se le hizo llamada confirmandole el monto de campaña de cancelacion de S/168.00.Lo realizara el dia lunes en la caja Sullana</t>
  </si>
  <si>
    <t xml:space="preserve">se le indica deuda total de s/4000.00 , se accede a cancelar con el importe de s/1400.00 </t>
  </si>
  <si>
    <t>haciendo un adelnto de s/100.00 el dia lunes y el saldo restante a fin de mes /  se gestiono por discador</t>
  </si>
  <si>
    <t>Se le indica DK 100, DT 150, campaña 85, indica pagar el 23/03 ya que es monto minimo no hay ningun problema, indico que el prestamo fue para el y brindaba el dinero de la cuota a tercero para cancelar la deuda y quizas no pago la ultima cuotase le envia cuenta recaudador via whatssap</t>
  </si>
  <si>
    <t xml:space="preserve">se le indica DT 2050, campaña 160, le interesa campaña quiere pagar a las 11 am, tt indica que dejo de trabajar y por tema de salud dejo de pagar, ya tiene 9 meses trabajando, lo saco porque se comunicaron con el para sacar una tarjeta, 28 años. </t>
  </si>
  <si>
    <t xml:space="preserve">SE LE INDICA Q REALIZE EL DIA DE HOY EL PAGO EN LA FINANCIERA CREDINKA Y SOLO TIENE EL DIA DE HOY . </t>
  </si>
  <si>
    <t xml:space="preserve">SE LE INDICA Q SE LE BRINDA EL IMPORTE DE LA CANCELACION PERO TIENE Q HACER UN PRIMER PAGO DE 50 SOLES A MAS TARDAR MAÑANA A LAS 9:00 DE LA MAÑANA </t>
  </si>
  <si>
    <t xml:space="preserve">SE LE INFORMA AL CLIENTE QUE CANCELE LA DEUDA CON 400 SOLES/ APROBANDO LA EXCEPCION POR JULIO SIEMRE Y CUANDO PAGUE EL DIA DE HOY / </t>
  </si>
  <si>
    <t xml:space="preserve">SE LE INFORMA DE LA APROVACION DE SU CANCELACION INDICA QUE PAGARA EN LA FECHA INDICADA </t>
  </si>
  <si>
    <t>SE LE LLAMA A  CLIENTE Y SE LE INDICA MONTO APROVADO POR JULIO 3400 SOLES  CLIENTE YA ABONO 300  EL DIA 15/11 ABONA 3100 PARA LIQUIDAR DEUDA , (GRABACION NO SE DIO COMPLETA SE LLAMO DESDE DEISCADOR )</t>
  </si>
  <si>
    <t xml:space="preserve">se le llama a la hermana de la tt mencionando que se le aprobo el monto de los 1300 soles el dia de hoy / </t>
  </si>
  <si>
    <t xml:space="preserve">SE LE LLAMA A TT , SE AGENDA PAGO TOTAL DE 1200 HASTA FIN DE MES (1000 ULTIMA CUOTA DE PPM Y 200 PENALIDAD POR INCLUMPLIMIENTO MES ANTERIOR) </t>
  </si>
  <si>
    <t>SE LE LLAMA A TT,DICE QUE  LLAMARA A SU FAMILIAR PARA QUE DEPOSITE HOY Y RESTANTE  EL   JUEVES CANCELACION PPC DE 600</t>
  </si>
  <si>
    <t>SE LE MANDA COMPROMISO DE PAGO AL CLIENTE POR LA SUMA DE s/ 80,000.00</t>
  </si>
  <si>
    <t>se le manda inf. por whassap</t>
  </si>
  <si>
    <t>SE LE MANDO POR CORREO AL AVAL, LA TRANSACCIÓN EXTRAJUDICIAL POR S/4000, QUE PAGARÁ FINES DE MES.</t>
  </si>
  <si>
    <t>se le menciona a clienta  : ppc:3000</t>
  </si>
  <si>
    <t xml:space="preserve">campaña: 850 </t>
  </si>
  <si>
    <t xml:space="preserve">sustento : menciona que LE PAGARAN UN DINERO </t>
  </si>
  <si>
    <t>32 años</t>
  </si>
  <si>
    <t>tiene deudas con financiera uno y caja arequipa</t>
  </si>
  <si>
    <t xml:space="preserve">3 hermanos </t>
  </si>
  <si>
    <t xml:space="preserve">adelanta con 100 soles el dia lunes </t>
  </si>
  <si>
    <t>se le menciona a la clienta que se le esta realizado la congealcion de los monto con 1 mil soles para el dia 25/01 se llamo el 10/01</t>
  </si>
  <si>
    <t xml:space="preserve">SE LE MENCIONA A LA CLIENTA QUE YA SE LE ACTIVO LA CAMPAÑA DE LOS 150 SOLES PARA EL DIA DE HOY </t>
  </si>
  <si>
    <t xml:space="preserve">SE LE MENCIONA A LA CLIENTE QUE SE LE APROBO EL MONTO DE LOS 700 SOLES PARA QUE SEAN PAGADOS EL DIA HOY // </t>
  </si>
  <si>
    <t>se le menciona a tt que puede cancelar con S/.2500. Excepción aprobado por Mariangela Pina//tt enviará comprobante de pago por whatsapp</t>
  </si>
  <si>
    <t>se le menciona al cliente que fue aprobado por 800 soles el dia 30/12 pueda ser que lo haga domingo en credinka</t>
  </si>
  <si>
    <t xml:space="preserve">SE LE MENCIONA AL CLIENTE QUE SE LE APROBO LA DEUDA BAJO EL IMPORTE DE 2 MIL SOLES LOS CUALES LOS HARA EL DIA DE MAÑANA ANTES DEL MEDIO DIA / </t>
  </si>
  <si>
    <t xml:space="preserve">SE LE MENCIONA AL CLIENTE QUE SE LE APROBO LA EXCEPCION DE 900 SOLES PARA EL DIA MAÑANA // </t>
  </si>
  <si>
    <t xml:space="preserve">se le menciona al sr jorge zapata sanchez encargado de la deuda que se le activo la campaña para cancelar el dia lunes 27/01 / </t>
  </si>
  <si>
    <t xml:space="preserve">se le menciona al sr steban vilelaque el importe de los 1 mil soles  fueron aprobados lospagra el dia de mañana antes de las 5 pm </t>
  </si>
  <si>
    <t xml:space="preserve">SE LE MENCIONA AL TT QUE SE APROBO LA EXCEPCION DE 3 MIL SOLES Y MENCIONA QUE PAGARA EL DIA VIERNES 17/01 / SI INCUMPLE SE LE COBRA LA PENALIDAD </t>
  </si>
  <si>
    <t xml:space="preserve">SE LE MENCIONA AL TT QUE SE LE APROBO EL DESCUENTO DE 200 SOLES / SE LE MENCIONA LA PENALIDAD DE LA DEUDA POR INCUMPLIMIETO // YA HBO GESTION DE NEGOCIACION ABAJO / </t>
  </si>
  <si>
    <t>SE LE MENCIONA DEUDA DE S/.782//TT MENCIONA QUE CAJA SULLANA CIERRA A LAS 5PM NO PUEDE LLEGAR ANTES PARA PODER CANCELAR//SE LE OFRECE CANCELAR CON S/.250 Y SE BRINDA NUMERO DE CTA CTE DEL BCP</t>
  </si>
  <si>
    <t xml:space="preserve">SE LE MENCIONA LA CLIENTE LA OPCION DE QUE LOS 1800 TIENE QUE SERA HASTA FINES DE MES YA QUE NO PUEDE PAGARLO EN DOS ARMADAS SI NO SE LE COBRA 2500 SOLES /  ACEPTO HASTA EL DIA 31/10 / </t>
  </si>
  <si>
    <t>SE LE MENCIONA QUE DEUDA ES DE S/.954//CONFIRMA REALIZA RLE PAGO EL VIERNES//SE LE MENCIONA QUE DE INCUMPLIR HBARÀ COBRO DE PENALIDAD DE S/.250(SE HIZO CONSULTA CON MAYRA LLIMPE)</t>
  </si>
  <si>
    <t>se le menciona</t>
  </si>
  <si>
    <t>DT: 800</t>
  </si>
  <si>
    <t xml:space="preserve"> campaña: 450</t>
  </si>
  <si>
    <t xml:space="preserve">menciona cancelar el dia sabado el viernes viajara a puno </t>
  </si>
  <si>
    <t>edad:43</t>
  </si>
  <si>
    <t>trabaja :GOBIERNO REGIONAL PUNO</t>
  </si>
  <si>
    <t>hermano 1</t>
  </si>
  <si>
    <t xml:space="preserve">se le menciono por que no cancelo la deuda menciona que no consiguio el dinero // pregunto hasta cuando tiene 10/01/2020 ultima fecha de excepcion de pàgo </t>
  </si>
  <si>
    <t>Se le ofrece a tt cancelar con S/ 680.00 hasta máximo el día 13/03.</t>
  </si>
  <si>
    <t>Solicita que se le envíe toda la información para realizar el pago en fecha indicada.</t>
  </si>
  <si>
    <t>DT: 1,700</t>
  </si>
  <si>
    <t>DC: 940.00</t>
  </si>
  <si>
    <t xml:space="preserve">CAMPAÑA: 680.00 </t>
  </si>
  <si>
    <t>MOTIVO DE PAGO: Quiere salir de deudas</t>
  </si>
  <si>
    <t>FECHA DE POSIBLE PAGO: 13/03</t>
  </si>
  <si>
    <t>SE LE OFRECE A TT CANCELAR DEUDA CON S/.100//TT MENCIONA QUE SE ACERCARÀ A LA AGENCIA DE JULIACA POR LA TARDE//SE BRINDA DIRECION Y HORARIO DE CREDINKA</t>
  </si>
  <si>
    <t>se le ofrece a tt cancelar deuda con S/.600, si no encuentra credinka lo harà en el BCP, se envÌa Nº cta cte del BCP por mensaje</t>
  </si>
  <si>
    <t>Se le ofrece a tt la posibilidad de cancelar deuda con S/ 3,200. TT indica que haría el recaudo de dinero par fin de mes.</t>
  </si>
  <si>
    <t>DT: 5,000</t>
  </si>
  <si>
    <t>DC: 3,200</t>
  </si>
  <si>
    <t xml:space="preserve">Campaña: 3,200 </t>
  </si>
  <si>
    <t>MDI: Sufrió una estafa por más de 100,000 soles</t>
  </si>
  <si>
    <t>MDP: Quiere pagar todas sus deudas y limpiar su historial</t>
  </si>
  <si>
    <t>STP: Ahorros</t>
  </si>
  <si>
    <t>se le ofrece campaña de cancelacion total por :220 para el dia de hoy DT:720,asi es unos meses estara sujea a creditos financieros para posibles prestamos para su negocio.tt informa que la deuda es de un amigo y conversara con el lo mas pronto posible para cancelarla hoy mismo.se comunicara con nosotros</t>
  </si>
  <si>
    <t xml:space="preserve">se le ofrece cancelacion con 250 soles  </t>
  </si>
  <si>
    <t xml:space="preserve">SE LE OFRECE LA CALCELACION D ELA DEUDA DE SU HIJASTRAS KATHERINE Y CAROLA EN 1100.00 SOLES   700 LA CUENTA DE CAROLA Y 400 LA CUENTA DE KATHERINE. </t>
  </si>
  <si>
    <t>se le ofrecio a tt campaña: S/250.00</t>
  </si>
  <si>
    <t>edad:25 años</t>
  </si>
  <si>
    <t>no tiene trabajo en planilla</t>
  </si>
  <si>
    <t>tiene deuda con FINANCIERA UNO</t>
  </si>
  <si>
    <t>se le ofrecio campaña de 1500 para cancelacion,hasta viernes28.6pm</t>
  </si>
  <si>
    <t xml:space="preserve">se le ofrecio en el mes de octubre campaña de descuento con el importe de 13780 pero realizo abonos hasta el momento sumado con  6000 solicitamos descuento con el monto de 7780 aprobado por julio // se le indico a hija de tt ruht tiene hasta fin de mes para abonar si cumple lo indicado se le rompe el compromiso con la excepcion </t>
  </si>
  <si>
    <t>SE LE OTORGA CANCELACION EN MONTO A 12500.00 SOLES PARA EL DIA 27/09/19 SI PAGA EL DIA 30/09/19 EN 14000.00 PAGA LOS 12.000.00 SOLES Y REFINANCIA LOS 2000.00 SOLES  / AYUDA JORDAN /</t>
  </si>
  <si>
    <t>SE LE OTORGA LA EXCEPCION POR 1100 SOLES PPC PAGARA  HOY A LAS 4PM QUE SALES DEL TRABAJO EXCEPCION MARIANGELA*</t>
  </si>
  <si>
    <t xml:space="preserve">SE LE OTORGARA REALIZAR EL IMPORTE DE EXCEPCION DE 600 SOLES SU PRIMERA CUOTA SERA DE 100 SOLES PARA EL DIA DE HOY . </t>
  </si>
  <si>
    <t>SE LE RECUERDA AL TT QUE HOY VENCE EL PLAZO DE LOS 1000 MIL SOLES TIENE HASTA LAS 5 PM</t>
  </si>
  <si>
    <t>SE LE REPROGRAMA CON 300 SOLES POR QUE EL DIA 20/09/19 NO PODRA PAGAR SE LE INFORMA 300 A FIN DE MES/ INFORMADO A MARIANGELA</t>
  </si>
  <si>
    <t xml:space="preserve">se lebrinda informacion indica que si desea cancelar e indica que el 27 cancela la deuda por agente bcp </t>
  </si>
  <si>
    <t>SE LLAMA AL TITULAR DEL COORPORATIVO 938869948, INDICA QUE SU EMPRESA NO LES HICO EL DEPOSITO A NINGUNO DE SUS TRABAJADORES, HOY LE ESTARAN DEPOSITANDO, INDICA REPROGRAMACION PARA EL DIA 18/12 CON MAS SEGURIDAD A LAS 5 PM</t>
  </si>
  <si>
    <t>se llamo a tt accede a pagar el dia 31/10 350 soles  , adelanta hoy 50 yel saldo restanrte el dia 31/10</t>
  </si>
  <si>
    <t>SE LLAMO AL CLIENTE  , MANIFIESTA QUE SI ACCEDE A CANCELAR DD CON EL IMPORTE DE S/3200.00 , SE APRUEBA EXEPCION DIA 17/09 SE LE INDICA QUE DE ADELANTO PERO TRABAJA EN MINA  //  SE LE ESTARA IGUAL HACIENDO SEG.</t>
  </si>
  <si>
    <t>se llamo al cliente por el aplicativo wssp  , se le hace mencion sobre el saldo restante e indica que esta destinando el dinero para poder completar el importe  , exactamente no confirma fecha por que el cl destina el dinero por internet segun lo que indica y se genera el pago por un 3ero  , cliente se levanta de gestiones v4 se consulto a nataly dio la autorizacion para llamar.</t>
  </si>
  <si>
    <t>SE LLAMO DEL COORP 15 P</t>
  </si>
  <si>
    <t>DT: 1900</t>
  </si>
  <si>
    <t>DK:1000</t>
  </si>
  <si>
    <t>CAMP(EXCEPCION: 500</t>
  </si>
  <si>
    <t>FECHA :11/03</t>
  </si>
  <si>
    <t>MONTO POR EXCEPCION: 500</t>
  </si>
  <si>
    <t>TT DICE QUE NO LE PAGARON HOY PERO LE ESTARIAN PAGANDO HASTA EL DIA DE MAÑANA Y LO ESTARIA CANCELANDO CON SEGURIDAD.</t>
  </si>
  <si>
    <t>EDAD DE TT: 50 AÑOS / SOLTERO</t>
  </si>
  <si>
    <t>DEUDAS:  COOPERATIVA DE AHORRO Y CREDITO LTDA MI FINANCIERA TOTAL 800 //MUNICIPALIDAD PROVINCIAL DE URUBAMBA 201711</t>
  </si>
  <si>
    <t xml:space="preserve">SE LLEGA A ACUERDO DE CANCELACION POR EXCEPCION APROBADA POR EL IMPORTE DE 1200 </t>
  </si>
  <si>
    <t>SE LLEGO A LA ULTIMA CUOTA DE PAGO DE EL IMPORTE DE LOS 425 Y CON ESO CANCELA Y SE LE INDICA Q DESPUES DE HACER EL PAGO LE INDICAREMOS SOBRE LA CARTA DE NO ADEUDOR Y SE LE MENCIONA Q ES EN EL PLAZO DE 15 DIAS . LO REALIZARA POR EL AGENTE BCP . ES UN IMBOUND</t>
  </si>
  <si>
    <t>se llego a una conciliacion de la ultima cuota de 750 y con eso liquida la deuda . se le indica q nos tiene q hacer llegar el voucher si no lo hace no hay carta de no adeudo</t>
  </si>
  <si>
    <t>SE LLEGO A UNA CONCILIACION DE REALIZAR SU PAGO DE 500 SOLES EN UN PRIMER PAGO DE 50 PARA EL VIERNES Y LA DIFERENCIA EL 30 . FUE EXCEPCION APROVADA POR MARIANGELA.</t>
  </si>
  <si>
    <t>SE LLEGO ACUERDO CON CLIENTE EN CANCELARA 3000 SOLES  29/11/2019 PERO AMOTIZARA A CUENTA 300 SOLES 26/11/2019 . SE  CORTO LLAMADA CUANDO SE LE IBA A DAR NUMERO DE CUENTA.</t>
  </si>
  <si>
    <t xml:space="preserve">se maneja enterior /// Deuda total:4200 campaña: 700 sr menciona que el mes pasado no pudo pagar porque estuve de viaje y no habia agnetes, encargo a un familar pero este no Pudo pagar. se compromete a pagar el 8/02 700 soles. el dinero ya no tiene en fisico ( sueldo) search: 38 años. trabaja en 3K3 S.R.L no tiene deuda solo finaciera OH. Se le menciona penlidad. </t>
  </si>
  <si>
    <t xml:space="preserve">se mantiene la campaña de 400 soles, pagara 200 21/01 y los otros 200 el 31/01 se atraso porque el saco el prestamo para tercero y le fallo con los pagos, el dinero lo sacara de su sueldo. search: 29 años. no tiene trabajo con planilla, no tiene hijos, no tiene deuda.  </t>
  </si>
  <si>
    <t xml:space="preserve">se me fue el discador </t>
  </si>
  <si>
    <t xml:space="preserve">SE ME FUE LA FICHA .... DT 2100 ACUERD 800 , TT TIENE INTERES DE PAGO , MOTIVO  DE NO PAGO NO LO MENCIONO ESTA MANEJANDO , NO TRABAJA EN PLANILLA, NO TIENE MAS DEUDAS , TIENE 34 AÑOS , CONFIRMA CANCELACION  EL 15/01 400 Y FIN DE MES 400 </t>
  </si>
  <si>
    <t>se menciona a tt deuda total de s/.368 y se ofrece cancelar con s/.160///tt menciona que los s/.18/12 recibe su pago por el cual confirma cancelar deuda esa fecha</t>
  </si>
  <si>
    <t>SE MENCIONA CAMPAÑA DE DESCUENTO DE 93// DT 993///INDICA QUE CON SEGURIDAD LO EFECTUARA EL DIA LUNES 30/12</t>
  </si>
  <si>
    <t>SE MENCIONA DEUDA TOTAL DE S/.389//SE OFRECE CANCELAR CON S/.345//TT CONFIRMA QUE CANCELAR À MAS TARDAR EL 17/12 YA QUE TRABAJA EN CONSTRUCCIÒN Y SE ENVIARPA NUMERO DE CTA POR WHATSAPP</t>
  </si>
  <si>
    <t>se menciona dk 2458/se le indica que le estuvieron brindando la opcion de liquidar con 495//acepta hara pago segu campaña /31/12</t>
  </si>
  <si>
    <t xml:space="preserve">SE MENCIONA DK 651//EXPERTIS 132/// PAGARA HOY // SE ENVIA MENSAJE CON INFORMACION DE PAGO </t>
  </si>
  <si>
    <t xml:space="preserve">SE MENCIONA MIN1 POR 900 //INDICA QUE HARA ABONO DE 200 VIERNES LO RESTANTE A FIN DE MES //DISCADOR </t>
  </si>
  <si>
    <t>SE MODIFICO FECHA . 10/2.</t>
  </si>
  <si>
    <t xml:space="preserve">SE NEGOCIO VIA WHATSAPP , TT CONFIRMA CANCELACION  EL 15 /01 PAGARA 110 Y A FIN DE MES 110 </t>
  </si>
  <si>
    <t>SE OFRECE CAM P S/345 TT PAGARA HOY 200 Y LUNES 145</t>
  </si>
  <si>
    <t xml:space="preserve">SE PIDE ECEPCION DE PAGO , `PARA QUE PAGUE HOY 700 VLL A LA ESPERA DE RESPUESTA </t>
  </si>
  <si>
    <t>SE PROGRAMA COMPROMISO DE PAGO VIGENTE CON QAPAQ, CLIENTE ES RENUENTE A LAS LLAMADAS Y MENSAJES DE WHATSAPP PERO PAGA DENTRO DE FECHA PACTADA, SE INGRESA COMPROMISO AUTORIZADO</t>
  </si>
  <si>
    <t>SE PROGRAMA LA CANCELACION DE LA DEUDA PARA EL DIA 16/12 A LAS 5 PM SALIENDO DEL TRABAJO CON UN MONTO DE 850 SOLES , COBRARA LA GRATIFICACION Y EL TT SE ACERCARA A ABONAR, SE LE BRINDA EL NUMERO DE CUENTA RECAUDADORA DE CREINKA MEDIANTE EL WHATSSAP</t>
  </si>
  <si>
    <t>se programa pago para el dia de mañana  //  cliente se comunico en la mañana</t>
  </si>
  <si>
    <t xml:space="preserve">se programa pago para hoy del importe a cancelar de s/7000.00 </t>
  </si>
  <si>
    <t>SE PROPONCE CAN CON302 - TT MENCIONA QUE PUEDE HACERLO MAÑANA QUE ESTA EN LA CIUDAD POR QUE HOY ESTA DECOMISION Y LO HARA POR DEPOSITOBCP ,SS QUE LE ENVIE LA CUENTA PARA PODER REALIZARLO</t>
  </si>
  <si>
    <t xml:space="preserve">SE QUEDA CON MARIAGELA EN OTROGARLE AL CLIENTE UNA CANCELACION EN DOS ARMADAS YA ABONO 3500 SOLES EL DIA VIERNES EL DIA 23/09 CANCELA LOS 11500 SOLES </t>
  </si>
  <si>
    <t>se quedo el refinanciamiento de 270 y 3 ultimas cuotas de 210 y ya estamos en la ultima cuota de pago , se llego a la conciliacion de la cancelacion con el importe de los 210 soles de esta manera estamos cordinando la carta de no adeudor ya q el cliente no maneja las redes de la aplicacion de whatssap . en base al total de los 900 soles . cliente siempre estuvo cumpliendo sus pagos . converso con mariangela / no hay audio.</t>
  </si>
  <si>
    <t>Se realiza confirmacion de la excepcion aprobada con 2500 a base de una DT 7000 soles via whatsapp del corporativo 19, tt indica que se acercara a oficinas antes de las 12M</t>
  </si>
  <si>
    <t>SE REALIZA LA CONFIRMACION DE LA EXCEPCION APROBADA</t>
  </si>
  <si>
    <t xml:space="preserve">Cliente se comunica al corporativo 1, DT 1750, campaña 1002, antiguedad 1 año, tt indica que recibira un dinero de 450 soles y con eso quiere cancelar la deuda el 17/02, hace una semana ya no labora en SERVICIOS LOGISTICOS AUTOMOTRICES S.A., trabaja limpiando casas y recibira pago, no recuerda porque saco prestamo, dejo de pagar porque su mama se enfermo y tuvo que cubrir con sus gastos, se verifica hija en search, 37 años, entidades reportada AZTECA Y QAPAQ. </t>
  </si>
  <si>
    <t>SE REALIZA LA CORRECCION DEL COMPROMISO PRA QUE CANCLE CON 3950 SOLES EL DIA LUNES 21/10 MAXIMO 22/10</t>
  </si>
  <si>
    <t>se realiza la ultima reprogramacion para cancelar la obligacion el dia de mañana maxx a las 3 pm</t>
  </si>
  <si>
    <t xml:space="preserve">SE REALIZA LLAMADA AL NUMERO DE REFERENCIA BRINDADO </t>
  </si>
  <si>
    <t xml:space="preserve">DT 500, CAMPAÑA 200, ANTIGUEDAD 3 AÑOS, INDICA QUE PAGARA EÑ 25/02, TT INDICA QUE SACO PRESTAMO PORQUE SU PAREJA LE HIZO SACAR, COMO SE SEPARARON DEJO DE PAGAR Y APOYARLA, TRABAJA VENDIENDO CHICHA YA QUE VIVE POR UNA ZONA RURAL, 28 AÑOS, ENTIDADES REPORTADAS AZTECA Y PROEMPRESA. </t>
  </si>
  <si>
    <t>SE REALIZA LLAMADA AL NUMERO PERSONAL DESDE EL CORP. 19</t>
  </si>
  <si>
    <t>REALIZA EL PAGO EL DIA DE HOY EN LA TARDE</t>
  </si>
  <si>
    <t>DT 1200, campaña 250 soles, antiguedad 3 años, tt indica que no esta trabajando, tt indica que llamara el dia viernes 14/02, numero personal 981632017, tuvo problemas personales y dejo trabajo para cuidara a su hijo, trabajaba en LOAYZA FERNANDEZ S.A.C. - LOAYFER S.A.C. hace 2 meses, 43 años, entidades reportadas  INTERBANK, CAJA RURAL DE AHORRO Y CREDITO CAT PERÚ S.A., OH.</t>
  </si>
  <si>
    <t>SE REALIZA LLAMADA DE CONFIRMACION DE LA EXCEPCION APROBADA PARA 28/02</t>
  </si>
  <si>
    <t>DT 28000, CAMPAÑA 2500, ANTIGUEDAD 5 AÑOS, LANZA CONTRAOFERTA 1000 SOLES ES TODO LO QUE PUEDE CONSEGUIR SI LE DAN EL VISTO BUENO,TT INDICA QUE YA NO RADICA EN LIMA, INDICA QUE TUVO PROBLEMAS FAMILIARES, SACO PRESTAMO PARA TERCERA PERSONA FAMILIAR, INDICA QUE QUIZO CANCELAR PERO NO LE ALCANZO, INDICA QUE FAMILIAR LE PRESTARA EL DINERO, 42 AÑOS, SE VERIFICA QUE TRABAJA EN INGECLEAN PERU SOCIEDAD ANONIMA CERRADA - INGECLEAN S.A.C. 2019, SOLO PROEMPRESA COMO ENTIDAD REPORTADA.</t>
  </si>
  <si>
    <t xml:space="preserve">Se realiza llamada desde el corporativo 19 para realizar programacion de el ultimo abono de 700 soles por la excepcion pactada, tt indica que para fin de mes podra abonar el restantes el viernes 28/02, DT 6200, campañas 1200, 36 años, entidades reporatadas SULLANA, OH. </t>
  </si>
  <si>
    <t>Se realiza llamada desde el corporativo 19, DT 600, campaña 370, antiguedad 1 año, indica que quiere cancelar el 06/02 en la tarde, indica se olvido que falto una cuota pendiente porque perdio el cronograma, se confio que quedaba una cuota pendiente, trabaja, deja el movil a su hijo, saco para comprar cosas de casa el prestamo, 48 años, Qapaq solo entidad reportada con retraso.</t>
  </si>
  <si>
    <t>Se realiza llamada desde el corporativo 938869948, tt indica que ya no esta trabajando en GOBIERNO REGIONAL DE TACNA HASTA JULIO TRABAJO, MUNICIPAL  PROVINCIAL DE CANDARAVE HASTA ENERO, tt saco tarjeta de interbank y no lo pudo pagar porque se quedo sin trabajo, indica que el dinero lo sacara con total seguridad de un prestamo para el miercoles 15/02 con total seguridad, quiere volver a trabajar con las entidades financieras, es la unica deuda que tiene se verifica en el search, 40 años, indica que quiere que le envien la informacion de donde abonar y cuando le daran la carta de no adeudo a su correo para tener certificado que se le dara la carta de no adeudo esto indica en llamada para confirmar la exceppcion aprobada</t>
  </si>
  <si>
    <t xml:space="preserve">SE REALIZA PROGRAMACION DE CANCELACION POR EL IMPORTE MANEJADO POR CORREO ELECTRONICO , SE LE INFORMA A CLIENTE QUE NO S ELE PODRA DAR EL PLAZO HASTA EL DOMINGO YA QUE ESE DIA NO FUNCIONAN LAS OFICINAS DE INTERBANK Y POR LAS AGENCIAS QUE SE ENCUETRAN EN PLAZA VEA NO PODRA EFECTUAR EL PAGO </t>
  </si>
  <si>
    <t xml:space="preserve">SE REALIZA PROGRAMACION DE PAGO DE  SALDO RESTANTE DE 1638 SOLES PARA EL DIA 25 DE ENERO COMO CAMCELACION DE SU DEUDA </t>
  </si>
  <si>
    <t xml:space="preserve">SE REALIZA REPROGRAMACION A FIN DE MES ULTIMA CUOTA DE 250 SOLES </t>
  </si>
  <si>
    <t xml:space="preserve">PPC :250 </t>
  </si>
  <si>
    <t xml:space="preserve">5ta </t>
  </si>
  <si>
    <t>ABONO CUARTA CUOTA OP:906605</t>
  </si>
  <si>
    <t>Se realizo llamada desde el corporativo 938869948 para confirmar cancelacion de la deuda con 390, tt indica que ya realizo el pago y enviara foto desde el movil de la asesora que le atendio, caso asignado por INBOUND</t>
  </si>
  <si>
    <t xml:space="preserve">SE REASIGA EL CONVEIO YA QUE EL TT NP PUDO RETIRAR EL PRESTAMO EN LA DERRAMA MAGISTERIAL SE LO APROVARON PARA EL DIA LUNES 17 </t>
  </si>
  <si>
    <t>SE REPOGRAMA PAGO DE SU DEUDA POR 2300 SOLES EN CREDINKA , TT  NO CANCELO POR QUE NO SE ENCUENTRA EN LA CIUDAD , ESTA TRABAJANDO , ME INDICA QUE CANCELARAEL DIA 31 EM CREDINKA</t>
  </si>
  <si>
    <t xml:space="preserve">SE REPROGRAMA A TT YA QUE AUN NO LE PAGAN SU SUELDO , MENCIONA QUE QUIERE PAGAR PERO AUN NO TIENE EL DINERO POR ESO PIDE UNA REPROGRAMACION , SI LE PAGAN ABONA ANTES </t>
  </si>
  <si>
    <t xml:space="preserve">se reprograma cancelacion de s/484.00 ya que cliente se encuentra lejos por temas de votacion </t>
  </si>
  <si>
    <t>se reprograma compromiso para fin de mes ya que tt utilizo el dinero para la compra de sus alimentos, abonara en qapaq, (se grabo llamada del discador por problemas de internet se demoro en empezar a grabar por lo que no se escucha el saludo inicial, tener en cuenta por favor)</t>
  </si>
  <si>
    <t>se reprograma fecha ya que tt solicito un adelanto para cancelar y se lo rechazaron, le pagan su sueldo el dia 27/01/20 y pagara, se genera compromiso por whatsapp</t>
  </si>
  <si>
    <t>se reprograma pago de s/700.00 , cliente se comunica por wssp</t>
  </si>
  <si>
    <t>se reprograma pago de s/700.00 , cliente se comunica por wssp EL DIA 28/02 SE CHANTA PROMESa</t>
  </si>
  <si>
    <t>se reprograma pago para el dia 31/01 cliente dio la conformidad</t>
  </si>
  <si>
    <t>se reprograma pago para el dia de hoy  , dice que no pago por falta de tiempo se le da ultimo plazo no cancela hoy beneficio se anula</t>
  </si>
  <si>
    <t>se reprograma pago para el dia de hoy  , tt es policia y por temas de tiempo no fue a pagar / hoy hae el pago a primera hoy , en todo caso se anula compromiso</t>
  </si>
  <si>
    <t>se reprograma pago para el dia de hoy  //  se aprobo expecion</t>
  </si>
  <si>
    <t xml:space="preserve">se reprograma pago para el dia de mañana el importe de s/347.70 </t>
  </si>
  <si>
    <t>SE REPROGRAMA PAGO PARA EL DIA VIERNES 25///INDICA QUE NO PUDO CONSEGUIR EL DINERO //PERO SE ESTA HACIENDO UN PRESTAMO DE UN FAMILIAR //PPC 1000 //</t>
  </si>
  <si>
    <t xml:space="preserve">SE REPROGRAMA PAGO POR HUELGA EN AREQUIPA... TT INDICA CONTAR CON EL DINERO .. SE ACERCARA A PAGAR EL DIA SABADO... (CELULAR PERSONAL) </t>
  </si>
  <si>
    <t>se reviso cronograma de pago y aun se mantiene en vigencia tt cancela deuda el dia 26/12 dando un adelanto el dia lunes de s/200.00 el dia 9/12</t>
  </si>
  <si>
    <t>se valida pago de marzo , cliente cancela ultima cuot este mes</t>
  </si>
  <si>
    <t xml:space="preserve">Se verifica que tt cuenta con proceso de demanda por ODSD. Se conversa con cliente y accede a cancelación con el importe de s/ 1500 para el día de hoy 22/05. </t>
  </si>
  <si>
    <t>SE VUELVE A INGRESAR PDP POR INCIDENCIA DE LA TACITA</t>
  </si>
  <si>
    <t xml:space="preserve">se vuelve a ingresar pdp por incidencia de la tacita, excepcion aprob por Mariangela de 1,200 soles </t>
  </si>
  <si>
    <t>Search:  41 ,BURGA CIEZA MARCO ANTONIO</t>
  </si>
  <si>
    <t>DT: 6856</t>
  </si>
  <si>
    <t>DK: 4587</t>
  </si>
  <si>
    <t>CAMPAÑA: excepcion de 2100 PPC</t>
  </si>
  <si>
    <t>Por Que NO PAGO: no contaba con el dinero</t>
  </si>
  <si>
    <t xml:space="preserve">RUBRO: trabaja en una obra de construccion / reporta 2 deudas con PIURA Y CREDINKA / </t>
  </si>
  <si>
    <t>comenta que hoy pagara la deuda con encargado de deuda {FELIPE TAPIA HUANCA} / 976460872</t>
  </si>
  <si>
    <t xml:space="preserve">SED APROBO LA EXCEPCION POR MONTO DE 500 SOLES EL DIA DE MAÑANA 05/02/2020 A LAS 2 DE LA TARDE // EXCEPCION APROBADA POR JULIO HIGA </t>
  </si>
  <si>
    <t>SEGUN EL TT INDICA QUE HARA UN DEPOSITO EL DIA LUNES DE S/132  SE GESTIONO POR DISCADOR</t>
  </si>
  <si>
    <t xml:space="preserve">señora afirma que no pudo pagar porque no llego a conseguir se le hablo de la penalidad generada, se le genero un nuevo compromiso para este 30 de enero/ </t>
  </si>
  <si>
    <t>SEÑORA MARINA SE COMUNICA Y PIDE QUE SE LE ACEPTE 1200 COMO CANCELACION, TIENE DINERO EN MANO Y ES TODO LO QUE PUDO JUNTAR, SE LE INDICA QUE ABONE IMEDIATAMENTE</t>
  </si>
  <si>
    <t xml:space="preserve">SI SI /*/ 200 SOLE SOOC </t>
  </si>
  <si>
    <t xml:space="preserve">sms de descuento 285//pagara hoy </t>
  </si>
  <si>
    <t xml:space="preserve">Sobrino lenin confirma pago del importe de mil soles para la cancelacion de la deuda con la excepcion de julio // ppc </t>
  </si>
  <si>
    <t xml:space="preserve">solicita ampliacion de pago a mas tardar hasta el 20 para que cancele </t>
  </si>
  <si>
    <t>sr antonio cortes abonara el dia de mañana por la mañana 500 soles para la cancelacion de su deuda - aprobado por Mariangela excepcion</t>
  </si>
  <si>
    <t xml:space="preserve">SR DEMETRIO ESPOSO DEL TT INDICA QUE ESTARIA EFECTUANDO LA CANCELACION DE LOS MINI1 /1500 PARA PODER HACER LA CANCELACION DE SU  DT/3400  ESTARIA EFECTUANDO EL PAGO POR CREDINKA POR LA MAÑANA </t>
  </si>
  <si>
    <t xml:space="preserve">Sr indica que el numero es del trabajo que la llamaemos a su numero personal y que no lo sabe </t>
  </si>
  <si>
    <t xml:space="preserve">TT indica que estaria abonando el dia lunes mini1 135  por la deuda total de 200 soles estara pagando por la tarde </t>
  </si>
  <si>
    <t xml:space="preserve">SR SE COMUNICA CON NOSOTROS MENCION QUE YA SE CONSIGIO EL TOTAL 750 PAGARA ( NO SE ACOJERA A LA EXCEPCION YA QUE PUDO CONSEGUIRSE LA OTRA MITAD) YA ESTA EN COLA DEL BCP. </t>
  </si>
  <si>
    <t>SE CONSULTO CON MARIBEL SOBRE NEGOCIACIÓN.</t>
  </si>
  <si>
    <t>Sr se comunica por whatsapp menciona que no pudo pagar la fecha acordada por que no le pagaron, comfima pago de la diferencia 26-02 de los 600 soles. reprogramacion .</t>
  </si>
  <si>
    <t>SR, ANGELICA CANCELA 400 FIN DE MES (SI PUEDE 200 ESTE VIERNES Y 200 FIN DE MES )</t>
  </si>
  <si>
    <t>SR. RODRIGUEZ CONFIRMA PAGO DEL IMPORTE DE 2500 SOLES YA QUE SE LE ACTIVA LA CAMPAÑA EN LA TARDE PORQUE PAGO APROX LO REALIZARA A LAS 4 PM YA QUE AHORA SE ENCUENTRA EN TACNA POR UN MOTIVO FAMILIAR / PPC EXCEPCION DE JULIO  ( NO SE PODIA INGRESAR CLIENTE YA QUE EN LA TACITA V3 DE AYER SALIA COMO CANCELADO)</t>
  </si>
  <si>
    <t xml:space="preserve">sra menciona que no pudo paga el 14/02 por poblemas personales. se le hace reprogramación para el 26/02 se le pide seguridad en su pago de lo contrario se le cobrara penalidad. se le envia mensaje </t>
  </si>
  <si>
    <t xml:space="preserve">SRA NOS DEVUELVE LLAMDA AL COPR 16. MENCIONA QUE UN FAMILIAR ESTARA HACIENDO EL PAGO 21-05 EN CREDINKA / SE LA EN HORARIO DE ATENCION DE LAS AGENCIAS / SE LE MENCIONA PENALIDAD / DEUDA TOTAL: 9900  CAMPAÑA:  3700 SRA MENCIONA QUE LE ENVIARON MENSAJE CON MONTO DE 2648 </t>
  </si>
  <si>
    <t>SUSTENTO:DEL PRESTAMO DE UN FAMILIAR</t>
  </si>
  <si>
    <t>NOPAGO:TEMAS ECONOMICOS</t>
  </si>
  <si>
    <t>SEARCH: 2017 GOBIERNO REGIONAL PUNO</t>
  </si>
  <si>
    <t xml:space="preserve">sra nos escribe por whasp numero 16 menciona que se le hizo tarde pagar,  hoy 29-02 hara el pago de 500 soles. negociacion por whap. </t>
  </si>
  <si>
    <t>sra se comunica melita roncal maqui (hermana) indica le prestara el dinero a tt para que cancele su deuda con 860.00 de la sgte manera: 500.00 el dia 25/05/2020 y 360.00 el dia 29/05/2020, solicita envio de cuenta</t>
  </si>
  <si>
    <t xml:space="preserve">SRA SOLICITA PAGAR CON 500 SOLES, SE APUEBA EXCEPCION. LO PAGARA HOY 17-02. </t>
  </si>
  <si>
    <t>SRA TERESA ENCARGADA DE PAGO MENCIONA QUE CANCELARA EL DIA DE HOY LOS 700 SOLES</t>
  </si>
  <si>
    <t>SRA TERESA ENCARGDA DE LA DEUDA MENCIONA QUE ABONARA LOS 400 SOLES EL DIA 07/10</t>
  </si>
  <si>
    <t xml:space="preserve">SRA TERESA MENCIONA QUE ABONARA 400 SOLES EL DIA 20/09 YA QUE ABONO 300 SOLES EL DA DE HOY / CANCELA EN TOTAL CON 700 SOLES </t>
  </si>
  <si>
    <t xml:space="preserve">SRA TERESA MENCIONA QUE NO LOGRO JUNTAR EL DINERO Y QUE EL DIA 29/09 ABONARA LOS 400 RESTANTES / </t>
  </si>
  <si>
    <t xml:space="preserve">SRA. EDITH HIJA DE TT, RESPONSABLE DE PAGO INDICA QUE QUE REALIZARA CANCELACION DE DEUDA CON EL IMPORTE DE 200 EL 3/12 LLAMADA SE REALIZA DESDE CEL 20 </t>
  </si>
  <si>
    <t xml:space="preserve">SRA. ELIANA ESPOSA DE TT CONFIRMA CANCELACION PARA EL 30/12 </t>
  </si>
  <si>
    <t xml:space="preserve">Sra. lisbeth se comunica, indica que ya tiene el dinero reunido y que realizará pago de s/ 4500 el día de hoy. Realizará el pago a las 3 pm , se dvll . </t>
  </si>
  <si>
    <t xml:space="preserve">Sra. Urcelina (encargada) indica que realizará el pago de s/ 200 el día de mañana 16/12. Realizará el pago a las 11 am. </t>
  </si>
  <si>
    <t xml:space="preserve">Sra: Yeny pagara la ultima cuota de 110 soles al 24/10 conforme </t>
  </si>
  <si>
    <t xml:space="preserve">SRTA NARDA HERMANA DE TT INFORMA QUE HOY 01 DE OCTUBRE REALIZARA EL PAGO DE 500 SOLES Y LO RESTANTE A FIN DE MES </t>
  </si>
  <si>
    <t xml:space="preserve">SU HIJO SE ENCUENTRA MAL DE SALUD , ELLA NO TRABAJA Y SU ESPOSO A VIAJADO A PROVINCIA EN BUSCA DE TRABAJO , SU ESPOSO FUE A FINANCIERA OH PARA LLEGAR A UN ARREGLO PERO LEL DIJERON QUE LO LLAMARIAN Y NO SE COMUNICARON CON EL , DT 4000 DK 2037.61, CANC 450 , LE LLEGO UN CORREO ELECTRONICO PARA QUE CANCELE LA DEUDA CON 408 SOLES EL AÑO PASADO SIN EMBARGO SOLO CUENTA CON 300 SOLES QUE SON  DE LA MATRICULA DE  COLEGIO DE SU HIJO , Y CON ELLO PAGARIA LA DEUDA , DEJO DE PAGAR PORQUE SU NIÑO NECESITABA TERAPIAS DE PSICOMOTRICIDAD Y DE LENGUAJE , SE VERIFIA DEUDAS TAMBIEN CON BANCO FALABELLA , CAJA RURAL DE AHORRO Y CREDITO , SE GENERA COMPROMISO DE CANCELACION TOTAL DE LA DEUDA POR LE IMPORTE DE 300 SOLES LOS CUALES ABONARA EL DIA DE HOY </t>
  </si>
  <si>
    <t>Sustento de pago PPC - Dinero en Mano</t>
  </si>
  <si>
    <t>Sustento de pago PPC - Dinero en Mano / HORARIO DE PAGO: Mañana</t>
  </si>
  <si>
    <t>Sustento de pago PPC - Dinero en Mano / HORARIO DE PAGO: Mañana / CANAL ENVIO - LLAMADA</t>
  </si>
  <si>
    <t xml:space="preserve">Sustento de pago PPC - Dinero en Mano / HORARIO DE PAGO: Mañana / CANAL ENVIO - LLAMADA / NOTA: </t>
  </si>
  <si>
    <t>Sustento de pago PPC - Dinero en Mano / HORARIO DE PAGO: Mañana / CANAL ENVIO - LLAMADA / NOTA: CLIENTE MENCIONA REALIZAR PAGO CANCELATORIO.</t>
  </si>
  <si>
    <t>Sustento de pago PPC - Dinero en Mano / HORARIO DE PAGO: Mañana / CANAL ENVIO - LLAMADA / NOTA: cliente pagar S/400.00</t>
  </si>
  <si>
    <t>Sustento de pago PPC - Dinero en Mano / HORARIO DE PAGO: Mañana / CANAL ENVIO - LLAMADA / NOTA: DT: S/.2,339.90 - se le da campaña mencionando que es la unca vez que se le aplicara, confirma abono para el jueves 16 y la dif el 27-01 , numero adicional que deja CL  TLF: 967503890</t>
  </si>
  <si>
    <t>Sustento de pago PPC - Dinero en Mano / HORARIO DE PAGO: Mañana / CANAL ENVIO - LLAMADA / NOTA: esposo victor indica q el dia lunes hara el pago de 500 soles para cancelar la deuda de su esposa indica q lo pagara con la AFP si le depositan antes lo pagara antes pero maximo lunes</t>
  </si>
  <si>
    <t>Sustento de pago PPC - Dinero en Mano / HORARIO DE PAGO: Mañana / CANAL ENVIO - LLAMADA / NOTA: hrmna elizabethn confirma cumplimiento de compromiso para el 26 , se le dice q es ultm dscto q se apruebe debido a incumpl anterioreas</t>
  </si>
  <si>
    <t>Sustento de pago PPC - Dinero en Mano / HORARIO DE PAGO: Mañana / CANAL ENVIO - LLAMADA / NOTA: ira a la misma pro enpresa de  agencia huancayo</t>
  </si>
  <si>
    <t>Sustento de pago PPC - Dinero en Mano / HORARIO DE PAGO: Mañana / CANAL ENVIO - LLAMADA / NOTA: PPC// 376.61 25 AGOSTO</t>
  </si>
  <si>
    <t xml:space="preserve">Sustento de pago PPC - Dinero en Mano / HORARIO DE PAGO: Mañana / CANAL ENVIO - LLAMADA / NOTA: PROP DE 4K  TT ACCEDE A MIN1 , PERO EL JUEVES PORQ RECIEN ESE DIA LLEGA Y SE ACERCARIA A LA MISMA CAJA A REALIZAR EL PAGO </t>
  </si>
  <si>
    <t xml:space="preserve">Sustento de pago PPC - Dinero en Mano / HORARIO DE PAGO: Mañana / CANAL ENVIO - LLAMADA / NOTA: se le ofrece pagar el impórte de s/1642 menciona ue no puede pagara ese importe se le indica ue hay una campaña por el importe de s/942 menciona ue esta en el momente que lo paga el dia de mañana </t>
  </si>
  <si>
    <t>Sustento de pago PPC - Dinero en Mano / HORARIO DE PAGO: Mañana / CANAL ENVIO - LLAMADA / NOTA: tit indica que no le pagaraon se le espere hasta el 15 maxomo 16 que recibira una plata y podra pargar ultima cuota que le falta 250 se le indica que si no paga hasta esa fecha se le cobrara dt 2134</t>
  </si>
  <si>
    <t xml:space="preserve">Sustento de pago PPC - Dinero en Mano / HORARIO DE PAGO: Mañana / CANAL ENVIO - LLAMADA / NOTA: tit indica que si hoy tratar de realizar el pago sino se le espere maximo hasta semana para cancelar motno 150 se le envio la informacion via wassapp y metodo de pago </t>
  </si>
  <si>
    <t xml:space="preserve">Sustento de pago PPC - Dinero en Mano / HORARIO DE PAGO: Mañana / CANAL ENVIO - LLAMADA / NOTA: TT DICE ESTAR EN EL CAMPO Y NO PODRA BAJAR HASTA EL SABADO ACCEDE A CAMP DE 650 </t>
  </si>
  <si>
    <t>Sustento de pago PPC - Dinero en Mano / HORARIO DE PAGO: Mañana / CANAL ENVIO - LLAMADA / NOTA: TT EFECTUP PAGO CUOTA 11, EL DIA 30 DE JUNIO ULTIMA CUOTA IMPORTE DE 685 SOLES</t>
  </si>
  <si>
    <t xml:space="preserve">Sustento de pago PPC - Dinero en Mano / HORARIO DE PAGO: Mañana / CANAL ENVIO - LLAMADA / NOTA: TT HARA SU PAGO </t>
  </si>
  <si>
    <t>Sustento de pago PPC - Dinero en Mano / HORARIO DE PAGO: Mañana / CANAL ENVIO - LLAMADA / NOTA: tt indica que el día lunes a las 3 pm estaría cancelando la cuenta, indica que no puede mas porque está pagando otras deudas</t>
  </si>
  <si>
    <t xml:space="preserve">Sustento de pago PPC - Dinero en Mano / HORARIO DE PAGO: Mañana / CANAL ENVIO - LLAMADA / NOTA: ultima cuota 3  de  1633   </t>
  </si>
  <si>
    <t xml:space="preserve">Sustento de pago PPC - Dinero en Mano / HORARIO DE PAGO: Mañana / NOTA: </t>
  </si>
  <si>
    <t>Sustento de pago PPC - Dinero en Mano / HORARIO DE PAGO: Mañana / NOTA:  dk 9k cam  2k     excepcion  1400        adelanto 200   30/04</t>
  </si>
  <si>
    <t>Sustento de pago PPC - Dinero en Mano / HORARIO DE PAGO: Mañana / NOTA:  Dk Actual: 591.84 c1 300 se conversa con tt se le info campaña indica que abonará por BCP monto de 300 a las 5pm</t>
  </si>
  <si>
    <t xml:space="preserve">Sustento de pago PPC - Dinero en Mano / HORARIO DE PAGO: Mañana / NOTA:  esposa  realizo pago </t>
  </si>
  <si>
    <t>Sustento de pago PPC - Dinero en Mano / HORARIO DE PAGO: Mañana / NOTA:  MONTO NEGOCIADO:8260</t>
  </si>
  <si>
    <t>SUSTENTO: PARTIDA LIQUID</t>
  </si>
  <si>
    <t>MOTIVO DE NO PAGO: LIQUIDACION EMPRESA</t>
  </si>
  <si>
    <t xml:space="preserve">FECHA: </t>
  </si>
  <si>
    <t>- ADELANTO S/3000.00 EL 21-05 (ya pago via BBVA)</t>
  </si>
  <si>
    <t>- SALDO S/2400.00 EL 23-05</t>
  </si>
  <si>
    <t xml:space="preserve">PROPUESTA: 5400 </t>
  </si>
  <si>
    <t>Sustento de pago PPC - Dinero en Mano / HORARIO DE PAGO: Mañana / NOTA:  nos comunicamos por whatssap DT:21,097.42 tiene planilla activa , propone en pagar con 8k,se concilia por whatssap, por motivos del sistema de la banca de interbank , debido a la caida del sistema , pago en la noche a las 8:45 p.m</t>
  </si>
  <si>
    <t>Sustento de pago PPC - Dinero en Mano / HORARIO DE PAGO: Mañana / NOTA:  tit  hoy 16/04  abono 5mil /  el restante que es 2mil lo hara hasta el 27 de abril</t>
  </si>
  <si>
    <t>Sustento de pago PPC - Dinero en Mano / HORARIO DE PAGO: Mañana / NOTA:  tit cancela con 3000 / hoy cancela 400 alas 3pm //  y el 19 lo restante de :2600    pagara en la tarde  alas 4pm /</t>
  </si>
  <si>
    <t>Sustento de pago PPC - Dinero en Mano / HORARIO DE PAGO: Mañana / NOTA:  tit idncia que el  en esta semana hace un abono de 200  y el restante de 650  para e dia viernes 29 . monto total :850</t>
  </si>
  <si>
    <t>Sustento de pago PPC - Dinero en Mano / HORARIO DE PAGO: Mañana / NOTA:  TT accede a cancelar su campaña de S/195 el 23.02</t>
  </si>
  <si>
    <t>Sustento de pago PPC - Dinero en Mano / HORARIO DE PAGO: Mañana / NOTA:  TT escribe al corporativo e indica que mañana viernes estará cancelando su campaña DK: S/1000</t>
  </si>
  <si>
    <t>Sustento de pago PPC - Dinero en Mano / HORARIO DE PAGO: Mañana / NOTA:  TT INDICA QUE EL DIA DE MAÑANA SALIENDO DE SU TRABAJO ESTARA REALIZANDO EL PAGO DE LA DEUDA SE LE INDICA DT 1887.00</t>
  </si>
  <si>
    <t xml:space="preserve">Sustento de pago PPC - Dinero en Mano / HORARIO DE PAGO: Mañana / NOTA:  tt indica que estará abonando a la 1pm por BCP ya que le toma 5 horas viajar a la ciudad </t>
  </si>
  <si>
    <t xml:space="preserve">Sustento de pago PPC - Dinero en Mano / HORARIO DE PAGO: Mañana / NOTA:  tt propone el monto de 100 para cancelar su deuda indica que fue el préstamo para un familiar pero este no pago la deuda, indica que tiene carga familiar y que el dinero fue prestado por un familiar el pago lo haría por transferencia bancaria vio Bcp el pago lo realizara a las 12am </t>
  </si>
  <si>
    <t xml:space="preserve">Sustento de pago PPC - Dinero en Mano / HORARIO DE PAGO: Mañana / NOTA:  tt propone el monto de 100 para cancelar su deuda indica que fue el préstamo para un familiar pero este no pago la deuda, indica que tiene carga familiar y que el dinero fue prestado por un familiar el pago lo haría por transferencia bancaria vio Bcp el pago lo realizara a las 12pm </t>
  </si>
  <si>
    <t xml:space="preserve">Sustento de pago PPC - Dinero en Mano / HORARIO DE PAGO: Mañana / NOTA:  tt propone el monto de 479 para cancelar su deuda indica que fue el préstamo para un familiar pero este no pago la deuda, indica que tiene carga familiar y que el dinero fue prestado por un familiar el pago lo haría por transferencia bancaria vio Bcp el pago lo realizara a las 4pm </t>
  </si>
  <si>
    <t xml:space="preserve">Sustento de pago PPC - Dinero en Mano / HORARIO DE PAGO: Mañana / NOTA:  tt propone el monto de 700 para cancelar su deuda indica que fue el préstamo para un familiar pero este no pago la deuda, indica que tiene carga familiar y que el dinero fue prestado por un familiar el pago lo haría por transferencia bancaria vio Bcp el pago lo realizara a las 4pm </t>
  </si>
  <si>
    <t>PRIMER PAGO DE S/150.00 el 08/10</t>
  </si>
  <si>
    <t>DIFERENCIA AL 29-10</t>
  </si>
  <si>
    <t>Sustento de pago PPC - Dinero en Mano / HORARIO DE PAGO: Mañana / NOTA: *Monto Negociado: 39358</t>
  </si>
  <si>
    <t>*Sustento: tt indica que se comunico el sabado porque le salio el tema de su cts y prefiere liquidar de una vez la deuda se da dt 39358, indica que el podria proponer para hoy 8k en la misma oficina de bbva al final del dia 4-5pm por temas de trabajo, se le dice q es muy bajo el importe, indica que aun no termina la obra que aun a fines de junio y el desea solucionar ya de una vez ya que tabm tiene deuda con pichincha y tbn esta negociando con estudio vidal</t>
  </si>
  <si>
    <t>*Motivo de no pago: endeudamiento por crisis economica q entro</t>
  </si>
  <si>
    <t>*Fecha: 26/5</t>
  </si>
  <si>
    <t>*Propuesta: 8k</t>
  </si>
  <si>
    <t>Sustento de pago PPC - Dinero en Mano / HORARIO DE PAGO: Mañana / NOTA: *Monto Negociado: total 707.82 capital 649.00</t>
  </si>
  <si>
    <t xml:space="preserve">*Sustento: de sus deposito de averes </t>
  </si>
  <si>
    <t xml:space="preserve">*Motivo de no pago: que el gana suldo minimo y solo contaria con un importe minimo </t>
  </si>
  <si>
    <t>*Fecha: 30/07</t>
  </si>
  <si>
    <t xml:space="preserve">*Propuesta: 300 soles </t>
  </si>
  <si>
    <t>Sustento de pago PPC - Dinero en Mano / HORARIO DE PAGO: Mañana / NOTA: *Monto Negociado:3000</t>
  </si>
  <si>
    <t xml:space="preserve">*Sustento:anterior propuesta aprobado el monto de 1200 </t>
  </si>
  <si>
    <t>*Motivo de no pago:problemas con el dinero</t>
  </si>
  <si>
    <t>*Fecha:27/08</t>
  </si>
  <si>
    <t>*Propuesta:</t>
  </si>
  <si>
    <t>Sustento de pago PPC - Dinero en Mano / HORARIO DE PAGO: Mañana / NOTA: .</t>
  </si>
  <si>
    <t xml:space="preserve">Sustento de pago PPC - Dinero en Mano / HORARIO DE PAGO: Mañana / NOTA: /MONTO TOTAL NEGOCIADO: 300 / NOTA:  se brindo dt y dk se dio campñaa 300 cliente inidca que podria pagar el lunes 19 se inidca que la campaña es para el dia d ehoy q maximo s ele puede esperar jueves cl confirmara esa fecha la disposicion e efectivo motivo de no pago: perdió la tarjeta no pudo recuperar y se descuidó con en realizar los gastos e invirtió y ya no priorizo sustento de pago: espera pago de planilla fecha : 15/05/2026  titular envia comprobante a medio día por bcp </t>
  </si>
  <si>
    <t>Sustento de pago PPC - Dinero en Mano / HORARIO DE PAGO: Mañana / NOTA: 1,459.38 DT. desc 410.00  AVAL DANIEL ROMAN HUAYHUA BOVADILLA, PAGO 200.00 CI Y SALDO DE 210.00 SOLES EL DIA 30/6</t>
  </si>
  <si>
    <t>Sustento de pago PPC - Dinero en Mano / HORARIO DE PAGO: Mañana / NOTA: 120 ppc</t>
  </si>
  <si>
    <t>Sustento de pago PPC - Dinero en Mano / HORARIO DE PAGO: Mañana / NOTA: 1600 PAGO PARA CANCELACIÓN</t>
  </si>
  <si>
    <t>Sustento de pago PPC - Dinero en Mano / HORARIO DE PAGO: Mañana / NOTA: 210 adelanto cl.hoy dia, a fin de mes completa restante, envia comprobante</t>
  </si>
  <si>
    <t>Sustento de pago PPC - Dinero en Mano / HORARIO DE PAGO: Mañana / NOTA: 2200 EN 2 PARTES, HOY 500 Y DIFERENCIA DE 1700 PARA EL 30/06</t>
  </si>
  <si>
    <t>Sustento de pago PPC - Dinero en Mano / HORARIO DE PAGO: Mañana / NOTA: 927690483</t>
  </si>
  <si>
    <t xml:space="preserve">Sustento de pago PPC - Dinero en Mano / HORARIO DE PAGO: Mañana / NOTA: 968464514 // Se contacta tt desde numero de su esposo, se brinda dt dk can 4500 soles,  10am agencia BBVA. </t>
  </si>
  <si>
    <t xml:space="preserve">Sustento de pago PPC - Dinero en Mano / HORARIO DE PAGO: Mañana / NOTA: ABONA 500 HOY 10.07 Y EL 18.07 ABONA 700 </t>
  </si>
  <si>
    <t>Sustento de pago PPC - Dinero en Mano / HORARIO DE PAGO: Mañana / NOTA: abono 1850 el 10-06 y 150 el 11-06 via bbva</t>
  </si>
  <si>
    <t>MONTO NEGOCIADO:  2000</t>
  </si>
  <si>
    <t xml:space="preserve">Sustento: ahorros, </t>
  </si>
  <si>
    <t>Motivo de no pago: bloqueo de cta</t>
  </si>
  <si>
    <t>Fecha: 11-06</t>
  </si>
  <si>
    <t>Propuesta: 2k, APROB</t>
  </si>
  <si>
    <t>Sustento de pago PPC - Dinero en Mano / HORARIO DE PAGO: Mañana / NOTA: Abonó hoy S/32,000.000 saldo restante mañana S/8,000.00 vía BCP.</t>
  </si>
  <si>
    <t>Sustento de pago PPC - Dinero en Mano / HORARIO DE PAGO: Mañana / NOTA: ACUERDO 3,539.09</t>
  </si>
  <si>
    <t>Sustento de pago PPC - Dinero en Mano / HORARIO DE PAGO: Mañana / NOTA: acuerdo de 15k para liquidar</t>
  </si>
  <si>
    <t xml:space="preserve">Sustento de pago PPC - Dinero en Mano / HORARIO DE PAGO: Mañana / NOTA: ACUERDO DE PAGO CON ADELANTO POR 1040, REALIZANDO UN PRIMER PAGO DE 520 Y DIFERENCIA PARA FIN DE MES. </t>
  </si>
  <si>
    <t>Sustento de pago PPC - Dinero en Mano / HORARIO DE PAGO: Mañana / NOTA: Acuerdo de pago de 1000 soles confirmado para mañana 26/06</t>
  </si>
  <si>
    <t>Sustento de pago PPC - Dinero en Mano / HORARIO DE PAGO: Mañana / NOTA: acuerdo de pago de 3k total, 1k hoy 20/04 y 2k para el 30/04</t>
  </si>
  <si>
    <t xml:space="preserve">Sustento de pago PPC - Dinero en Mano / HORARIO DE PAGO: Mañana / NOTA: acuerdo de pago de 5k </t>
  </si>
  <si>
    <t>Sustento de pago PPC - Dinero en Mano / HORARIO DE PAGO: Mañana / NOTA: Acuerdo de pago de cuota final por el monto de 3300 para el 16/02</t>
  </si>
  <si>
    <t>Sustento de pago PPC - Dinero en Mano / HORARIO DE PAGO: Mañana / NOTA: ACUERDO DE PAGO PARA EL 3K</t>
  </si>
  <si>
    <t>Sustento de pago PPC - Dinero en Mano / HORARIO DE PAGO: Mañana / NOTA: Acuerdo de pago por 3800 como monto total, pago de 3250--22/05 y 550--29/05</t>
  </si>
  <si>
    <t xml:space="preserve">Sustento de pago PPC - Dinero en Mano / HORARIO DE PAGO: Mañana / NOTA: acuerdo de pago por 4k para hoy </t>
  </si>
  <si>
    <t xml:space="preserve">Sustento de pago PPC - Dinero en Mano / HORARIO DE PAGO: Mañana / NOTA: acuerdo de pago por 5500 </t>
  </si>
  <si>
    <t xml:space="preserve">Sustento de pago PPC - Dinero en Mano / HORARIO DE PAGO: Mañana / NOTA: acuerdo de pago por 5k </t>
  </si>
  <si>
    <t xml:space="preserve">Sustento de pago PPC - Dinero en Mano / HORARIO DE PAGO: Mañana / NOTA: acuerdo de pago por 5k para hoy </t>
  </si>
  <si>
    <t>Sustento de pago PPC - Dinero en Mano / HORARIO DE PAGO: Mañana / NOTA: acuerdo de pago por 5k, 3k para hoy 28/05 y 2k para el 29/05</t>
  </si>
  <si>
    <t>Sustento de pago PPC - Dinero en Mano / HORARIO DE PAGO: Mañana / NOTA: acuerdo de pago por 6100 para hoy</t>
  </si>
  <si>
    <t>Sustento de pago PPC - Dinero en Mano / HORARIO DE PAGO: Mañana / NOTA: acuerdo de pago por 7000</t>
  </si>
  <si>
    <t>Sustento de pago PPC - Dinero en Mano / HORARIO DE PAGO: Mañana / NOTA: acuerdo de pago por 9k</t>
  </si>
  <si>
    <t>Sustento de pago PPC - Dinero en Mano / HORARIO DE PAGO: Mañana / NOTA: acuerdo de pago previa consulta por 2300 soles</t>
  </si>
  <si>
    <t>Sustento de pago PPC - Dinero en Mano / HORARIO DE PAGO: Mañana / NOTA: ACUERDO DE PAGO PREVIO ADELANTO DE 500 PARA HOY 23/04 Y DIFERENCIA DE 2350 PARA EL 30/04</t>
  </si>
  <si>
    <t>Sustento de pago PPC - Dinero en Mano / HORARIO DE PAGO: Mañana / NOTA: adel 350 el  17 y saldo fdm</t>
  </si>
  <si>
    <t>Sustento de pago PPC - Dinero en Mano / HORARIO DE PAGO: Mañana / NOTA: adelanta 100</t>
  </si>
  <si>
    <t>Sustento de pago PPC - Dinero en Mano / HORARIO DE PAGO: Mañana / NOTA: adelanta 100 soles 20-05 / diferencia 675 soles (24-05)</t>
  </si>
  <si>
    <t>Sustento de pago PPC - Dinero en Mano / HORARIO DE PAGO: Mañana / NOTA: adelanta 700 19-07 //diferencia 400 soles para 31-07</t>
  </si>
  <si>
    <t xml:space="preserve">Sustento de pago PPC - Dinero en Mano / HORARIO DE PAGO: Mañana / NOTA: ADELANTA MAÑANA 50 SOLES </t>
  </si>
  <si>
    <t xml:space="preserve">Sustento de pago PPC - Dinero en Mano / HORARIO DE PAGO: Mañana / NOTA: adelanto de  100 el dia de hoy 16/05 y diferencia a fines de mes 30 o 31 como maximo </t>
  </si>
  <si>
    <t xml:space="preserve">Sustento de pago PPC - Dinero en Mano / HORARIO DE PAGO: Mañana / NOTA: ADELANTO HOY DE 80 SOLES </t>
  </si>
  <si>
    <t xml:space="preserve">Sustento de pago PPC - Dinero en Mano / HORARIO DE PAGO: Mañana / NOTA: AGENCIA IBK. </t>
  </si>
  <si>
    <t xml:space="preserve">Sustento de pago PPC - Dinero en Mano / HORARIO DE PAGO: Mañana / NOTA: APLICATIVO BCP </t>
  </si>
  <si>
    <t>Sustento de pago PPC - Dinero en Mano / HORARIO DE PAGO: Mañana / NOTA: APP BCP.</t>
  </si>
  <si>
    <t xml:space="preserve">Sustento de pago PPC - Dinero en Mano / HORARIO DE PAGO: Mañana / NOTA: APROBADO LA PROPUESTA, TT CANCELA EL DIA  27 DE AGOSTO CON 1000 SOLES EN MISMO CAJA LOS ANDES A LAS 10AM, SI LE LLEGAN A PAGAR ANTES LO PAGA HOY MISMO A LAS 4PM, SE HARA SEGUIMIENTO </t>
  </si>
  <si>
    <t>Sustento de pago PPC - Dinero en Mano / HORARIO DE PAGO: Mañana / NOTA: APROBADO POR 1300.</t>
  </si>
  <si>
    <t xml:space="preserve">Sustento de pago PPC - Dinero en Mano / HORARIO DE PAGO: Mañana / NOTA: APROBADO,  SE LLEGÓ A LA CONCILIACIÓN Y TT ESTARÁ CANCELANDO EN 30MIN EN MISMO CAJA LOS ANDES CON LOS S/2000.00 - SEGUIMIENTO </t>
  </si>
  <si>
    <t>Sustento de pago PPC - Dinero en Mano / HORARIO DE PAGO: Mañana / NOTA: Asesor de caja trujillo tarma se comunica para liquidar su deuda el día de hoy, Se comunica asesora 942711587 - ANA SOTA</t>
  </si>
  <si>
    <t xml:space="preserve">Sustento de pago PPC - Dinero en Mano / HORARIO DE PAGO: Mañana / NOTA: ATIENDE TITULAR INCOMODA RESPONDE PO WSP CANCELA UNA CUOTA S/50.00 ADELANTA SABADO EL DIA 21 TERMINA DE CANCELAR POR LA WEB BCP MEDIO DIA </t>
  </si>
  <si>
    <t>Sustento de pago PPC - Dinero en Mano / HORARIO DE PAGO: Mañana / NOTA: ATIENDE TITULAR MENCIONA QUE VA CANCELAR ESTA VEZ VA CUMPLIR CANCELA LOS S/500.00 1 CUOTA WEB VIA BCP PPC CANCELA 21-01</t>
  </si>
  <si>
    <t xml:space="preserve">Sustento de pago PPC - Dinero en Mano / HORARIO DE PAGO: Mañana / NOTA: ATIENDE TT ACCEDE CAMPAÑA S/400.00 1 CUOTA S/100 SOLES ADELANTE 05-02 POR AGENTE BCP MEDIO DIA 300 EL DIA 28-02 </t>
  </si>
  <si>
    <t>Sustento de pago PPC - Dinero en Mano / HORARIO DE PAGO: Mañana / NOTA: BANCO BCP.Cliente sacado de base planilla 2024.</t>
  </si>
  <si>
    <t>Sustento de pago PPC - Dinero en Mano / HORARIO DE PAGO: Mañana / NOTA: BENEFICIO ÚNICO POR EL DÍA DE HOY IMPORTE DE 2800</t>
  </si>
  <si>
    <t>Sustento de pago PPC - Dinero en Mano / HORARIO DE PAGO: Mañana / NOTA: cacnelacion 250 hoy</t>
  </si>
  <si>
    <t xml:space="preserve">Sustento de pago PPC - Dinero en Mano / HORARIO DE PAGO: Mañana / NOTA: campaña 800  que cancele HOy   se envía acuerdo </t>
  </si>
  <si>
    <t>Sustento de pago PPC - Dinero en Mano / HORARIO DE PAGO: Mañana / NOTA: campaña excepcional realiza pago en el transcurso de la tarde</t>
  </si>
  <si>
    <t>Sustento de pago PPC - Dinero en Mano / HORARIO DE PAGO: Mañana / NOTA: can</t>
  </si>
  <si>
    <t xml:space="preserve">Sustento de pago PPC - Dinero en Mano / HORARIO DE PAGO: Mañana / NOTA: Can 13mil soles, adelanta 500, resta 12500 para fin de mes. </t>
  </si>
  <si>
    <t xml:space="preserve">Sustento de pago PPC - Dinero en Mano / HORARIO DE PAGO: Mañana / NOTA: CAN 1500 HOY S/500 Y FIN DE MES S/1000 </t>
  </si>
  <si>
    <t xml:space="preserve">Sustento de pago PPC - Dinero en Mano / HORARIO DE PAGO: Mañana / NOTA: can 250 realizando adelanto del 50% y restante a fines de mes </t>
  </si>
  <si>
    <t xml:space="preserve">Sustento de pago PPC - Dinero en Mano / HORARIO DE PAGO: Mañana / NOTA: Can 2900 soles, adelanta 200, resta 2700 para fin de mes. </t>
  </si>
  <si>
    <t xml:space="preserve">Sustento de pago PPC - Dinero en Mano / HORARIO DE PAGO: Mañana / NOTA: Can 2mil soles, 10 a 10:30am. </t>
  </si>
  <si>
    <t>Sustento de pago PPC - Dinero en Mano / HORARIO DE PAGO: Mañana / NOTA: Can 3200 soles,aplicativo bcp</t>
  </si>
  <si>
    <t xml:space="preserve">Sustento de pago PPC - Dinero en Mano / HORARIO DE PAGO: Mañana / NOTA: Can 3500 soles, adelanta hoy 500 y el día viernes la diferencia. </t>
  </si>
  <si>
    <t xml:space="preserve">Sustento de pago PPC - Dinero en Mano / HORARIO DE PAGO: Mañana / NOTA: Can 3500 soles, en el banco. </t>
  </si>
  <si>
    <t>Sustento de pago PPC - Dinero en Mano / HORARIO DE PAGO: Mañana / NOTA: Can 3500 soles, viernes 29 , agencia.</t>
  </si>
  <si>
    <t xml:space="preserve">Sustento de pago PPC - Dinero en Mano / HORARIO DE PAGO: Mañana / NOTA: Can 3500 soles, ya adelantó 500, hoy paga la diferencia. </t>
  </si>
  <si>
    <t xml:space="preserve">Sustento de pago PPC - Dinero en Mano / HORARIO DE PAGO: Mañana / NOTA: Can 3mil soles, a la espera de su liquidación indica viernes, a mas tardar el dia lunes 15, aplicativo bcp. </t>
  </si>
  <si>
    <t xml:space="preserve">Sustento de pago PPC - Dinero en Mano / HORARIO DE PAGO: Mañana / NOTA: Can 3mil soles, app bcp. </t>
  </si>
  <si>
    <t xml:space="preserve">Sustento de pago PPC - Dinero en Mano / HORARIO DE PAGO: Mañana / NOTA: Can 3mil soles, canceló el dia viernes, envió voucher. </t>
  </si>
  <si>
    <t xml:space="preserve">Sustento de pago PPC - Dinero en Mano / HORARIO DE PAGO: Mañana / NOTA: CAN 550 10AM EN IBK // </t>
  </si>
  <si>
    <t xml:space="preserve">Sustento de pago PPC - Dinero en Mano / HORARIO DE PAGO: Mañana / NOTA: Can 6mil soles. </t>
  </si>
  <si>
    <t xml:space="preserve">Sustento de pago PPC - Dinero en Mano / HORARIO DE PAGO: Mañana / NOTA: Can 8300 soles, adelanta 6mil soles, resta 2300 para fin de mes. </t>
  </si>
  <si>
    <t xml:space="preserve">Sustento de pago PPC - Dinero en Mano / HORARIO DE PAGO: Mañana / NOTA: Can 900 soles,  600 15-12-25 y 300 31-12-25 </t>
  </si>
  <si>
    <t>Sustento de pago PPC - Dinero en Mano / HORARIO DE PAGO: Mañana / NOTA: CAN CON 180SOLES.  fam raquel  a las 4pm en ofc .</t>
  </si>
  <si>
    <t>Sustento de pago PPC - Dinero en Mano / HORARIO DE PAGO: Mañana / NOTA: can con importe 1500 soles</t>
  </si>
  <si>
    <t xml:space="preserve">Sustento de pago PPC - Dinero en Mano / HORARIO DE PAGO: Mañana / NOTA: Can S/2,000 soles, lunes 16 </t>
  </si>
  <si>
    <t xml:space="preserve">Sustento de pago PPC - Dinero en Mano / HORARIO DE PAGO: Mañana / NOTA: CAN SE COMUNI AL WHATSAP PARA COORDINAR LA ÚLTIMA CUOTA </t>
  </si>
  <si>
    <t xml:space="preserve">Sustento de pago PPC - Dinero en Mano / HORARIO DE PAGO: Mañana / NOTA: CANCELA 1600 </t>
  </si>
  <si>
    <t xml:space="preserve">Sustento de pago PPC - Dinero en Mano / HORARIO DE PAGO: Mañana / NOTA: cancela con 1k en trujillo </t>
  </si>
  <si>
    <t xml:space="preserve">Sustento de pago PPC - Dinero en Mano / HORARIO DE PAGO: Mañana / NOTA: CANCELA CON 3,500 </t>
  </si>
  <si>
    <t>Sustento de pago PPC - Dinero en Mano / HORARIO DE PAGO: Mañana / NOTA: cancela hoy 400 y restante 500 el 11/08 se le envia metodo de pago cancela con 900</t>
  </si>
  <si>
    <t>Sustento de pago PPC - Dinero en Mano / HORARIO DE PAGO: Mañana / NOTA: cancelacion 280 soles, por agencias de interbank</t>
  </si>
  <si>
    <t>Sustento de pago PPC - Dinero en Mano / HORARIO DE PAGO: Mañana / NOTA: cancelación 2800 soles hoy</t>
  </si>
  <si>
    <t>Sustento de pago PPC - Dinero en Mano / HORARIO DE PAGO: Mañana / NOTA: CANCELACIÓN 3200 2 CUOTAS DENTRO DEL MES</t>
  </si>
  <si>
    <t xml:space="preserve">ADELANTÓ 1600, RESTA 1600 A FIN DE MES </t>
  </si>
  <si>
    <t xml:space="preserve">Sustento de pago PPC - Dinero en Mano / HORARIO DE PAGO: Mañana / NOTA: cancelación con 260 soles  </t>
  </si>
  <si>
    <t xml:space="preserve">Sustento de pago PPC - Dinero en Mano / HORARIO DE PAGO: Mañana / NOTA: cancelación con el importe de 1,5K </t>
  </si>
  <si>
    <t xml:space="preserve">Sustento de pago PPC - Dinero en Mano / HORARIO DE PAGO: Mañana / NOTA: CANCELACION DE S/424 </t>
  </si>
  <si>
    <t xml:space="preserve">Sustento de pago PPC - Dinero en Mano / HORARIO DE PAGO: Mañana / NOTA: CANCELACIÓN DEUDA BBVA CON 130 SOLES </t>
  </si>
  <si>
    <t>Sustento de pago PPC - Dinero en Mano / HORARIO DE PAGO: Mañana / NOTA: cancelacion hoy se envia documento</t>
  </si>
  <si>
    <t xml:space="preserve">Sustento de pago PPC - Dinero en Mano / HORARIO DE PAGO: Mañana / NOTA: cancelacion total 4050 soles-previa consulta con supevisor </t>
  </si>
  <si>
    <t xml:space="preserve">Sustento de pago PPC - Dinero en Mano / HORARIO DE PAGO: Mañana / NOTA: CANCELARA </t>
  </si>
  <si>
    <t>Sustento de pago PPC - Dinero en Mano / HORARIO DE PAGO: Mañana / NOTA: CANCELARA CON 500.</t>
  </si>
  <si>
    <t>Sustento de pago PPC - Dinero en Mano / HORARIO DE PAGO: Mañana / NOTA: cancelo</t>
  </si>
  <si>
    <t xml:space="preserve">Sustento de pago PPC - Dinero en Mano / HORARIO DE PAGO: Mañana / NOTA: Cancelo con 7,000 </t>
  </si>
  <si>
    <t>Sustento de pago PPC - Dinero en Mano / HORARIO DE PAGO: Mañana / NOTA: cancelo el 13.10 cone xceçión</t>
  </si>
  <si>
    <t xml:space="preserve">Sustento de pago PPC - Dinero en Mano / HORARIO DE PAGO: Mañana / NOTA: CANCELÓ EL DÍA 7 POR LA TARDE </t>
  </si>
  <si>
    <t xml:space="preserve">Sustento de pago PPC - Dinero en Mano / HORARIO DE PAGO: Mañana / NOTA: cancelo hoy </t>
  </si>
  <si>
    <t>Sustento de pago PPC - Dinero en Mano / HORARIO DE PAGO: Mañana / NOTA: CANCELÓ SU DEUDA,POR BCP.EXCEPCIÓN APROBADA</t>
  </si>
  <si>
    <t>Sustento de pago PPC - Dinero en Mano / HORARIO DE PAGO: Mañana / NOTA: CANCEO CON FECHA 15-06-2026 , IMPORTE DE 170 SOLES</t>
  </si>
  <si>
    <t>Sustento de pago PPC - Dinero en Mano / HORARIO DE PAGO: Mañana / NOTA: cancleacion 270 soles hoy, con disponibilidad de dinero, por APP BCP</t>
  </si>
  <si>
    <t xml:space="preserve">Sustento de pago PPC - Dinero en Mano / HORARIO DE PAGO: Mañana / NOTA: CARTA CAMPAÑA AL CORREO GIRONVALENZUELA@GMAIL.COM </t>
  </si>
  <si>
    <t>Sustento de pago PPC - Dinero en Mano / HORARIO DE PAGO: Mañana / NOTA: cl confirma pago de última cuota de cronograma , el día 10-07 // se brinda informacion sobre plazo de entrega de cdna 6/6</t>
  </si>
  <si>
    <t>Sustento de pago PPC - Dinero en Mano / HORARIO DE PAGO: Mañana / NOTA: cl hara pago cn ecepcion aprobada</t>
  </si>
  <si>
    <t>Sustento de pago PPC - Dinero en Mano / HORARIO DE PAGO: Mañana / NOTA: cl paga via bcp con excep de 5k</t>
  </si>
  <si>
    <t>Sustento de pago PPC - Dinero en Mano / HORARIO DE PAGO: Mañana / NOTA: cl realiza pago 2510 via bcp</t>
  </si>
  <si>
    <t xml:space="preserve">Sustento de pago PPC - Dinero en Mano / HORARIO DE PAGO: Mañana / NOTA: cl tuvo complicacion para cancelacion total ,mantiene saldo oendiente de 4877 soles , se consulta previamente para que pueda pagar diferencial </t>
  </si>
  <si>
    <t>Sustento de pago PPC - Dinero en Mano / HORARIO DE PAGO: Mañana / NOTA: cl. adelanta hoy 1k, y restante a fin de mes</t>
  </si>
  <si>
    <t>Sustento de pago PPC - Dinero en Mano / HORARIO DE PAGO: Mañana / NOTA: cl. adelanto 1300 hoy, restante a fin de mes</t>
  </si>
  <si>
    <t>Sustento de pago PPC - Dinero en Mano / HORARIO DE PAGO: Mañana / NOTA: cl. adelanto 500, el lunes adelanta 500 adicional y a fin de mes 30/06 14k</t>
  </si>
  <si>
    <t>Sustento de pago PPC - Dinero en Mano / HORARIO DE PAGO: Mañana / NOTA: cl. cancelo dia viernes, monto de 5k, por incidencia no se pudo subir excepcion</t>
  </si>
  <si>
    <t xml:space="preserve">Sustento de pago PPC - Dinero en Mano / HORARIO DE PAGO: Mañana / NOTA: cl. paga a las 3pm </t>
  </si>
  <si>
    <t>Sustento de pago PPC - Dinero en Mano / HORARIO DE PAGO: Mañana / NOTA: cl. realizara pago de 3pm a 4pm</t>
  </si>
  <si>
    <t>Sustento de pago PPC - Dinero en Mano / HORARIO DE PAGO: Mañana / NOTA: cl. realizo el pago dia viernes, por incidencia no se pudo subir excepcion, monto cancelado 15k</t>
  </si>
  <si>
    <t>Sustento de pago PPC - Dinero en Mano / HORARIO DE PAGO: Mañana / NOTA: cl. ultima cuota de ppm, paga ultimo dia de mes 2500</t>
  </si>
  <si>
    <t>Sustento de pago PPC - Dinero en Mano / HORARIO DE PAGO: Mañana / NOTA: CLIENTE  CONFIRMA PAGO s/600.00</t>
  </si>
  <si>
    <t>Sustento de pago PPC - Dinero en Mano / HORARIO DE PAGO: Mañana / NOTA: cliente abona 100 el 11/07 el 12/0 7 S/300.00 y el 19 los 400.00</t>
  </si>
  <si>
    <t xml:space="preserve">Sustento de pago PPC - Dinero en Mano / HORARIO DE PAGO: Mañana / NOTA: cliente abonara hoy 100 y lo restante hasta el 31 depende de un amigo </t>
  </si>
  <si>
    <t>Sustento de pago PPC - Dinero en Mano / HORARIO DE PAGO: Mañana / NOTA: cliente abonara hoy 200 y 200 el 31/10</t>
  </si>
  <si>
    <t>Sustento de pago PPC - Dinero en Mano / HORARIO DE PAGO: Mañana / NOTA: CLIENTE ABONARA MAÑANA EL MONTO DE s/105.00 Y LO RESTANTE A FIN D EMES</t>
  </si>
  <si>
    <t>Sustento de pago PPC - Dinero en Mano / HORARIO DE PAGO: Mañana / NOTA: Cliente asignado, realizó pago por APP BCP 04/06</t>
  </si>
  <si>
    <t xml:space="preserve">Sustento de pago PPC - Dinero en Mano / HORARIO DE PAGO: Mañana / NOTA: Cliente bajara a la  ciudad a realizar el pago, el día de mañana 6, ya que hoy es tarde para que baje. </t>
  </si>
  <si>
    <t xml:space="preserve">Sustento de pago PPC - Dinero en Mano / HORARIO DE PAGO: Mañana / NOTA: cliente cancela con 150 con sms </t>
  </si>
  <si>
    <t>Sustento de pago PPC - Dinero en Mano / HORARIO DE PAGO: Mañana / NOTA: cliente cancela con S/400.00</t>
  </si>
  <si>
    <t xml:space="preserve">Sustento de pago PPC - Dinero en Mano / HORARIO DE PAGO: Mañana / NOTA: cliente cancela la cuenta </t>
  </si>
  <si>
    <t>Sustento de pago PPC - Dinero en Mano / HORARIO DE PAGO: Mañana / NOTA: cliente cancelará 400 soles hoy 27/05 por transferencia antes del medio día. Julioggd@outlook.com</t>
  </si>
  <si>
    <t>Sustento de pago PPC - Dinero en Mano / HORARIO DE PAGO: Mañana / NOTA: CLIENTE CANCELARAR 3800  POR BCP</t>
  </si>
  <si>
    <t xml:space="preserve">Sustento de pago PPC - Dinero en Mano / HORARIO DE PAGO: Mañana / NOTA: cliente cancelo el dia 12 </t>
  </si>
  <si>
    <t xml:space="preserve">Sustento de pago PPC - Dinero en Mano / HORARIO DE PAGO: Mañana / NOTA: cliente confirma pago de 800 soles para la cancelacion de la cuenta. </t>
  </si>
  <si>
    <t xml:space="preserve">Sustento de pago PPC - Dinero en Mano / HORARIO DE PAGO: Mañana / NOTA: Cliente confirma pago en Oficinas el dia sabado 15  ,la fecha es deidoa que sale de viaje </t>
  </si>
  <si>
    <t>Sustento de pago PPC - Dinero en Mano / HORARIO DE PAGO: Mañana / NOTA: CLIENTE CONFIRMA REALIZAR PAGO DE 3000 S, MENCIONA QUE LO ESTARIA HACIENDO POR LA TARDE.</t>
  </si>
  <si>
    <t xml:space="preserve">Sustento de pago PPC - Dinero en Mano / HORARIO DE PAGO: Mañana / NOTA: cliente confirma sobre la contrapropuesta de 500 cancela antes de las 2pm / paga bajo excepcion </t>
  </si>
  <si>
    <t xml:space="preserve">Sustento de pago PPC - Dinero en Mano / HORARIO DE PAGO: Mañana / NOTA: Cliente estara pagando la Ultima cuota de cronograma de pagos.  </t>
  </si>
  <si>
    <t xml:space="preserve">Sustento de pago PPC - Dinero en Mano / HORARIO DE PAGO: Mañana / NOTA: cliente gestiono pago total de la deuda. </t>
  </si>
  <si>
    <t>Sustento de pago PPC - Dinero en Mano / HORARIO DE PAGO: Mañana / NOTA: Cliente hoy adelanta 4 mil soles y restantes a  fin de mes, realizará adelanto en banco, se envia compromiso y acuerdo a whats.</t>
  </si>
  <si>
    <t xml:space="preserve">Sustento de pago PPC - Dinero en Mano / HORARIO DE PAGO: Mañana / NOTA: cliente indica que cancelara a las 4 pm  en la agencia de Juliaca </t>
  </si>
  <si>
    <t xml:space="preserve">Sustento de pago PPC - Dinero en Mano / HORARIO DE PAGO: Mañana / NOTA: CLIENTE INDICA QUE PAGARA 600 </t>
  </si>
  <si>
    <t xml:space="preserve">Sustento de pago PPC - Dinero en Mano / HORARIO DE PAGO: Mañana / NOTA: cLIENTE INDICA QUE PAGARA LOS 200 SOLES EL 20 /06 POR caja  Arequipa </t>
  </si>
  <si>
    <t xml:space="preserve">Sustento de pago PPC - Dinero en Mano / HORARIO DE PAGO: Mañana / NOTA: Cliente indica que puede cancelar la cuenta con 400 que le queda para cancelar se le pide que realice el pago por BCP </t>
  </si>
  <si>
    <t xml:space="preserve">Sustento de pago PPC - Dinero en Mano / HORARIO DE PAGO: Mañana / NOTA: Cliente indica que recien a fin de mes recibira el dinero se le pide un adelanto minimo de 70 soles y lo restante a fin de mes, indica que lo hara mañana en la misma Caja </t>
  </si>
  <si>
    <t>Sustento de pago PPC - Dinero en Mano / HORARIO DE PAGO: Mañana / NOTA: CLIENTE MENCIONA QUE PAGO LO ESTARA HACIENDO EL DÍA 28 DE JUNIO. CUOTA FINAL.</t>
  </si>
  <si>
    <t>Sustento de pago PPC - Dinero en Mano / HORARIO DE PAGO: Mañana / NOTA: cliente paga hoy con S/700.00</t>
  </si>
  <si>
    <t>Sustento de pago PPC - Dinero en Mano / HORARIO DE PAGO: Mañana / NOTA: CLIENTE PAGA POR IBK AGENTE 2000, se brindo DK: 16,042.63</t>
  </si>
  <si>
    <t>Sustento de pago PPC - Dinero en Mano / HORARIO DE PAGO: Mañana / NOTA: cliente pagara 18 el monto de S/1200.00</t>
  </si>
  <si>
    <t xml:space="preserve">Sustento de pago PPC - Dinero en Mano / HORARIO DE PAGO: Mañana / NOTA: cliente pagara 300  ya abono S/50.00 el 02/05 y los 250 restante </t>
  </si>
  <si>
    <t xml:space="preserve">Sustento de pago PPC - Dinero en Mano / HORARIO DE PAGO: Mañana / NOTA: cliente pagara 300 hoy y el 30  800.00 soles </t>
  </si>
  <si>
    <t xml:space="preserve">Sustento de pago PPC - Dinero en Mano / HORARIO DE PAGO: Mañana / NOTA: cliente pagara 500 soles </t>
  </si>
  <si>
    <t>Sustento de pago PPC - Dinero en Mano / HORARIO DE PAGO: Mañana / NOTA: cliente pagara bbva 221</t>
  </si>
  <si>
    <t>Sustento de pago PPC - Dinero en Mano / HORARIO DE PAGO: Mañana / NOTA: cliente pagara con 271.00</t>
  </si>
  <si>
    <t>Sustento de pago PPC - Dinero en Mano / HORARIO DE PAGO: Mañana / NOTA: cliente pagara DT.266.29 EL DIA MARTES 6 A LA 1 DE LA TARDE , EN LA AGENCIA DEL BBVA.</t>
  </si>
  <si>
    <t>Sustento de pago PPC - Dinero en Mano / HORARIO DE PAGO: Mañana / NOTA: cliente pagara en caja trujillo</t>
  </si>
  <si>
    <t xml:space="preserve">Sustento de pago PPC - Dinero en Mano / HORARIO DE PAGO: Mañana / NOTA: cliente pagara hoy </t>
  </si>
  <si>
    <t xml:space="preserve">Sustento de pago PPC - Dinero en Mano / HORARIO DE PAGO: Mañana / NOTA: CLIENTE PAGARA HOY </t>
  </si>
  <si>
    <t xml:space="preserve">Sustento de pago PPC - Dinero en Mano / HORARIO DE PAGO: Mañana / NOTA: cliente pagara hoy 347 la segunda cuota y a fin de mes la ultima cuota </t>
  </si>
  <si>
    <t xml:space="preserve">Sustento de pago PPC - Dinero en Mano / HORARIO DE PAGO: Mañana / NOTA: cliente pagara mañana 100 soles y a fin de mes lo restante </t>
  </si>
  <si>
    <t xml:space="preserve">Sustento de pago PPC - Dinero en Mano / HORARIO DE PAGO: Mañana / NOTA: Cliente pagara S/520.00 para la cancelaicon de la cuenta no pudo mejorar </t>
  </si>
  <si>
    <t xml:space="preserve">Sustento de pago PPC - Dinero en Mano / HORARIO DE PAGO: Mañana / NOTA: cliente pagara su deuda </t>
  </si>
  <si>
    <t>Sustento de pago PPC - Dinero en Mano / HORARIO DE PAGO: Mañana / NOTA: cliente pagara su deuda con S/600.00</t>
  </si>
  <si>
    <t>Sustento de pago PPC - Dinero en Mano / HORARIO DE PAGO: Mañana / NOTA: cliente pagara su ultima cuota 143</t>
  </si>
  <si>
    <t>Sustento de pago PPC - Dinero en Mano / HORARIO DE PAGO: Mañana / NOTA: CLIENTE PAGARA SU ULTIMA CUOTA EL 31/07 DE s/1250.00</t>
  </si>
  <si>
    <t xml:space="preserve">Sustento de pago PPC - Dinero en Mano / HORARIO DE PAGO: Mañana / NOTA: cliente pago </t>
  </si>
  <si>
    <t>Sustento de pago PPC - Dinero en Mano / HORARIO DE PAGO: Mañana / NOTA: CLIENTE PAGÓ</t>
  </si>
  <si>
    <t xml:space="preserve">Sustento de pago PPC - Dinero en Mano / HORARIO DE PAGO: Mañana / NOTA: Cliente pago con  S/ 1,600 POR bcp </t>
  </si>
  <si>
    <t xml:space="preserve">Sustento de pago PPC - Dinero en Mano / HORARIO DE PAGO: Mañana / NOTA: cliente realiza el pago en tienda Interbank, luego de conversar con el Gerente de oficina por lo ocurrido el día de ayer con el personal de ventanilla, importe S/ 2500.00 soles. </t>
  </si>
  <si>
    <t>Sustento de pago PPC - Dinero en Mano / HORARIO DE PAGO: Mañana / NOTA: cliente realiza pago de 4500 en caja trujillo</t>
  </si>
  <si>
    <t>Sustento de pago PPC - Dinero en Mano / HORARIO DE PAGO: Mañana / NOTA: Cliente realizar por bcp el pago S/.700</t>
  </si>
  <si>
    <t xml:space="preserve">Sustento de pago PPC - Dinero en Mano / HORARIO DE PAGO: Mañana / NOTA: Cliente realizara el pago de S/650.00 hoy por Bcp </t>
  </si>
  <si>
    <t>Sustento de pago PPC - Dinero en Mano / HORARIO DE PAGO: Mañana / NOTA: Cliente realizara el pago por aplicativo del BCP la suma de 2200 soles.</t>
  </si>
  <si>
    <t xml:space="preserve">Sustento de pago PPC - Dinero en Mano / HORARIO DE PAGO: Mañana / NOTA: cliente realizara el pago por un agente del bbva </t>
  </si>
  <si>
    <t xml:space="preserve">Sustento de pago PPC - Dinero en Mano / HORARIO DE PAGO: Mañana / NOTA: cliente realizara hoy  el pago de 150 soles </t>
  </si>
  <si>
    <t>Sustento de pago PPC - Dinero en Mano / HORARIO DE PAGO: Mañana / NOTA: Cliente realizará pagó 1200.00 soles, en el rango de 9 a 12 del medio día. Pide enviar documento a su correo santiagovhg@gmail.com</t>
  </si>
  <si>
    <t xml:space="preserve">Sustento de pago PPC - Dinero en Mano / HORARIO DE PAGO: Mañana / NOTA: CLIENTE REALIZARA PAGO A FIN DE MES DE 4500 HOY ABONA 500 </t>
  </si>
  <si>
    <t>Sustento de pago PPC - Dinero en Mano / HORARIO DE PAGO: Mañana / NOTA: cliente realizará pago de su última cuota</t>
  </si>
  <si>
    <t>Sustento de pago PPC - Dinero en Mano / HORARIO DE PAGO: Mañana / NOTA: cliente realizará pago en caja los andes el dia de mañana</t>
  </si>
  <si>
    <t>Sustento de pago PPC - Dinero en Mano / HORARIO DE PAGO: Mañana / NOTA: cliente realizará pago en ventanilla de Interbank, el importe de S/ 720 soles antes del medio día.</t>
  </si>
  <si>
    <t>Sustento de pago PPC - Dinero en Mano / HORARIO DE PAGO: Mañana / NOTA: CLIENTE REALIZARA PAGO VIA APP BBVA DE 500</t>
  </si>
  <si>
    <t>Sustento de pago PPC - Dinero en Mano / HORARIO DE PAGO: Mañana / NOTA: Cliente realizo adelanto de 100 soles , diferencia para el 28 de Junio.</t>
  </si>
  <si>
    <t>Sustento de pago PPC - Dinero en Mano / HORARIO DE PAGO: Mañana / NOTA: CLIENTE REALIZO PAGO EL DIA 7 DE OCTUBRE / ENVIO BOUCHER DE PAGO DE 300</t>
  </si>
  <si>
    <t>Sustento de pago PPC - Dinero en Mano / HORARIO DE PAGO: Mañana / NOTA: CLIENTE REALIZO PAGO PPC CUOTA DE S/183.59</t>
  </si>
  <si>
    <t xml:space="preserve">Sustento de pago PPC - Dinero en Mano / HORARIO DE PAGO: Mañana / NOTA: cliente realzia pago de 500 inicial y fin de mes 200 </t>
  </si>
  <si>
    <t xml:space="preserve">Sustento de pago PPC - Dinero en Mano / HORARIO DE PAGO: Mañana / NOTA: cliente se acercara a  cancelar </t>
  </si>
  <si>
    <t xml:space="preserve">Sustento de pago PPC - Dinero en Mano / HORARIO DE PAGO: Mañana / NOTA: cliente se acoge a campaña de S/400 soles para cancelacion de su deuda </t>
  </si>
  <si>
    <t>Sustento de pago PPC - Dinero en Mano / HORARIO DE PAGO: Mañana / NOTA: cliente se acoge a cancelar dt, con el importe de 200 soles</t>
  </si>
  <si>
    <t>Sustento de pago PPC - Dinero en Mano / HORARIO DE PAGO: Mañana / NOTA: CLIENTE SE ACOGE A CANCELAR DT. CON 200 SOLES EL DIA 26/10  Y EL SALDO DE 100 SOLES EL DIA 31/10</t>
  </si>
  <si>
    <t>Sustento de pago PPC - Dinero en Mano / HORARIO DE PAGO: Mañana / NOTA: CLIENTE SE ACOGE A CANCELAR DT. CON 400 SOLES EXCEPCION APROBADA</t>
  </si>
  <si>
    <t>Sustento de pago PPC - Dinero en Mano / HORARIO DE PAGO: Mañana / NOTA: cliente se acoge a cancelar dt. con 700.00 soles excepcion aprobada</t>
  </si>
  <si>
    <t>Sustento de pago PPC - Dinero en Mano / HORARIO DE PAGO: Mañana / NOTA: CLIENTE SE ACOGE A CANECLAR DT. CON 300.00 SOLES</t>
  </si>
  <si>
    <t xml:space="preserve">Sustento de pago PPC - Dinero en Mano / HORARIO DE PAGO: Mañana / NOTA: cliente se acoge a excepcion de S/2000.00SOLES ,adelantara la mitadyla segunda partelo dara a fin de meso antes. //dk:24,803.81 </t>
  </si>
  <si>
    <t>Sustento de pago PPC - Dinero en Mano / HORARIO DE PAGO: Mañana / NOTA: CLIENTE SE ACOGE CANCELAR DT. CON EXCEPCION DE 1000 SOLES</t>
  </si>
  <si>
    <t>Sustento de pago PPC - Dinero en Mano / HORARIO DE PAGO: Mañana / NOTA: CLIENTE SE ACOGER A EXCEPCION , Y REALIZA A CANCELACION DE SU CUENTA PENDIENTE CON S/720.00 SOLES , DK:S/1459.64 SOLES ,</t>
  </si>
  <si>
    <t>Sustento de pago PPC - Dinero en Mano / HORARIO DE PAGO: Mañana / NOTA: cliente se afiliai a campaña de lqiudiacion con importe unico  pago en linea</t>
  </si>
  <si>
    <t xml:space="preserve">Sustento de pago PPC - Dinero en Mano / HORARIO DE PAGO: Mañana / NOTA: Cliente se le informa campaña S/ 400 soles, se le informa cesión de derechos, se le envía números para validación y documento de cesión. Indica que el 15 recibe su pago, para liquidar deuda, se explica proceso de entrega de carta de no adeudo, indica que realizará transf antes de las 5pm. </t>
  </si>
  <si>
    <t>Sustento de pago PPC - Dinero en Mano / HORARIO DE PAGO: Mañana / NOTA: cliente se presto 800 para cancelacion de su deuda</t>
  </si>
  <si>
    <t>Sustento de pago PPC - Dinero en Mano / HORARIO DE PAGO: Mañana / NOTA: cliente ya pago  coN s/200.00</t>
  </si>
  <si>
    <t xml:space="preserve">Sustento de pago PPC - Dinero en Mano / HORARIO DE PAGO: Mañana / NOTA: Cliver Moises Lima Guaguasonco Dni: 78376225 sobrino de tit, se contacta e indica que El se hará cargo de cancelar la deuda, cancela deuda total S/850 el día lunes 22/06 por la mañana, indica antes del mediodía </t>
  </si>
  <si>
    <t xml:space="preserve">Sustento de pago PPC - Dinero en Mano / HORARIO DE PAGO: Mañana / NOTA: compromiso  1500  fecha 07-05  </t>
  </si>
  <si>
    <t xml:space="preserve">Sustento de pago PPC - Dinero en Mano / HORARIO DE PAGO: Mañana / NOTA: compromiso  2700   fecha 19-05  </t>
  </si>
  <si>
    <t xml:space="preserve">Sustento de pago PPC - Dinero en Mano / HORARIO DE PAGO: Mañana / NOTA: Confirma disponer de 180 soles,se le adjuntara acuerdo. </t>
  </si>
  <si>
    <t xml:space="preserve">Sustento de pago PPC - Dinero en Mano / HORARIO DE PAGO: Mañana / NOTA: confirma pago de campaña para el dia 05.07 menciona que lo va a estar realizando por la tarde. </t>
  </si>
  <si>
    <t>Sustento de pago PPC - Dinero en Mano / HORARIO DE PAGO: Mañana / NOTA: confirma pago fin de mes</t>
  </si>
  <si>
    <t xml:space="preserve">Sustento de pago PPC - Dinero en Mano / HORARIO DE PAGO: Mañana / NOTA: confirma pago para el 20.06 ultimo pago de 5k </t>
  </si>
  <si>
    <t>Sustento de pago PPC - Dinero en Mano / HORARIO DE PAGO: Mañana / NOTA: Confirma pago por la tarde de los 7k, menciona que su amigo que le sacara el dinero no le dio 5k le dio 4k y esta viendo con familiares completar los 1000 que le faltan</t>
  </si>
  <si>
    <t xml:space="preserve">Sustento de pago PPC - Dinero en Mano / HORARIO DE PAGO: Mañana / NOTA: confirma pago. </t>
  </si>
  <si>
    <t>Sustento de pago PPC - Dinero en Mano / HORARIO DE PAGO: Mañana / NOTA: Confirma que ya soluciono el tema de la sunat y el martes 9/07 ara el pago 462</t>
  </si>
  <si>
    <t>Sustento de pago PPC - Dinero en Mano / HORARIO DE PAGO: Mañana / NOTA: confirmap pago de 1616 la cual pagara 808 hoy 13/08 y 808 el 29/08</t>
  </si>
  <si>
    <t xml:space="preserve">Sustento de pago PPC - Dinero en Mano / HORARIO DE PAGO: Mañana / NOTA: CUOTA 2 HOY Y FIN DE MES ULTIMA CUOTA CON ELLO CANCELA TOTALIDAD </t>
  </si>
  <si>
    <t xml:space="preserve">Sustento de pago PPC - Dinero en Mano / HORARIO DE PAGO: Mañana / NOTA: CUOTA 2 Y ULTIMA 750 CANCELACION </t>
  </si>
  <si>
    <t xml:space="preserve">Sustento de pago PPC - Dinero en Mano / HORARIO DE PAGO: Mañana / NOTA: CUOTA FINAL - CANCELACION </t>
  </si>
  <si>
    <t xml:space="preserve">Sustento de pago PPC - Dinero en Mano / HORARIO DE PAGO: Mañana / NOTA: D.T S/ 240.49  FALTA DE TIEMPO NO PAGO TRABAJA EN PROVINCIA  ZONA ALEJADA </t>
  </si>
  <si>
    <t xml:space="preserve">S/250 SOLES MARTES 15/7  POR  LA TARDE DESDE  APP BCP </t>
  </si>
  <si>
    <t>Sustento de pago PPC - Dinero en Mano / HORARIO DE PAGO: Mañana / NOTA: D.T. S/ 5,677.72 DK S/3,912.73 SE LE OFRECE  M1 S/ 1816 SOLES LE LLEGO  CAMP  JUNIO  S/1567 SOLES SE LE MENCIONA  QUE MEJORE NO PUEDE MAS REUNIR   PROPONE  S/1567. SOLES</t>
  </si>
  <si>
    <t xml:space="preserve">PPC S/1567.  CON LA  CONDICION QUE HOY  ABONE S/467 SOLES Y  DIFERENCIA S/1100 SOLES FIN DE  MES   X APP BCP </t>
  </si>
  <si>
    <t xml:space="preserve">Sustento de pago PPC - Dinero en Mano / HORARIO DE PAGO: Mañana / NOTA: demora de pago   camp  260    </t>
  </si>
  <si>
    <t xml:space="preserve">Sustento de pago PPC - Dinero en Mano / HORARIO DE PAGO: Mañana / NOTA: Dentro de la cuota se esta genenando la penalidad de forma interna ya coordinada con el cliente  s/1342.50 </t>
  </si>
  <si>
    <t xml:space="preserve">Sustento de pago PPC - Dinero en Mano / HORARIO DE PAGO: Mañana / NOTA: DEUDAS: 3¦MONTO TOTAL DEUDAS: 9000¦SUSTENTO DE FONDOS: AFP ¦SITUACIÓN ACTUAL: MOTIVO DE NO PAGO. TEMAS DE SALUD. DEUDAS PERSONALES Y OTRAS FINANCIERAS ESTA NEGOCIANDO CON OTRAS ENTIDADES.. SE OFRECE CAMPAÑA PARA HOY 8.500. PROPONE 7K. HOY ANTICIPA 1MIL Y SALDO RESTANTE A FIN DE MES. </t>
  </si>
  <si>
    <t>Sustento de pago PPC - Dinero en Mano / HORARIO DE PAGO: Mañana / NOTA: DICE QUE ESTA  A ESPERA  DE SU AFP PARA CANCELAR,  INDICA QUE  LE PAGAN HOY Y CON ESO CANCELA</t>
  </si>
  <si>
    <t>Sustento de pago PPC - Dinero en Mano / HORARIO DE PAGO: Mañana / NOTA: DIFERNCIA 2610 EL 28-11-2025</t>
  </si>
  <si>
    <t>Sustento de pago PPC - Dinero en Mano / HORARIO DE PAGO: Mañana / NOTA: dinero en mano</t>
  </si>
  <si>
    <t>Sustento de pago PPC - Dinero en Mano / HORARIO DE PAGO: Mañana / NOTA: dinero en mano 2200</t>
  </si>
  <si>
    <t>Sustento de pago PPC - Dinero en Mano / HORARIO DE PAGO: Mañana / NOTA: dk 102 cam 100  tt si puede cancelara antes</t>
  </si>
  <si>
    <t>Sustento de pago PPC - Dinero en Mano / HORARIO DE PAGO: Mañana / NOTA: DK 118 CAMP 118 TT INDICA QUE ESTARIA REALIZANDO EL PAGO EN PARTES DE LA CUAL YA HIZO UN ADELANTO DE S/50.00, SE ESTA A LA ESPERA DE LO RESTANTE QUE ES S/68.00 QUE CONFIRMA QUE ESTARIA ABONANDO ENTRE EL 22/05 O 23/05</t>
  </si>
  <si>
    <t>Sustento de pago PPC - Dinero en Mano / HORARIO DE PAGO: Mañana / NOTA: DK 2400  CAM 1300</t>
  </si>
  <si>
    <t>Sustento de pago PPC - Dinero en Mano / HORARIO DE PAGO: Mañana / NOTA: DK 270 CAM 250</t>
  </si>
  <si>
    <t>Sustento de pago PPC - Dinero en Mano / HORARIO DE PAGO: Mañana / NOTA: dk 290 cam  290</t>
  </si>
  <si>
    <t xml:space="preserve">Sustento de pago PPC - Dinero en Mano / HORARIO DE PAGO: Mañana / NOTA: DK 448 CAM  400  TT SE ACOGE A LA CAMPAÑA SOLICITA EL PAGO POR CUENTA INTERBANCARIA BCP </t>
  </si>
  <si>
    <t xml:space="preserve">Sustento de pago PPC - Dinero en Mano / HORARIO DE PAGO: Mañana / NOTA: dk 4k cam  1600   tt pp 700  se evaluara con gerencia </t>
  </si>
  <si>
    <t>Sustento de pago PPC - Dinero en Mano / HORARIO DE PAGO: Mañana / NOTA: dk 500 cam 400</t>
  </si>
  <si>
    <t xml:space="preserve">Sustento de pago PPC - Dinero en Mano / HORARIO DE PAGO: Mañana / NOTA: dk 600 cam 400  tt pp 200 se evalua con gerencia </t>
  </si>
  <si>
    <t>Sustento de pago PPC - Dinero en Mano / HORARIO DE PAGO: Mañana / NOTA: dk 650  cam 350</t>
  </si>
  <si>
    <t xml:space="preserve">Sustento de pago PPC - Dinero en Mano / HORARIO DE PAGO: Mañana / NOTA: DK 8K CAM  6400   TT PP 1250  SE ELAVA EXCEPCION </t>
  </si>
  <si>
    <t>Sustento de pago PPC - Dinero en Mano / HORARIO DE PAGO: Mañana / NOTA: Dk Actual:39,356.03Dt Actual:46,036.95 - cl propone 2000, se aprobó la excepción.</t>
  </si>
  <si>
    <t>Sustento de pago PPC - Dinero en Mano / HORARIO DE PAGO: Mañana / NOTA: Dk: S/. 7,022.29 - pago 1000</t>
  </si>
  <si>
    <t xml:space="preserve">Sustento de pago PPC - Dinero en Mano / HORARIO DE PAGO: Mañana / NOTA: dk300 cam 180  </t>
  </si>
  <si>
    <t>Sustento de pago PPC - Dinero en Mano / HORARIO DE PAGO: Mañana / NOTA: DNI 29253245 - ABIGAIL JOVE MUCHICA se acerca a oficina y confirma ser garante, menciona que tiene un proceso por ODSD y el número de expediente es el 06808-2012-0-0401-JP-CI-07. Garante menciona que ha obtenido en Mi Banco un préstamo de S/8,500.00 y el pago total destinaría al pago de la deuda, inicialmente solo propuso S/7,000.00 a S/7,500.00, indicando que ha viajado a Lima y ello le ha generado gastos. Se refutó DT DK y proceso; se confirma pago de S/8,500.00.</t>
  </si>
  <si>
    <t xml:space="preserve">Sustento de pago PPC - Dinero en Mano / HORARIO DE PAGO: Mañana / NOTA: DT 1.7K TT HARA CAN 300  CON UN DINERO Q LE PAGARAN </t>
  </si>
  <si>
    <t>Sustento de pago PPC - Dinero en Mano / HORARIO DE PAGO: Mañana / NOTA: dt 1480 camp 266</t>
  </si>
  <si>
    <t xml:space="preserve">Sustento de pago PPC - Dinero en Mano / HORARIO DE PAGO: Mañana / NOTA: dt 1885 can 1370 tt propone 1k y se mejora monto a 1.1k </t>
  </si>
  <si>
    <t xml:space="preserve">Sustento de pago PPC - Dinero en Mano / HORARIO DE PAGO: Mañana / NOTA: dt 20 soles </t>
  </si>
  <si>
    <t xml:space="preserve">Sustento de pago PPC - Dinero en Mano / HORARIO DE PAGO: Mañana / NOTA: DT 21,132.86 MIN1 PROPONE IMPORTE DE 1400 SOLES REALIZO ADELANTO DE 500 Y RESTO A FINES DE MES </t>
  </si>
  <si>
    <t xml:space="preserve">Sustento de pago PPC - Dinero en Mano / HORARIO DE PAGO: Mañana / NOTA: dt 264.97  camp 205     </t>
  </si>
  <si>
    <t xml:space="preserve">propuesta:  205 </t>
  </si>
  <si>
    <t xml:space="preserve">fecha :  05-07 mañana </t>
  </si>
  <si>
    <t xml:space="preserve">sustento:  tien el dinero </t>
  </si>
  <si>
    <t xml:space="preserve">motivo:  ind presento   reclmo o requerimiento   ya que   no utilizo tarjeta   nunca lo activo   </t>
  </si>
  <si>
    <t>Sustento de pago PPC - Dinero en Mano / HORARIO DE PAGO: Mañana / NOTA: DT 285 CAMP 50 SOLES</t>
  </si>
  <si>
    <t xml:space="preserve">Sustento de pago PPC - Dinero en Mano / HORARIO DE PAGO: Mañana / NOTA: DT 2K CAMP DE 300 SOLES TT INDICA QUE QUIERE HACER LA CANCELACION COMPLETA DE LA DEUDA YA QUE ESTA A LA ESPERA DE UN PAGO DE SU TRABAJO </t>
  </si>
  <si>
    <t>Sustento de pago PPC - Dinero en Mano / HORARIO DE PAGO: Mañana / NOTA: dt 388.88 // tt realizara cancelacion en base a dk s/. 252 // tt realizara adelanto de 100 soles fecha 14/08 y diferencia s/. 152 en fecha 25/08 via deposito bcp.</t>
  </si>
  <si>
    <t>Sustento de pago PPC - Dinero en Mano / HORARIO DE PAGO: Mañana / NOTA: DT 7089 CAMP 4345 HASTA 1400</t>
  </si>
  <si>
    <t>Sustento de pago PPC - Dinero en Mano / HORARIO DE PAGO: Mañana / NOTA: DT 7800 CAMP 1000</t>
  </si>
  <si>
    <t>Sustento de pago PPC - Dinero en Mano / HORARIO DE PAGO: Mañana / NOTA: DT 852.01  -DK  483.13 --  TT MANIFIESTA QUE NO PUEDE PAGAR EL TOTAL DEL MONTO PROPUESTO POR ESE  MOTIVO  PAGA EN DOS PARTES S/.390  EN 2 CUOTAS   S/.195.00  EL 09/06  Y S/. 195.00  EL  16/05   POR LA TARDE</t>
  </si>
  <si>
    <t>Sustento de pago PPC - Dinero en Mano / HORARIO DE PAGO: Mañana / NOTA: dt dk campaña 600 - tt responde mensaje de notificación de wsp se informa dt dk campña de 600 soles, confirma pago por medio de bcp, se brinda medios de pago y adjunta comprobante de pago al wsp.</t>
  </si>
  <si>
    <t xml:space="preserve">Sustento de pago PPC - Dinero en Mano / HORARIO DE PAGO: Mañana / NOTA: dt dk campaña 800 soles tt indica q si `puede pagarlo pero lo hará el día de mañana 06/06 para poder validar la informacion ya que hoy por tiempo no llega al bbva pero mañana no trabaja y va a ir al banco por la mañana ya que desea solucionar, se le explica la cesion y entiende se le envia notificacion campaña y numero de cuentas. </t>
  </si>
  <si>
    <t xml:space="preserve">Sustento de pago PPC - Dinero en Mano / HORARIO DE PAGO: Mañana / NOTA: DT: S/. 10,003.01 - se le da cmapaña de 370, cl da la negativa - se le da cmapaña de 255, cliente confirma su pago para el 19-08, cl mencionaque no llego a pagar ya que no contaba con trabajo, confrima que si va a realizar su pago. </t>
  </si>
  <si>
    <t xml:space="preserve">Sustento de pago PPC - Dinero en Mano / HORARIO DE PAGO: Mañana / NOTA: DT: S/. 141.43 - campaña de 100, paga el viernes a agencia ya que vive en un lugar alejado, cl confirma que si realiza el pago </t>
  </si>
  <si>
    <t xml:space="preserve">Sustento de pago PPC - Dinero en Mano / HORARIO DE PAGO: Mañana / NOTA: DT: S/. 357.35 , cl paga 160 </t>
  </si>
  <si>
    <t>Sustento de pago PPC - Dinero en Mano / HORARIO DE PAGO: Mañana / NOTA: DT: S/.2,621.54 - segun excepcion cliente paga 189 el 07-06</t>
  </si>
  <si>
    <t>Sustento de pago PPC - Dinero en Mano / HORARIO DE PAGO: Mañana / NOTA: DT: S/.47,790.17 , segun excepcion cl paga 4500,</t>
  </si>
  <si>
    <t>Sustento de pago PPC - Dinero en Mano / HORARIO DE PAGO: Mañana / NOTA: DT: S/.542.45 - cliente paga 300  en 2 partes Jueves 05/02/2026 de S/150.00 soles y el Martes 17/02/2026 de S/150.00 soles ,pago lo emplea por app BCP</t>
  </si>
  <si>
    <t>Sustento de pago PPC - Dinero en Mano / HORARIO DE PAGO: Mañana / NOTA: DT: S/.6,128.79 - segun excepcion , cl paga 600, abona 300 hoy y la diferencia el 28-08</t>
  </si>
  <si>
    <t xml:space="preserve">Sustento de pago PPC - Dinero en Mano / HORARIO DE PAGO: Mañana / NOTA: DT: S/.88,673.41 - se le da campaña de 3200 , cl confirma que va a pagar, va a cosechar su chacra de cacao el jueves y mas tardar le pagan el lunes , cl confirma que si o si paga , cl pregunta por su registro inmobiliario ya que cuenta con un exp JUD meniconando x el cl, dice que se acerco a preguntar a el poder JUD y menciona que le dijeron que prediern su EXP </t>
  </si>
  <si>
    <t xml:space="preserve">Sustento de pago PPC - Dinero en Mano / HORARIO DE PAGO: Mañana / NOTA: DT: S/.949.30 - campaña de 470 , clinete cancela el miercoles 09-10 /  si es posible cancela antes el dia martes 08-10/ menciona que si o si paga. </t>
  </si>
  <si>
    <t>Sustento de pago PPC - Dinero en Mano / HORARIO DE PAGO: Mañana / NOTA: dt:1,183.66 / dk:849.55 , se le brinda la campaña de la deuda capital sin embargo menciona que es mucho , finalmente se negocioa con min 1 s/130 ,lo pagara por agente bcp ,hasta el dia viernes , espera que le liberen un dinero del banco de la nacion.</t>
  </si>
  <si>
    <t>Sustento de pago PPC - Dinero en Mano / HORARIO DE PAGO: Mañana / NOTA: DT:2,152.43 - cliente confirma pago para el dia lunes en la misma entidad de Pro empresa, cliente confirma pago y se le menciona que si no paga continuaremos con su exp judicial. campaña aceptada 1300</t>
  </si>
  <si>
    <t>Sustento de pago PPC - Dinero en Mano / HORARIO DE PAGO: Mañana / NOTA: DT:4,026.29 , DK:2,500.00 , TT INDICA QUE PUEDE RESOLVERLO Y PIDE DSCTO YA QUE LE INDICARON QUE CON MENOS PODÍA CANCELAR, SE LE DA MIN1:815.00 TT LO CANCELARÁ EL DÍA 20/08 POR LA MAÑANA. SOLICITA ACUERDO AL WHATSAPP</t>
  </si>
  <si>
    <t>Sustento de pago PPC - Dinero en Mano / HORARIO DE PAGO: Mañana / NOTA: DT:5,022.26 , CLIENTE ESTARA CANCELANDO S/.500.00</t>
  </si>
  <si>
    <t>Sustento de pago PPC - Dinero en Mano / HORARIO DE PAGO: Mañana / NOTA: DT:542.41 , TT INDICA QUE CANCELARÁ POR BCP A LAS 15 HRS. | SE ENVÍA DETALLE A WHATSAPP</t>
  </si>
  <si>
    <t xml:space="preserve">Sustento de pago PPC - Dinero en Mano / HORARIO DE PAGO: Mañana / NOTA: DT:7,402.33 - DK:2,501.00 - SE LE MENCIONA DT A TT, TT SE ACOGE A CAMAPAÑA DE S/1088, INDICANDO QUE REALIZARA UN ADELANTO DE S/500 EL DIA DE HOY 18/08  Y LA DIERENCIA A FIN DE MES. </t>
  </si>
  <si>
    <t xml:space="preserve">Sustento de pago PPC - Dinero en Mano / HORARIO DE PAGO: Mañana / NOTA: DT:S/.186.58 - campaña de 180, cl confirma su pago, cl paga por BCP monto a pag7aer 180 </t>
  </si>
  <si>
    <t xml:space="preserve">Sustento de pago PPC - Dinero en Mano / HORARIO DE PAGO: Mañana / NOTA: el cliente realizara un adelanto de 250 soles  18/11   y  completara a fin de mes </t>
  </si>
  <si>
    <t>Sustento de pago PPC - Dinero en Mano / HORARIO DE PAGO: Mañana / NOTA: el lunes la mitad adelanta</t>
  </si>
  <si>
    <t xml:space="preserve">Sustento de pago PPC - Dinero en Mano / HORARIO DE PAGO: Mañana / NOTA: el pago lo ara por banca movil 200 hoy ya que trabaja donde no hay bancos </t>
  </si>
  <si>
    <t>Sustento de pago PPC - Dinero en Mano / HORARIO DE PAGO: Mañana / NOTA: el viernes   ira a pro  huancavelica</t>
  </si>
  <si>
    <t>Sustento de pago PPC - Dinero en Mano / HORARIO DE PAGO: Mañana / NOTA: en caja trujillo</t>
  </si>
  <si>
    <t xml:space="preserve">Sustento de pago PPC - Dinero en Mano / HORARIO DE PAGO: Mañana / NOTA: en llamada se le brinda informacion de C1 y Dk tt propone el monto de 500 para cancelar su deuda indica que dejo de pagar por la pandemia el dinero es parte de sus ahorros el pago lo realizara a traves de transferencia via BCP indica que tiene carga familiar el pago lo hara a las 4pm </t>
  </si>
  <si>
    <t xml:space="preserve">Sustento de pago PPC - Dinero en Mano / HORARIO DE PAGO: Mañana / NOTA: ENCARGADO CANCELARÁ LA DEUDA CON EL IMPORTE DE 6K </t>
  </si>
  <si>
    <t xml:space="preserve">Sustento de pago PPC - Dinero en Mano / HORARIO DE PAGO: Mañana / NOTA: ENCARGADO HIJO  JOB AGUILAR SE ACOGE A MC: 860 FP: 13-06 APROX 11 AM / SE ENVIARA CARTA DE ACUERDO POR WSP </t>
  </si>
  <si>
    <t xml:space="preserve">Sustento de pago PPC - Dinero en Mano / HORARIO DE PAGO: Mañana / NOTA: Enviar carta al correo: anatomia20042@hotmail.com / Pago 5,230 soles por Scotiabank </t>
  </si>
  <si>
    <t>Sustento de pago PPC - Dinero en Mano / HORARIO DE PAGO: Mañana / NOTA: esposa encargada hara pago de cuota 2 de 2 monto de 770 el dia 26.04 en caja trujllo a las 04.30pm</t>
  </si>
  <si>
    <t>Sustento de pago PPC - Dinero en Mano / HORARIO DE PAGO: Mañana / NOTA: esposo del tt indica que mañana se acercara a cancelar por bbva 400</t>
  </si>
  <si>
    <t xml:space="preserve">Sustento de pago PPC - Dinero en Mano / HORARIO DE PAGO: Mañana / NOTA: Estará pagando por bcp 350 soles el importe de 350 soles.  </t>
  </si>
  <si>
    <t xml:space="preserve">Sustento de pago PPC - Dinero en Mano / HORARIO DE PAGO: Mañana / NOTA: EXCEP APROBADA 400 PAGA EN BBVA </t>
  </si>
  <si>
    <t>Sustento de pago PPC - Dinero en Mano / HORARIO DE PAGO: Mañana / NOTA: excepcio aprobada tt confirma pago de 500 soles realizado el viernes 15/08 en agente BCP</t>
  </si>
  <si>
    <t>Sustento de pago PPC - Dinero en Mano / HORARIO DE PAGO: Mañana / NOTA: EXCEPCIÓN ACEPTADA.</t>
  </si>
  <si>
    <t xml:space="preserve">Sustento de pago PPC - Dinero en Mano / HORARIO DE PAGO: Mañana / NOTA: EXCEPCION APROBADA  DE 7MIL TT REALIZARA EL PAGO DE 4MIL HOY Y LOS 3MIL EL DIA 04/10 </t>
  </si>
  <si>
    <t xml:space="preserve">Sustento de pago PPC - Dinero en Mano / HORARIO DE PAGO: Mañana / NOTA: EXCEPCION APROBADA CON 2220 SE ENVIARA CARTA NO ADEUDO </t>
  </si>
  <si>
    <t xml:space="preserve">Sustento de pago PPC - Dinero en Mano / HORARIO DE PAGO: Mañana / NOTA: EXCEPCION APROBADA DE 5200  </t>
  </si>
  <si>
    <t xml:space="preserve">Sustento de pago PPC - Dinero en Mano / HORARIO DE PAGO: Mañana / NOTA: EXCEPCION APROBADA DE 5MIL CL CANCELA EL TOTAL  </t>
  </si>
  <si>
    <t xml:space="preserve">Sustento de pago PPC - Dinero en Mano / HORARIO DE PAGO: Mañana / NOTA: EXCEPCION APROBADA TT REALIZO EL PAGO DE 3,402 SE ENVIARA CARTA DE NO ADEUDO  </t>
  </si>
  <si>
    <t>Sustento de pago PPC - Dinero en Mano / HORARIO DE PAGO: Mañana / NOTA: Excepción autorizada por superv. tt cancelo ayer dt. con 400 soles en la noche</t>
  </si>
  <si>
    <t xml:space="preserve">Sustento de pago PPC - Dinero en Mano / HORARIO DE PAGO: Mañana / NOTA: excepcion por 1500  en 2 cuotas </t>
  </si>
  <si>
    <t xml:space="preserve">Sustento de pago PPC - Dinero en Mano / HORARIO DE PAGO: Mañana / NOTA: explica que el dinero le dio  a un familair y no pago que no quiere mentir que puede pagar antes de fin de mes, pero tiene du hermana que es ingeniero y que por whatsap nos brindara su nro para que el se acreque a pagar 2000 fin de mes, si es antes el se comunicara </t>
  </si>
  <si>
    <t>Sustento de pago PPC - Dinero en Mano / HORARIO DE PAGO: Mañana / NOTA: hara un adelanto el dia 06, restante para el dia 28 550.</t>
  </si>
  <si>
    <t>Sustento de pago PPC - Dinero en Mano / HORARIO DE PAGO: Mañana / NOTA: hasta el 24 paga indica , mañana adelanta la mitad</t>
  </si>
  <si>
    <t>Sustento de pago PPC - Dinero en Mano / HORARIO DE PAGO: Mañana / NOTA: HERMANO DE TITULAR SE APERSONA A OFICINA NO SE CONTABA CON PRODUCTOS ESTABLECIDOS SE BRINDÓ DT Y CAMPAÑA DE 550 SIN EMBARGO PROPUSO 200 SE LOGRÓ MEJORAR HASTA 250 . BRUNO ALVARO VASQUEZ PAREDES DNI 45813316 , CONFIRMA SER RESPONSABLE DE LAS CUENTAS PERSONALES DE LA TITULAR . 933 062 393</t>
  </si>
  <si>
    <t xml:space="preserve">Sustento de pago PPC - Dinero en Mano / HORARIO DE PAGO: Mañana / NOTA: hermano mayor albert costillo leva  indica que pagara po BCP </t>
  </si>
  <si>
    <t>Sustento de pago PPC - Dinero en Mano / HORARIO DE PAGO: Mañana / NOTA: hija hermelinda confrima pago de 200 el 15 y restantante entre el 20 a 24 en cpomunicacion monto 250</t>
  </si>
  <si>
    <t xml:space="preserve">Sustento de pago PPC - Dinero en Mano / HORARIO DE PAGO: Mañana / NOTA: HIJA INDICA QUE COBRA ESTA FECHA, COBRA DE SU TRABAJO </t>
  </si>
  <si>
    <t xml:space="preserve">Sustento de pago PPC - Dinero en Mano / HORARIO DE PAGO: Mañana / NOTA: hijo luis angel pagara 500 soles </t>
  </si>
  <si>
    <t>Sustento de pago PPC - Dinero en Mano / HORARIO DE PAGO: Mañana / NOTA: hijo sergio indica que si pagara 1000 el sabado y restante 500 a fdm confrimo via wasapp</t>
  </si>
  <si>
    <t xml:space="preserve">Sustento de pago PPC - Dinero en Mano / HORARIO DE PAGO: Mañana / NOTA: HORARIO DE PAGO: Tarde / NOTA: DK 2,733.16  - DT  4,635.21  -- TT  CONFIRMA PAGO S/1000.00  EL  23/06 POR LA TARDE  VIA BCP  - MANIFIESTA QUE  NO LOGRO RENIR LOS 1500 ANTES SOLICITADO  </t>
  </si>
  <si>
    <t xml:space="preserve">Sustento de pago PPC - Dinero en Mano / HORARIO DE PAGO: Mañana / NOTA: Hoy cancela 200 </t>
  </si>
  <si>
    <t xml:space="preserve">Sustento de pago PPC - Dinero en Mano / HORARIO DE PAGO: Mañana / NOTA: hoy cancela 310 por Bcp </t>
  </si>
  <si>
    <t xml:space="preserve">Sustento de pago PPC - Dinero en Mano / HORARIO DE PAGO: Mañana / NOTA: hoy con 300 y el 20 los 700 restante. </t>
  </si>
  <si>
    <t xml:space="preserve">Sustento de pago PPC - Dinero en Mano / HORARIO DE PAGO: Mañana / NOTA: Hoy estará abonando 500 soles.  </t>
  </si>
  <si>
    <t xml:space="preserve">Sustento de pago PPC - Dinero en Mano / HORARIO DE PAGO: Mañana / NOTA: Hoy estará pagando con la suma de 600 soles, por Yape.  </t>
  </si>
  <si>
    <t>Sustento de pago PPC - Dinero en Mano / HORARIO DE PAGO: Mañana / NOTA: HOY HAR SU PAGO</t>
  </si>
  <si>
    <t>Sustento de pago PPC - Dinero en Mano / HORARIO DE PAGO: Mañana / NOTA: hoy hara pago de adelanto de 500 y diferencia hasta el 30/04</t>
  </si>
  <si>
    <t>Sustento de pago PPC - Dinero en Mano / HORARIO DE PAGO: Mañana / NOTA: hoy pagara 150 y 50 soles para fin de mes</t>
  </si>
  <si>
    <t>Sustento de pago PPC - Dinero en Mano / HORARIO DE PAGO: Mañana / NOTA: Hoy realizara el pago por BCP El importe de 5MIL. / Enviar carta de no adeudo al correo H7ineo@gmail.com</t>
  </si>
  <si>
    <t>Sustento de pago PPC - Dinero en Mano / HORARIO DE PAGO: Mañana / NOTA: HOY TT HARA SU PAGO DE LOS 380 PARA LA CANCELACION DE SU DEUDA SE LE ENVIA INFO AL WHTSAPP</t>
  </si>
  <si>
    <t>Sustento de pago PPC - Dinero en Mano / HORARIO DE PAGO: Mañana / NOTA: hoy tt hara su pago se le envia a cuerdo de pago 650</t>
  </si>
  <si>
    <t>Sustento de pago PPC - Dinero en Mano / HORARIO DE PAGO: Mañana / NOTA: IMPORTE DE 340.000 REALIZADO EN BCP</t>
  </si>
  <si>
    <t>Sustento de pago PPC - Dinero en Mano / HORARIO DE PAGO: Mañana / NOTA: inbound</t>
  </si>
  <si>
    <t>Sustento de pago PPC - Dinero en Mano / HORARIO DE PAGO: Mañana / NOTA: INDICA QUE   LE ENVIEN EL DOCUMENTO A SU CORREO, SI PUEDE PAGARA HOY ANTES DE LAS 5PM SINO YAA SERRÍA MAÑANA A LAS 10AM INDICA.</t>
  </si>
  <si>
    <t xml:space="preserve">Sustento de pago PPC - Dinero en Mano / HORARIO DE PAGO: Mañana / NOTA: Indica que  pagara mañana en el horario de de la  mañana </t>
  </si>
  <si>
    <t xml:space="preserve">Sustento de pago PPC - Dinero en Mano / HORARIO DE PAGO: Mañana / NOTA: indica que ira al banco validar primero y luego pagara // que ahorita esta  yendo a ver unos temas personales en la municipalidad luego pasa  al banco a hacer la validación y pagar </t>
  </si>
  <si>
    <t xml:space="preserve">Sustento de pago PPC - Dinero en Mano / HORARIO DE PAGO: Mañana / NOTA: Indica que pagara con su grati y el miercoles 17/07 tiene dia libre para que pueda pagar </t>
  </si>
  <si>
    <t xml:space="preserve">Sustento de pago PPC - Dinero en Mano / HORARIO DE PAGO: Mañana / NOTA: Indica que solo puede llegar a 4K, se hace consulta con superv  da piso de 4200 para cancelar </t>
  </si>
  <si>
    <t>Sustento de pago PPC - Dinero en Mano / HORARIO DE PAGO: Mañana / NOTA: janeth quispe dice fue credito grupal y q analista le dijo q podia cancelar con la mitad de la deuda se le expica q ddeuda fue transf y solo se negocia con expertis, hara pago min1 por bcp</t>
  </si>
  <si>
    <t>Sustento de pago PPC - Dinero en Mano / HORARIO DE PAGO: Mañana / NOTA: JOSE EXPAREJA SE HACE RESPONSABLE DE PAGAR LA DEUDA LLEGANDO A LA CUDAD CON 397</t>
  </si>
  <si>
    <t xml:space="preserve">Sustento de pago PPC - Dinero en Mano / HORARIO DE PAGO: Mañana / NOTA: liquidación de deuda </t>
  </si>
  <si>
    <t>Sustento de pago PPC - Dinero en Mano / HORARIO DE PAGO: Mañana / NOTA: liquidacion por reclamo</t>
  </si>
  <si>
    <t xml:space="preserve">Sustento de pago PPC - Dinero en Mano / HORARIO DE PAGO: Mañana / NOTA: LIQUIDAR SU DEUDA CON 1000 SOLES, HACE POCO HA ENCONTRADO TRABAJO Y DESEA LIQUIDAR LA MISMA, PARA GARANTIZAR EL PAGO ABONARA EL DÍA DE HOY 200 SOLES Y EL RESTO PARA FIN DE MES </t>
  </si>
  <si>
    <t xml:space="preserve">Sustento de pago PPC - Dinero en Mano / HORARIO DE PAGO: Mañana / NOTA: LIQUIDARA CON 325.00 // </t>
  </si>
  <si>
    <t>12/09 S/50.00</t>
  </si>
  <si>
    <t>30/09 S/275.00</t>
  </si>
  <si>
    <t xml:space="preserve">Sustento de pago PPC - Dinero en Mano / HORARIO DE PAGO: Mañana / NOTA: lo estafaron pero quiere volver a trabajar con los banco se acercar a la ofic a cancelar 1300 a la 5 pm </t>
  </si>
  <si>
    <t>Sustento de pago PPC - Dinero en Mano / HORARIO DE PAGO: Mañana / NOTA: Monto a pagar 400 por agente BCP</t>
  </si>
  <si>
    <t xml:space="preserve">Sustento de pago PPC - Dinero en Mano / HORARIO DE PAGO: Mañana / NOTA: monto aporbado de 2k  se envia acuedrdo wasap </t>
  </si>
  <si>
    <t xml:space="preserve">Sustento de pago PPC - Dinero en Mano / HORARIO DE PAGO: Mañana / NOTA: monto aprobado 750 TT REALIZARA EL PAGO HOY DE 100 Y 650 EL 30/06 se enviara acuerdo de pago   </t>
  </si>
  <si>
    <t xml:space="preserve">Sustento de pago PPC - Dinero en Mano / HORARIO DE PAGO: Mañana / NOTA: MONTO APROBADO DE  1700 TT REALIZO EL PAGO POR TRANFERENCIA BCP ENVIO COMPROBANTE AL WASAP </t>
  </si>
  <si>
    <t>Sustento de pago PPC - Dinero en Mano / HORARIO DE PAGO: Mañana / NOTA: MONTO APROBADO DE  5,871.21</t>
  </si>
  <si>
    <t xml:space="preserve">TT MENCIONA QUE SE PRESTARA DE SU HERMANA PARA QUE PUEDA  REALIZARA ABONO DE 871.21 EL DIA DE MAÑANA 04.07 Y LO RESTANTE 5K EL DIA 15.07  </t>
  </si>
  <si>
    <t>04.07  = 871.21</t>
  </si>
  <si>
    <t>15.07 = 5000</t>
  </si>
  <si>
    <t xml:space="preserve">Sustento de pago PPC - Dinero en Mano / HORARIO DE PAGO: Mañana / NOTA: MONTO APROBADO DE 1300   </t>
  </si>
  <si>
    <t xml:space="preserve">Sustento de pago PPC - Dinero en Mano / HORARIO DE PAGO: Mañana / NOTA: MONTO APROBADO DE 1400 TT CANCELA HOY ENVIAR CARTA NO ADEUDO WASAP </t>
  </si>
  <si>
    <t xml:space="preserve">Sustento de pago PPC - Dinero en Mano / HORARIO DE PAGO: Mañana / NOTA: MONTO APROBADO DE 1500 TE REALIZARA ABONO DE 200 HOY LA DIFERENCIA 1300 EL DIA 30/06 PARA COMPLETAR EL MONTO  DE CANCELACION </t>
  </si>
  <si>
    <t xml:space="preserve">Sustento de pago PPC - Dinero en Mano / HORARIO DE PAGO: Mañana / NOTA: MONTO APROBADO DE 1800 TT CANCELA POR TRANFERENCIA A BBVA </t>
  </si>
  <si>
    <t xml:space="preserve">Sustento de pago PPC - Dinero en Mano / HORARIO DE PAGO: Mañana / NOTA: MONTO APROBADO DE 1K PARA CANCELACIÓN DE CUENTA   </t>
  </si>
  <si>
    <t>Sustento de pago PPC - Dinero en Mano / HORARIO DE PAGO: Mañana / NOTA: MONTO APROBADO DE 2200 TT CANCELA HOY ENVIA COMPROBANTE PAGO  SOLICITA CARTA NO ADEUDO A SU CORREO EL DIA DE MAÑANA Jeanpier.160292@gmail.com</t>
  </si>
  <si>
    <t xml:space="preserve">Sustento de pago PPC - Dinero en Mano / HORARIO DE PAGO: Mañana / NOTA: MONTO APROBADO DE 2500 TT CANCELA MONTO 2K 15/05 Y LO RESTANTE 500 EL 30/05 </t>
  </si>
  <si>
    <t xml:space="preserve">Sustento de pago PPC - Dinero en Mano / HORARIO DE PAGO: Mañana / NOTA: MONTO APROBADO DE 3K TT REALIZO EL PAGO SE ENVIARA CARTA DE NO ADEUDO </t>
  </si>
  <si>
    <t xml:space="preserve">Sustento de pago PPC - Dinero en Mano / HORARIO DE PAGO: Mañana / NOTA: monto aprobado de 400  se envio compromiso de pago al wasap </t>
  </si>
  <si>
    <t xml:space="preserve">Sustento de pago PPC - Dinero en Mano / HORARIO DE PAGO: Mañana / NOTA: MONTO APROBADO DE 500 TT REALIZO EL PAGO ENVIO COMPROBANTE AL WASAP </t>
  </si>
  <si>
    <t xml:space="preserve">Sustento de pago PPC - Dinero en Mano / HORARIO DE PAGO: Mañana / NOTA: monto aprobado de 7k  para pago inmediato </t>
  </si>
  <si>
    <t xml:space="preserve">Sustento de pago PPC - Dinero en Mano / HORARIO DE PAGO: Mañana / NOTA: MONTO APROBADO DE 800 TT REALIZA PAGO POR APP BBVA </t>
  </si>
  <si>
    <t xml:space="preserve">Sustento de pago PPC - Dinero en Mano / HORARIO DE PAGO: Mañana / NOTA: MONTO APROBADO PARA PAGO DE 1800 EL 26/05 SE ENVIA ACUERDO DE PAGO AL WASAP Y CORREO </t>
  </si>
  <si>
    <t>Sustento de pago PPC - Dinero en Mano / HORARIO DE PAGO: Mañana / NOTA: MONTO APROBADO TT Solicita realizar el pago de la deuda de la siguiente manera:                           S/4,713.87 el 08/05S/ 5,000.00 el 18/05S/ 5,000.00 el 30/05</t>
  </si>
  <si>
    <t>Sustento de pago PPC - Dinero en Mano / HORARIO DE PAGO: Mañana / NOTA: MONTO AUTORIZADO POR SUPERVISIÓN.</t>
  </si>
  <si>
    <t xml:space="preserve">Sustento de pago PPC - Dinero en Mano / HORARIO DE PAGO: Mañana / NOTA: MONTO DE 800 APROBADO  TT REALIZA EL PAGO PARA LA CANCELACION TOTAL DE SU DEUDA SE ENVIAR CARTA NO ADEUDO AL WASAP </t>
  </si>
  <si>
    <t>Sustento de pago PPC - Dinero en Mano / HORARIO DE PAGO: Mañana / NOTA: Monto negociado:  7000 soles</t>
  </si>
  <si>
    <t>Sustento: Solicitó prestamo</t>
  </si>
  <si>
    <t>Motivo de no pago:Problemas economicos debido a extorsion en chimbote</t>
  </si>
  <si>
    <t>Fecha:30-07</t>
  </si>
  <si>
    <t>Propuesta: 7000 soles</t>
  </si>
  <si>
    <t>Sustento de pago PPC - Dinero en Mano / HORARIO DE PAGO: Mañana / NOTA: MONTO NEGOCIADO:2700</t>
  </si>
  <si>
    <t>Sustento: negoc - chacra</t>
  </si>
  <si>
    <t xml:space="preserve">Motivo de no pago: - </t>
  </si>
  <si>
    <t>Fecha: 20-06</t>
  </si>
  <si>
    <t>Propuesta: saldo ppm  2700</t>
  </si>
  <si>
    <t xml:space="preserve">Sustento de pago PPC - Dinero en Mano / HORARIO DE PAGO: Mañana / NOTA: Monto total negociado 150// se le brindó dt dk 195.69 y min1 150, ya que cliente indica que le llego un mensaje con un descuento  y se le brindó el descuento a 150  / no cancelo porque se quedó si  trabajo y actualmente quiere ponerse al día dando el día de hoy 24 el 50% de adelanto y el 30 de octubre el otro 50%  cancelará a base de ahorros de su actual trabajo </t>
  </si>
  <si>
    <t xml:space="preserve">Sustento de pago PPC - Dinero en Mano / HORARIO DE PAGO: Mañana / NOTA: MONTO TOTAL NEGOCIADO 324 SOLES // CLIENTA INDICA QUE ANTERIOEMEMTE NO PUDO CONSEGUIR EL DIENRO QUE LE OFRECIERON PERO ESTA VEZ SI QUIERE CANCERLAR DEUDA SE LE BRINDA DK 775 MIN2 486 SOLES INDICA QUE ABONARA COMO ADELANTO 100 SOLES EL DIA 15 DE AGOSTO Y 224 SOLES EL 29 DE AGOSTO PARA LA CANCELACION TOTAL. SE LE ENVIA DOCUMENTOS CORRESPONDIENTES </t>
  </si>
  <si>
    <t>Sustento de pago PPC - Dinero en Mano / HORARIO DE PAGO: Mañana / NOTA: MONTO TOTAL NEGOCIADO: SE NEGOCIA DT S/825.13 Y DK S/536.72 CAMPAÑA S/360.00</t>
  </si>
  <si>
    <t xml:space="preserve">MOTIVO DE NO PAGO:TEMAS DE SALUD </t>
  </si>
  <si>
    <t>SUSTENTO DE PAGO: DINERO EN CUENTA BCP</t>
  </si>
  <si>
    <t>FECHA DE PAGO:02-06-2026</t>
  </si>
  <si>
    <t>MONTO DE PROPUESTA: TT COMENTA QUE INCUMPLIO ANTERIORMENTE POR QUE TEMAS DE SALUD HOY DIPONE DEL DINERO S/360.00 BCP APP</t>
  </si>
  <si>
    <t xml:space="preserve">Sustento de pago PPC - Dinero en Mano / HORARIO DE PAGO: Mañana / NOTA: Motivo de no cierre - Indisponible para contestar llamada / NOTA: MONTO TOTAL NEGOCIADO: SE NEGOCIA POR DT 8,666.47, DK 7,065.39 CAMPAÑA 3000.00 1 CUOTA COMENTA QUE TUVO GASTOS DE SALUD SU PROPUESTA SIEMPRE FUE DE S/1000.00 PERO SE LE INFORMA POR WSP QUE NO ES VIABLE POCO PROBABLE QUE LE DEN ESA FACILIDAD LOGRA MEJORAR HASTA 1500.00 1 CUOTA **NOTA**: TITULAR HARA EL ABONO 19-036-2026MOTIVO DE NO PAGO:GASTOS familiaresSUSTENTO DE PAGO:  dinero en cuenta FECHA DE PAGO: 19-03-2026MONTO PROPUESTA: TT ES EVASIVA SOLO RESPONDE QUE YA HIZO SU PROPUESTA SE LE EXPLICA QUE ES UN MONTO MINIMO 1000 QUE MEJORE Y CONFIRME PODER HASTA 1500 ES TODO Y CASI TODO SU INGRESO SE VA AHI LO HARA POR TRANSFERENCIA INMEDIATA enviara comprobante </t>
  </si>
  <si>
    <t>Sustento de pago PPC - Dinero en Mano / HORARIO DE PAGO: Mañana / NOTA: Motivo de no cierre - Se eleva excepción / NOTA: MONTO TOTAL NEGOCIADO: SE NEGOCIA DT S/1,202.05 Y DK S/845.13 CAMPAÑA S/600MOTIVO DE NO PAGO: TEMAS ECONOMICOS SUSTENTO DE PAGO: HABERESFECHA DE PAGO: 04-06-2026MONTO DE PROPUESTA: TITULAR COMENTA QUE QUE SOLO DISPONE DE 350 LOGRA MEJORAR 400 HOY POR escotibank</t>
  </si>
  <si>
    <t>Sustento de pago PPC - Dinero en Mano / HORARIO DE PAGO: Mañana / NOTA: Motivo de no cierre - Se eleva excepción / NOTA: MONTO TOTAL NEGOCIADO: SE NEGOCIA DT S/14,193.44 Y DK S/ 11,085.52CAMPAÑA S/4500MOTIVO DE NO PAGO:GASTOS familires y reduccion de ingresos SUSTENTO DE PAGO:  DINERO EN CUENTAFECHA DE PAGO:06-05-2026MONTO DE PROPUESTA: TT SOLICITA APOYO  PROPONE 1500 SE LE SOLITO MEJORA HASTA 2500 COMO MINIMO SE EXPLICA QUE ES LO MINNIMO QUE M PERMITE SUBIR AL SISTEMA SE CONSULTO PISO DE SUPER  HACE PO RTRANFERENCI BCP</t>
  </si>
  <si>
    <t>Sustento de pago PPC - Dinero en Mano / HORARIO DE PAGO: Mañana / NOTA: Motivo de no cierre - Se eleva excepción / NOTA: MONTO TOTAL NEGOCIADO: SE NEGOCIA DT S/5,243.78 Y DK S/4,267.09 CAMPAÑA S/2095MOTIVO DE NO PAGO: sin trabajo fijo y familiar enfermo asume SUSTENTO DE PAGO:  dinero en cuenta FECHA DE PAGO: 13-05-2026MONTO DE PROPUESTA: TT COMENTA QUE NO TIENE TRABAJO ESTABLE COMENTA QUE NO PUEDE MEJORAR PROPONE 800 SE LE EXPLICA QUE NOS PERMITE SUBIR ESE MONTO ES MUY POCO NO QUIERE SE LE COMENTO QUE ANTES PROPUSO 1000 NO O TIENE ASUME LA ENFERMEDAD DE SU FAMILIAR PUEDE HASTA 900 COMO MINIMO  SE EXALTA SI LE DAN ESA FACILIDAD LO HACE NO CUENTA CON MAS NADI LO PUEDE REPALDAR abona por bcp</t>
  </si>
  <si>
    <t>Sustento de pago PPC - Dinero en Mano / HORARIO DE PAGO: Mañana / NOTA: PAGA EL DIA VIERNES CON SEGUIRIDAD</t>
  </si>
  <si>
    <t>Sustento de pago PPC - Dinero en Mano / HORARIO DE PAGO: Mañana / NOTA: paga en misma agencia ct</t>
  </si>
  <si>
    <t>Sustento de pago PPC - Dinero en Mano / HORARIO DE PAGO: Mañana / NOTA: paga hoy por via BCP</t>
  </si>
  <si>
    <t xml:space="preserve">Sustento de pago PPC - Dinero en Mano / HORARIO DE PAGO: Mañana / NOTA: PAGA HOY S/ 1500 Y EL MARTES 30 S/ 1400 </t>
  </si>
  <si>
    <t xml:space="preserve">Sustento de pago PPC - Dinero en Mano / HORARIO DE PAGO: Mañana / NOTA: paga mediante el bco ibk </t>
  </si>
  <si>
    <t>Sustento de pago PPC - Dinero en Mano / HORARIO DE PAGO: Mañana / NOTA: paga via BCP</t>
  </si>
  <si>
    <t>Sustento de pago PPC - Dinero en Mano / HORARIO DE PAGO: Mañana / NOTA: PAGADO EL 14/01 VIA BCP A LAS 7:25</t>
  </si>
  <si>
    <t xml:space="preserve">Sustento de pago PPC - Dinero en Mano / HORARIO DE PAGO: Mañana / NOTA: pagara 350 soles </t>
  </si>
  <si>
    <t xml:space="preserve">Sustento de pago PPC - Dinero en Mano / HORARIO DE PAGO: Mañana / NOTA: Pagara con descuento especial, realizo el pago por transferencia en Scotiabank </t>
  </si>
  <si>
    <t>Sustento de pago PPC - Dinero en Mano / HORARIO DE PAGO: Mañana / NOTA: PAGARA CON DINERO EN MANO</t>
  </si>
  <si>
    <t>Sustento de pago PPC - Dinero en Mano / HORARIO DE PAGO: Mañana / NOTA: PAGARA POR AGENTE INTERBANK</t>
  </si>
  <si>
    <t>Sustento de pago PPC - Dinero en Mano / HORARIO DE PAGO: Mañana / NOTA: pagara por cuentas</t>
  </si>
  <si>
    <t xml:space="preserve">Sustento de pago PPC - Dinero en Mano / HORARIO DE PAGO: Mañana / NOTA: PAGARA POR EL APLICATIVO BCP PAGO POR SERVICIO. </t>
  </si>
  <si>
    <t>Sustento de pago PPC - Dinero en Mano / HORARIO DE PAGO: Mañana / NOTA: pagara por la tarde 252 en agente bcp</t>
  </si>
  <si>
    <t>Sustento de pago PPC - Dinero en Mano / HORARIO DE PAGO: Mañana / NOTA: PAGARA POR TRANSFERENCIA</t>
  </si>
  <si>
    <t>Sustento de pago PPC - Dinero en Mano / HORARIO DE PAGO: Mañana / NOTA: pago</t>
  </si>
  <si>
    <t xml:space="preserve">Sustento de pago PPC - Dinero en Mano / HORARIO DE PAGO: Mañana / NOTA: PAGÓ </t>
  </si>
  <si>
    <t xml:space="preserve">Sustento de pago PPC - Dinero en Mano / HORARIO DE PAGO: Mañana / NOTA: pago 160 el 21.03 y lo demas a fines de mes </t>
  </si>
  <si>
    <t>Sustento de pago PPC - Dinero en Mano / HORARIO DE PAGO: Mañana / NOTA: pagó 70, completa lo sigunete</t>
  </si>
  <si>
    <t>Sustento de pago PPC - Dinero en Mano / HORARIO DE PAGO: Mañana / NOTA: pago ayer</t>
  </si>
  <si>
    <t>Sustento de pago PPC - Dinero en Mano / HORARIO DE PAGO: Mañana / NOTA: pago como adelanto 100 soles en bcp hoy y resto fin de mes</t>
  </si>
  <si>
    <t xml:space="preserve">Sustento de pago PPC - Dinero en Mano / HORARIO DE PAGO: Mañana / NOTA: pago con 100 dinero en mano </t>
  </si>
  <si>
    <t>Sustento de pago PPC - Dinero en Mano / HORARIO DE PAGO: Mañana / NOTA: PAGO DE 2K PARA HOY 11/05</t>
  </si>
  <si>
    <t xml:space="preserve">Sustento de pago PPC - Dinero en Mano / HORARIO DE PAGO: Mañana / NOTA: Pago de 500 </t>
  </si>
  <si>
    <t xml:space="preserve">Sustento de pago PPC - Dinero en Mano / HORARIO DE PAGO: Mañana / NOTA: PAGO DE ULTIMA CUOTA DIA 25/11 </t>
  </si>
  <si>
    <t>Sustento de pago PPC - Dinero en Mano / HORARIO DE PAGO: Mañana / NOTA: pagó el cliente a  mayra</t>
  </si>
  <si>
    <t xml:space="preserve">Sustento de pago PPC - Dinero en Mano / HORARIO DE PAGO: Mañana / NOTA: pago por banco bcp </t>
  </si>
  <si>
    <t xml:space="preserve">Sustento de pago PPC - Dinero en Mano / HORARIO DE PAGO: Mañana / NOTA: Pago por yape </t>
  </si>
  <si>
    <t>Sustento de pago PPC - Dinero en Mano / HORARIO DE PAGO: Mañana / NOTA: pago total</t>
  </si>
  <si>
    <t>Sustento de pago PPC - Dinero en Mano / HORARIO DE PAGO: Mañana / NOTA: papa del tt asumira deuda y ofrece cancelar con 20k y 3k adicionales producto del prestamo de un familiar // papa cancelo el dia de ayer</t>
  </si>
  <si>
    <t xml:space="preserve">Sustento de pago PPC - Dinero en Mano / HORARIO DE PAGO: Mañana / NOTA: Pareja Liz abono S/175.00 y el Lunes 10 abona S/ 175.00 </t>
  </si>
  <si>
    <t>Sustento de pago PPC - Dinero en Mano / HORARIO DE PAGO: Mañana / NOTA: PCC 700 PAGA EN 2 PARTES 23/04 350 Y 30/04 350 3PM PIR BCP</t>
  </si>
  <si>
    <t xml:space="preserve">Sustento de pago PPC - Dinero en Mano / HORARIO DE PAGO: Mañana / NOTA: Pgara el dia 28 de Nov. </t>
  </si>
  <si>
    <t>Sustento de pago PPC - Dinero en Mano / HORARIO DE PAGO: Mañana / NOTA: PISO AUTORIZADO PARA QUE CLIENTE PUEDA CANCELAR CON LA CANTIDAD DE 10000 SOLES. PAGA 2000 SOLES HOY 16/08/24, 3000 SOLES EL 19/08 Y 5000 SOLES EL 29/08. SE ENVIÓ ACUERDO PARA LA CANCELACIÓN.</t>
  </si>
  <si>
    <t xml:space="preserve">Sustento de pago PPC - Dinero en Mano / HORARIO DE PAGO: Mañana / NOTA: POR EVALUACIÓN EXCEPCIONAL, SE CONSIDERA EL PAGO DEL MONTO DE 7000 SOLES, SOLO CON LA CONDICIÓN DE QUE CLIENTE ABONE EL MONTO DE 3000 SOLES HASTA EL 02/12 Y PAGUE 4000 HASTA EL DÍA 20/12. </t>
  </si>
  <si>
    <t>Sustento de pago PPC - Dinero en Mano / HORARIO DE PAGO: Mañana / NOTA: PPC  500 SOLES UTLIMA CUOTA DE PPM EN OF CREDINKA LUNES  30/9</t>
  </si>
  <si>
    <t>Sustento de pago PPC - Dinero en Mano / HORARIO DE PAGO: Mañana / NOTA: PPC // 200.00// 09 NOV</t>
  </si>
  <si>
    <t>Sustento de pago PPC - Dinero en Mano / HORARIO DE PAGO: Mañana / NOTA: PPC // 428.00// 27/09</t>
  </si>
  <si>
    <t>Sustento de pago PPC - Dinero en Mano / HORARIO DE PAGO: Mañana / NOTA: PPC 01 AGOSTO 200.00</t>
  </si>
  <si>
    <t>Sustento de pago PPC - Dinero en Mano / HORARIO DE PAGO: Mañana / NOTA: ppc 100 excepción</t>
  </si>
  <si>
    <t>Sustento de pago PPC - Dinero en Mano / HORARIO DE PAGO: Mañana / NOTA: PPC 1100</t>
  </si>
  <si>
    <t xml:space="preserve">Sustento de pago PPC - Dinero en Mano / HORARIO DE PAGO: Mañana / NOTA: PPC 1100 SOLES X OF  CREDINKA VIERNES  5/7 </t>
  </si>
  <si>
    <t>Sustento de pago PPC - Dinero en Mano / HORARIO DE PAGO: Mañana / NOTA: PPC 14 AGOSTO 1000</t>
  </si>
  <si>
    <t xml:space="preserve">Sustento de pago PPC - Dinero en Mano / HORARIO DE PAGO: Mañana / NOTA: PPC 3000 SOLES  HOY ABONA 2000 Y DIFERENCIA  FIN DE MES  EN OF  CREDINKA JULIACA </t>
  </si>
  <si>
    <t xml:space="preserve">Sustento de pago PPC - Dinero en Mano / HORARIO DE PAGO: Mañana / NOTA: PPC 3200 EN OF CREDINKA RECIBIO SU AFP </t>
  </si>
  <si>
    <t>Sustento de pago PPC - Dinero en Mano / HORARIO DE PAGO: Mañana / NOTA: PPC 365.10 09 AGOSTO</t>
  </si>
  <si>
    <t>Sustento de pago PPC - Dinero en Mano / HORARIO DE PAGO: Mañana / NOTA: PPC 400.00 24 SEPT</t>
  </si>
  <si>
    <t>Sustento de pago PPC - Dinero en Mano / HORARIO DE PAGO: Mañana / NOTA: PPC 400.00 30 JUL EXCEPCION</t>
  </si>
  <si>
    <t xml:space="preserve">Sustento de pago PPC - Dinero en Mano / HORARIO DE PAGO: Mañana / NOTA: PPC 437 HOY  ANTES DE LAS 5PM AGENTE BBVA </t>
  </si>
  <si>
    <t>Sustento de pago PPC - Dinero en Mano / HORARIO DE PAGO: Mañana / NOTA: ppc 450 20 agosto</t>
  </si>
  <si>
    <t>Sustento de pago PPC - Dinero en Mano / HORARIO DE PAGO: Mañana / NOTA: PPC 50.00 // 30 JUL</t>
  </si>
  <si>
    <t>Sustento de pago PPC - Dinero en Mano / HORARIO DE PAGO: Mañana / NOTA: PPC CONFIRMA WTSP LIQUIDA CON 300 COMO MÁXIMO EL SABADO 13 JULIO // TT EN EXTRANJERO ENVIARA A HERMANA</t>
  </si>
  <si>
    <t xml:space="preserve">Sustento de pago PPC - Dinero en Mano / HORARIO DE PAGO: Mañana / NOTA: PPC DE S/1.500 SOLES  POR TRANFERENCIA INTERBANK </t>
  </si>
  <si>
    <t xml:space="preserve">Sustento de pago PPC - Dinero en Mano / HORARIO DE PAGO: Mañana / NOTA: PPC por S/1000 soles  por  app </t>
  </si>
  <si>
    <t xml:space="preserve">Sustento de pago PPC - Dinero en Mano / HORARIO DE PAGO: Mañana / NOTA: ppc por s/2.000 soles  hoy martes 5/5 por  la tarde  x tranferencia  a BCP </t>
  </si>
  <si>
    <t xml:space="preserve">Sustento de pago PPC - Dinero en Mano / HORARIO DE PAGO: Mañana / NOTA: PPC S/1.100 SOLES ABONA DIA  13/11 -   S/200 SOLES  Y FIN DE  MES  LA  DIFERENCIA S/900 SOLES. </t>
  </si>
  <si>
    <t>Sustento de pago PPC - Dinero en Mano / HORARIO DE PAGO: Mañana / NOTA: PPC S/1387.20 CAMPAÑA ESPECIAL EN CAJA TRUJILLO</t>
  </si>
  <si>
    <t xml:space="preserve">Sustento de pago PPC - Dinero en Mano / HORARIO DE PAGO: Mañana / NOTA: PPC S/1500 SOLES LUNES 6/1 EN OF  CAJA LOS  ANDES  DE  HUANCAYO </t>
  </si>
  <si>
    <t>Sustento de pago PPC - Dinero en Mano / HORARIO DE PAGO: Mañana / NOTA: PPC S/2.800 SOLES  X  APP  IBK HOY 15/4</t>
  </si>
  <si>
    <t xml:space="preserve">Sustento de pago PPC - Dinero en Mano / HORARIO DE PAGO: Mañana / NOTA: PPC S/211 X  APP  BCP VIERNES 13/6 </t>
  </si>
  <si>
    <t>Sustento de pago PPC - Dinero en Mano / HORARIO DE PAGO: Mañana / NOTA: PPC S/500 SOLES  EN CAJA TRUJILLO VIERNES 21/2</t>
  </si>
  <si>
    <t xml:space="preserve">Sustento de pago PPC - Dinero en Mano / HORARIO DE PAGO: Mañana / NOTA: PPC S/600 SOLES X  AGENTE </t>
  </si>
  <si>
    <t>Sustento de pago PPC - Dinero en Mano / HORARIO DE PAGO: Mañana / NOTA: PPC S/650 SOLES EN CAJA LOS ANDES 30/10</t>
  </si>
  <si>
    <t xml:space="preserve">Sustento de pago PPC - Dinero en Mano / HORARIO DE PAGO: Mañana / NOTA: PPC S/800 SOLES  LUNES 10/2 EN PF  CAJA LOS  ANDES </t>
  </si>
  <si>
    <t xml:space="preserve">Sustento de pago PPC - Dinero en Mano / HORARIO DE PAGO: Mañana / NOTA: ppc x 2000 para sabado 30 para las 12:00 </t>
  </si>
  <si>
    <t>Sustento de pago PPC - Dinero en Mano / HORARIO DE PAGO: Mañana / NOTA: PPC/ 355.00 // 16 OCT</t>
  </si>
  <si>
    <t>Sustento de pago PPC - Dinero en Mano / HORARIO DE PAGO: Mañana / NOTA: PPC// 03/10/2024 // 110</t>
  </si>
  <si>
    <t>Sustento de pago PPC - Dinero en Mano / HORARIO DE PAGO: Mañana / NOTA: PPC// 350.00 21 AGOSTO EXCEPCION</t>
  </si>
  <si>
    <t>Sustento de pago PPC - Dinero en Mano / HORARIO DE PAGO: Mañana / NOTA: PPC// 373 // ADELANTARA 100 SOLES SABADO 19 DE OCTUBRE Y RESTANTE  DE 273 31 OCTUBRE</t>
  </si>
  <si>
    <t>Sustento de pago PPC - Dinero en Mano / HORARIO DE PAGO: Mañana / NOTA: PPC// 437.00 12 AGOSTO</t>
  </si>
  <si>
    <t>Sustento de pago PPC - Dinero en Mano / HORARIO DE PAGO: Mañana / NOTA: PPC// 543.00// 03/10 // PRE APROBADO POR MELITA, MODIFICAR MONTO MIN 1</t>
  </si>
  <si>
    <t>Sustento de pago PPC - Dinero en Mano / HORARIO DE PAGO: Mañana / NOTA: PPC// 700.00 // 30/09/2024</t>
  </si>
  <si>
    <t>Sustento de pago PPC - Dinero en Mano / HORARIO DE PAGO: Mañana / NOTA: previa consulta se llega acuerdo para pagar 1100 la cual pago 550 el 26.06 y 550 el 28.06</t>
  </si>
  <si>
    <t>Sustento de pago PPC - Dinero en Mano / HORARIO DE PAGO: Mañana / NOTA: PRIMO  ASU LA RESPONSABILIDAD  Y PAGARA 2000</t>
  </si>
  <si>
    <t>Sustento de pago PPC - Dinero en Mano / HORARIO DE PAGO: Mañana / NOTA: primo nilton pagara hasta el 14 los 700 ce en of andes cutervo</t>
  </si>
  <si>
    <t>Sustento de pago PPC - Dinero en Mano / HORARIO DE PAGO: Mañana / NOTA: PROP APROBADA TITULAR ENVIA CORREO  omarzc_darh@hotmail.com  PARA EL ENVIO DEL COMPROMISO, SE SOLICITA APOYO DE SUPERVISORA PARA EL ENVIO DEL MISMO</t>
  </si>
  <si>
    <t xml:space="preserve">Sustento de pago PPC - Dinero en Mano / HORARIO DE PAGO: Mañana / NOTA: PROP. APROBADA // TT CANCELA EL 17-06 EL MONTO DE S/1000 EN CDK DE CAJAMARCA A LAS 9:30  -  10AM / SE LE EXPLICA PROCESO DE PAGO / </t>
  </si>
  <si>
    <t>Sustento de pago PPC - Dinero en Mano / HORARIO DE PAGO: Mañana / NOTA: PROP. APROBADA POR EL MONTO DE S/ 5,000 TITULAR ABONARIA HOY 21/05  S/ 4,500 Y MAÑANA 22/05 EL MONTO DE S/ 500.</t>
  </si>
  <si>
    <t>Sustento de pago PPC - Dinero en Mano / HORARIO DE PAGO: Mañana / NOTA: PROP. APROBADA. SRA ENVIA CORREO: lilianapilar3068@hotmail.com PARA EL ENVIO DEL COMPROMISO, SE SOLICITA APOYO A SUPERVISOR PARA EL ENVIO DEL MISMO</t>
  </si>
  <si>
    <t>Sustento de pago PPC - Dinero en Mano / HORARIO DE PAGO: Mañana / NOTA: PROPUESTA APROBADA MONTO 380 SOLES HARA PAGO EL 13/02/2025   SE ENVIA METODOS DE PAGO POR WSP</t>
  </si>
  <si>
    <t xml:space="preserve">Sustento de pago PPC - Dinero en Mano / HORARIO DE PAGO: Mañana / NOTA: propuesta aprobada titular pagara hoy 200 y restante 230 a fdm en comunicacion se envio documentacion </t>
  </si>
  <si>
    <t>Sustento de pago PPC - Dinero en Mano / HORARIO DE PAGO: Mañana / NOTA: REALIZA CANCELACIÓN TOTAL DE DEUDA POR EXCEPCIÓN DE S/600, APROBADO POR MELINA. SE INDICA QUE PRIMERO REALICE CANCELACIÓN.</t>
  </si>
  <si>
    <t>Sustento de pago PPC - Dinero en Mano / HORARIO DE PAGO: Mañana / NOTA: realiza pago en ibk</t>
  </si>
  <si>
    <t>Sustento de pago PPC - Dinero en Mano / HORARIO DE PAGO: Mañana / NOTA: Realizará  pago por transferencia.</t>
  </si>
  <si>
    <t>Sustento de pago PPC - Dinero en Mano / HORARIO DE PAGO: Mañana / NOTA: Realizo el pago por Bcp S/ 450.00</t>
  </si>
  <si>
    <t>Sustento de pago PPC - Dinero en Mano / HORARIO DE PAGO: Mañana / NOTA: Realizo la entrega del cheque de Gerencia de Scotiabank.</t>
  </si>
  <si>
    <t>Sustento de pago PPC - Dinero en Mano / HORARIO DE PAGO: Mañana / NOTA: Responsable de pago 45947000 RONALD MICHAEL TAYPE ESPINOZA indica que abonará a las 10 am, se envía compromiso de pago</t>
  </si>
  <si>
    <t>Sustento de pago PPC - Dinero en Mano / HORARIO DE PAGO: Mañana / NOTA: Responsable de pago cancela por agente.</t>
  </si>
  <si>
    <t>Sustento de pago PPC - Dinero en Mano / HORARIO DE PAGO: Mañana / NOTA: responsable de pago JOSE CAZORLA ORTEGA con DNI 72179010 pagará los 390</t>
  </si>
  <si>
    <t xml:space="preserve">Sustento de pago PPC - Dinero en Mano / HORARIO DE PAGO: Mañana / NOTA: Responsable henry confirma pago por el banco ibk </t>
  </si>
  <si>
    <t xml:space="preserve">Sustento de pago PPC - Dinero en Mano / HORARIO DE PAGO: Mañana / NOTA: Responsable Hermano Noel Cespedes realizo el pago de 200.00 por BCP </t>
  </si>
  <si>
    <t>Sustento de pago PPC - Dinero en Mano / HORARIO DE PAGO: Mañana / NOTA: restante fin de mes</t>
  </si>
  <si>
    <t>Sustento de pago PPC - Dinero en Mano / HORARIO DE PAGO: Mañana / NOTA: reunió 500 soles para cancelar deuda, prestamo de su mamá</t>
  </si>
  <si>
    <t xml:space="preserve">Sustento de pago PPC - Dinero en Mano / HORARIO DE PAGO: Mañana / NOTA: REYNALDOCHIRINOS@GMAIL.COM  </t>
  </si>
  <si>
    <t>Sustento de pago PPC - Dinero en Mano / HORARIO DE PAGO: Mañana / NOTA: SARELY FERRER HUAMAN DNI  60549227 /  ENCARGADA DE DEUDA. REALIZARA CAN E CAJA TRU CON 510.</t>
  </si>
  <si>
    <t>Sustento de pago PPC - Dinero en Mano / HORARIO DE PAGO: Mañana / NOTA: SE  COMENTA A  TT QUE SE ARPUEBA POR UNICA VEZ  LA SUMA DE 5K COMO CANCELACION, SIENDO HOY EL PRIMER PAGO DE S/2500 Y LA DIFF PARA EL 31/12.</t>
  </si>
  <si>
    <t xml:space="preserve">Sustento de pago PPC - Dinero en Mano / HORARIO DE PAGO: Mañana / NOTA: Se  compromete a pagar la suma  de S/ 3,800 hasta el 14.11 con la CTS, se coordina para que el 13.11 se envie el acuerdo de pago. </t>
  </si>
  <si>
    <t>Sustento de pago PPC - Dinero en Mano / HORARIO DE PAGO: Mañana / NOTA: SE ACEPTA EL MONTO DE 6000 SOLES COMO MONTO CANCELACIÓN. CLIENTE DEBE PAGAR A MAS TARDAR EL DÍA 18/01 AL MEDIO DÍA.</t>
  </si>
  <si>
    <t xml:space="preserve">Sustento de pago PPC - Dinero en Mano / HORARIO DE PAGO: Mañana / NOTA: se acepta excepción por monto s/900 lo hara por yape o por transferencia </t>
  </si>
  <si>
    <t>Sustento de pago PPC - Dinero en Mano / HORARIO DE PAGO: Mañana / NOTA: SE ACEPTA LOS 5000 SOLES, CLIENTE ABONARA LOS 500 SOLES COMO MONTO DE GARANTIA. PAGA LA TOTALIDAD.</t>
  </si>
  <si>
    <t>SE ACEPTA LA SOLICITUD.</t>
  </si>
  <si>
    <t>Sustento de pago PPC - Dinero en Mano / HORARIO DE PAGO: Mañana / NOTA: SE ACEPTO LA CANCELACIÓN POR UN MONTO DE 1500.</t>
  </si>
  <si>
    <t>Sustento de pago PPC - Dinero en Mano / HORARIO DE PAGO: Mañana / NOTA: SE ACEPTO MONTO DE 13000 SOLES PARA PODER REALIZAR LA CANCELCIÓN. CLIENTE REALIZARA DEPOSITO DE 2000 SOLES EL DÍA DE HOY Y LOS OTROS 11000 SOLES LOS ABONARA EL DÍA 14/12.</t>
  </si>
  <si>
    <t>Sustento de pago PPC - Dinero en Mano / HORARIO DE PAGO: Mañana / NOTA: SE ACEPTO PAGO DE 3200 PARA EL MONTO CANCELACIÓN. CLIENTE MENCIONA QUE REALIZARA EL DEPOSITO POR BANCA BCP</t>
  </si>
  <si>
    <t xml:space="preserve">Sustento de pago PPC - Dinero en Mano / HORARIO DE PAGO: Mañana / NOTA: Se acercara al banco bbva mañana 9am </t>
  </si>
  <si>
    <t>Sustento de pago PPC - Dinero en Mano / HORARIO DE PAGO: Mañana / NOTA: SE ACOGE A EXCEPCION , CLIENTE VIAJO PERO REGRESARA EL VIERNES O SABADO PARA PODERREALIZAR ELPAGO DE S/500.00 SOLES  ANTES DEL LUNES 21  CANCELA// DK 3,755.59</t>
  </si>
  <si>
    <t>Sustento de pago PPC - Dinero en Mano / HORARIO DE PAGO: Mañana / NOTA: SE AGENDA PPCPARA EL 25 DE JUNIO IMPORTE DE 2366</t>
  </si>
  <si>
    <t>Sustento de pago PPC - Dinero en Mano / HORARIO DE PAGO: Mañana / NOTA: se aprobo excepcion solicita el dia de mañana liquidar ya que hoy se le presento un imprevisto</t>
  </si>
  <si>
    <t xml:space="preserve">Sustento de pago PPC - Dinero en Mano / HORARIO DE PAGO: Mañana / NOTA: se aprobo ppt </t>
  </si>
  <si>
    <t xml:space="preserve">Sustento de pago PPC - Dinero en Mano / HORARIO DE PAGO: Mañana / NOTA: se aprobó ppt </t>
  </si>
  <si>
    <t>Sustento de pago PPC - Dinero en Mano / HORARIO DE PAGO: Mañana / NOTA: se aprobó ppt del 07/05</t>
  </si>
  <si>
    <t>Sustento de pago PPC - Dinero en Mano / HORARIO DE PAGO: Mañana / NOTA: se aprobo propuesta por 9000 titular pagara 4mil el dia de hoy y 5mil el 27/02</t>
  </si>
  <si>
    <t xml:space="preserve">Sustento de pago PPC - Dinero en Mano / HORARIO DE PAGO: Mañana / NOTA: se aprueba evaluacion, tt confirma el pago, hara el pago por transferencia agente bcp, se le brinda los documentos todo ok, en espera de comprobante. </t>
  </si>
  <si>
    <t>Sustento de pago PPC - Dinero en Mano / HORARIO DE PAGO: Mañana / NOTA: SE APRUEBA MONTO DE 20000 COMO EXCEPCIÓN DE PAGO, CONDICIONANDO A CUMPLIMIENTO:</t>
  </si>
  <si>
    <t>9000 EL 29/01</t>
  </si>
  <si>
    <t>6000 EL 30/01</t>
  </si>
  <si>
    <t>5000 EL 31/01</t>
  </si>
  <si>
    <t>Sustento de pago PPC - Dinero en Mano / HORARIO DE PAGO: Mañana / NOTA: SE APRUEBA ULTIMA CUOTA DE PPM, SE REALIZARA EL PAGO EL DIA 29 EN RANGO HORARIO PM DE 3 PM EN ADELANTE, SE COORDINO CON EL CLIENTE TODO OK.</t>
  </si>
  <si>
    <t>Sustento de pago PPC - Dinero en Mano / HORARIO DE PAGO: Mañana / NOTA: SE AUTORIZO PAGO CANCELATORIO POR EL MONTO DE 2300 SOLES, SOLO POR EXCEPCIÓN. CLIENTE DEPOSITA 2000 23/09 Y 300 EL30/09. SE ENVIO CORREO.</t>
  </si>
  <si>
    <t>Sustento de pago PPC - Dinero en Mano / HORARIO DE PAGO: Mañana / NOTA: SE BRIND DT:25,556.30 SOLES / DK:19,590.23 SOLES  Y DEMÁS PRODUCTOS</t>
  </si>
  <si>
    <t>SE REALIZA CONSULTA PREVIA ,CONDICIÓN ,ADELANTO DEL 50% DEL IMPORTE DE CONTRAOFERTA POR CL : S/. 7000 SOLES , PAGOS SE REALIZAN DE LA SIGUIENTE MANERA:</t>
  </si>
  <si>
    <t xml:space="preserve">15/04 : 3500 SOLES - realiza pago </t>
  </si>
  <si>
    <t>30/04 : 3500 SOLES</t>
  </si>
  <si>
    <t xml:space="preserve">Sustento de pago PPC - Dinero en Mano / HORARIO DE PAGO: Mañana / NOTA: SE BRINDA CAMPAÑA ABRIL MIX POR EL IMPORTE DE 120 TT MENCIONA Q ESTARIA REALIZANDO EL PAGO EN EL TRANSCURSO DEL DIA POR AGENTE </t>
  </si>
  <si>
    <t>Sustento de pago PPC - Dinero en Mano / HORARIO DE PAGO: Mañana / NOTA: Se brinda DT19,517.42  DK 14,025.58  indica que por temas de salud , esta pasando por un proceso de embarazo tiene la posibilidad de hacer la cancelacion de su deuda con el importe de S/ 3000 indica que es lo maximo que a podido recaudar, realizara la cancelacion en la fecha indicada en el rango de la tarde, se acercara a la misma oficina IBK</t>
  </si>
  <si>
    <t>Sustento de pago PPC - Dinero en Mano / HORARIO DE PAGO: Mañana / NOTA: Se brinda piso de super de 9M, TT indica que no puede llegar a ese importe que el dispone de 7M y que un familiar lo puede ayudar a aumentar 500 soles adicionales, menciona que tiene gastos de su menor hijo que estuvo delicado de salud. Solicita apoyo para cancelar bajo ese importe. Pago lo estaría efectuando mediante BCP.</t>
  </si>
  <si>
    <t xml:space="preserve">Sustento de pago PPC - Dinero en Mano / HORARIO DE PAGO: Mañana / NOTA: Se brindo beneficio x 1500 // </t>
  </si>
  <si>
    <t xml:space="preserve">1K - 20/01 y la diferencia hasta el día 30/01 </t>
  </si>
  <si>
    <t>Sustento de pago PPC - Dinero en Mano / HORARIO DE PAGO: Mañana / NOTA: Se brindo c1 - 3755, TT comento haber recibido campaña de 2600 pero no llega a ese monto dado que tiene gastos personales y otras deudas por cubrir, se brindo piso de super 1670 pero comento que su madre solo le puede facilitar hasta 1500 para poder cubrir la deuda el día de hoy, pago lo estaría realizando en agencia IBK por la mañana</t>
  </si>
  <si>
    <t>Sustento de pago PPC - Dinero en Mano / HORARIO DE PAGO: Mañana / NOTA: Se brindo c1 - 4965 y PISO DE SUPER 2400TT comenta que converso con su familiar y que lo puede ayudar con el préstamo de los 1500, se refuto mejora pero indico que actualmente no dispone de mayor ingreso y que incluso su hermano lo esta apoyando con el préstamo de la diferencia. Se refuto por propuesta de abril e indico que el disponía 1k pero como no tenía seguridad de manejar la diferencia para fdm no pudo acceder al beneficio.</t>
  </si>
  <si>
    <t xml:space="preserve">Sustento de pago PPC - Dinero en Mano / HORARIO DE PAGO: Mañana / NOTA: SE BRINDÓ DT Y CAMPAÑA 350  </t>
  </si>
  <si>
    <t xml:space="preserve">Sustento de pago PPC - Dinero en Mano / HORARIO DE PAGO: Mañana / NOTA: Se comunica por wsp,se le brinda DT1,289.71,DK829.65 CAN 655,indica que ya dispone del importe,solicita que se le envie el acuerdo de pago,indica que lo pagara antes de las 10am. </t>
  </si>
  <si>
    <t xml:space="preserve">Sustento de pago PPC - Dinero en Mano / HORARIO DE PAGO: Mañana / NOTA: Se confirma a titular que su propuesta procedió con el importe de 25k, hoy paga 20k , quedando pendiente el importe de 5k el día de mañana. </t>
  </si>
  <si>
    <t xml:space="preserve">Sustento de pago PPC - Dinero en Mano / HORARIO DE PAGO: Mañana / NOTA: Se confirma a TT apoyo para cancelar bajo importe de 2500 hasta el día lunes 18.05. // TT indica que realizará transferencia a través de BCP </t>
  </si>
  <si>
    <t>Sustento de pago PPC - Dinero en Mano / HORARIO DE PAGO: Mañana / NOTA: Se confirma a tt cumplir hoy con el abono de 250 y diferencia el jueves, sin embargo menciona si hoy puede pagar 400 y diferencia el lunes se da opcion siempre y cuando cumpla para modificarlo hasta el lunes,</t>
  </si>
  <si>
    <t>Sustento de pago PPC - Dinero en Mano / HORARIO DE PAGO: Mañana / NOTA: SE CONFIRMA PAGO DE 1700 PERO CONFIRMA PAGO PARA EL 23/01</t>
  </si>
  <si>
    <t xml:space="preserve">Sustento de pago PPC - Dinero en Mano / HORARIO DE PAGO: Mañana / NOTA: se confirma pago la cual realziara el monto de 900 el 03/07 y 900 el 30/07 enviara foto del comprobante. </t>
  </si>
  <si>
    <t>Sustento de pago PPC - Dinero en Mano / HORARIO DE PAGO: Mañana / NOTA: se confirma pago para hoy de 1000 y diferencia para fin de mes  lo hara saliendo del trabajo</t>
  </si>
  <si>
    <t xml:space="preserve">Sustento de pago PPC - Dinero en Mano / HORARIO DE PAGO: Mañana / NOTA: Se confirma pago para hoy por el monto de 900 soles </t>
  </si>
  <si>
    <t xml:space="preserve">Sustento de pago PPC - Dinero en Mano / HORARIO DE PAGO: Mañana / NOTA: Se contacta a tt, se brinda dt dk can 6270 soles, indica tuvo complicaciones con su pago, tuvo dm, deriva can para a mas tardar el día viernes 8, se solicita adelanto no accede, desea pagar el total. </t>
  </si>
  <si>
    <t xml:space="preserve">Sustento de pago PPC - Dinero en Mano / HORARIO DE PAGO: Mañana / NOTA: Se contacta a tt, se le brinda dt dk can 220 soles, aplicativo BCP, se adjunta linea mora. </t>
  </si>
  <si>
    <t xml:space="preserve">Sustento de pago PPC - Dinero en Mano / HORARIO DE PAGO: Mañana / NOTA: SE CONVERSA CON EL TT SE ACOJE A CANCELAR LA DEUDA BAJO EL MONTO DE 2000 SOLES TT MENCIONA Q ESTARIA EFECTUANDO EL DIA VIERNES 18/04/2025 ESTARIA RECIBIENDO UN DINERO Y CON ELLO ESTYARIA CANCELANDO POR VIA TRANSFERENCIA </t>
  </si>
  <si>
    <t xml:space="preserve">Sustento de pago PPC - Dinero en Mano / HORARIO DE PAGO: Mañana / NOTA: SE CONVERSA CON EL TT SE ACOJE A CANCELAR LA DEUDA BAJO EL MONTO DE 780 SOLES CANCELANDO EL DIA 14/03/2024  TT SE ADELANTO A CANCELAR EL DIA 09/03/2024 UN ADELANTO DE 300 SOLES SOLO LE FALTARIA LA DIFERENCIA DE 480 SOLES </t>
  </si>
  <si>
    <t xml:space="preserve">Sustento de pago PPC - Dinero en Mano / HORARIO DE PAGO: Mañana / NOTA: SE CONVERSA CON EL TT SE LE INFORMA Q LA PROPUESTA DE PAGO FUE  APROBADA ESTARIA CANCELANDO EL DIA 18/10/2024 </t>
  </si>
  <si>
    <t xml:space="preserve">Sustento de pago PPC - Dinero en Mano / HORARIO DE PAGO: Mañana / NOTA: SE CONVERSA CON EL TT SE LE MENCIONA ACERCA DE LA CAMPAÑA 350 SOLES TT SE ACOJE A CANCELAR PARA CANCELAR EL DIA 05/06/2024 </t>
  </si>
  <si>
    <t>Sustento de pago PPC - Dinero en Mano / HORARIO DE PAGO: Mañana / NOTA: SE COORDINA ACUERDO PARA LA CANCELACIÓN TENIENDO COMO CAMPAÑA EN REFERENCIA LA DE CO INVERSIÓN. CLIENTE ADELANTARA PAGO DE 4000 SOLES HHOY 20/12 Y 6500 EL 23/12.</t>
  </si>
  <si>
    <t>Sustento de pago PPC - Dinero en Mano / HORARIO DE PAGO: Mañana / NOTA: se coordina con tt el pago a realizar el dia lunes  aprimera hora por agencia los andes pagara - wsp 958451756</t>
  </si>
  <si>
    <t>Sustento de pago PPC - Dinero en Mano / HORARIO DE PAGO: Mañana / NOTA: se coordina con tt pagi de su propuesta de 700 , por bcp hasta las 1030am</t>
  </si>
  <si>
    <t>Sustento de pago PPC - Dinero en Mano / HORARIO DE PAGO: Mañana / NOTA: se coordina con tt pago por agencia ibk ,  10-11am - tt ok enviara voucher por medio de una fam</t>
  </si>
  <si>
    <t xml:space="preserve">Sustento de pago PPC - Dinero en Mano / HORARIO DE PAGO: Mañana / NOTA: se eleva excepcion de ultima cuota </t>
  </si>
  <si>
    <t>PPC   5400   DK 16.500   TT PAGARA EL DIA 07/07 400 SOLES Y COMPLETANDO 5000 EL DIA 21/07</t>
  </si>
  <si>
    <t xml:space="preserve">Sustento de pago PPC - Dinero en Mano / HORARIO DE PAGO: Mañana / NOTA: Se eleva excepción en comunicación con tt propone 400 se le indica el monto a pagar ella comenta que pidió ayuda a sus familiares lo cual llego a reunir el monto de 400 ella indica que tiene carga familiar y por eso se retrasó en su pago, hará el deposito vía BCP mediante transferencia bancaria realizara el pago  a las 11am </t>
  </si>
  <si>
    <t xml:space="preserve">Sustento de pago PPC - Dinero en Mano / HORARIO DE PAGO: Mañana / NOTA: SE ELEVA EXCEPCION TT CONFIRMA QUE REALIZARA EL PAGO DE SU  ULTIMA CUOTA 687  EL 24.10   </t>
  </si>
  <si>
    <t>Sustento de pago PPC - Dinero en Mano / HORARIO DE PAGO: Mañana / NOTA: se elevo excepcion para cancelacion bajo importe de 1500, dinero proviene de un familiar que la esta apoyando con la cancelacion, titular no labora por un accidente que mantuvo y por el cual se atraso con sus pagos, adicionalmente indica que es madre soltera</t>
  </si>
  <si>
    <t xml:space="preserve">Sustento de pago PPC - Dinero en Mano / HORARIO DE PAGO: Mañana / NOTA: se envia compromiso de pago can 500 soles menciona que se acercara a oficinas </t>
  </si>
  <si>
    <t xml:space="preserve">Sustento de pago PPC - Dinero en Mano / HORARIO DE PAGO: Mañana / NOTA: SE GENERA COMPROMISO DE PAGO POR EL MONTO DE 1500 SOLES HOY 12/03  300 SOLES // 28/03 1200 SOLES </t>
  </si>
  <si>
    <t>Sustento de pago PPC - Dinero en Mano / HORARIO DE PAGO: Mañana / NOTA: Se genera compromiso del último importe de pago de 3000 soles para el día 15 de Febrero</t>
  </si>
  <si>
    <t xml:space="preserve">Sustento de pago PPC - Dinero en Mano / HORARIO DE PAGO: Mañana / NOTA: Se indica a tit DT 2,622.50, DK 1,867.52 y campaña de 750, tit cancela deuda con 750 soles, adelanta mañana 02/06 la mitad 375 soles y la diferencia el 30/06 375 soles, adelanto de mañana lo realizará al mediodía </t>
  </si>
  <si>
    <t>Sustento de pago PPC - Dinero en Mano / HORARIO DE PAGO: Mañana / NOTA: Se indica DT 2,770.39, DK 1,658.80 y campaña de 670, tit indica que cancela deuda con S/670 mañana 04/06 a las 10:30am en agencia de Caja los Andes, (brinda su número de whatsapp para envió de información 957414127)</t>
  </si>
  <si>
    <t>Sustento de pago PPC - Dinero en Mano / HORARIO DE PAGO: Mañana / NOTA: se indica que se aprobó propuesta por 2300 soles, el titular confirma que el pago lo hara a partir de las 2pm ya que a esa hora sale de su terapia, ira directo al banco bbva</t>
  </si>
  <si>
    <t>Sustento de pago PPC - Dinero en Mano / HORARIO DE PAGO: Mañana / NOTA: Se info DK 1,079.58 Y c1 S/500 tt cancelará por agente BCP S/ 500.00</t>
  </si>
  <si>
    <t>Sustento de pago PPC - Dinero en Mano / HORARIO DE PAGO: Mañana / NOTA: se informa a tit  de aprobacion de propuesta y se envia documentacion pide info tambien por correo fabiola.dhg@gmail.com/// se envia metodo de pago hoy adelantara s/2000 y restante 1000 el 18/07 pago lo realizara por transferencia scotiabank</t>
  </si>
  <si>
    <t>Sustento de pago PPC - Dinero en Mano / HORARIO DE PAGO: Mañana / NOTA: se informa a titular acepatciond e propueesata se le envia documenatcion y metodode pago hoy pagara 1000 restante el 29/08 de 3000</t>
  </si>
  <si>
    <t>Sustento de pago PPC - Dinero en Mano / HORARIO DE PAGO: Mañana / NOTA: se informa a tt de aprobacion de propuesta por 650, se envia informacion para el pago , lo haria por transf bcp en caso no encuentra oficinas</t>
  </si>
  <si>
    <t>Sustento de pago PPC - Dinero en Mano / HORARIO DE PAGO: Mañana / NOTA: se informa acepatciond e propuesta a titular pagara hoy 300 por transferencia restante fdm 365</t>
  </si>
  <si>
    <t>Sustento de pago PPC - Dinero en Mano / HORARIO DE PAGO: Mañana / NOTA: se informa aceptacion d epropuesta a titular indica que pago lo hara por agente hoy 1000 restante el 22/04 monto 600</t>
  </si>
  <si>
    <t xml:space="preserve">Sustento de pago PPC - Dinero en Mano / HORARIO DE PAGO: Mañana / NOTA: se informaque se aprueba propuesta pahgara hoy 300 y restante 200 el 20/01 en comunicacion </t>
  </si>
  <si>
    <t xml:space="preserve">Sustento de pago PPC - Dinero en Mano / HORARIO DE PAGO: Mañana / NOTA: SE INTENTO COMUNICAR AL CLIENTE POR LLAMADA PERO NO SE LOGRO CONTACTARLO, SE ENVIO UN MENSAJE PARA NEGOCIAR UNA PROPUESTA DE PAGO Y SE LLEGO AL ACUERDO DE PAGO POR EL IMPORTE DE 225 SOLES. FECHA DE ABONO 23 DE JULIO, 7.30 PM. CLIENTE CUENTA CON INTENSION DE PAGO. Y MENCIONA QUE NO PUDO CONTESTAR EN SU MOMENTO DEBIDO A QUE SE ENCUENTRA EN HORARIO LABORAL. </t>
  </si>
  <si>
    <t xml:space="preserve">Sustento de pago PPC - Dinero en Mano / HORARIO DE PAGO: Mañana / NOTA: se le aprobo a tt importe de 500 soles pagi unico para el dia 11 </t>
  </si>
  <si>
    <t xml:space="preserve">Sustento de pago PPC - Dinero en Mano / HORARIO DE PAGO: Mañana / NOTA: Se le brinda a tt s/673.89 adicional a ello la cancelación por el importe de s/618.60 indica que esa no era la deuda que le llegó una oferta por un monto mucho menor indica "algo de s/200" se le menciona que esa campaña ya no se encuentra disponible y que en última instancia se realizaría con el importe de s/473 indica si es factible realizar la cancelación a fines de mes, se le solicita un adelante de s/200 indica que si realizará el pago el día de hoy y la diferencia a fines de mes. Abonará el banco interbank hoy a las 4pm. En seguimiento </t>
  </si>
  <si>
    <t xml:space="preserve">Sustento de pago PPC - Dinero en Mano / HORARIO DE PAGO: Mañana / NOTA: SE LE BRINDA CAMPAÑA DE 1,550.50 , INDICA QUE NO LLEGA AL IMPORTE , MENCIONA QUE DISPONE DE 1000 SOLES PARA CANCELAR, SE LE PIDE MEJORAR YA QUE INCUMPLIO EN LA PRIMERA INSTANACIA DE DESCUENTO E INDICA QUE MEJORAR HASTA 1200, DISPONE DE ESTE IMPORTE, PAGARA DE FORMA VIRTUAL, POR TRANSFERENCIA, SE LE INDICA LOS MEDIOS DE PAGO ADEVERTENCIA SOBRE LE IMCUMPLIMIENTO TODO OK, RANGO DE PAGO DE 1:30 A 2 2:00 PM YA QUE ESTA EN UN LUGAR FUERA DE COBERTURA PERO DISPONE DE LA RED WIFI. </t>
  </si>
  <si>
    <t xml:space="preserve">Sustento de pago PPC - Dinero en Mano / HORARIO DE PAGO: Mañana / NOTA: Se le brinda DT 613.83,DK 560.00,CAN 480 soles,solicita que le envie el numero de cuenta BCP o numero de yape. </t>
  </si>
  <si>
    <t xml:space="preserve">Sustento de pago PPC - Dinero en Mano / HORARIO DE PAGO: Mañana / NOTA: se le brinda dt s/282.85 se le brinda dk s/226.99 se le brinda c1 s/150 indica que si accede a cancelar para el sabado  06-06  indica que lo cancelara mediante un agente bcp </t>
  </si>
  <si>
    <t>Sustento de pago PPC - Dinero en Mano / HORARIO DE PAGO: Mañana / NOTA: se le brinda dt, y min 1 para can, accede para la fecha acordada</t>
  </si>
  <si>
    <t xml:space="preserve">Sustento de pago PPC - Dinero en Mano / HORARIO DE PAGO: Mañana / NOTA: Se le brinda DT2,502.12,DK1,672.74,CAN1670,indica que el pago lo puede realizar dentro de 1 hora en una entidad. </t>
  </si>
  <si>
    <t xml:space="preserve">Sustento de pago PPC - Dinero en Mano / HORARIO DE PAGO: Mañana / NOTA: se le brinda la información a tt para liquidar la cuenta con s/400 ya ha estado cancelando pro casi un año indica que si acepta que pagara por el aplicativo scotiabanck  pide información por wazp  y que se le envio la carta de compromiso por correo  </t>
  </si>
  <si>
    <t xml:space="preserve">Sustento de pago PPC - Dinero en Mano / HORARIO DE PAGO: Mañana / NOTA: se le brinda la opcion del monto comenta que cancelara en el aplicativo bcp monto de s/180 </t>
  </si>
  <si>
    <t xml:space="preserve">Sustento de pago PPC - Dinero en Mano / HORARIO DE PAGO: Mañana / NOTA: Se le brindo dt campaña 1500 tt menciona que entre hoy mas tardar mañana realizara pago que se envie documento a su wtsp realizara pago mismo banco </t>
  </si>
  <si>
    <t xml:space="preserve">Sustento de pago PPC - Dinero en Mano / HORARIO DE PAGO: Mañana / NOTA: SE LE ENVÍA DOC DE COMPROMISO, CAN ANTES DEL MEDIO DIA. </t>
  </si>
  <si>
    <t xml:space="preserve">Sustento de pago PPC - Dinero en Mano / HORARIO DE PAGO: Mañana / NOTA: SE LE ENVIA SU COMPROMISO DE PAGO   </t>
  </si>
  <si>
    <t xml:space="preserve">Sustento de pago PPC - Dinero en Mano / HORARIO DE PAGO: Mañana / NOTA: Se le indica a tit DT 2,082.63, DK 934.70 y campaña de 350, tit indica que si cancela su deuda S/350 el día 11/06 , menciona que el día jueves es su día de descanso y ese día podría realizar el pago, solicita se le envíe toda la documentación, asimismo desea acercarse a la oficina para validar que toda la información es correcta para su mayor seguridad, menciona que en cuanto valide la información procede con realizar la cancelación ese mismo día 11/06 </t>
  </si>
  <si>
    <t xml:space="preserve">Sustento de pago PPC - Dinero en Mano / HORARIO DE PAGO: Mañana / NOTA: se le indica el monto a pagar de 100 cliente indica que dejo de pagar por temas familiares el dinero es parte de sus ahorros realizara el pago a través del yape a las 3pm </t>
  </si>
  <si>
    <t>Sustento de pago PPC - Dinero en Mano / HORARIO DE PAGO: Mañana / NOTA: Se le indica no cumplió con compromiso completo, se le informa que perdió la opción a descuento excepcional cuota S/500.00 soles - realizará transferencia.</t>
  </si>
  <si>
    <t xml:space="preserve">Sustento de pago PPC - Dinero en Mano / HORARIO DE PAGO: Mañana / NOTA: Se le indicó su DT 515.01, DK 365.90, y  C1 148,  Tit cancela deuda S/148 el día martes 30/06 en el transcurso de la mañana </t>
  </si>
  <si>
    <t xml:space="preserve">Sustento de pago PPC - Dinero en Mano / HORARIO DE PAGO: Mañana / NOTA: SE LE INFORMA AL ESPOSO DE LA TT SEÑOR MARIO QUE LA PROPUESTA DE PAGO EN BASE AL MONTO DE 1000 SOLES FUE APROBADO CANCELANDO DE LA MANERA SIGUIENTE EL DIA DE MAÑANA 14/12/2024 CANCELA EL MONTO DE 200 SOLES Y LA DIFERENCIA PARA EL DIA 23/12/2024 </t>
  </si>
  <si>
    <t xml:space="preserve">Sustento de pago PPC - Dinero en Mano / HORARIO DE PAGO: Mañana / NOTA: SE LE INFORMA AL TT QUE LA PROPUESTA BAJO EL MONTO DE 850 SOLES FUE APROBADO TT CANCELA HOY 08/07/2024 ELO MONTO DE ADELANTO DE 150 SOLES Y LA DIFERENCIA PARA EL DIA 22/08/2024 </t>
  </si>
  <si>
    <t xml:space="preserve">Sustento de pago PPC - Dinero en Mano / HORARIO DE PAGO: Mañana / NOTA: SE LE INFORMA DT CAMPAÑA CON 150 INDICA QUE LO PAGARIA EL DIA  VIERNES SI PUEDE ANTES SE LE ENVIA NUMERO DE CUENTA INTERBANK AL WASAP  </t>
  </si>
  <si>
    <t xml:space="preserve">Sustento de pago PPC - Dinero en Mano / HORARIO DE PAGO: Mañana / NOTA: se le informa dt campaña con 376 tt indica que la otra semana el 25 se le indica que maximo podemos darle hasta el dia sabado 20/06 para que pueda pagar los 376 indica que lo va realizar el sabado que le recuerde un dia antes se le envia acuerdo al wasap </t>
  </si>
  <si>
    <t>Sustento de pago PPC - Dinero en Mano / HORARIO DE PAGO: Mañana / NOTA: SE LE LLAMA NUEVMANTE CON APROBACION DE GERENCIA, TT ADELANTARA EL VIENRES 200 SOLES, ADICIONEMS CUENTA DE SCOTIBANK YA QUE POR APP ESTARIA EFECTUANDO EL DEPOITO SE ADJUNTA COMPROMISO DE PAGO</t>
  </si>
  <si>
    <t xml:space="preserve">Sustento de pago PPC - Dinero en Mano / HORARIO DE PAGO: Mañana / NOTA: SE LE MENCIONA AL TT Q LA PROPUESTA DE PAFO FUE APROBADA CANCELANDO EL MONTO DE LOS 1000 SOLES </t>
  </si>
  <si>
    <t>Sustento de pago PPC - Dinero en Mano / HORARIO DE PAGO: Mañana / NOTA: SE LE MENCIONA AL TT QUE LA PROPUESTA DE PAGO FUE APROBADA BAJO EL MONTO DE 700 SOLES CANCELANDO EL DIA 07/12/2024 CUOTA INICIAL DE 100 SOLES Y LA DIFERENCIA PARA EL DIA 20/12/2024</t>
  </si>
  <si>
    <t xml:space="preserve">Sustento de pago PPC - Dinero en Mano / HORARIO DE PAGO: Mañana / NOTA: se le ofrece pagar el impoirte de s/1553 menciona ue no puede pagar ese importe por que esta endeudado y menciona ue podria pagara como paximo s/600 y en doas partes en el mes indica ue pagaria s/100 el dia 26/04/25 y s/500 el dia 30/04/25 </t>
  </si>
  <si>
    <t>Sustento de pago PPC - Dinero en Mano / HORARIO DE PAGO: Mañana / NOTA: se le ofrece pagar el importe de s/1616 menciona que no puede pagar ese importe menciona que como maximo pagaria s/600 ya que es el monto que le ofrecieron titular pagara el dia 16/05/24 el importe de s/200 y el dia 25/04/25 pagara el importe de s/400 en la cudad de arequipa</t>
  </si>
  <si>
    <t xml:space="preserve">Sustento de pago PPC - Dinero en Mano / HORARIO DE PAGO: Mañana / NOTA: SE OFRECE DK S/354.25 y campaña de can solo por hoy de S/180.00 Cliente acepta  , realizará pago por yape hoy </t>
  </si>
  <si>
    <t>Sustento de pago PPC - Dinero en Mano / HORARIO DE PAGO: Mañana / NOTA: se programa camp con 118</t>
  </si>
  <si>
    <t xml:space="preserve">Sustento de pago PPC - Dinero en Mano / HORARIO DE PAGO: Mañana / NOTA: SE PROGRAMA CANCELACION X 3700 HOY 18.05 </t>
  </si>
  <si>
    <t xml:space="preserve">Sustento de pago PPC - Dinero en Mano / HORARIO DE PAGO: Mañana / NOTA: SE PROGRAMA CANCELACIOON CON 300 </t>
  </si>
  <si>
    <t xml:space="preserve">Sustento de pago PPC - Dinero en Mano / HORARIO DE PAGO: Mañana / NOTA: SE REALIZO ADELANTO DE 200 SOLES DIFERENCIA DIA LUNES VENDRAN A OFICINAS APROX 12 Y MEDIA A 1 </t>
  </si>
  <si>
    <t>Sustento de pago PPC - Dinero en Mano / HORARIO DE PAGO: Mañana / NOTA: se sube excepcion</t>
  </si>
  <si>
    <t xml:space="preserve">Sustento de pago PPC - Dinero en Mano / HORARIO DE PAGO: Mañana / NOTA: sea probo ppt </t>
  </si>
  <si>
    <t>Sustento de pago PPC - Dinero en Mano / HORARIO DE PAGO: Mañana / NOTA: señor adelanto el importe de 200 soles y los 600 soles pagaria a fin de mes</t>
  </si>
  <si>
    <t xml:space="preserve">Sustento de pago PPC - Dinero en Mano / HORARIO DE PAGO: Mañana / NOTA: señor pago el dia sabado envia comprobante de pago. </t>
  </si>
  <si>
    <t xml:space="preserve">Sustento de pago PPC - Dinero en Mano / HORARIO DE PAGO: Mañana / NOTA: señor se acercara a oficina a cancelar monto de 1500 soles y cancelara deuda total confirma </t>
  </si>
  <si>
    <t xml:space="preserve">Sustento de pago PPC - Dinero en Mano / HORARIO DE PAGO: Mañana / NOTA: señora cancela la deuda totaly800soles  manda constancia de pago </t>
  </si>
  <si>
    <t xml:space="preserve">Sustento de pago PPC - Dinero en Mano / HORARIO DE PAGO: Mañana / NOTA: sEÑORA INIDCA QUE CANCELARA EN LA MISMA OFICINA DE CAJA TRUJILLO A LAS 10 AM QUIERE DOCUMENTCION LEGAL OK SE LE ENVIARA </t>
  </si>
  <si>
    <t xml:space="preserve">Sustento de pago PPC - Dinero en Mano / HORARIO DE PAGO: Mañana / NOTA: Si puede hara el pago mañana 14/11 </t>
  </si>
  <si>
    <t>Sustento de pago PPC - Dinero en Mano / HORARIO DE PAGO: Mañana / NOTA: Sobre s/600 depositara el 10/09 s/300 y el 16/09 depositara 300 para cancelar todo</t>
  </si>
  <si>
    <t xml:space="preserve">Sustento de pago PPC - Dinero en Mano / HORARIO DE PAGO: Mañana / NOTA: Sobrina del tt indica que pagara 600 soles ya que no cuenta con mas dinero </t>
  </si>
  <si>
    <t xml:space="preserve">Sustento de pago PPC - Dinero en Mano / HORARIO DE PAGO: Mañana / NOTA: SR MARCO PAREJA DE TT HARA SU PAGO DE S/500 ADELANTO PARA EL 09 Y LOS S/1000.00 PARA FIN DE MES SE LE ENVIA ACUERDO DE PAGO </t>
  </si>
  <si>
    <t>Sustento de pago PPC - Dinero en Mano / HORARIO DE PAGO: Mañana / NOTA: SR. MARIA HARA EL PAGO POR EL APLICATIVO BCP, SE LE INDICA LOS METODOS DE PAGO TODO OK ,(CAMPAÑA DE 12,955.87) CONTRAPROPUESTA DE 3K. TODO OK PAGO INMEDIATO.</t>
  </si>
  <si>
    <t xml:space="preserve">Sustento de pago PPC - Dinero en Mano / HORARIO DE PAGO: Mañana / NOTA: sra asegura que realizara la cancelacion el dia 17 importe de 850 soles si en caso tenga antes menciona que se comunicara para que haga el pago </t>
  </si>
  <si>
    <t xml:space="preserve">Sustento de pago PPC - Dinero en Mano / HORARIO DE PAGO: Mañana / NOTA: sra olga se cancelo deudo con 600 envio vaucher </t>
  </si>
  <si>
    <t xml:space="preserve">Sustento de pago PPC - Dinero en Mano / HORARIO DE PAGO: Mañana / NOTA: sustento :TT MEJORO MONTO DE 5K REALIZO EL PAGO  APROBADO PARA LA CANCELACION TOTAL DE DEUDA </t>
  </si>
  <si>
    <t>motivo de no pago: no cuenta con ingresos</t>
  </si>
  <si>
    <t xml:space="preserve">monto propuesta: 5k </t>
  </si>
  <si>
    <t>fecha de pago: 29.05</t>
  </si>
  <si>
    <t xml:space="preserve">Sustento de pago PPC - Dinero en Mano / HORARIO DE PAGO: Mañana / NOTA: Sustento: D . personal + prestamo familiar para completar importe consultado. </t>
  </si>
  <si>
    <t>Motivo de no pago: Problemas económicos.</t>
  </si>
  <si>
    <t>Fecha: 27- 06</t>
  </si>
  <si>
    <t xml:space="preserve">Propuesta: S/.8,000 soles // Importe consultado previamente </t>
  </si>
  <si>
    <t xml:space="preserve">Sustento de pago PPC - Dinero en Mano / HORARIO DE PAGO: Mañana / NOTA: t indica que va cancelar el monto de s/500 por yape  indica que le ,manden el numero y la informacion mediante wzp  </t>
  </si>
  <si>
    <t xml:space="preserve">Sustento de pago PPC - Dinero en Mano / HORARIO DE PAGO: Mañana / NOTA: T T  SE LE BRINDA OPCIONES  DE PAGO DT MIN1 950  MENCIONA QUE  EL DIA MIERCOLES 24/07   REALIZARA   EL PAGO TOTAL DE LA DEUDA SE ENVIA NUMERO DE CUENTA AL WASAP </t>
  </si>
  <si>
    <t>Sustento de pago PPC - Dinero en Mano / HORARIO DE PAGO: Mañana / NOTA: t6t pqaqa cn ecepcion</t>
  </si>
  <si>
    <t xml:space="preserve">Sustento de pago PPC - Dinero en Mano / HORARIO DE PAGO: Mañana / NOTA: TACITA* TT RESPONDE WASAP INDICANDO QUE ESTA EN EL BANCO  SACANDO EL DINERO  EN UN RATO ENVÍA EL BOUCHER DE PAGO DT   5,029.18  </t>
  </si>
  <si>
    <t xml:space="preserve">Sustento de pago PPC - Dinero en Mano / HORARIO DE PAGO: Mañana / NOTA: tit cancela deuda con S/10.000 en base a excepción aprobada </t>
  </si>
  <si>
    <t xml:space="preserve">Sustento de pago PPC - Dinero en Mano / HORARIO DE PAGO: Mañana / NOTA: Tit cancela deuda hoy 18/06 por el monto de S/250, pagará por transferencia </t>
  </si>
  <si>
    <t>Sustento de pago PPC - Dinero en Mano / HORARIO DE PAGO: Mañana / NOTA: TIT CANCELA DEUDA S/1500 ABONA ADELANTO S/1000 EL 20/01 Y LOS S/500 RESTANTES EL 30/01</t>
  </si>
  <si>
    <t xml:space="preserve">Sustento de pago PPC - Dinero en Mano / HORARIO DE PAGO: Mañana / NOTA: tit cancela deuda S/165 el viernes 20/12 indica en horas de la mañana, no especifica hora exacta. </t>
  </si>
  <si>
    <t xml:space="preserve">Sustento de pago PPC - Dinero en Mano / HORARIO DE PAGO: Mañana / NOTA: TIT CONFIRMA EL PAGO DE SU CUOTA ES LA ULTGIMA MONTO 225 TRTAR DE REALIZARL ANTES EN COMUNICACION </t>
  </si>
  <si>
    <t>Sustento de pago PPC - Dinero en Mano / HORARIO DE PAGO: Mañana / NOTA: TIT CONFIRMA PAGO</t>
  </si>
  <si>
    <t>Sustento de pago PPC - Dinero en Mano / HORARIO DE PAGO: Mañana / NOTA: TIT CONFIRMA PAGO DE SU ULTIMA CUOTA MONTO 200 EL 23/10</t>
  </si>
  <si>
    <t>Sustento de pago PPC - Dinero en Mano / HORARIO DE PAGO: Mañana / NOTA: tit confirma pago liquidara con los 350</t>
  </si>
  <si>
    <t xml:space="preserve">Sustento de pago PPC - Dinero en Mano / HORARIO DE PAGO: Mañana / NOTA: tit confirma que cuenta con 400 para solucionar la deuda indica que hara via deposisto solciita el metodod de pago </t>
  </si>
  <si>
    <t xml:space="preserve">Sustento de pago PPC - Dinero en Mano / HORARIO DE PAGO: Mañana / NOTA: TIT CONFIRMA QUE EL PAGO DE SU ULTIMA CUOTA LO REALIZARA EN FDM 31  EN COMUNICACION MONTO 200 </t>
  </si>
  <si>
    <t>Sustento de pago PPC - Dinero en Mano / HORARIO DE PAGO: Mañana / NOTA: TIT CONFIRMA QUE REALIZO PAGO CON 500 RESTANTE LO PAGARA EL 30/09 MONTO 1100</t>
  </si>
  <si>
    <t>Sustento de pago PPC - Dinero en Mano / HORARIO DE PAGO: Mañana / NOTA: tit confrima pago de su ultima cuota para el 06/09 monto 250</t>
  </si>
  <si>
    <t xml:space="preserve">Sustento de pago PPC - Dinero en Mano / HORARIO DE PAGO: Mañana / NOTA: tit confrima pago de ultima cuota para fdm monto 400 con eso cancela la deuda en comunicacion </t>
  </si>
  <si>
    <t xml:space="preserve">Sustento de pago PPC - Dinero en Mano / HORARIO DE PAGO: Mañana / NOTA: tit confrima que el 20 ella cancela deuda con el importe de 2500 ya poder liquidar en comuniaccion esta recaudando </t>
  </si>
  <si>
    <t>Sustento de pago PPC - Dinero en Mano / HORARIO DE PAGO: Mañana / NOTA: tit hsta pago rlel 31</t>
  </si>
  <si>
    <t xml:space="preserve">Sustento de pago PPC - Dinero en Mano / HORARIO DE PAGO: Mañana / NOTA: tit indica que el 16/09 pagara 300 y restante 700 el 27 de la misma manera tratar de cancelar todo sino lo hara como inicialmente indico </t>
  </si>
  <si>
    <t xml:space="preserve">Sustento de pago PPC - Dinero en Mano / HORARIO DE PAGO: Mañana / NOTA: TIT INDICA QUE ELLA PAGARA ENTRE EL 20/24 NO PUEDE ADELANAR CUOTA YA QUE AUN TIENE GASTOS DEL COLEGIO EN COMUNICACION CUOTA 200 SOLO ultima cuota </t>
  </si>
  <si>
    <t>Sustento de pago PPC - Dinero en Mano / HORARIO DE PAGO: Mañana / NOTA: tit indica que esposo pagara hoy  150  en breve hara la transferencia  se le envie metodo de pago y documentacion hoy 150 restante 50 el 26/07</t>
  </si>
  <si>
    <t xml:space="preserve">Sustento de pago PPC - Dinero en Mano / HORARIO DE PAGO: Mañana / NOTA: tit indica que esta cmaino agencia pagara los 600 se envia procedimeinto de pago </t>
  </si>
  <si>
    <t>Sustento de pago PPC - Dinero en Mano / HORARIO DE PAGO: Mañana / NOTA: tit indica que esta en espera d esu pago para cancelar los 250 a fdm //dt 1,222.31</t>
  </si>
  <si>
    <t xml:space="preserve">Sustento de pago PPC - Dinero en Mano / HORARIO DE PAGO: Mañana / NOTA: tit indica que hablara con hermano hoy para que le preste podria hacer el pagio en estos dias pero pide se le espre hasta el 27 monto 150 ya se envio documento notificacion </t>
  </si>
  <si>
    <t xml:space="preserve">Sustento de pago PPC - Dinero en Mano / HORARIO DE PAGO: Mañana / NOTA: tit indica que pagara el monto de 150 el jueves mañana llega de viaje se le enviara procedimiento </t>
  </si>
  <si>
    <t>Sustento de pago PPC - Dinero en Mano / HORARIO DE PAGO: Mañana / NOTA: TIT INDICA QUE PAGARA ENTRE 26/27 EL MONTO DE LA CUOTA EN COMUNICACION E SULTIMA CUOTA 250</t>
  </si>
  <si>
    <t xml:space="preserve">Sustento de pago PPC - Dinero en Mano / HORARIO DE PAGO: Mañana / NOTA: tit paga n ecpecion </t>
  </si>
  <si>
    <t xml:space="preserve">Sustento de pago PPC - Dinero en Mano / HORARIO DE PAGO: Mañana / NOTA: tit pagara hoy 200 restante 800 e 28 se envia docuementacio y numero de cuenta </t>
  </si>
  <si>
    <t xml:space="preserve">Sustento de pago PPC - Dinero en Mano / HORARIO DE PAGO: Mañana / NOTA: Tit se acoge a excepción aprobada, cancela deuda con S/3500 en 2 partes, pagará adelanto de S/1.750 hoy 13/01 y S/1.750 el 31/01, indica que pago lo realizará aproximadamente al mediodía. </t>
  </si>
  <si>
    <t xml:space="preserve">Sustento de pago PPC - Dinero en Mano / HORARIO DE PAGO: Mañana / NOTA: tit se comunico confirmo que cuenta con los 200 cancelara deuda </t>
  </si>
  <si>
    <t>Sustento de pago PPC - Dinero en Mano / HORARIO DE PAGO: Mañana / NOTA: tit ya pago monto 1100</t>
  </si>
  <si>
    <t>Sustento de pago PPC - Dinero en Mano / HORARIO DE PAGO: Mañana / NOTA: Titula cancela bajo propuesta aprobada, se le envía compromiso de pago vía WhatsApp.</t>
  </si>
  <si>
    <t xml:space="preserve">Sustento de pago PPC - Dinero en Mano / HORARIO DE PAGO: Mañana / NOTA: TITULAR  HOY ADELANTA S/250 Y EL DIA 31/07 LOS S/50 SOLES RESTANTE </t>
  </si>
  <si>
    <t xml:space="preserve">TOTAL: S/300.00 </t>
  </si>
  <si>
    <t>Sustento de pago PPC - Dinero en Mano / HORARIO DE PAGO: Mañana / NOTA: TITULAR ACCEDE A PAGO DE 500 SOLES PARA EL JUEVES 15/08 .CONFIRMA PAGO DE 500 SOLES YA RECIBE PAGOS PENDIENTES ,AGENTE BCP ANTES DE 12PM,ANTES NO PODRA ASUMIR ,DICE QUE SI TIENE UN REPRESENTANTE LEGAL.</t>
  </si>
  <si>
    <t>Sustento de pago PPC - Dinero en Mano / HORARIO DE PAGO: Mañana / NOTA: Titular accedio a cancelacion con S/270 soles para el Lunes30/09 a las  9am por agente  kasnet bcp .</t>
  </si>
  <si>
    <t>Sustento de pago PPC - Dinero en Mano / HORARIO DE PAGO: Mañana / NOTA: Titular cancela bajo importe aprobado, se envía datos de pago vía WhatsApp</t>
  </si>
  <si>
    <t>Sustento de pago PPC - Dinero en Mano / HORARIO DE PAGO: Mañana / NOTA: Titular cancela bajo propuesta aprobada, se envía compromiso vía WhatsApp.</t>
  </si>
  <si>
    <t>Sustento de pago PPC - Dinero en Mano / HORARIO DE PAGO: Mañana / NOTA: Titular cancela bajo propuesta aprobada, se envía datos de pago vía WhatsApp</t>
  </si>
  <si>
    <t xml:space="preserve">Sustento de pago PPC - Dinero en Mano / HORARIO DE PAGO: Mañana / NOTA: TITULAR CANCELA HOY UNA CUOTA S/760.00 PPC VIA WEB DEL BCP YA CUENTA CON EL DINERO </t>
  </si>
  <si>
    <t>Sustento de pago PPC - Dinero en Mano / HORARIO DE PAGO: Mañana / NOTA: Titular cancela por S/360 soles ,31/12.</t>
  </si>
  <si>
    <t xml:space="preserve">Sustento de pago PPC - Dinero en Mano / HORARIO DE PAGO: Mañana / NOTA: TITULAR COMFIRMA PAGO DE 900 PARA EL DIA DE HOY 15/08/25 LO ESTARA REALIZANDO EN OFICINAS BBVA </t>
  </si>
  <si>
    <t xml:space="preserve">Sustento de pago PPC - Dinero en Mano / HORARIO DE PAGO: Mañana / NOTA: TITULAR CONFIRMA PAGO DE S/1500 PARA HOY LO VA REALIZAR EN EL MISMO BANCO BBVA </t>
  </si>
  <si>
    <t>Sustento de pago PPC - Dinero en Mano / HORARIO DE PAGO: Mañana / NOTA: titular confirma pago para el dia de mañana monto 40000</t>
  </si>
  <si>
    <t xml:space="preserve">Sustento de pago PPC - Dinero en Mano / HORARIO DE PAGO: Mañana / NOTA: titular hara su pago el 14  ya que le llego un correo indica que se le envia a su watsapp la informacion requerida y la cuenta bcp para realizacioonm de su pago a las 9 am </t>
  </si>
  <si>
    <t xml:space="preserve">Sustento de pago PPC - Dinero en Mano / HORARIO DE PAGO: Mañana / NOTA: Titular hará su pago hoy hará el pago como pago por servicio desea que se le envíe a su correo el acuerdo de pago contaperuservice@gmail.com pago lo hara ahora como pago por servicio </t>
  </si>
  <si>
    <t xml:space="preserve">Sustento de pago PPC - Dinero en Mano / HORARIO DE PAGO: Mañana / NOTA: TITULAR HOY REALIZA ADELANTO DE 500 POR APP INTERBANK Y IMPORTE RESTANTE DE 2,400 PARA EL DIA 15/08/25 </t>
  </si>
  <si>
    <t xml:space="preserve">Sustento de pago PPC - Dinero en Mano / HORARIO DE PAGO: Mañana / NOTA: TITULAR INDICA FUE AL BANCO BBVA OXAPAMPA LE DIJERON QUE NO TIENE DEUDA POR ESO NO PAGO QUE RECONOCE DEUDA DICE FUE POR UN SEGURO DE TODAS MANERAS CONFIRM EL PAGO PARA EL DIA 14/09 YA QUE ES EL UNICO DIA QUE DESCANSA PARA ACERCARSE. </t>
  </si>
  <si>
    <t>Sustento de pago PPC - Dinero en Mano / HORARIO DE PAGO: Mañana / NOTA: titular indica que hara el deposito en la misma caja y que pagara en horario am el lunes 15</t>
  </si>
  <si>
    <t xml:space="preserve">Sustento de pago PPC - Dinero en Mano / HORARIO DE PAGO: Mañana / NOTA: titular indica que no tenía conocimiento de la deuda, hará el pago desde el app bcp como pago de servicios cuando se desocupe </t>
  </si>
  <si>
    <t xml:space="preserve">Sustento de pago PPC - Dinero en Mano / HORARIO DE PAGO: Mañana / NOTA: titular indica que posiblemente haga el pago el dia de mañana ya que tuvo complicaciones mañana lo hara a las 3 o 4 pm de la tarde </t>
  </si>
  <si>
    <t xml:space="preserve">Sustento de pago PPC - Dinero en Mano / HORARIO DE PAGO: Mañana / NOTA: TItular indica que realizara el pago de 7000 soles  Hoy 28/05  en agencia banco interbank de pucallpa  rango de horario  10 a 11 am  realizara el pago </t>
  </si>
  <si>
    <t xml:space="preserve">Sustento de pago PPC - Dinero en Mano / HORARIO DE PAGO: Mañana / NOTA: TITULAR INDICA QUE REALIZARA PAGO DE 5 MIL HOY POR APP INTERBANK Y 1 MIL EL DIA 31/12/24 </t>
  </si>
  <si>
    <t xml:space="preserve">Sustento de pago PPC - Dinero en Mano / HORARIO DE PAGO: Mañana / NOTA: Titular indica que se acercara a pagar el dia de hoy a la misma FINANCIERA PRO EMPRESA con el importe de S/350.00 soles, se adjunto cuenta de PRO EMPRESA. </t>
  </si>
  <si>
    <t xml:space="preserve">Sustento de pago PPC - Dinero en Mano / HORARIO DE PAGO: Mañana / NOTA: titular mañana a las 10 am estara pagando los 475.50 en la agencia LAN de HUANCAYO. </t>
  </si>
  <si>
    <t>Sustento de pago PPC - Dinero en Mano / HORARIO DE PAGO: Mañana / NOTA: titular pagar elimporte de s/38 el dia de hoy a las 5 de la tarde</t>
  </si>
  <si>
    <t>Sustento de pago PPC - Dinero en Mano / HORARIO DE PAGO: Mañana / NOTA: titular realiara deposito por el importe de s/150 el dia sabado 12/04/25 en la ciudad de tacna</t>
  </si>
  <si>
    <t>Sustento de pago PPC - Dinero en Mano / HORARIO DE PAGO: Mañana / NOTA: TITULAR REALIZARA CANCELACION DE DEUDA EL DIA 21/04/25 POR EL IMPORTE DE 247 SOL</t>
  </si>
  <si>
    <t>Sustento de pago PPC - Dinero en Mano / HORARIO DE PAGO: Mañana / NOTA: Titular realizara el pago de su ultima cuota con el cual cancela por la suma de S/265.00 soles para el Miercoles 30/07/2025 ,contesta por whatsapp .</t>
  </si>
  <si>
    <t>Sustento de pago PPC - Dinero en Mano / HORARIO DE PAGO: Mañana / NOTA: Titular realizara pago de adelanto de S/1,000.00 soles Hoy Lunes 02/02/2026 por app BCP y el restante de S/24,000.00 soles para el Martes 17/02/2026.</t>
  </si>
  <si>
    <t>Sustento de pago PPC - Dinero en Mano / HORARIO DE PAGO: Mañana / NOTA: Titular realizara ultimo pago de cuota por la suma de S/5,000.00 soles para el Miercoles 30/04/2025 por Banco BBVA.</t>
  </si>
  <si>
    <t xml:space="preserve">Sustento de pago PPC - Dinero en Mano / HORARIO DE PAGO: Mañana / NOTA: TITULAR REGULARIZA DEUDA POR APP FALABELLA A CCI BBVA </t>
  </si>
  <si>
    <t>Sustento de pago PPC - Dinero en Mano / HORARIO DE PAGO: Mañana / NOTA: titular se acoge a campaña de 2000 soles .</t>
  </si>
  <si>
    <t>Sustento de pago PPC - Dinero en Mano / HORARIO DE PAGO: Mañana / NOTA: Titular se acoge a campaña de 3222</t>
  </si>
  <si>
    <t>Sustento de pago PPC - Dinero en Mano / HORARIO DE PAGO: Mañana / NOTA: Titular se acoge a campaña de S/ 195.00 soles</t>
  </si>
  <si>
    <t>Sustento de pago PPC - Dinero en Mano / HORARIO DE PAGO: Mañana / NOTA: TT  ACCEDE  A CAMPAÑA DE 920  EL DIA  LUNES 17/03/25   TT  DIO  SU  NUMERO DE WASAP 900268310</t>
  </si>
  <si>
    <t>Sustento de pago PPC - Dinero en Mano / HORARIO DE PAGO: Mañana / NOTA: TT  cancelará en base 11k: 9500 ahora y 1500  para el 24/04, hoy paga 9500 en el banco BBVA.</t>
  </si>
  <si>
    <t xml:space="preserve">Sustento de pago PPC - Dinero en Mano / HORARIO DE PAGO: Mañana / NOTA: tt  con dt  s/ 6,956.84  se le neogcia  s/3,357.63 se le rpopone  2800 tratara de recaudar el monto </t>
  </si>
  <si>
    <t xml:space="preserve">Sustento de pago PPC - Dinero en Mano / HORARIO DE PAGO: Mañana / NOTA: TT  CUENTA  A LA MANO 1800  PARA  CANCELAR </t>
  </si>
  <si>
    <t xml:space="preserve">Sustento de pago PPC - Dinero en Mano / HORARIO DE PAGO: Mañana / NOTA: tt  hara abono de 250 hoy y saldo abona a fdm , </t>
  </si>
  <si>
    <t>Sustento de pago PPC - Dinero en Mano / HORARIO DE PAGO: Mañana / NOTA: tt  ira a agencia hacer el pago aprovechando que esta en la ciudad  pagara 1k hoy y hasta el 15 los 500 restantes</t>
  </si>
  <si>
    <t>Sustento de pago PPC - Dinero en Mano / HORARIO DE PAGO: Mañana / NOTA: tt  llama  al corpo  confirma  pago el dia 28 de FEBRERO QUE RECIBE SU PAGO  EL IMPORTE DE S/420  PARA LA CANCELCION</t>
  </si>
  <si>
    <t>Sustento de pago PPC - Dinero en Mano / HORARIO DE PAGO: Mañana / NOTA: TT  MEJORA PROPUESTA A 900 SOLES:</t>
  </si>
  <si>
    <t>HOY 200 Y EL 30/10 700. SE ENVÍA CONVENIO.</t>
  </si>
  <si>
    <t>Sustento de pago PPC - Dinero en Mano / HORARIO DE PAGO: Mañana / NOTA: TT  MENCIONA  QUE  TUBO  PROBLEMA   MENCIONA  QUE  HOY  DEPOSITARA 500  Y  LA  DIFERENCIA  HASTA 19/05 LOS OTROS 500</t>
  </si>
  <si>
    <t xml:space="preserve">Sustento de pago PPC - Dinero en Mano / HORARIO DE PAGO: Mañana / NOTA: TT  REALIZARA EL PAGO 6 de 6 su ultima cuota solicitara envio  de carta no adeudo al wasap </t>
  </si>
  <si>
    <t xml:space="preserve">Sustento de pago PPC - Dinero en Mano / HORARIO DE PAGO: Mañana / NOTA: tt ab ayer 300 enn los andes panao y cancela 900 a fines de mes </t>
  </si>
  <si>
    <t xml:space="preserve">Sustento de pago PPC - Dinero en Mano / HORARIO DE PAGO: Mañana / NOTA: tt ab hoy 500 y 500 a fines de mes en crednka </t>
  </si>
  <si>
    <t xml:space="preserve">Sustento de pago PPC - Dinero en Mano / HORARIO DE PAGO: Mañana / NOTA: tt abona 1540 soles en bcp </t>
  </si>
  <si>
    <t xml:space="preserve">Sustento de pago PPC - Dinero en Mano / HORARIO DE PAGO: Mañana / NOTA: tt abona 50 hoy 200 restantes a fin de mes </t>
  </si>
  <si>
    <t xml:space="preserve">Sustento de pago PPC - Dinero en Mano / HORARIO DE PAGO: Mañana / NOTA: TT ABONA PENALIDAD DE 50 SOLES </t>
  </si>
  <si>
    <t>Sustento de pago PPC - Dinero en Mano / HORARIO DE PAGO: Mañana / NOTA: tt abonara 400  20/11  y 520  a fin de mes 29/11</t>
  </si>
  <si>
    <t xml:space="preserve">Sustento de pago PPC - Dinero en Mano / HORARIO DE PAGO: Mañana / NOTA: TT ABONARÁ EL IMPORTE DE S/3000 EL DÍA DE HOY Y MAÑANA S./500 PARA REALIZAR LA CANCELACIÓN DEL CRÉDITO </t>
  </si>
  <si>
    <t xml:space="preserve">Sustento de pago PPC - Dinero en Mano / HORARIO DE PAGO: Mañana / NOTA: TT ABONARÁ HOY MEDIANTE TRANSFERENCIA INTERBANCARIA IMPORTE DE S/ 300 PARA PODER BRINDARLE PLAZO HASTA FIN DE MES POR EL 50% ADICIONAL </t>
  </si>
  <si>
    <t>Sustento de pago PPC - Dinero en Mano / HORARIO DE PAGO: Mañana / NOTA: Tt abonó</t>
  </si>
  <si>
    <t>Sustento de pago PPC - Dinero en Mano / HORARIO DE PAGO: Mañana / NOTA: tt abono 300 el sab 9 por bcp y a fines completa 700 para canc</t>
  </si>
  <si>
    <t>Sustento de pago PPC - Dinero en Mano / HORARIO DE PAGO: Mañana / NOTA: tt abono adjunto foto de captura via transferencia bcp</t>
  </si>
  <si>
    <t xml:space="preserve">Sustento de pago PPC - Dinero en Mano / HORARIO DE PAGO: Mañana / NOTA: tt abono el 19-05 - 6k -- faltaria 1k para completar los 7k -- pide plazo hasta fines de mes para completar-- sup tiene conocimiento del caso </t>
  </si>
  <si>
    <t>Sustento de pago PPC - Dinero en Mano / HORARIO DE PAGO: Mañana / NOTA: tt accede a campaña especial de 717</t>
  </si>
  <si>
    <t xml:space="preserve">Sustento de pago PPC - Dinero en Mano / HORARIO DE PAGO: Mañana / NOTA: TT accede a can S/24650 soles, adelanta S/500, resta S/24150 para fin de mes. </t>
  </si>
  <si>
    <t>Sustento de pago PPC - Dinero en Mano / HORARIO DE PAGO: Mañana / NOTA: TT accede a cancelación de deuda total por el importe de S/2258, envía voucher de pago por Whatsapp.</t>
  </si>
  <si>
    <t>Sustento de pago PPC - Dinero en Mano / HORARIO DE PAGO: Mañana / NOTA: TT accede a cancelación por el importe de S/561 (MIN1), donde se le recalca que tendría que realizar adelanto de S/100 el día lunes 10/03/25 en horario de la mañana, y restante de S/461 el 31/03/25, se le ofrece DT,DK (Productos Tacita)</t>
  </si>
  <si>
    <t xml:space="preserve">Sustento de pago PPC - Dinero en Mano / HORARIO DE PAGO: Mañana / NOTA: TT accede a cancelar con el importe de S/395.00 de la sgt manera: hoy 06-04 con S/197.50 y saldo el día 20-04 con S/197.50. </t>
  </si>
  <si>
    <t xml:space="preserve">Sustento de pago PPC - Dinero en Mano / HORARIO DE PAGO: Mañana / NOTA: TT ACCEDE A MC: 910 EL 26-07 LO ESTARA PAGANDO A LAS 8-9AM / SE LE ENVIARA CESION DE DERECHOS - Y CARTA DE ACUERDO / GENERARA EL PAGO MEDIANTE TRANSFERENCIA BCP / SE LE EXPLICA PROCESO DE CNA </t>
  </si>
  <si>
    <t>Sustento de pago PPC - Dinero en Mano / HORARIO DE PAGO: Mañana / NOTA: TT accede a pagar campaña de 1,500,00  el dia de mañana  22/05</t>
  </si>
  <si>
    <t>Sustento de pago PPC - Dinero en Mano / HORARIO DE PAGO: Mañana / NOTA: TT accede a poder cancelar la cuenta con el importe de 10,300, Hoy realizará el pago del 50% con 5,130 y saldo el día 31-12 con S/5,150</t>
  </si>
  <si>
    <t xml:space="preserve">Sustento de pago PPC - Dinero en Mano / HORARIO DE PAGO: Mañana / NOTA: tt acepta campaña de 350 pagando hoy 200 y 150 el día lunes 15/06  completando así la campaña </t>
  </si>
  <si>
    <t xml:space="preserve">Sustento de pago PPC - Dinero en Mano / HORARIO DE PAGO: Mañana / NOTA: tt acepta la cam de S/220 pagando el dia lunes 08/06  S/100  y el dia  15/06   S/120  COMPLETANDO ASI LA CAM </t>
  </si>
  <si>
    <t xml:space="preserve">Sustento de pago PPC - Dinero en Mano / HORARIO DE PAGO: Mañana / NOTA: TT acncelará la deuda con el importe de 2,300 hoy 01/10 </t>
  </si>
  <si>
    <t xml:space="preserve">Sustento de pago PPC - Dinero en Mano / HORARIO DE PAGO: Mañana / NOTA: tt adelanta 190 soles el dia 09 de setiembre y 190 restante el dia 16 se envia copromiso </t>
  </si>
  <si>
    <t>Sustento de pago PPC - Dinero en Mano / HORARIO DE PAGO: Mañana / NOTA: TT ADELANTA 350 EL 15</t>
  </si>
  <si>
    <t>Sustento de pago PPC - Dinero en Mano / HORARIO DE PAGO: Mañana / NOTA: tt adelanta 800, saldo restante el 23 de 3200</t>
  </si>
  <si>
    <t>Sustento de pago PPC - Dinero en Mano / HORARIO DE PAGO: Mañana / NOTA: tt adelanta hoy 1000 soles y restante a fin de mes</t>
  </si>
  <si>
    <t>Sustento de pago PPC - Dinero en Mano / HORARIO DE PAGO: Mañana / NOTA: TT ADELANTA HOY S/50 Y LA DIFERENCIA FIN DE MES.</t>
  </si>
  <si>
    <t>Sustento de pago PPC - Dinero en Mano / HORARIO DE PAGO: Mañana / NOTA: tt adelanto 200 soles solo resta 661</t>
  </si>
  <si>
    <t>Sustento de pago PPC - Dinero en Mano / HORARIO DE PAGO: Mañana / NOTA: TT ADELANTO AYER 200 SOLES EL DIA 28 PAGA LOS 2600 SOLES</t>
  </si>
  <si>
    <t xml:space="preserve">Sustento de pago PPC - Dinero en Mano / HORARIO DE PAGO: Mañana / NOTA: TT atiende dice que no pago porque no tiene la seguridad de q la info sea real y que también acaba de salir de una operación y no puede ir al banco, se le explica que puede hacerlo por otros bancos, TT comenta que podría pagar luego del 20, se da opción de adelnatar el 50% y saldo el 22-12. Se adjuntará por wsp número de IBK y Carta de Notif. </t>
  </si>
  <si>
    <t>Sustento de pago PPC - Dinero en Mano / HORARIO DE PAGO: Mañana / NOTA: tt ayer pago 200 y fin de mes 550 con pago de haberes de cachuelos</t>
  </si>
  <si>
    <t xml:space="preserve">Sustento de pago PPC - Dinero en Mano / HORARIO DE PAGO: Mañana / NOTA: TT can 19400 soles, adelanta 1mil soles, resta 18400 para fin de mes. </t>
  </si>
  <si>
    <t xml:space="preserve">Sustento de pago PPC - Dinero en Mano / HORARIO DE PAGO: Mañana / NOTA: TT CAN 210 REALIZO ADELANTO DEL 50% </t>
  </si>
  <si>
    <t xml:space="preserve">Sustento de pago PPC - Dinero en Mano / HORARIO DE PAGO: Mañana / NOTA: TT CAN 350 </t>
  </si>
  <si>
    <t xml:space="preserve">Sustento de pago PPC - Dinero en Mano / HORARIO DE PAGO: Mañana / NOTA: TT CAN 350 SE LE ENVIA CARTA CAMPAÑA </t>
  </si>
  <si>
    <t xml:space="preserve">Sustento de pago PPC - Dinero en Mano / HORARIO DE PAGO: Mañana / NOTA: tt can 400 </t>
  </si>
  <si>
    <t xml:space="preserve">Sustento de pago PPC - Dinero en Mano / HORARIO DE PAGO: Mañana / NOTA: tt can 480 </t>
  </si>
  <si>
    <t xml:space="preserve">Sustento de pago PPC - Dinero en Mano / HORARIO DE PAGO: Mañana / NOTA: tt can 500 </t>
  </si>
  <si>
    <t xml:space="preserve">Sustento de pago PPC - Dinero en Mano / HORARIO DE PAGO: Mañana / NOTA: TT CAN 5700 PARA EL DIA DE HOY 15/04 SE ENVIA COMPROMISO DE PAGO PAGO HASTA EL MEDIO DIA </t>
  </si>
  <si>
    <t xml:space="preserve">Sustento de pago PPC - Dinero en Mano / HORARIO DE PAGO: Mañana / NOTA: tt can 5k </t>
  </si>
  <si>
    <t xml:space="preserve">Sustento de pago PPC - Dinero en Mano / HORARIO DE PAGO: Mañana / NOTA: tt can 714 dia 05/07 </t>
  </si>
  <si>
    <t xml:space="preserve">Sustento de pago PPC - Dinero en Mano / HORARIO DE PAGO: Mañana / NOTA: TT CAN 850 </t>
  </si>
  <si>
    <t>Sustento de pago PPC - Dinero en Mano / HORARIO DE PAGO: Mañana / NOTA: TT CAN CON EL IMPORTE DE 2,700 EL 29/05</t>
  </si>
  <si>
    <t xml:space="preserve">Sustento de pago PPC - Dinero en Mano / HORARIO DE PAGO: Mañana / NOTA: tt cancela 2000 hoy por bbva </t>
  </si>
  <si>
    <t>Sustento de pago PPC - Dinero en Mano / HORARIO DE PAGO: Mañana / NOTA: TT CANCELA 2100 HOY PAGA 1000 Y MAÑANA  1100  12-5</t>
  </si>
  <si>
    <t>Sustento de pago PPC - Dinero en Mano / HORARIO DE PAGO: Mañana / NOTA: TT CANCELA 240 AL 27  NO PUEDE BAJAR ANTES ESTA EN CAMPO NO HAY NADA ANTES</t>
  </si>
  <si>
    <t>Sustento de pago PPC - Dinero en Mano / HORARIO DE PAGO: Mañana / NOTA: tt cancela 3 k</t>
  </si>
  <si>
    <t>Sustento de pago PPC - Dinero en Mano / HORARIO DE PAGO: Mañana / NOTA: TT CANCELA 5400 27/6</t>
  </si>
  <si>
    <t xml:space="preserve">Sustento de pago PPC - Dinero en Mano / HORARIO DE PAGO: Mañana / NOTA: TT cancela campaña de S/150 el 18.05.2026 mediante aplicativo Yape; se envía información por WhatsApp. </t>
  </si>
  <si>
    <t>Sustento de pago PPC - Dinero en Mano / HORARIO DE PAGO: Mañana / NOTA: TT CANCELA CON 10000 HOY POR BCP</t>
  </si>
  <si>
    <t>Sustento de pago PPC - Dinero en Mano / HORARIO DE PAGO: Mañana / NOTA: tt cancela con 1100</t>
  </si>
  <si>
    <t>Sustento de pago PPC - Dinero en Mano / HORARIO DE PAGO: Mañana / NOTA: tt cancela con 13000</t>
  </si>
  <si>
    <t>Sustento de pago PPC - Dinero en Mano / HORARIO DE PAGO: Mañana / NOTA: tt cancela con 2,500 se informo aprobación.</t>
  </si>
  <si>
    <t>Sustento de pago PPC - Dinero en Mano / HORARIO DE PAGO: Mañana / NOTA: tt cancela con 2.5k toda la deuda por bcp transferencia</t>
  </si>
  <si>
    <t xml:space="preserve">Sustento de pago PPC - Dinero en Mano / HORARIO DE PAGO: Mañana / NOTA: tt cancela con 200 </t>
  </si>
  <si>
    <t>Sustento de pago PPC - Dinero en Mano / HORARIO DE PAGO: Mañana / NOTA: tt cancela con 200 soles, hoy en mismo caja trujillo, nos enviara el voucher antes del medio dia</t>
  </si>
  <si>
    <t>Sustento de pago PPC - Dinero en Mano / HORARIO DE PAGO: Mañana / NOTA: tt cancela con 2500</t>
  </si>
  <si>
    <t>Sustento de pago PPC - Dinero en Mano / HORARIO DE PAGO: Mañana / NOTA: tt cancela con 280 hoy</t>
  </si>
  <si>
    <t xml:space="preserve">Sustento de pago PPC - Dinero en Mano / HORARIO DE PAGO: Mañana / NOTA: TT CANCELA CON 3500 HOY </t>
  </si>
  <si>
    <t xml:space="preserve">Sustento de pago PPC - Dinero en Mano / HORARIO DE PAGO: Mañana / NOTA: TT CANCELA CON 700 SOLES, HOY EN BCP POR TRANSFERENCIA </t>
  </si>
  <si>
    <t>Sustento de pago PPC - Dinero en Mano / HORARIO DE PAGO: Mañana / NOTA: tt cancela con 750</t>
  </si>
  <si>
    <t>Sustento de pago PPC - Dinero en Mano / HORARIO DE PAGO: Mañana / NOTA: tt cancela con 850</t>
  </si>
  <si>
    <t xml:space="preserve">Sustento de pago PPC - Dinero en Mano / HORARIO DE PAGO: Mañana / NOTA: TT cancela con el importe de 9.97 soles. </t>
  </si>
  <si>
    <t xml:space="preserve">Sustento de pago PPC - Dinero en Mano / HORARIO DE PAGO: Mañana / NOTA: TT CANCELA CON S/17,000.0  HOY 14/03 POR TRANFERENCIA EN INTERBANK </t>
  </si>
  <si>
    <t xml:space="preserve">Sustento de pago PPC - Dinero en Mano / HORARIO DE PAGO: Mañana / NOTA: TT CANCELA DEUDA CON 1400 ADELANTÓ 700 EL DIA DE AYER Y HOY COMPLETA LOS ULTIMOS 700 </t>
  </si>
  <si>
    <t xml:space="preserve">Sustento de pago PPC - Dinero en Mano / HORARIO DE PAGO: Mañana / NOTA: tt cancela deuda el 19-02 , estaria  realizando adelanto de 2k </t>
  </si>
  <si>
    <t>Sustento de pago PPC - Dinero en Mano / HORARIO DE PAGO: Mañana / NOTA: tt cancela deuda restante credinka</t>
  </si>
  <si>
    <t>Sustento de pago PPC - Dinero en Mano / HORARIO DE PAGO: Mañana / NOTA: TT CANCELA DT. CON 1700.00 SOLES DE EXCEPCION APROBADA</t>
  </si>
  <si>
    <t>Sustento de pago PPC - Dinero en Mano / HORARIO DE PAGO: Mañana / NOTA: TT CANCELA DT. CON 550 SOLES</t>
  </si>
  <si>
    <t xml:space="preserve">Sustento de pago PPC - Dinero en Mano / HORARIO DE PAGO: Mañana / NOTA: tt cancela el martes 18/11 el 50% s/3500  y el lunes  24 lo que resta 3500 </t>
  </si>
  <si>
    <t xml:space="preserve">Sustento de pago PPC - Dinero en Mano / HORARIO DE PAGO: Mañana / NOTA: tt cancela excepcion </t>
  </si>
  <si>
    <t xml:space="preserve">Sustento de pago PPC - Dinero en Mano / HORARIO DE PAGO: Mañana / NOTA: TT CANCELA HOY CON 16MIL EN EL MISMO BBVA,  SEGUIMIENTO  </t>
  </si>
  <si>
    <t xml:space="preserve">Sustento de pago PPC - Dinero en Mano / HORARIO DE PAGO: Mañana / NOTA: TT CANCELA HOY CON 2K </t>
  </si>
  <si>
    <t>Sustento de pago PPC - Dinero en Mano / HORARIO DE PAGO: Mañana / NOTA: TT CANCELA HOY CON 7MIL SOLES POR TRANSFERENCIA BCP</t>
  </si>
  <si>
    <t xml:space="preserve">Sustento de pago PPC - Dinero en Mano / HORARIO DE PAGO: Mañana / NOTA: TT CANCELA HOY EL PAGO DE LOS 700 SOLES, LO REALIZAR POR APP SE ENVIA INFO VIA WSP, YU DOCUMENTO </t>
  </si>
  <si>
    <t>Sustento de pago PPC - Dinero en Mano / HORARIO DE PAGO: Mañana / NOTA: TT cancela la cuenta con 10k el día 27//09</t>
  </si>
  <si>
    <t>Sustento de pago PPC - Dinero en Mano / HORARIO DE PAGO: Mañana / NOTA: tt cancela la deuda con 4k por scotiabank</t>
  </si>
  <si>
    <t xml:space="preserve">Sustento de pago PPC - Dinero en Mano / HORARIO DE PAGO: Mañana / NOTA: TT cancela la siguiente parte de S/400 el día 31/01 por agente bcp / ya abono s/100 soles </t>
  </si>
  <si>
    <t>Sustento de pago PPC - Dinero en Mano / HORARIO DE PAGO: Mañana / NOTA: tt cancela por agencia de ibk los 10000 soles</t>
  </si>
  <si>
    <t>Sustento de pago PPC - Dinero en Mano / HORARIO DE PAGO: Mañana / NOTA: tt cancela por app BBVA</t>
  </si>
  <si>
    <t xml:space="preserve">Sustento de pago PPC - Dinero en Mano / HORARIO DE PAGO: Mañana / NOTA: tt cancela primera cuota de s/215  06-10  a base de la camp dk s/ 430  indica que cancelara el restante s/215 el 31/07 por el aplicativo  scotiabank </t>
  </si>
  <si>
    <t xml:space="preserve">Sustento de pago PPC - Dinero en Mano / HORARIO DE PAGO: Mañana / NOTA: TT cancela S/1000 el día 31/01 por app interbank / </t>
  </si>
  <si>
    <t xml:space="preserve">Sustento de pago PPC - Dinero en Mano / HORARIO DE PAGO: Mañana / NOTA: TT cancela S/1154.50 el día 28/02 atraves del banco de la nacion </t>
  </si>
  <si>
    <t xml:space="preserve">Sustento de pago PPC - Dinero en Mano / HORARIO DE PAGO: Mañana / NOTA: TT cancela S/149  el día /04/07/2025 a  las 6pm  a través de *medio de pago* agente  bcp  //  *sustento*  ya  cuenta  con el dinero  sañiendo  del trabjo  lo  realiza </t>
  </si>
  <si>
    <t xml:space="preserve">Sustento de pago PPC - Dinero en Mano / HORARIO DE PAGO: Mañana / NOTA: TT cancela S/150 el día 30/06por bcp </t>
  </si>
  <si>
    <t xml:space="preserve">Sustento de pago PPC - Dinero en Mano / HORARIO DE PAGO: Mañana / NOTA: TT cancela S/156 el día 09/05 en interbank /  pago inmediato </t>
  </si>
  <si>
    <t xml:space="preserve">Sustento de pago PPC - Dinero en Mano / HORARIO DE PAGO: Mañana / NOTA: TT cancela S/20,000.00 HASATA EL 8/08 // PRESTAMO FAMILIAR // TT SE ACOGE A EXCEPCION PAGANDO 1000 EL DIA 7/08 POR BBVA  Y 19000 EL DIA 8/08 POR BCP </t>
  </si>
  <si>
    <t xml:space="preserve">Sustento de pago PPC - Dinero en Mano / HORARIO DE PAGO: Mañana / NOTA: TT cancela S/2000 el día  9/05 a las 6 p.m. a través de BCP // Se acoge a excepcion para solucionar </t>
  </si>
  <si>
    <t xml:space="preserve">Sustento de pago PPC - Dinero en Mano / HORARIO DE PAGO: Mañana / NOTA: TT cancela S/250 el día 10/06 por BCP </t>
  </si>
  <si>
    <t xml:space="preserve">Sustento de pago PPC - Dinero en Mano / HORARIO DE PAGO: Mañana / NOTA: TT cancela S/500 el día 07/06 por bcp //se acoge a excepcion // prestamo familiar </t>
  </si>
  <si>
    <t>Sustento de pago PPC - Dinero en Mano / HORARIO DE PAGO: Mañana / NOTA: TT cancela S/500 el día 13/02 por agente bcp / paga con excepcion de 500</t>
  </si>
  <si>
    <t>Sustento de pago PPC - Dinero en Mano / HORARIO DE PAGO: Mañana / NOTA: TT CANCELA SU CUENTA HOY POR BCP.</t>
  </si>
  <si>
    <t>Sustento de pago PPC - Dinero en Mano / HORARIO DE PAGO: Mañana / NOTA: TT CANCELA SU ULITMA CUOTA EL 28 DE FEBRERO</t>
  </si>
  <si>
    <t>Sustento de pago PPC - Dinero en Mano / HORARIO DE PAGO: Mañana / NOTA: TT cancela su última cuota con el importe de S/330.00, ya hizo un pago de 100 el 20/12 y hoy pagará saldo de 230</t>
  </si>
  <si>
    <t>Sustento de pago PPC - Dinero en Mano / HORARIO DE PAGO: Mañana / NOTA: tt cancela toda su deuda con 4k en of del bbva</t>
  </si>
  <si>
    <t>Sustento de pago PPC - Dinero en Mano / HORARIO DE PAGO: Mañana / NOTA: TT CANCELACION APROBADA S/10,000.00</t>
  </si>
  <si>
    <t>09-02-2026 IMPORTE DE S/3,500.00</t>
  </si>
  <si>
    <t>11-02-2026 IMPORTE DE S/1,500.00</t>
  </si>
  <si>
    <t>27-02-2026 IMPORTE DE S/5,000.00</t>
  </si>
  <si>
    <t>Sustento de pago PPC - Dinero en Mano / HORARIO DE PAGO: Mañana / NOTA: TT CANCELAR CON 3,5K , HOY 22-06 CON S/500, MÑN 23-06 CON S/500 Y SALDO DE 2,5K EL 25-06</t>
  </si>
  <si>
    <t>Sustento de pago PPC - Dinero en Mano / HORARIO DE PAGO: Mañana / NOTA: tt cancelar deuda con 560 soles</t>
  </si>
  <si>
    <t>Sustento de pago PPC - Dinero en Mano / HORARIO DE PAGO: Mañana / NOTA: Tt cancelará  en base   a 10K  en doos partes este mes; 5k el 19/07 y el 31/07 5k.</t>
  </si>
  <si>
    <t xml:space="preserve">Sustento de pago PPC - Dinero en Mano / HORARIO DE PAGO: Mañana / NOTA: TT CANCELARA  POR BBVA 4 MIL SOLES </t>
  </si>
  <si>
    <t xml:space="preserve">Sustento de pago PPC - Dinero en Mano / HORARIO DE PAGO: Mañana / NOTA: TT cancelará campaña de S/200 en agente BCP; se le envía información por WhatsApp. </t>
  </si>
  <si>
    <t xml:space="preserve">Sustento de pago PPC - Dinero en Mano / HORARIO DE PAGO: Mañana / NOTA: TT cancelará con descuento excepcional del importe de 6000 ya que era el unico valor que tenia, se le indica que solo era por fecha vigente de dia unico, se le pide excepcion a supervisora sandy y tambien a julio para dicha cancelación, validar por favor, unico beneficio que podría realizar el cliente </t>
  </si>
  <si>
    <t>Sustento de pago PPC - Dinero en Mano / HORARIO DE PAGO: Mañana / NOTA: TT cancelará con el importe de 1889</t>
  </si>
  <si>
    <t>Sustento de pago PPC - Dinero en Mano / HORARIO DE PAGO: Mañana / NOTA: TT CANCELARÁ CON EL IMPORTE DE S/1,050.00 DE LA SGT MANERA: HOY 12-05 CON S/525.00 Y SALDO DE S/525.00 EL 30-05.</t>
  </si>
  <si>
    <t>Sustento de pago PPC - Dinero en Mano / HORARIO DE PAGO: Mañana / NOTA: TT CANCELARÁ CON EL IMPORTE DE S/1,623.00</t>
  </si>
  <si>
    <t>Sustento de pago PPC - Dinero en Mano / HORARIO DE PAGO: Mañana / NOTA: TT CANCELARA CON EL IMPORTE DE S/3000.00 POR AGENTE BBVA</t>
  </si>
  <si>
    <t xml:space="preserve">Sustento de pago PPC - Dinero en Mano / HORARIO DE PAGO: Mañana / NOTA: TT CANCELARÁ CON EL IMPORTE DE S/400 DE LA SGT MANERA: HOY 11-02 CON S/200 Y SALDO DE S/200 EL DÍA 27-02 </t>
  </si>
  <si>
    <t>Sustento de pago PPC - Dinero en Mano / HORARIO DE PAGO: Mañana / NOTA: TT CANCELARA CON EL MONTO DE 3MIL PARA EL DIA DE HOY POR EL MISMO BANCO BBVA.</t>
  </si>
  <si>
    <t>Sustento de pago PPC - Dinero en Mano / HORARIO DE PAGO: Mañana / NOTA: TT CANCELARA CON S/150.00</t>
  </si>
  <si>
    <t>Sustento de pago PPC - Dinero en Mano / HORARIO DE PAGO: Mañana / NOTA: tt cancelara dt. con 1000 soles</t>
  </si>
  <si>
    <t xml:space="preserve">Sustento de pago PPC - Dinero en Mano / HORARIO DE PAGO: Mañana / NOTA: TT CANCELARA EL 19-06 MC: 270 EN BCP DE TINGO. MARIA / SE ENVIA WSP CON N° DE CTA / 3-4PM ESTARIA GENERANDO EL PAGO </t>
  </si>
  <si>
    <t xml:space="preserve">Sustento de pago PPC - Dinero en Mano / HORARIO DE PAGO: Mañana / NOTA: TT CANCELARA EN DOS PARTES EL 26 -08 250 Y EL 29-08 250 </t>
  </si>
  <si>
    <t>Sustento de pago PPC - Dinero en Mano / HORARIO DE PAGO: Mañana / NOTA: TT cancelará excepción aprobada por S/150 el 25.05; se enviará información de cuenta al WhatsApp.</t>
  </si>
  <si>
    <t>Sustento de pago PPC - Dinero en Mano / HORARIO DE PAGO: Mañana / NOTA: TT cancelará excepción aprobada por S/150.00 el 18.06, se enviará información de cuenta al WhatsApp.</t>
  </si>
  <si>
    <t>Sustento de pago PPC - Dinero en Mano / HORARIO DE PAGO: Mañana / NOTA: TT cancelará excepción aprobada por S/300 el 04.06; se enviará información de cuenta al WhatsApp.</t>
  </si>
  <si>
    <t>Sustento de pago PPC - Dinero en Mano / HORARIO DE PAGO: Mañana / NOTA: TT cancelará excepción aprobada por S/320; el 04.06 se enviará información de cuenta al WhatsApp.</t>
  </si>
  <si>
    <t>Sustento de pago PPC - Dinero en Mano / HORARIO DE PAGO: Mañana / NOTA: TT cancelará excepción aprobada por S/600 el 13.05, se enviará información de cuenta al WhatsApp.</t>
  </si>
  <si>
    <t>Sustento de pago PPC - Dinero en Mano / HORARIO DE PAGO: Mañana / NOTA: TT cancelará excepción aprobada por S/700 el 16.06, se enviará información de cuenta al WhatsApp.</t>
  </si>
  <si>
    <t>Sustento de pago PPC - Dinero en Mano / HORARIO DE PAGO: Mañana / NOTA: TT cancelará excepción aprobada por S/700; el 22.06 se enviará información de cuenta al WhatsApp.</t>
  </si>
  <si>
    <t>Sustento de pago PPC - Dinero en Mano / HORARIO DE PAGO: Mañana / NOTA: tt cancelara exepcion de 260</t>
  </si>
  <si>
    <t>Sustento de pago PPC - Dinero en Mano / HORARIO DE PAGO: Mañana / NOTA: tt cancelara hasta el lunes con los 300 soles</t>
  </si>
  <si>
    <t>Sustento de pago PPC - Dinero en Mano / HORARIO DE PAGO: Mañana / NOTA: TT CANCELARÁ HOY 06-05 CON EL IMPORTE DE S/3,080.00</t>
  </si>
  <si>
    <t xml:space="preserve">Sustento de pago PPC - Dinero en Mano / HORARIO DE PAGO: Mañana / NOTA: TT CANCELARÁ HOY 26-05 CON EL IMPORTE DE S/10,252.00 // SE ADJUNTA COMPROMISO DE PAGO. </t>
  </si>
  <si>
    <t xml:space="preserve">Sustento de pago PPC - Dinero en Mano / HORARIO DE PAGO: Mañana / NOTA: TT CANCELARÁ HOY 30-05 CON EL IMPORTE DE S/725.00 </t>
  </si>
  <si>
    <t>Sustento de pago PPC - Dinero en Mano / HORARIO DE PAGO: Mañana / NOTA: TT CANCELARA HOY CON EL DESCUENTO DE S/2,000.00 PAGARA POR EL MISMO BANCO BBVA.</t>
  </si>
  <si>
    <t xml:space="preserve">Sustento de pago PPC - Dinero en Mano / HORARIO DE PAGO: Mañana / NOTA: TT CANCELARÁ LA  DEUDA CON EL IMPORTE DE S/11,285.00 HOY 21-05 </t>
  </si>
  <si>
    <t>Sustento de pago PPC - Dinero en Mano / HORARIO DE PAGO: Mañana / NOTA: TT CANCELARA LA CAMAÑA DENTRO DE MEDIA HORA.</t>
  </si>
  <si>
    <t>Sustento de pago PPC - Dinero en Mano / HORARIO DE PAGO: Mañana / NOTA: TT CANCELARÁ LA CUENTA CON EL IMPORTE DE 5K - 28/09</t>
  </si>
  <si>
    <t xml:space="preserve">Sustento de pago PPC - Dinero en Mano / HORARIO DE PAGO: Mañana / NOTA: TT cancelará la cuenta con el importe de S/330 de la sgt manera hoy 20-08 con S/100 y saldo de S/230 el 29-08 </t>
  </si>
  <si>
    <t>Sustento de pago PPC - Dinero en Mano / HORARIO DE PAGO: Mañana / NOTA: TT CANCELARÁ LA DEUDA CON EL IMPORTE DE 5K EL DÍA DE MAÑANA 03-06.</t>
  </si>
  <si>
    <t xml:space="preserve">Sustento de pago PPC - Dinero en Mano / HORARIO DE PAGO: Mañana / NOTA: TT cancelará la deuda con el importe de S/1,500.00 </t>
  </si>
  <si>
    <t>Sustento de pago PPC - Dinero en Mano / HORARIO DE PAGO: Mañana / NOTA: TT CANCELARÁ LA DEUDA CON EL PAGO DE S/330</t>
  </si>
  <si>
    <t xml:space="preserve">Sustento de pago PPC - Dinero en Mano / HORARIO DE PAGO: Mañana / NOTA: TT cancelará la deuda de la sgt manera: hoy 15-08 con S/100 , el día 16-08 con S/300 y saldo de S/900 el día 29/08 </t>
  </si>
  <si>
    <t xml:space="preserve">Sustento de pago PPC - Dinero en Mano / HORARIO DE PAGO: Mañana / NOTA: TT CANCELARÁ LA DEUDA EL DÍA DE MÑN 13-06 CON EL IMPORTE DE S/2,500.00, SE LE ADJUNTARÁ COMPROMISO DE PAGO. </t>
  </si>
  <si>
    <t xml:space="preserve">Sustento de pago PPC - Dinero en Mano / HORARIO DE PAGO: Mañana / NOTA: TT CANCELARÁ LA DEUDA HOY 02-06 CON EL IMPORTE DE 6K </t>
  </si>
  <si>
    <t xml:space="preserve">Sustento de pago PPC - Dinero en Mano / HORARIO DE PAGO: Mañana / NOTA: TT CANCELARA MC: 900 </t>
  </si>
  <si>
    <t>Sustento de pago PPC - Dinero en Mano / HORARIO DE PAGO: Mañana / NOTA: TT CANCELARA PENDIENTE CON 400 SOLES</t>
  </si>
  <si>
    <t>Sustento de pago PPC - Dinero en Mano / HORARIO DE PAGO: Mañana / NOTA: TT CANCELARA SALDO DE 500.00 SOLES, CON ELLO CANCELA DT.</t>
  </si>
  <si>
    <t>Sustento de pago PPC - Dinero en Mano / HORARIO DE PAGO: Mañana / NOTA: TT CANCELARA SU CAPITAL S/28 / SE ENVIA WSP CON N° DE CTA y enviara voucher.</t>
  </si>
  <si>
    <t>Sustento de pago PPC - Dinero en Mano / HORARIO DE PAGO: Mañana / NOTA: TT cancelará su deuda con el importe de 1,576 el día 15/07</t>
  </si>
  <si>
    <t xml:space="preserve">Sustento de pago PPC - Dinero en Mano / HORARIO DE PAGO: Mañana / NOTA: TT CANCELARÁ SU DEUDA CON ULTIMA CUOTA DE 1K EL 15 </t>
  </si>
  <si>
    <t>Sustento de pago PPC - Dinero en Mano / HORARIO DE PAGO: Mañana / NOTA: TT CANCELARÁ SU DEUDA CON ÚLTIMAS CUOTAS ESTE MES.</t>
  </si>
  <si>
    <t>SALDO DE MAYO CON 1,5K  HOY 01/06</t>
  </si>
  <si>
    <t>CUOTA DE JUNIO CON 2K EL DÍA 15-06</t>
  </si>
  <si>
    <t>Sustento de pago PPC - Dinero en Mano / HORARIO DE PAGO: Mañana / NOTA: tt cancelara ultima cuota de 1000 soles, con ello cancelara dt.</t>
  </si>
  <si>
    <t>Sustento de pago PPC - Dinero en Mano / HORARIO DE PAGO: Mañana / NOTA: TT CANCELO 290</t>
  </si>
  <si>
    <t xml:space="preserve">Sustento de pago PPC - Dinero en Mano / HORARIO DE PAGO: Mañana / NOTA: TT CANCELO CON 4207 </t>
  </si>
  <si>
    <t>Sustento de pago PPC - Dinero en Mano / HORARIO DE PAGO: Mañana / NOTA: tt cancelo deuda con monto de 200</t>
  </si>
  <si>
    <t>Sustento de pago PPC - Dinero en Mano / HORARIO DE PAGO: Mañana / NOTA: TT CANCELO EL 1 DE FEBRERO CAMBIAR FECHA</t>
  </si>
  <si>
    <t xml:space="preserve">Sustento de pago PPC - Dinero en Mano / HORARIO DE PAGO: Mañana / NOTA: TT CANCELO EL MONTO DE 2500 </t>
  </si>
  <si>
    <t>Sustento de pago PPC - Dinero en Mano / HORARIO DE PAGO: Mañana / NOTA: tt cancelo via bcp</t>
  </si>
  <si>
    <t>Sustento de pago PPC - Dinero en Mano / HORARIO DE PAGO: Mañana / NOTA: TT canceolará la cuednta con el importe de S/5,180 de la sgt manera hoy 500 y saldo fdm 30/09</t>
  </si>
  <si>
    <t xml:space="preserve">Sustento de pago PPC - Dinero en Mano / HORARIO DE PAGO: Mañana / NOTA: TT COBRA EL 20 Y CANCELARA O ENVIARA A FAM </t>
  </si>
  <si>
    <t>Sustento de pago PPC - Dinero en Mano / HORARIO DE PAGO: Mañana / NOTA: TT COMENTA DE QUE NO PUDO LLEGAR AL BANCO IBK  PERO REALIZARA EL PAGO POR SCOTIABANK, YA TIENE CONOCIMIENTO SOBRE EL PROCESO POR ELLO NOS INDICA QUE EN BREVE REALIZARA EL PAGO.</t>
  </si>
  <si>
    <t>Sustento de pago PPC - Dinero en Mano / HORARIO DE PAGO: Mañana / NOTA: TT COMPROMISO DE PAGO HOY 800 SOLES</t>
  </si>
  <si>
    <t xml:space="preserve">Sustento de pago PPC - Dinero en Mano / HORARIO DE PAGO: Mañana / NOTA: tt con dt  1,580.61 con dk 681.19 se le propone cancelar camp  s/450  indica que si se puede conseguir para  hoy  31-07 comenta que esta por hacer el deposito por el aplicatiov bcp  </t>
  </si>
  <si>
    <t>Sustento de pago PPC - Dinero en Mano / HORARIO DE PAGO: Mañana / NOTA: TT CONCRETA COMPROMISO DE 1800 SOLES PAGA HOY</t>
  </si>
  <si>
    <t>Sustento de pago PPC - Dinero en Mano / HORARIO DE PAGO: Mañana / NOTA: TT CONFIRMA CANCELACION, DESEA  DOC ANTES DE PAGAR.</t>
  </si>
  <si>
    <t xml:space="preserve">Sustento de pago PPC - Dinero en Mano / HORARIO DE PAGO: Mañana / NOTA: tt confirma dar el adelanto el monto de s/200 por yape y los restante s/1,000 el 30-06 </t>
  </si>
  <si>
    <t xml:space="preserve">Sustento de pago PPC - Dinero en Mano / HORARIO DE PAGO: Mañana / NOTA: tt confirma el abono para el día lunes 17/12 a las 11am vía transferencia </t>
  </si>
  <si>
    <t xml:space="preserve">Sustento de pago PPC - Dinero en Mano / HORARIO DE PAGO: Mañana / NOTA: tt confirma el pago 175 por caja trujillo </t>
  </si>
  <si>
    <t>Sustento de pago PPC - Dinero en Mano / HORARIO DE PAGO: Mañana / NOTA: TT confirma el pago de los 3100 para el dia de hoy. Dinero prestado y campaña de 3k que el bbva le ofrecio y se solicta mejora y mejora 100 mas importe acancelar de 3100</t>
  </si>
  <si>
    <t>Sustento de pago PPC - Dinero en Mano / HORARIO DE PAGO: Mañana / NOTA: TT confirma el pago de su ultoma cuota para el dia 21 de Julio del 2025 importe de pago S/424.00</t>
  </si>
  <si>
    <t xml:space="preserve">Sustento de pago PPC - Dinero en Mano / HORARIO DE PAGO: Mañana / NOTA: tt confirma hacer el pago de los s/250 por el aplicativo bcp  </t>
  </si>
  <si>
    <t xml:space="preserve">Sustento de pago PPC - Dinero en Mano / HORARIO DE PAGO: Mañana / NOTA: TT confirma pago  13.06 importe de 5342 soles, se envio documento de pago </t>
  </si>
  <si>
    <t xml:space="preserve">Sustento de pago PPC - Dinero en Mano / HORARIO DE PAGO: Mañana / NOTA: TT CONFIRMA PAGO DE 194.46 DESPUES DE ACERCARSE AL BANCO BBVA OF VITARTE VALIDO Y CANCELO. </t>
  </si>
  <si>
    <t>Sustento de pago PPC - Dinero en Mano / HORARIO DE PAGO: Mañana / NOTA: TT CONFIRMA PAGO DE 4,500 HOY POR BCP</t>
  </si>
  <si>
    <t xml:space="preserve">Sustento de pago PPC - Dinero en Mano / HORARIO DE PAGO: Mañana / NOTA: TT CONFIRMA PAGO DE 4000 MIL SOLES ADELANTANDO 500 Y COMPLETANDO 3500 EL DIA 17/03/25 </t>
  </si>
  <si>
    <t>Sustento de pago PPC - Dinero en Mano / HORARIO DE PAGO: Mañana / NOTA: TT CONFIRMA PAGO DE 4K HOY Y 3K RESTANTE EL DIA 20/12, REALIZA PAGO POR PAGO DE SERVICIOS BCP</t>
  </si>
  <si>
    <t xml:space="preserve">Sustento de pago PPC - Dinero en Mano / HORARIO DE PAGO: Mañana / NOTA: TT CONFIRMA PAGO DE 700 SOLES PARA EL DIA DE HOY PAGARA EN EL MISMO BANCO BBVA </t>
  </si>
  <si>
    <t>Sustento de pago PPC - Dinero en Mano / HORARIO DE PAGO: Mañana / NOTA: TT CONFIRMA PAGO DE ULTIMA CUOTA DE 490 EL DIA 31/10</t>
  </si>
  <si>
    <t>Sustento de pago PPC - Dinero en Mano / HORARIO DE PAGO: Mañana / NOTA: tt confirma pago para hoy de 15k</t>
  </si>
  <si>
    <t>Sustento de pago PPC - Dinero en Mano / HORARIO DE PAGO: Mañana / NOTA: tt confirma pago por el monto de s/500  cancelara pro el aplicativo bcp</t>
  </si>
  <si>
    <t>Sustento de pago PPC - Dinero en Mano / HORARIO DE PAGO: Mañana / NOTA: tt confirma que pagara el día sábado que recibe su sueldo / S/270 - Dk Actual:703.24Dt Actual:18,243.03 - C1 260.20</t>
  </si>
  <si>
    <t xml:space="preserve">Sustento de pago PPC - Dinero en Mano / HORARIO DE PAGO: Mañana / NOTA: tt confirma que tratara de hacer abonos todos los lunes de 100 soles hasta completar los 300 soles el dia 23/06 </t>
  </si>
  <si>
    <t>Sustento de pago PPC - Dinero en Mano / HORARIO DE PAGO: Mañana / NOTA: TT CONFIRMA REALIZARA CANCELACION CON IMPORTE EXCEPCIONAL DE S/. 600 // PAGO SE REALIZARA HOY 03/02 HORARIO 4PM VIA DEPOSITO SCOTIABANK.</t>
  </si>
  <si>
    <t xml:space="preserve">Sustento de pago PPC - Dinero en Mano / HORARIO DE PAGO: Mañana / NOTA: TT CONFIRMA SU PAGO PARA MAÑANA 18/03/2025 MONTO 2000 SOLES CANCELACION TOTAL </t>
  </si>
  <si>
    <t>Sustento de pago PPC - Dinero en Mano / HORARIO DE PAGO: Mañana / NOTA: tt confirma ultimo pago del mes para el 29-11</t>
  </si>
  <si>
    <t>Sustento de pago PPC - Dinero en Mano / HORARIO DE PAGO: Mañana / NOTA: TT CONFIRMARA INDICA QUE LE MANDARON UN CORREO DE EXPERTIS CON CAMPAÑA DE 900 O 1050// ENVIARA COMPROBANTE</t>
  </si>
  <si>
    <t xml:space="preserve">Sustento de pago PPC - Dinero en Mano / HORARIO DE PAGO: Mañana / NOTA: TT cuenta con 2500, mejora la propuesta a 3000. Propuesta de 3,000 para cancelar el día de hoy por BCP transferencia. </t>
  </si>
  <si>
    <t xml:space="preserve">Sustento de pago PPC - Dinero en Mano / HORARIO DE PAGO: Mañana / NOTA: tt cuenta con dinero en mano para su cancelación </t>
  </si>
  <si>
    <t xml:space="preserve">Sustento de pago PPC - Dinero en Mano / HORARIO DE PAGO: Mañana / NOTA: TT DARA UN ADELANTO DE 1K PARA EL DIA DE HOY, SE CONSULTO CON SUPERVISION SOBRE EL MONTO DE CAMPAÑA, TODO OK, CLIENTE PAGARA 3367 PARA EL 31 DE JULIO, EL PAGO DEL DIA DE HOY SE GENERARIA POR LA TARDE HASTA ANTES DE LAS 3PM, SE LE ENVIO LOS DOCUMENTOS TODO OK. </t>
  </si>
  <si>
    <t xml:space="preserve">Sustento de pago PPC - Dinero en Mano / HORARIO DE PAGO: Mañana / NOTA: tt depositara todo </t>
  </si>
  <si>
    <t>Sustento de pago PPC - Dinero en Mano / HORARIO DE PAGO: Mañana / NOTA: TT desea acogerse a campaña de cancelación de deuda por la DK de S/3930, se le ofrece DT, DK. Se le adjunta carta de notificación, realizará pago el sábado 26/10 a las 11am.</t>
  </si>
  <si>
    <t>Sustento de pago PPC - Dinero en Mano / HORARIO DE PAGO: Mañana / NOTA: tt desea pagar con excepcion de pago 305</t>
  </si>
  <si>
    <t>Sustento de pago PPC - Dinero en Mano / HORARIO DE PAGO: Mañana / NOTA: tt dice q el lunes 12 ab 400 y dif hasta fin de mes se sigue manejando con 850</t>
  </si>
  <si>
    <t>Sustento de pago PPC - Dinero en Mano / HORARIO DE PAGO: Mañana / NOTA: tt dice q el mes pasado no pudo por gastos q tuvo con su hijo q fallecio dice q del 20 en adelante pouede canc 180 pedira adelanto</t>
  </si>
  <si>
    <t xml:space="preserve">Sustento de pago PPC - Dinero en Mano / HORARIO DE PAGO: Mañana / NOTA: tt dice q tuvo problemas con la salud de su abuelta pero q sin falta el sab 24 estara cancelando </t>
  </si>
  <si>
    <t xml:space="preserve">Sustento de pago PPC - Dinero en Mano / HORARIO DE PAGO: Mañana / NOTA: tt dice q ya por cansancio de las llamadas pagara se da hasta el martes 11 que cobra un dinero / pagara en la misma trujillo / ella dice q ya cancelo solo no le dieron cna / </t>
  </si>
  <si>
    <t>Sustento de pago PPC - Dinero en Mano / HORARIO DE PAGO: Mañana / NOTA: TT DICE QUE HA HECHO LO PSIBLE PARA PODER SOLCITAR PRESTAMO DE AMISTA, INDICA QUE EL DIA JUEVES LO PAGAN ASI QUE PARA ESA FECHA LIQUIDA DEUDA SE ENVIA INFO AL WSP</t>
  </si>
  <si>
    <t xml:space="preserve">Sustento de pago PPC - Dinero en Mano / HORARIO DE PAGO: Mañana / NOTA: TT dice que se encuentra a espera de un dinero, dice que está en banca rota porque lo estafaron, ese dia recibirá un dinero y  con toda seguridad efectuará el pago. Se enviará carta de notificación </t>
  </si>
  <si>
    <t xml:space="preserve">Sustento de pago PPC - Dinero en Mano / HORARIO DE PAGO: Mañana / NOTA: TT DT CANC 680 INDICA QUE SOLO DISPONE DE 500 HOY INDICO SE PUEDE ESPERAR EL RESTO CON ABONO HOY POR CAMPAÑA, EXPLICO CESION DICE SE ACERCO A BANCO ANTES SABE QUE YA NO TIENE DEUDA CON BANCO  PAGA HOY 500   ANTES DE LAS 4PM Y PAGA 180 A 27-04 ENVIO AL WTSP </t>
  </si>
  <si>
    <t>Sustento de pago PPC - Dinero en Mano / HORARIO DE PAGO: Mañana / NOTA: TT DT. 652.65  SE SOLICITA  S/350. NO ACCEDE. SE ACEPTA SIEMPRE Y CUANDO SEA HOY. PAHO POR LA TARDE.</t>
  </si>
  <si>
    <t xml:space="preserve">Sustento de pago PPC - Dinero en Mano / HORARIO DE PAGO: Mañana / NOTA: TT EFECTUA ADELANTO DE 200 QUEDA RESTANTE DE 550 SOLES MAXIMO HASTA EL DIA 31/03 </t>
  </si>
  <si>
    <t>Sustento de pago PPC - Dinero en Mano / HORARIO DE PAGO: Mañana / NOTA: tt efectua pago hoy por scotiabank</t>
  </si>
  <si>
    <t>Sustento de pago PPC - Dinero en Mano / HORARIO DE PAGO: Mañana / NOTA: TT EFECTUO FUERA DE FECHA IMPORTE 145 SOLES</t>
  </si>
  <si>
    <t>Sustento de pago PPC - Dinero en Mano / HORARIO DE PAGO: Mañana / NOTA: TT EL DIA DE AYER REALIZO PAGO DE LOS 10000 SOLES APROBADO</t>
  </si>
  <si>
    <t xml:space="preserve">Sustento de pago PPC - Dinero en Mano / HORARIO DE PAGO: Mañana / NOTA: tt enviara su voucher  </t>
  </si>
  <si>
    <t>Sustento de pago PPC - Dinero en Mano / HORARIO DE PAGO: Mañana / NOTA: tt envio voucher bcp el 03-05  250</t>
  </si>
  <si>
    <t>Sustento de pago PPC - Dinero en Mano / HORARIO DE PAGO: Mañana / NOTA: TT ES CHOFER DE BUS INTERPROVINCIAL ESTÁ MANDANDO A SU PAPÁ A LA CAJA PARA CANCELAR. EL PAPÁ ME LLAMÓ PARA CONSUTAR CÓMO HARÍA EL PAGO SE LE MANDA INFO POR WHATSAPP</t>
  </si>
  <si>
    <t>Sustento de pago PPC - Dinero en Mano / HORARIO DE PAGO: Mañana / NOTA: tt es medico hoy esta de guardia mañana 10am realiza el pago en banco de la nacion.</t>
  </si>
  <si>
    <t>Sustento de pago PPC - Dinero en Mano / HORARIO DE PAGO: Mañana / NOTA: TT ESPERANDO AL DIA 15 PARA PAGAR DICE QUE EL BANCO LE BIRNDO CAN DE 1079 SOLES SE ENVIA COMPROMISO</t>
  </si>
  <si>
    <t xml:space="preserve">Sustento de pago PPC - Dinero en Mano / HORARIO DE PAGO: Mañana / NOTA: tt estará haciendo el abono a las 5 pm </t>
  </si>
  <si>
    <t xml:space="preserve">Sustento de pago PPC - Dinero en Mano / HORARIO DE PAGO: Mañana / NOTA: tt estaria haciendo el pago con yape </t>
  </si>
  <si>
    <t>Sustento de pago PPC - Dinero en Mano / HORARIO DE PAGO: Mañana / NOTA: tt estaría haciendo el pago por yape de manera inmediata</t>
  </si>
  <si>
    <t>Sustento de pago PPC - Dinero en Mano / HORARIO DE PAGO: Mañana / NOTA: TT ESTIMA ANTES DEL 17 TENER YA SUS INGRESOS, PERO FIJO EL 17, DESDE EL 10 YA TENDRA VENTAS DE COSECHA IMPORTE DE 19000 SOLES</t>
  </si>
  <si>
    <t>Sustento de pago PPC - Dinero en Mano / HORARIO DE PAGO: Mañana / NOTA: TT generara cancelación mediante el importe brindado de excepción por super sandy, se valida para PDP y cancelación TOTAL</t>
  </si>
  <si>
    <t xml:space="preserve">Sustento de pago PPC - Dinero en Mano / HORARIO DE PAGO: Mañana / NOTA: tt ha ra su pago el dia viernes 04 ya que ahora esta de viaje </t>
  </si>
  <si>
    <t xml:space="preserve">Sustento de pago PPC - Dinero en Mano / HORARIO DE PAGO: Mañana / NOTA: tt hace pago x bbva 8957 </t>
  </si>
  <si>
    <t xml:space="preserve">Sustento de pago PPC - Dinero en Mano / HORARIO DE PAGO: Mañana / NOTA: TT HAR SU PAGO POR LA TARDE YA QUE ESTA TRABAJANDO POR LA SIERRA DE PIURA </t>
  </si>
  <si>
    <t xml:space="preserve">Sustento de pago PPC - Dinero en Mano / HORARIO DE PAGO: Mañana / NOTA: TT HAR SU ULTIMO PAGO </t>
  </si>
  <si>
    <t xml:space="preserve">Sustento de pago PPC - Dinero en Mano / HORARIO DE PAGO: Mañana / NOTA: TT HARA ABONO HOY 5K Y 8K EL 31 DE MES .. SE LE ACLARA AL CLIENTE Q DE NO CUMPLIR CON EL PAGO . EL MONTO VOLVERA MIN A LOS 20K </t>
  </si>
  <si>
    <t xml:space="preserve">Sustento de pago PPC - Dinero en Mano / HORARIO DE PAGO: Mañana / NOTA: tt hara el pago a las 10 am del dia lunes para que cancele </t>
  </si>
  <si>
    <t>Sustento de pago PPC - Dinero en Mano / HORARIO DE PAGO: Mañana / NOTA: tt hara el pago con yape</t>
  </si>
  <si>
    <t>Sustento de pago PPC - Dinero en Mano / HORARIO DE PAGO: Mañana / NOTA: TT hara el pago de 30000 la cual pagara de la siguiente manera: 14880 le dia 20/05 y 15120 el 31.05 para cancelar la totalidad de la deuda, monto de 14880 pagado. via BBVA</t>
  </si>
  <si>
    <t xml:space="preserve">Sustento de pago PPC - Dinero en Mano / HORARIO DE PAGO: Mañana / NOTA: tt hara el pago de su ultima cuota 400 el 30 mayo </t>
  </si>
  <si>
    <t>Sustento de pago PPC - Dinero en Mano / HORARIO DE PAGO: Mañana / NOTA: TT HARA EL PAGO INMEDIATO POR EL BCP</t>
  </si>
  <si>
    <t>Sustento de pago PPC - Dinero en Mano / HORARIO DE PAGO: Mañana / NOTA: TT HARA HOY SU ADELANTO DE LOS 100 Y EKL RESTO PARA EL 25/10 90</t>
  </si>
  <si>
    <t>Sustento de pago PPC - Dinero en Mano / HORARIO DE PAGO: Mañana / NOTA: TT HARA PAGO 2.5K HOY 2.5K MAÑANA Y 5K EL LUNES 20 ENERO</t>
  </si>
  <si>
    <t xml:space="preserve">Sustento de pago PPC - Dinero en Mano / HORARIO DE PAGO: Mañana / NOTA: tt hara pago 500 soles aprobado por excepcion </t>
  </si>
  <si>
    <t>Sustento de pago PPC - Dinero en Mano / HORARIO DE PAGO: Mañana / NOTA: tt hara pago de  cuota 2 de 2 monto de 200 soles  el dia 20.07 en  caja los andes</t>
  </si>
  <si>
    <t xml:space="preserve">Sustento de pago PPC - Dinero en Mano / HORARIO DE PAGO: Mañana / NOTA: tt hara pago de 4631 el dia 30.05  adelantara 200 soles y la diferencia a fin de mes dijo que lle llego descuento de 70% de total de la deuda si cuenta con efectivo se elevara propuesta de pago  </t>
  </si>
  <si>
    <t xml:space="preserve">Sustento de pago PPC - Dinero en Mano / HORARIO DE PAGO: Mañana / NOTA: TT HARA PAGO DE 9K POR BCP </t>
  </si>
  <si>
    <t xml:space="preserve">Sustento de pago PPC - Dinero en Mano / HORARIO DE PAGO: Mañana / NOTA: tt hara pago de su deuda con el importe de 5000 soles el 23/05 abono 1000 soles y el 30/05 abonara 4000 restantes </t>
  </si>
  <si>
    <t>Sustento de pago PPC - Dinero en Mano / HORARIO DE PAGO: Mañana / NOTA: TT HARA PAGO TOTAL DE SU DEUDA BAJO IMPORTE APROBADO POR EXCEPCION 8000 SOLES EL 30/05</t>
  </si>
  <si>
    <t xml:space="preserve">Sustento de pago PPC - Dinero en Mano / HORARIO DE PAGO: Mañana / NOTA: tt hara pago total de su deuda bajo importe de 200 soles aprobado por excepcion </t>
  </si>
  <si>
    <t xml:space="preserve">Sustento de pago PPC - Dinero en Mano / HORARIO DE PAGO: Mañana / NOTA: tt hara pago total de su deuda con el monto de 700 soles hoy 21/07/2025  aprobado por excepcion </t>
  </si>
  <si>
    <t xml:space="preserve">Sustento de pago PPC - Dinero en Mano / HORARIO DE PAGO: Mañana / NOTA: tt hara pago total de su deuda con los 750 soles aprobado por excepcion 09/07/2025 </t>
  </si>
  <si>
    <t>Sustento de pago PPC - Dinero en Mano / HORARIO DE PAGO: Mañana / NOTA: TT HARA SU PAGO</t>
  </si>
  <si>
    <t xml:space="preserve">Sustento de pago PPC - Dinero en Mano / HORARIO DE PAGO: Mañana / NOTA: tt hara su pago el 28 ya no pudo hacerlo el dia de ayer </t>
  </si>
  <si>
    <t>Sustento de pago PPC - Dinero en Mano / HORARIO DE PAGO: Mañana / NOTA: TT HARA SU PAGO EL DIA 17 SI PUEDE ANTES  INDICA POSIBLEMENTE EL 14 O 15 IGUAL COMUNICARA PARA EL TEMA DE SU CUENTA Y PAGAR 1150 A LAS 3 PM</t>
  </si>
  <si>
    <t xml:space="preserve">Sustento de pago PPC - Dinero en Mano / HORARIO DE PAGO: Mañana / NOTA: tt hara su pago el dia de hoyt se le explico lads formas de pago </t>
  </si>
  <si>
    <t xml:space="preserve">Sustento de pago PPC - Dinero en Mano / HORARIO DE PAGO: Mañana / NOTA: tt hara su pago el lunes igual si puede antes lo hara se le enviar acuerdo de pago  y documento  uy la carta de secion derecho </t>
  </si>
  <si>
    <t>Sustento de pago PPC - Dinero en Mano / HORARIO DE PAGO: Mañana / NOTA: TT HARA SU PAGO EN CUSCO YA QUE LLEGUA EL MIERCOLES ÑPOR TEMAS DE TRABAJO SE LE ENVIA LA INFO A SU NUMERO DECWHATSAPP</t>
  </si>
  <si>
    <t xml:space="preserve">Sustento de pago PPC - Dinero en Mano / HORARIO DE PAGO: Mañana / NOTA: TT HARA SU PAGO HOY </t>
  </si>
  <si>
    <t xml:space="preserve">Sustento de pago PPC - Dinero en Mano / HORARIO DE PAGO: Mañana / NOTA: TT HARA SU PAGO HOY 800 Y EL 31 LOS OTRO 800 SE INGRESA SE KLE ENVIA ACUERDO </t>
  </si>
  <si>
    <t>Sustento de pago PPC - Dinero en Mano / HORARIO DE PAGO: Mañana / NOTA: TT HARA SU PAGO HOY 85</t>
  </si>
  <si>
    <t>Sustento de pago PPC - Dinero en Mano / HORARIO DE PAGO: Mañana / NOTA: tt hara su pago hoy con 280 en junin tarma</t>
  </si>
  <si>
    <t>Sustento de pago PPC - Dinero en Mano / HORARIO DE PAGO: Mañana / NOTA: TT HARA SU PAGO HOY CON LOS 300</t>
  </si>
  <si>
    <t xml:space="preserve">Sustento de pago PPC - Dinero en Mano / HORARIO DE PAGO: Mañana / NOTA: tt hara su pago hoy en la cuienta corriente 200 y el resto para el dia 30 2050 se le enviar los documentos </t>
  </si>
  <si>
    <t xml:space="preserve">Sustento de pago PPC - Dinero en Mano / HORARIO DE PAGO: Mañana / NOTA: tt hara su pago hoy enviara vaucher de pago </t>
  </si>
  <si>
    <t xml:space="preserve">Sustento de pago PPC - Dinero en Mano / HORARIO DE PAGO: Mañana / NOTA: tt hara su pago hoy se le envia acuerdo de pago </t>
  </si>
  <si>
    <t xml:space="preserve">Sustento de pago PPC - Dinero en Mano / HORARIO DE PAGO: Mañana / NOTA: TT HARA SU PAGO MAÑANA SU CUENTA CON EL IMPORTE DE 280 VENDRA A OFICIAN PARA EL RECOGO DE SU CARTA DE NO ADEUDO SE LE ENVIA EL ACUERDO DE PAGO Y DIRRECCION DE OFICINA </t>
  </si>
  <si>
    <t xml:space="preserve">Sustento de pago PPC - Dinero en Mano / HORARIO DE PAGO: Mañana / NOTA: TT HARA SU PAGO POR LA TARDE QUE LLEGA DEL TRABAJO ENVIARA VAUCHER DE PAGO </t>
  </si>
  <si>
    <t xml:space="preserve">Sustento de pago PPC - Dinero en Mano / HORARIO DE PAGO: Mañana / NOTA: TT HARA SU PAGO VALIDARA LA INFO </t>
  </si>
  <si>
    <t xml:space="preserve">Sustento de pago PPC - Dinero en Mano / HORARIO DE PAGO: Mañana / NOTA: tt hara su ultimo pago de la cancelacion de su deuda </t>
  </si>
  <si>
    <t xml:space="preserve">Sustento de pago PPC - Dinero en Mano / HORARIO DE PAGO: Mañana / NOTA: tt hara su ultimo pago el 31 para la cancelacion </t>
  </si>
  <si>
    <t xml:space="preserve">Sustento de pago PPC - Dinero en Mano / HORARIO DE PAGO: Mañana / NOTA: TT HARA UN ABONO DE 100  24/06   Y 25 ESTARIA COMPLETANDO 100 SOLES MAS </t>
  </si>
  <si>
    <t xml:space="preserve">Sustento de pago PPC - Dinero en Mano / HORARIO DE PAGO: Mañana / NOTA: tt hara una actividada le estan ayudando sus familiares en realizar la actividada con y poder paggar con 180 la cancelacion </t>
  </si>
  <si>
    <t xml:space="preserve">Sustento de pago PPC - Dinero en Mano / HORARIO DE PAGO: Mañana / NOTA: TT HARTA SU PAGO EL DIA 870 SE ACERCARA A OFICINA AREALIZAR SU PAGO 870SE LE ENVIA ACUERDO </t>
  </si>
  <si>
    <t>Sustento de pago PPC - Dinero en Mano / HORARIO DE PAGO: Mañana / NOTA: tt hiy ancdedlara</t>
  </si>
  <si>
    <t xml:space="preserve">Sustento de pago PPC - Dinero en Mano / HORARIO DE PAGO: Mañana / NOTA: TT HIZO ABONO DE 200 Y HARA ABONO DE 1K FDM </t>
  </si>
  <si>
    <t>Sustento de pago PPC - Dinero en Mano / HORARIO DE PAGO: Mañana / NOTA: tt hizo pago</t>
  </si>
  <si>
    <t>Sustento de pago PPC - Dinero en Mano / HORARIO DE PAGO: Mañana / NOTA: tt hoy abona 300 soles y resto hasta el 29 de agosto informa en los andes de la joya</t>
  </si>
  <si>
    <t>Sustento de pago PPC - Dinero en Mano / HORARIO DE PAGO: Mañana / NOTA: TT HOY ADELANTA 50 SOLES Y DIFERENCIA A FIN DE MES 250</t>
  </si>
  <si>
    <t>Sustento de pago PPC - Dinero en Mano / HORARIO DE PAGO: Mañana / NOTA: tt hoy adelantara 100 y la diferencia a fin de mes</t>
  </si>
  <si>
    <t xml:space="preserve">Sustento de pago PPC - Dinero en Mano / HORARIO DE PAGO: Mañana / NOTA: TT ID QUE LE LLEGÓ UN MSJ DEL 80% - SE BRINDA DSCTO A 173 - Hará su pago HOY hasta las 4pm . </t>
  </si>
  <si>
    <t>Sustento de pago PPC - Dinero en Mano / HORARIO DE PAGO: Mañana / NOTA: tt ind que hara los medios posibles para reunir el dinero entre mañana o maximo el lunes 29</t>
  </si>
  <si>
    <t>Sustento de pago PPC - Dinero en Mano / HORARIO DE PAGO: Mañana / NOTA: tt ind que mañana puede pagar ya que es su dia de descanso, envia cuenta IBK se acercara al banco a apgar</t>
  </si>
  <si>
    <t xml:space="preserve">Sustento de pago PPC - Dinero en Mano / HORARIO DE PAGO: Mañana / NOTA: TT INDICA ADELANTARÁ 100 SOLES EL JUEVES Y RESTANTE 355 FIN DE MES </t>
  </si>
  <si>
    <t xml:space="preserve">Sustento de pago PPC - Dinero en Mano / HORARIO DE PAGO: Mañana / NOTA: tt indica cancelar el monto por el aplicativo bcp monto de s/1,000 </t>
  </si>
  <si>
    <t xml:space="preserve">Sustento de pago PPC - Dinero en Mano / HORARIO DE PAGO: Mañana / NOTA: TT INDICA CONSEGUIR EL IMPORTE DE S/500 PARA REALIZAR LA CANCELACIÓN TOTAL </t>
  </si>
  <si>
    <t xml:space="preserve">Sustento de pago PPC - Dinero en Mano / HORARIO DE PAGO: Mañana / NOTA: tt indica hoy adelanta 700 y viernes 29  los 750 restante, tt indica no pago ayer por tema de dudas de compromiso, supervisora la agenda hoy a las 8 para aclararle las dudas </t>
  </si>
  <si>
    <t xml:space="preserve">Sustento de pago PPC - Dinero en Mano / HORARIO DE PAGO: Mañana / NOTA: TT INDICA PAGAR AHORA MISMO BAJO IMPORTE DE 200 POR YAPE </t>
  </si>
  <si>
    <t>Sustento de pago PPC - Dinero en Mano / HORARIO DE PAGO: Mañana / NOTA: tt indica pago para hoy en bcp</t>
  </si>
  <si>
    <t xml:space="preserve">Sustento de pago PPC - Dinero en Mano / HORARIO DE PAGO: Mañana / NOTA: tt indica que abonará el día de mañana a las 11 am por agente BCP ahora está en chacra en labor de parto de su ganado </t>
  </si>
  <si>
    <t xml:space="preserve">Sustento de pago PPC - Dinero en Mano / HORARIO DE PAGO: Mañana / NOTA: TT INDICA QUE ABONARÁ EL IMPORTE DE S/100 Y A FIN DE MES REALIZARÁ LA CANCELACIÓN DE S/431 </t>
  </si>
  <si>
    <t xml:space="preserve">Sustento de pago PPC - Dinero en Mano / HORARIO DE PAGO: Mañana / NOTA: tt indica que aun no le depositan el dinero de su afp que el pago lo hara erl sabado 20 enviara vaucher de pago </t>
  </si>
  <si>
    <t>Sustento de pago PPC - Dinero en Mano / HORARIO DE PAGO: Mañana / NOTA: tt indica que cancelará 280 el día 15</t>
  </si>
  <si>
    <t>Sustento de pago PPC - Dinero en Mano / HORARIO DE PAGO: Mañana / NOTA: tt indica que cancelará el 15</t>
  </si>
  <si>
    <t xml:space="preserve">Sustento de pago PPC - Dinero en Mano / HORARIO DE PAGO: Mañana / NOTA: tt indica que cancelará el día de mañana las 10am por el monto de 200 soles </t>
  </si>
  <si>
    <t>Sustento de pago PPC - Dinero en Mano / HORARIO DE PAGO: Mañana / NOTA: tt indica que cancelará el día jueves el importe de 120</t>
  </si>
  <si>
    <t>Sustento de pago PPC - Dinero en Mano / HORARIO DE PAGO: Mañana / NOTA: tt indica que cancelará la cuenta por el importe de S/25 el día viernes</t>
  </si>
  <si>
    <t>Sustento de pago PPC - Dinero en Mano / HORARIO DE PAGO: Mañana / NOTA: TT INDICA QUE CANCELARA LA DEUDA EL DIA DE MAÑAMA A LAS 3PM , SE ENVIA TODA LA INFORMACION.</t>
  </si>
  <si>
    <t>Sustento de pago PPC - Dinero en Mano / HORARIO DE PAGO: Mañana / NOTA: tt indica que cancelara liquido su cuenta con  2500</t>
  </si>
  <si>
    <t>Sustento de pago PPC - Dinero en Mano / HORARIO DE PAGO: Mañana / NOTA: TT indica que cancelaría el día de mñana,solo tiene reunido 500 soles.Se le dió campaña de 880 soles.</t>
  </si>
  <si>
    <t xml:space="preserve">Sustento de pago PPC - Dinero en Mano / HORARIO DE PAGO: Mañana / NOTA: TT INDICA QUE DESEA CANCELAR SU   DEUDA 550 YA QUE VA ARECIOBIR SU LIQUIDACION Y UNA JUNTA HARA SU PAGO ANTDES SI TINE EL DINERO </t>
  </si>
  <si>
    <t xml:space="preserve">Sustento de pago PPC - Dinero en Mano / HORARIO DE PAGO: Mañana / NOTA: tt indica que el dia sabado realizara pago de 100 fin de mes 300, esposo trabaja en la chacra </t>
  </si>
  <si>
    <t xml:space="preserve">Sustento de pago PPC - Dinero en Mano / HORARIO DE PAGO: Mañana / NOTA: tt indica que el mes pasado no pudo pagar porque le reprogramaron su pago de haberes para fin de mes hoy paga 200 y diferencia a fin de mes </t>
  </si>
  <si>
    <t>Sustento de pago PPC - Dinero en Mano / HORARIO DE PAGO: Mañana / NOTA: tt indica que estará realizando su pago el sábado entre a las 9 am ya que ese día recién le pagan su salario</t>
  </si>
  <si>
    <t xml:space="preserve">Sustento de pago PPC - Dinero en Mano / HORARIO DE PAGO: Mañana / NOTA: tt indica que hará el pago por el aplicativo bcp monto s/1,000 </t>
  </si>
  <si>
    <t>Sustento de pago PPC - Dinero en Mano / HORARIO DE PAGO: Mañana / NOTA: tt indica que hara el pago por ventanilla de caja trujillo indico que hara el adelanto el dia 17 y lo restante el dia 26 1500, se le brindo los canales de pago pero opta por la ventanilla ya que le queda mas cerca.</t>
  </si>
  <si>
    <t>Sustento de pago PPC - Dinero en Mano / HORARIO DE PAGO: Mañana / NOTA: TT indica que mañana hará el pago el monto de campaña ,se acercara al banco a consultar sobre su otra deuda y del dinero que le han retenido  ,asegura que el pago lo realiza mañana , se recalca que una  dado el benéfico debe evitar el incumplimiento.</t>
  </si>
  <si>
    <t>Sustento de pago PPC - Dinero en Mano / HORARIO DE PAGO: Mañana / NOTA: tt indica que paga hoy mediante trafserencia bpc</t>
  </si>
  <si>
    <t xml:space="preserve">Sustento de pago PPC - Dinero en Mano / HORARIO DE PAGO: Mañana / NOTA: tt indica que pagara 200 para mañana Viernes y 800 para el día Lunes comenta que tiene carga familiar el dinero es parte de un préstamo que le realizara un familiar el pago lo hará a las 3pm  </t>
  </si>
  <si>
    <t xml:space="preserve">Sustento de pago PPC - Dinero en Mano / HORARIO DE PAGO: Mañana / NOTA: tt indica que realizara cancelacion de S/.2,500 en banco BBVA </t>
  </si>
  <si>
    <t xml:space="preserve">Sustento de pago PPC - Dinero en Mano / HORARIO DE PAGO: Mañana / NOTA: tt indica que realizara el pago de 1300 </t>
  </si>
  <si>
    <t>Sustento de pago PPC - Dinero en Mano / HORARIO DE PAGO: Mañana / NOTA: tt indica que realizara el pago de 430 soles en caja los andes de satipo a las 10 am a 11 am   motivo de pago por salud y otros gastos es madre soltera y se encarga de pago  de universidad de hija y maneja mototaxi , cuenta con el efectivo disponible.</t>
  </si>
  <si>
    <t xml:space="preserve">Sustento de pago PPC - Dinero en Mano / HORARIO DE PAGO: Mañana / NOTA: TT INDICA QUE REALIZARA EL PAGO EL LUNES YA LE CONFIRMARON EL ABONO </t>
  </si>
  <si>
    <t xml:space="preserve">Sustento de pago PPC - Dinero en Mano / HORARIO DE PAGO: Mañana / NOTA: tt indica que realizara pago de adelanto el dia lunes de 775 y el restante a fin de mes por scotiabank </t>
  </si>
  <si>
    <t xml:space="preserve">Sustento de pago PPC - Dinero en Mano / HORARIO DE PAGO: Mañana / NOTA: tt indica que realizará pago el 10 de junio monto de 660 </t>
  </si>
  <si>
    <t>Sustento de pago PPC - Dinero en Mano / HORARIO DE PAGO: Mañana / NOTA: tt indica que recibirá un dinero y de ahí dispondrá para la cancelación</t>
  </si>
  <si>
    <t>Sustento de pago PPC - Dinero en Mano / HORARIO DE PAGO: Mañana / NOTA: tt indica que reunio 550, pagara por yape o agente bcp antes de las 12</t>
  </si>
  <si>
    <t xml:space="preserve">Sustento de pago PPC - Dinero en Mano / HORARIO DE PAGO: Mañana / NOTA: TT INDICA QUE SU FAMILIAR NO HIZO EL PAGO QUE LE QUEDO MAL PERO ESTA SEMANA VERA SIN FALTA REALIZAR SU PAGO IONDICA QUE RECIEN SALDRA EKL VIERNES PERO QUE SE LE DE PLAZO PAR PAGAR HASTA LA SIGUIENTE SEMANA </t>
  </si>
  <si>
    <t>Sustento de pago PPC - Dinero en Mano / HORARIO DE PAGO: Mañana / NOTA: tt indica que tuvo percanses que esta en una zona con baja señal pero si desea solucionar su deuda indica que a fin de mes podia pagar su cuenta deuda capitañl s/2,127.52</t>
  </si>
  <si>
    <t xml:space="preserve">Sustento de pago PPC - Dinero en Mano / HORARIO DE PAGO: Mañana / NOTA: tt indica que va cancelar el monto en el banco INTERBANK  por el motno de s/1200 </t>
  </si>
  <si>
    <t xml:space="preserve">Sustento de pago PPC - Dinero en Mano / HORARIO DE PAGO: Mañana / NOTA: tt indica que va cancelar le monto de s/400 por caja trujillo </t>
  </si>
  <si>
    <t xml:space="preserve">Sustento de pago PPC - Dinero en Mano / HORARIO DE PAGO: Mañana / NOTA: tt indica que va hacer el pago por yape motno de s/100 </t>
  </si>
  <si>
    <t xml:space="preserve">Sustento de pago PPC - Dinero en Mano / HORARIO DE PAGO: Mañana / NOTA: tt indica que va hacer le pago por un agente bcp el monto de s/200 </t>
  </si>
  <si>
    <t xml:space="preserve">Sustento de pago PPC - Dinero en Mano / HORARIO DE PAGO: Mañana / NOTA: tt indica que va hacer un adelanto de s/200 sin embargo lo restante lo va hacer para fin de mes  ya confrimo no pudo canelar ya que  tenia desconfianza ya averiguo  y confirma motno </t>
  </si>
  <si>
    <t xml:space="preserve">Sustento de pago PPC - Dinero en Mano / HORARIO DE PAGO: Mañana / NOTA: TT INDICA QUE VERÁ LA MANERA DE PODER CANCELAR LA DEUDA POR EL IMPORTE DE 95 SOLES </t>
  </si>
  <si>
    <t xml:space="preserve">Sustento de pago PPC - Dinero en Mano / HORARIO DE PAGO: Mañana / NOTA: TT INFORMA QUE DESEA PAGAR CON 1200 SOLES, QUE ESTE JUEVES 5/12 TENDRA LA MITAD Y LA DIFERENCIA EL DIA 16/12, PAGARA EN LA MISMA AGENCIA TRUJILLO, ES MUSICO GANA SEMANAL SI TIENE CONTRATO MAÑANA Y JUEVES EN TOCACHE CON ESE DINERO PAGARIA. SE LE ENVIA LOS CODIGOS DE PAGO. </t>
  </si>
  <si>
    <t>Sustento de pago PPC - Dinero en Mano / HORARIO DE PAGO: Mañana / NOTA: tt informa que esta trabajando pero le pagan fuera de fechas. Quiere cancelar cn 1600 soles y mañana jueves abonara a cuenta 200 soles. Se enviara informacion a su whatsapp</t>
  </si>
  <si>
    <t xml:space="preserve">Sustento de pago PPC - Dinero en Mano / HORARIO DE PAGO: Mañana / NOTA: tt informa que esta trabajando y viernes entrega de ahi le pueden pagar para que cancele con 614 soles, ahora solo tiene 100 soles en el bolsillo pero esta eljos de un banco. Asi mismo se le menciona que debe abonar algo ahora para retener la cmpaña. pide que se le llame en 20 min </t>
  </si>
  <si>
    <t xml:space="preserve">Sustento de pago PPC - Dinero en Mano / HORARIO DE PAGO: Mañana / NOTA: TT INFORMA QUE PAGARA EN LA FECHA. ESTA TRABAJANDO FRONTERA CON BOLIVIA DONDE NO HAY BANCOSS. VIERNES APARTIR DE LAS 2 PM ESTARA EN LA CIUDAD </t>
  </si>
  <si>
    <t>Sustento de pago PPC - Dinero en Mano / HORARIO DE PAGO: Mañana / NOTA: tt liquida con 130</t>
  </si>
  <si>
    <t>Sustento de pago PPC - Dinero en Mano / HORARIO DE PAGO: Mañana / NOTA: tt liquida con 60 soles</t>
  </si>
  <si>
    <t>Sustento de pago PPC - Dinero en Mano / HORARIO DE PAGO: Mañana / NOTA: TT LIQUIDARA CON 141 EL 29 JUL Y ADELANTARA 50 SOLES HOY SABADO 20 JUL</t>
  </si>
  <si>
    <t xml:space="preserve">Sustento de pago PPC - Dinero en Mano / HORARIO DE PAGO: Mañana / NOTA: TT LIQUIDARA PENDIENTE CON PROPUESTA DE 1000 SOLES, PAGARA HOY 200 SOLES PARA CONFIRMAR EL RESTO DEL PAGO A FIN DE MES </t>
  </si>
  <si>
    <t>Sustento de pago PPC - Dinero en Mano / HORARIO DE PAGO: Mañana / NOTA: TT LOGRA HACER EL PRIMER PAGO DE 5K--11/07 RESTA EL IMPORTE DE 20K --29/07</t>
  </si>
  <si>
    <t>Sustento de pago PPC - Dinero en Mano / HORARIO DE PAGO: Mañana / NOTA: TT MEJORA PROPUESTA A LA SUMA DE 10K EL CUAL  LO PAGARA DE LA SIGUIETE MANERA, CON UN ADELANTO DE S/1000 PARA ESTE 09/02 Y EL 27/02 PAGARÍA LO RESTANTE QUE ES DE S/9000, INDICA QUE  TODO ESTE DINERO  ES LO QUE HA LOGRADO JUNTAR Y  UNA PARTE ES LO QUE RECIBIRA UNOS PAGOS QUE ESTA REALIZANDO POR ESO  PIDE PLAZO HASTA FIN DE MES, APARTE DE ELLO PAGA UNA HIPOTECA DE MEDIO MILLON EL CUAL LO ESTA PAGANDO AHORA,  Y COMENTA TAMBIEN QUE SUS HIJOS YA EMPEZARA EN EL COLEGIO EL CUAL LE GENERA UN GASTO MAS, POR ESO  PLANTEA PAGAR DE ESA MANERA AHORA PORQUE MAS ADELANTE  YA NO PODRA, YA QUE TENDRA MAS GASTOS. ACTUALMENTE NO TRABAJA POR ESO DEJO DE PAGAR AL BANCO Y APRTE DE ELLO EL BANCO LE SUBIO LOS INTERESES Y POR ESO YA NO PUDO PAGAR.  ACTUALMENTE SOLO TIENE DEUDA CON EL BBVA.   SE INDICO DT E IMPORTE DE CAMPAÑA 17K INICIALMENTE. TT TIENE PROCESO DE DEMANDA EN CUAL NO LLEGO  A UN ACUERO CON EL AREA JUDICIAL.</t>
  </si>
  <si>
    <t>Sustento de pago PPC - Dinero en Mano / HORARIO DE PAGO: Mañana / NOTA: tt menciona  que  ahora  solo  puede  abono 50 y  la  diferencia  la 30 monto de campaña 349  abonara   en tranferencia  bcp  hoy en la tarde</t>
  </si>
  <si>
    <t xml:space="preserve">Sustento de pago PPC - Dinero en Mano / HORARIO DE PAGO: Mañana / NOTA: TT MENCIONA QUE AH TENIDO UNN PERCANSE MUY FUERTE QUE NO LE PERMITIO PAGAR ESTA ALA ESPERA DEL DINERO  TAMBIEN PORQUE AUN NO LE PAGAN EL DIA DOMINGO LE CONFIRMARON PERO SUS JEFES VIENEN EL MARTES Y CON SEGURIDAD LO REALIZARIA ESE DIA SE LE MENCIONO SU DT CAMPAÑA CON 395  QUE SE LE BRINDO </t>
  </si>
  <si>
    <t xml:space="preserve">Sustento:  DE SUS PAGOS DE TRABAJO QUE REALIZA </t>
  </si>
  <si>
    <t xml:space="preserve">Motivo de no pago: UNOS PERCANSES Y EL DINERO QUE NO LE PAGARON </t>
  </si>
  <si>
    <t xml:space="preserve">Fecha:  16/06 </t>
  </si>
  <si>
    <t xml:space="preserve">Propuesta: 395 </t>
  </si>
  <si>
    <t>Sustento de pago PPC - Dinero en Mano / HORARIO DE PAGO: Mañana / NOTA: tt menciona que aviso por que esta haciendo unos tramites y aun no esta trabajando entonces como te comrpmetiste a realizar el pago se te dio tiempo para pagara hasta find e mes, ok para pdoerte respetar al camp puedes pagarlo malana 450 tt dice que para fin de mes ok par finde mes seria bajokap750 y perderias eld escuento de 300 que se te otorga tt dice el 15 puede pagarlo haciendo lo posible prestandose el dinero ok menciono que le acitvare ´por 2da vez ok menciono que s eenviara info por wsp</t>
  </si>
  <si>
    <t xml:space="preserve">Sustento de pago PPC - Dinero en Mano / HORARIO DE PAGO: Mañana / NOTA: tt menciona que cancelara campaña s/1,000 ya que estuvo en el extranjero </t>
  </si>
  <si>
    <t xml:space="preserve">Sustento de pago PPC - Dinero en Mano / HORARIO DE PAGO: Mañana / NOTA: TT MENCIONA QUE HARA EL PAGO A LAS 10 AM   POR AGENTE </t>
  </si>
  <si>
    <t xml:space="preserve">Sustento de pago PPC - Dinero en Mano / HORARIO DE PAGO: Mañana / NOTA: TT MENCIONA QUE HOY PAGARA S/3000 SOLES </t>
  </si>
  <si>
    <t>Sustento de pago PPC - Dinero en Mano / HORARIO DE PAGO: Mañana / NOTA: TT menciona que hoy realiza el pago por yape el importe de s/60 soles</t>
  </si>
  <si>
    <t>Sustento de pago PPC - Dinero en Mano / HORARIO DE PAGO: Mañana / NOTA: tt menciona que no  triene para cancelar 200 solo 100 hoy y el proximo lunes 100 mandara a su familiar de CAJA LOS ANDES CA, 200</t>
  </si>
  <si>
    <t xml:space="preserve">Sustento de pago PPC - Dinero en Mano / HORARIO DE PAGO: Mañana / NOTA: TT MENCIONA QUE NO PAGO CUANDO ESTABA EN INTERBANK  Y LUEGO LO ESTABAN LLAMADNO DE VARIOS ESTUDIOS EL BANCO LE COMENTO QUE LA CUENTA LA TENIA TERCEROS A TENIDO UNA RACHA MAL   NO AH TENIDO CONFIRMA PAGO EL DIA VIERNES 12/06 DE LOS 260 SOLICITA QUE LE ENVIEMOS LOS DOCUMENTOS ACUERDO DE PAGO SENTINEL A SU WASAP </t>
  </si>
  <si>
    <t xml:space="preserve">Sustento:  DE SUS HABERES </t>
  </si>
  <si>
    <t xml:space="preserve">Motivo de no pago:  PORQUE SE LE MALOGRO EL MOVIL LA PANTALLA Y NO VEIA NADA DONDE TENIA QUE PAGAR </t>
  </si>
  <si>
    <t xml:space="preserve">Fecha:  12/06 </t>
  </si>
  <si>
    <t xml:space="preserve">Propuesta: 260 </t>
  </si>
  <si>
    <t xml:space="preserve">Sustento de pago PPC - Dinero en Mano / HORARIO DE PAGO: Mañana / NOTA: tt menciona que pagar el importe de s/1000 soles </t>
  </si>
  <si>
    <t>Sustento de pago PPC - Dinero en Mano / HORARIO DE PAGO: Mañana / NOTA: TT MENCIONA QUE YA CUENTA CON TODO EL DINERO EN SU CUENTA Y QUE HARA EL DEPOSITO EN BREVE POR EL APLICATIVO INTERBANK.</t>
  </si>
  <si>
    <t>Sustento de pago PPC - Dinero en Mano / HORARIO DE PAGO: Mañana / NOTA: tt mencions  que  hara el pago el dia de hoy s/2500 en el mismo BANCO A 1ERA HORA CAN S/2500</t>
  </si>
  <si>
    <t>Sustento de pago PPC - Dinero en Mano / HORARIO DE PAGO: Mañana / NOTA: tt no pago porque su hijo se enfermo el viernes por la tarde estara pagando</t>
  </si>
  <si>
    <t xml:space="preserve">Sustento de pago PPC - Dinero en Mano / HORARIO DE PAGO: Mañana / NOTA: tt no pudo para el dia de ayer el importe de 500 soles el dia de hoy efectuara el pago, estuvo esperando que le depositaran </t>
  </si>
  <si>
    <t>Propuesta 500 soles</t>
  </si>
  <si>
    <t>Fecha:17-07-2025</t>
  </si>
  <si>
    <t>Sustento de pago PPC - Dinero en Mano / HORARIO DE PAGO: Mañana / NOTA: tt nos indica q siempre le tratan mal DT:5,023.45 CLIENTEpresento un reclamo sobre el tema de la deuda , nos dice q no pudo solucionar con el mismo banco y q ahora esta tratando de buscar a una solucion con el tema de la deuda , nos dice q podria pagar ,se le indica monto de piso de 3k para hoy 2.4k y la diferencia el fin de mes .cliente manda sustento de salud y nos indica q se ira pasado mañana a arequipa ya q ella no vive en lima.</t>
  </si>
  <si>
    <t>Sustento de pago PPC - Dinero en Mano / HORARIO DE PAGO: Mañana / NOTA: tt paga 1000 cancelo la deuda , pago en caja los Andes  28-9</t>
  </si>
  <si>
    <t>Sustento de pago PPC - Dinero en Mano / HORARIO DE PAGO: Mañana / NOTA: tt paga 1700</t>
  </si>
  <si>
    <t>Sustento de pago PPC - Dinero en Mano / HORARIO DE PAGO: Mañana / NOTA: tt paga 250 soles en bcp</t>
  </si>
  <si>
    <t xml:space="preserve">Sustento de pago PPC - Dinero en Mano / HORARIO DE PAGO: Mañana / NOTA: tt paga el dia 11 x app bcp </t>
  </si>
  <si>
    <t xml:space="preserve">Sustento de pago PPC - Dinero en Mano / HORARIO DE PAGO: Mañana / NOTA: TT PAGA EN AG DE JULIACA ANTES DE LAS 12PM, </t>
  </si>
  <si>
    <t>Sustento de pago PPC - Dinero en Mano / HORARIO DE PAGO: Mañana / NOTA: tt paga en agente bcp , 2500 soles segun lo acordado.</t>
  </si>
  <si>
    <t>Sustento de pago PPC - Dinero en Mano / HORARIO DE PAGO: Mañana / NOTA: tt paga hasta mañana en la misma of los andes</t>
  </si>
  <si>
    <t xml:space="preserve">Sustento de pago PPC - Dinero en Mano / HORARIO DE PAGO: Mañana / NOTA: tt paga hoy </t>
  </si>
  <si>
    <t xml:space="preserve">Sustento de pago PPC - Dinero en Mano / HORARIO DE PAGO: Mañana / NOTA: tt paga hoy 30 soles </t>
  </si>
  <si>
    <t>Sustento de pago PPC - Dinero en Mano / HORARIO DE PAGO: Mañana / NOTA: tt paga hoy 400 y el 22 600</t>
  </si>
  <si>
    <t xml:space="preserve">Sustento de pago PPC - Dinero en Mano / HORARIO DE PAGO: Mañana / NOTA: TT paga hoy 5/05 s/2000 por BCP, dinero en mano. Se acercará al banco. </t>
  </si>
  <si>
    <t>Sustento de pago PPC - Dinero en Mano / HORARIO DE PAGO: Mañana / NOTA: tt paga hoy máximo hora y media  las 11:am</t>
  </si>
  <si>
    <t>Sustento de pago PPC - Dinero en Mano / HORARIO DE PAGO: Mañana / NOTA: tt paga los 823 el dia de ayer</t>
  </si>
  <si>
    <t xml:space="preserve">Sustento de pago PPC - Dinero en Mano / HORARIO DE PAGO: Mañana / NOTA: tt paga maximo mañana temprano 400 soles </t>
  </si>
  <si>
    <t>Sustento de pago PPC - Dinero en Mano / HORARIO DE PAGO: Mañana / NOTA: tt paga mediante trasferencia bcp.</t>
  </si>
  <si>
    <t xml:space="preserve">Sustento de pago PPC - Dinero en Mano / HORARIO DE PAGO: Mañana / NOTA: tt paga por yape 80 soles </t>
  </si>
  <si>
    <t xml:space="preserve">Sustento de pago PPC - Dinero en Mano / HORARIO DE PAGO: Mañana / NOTA: tt paga su deuda total ,por bcp a mas tardar el dia jueves 14 </t>
  </si>
  <si>
    <t>Sustento de pago PPC - Dinero en Mano / HORARIO DE PAGO: Mañana / NOTA: TT PAGA ULTIMA CUOTA 261</t>
  </si>
  <si>
    <t>Sustento de pago PPC - Dinero en Mano / HORARIO DE PAGO: Mañana / NOTA: TT PAGA ULTIMA CUOTA DE 1600 SOLES PARA EL DIIA 20-03-2025</t>
  </si>
  <si>
    <t xml:space="preserve">Sustento de pago PPC - Dinero en Mano / HORARIO DE PAGO: Mañana / NOTA: TT PAGA ULTIMA CUOTA EL15/12  CONFIRMA </t>
  </si>
  <si>
    <t xml:space="preserve">Sustento de pago PPC - Dinero en Mano / HORARIO DE PAGO: Mañana / NOTA: tt pagar el domingo la cuenta envioara vaucher de pago </t>
  </si>
  <si>
    <t>Sustento de pago PPC - Dinero en Mano / HORARIO DE PAGO: Mañana / NOTA: TT pagará 1k el 10/05</t>
  </si>
  <si>
    <t>Sustento de pago PPC - Dinero en Mano / HORARIO DE PAGO: Mañana / NOTA: tt pagara 3000 k cobro de sus facturas de la municipalidad</t>
  </si>
  <si>
    <t xml:space="preserve">Sustento de pago PPC - Dinero en Mano / HORARIO DE PAGO: Mañana / NOTA: tt pagara 8k en la misma oficina del banco ibk </t>
  </si>
  <si>
    <t xml:space="preserve">Sustento de pago PPC - Dinero en Mano / HORARIO DE PAGO: Mañana / NOTA: tt pagará a las 11 am 250 </t>
  </si>
  <si>
    <t>Sustento de pago PPC - Dinero en Mano / HORARIO DE PAGO: Mañana / NOTA: tt pagara a las 3 pm por la cuenta de yape de su amigo</t>
  </si>
  <si>
    <t>Sustento de pago PPC - Dinero en Mano / HORARIO DE PAGO: Mañana / NOTA: TT pagará con tarjeta de crédito SCOTIABANK.Hoy no lo pudo hacer porque superó los limites, verá si lo hace mañana sino el día jueves.</t>
  </si>
  <si>
    <t xml:space="preserve">Sustento de pago PPC - Dinero en Mano / HORARIO DE PAGO: Mañana / NOTA: TT PAGARA DE LA SIGUIENTE MANERA EN  BASE 4500:  HOY S/4000 Y EL 16/02 500,  YA SE ENVIO DOCUMENTOS AL CORREO DE ENCARGAFA </t>
  </si>
  <si>
    <t>Sustento de pago PPC - Dinero en Mano / HORARIO DE PAGO: Mañana / NOTA: TT pagará el día 13 de julio el valor de 3500 y lo restante el día 26 de julio el importe de 1000, ya que es una excepción solo sería por hoy se le pide por favor que pueda ver una solución y accede a hacer todo lo posible para la cancelación se le hace seguimiento para ver una solución correspondiente, se le pide a super sandy y a julio poder aceptar el beneficio de 4500 ya que el cliente tiene a su padre enfermo</t>
  </si>
  <si>
    <t>Sustento de pago PPC - Dinero en Mano / HORARIO DE PAGO: Mañana / NOTA: TT pagará el día de hoy a las 11 am según lo conversado con la DT del valor de 155, se hace seguimiento para verificar el pago correspondiente</t>
  </si>
  <si>
    <t>Sustento de pago PPC - Dinero en Mano / HORARIO DE PAGO: Mañana / NOTA: tt pagara el día de hoy monto de 245 soles por bbva</t>
  </si>
  <si>
    <t xml:space="preserve">Sustento de pago PPC - Dinero en Mano / HORARIO DE PAGO: Mañana / NOTA: tt pagara en caja los andes </t>
  </si>
  <si>
    <t xml:space="preserve">Sustento de pago PPC - Dinero en Mano / HORARIO DE PAGO: Mañana / NOTA: tt pagara hasta el dia lunes 130 cobra semanal recien empezo a trabajar cobra el sab / pagaria en la misma caja trujillo </t>
  </si>
  <si>
    <t xml:space="preserve">Sustento de pago PPC - Dinero en Mano / HORARIO DE PAGO: Mañana / NOTA: tt pagara hoy 100 soles y 132 pagara a fin de mes completando la can de 232 soles </t>
  </si>
  <si>
    <t>Sustento de pago PPC - Dinero en Mano / HORARIO DE PAGO: Mañana / NOTA: tt pagara hoy 1k y 2k para el 31, su esposo lo hará por transf bcp</t>
  </si>
  <si>
    <t>Sustento de pago PPC - Dinero en Mano / HORARIO DE PAGO: Mañana / NOTA: tt pagara hoy 2k en bbva y 1k el 29 se envia cesion y compromiso por ws´p</t>
  </si>
  <si>
    <t>Sustento de pago PPC - Dinero en Mano / HORARIO DE PAGO: Mañana / NOTA: tt pagara hoy por bcp campaña 6649</t>
  </si>
  <si>
    <t>Sustento de pago PPC - Dinero en Mano / HORARIO DE PAGO: Mañana / NOTA: TT pagará importe de 2860 soles el día de hoy y lo restante de 140 soles el día 15 de Octubre, vive alejada de la ciudad esta en busca de un banco de la nación o un agente, seguimiento</t>
  </si>
  <si>
    <t>Sustento de pago PPC - Dinero en Mano / HORARIO DE PAGO: Mañana / NOTA: TT pagará importe de 4000 por IBK</t>
  </si>
  <si>
    <t>Sustento de pago PPC - Dinero en Mano / HORARIO DE PAGO: Mañana / NOTA: tt pagara la ultima cuota de 300 soles</t>
  </si>
  <si>
    <t xml:space="preserve">Sustento de pago PPC - Dinero en Mano / HORARIO DE PAGO: Mañana / NOTA: tt pagara los 370 soles </t>
  </si>
  <si>
    <t>Sustento de pago PPC - Dinero en Mano / HORARIO DE PAGO: Mañana / NOTA: TT PAGARA PENDIENTE CON 1500 SOLES</t>
  </si>
  <si>
    <t xml:space="preserve">Sustento de pago PPC - Dinero en Mano / HORARIO DE PAGO: Mañana / NOTA: tt pagara por bcp </t>
  </si>
  <si>
    <t>Sustento de pago PPC - Dinero en Mano / HORARIO DE PAGO: Mañana / NOTA: tt pagara por transf bcp</t>
  </si>
  <si>
    <t xml:space="preserve">Sustento de pago PPC - Dinero en Mano / HORARIO DE PAGO: Mañana / NOTA: tt pagara por yape </t>
  </si>
  <si>
    <t xml:space="preserve">Sustento de pago PPC - Dinero en Mano / HORARIO DE PAGO: Mañana / NOTA: tt pagara su cuota el día 15/12 cancelando su excepción con 2000 soles </t>
  </si>
  <si>
    <t xml:space="preserve">Sustento de pago PPC - Dinero en Mano / HORARIO DE PAGO: Mañana / NOTA: tt pagara su última cuota </t>
  </si>
  <si>
    <t>Sustento de pago PPC - Dinero en Mano / HORARIO DE PAGO: Mañana / NOTA: TT PAGARA ULTIMA CUOTA DE 220.00 SOLES</t>
  </si>
  <si>
    <t xml:space="preserve">Sustento de pago PPC - Dinero en Mano / HORARIO DE PAGO: Mañana / NOTA: TT PAGO </t>
  </si>
  <si>
    <t>Sustento de pago PPC - Dinero en Mano / HORARIO DE PAGO: Mañana / NOTA: tt pago 12/02  por la tarde</t>
  </si>
  <si>
    <t>Sustento de pago PPC - Dinero en Mano / HORARIO DE PAGO: Mañana / NOTA: TT PAGO 200 DIFERENCIA A FIN DE MES 100</t>
  </si>
  <si>
    <t>Sustento de pago PPC - Dinero en Mano / HORARIO DE PAGO: Mañana / NOTA: TT PAGO DIA 19-06/ 5:47 PM</t>
  </si>
  <si>
    <t>Sustento de pago PPC - Dinero en Mano / HORARIO DE PAGO: Mañana / NOTA: tt pago el 13 de mayo</t>
  </si>
  <si>
    <t>Sustento de pago PPC - Dinero en Mano / HORARIO DE PAGO: Mañana / NOTA: tt pago el dia 7 de mayo</t>
  </si>
  <si>
    <t>Sustento de pago PPC - Dinero en Mano / HORARIO DE PAGO: Mañana / NOTA: tt pago los s/2,000.00  según lo acordado ,trasferencia interbank</t>
  </si>
  <si>
    <t>Sustento de pago PPC - Dinero en Mano / HORARIO DE PAGO: Mañana / NOTA: tt pago por la tarde el monto de s/700 via transferencia bcp</t>
  </si>
  <si>
    <t>Sustento de pago PPC - Dinero en Mano / HORARIO DE PAGO: Mañana / NOTA: tt pagra ultima cuota</t>
  </si>
  <si>
    <t xml:space="preserve">Sustento de pago PPC - Dinero en Mano / HORARIO DE PAGO: Mañana / NOTA: tt pgara 550 soles  quiere venir a nuestras oficinas el dia de hoy abona algo y lo restante ell dia 26 </t>
  </si>
  <si>
    <t>Sustento de pago PPC - Dinero en Mano / HORARIO DE PAGO: Mañana / NOTA: TT PGO HOY 500 SOLES</t>
  </si>
  <si>
    <t>Sustento de pago PPC - Dinero en Mano / HORARIO DE PAGO: Mañana / NOTA: TT pide facilidad para pagar el importe de 3000, paga hoy 550 y lo restante el día 25 de 2450, se elevo el apoyo a supervisora y Gerencia para pagar el día de hoy</t>
  </si>
  <si>
    <t>Sustento de pago PPC - Dinero en Mano / HORARIO DE PAGO: Mañana / NOTA: TT pide se le brinde el apoyo para cancelar generando un pago incial de 200 soles el día de mañana 06 de Septiembre antes de las 5 p.m. y lo restante de 950 a fines de mes, se le genera compromiso del min1 de 1150</t>
  </si>
  <si>
    <t>Sustento de pago PPC - Dinero en Mano / HORARIO DE PAGO: Mañana / NOTA: TT POR TEMA ECONOMICO NO PUDO EFECTUAR SU PAGO, SE COMPROMETE A PAGAR EL DIA DE HOY SE ENVIA INFORMACION AL WSP PAGANDO LOS 246 SOLES HOY POR APP</t>
  </si>
  <si>
    <t>Sustento de pago PPC - Dinero en Mano / HORARIO DE PAGO: Mañana / NOTA: tt posiblemenmte pague hoy  saliendo de consulta meduica</t>
  </si>
  <si>
    <t>Sustento de pago PPC - Dinero en Mano / HORARIO DE PAGO: Mañana / NOTA: tt propone 180 para poder cancelar su deuda dinero obtenido del ahorro que tiene , indica que por pandemia dejo de pagar se le dio el monto de C1 para cancelar pero no cuenta con el monto mencionado comenta que tiene carga familiar se encuentra en el banco para realizar el pago mediante deposito bancario</t>
  </si>
  <si>
    <t>Sustento de pago PPC - Dinero en Mano / HORARIO DE PAGO: Mañana / NOTA: tt propone 400 soles para cancelar la deuda con caja trujillo, indica que vive en Orcotuna cuidad alejada por eso se retrasó en su pago comenta que tiene carga familiar pago lo realizaría a través de transferencia via bcp a las 12:30 realizara el pago el dinero propuesto es de sus ahorros</t>
  </si>
  <si>
    <t>Sustento de pago PPC - Dinero en Mano / HORARIO DE PAGO: Mañana / NOTA: tt propone el monto de 1850 para la cancelación de su deuda, indica que por pandemia no pudo de terminar de pagar su deuda ,el dinero forma parte de sus ahorros comenta que tiene carga familiar el pago lo realizara a las 12pm mediante transferencia via BCP</t>
  </si>
  <si>
    <t>Sustento de pago PPC - Dinero en Mano / HORARIO DE PAGO: Mañana / NOTA: tt propone el monto de 200 indica que dejo de pagar por la pandemia se le brinda el monto de C1 tt realizara el pago a traves de un agente BCP a las 15:30 el dinero es parte de sus ahorros</t>
  </si>
  <si>
    <t xml:space="preserve">Sustento de pago PPC - Dinero en Mano / HORARIO DE PAGO: Mañana / NOTA: tt propone pagar con 500 en una hora podra hacer el pago </t>
  </si>
  <si>
    <t>Sustento de pago PPC - Dinero en Mano / HORARIO DE PAGO: Mañana / NOTA: TT REALIARA PAGO DE 12K POR EL BANCO BBVA</t>
  </si>
  <si>
    <t>Sustento de pago PPC - Dinero en Mano / HORARIO DE PAGO: Mañana / NOTA: TT REALISARA EL PAGO DE SU CUENTA PROCEDENCIA DE DINERO DE SU SUELDO A TT LE PAGAN HOY PEROS OLICITA EL PAGO PARA EL DIA DE MAÑANA COMO MAXIMO  YA QUE LE PAGAN TARDE A TT SE LE ENVIARA EL ACUERDO A SU WHATSAPP</t>
  </si>
  <si>
    <t xml:space="preserve">Sustento de pago PPC - Dinero en Mano / HORARIO DE PAGO: Mañana / NOTA: TT REALISARA SU PAVGO EL DIA DE MAÑANA EN LA MISMA CAJA TRUJILLO CON EL IMPÓRTE DE 280 </t>
  </si>
  <si>
    <t xml:space="preserve">Sustento de pago PPC - Dinero en Mano / HORARIO DE PAGO: Mañana / NOTA: TT REALIZA ADELANTO DE 1.5K DIFERENCIA PARA EL DIA 28/06 </t>
  </si>
  <si>
    <t xml:space="preserve">Sustento de pago PPC - Dinero en Mano / HORARIO DE PAGO: Mañana / NOTA: tt realiza cancelacion por bcp </t>
  </si>
  <si>
    <t>Sustento de pago PPC - Dinero en Mano / HORARIO DE PAGO: Mañana / NOTA: TT REALIZA EL PAGO DE 1000 EL 21.06</t>
  </si>
  <si>
    <t xml:space="preserve">Sustento de pago PPC - Dinero en Mano / HORARIO DE PAGO: Mañana / NOTA: tt realiza el pago en base a prop de 8k , </t>
  </si>
  <si>
    <t xml:space="preserve">Sustento de pago PPC - Dinero en Mano / HORARIO DE PAGO: Mañana / NOTA: tt realiza el pago en INTERBANK por importe de 1 mil soles a las 5 pm </t>
  </si>
  <si>
    <t>Sustento de pago PPC - Dinero en Mano / HORARIO DE PAGO: Mañana / NOTA: tt realiza pago 3500 por BBVA</t>
  </si>
  <si>
    <t xml:space="preserve">Sustento de pago PPC - Dinero en Mano / HORARIO DE PAGO: Mañana / NOTA: tt realiza pago 8k </t>
  </si>
  <si>
    <t>Sustento de pago PPC - Dinero en Mano / HORARIO DE PAGO: Mañana / NOTA: tt realiza pago de 2700 por transferencia BCP</t>
  </si>
  <si>
    <t>Sustento de pago PPC - Dinero en Mano / HORARIO DE PAGO: Mañana / NOTA: tt realiza pago de 300 por transferencia BCP</t>
  </si>
  <si>
    <t>Sustento de pago PPC - Dinero en Mano / HORARIO DE PAGO: Mañana / NOTA: tt realiza pago de 500 por Caja los Andes</t>
  </si>
  <si>
    <t xml:space="preserve">Sustento de pago PPC - Dinero en Mano / HORARIO DE PAGO: Mañana / NOTA: TT realiza pago de adelanto de S/200 envia voucher agencia ibk, resta 3300 para el dia 29-08 </t>
  </si>
  <si>
    <t>Sustento de pago PPC - Dinero en Mano / HORARIO DE PAGO: Mañana / NOTA: TT REALIZA PAGO DE CANCELACION DE S/1500 POR EXCEPCION APROBADO POR MAYRA</t>
  </si>
  <si>
    <t xml:space="preserve">Sustento de pago PPC - Dinero en Mano / HORARIO DE PAGO: Mañana / NOTA: tt realiza pago de S/250 por BCP </t>
  </si>
  <si>
    <t xml:space="preserve">Sustento de pago PPC - Dinero en Mano / HORARIO DE PAGO: Mañana / NOTA: tt realiza pago de S/90 por transferencia </t>
  </si>
  <si>
    <t>Sustento de pago PPC - Dinero en Mano / HORARIO DE PAGO: Mañana / NOTA: TT REALIZA PAGO EL 18/01 MEDIANTE EL BANCO BBVA, 7000 PARA LIQUIDAR DEUDA</t>
  </si>
  <si>
    <t xml:space="preserve">Sustento de pago PPC - Dinero en Mano / HORARIO DE PAGO: Mañana / NOTA: tt realiza pago el dia de hoy </t>
  </si>
  <si>
    <t>Sustento de pago PPC - Dinero en Mano / HORARIO DE PAGO: Mañana / NOTA: tt realiza pago hoy 09/09/2026 S/700 por transferencia BCP y lo restante de s/750 el viernes 12/06/2026</t>
  </si>
  <si>
    <t>Sustento de pago PPC - Dinero en Mano / HORARIO DE PAGO: Mañana / NOTA: TT REALIZA PAGO MEDIANTE PAGO DE SERVICIOS BCP PARA LIQUIDAR SU DEUDA</t>
  </si>
  <si>
    <t>Sustento de pago PPC - Dinero en Mano / HORARIO DE PAGO: Mañana / NOTA: tt realiza pago por agente BCP 2400</t>
  </si>
  <si>
    <t>Sustento de pago PPC - Dinero en Mano / HORARIO DE PAGO: Mañana / NOTA: tt realiza pago por agente BCP de 700</t>
  </si>
  <si>
    <t>Sustento de pago PPC - Dinero en Mano / HORARIO DE PAGO: Mañana / NOTA: tt realiza pago por BBVA de 1000</t>
  </si>
  <si>
    <t>Sustento de pago PPC - Dinero en Mano / HORARIO DE PAGO: Mañana / NOTA: tt realiza pago por BCP  de 400</t>
  </si>
  <si>
    <t>Sustento de pago PPC - Dinero en Mano / HORARIO DE PAGO: Mañana / NOTA: tt realiza pago por BCP de 1200</t>
  </si>
  <si>
    <t>Sustento de pago PPC - Dinero en Mano / HORARIO DE PAGO: Mañana / NOTA: tt realiza pago por BCP de 1800</t>
  </si>
  <si>
    <t>Sustento de pago PPC - Dinero en Mano / HORARIO DE PAGO: Mañana / NOTA: tt realiza pago por BCP de 300</t>
  </si>
  <si>
    <t>Sustento de pago PPC - Dinero en Mano / HORARIO DE PAGO: Mañana / NOTA: tt realiza pago por yape de 200</t>
  </si>
  <si>
    <t>Sustento de pago PPC - Dinero en Mano / HORARIO DE PAGO: Mañana / NOTA: tt realiza pago por yape de 350</t>
  </si>
  <si>
    <t>Sustento de pago PPC - Dinero en Mano / HORARIO DE PAGO: Mañana / NOTA: tt realiza pago por yape de 390</t>
  </si>
  <si>
    <t>Sustento de pago PPC - Dinero en Mano / HORARIO DE PAGO: Mañana / NOTA: TT REALIZARÁ  LA CANCELACIÓN CON EL IMPORTE DE 1,4K, HOY 1,2K Y SALDO EL 27 CON S/200</t>
  </si>
  <si>
    <t xml:space="preserve">Sustento de pago PPC - Dinero en Mano / HORARIO DE PAGO: Mañana / NOTA: TT REALIZARA ADELANTO Y DIFERENCIA A FINES DE MES EL DIA DE MAÑANA 19/10 </t>
  </si>
  <si>
    <t xml:space="preserve">Sustento de pago PPC - Dinero en Mano / HORARIO DE PAGO: Mañana / NOTA: tt realizara el pago de 1k hoy y lo 1k restantes el 29/5 </t>
  </si>
  <si>
    <t>Sustento de pago PPC - Dinero en Mano / HORARIO DE PAGO: Mañana / NOTA: tt realizara el pago de 500 mediante yape para hoy 21/04/26 a las 11am hará el deposito</t>
  </si>
  <si>
    <t xml:space="preserve">Sustento de pago PPC - Dinero en Mano / HORARIO DE PAGO: Mañana / NOTA: TT REALIZARA EL PAGO DE 5MIL EL DIA DE HOY Y LO RESTANTE EL DIA 15/07  S/1,220   ENVIARA COMPROBANTE DE PAGO  WASAP </t>
  </si>
  <si>
    <t xml:space="preserve">Sustento de pago PPC - Dinero en Mano / HORARIO DE PAGO: Mañana / NOTA: TT REALIZARA EL PAGO DE SU ULTIMA CUOTA DE 621  PARA LA CANCELACION DE SU DEUDA </t>
  </si>
  <si>
    <t xml:space="preserve">SUSTENTO DE PAGO: El dinero es del pago de su planilla </t>
  </si>
  <si>
    <t xml:space="preserve">MOTIVO DE NO PAGO: por temas personales    </t>
  </si>
  <si>
    <t xml:space="preserve">FECHA DE PAGO: 26.07 </t>
  </si>
  <si>
    <t xml:space="preserve">MONTO PROPUESTA: monto 621 </t>
  </si>
  <si>
    <t xml:space="preserve">Sustento de pago PPC - Dinero en Mano / HORARIO DE PAGO: Mañana / NOTA: TT realizará el pago de su última cuota para el día 30/09 con el importe de 2k </t>
  </si>
  <si>
    <t xml:space="preserve">Sustento de pago PPC - Dinero en Mano / HORARIO DE PAGO: Mañana / NOTA: TT REALIZARA EL PAGO EL DIA DE MAÑANA DE 400 SOLES </t>
  </si>
  <si>
    <t xml:space="preserve">Sustento de pago PPC - Dinero en Mano / HORARIO DE PAGO: Mañana / NOTA: tt realizara el pago en 3 vouchers </t>
  </si>
  <si>
    <t xml:space="preserve">Sustento de pago PPC - Dinero en Mano / HORARIO DE PAGO: Mañana / NOTA: Tt realizará el pago mediante un agente el día 30/08 </t>
  </si>
  <si>
    <t>Sustento de pago PPC - Dinero en Mano / HORARIO DE PAGO: Mañana / NOTA: TT REALIZARÁ LA CANCELACIÓN CON EL IMPORTE DE 1,2K, HOY HARÁ UN PAGO DE S/600 Y SALDO EL DÍA 31-01</t>
  </si>
  <si>
    <t xml:space="preserve">Sustento de pago PPC - Dinero en Mano / HORARIO DE PAGO: Mañana / NOTA: TT REALIZARÁ LA CANCELACIÓN CON EL IMPORTE DE 18K DE LA SGT MANERA HOY 10K Y SALDO EL 30-01 CON 8K </t>
  </si>
  <si>
    <t xml:space="preserve">Sustento de pago PPC - Dinero en Mano / HORARIO DE PAGO: Mañana / NOTA: TT realizará la cancelación con el importe de 2,5K hoy 30/04 </t>
  </si>
  <si>
    <t xml:space="preserve">Sustento de pago PPC - Dinero en Mano / HORARIO DE PAGO: Mañana / NOTA: TT realizará la cancelación con el importe de 5,200 de la siguiente manera: 04/07 con 4k y saldo de 1,200 el día 15/07 </t>
  </si>
  <si>
    <t>Sustento de pago PPC - Dinero en Mano / HORARIO DE PAGO: Mañana / NOTA: TT REALIZARÁ LA CANCELACIÓN CON EL IMPORTE DE 61 SOLES HOY 12/08</t>
  </si>
  <si>
    <t xml:space="preserve">Sustento de pago PPC - Dinero en Mano / HORARIO DE PAGO: Mañana / NOTA: TT realizará la cancelación con el importe de S/1,175  el 02/07 </t>
  </si>
  <si>
    <t>Sustento de pago PPC - Dinero en Mano / HORARIO DE PAGO: Mañana / NOTA: TT REALIZARÁ LA CANCELACIÓN CON EL IMPORTE DE S/13,500 DE LA SGT MANERA: 1ER PAGO EL DÍA DE HOY 13-02 CON S/6,750 Y SALDO EL DÍA 17-02</t>
  </si>
  <si>
    <t xml:space="preserve">Sustento de pago PPC - Dinero en Mano / HORARIO DE PAGO: Mañana / NOTA: TT realizará la cancelación con el importe de S/2,500 el día 14/06 </t>
  </si>
  <si>
    <t xml:space="preserve">Sustento de pago PPC - Dinero en Mano / HORARIO DE PAGO: Mañana / NOTA: TT REALIZARÁ LA CANCELACIÓN CON EL IMPORTE DE S/500 EL DÍA DE MÑN 18-12 </t>
  </si>
  <si>
    <t xml:space="preserve">Sustento de pago PPC - Dinero en Mano / HORARIO DE PAGO: Mañana / NOTA: TT REALIZARÁ LA CANCELACIÓN CON EL IMPORTE DE S/500.00 </t>
  </si>
  <si>
    <t>Sustento de pago PPC - Dinero en Mano / HORARIO DE PAGO: Mañana / NOTA: TT realizará la cancelación con el importe de S/521.00 de la sgt manera:</t>
  </si>
  <si>
    <t>1ER pago el día 13-02 con el monto de S/260,50 y saldo el día 28-02 con S/260,50.</t>
  </si>
  <si>
    <t xml:space="preserve">Sustento de pago PPC - Dinero en Mano / HORARIO DE PAGO: Mañana / NOTA: TT realizará la cancelación de su última cuota para el día 26/10 con el importe de S/195.00 </t>
  </si>
  <si>
    <t>Sustento de pago PPC - Dinero en Mano / HORARIO DE PAGO: Mañana / NOTA: TT realizará la cancelación el importe de 8k el 23/12</t>
  </si>
  <si>
    <t xml:space="preserve">Sustento de pago PPC - Dinero en Mano / HORARIO DE PAGO: Mañana / NOTA: TT REALIZARA LE PAGO DE LA DEUDA DE 2K HOY 2857 EL 11/12 Y 7,284.00, EL 30/12 </t>
  </si>
  <si>
    <t xml:space="preserve">Sustento de pago PPC - Dinero en Mano / HORARIO DE PAGO: Mañana / NOTA: tt realizara pago de 1500 soles </t>
  </si>
  <si>
    <t xml:space="preserve">Sustento de pago PPC - Dinero en Mano / HORARIO DE PAGO: Mañana / NOTA: tt realizara pago de 160 soles hoy 13.05  en agencia e interbank , el mall ventura de callao , entre 11am a 11.30m  confirmara si expertis es la empresa a  cargo de la deuda y realizara el pago </t>
  </si>
  <si>
    <t xml:space="preserve">Sustento de pago PPC - Dinero en Mano / HORARIO DE PAGO: Mañana / NOTA: TT REALIZARA PAGO DE 2 MIL CON LA LIBERACION DE LA CTS </t>
  </si>
  <si>
    <t xml:space="preserve">Sustento de pago PPC - Dinero en Mano / HORARIO DE PAGO: Mañana / NOTA: tt realizara pago de 2k el dia 16/05  y 500 el 30/05 </t>
  </si>
  <si>
    <t>Sustento de pago PPC - Dinero en Mano / HORARIO DE PAGO: Mañana / NOTA: tt realizara pago de 2k el dia de hoy y mil a fin de mes</t>
  </si>
  <si>
    <t>Sustento de pago PPC - Dinero en Mano / HORARIO DE PAGO: Mañana / NOTA: tt realizara pago de 2k para liqiidar la deuda</t>
  </si>
  <si>
    <t xml:space="preserve">Sustento de pago PPC - Dinero en Mano / HORARIO DE PAGO: Mañana / NOTA: tt realizara pago de 3100 hoy 30.05  por transferencia bcp  </t>
  </si>
  <si>
    <t xml:space="preserve">Sustento de pago PPC - Dinero en Mano / HORARIO DE PAGO: Mañana / NOTA: tt realizara pago de 390 hoy  04/05 por transferencia BCP en forma inmediata una vez se le envié las cuenta s corrientes autorizadas , motivo de no  pago , : personales </t>
  </si>
  <si>
    <t xml:space="preserve">Sustento de pago PPC - Dinero en Mano / HORARIO DE PAGO: Mañana / NOTA: TT REALIZARA PAGO DE DIFERENCIA DIA 29/08 HORARIO DE LA MAÑANA </t>
  </si>
  <si>
    <t>Sustento de pago PPC - Dinero en Mano / HORARIO DE PAGO: Mañana / NOTA: tt realizara pago en pro empresa</t>
  </si>
  <si>
    <t>Sustento de pago PPC - Dinero en Mano / HORARIO DE PAGO: Mañana / NOTA: TT REALIZARÁ PAGO POR YAPE DE 50 A LAS 3 PM</t>
  </si>
  <si>
    <t xml:space="preserve">Sustento de pago PPC - Dinero en Mano / HORARIO DE PAGO: Mañana / NOTA: TT REALIZO ADELANTO DE 100 SOLES Y DIFERENCIA PARA EL DIA 27/05 </t>
  </si>
  <si>
    <t>Sustento de pago PPC - Dinero en Mano / HORARIO DE PAGO: Mañana / NOTA: TT realizó adelanto de 1K por APP BCP.</t>
  </si>
  <si>
    <t xml:space="preserve">Sustento de pago PPC - Dinero en Mano / HORARIO DE PAGO: Mañana / NOTA: TT REALIZO ADELANTO DE 200 Y RESTO A FINES DE MES 226 31/07 </t>
  </si>
  <si>
    <t xml:space="preserve">Sustento de pago PPC - Dinero en Mano / HORARIO DE PAGO: Mañana / NOTA: tt realizo adelanto de 4.8k </t>
  </si>
  <si>
    <t xml:space="preserve">Sustento de pago PPC - Dinero en Mano / HORARIO DE PAGO: Mañana / NOTA: TT REALIZO ADELANTO DE 500 RESTANTE HASTA FINES DE MES </t>
  </si>
  <si>
    <t xml:space="preserve">Sustento de pago PPC - Dinero en Mano / HORARIO DE PAGO: Mañana / NOTA: TT REALIZO EL PAGO DE  4 K MONTO APROBADO PARA LA CANCELACION TOTAL DE DEUDA </t>
  </si>
  <si>
    <t xml:space="preserve"> sustento de pago: porcedencia de sus ahorros</t>
  </si>
  <si>
    <t>monto propuesta : 4K</t>
  </si>
  <si>
    <t>fecha de pago: 27.05</t>
  </si>
  <si>
    <t>Sustento de pago PPC - Dinero en Mano / HORARIO DE PAGO: Mañana / NOTA: TT realizó el pago de la última cuota el dia 01/02 por APP BCP</t>
  </si>
  <si>
    <t>Sustento de pago PPC - Dinero en Mano / HORARIO DE PAGO: Mañana / NOTA: TT REALIZO EL PAGO POR EL BCP EL IMPORTE DE S/350 SOLES</t>
  </si>
  <si>
    <t xml:space="preserve">Sustento de pago PPC - Dinero en Mano / HORARIO DE PAGO: Mañana / NOTA: TT realizo pago 1ero de 1600 por app bcp y el otro de 3mil en mismo banco bcp </t>
  </si>
  <si>
    <t xml:space="preserve">Sustento de pago PPC - Dinero en Mano / HORARIO DE PAGO: Mañana / NOTA: tt realizo pago de 1200 el dia 31.07.24 en caja los andes  </t>
  </si>
  <si>
    <t xml:space="preserve">Sustento de pago PPC - Dinero en Mano / HORARIO DE PAGO: Mañana / NOTA: TT REALIZO PAGO DE 1MIL SOLES COMO ADELANTO EL DIA SABADO 11 MANDA FOTO DE COMPROBANTE DE PAGO Y RESTANTE EL DIA 24 DE ABRIL </t>
  </si>
  <si>
    <t xml:space="preserve">Sustento de pago PPC - Dinero en Mano / HORARIO DE PAGO: Mañana / NOTA: TT REALIZO PAGO EN BANCO BCP  MANDO FOTO DE COMPROBANTE DE PAGO SEGUN EL ACUERDO ENVIADO </t>
  </si>
  <si>
    <t>MONTO NEGOCIADO: 5000</t>
  </si>
  <si>
    <t>Sustento: DINERO DE TRABAJO - PAGO DE MUNICIPALIDAD</t>
  </si>
  <si>
    <t>Motivo de no pago: Aun no tiene pago de municipalidad, sigue a la espera,anteriormente menciono lo mismo</t>
  </si>
  <si>
    <t xml:space="preserve">Fecha: 19/ 7 </t>
  </si>
  <si>
    <t xml:space="preserve">Sustento de pago PPC - Dinero en Mano / HORARIO DE PAGO: Mañana / NOTA: tt se acoge a beneficio de liquidación dinero en mano </t>
  </si>
  <si>
    <t>Sustento de pago PPC - Dinero en Mano / HORARIO DE PAGO: Mañana / NOTA: TT SE ACOGE A CANCELAR DT. CON 1000 SOLES</t>
  </si>
  <si>
    <t>Sustento de pago PPC - Dinero en Mano / HORARIO DE PAGO: Mañana / NOTA: TT SE ACOGE A CANCELAR DT. CON 200 SOLES</t>
  </si>
  <si>
    <t xml:space="preserve">Sustento de pago PPC - Dinero en Mano / HORARIO DE PAGO: Mañana / NOTA: TT SE ACOGE A EXCEPCION POR 3500 SOLES </t>
  </si>
  <si>
    <t>16/07    1000</t>
  </si>
  <si>
    <t>25/07    2500</t>
  </si>
  <si>
    <t>Sustento de pago PPC - Dinero en Mano / HORARIO DE PAGO: Mañana / NOTA: tt se acoge a la Excepcion  de 2000 soles para el pago de su deuda el dia viernes 18/07</t>
  </si>
  <si>
    <t xml:space="preserve">Sustento de pago PPC - Dinero en Mano / HORARIO DE PAGO: Mañana / NOTA: tt se acoge a la excepcion de 1500 soles </t>
  </si>
  <si>
    <t>Sustento de pago PPC - Dinero en Mano / HORARIO DE PAGO: Mañana / NOTA: TT SE ACOGE AL DESC DE CANCELAR DT. CON 380.00 SOLES EL DIA 6/07 O EL LUNES SE VLL</t>
  </si>
  <si>
    <t>Sustento de pago PPC - Dinero en Mano / HORARIO DE PAGO: Mañana / NOTA: TT SE ACOGIO A EXCEPCION DE CANCELAR CON 300.00 SOLES LA DEUDA TOTAL</t>
  </si>
  <si>
    <t>Sustento de pago PPC - Dinero en Mano / HORARIO DE PAGO: Mañana / NOTA: TT SE ACOJE A CANCELAR LA DEUDA CON EL MONTO DE 600 SOLES HOY 26/07/2024</t>
  </si>
  <si>
    <t xml:space="preserve">Sustento de pago PPC - Dinero en Mano / HORARIO DE PAGO: Mañana / NOTA: TT SE ASPERSONA A INTERBANK A REALIZAR PAGO DE 1800 SOLES </t>
  </si>
  <si>
    <t>Sustento de pago PPC - Dinero en Mano / HORARIO DE PAGO: Mañana / NOTA: tt se compromete a cancelar con s/.77</t>
  </si>
  <si>
    <t>Sustento de pago PPC - Dinero en Mano / HORARIO DE PAGO: Mañana / NOTA: tt se compromete a cancelar la deuda con 800</t>
  </si>
  <si>
    <t>Sustento de pago PPC - Dinero en Mano / HORARIO DE PAGO: Mañana / NOTA: TT se compromete a pagar DT, dice que son "temas personales", de donde sacará el dinero</t>
  </si>
  <si>
    <t xml:space="preserve">Sustento de pago PPC - Dinero en Mano / HORARIO DE PAGO: Mañana / NOTA: tt se compromete a pagar s/3,000.000 hoy ya adelanto s/400.00   mañana en el trascurso. de la mañana pagara s/2,600.00 </t>
  </si>
  <si>
    <t>Sustento de pago PPC - Dinero en Mano / HORARIO DE PAGO: Mañana / NOTA: tt se compromete en pagar s/2,800.00 vía trasferencia bcp .</t>
  </si>
  <si>
    <t xml:space="preserve">Sustento de pago PPC - Dinero en Mano / HORARIO DE PAGO: Mañana / NOTA: Tt se comunica al corpo por llamada wasap, se le brinda dt  5,210.55 se le informa sobre lo conversado de 611*6 meses indica que quiere terminar de una vez pagar la deuda debe a interbank y el 15.08 ya termina de pagar y tambien quiera pagar bbva se le ofrece  3 cuotas de 1221 pero indica que mejor paga el total 2900  el dia 18.08 pagara el monto de 1500 y el 28.08 lo restante 1400, se ingresa compromiso de pago para esa fecha </t>
  </si>
  <si>
    <t xml:space="preserve">MOTIVO DE NO PAGO:  tt se enfermo de cancer por eso no pago </t>
  </si>
  <si>
    <t>SUSTENTO DE PAGO:   de las facturas pendientes que tiene recien estan emepzando a pagarles</t>
  </si>
  <si>
    <t xml:space="preserve">FECHA DE PAGO:  18.08 , 2do pago 28.08 </t>
  </si>
  <si>
    <t>MONTO PROPUESTA:  2900</t>
  </si>
  <si>
    <t xml:space="preserve">18.08 pagara el monto de 1500 y el 28.08 lo restante 1400, se ingresa compromiso de pago para esa fecha, paga y se solicitara extencion de ppc  para el 28.08 pueda completar los 1400  </t>
  </si>
  <si>
    <t>Sustento de pago PPC - Dinero en Mano / HORARIO DE PAGO: Mañana / NOTA: tt se comunica confirma por wasap el pago para el dia acordado se le indica 588</t>
  </si>
  <si>
    <t xml:space="preserve">Sustento de pago PPC - Dinero en Mano / HORARIO DE PAGO: Mañana / NOTA: Tt se comunica indica que podría realizar el pago de s/750 el día 16/04 y realizará el abono de s/100 el día de hoy. Se le adjuntar compromiso de pago </t>
  </si>
  <si>
    <t xml:space="preserve">Sustento de pago PPC - Dinero en Mano / HORARIO DE PAGO: Mañana / NOTA: tt se comunica por wazap comenta que ya puede acceder con el monto no comenta mas aya  importe s/150 </t>
  </si>
  <si>
    <t xml:space="preserve">Sustento de pago PPC - Dinero en Mano / HORARIO DE PAGO: Mañana / NOTA: Tt se comunico por wtsp, confirmo ser tt y mando dni se llamo a tt tt menciona que quiere informacion se le brindo la dt dk campaña 15mil menciona que ella tiene 8mil por eso se comunica se le brindo 9mil pero menciona hasta 8500 con seguridad y lo estaria pagando maximo en 1 hora por app bcp mandara su correo electronico por wtsp </t>
  </si>
  <si>
    <t>Sustento de pago PPC - Dinero en Mano / HORARIO DE PAGO: Mañana / NOTA: TT SE CONFIRMA APROBACION PARA CANCELAR CON 3000 LO REALIZA HOY , DE NO LLEGAR LO HARIA MAÑANA POR LA MAÑANA ENVIO CARTA AL WSP</t>
  </si>
  <si>
    <t xml:space="preserve">Sustento de pago PPC - Dinero en Mano / HORARIO DE PAGO: Mañana / NOTA: TT SE ENCUENTRA EN BBVA  REALIZARA EL PAGO DE 148.67 EL DIA DE HOY </t>
  </si>
  <si>
    <t xml:space="preserve">Sustento de pago PPC - Dinero en Mano / HORARIO DE PAGO: Mañana / NOTA: tt se le informa dk y se le brinda can de 4000 soles accede , no pago antes porque no completo el monto de la campaña ahora esta a la espera de su pago </t>
  </si>
  <si>
    <t xml:space="preserve">Sustento de pago PPC - Dinero en Mano / HORARIO DE PAGO: Mañana / NOTA: tt se le informa su dk y se le brinda can de 500 no accede se le hace un ajuste a 400 si lo paga hoy mismo accede el pago lo hará su enamorada por la tarde no da hora ella esta en la selva apenas pague se va comunicar </t>
  </si>
  <si>
    <t>Sustento de pago PPC - Dinero en Mano / HORARIO DE PAGO: Mañana / NOTA: tt se le informa su dk y se le da can de 400 soles no accede dice que le dieron una campaña de 200 soles  se le dice campaña especial de 200  soles pagara hoy ira a caja trujillo a validar</t>
  </si>
  <si>
    <t xml:space="preserve">Sustento de pago PPC - Dinero en Mano / HORARIO DE PAGO: Mañana / NOTA: tt se ofrecio cancelar con  1087 pide espera al 18/12 pido adelanto 50% pagara  543.5  el  5-12 y  543.50 el  18/12 </t>
  </si>
  <si>
    <t>Sustento de pago PPC - Dinero en Mano / HORARIO DE PAGO: Mañana / NOTA: TT SE PROGRAMA LA CANCELACION DE 3500 , ADELANTANDO EL DIA DE HOY 1500 SOLES LA DIFRENCIA EL DIA 20-02-2026 IMPORTE 2000 SOLES RESTANTE - SE INFORMA A SUPERVISOR</t>
  </si>
  <si>
    <t xml:space="preserve">Sustento de pago PPC - Dinero en Mano / HORARIO DE PAGO: Mañana / NOTA: TT SOLICIAT CAN 400 SE PIDE MIN 430 .. INDICA Q CREDITO FUE PARA EXESPOSA . PERO NECEISTA CAN X CREDITO DE MATERIAL . ES PESCADOR Y NO TIENE MUCHO DINERO SE DIO DT 1.8K </t>
  </si>
  <si>
    <t>Sustento de pago PPC - Dinero en Mano / HORARIO DE PAGO: Mañana / NOTA: tt solicita excepción de el monto de 220 para cancelar su deuda indica que se retraso por temas familiares el dinero es parte de sus ahorros mensuales si le aprueba lo solicitado lo paga hoy el pago lo realizara por transferencia via BCP el pago lo realizara a las 12 pm, indica que fue victima de un robo por eso no pudo realizar su pago pactado.</t>
  </si>
  <si>
    <t>Sustento de pago PPC - Dinero en Mano / HORARIO DE PAGO: Mañana / NOTA: tt solicita excepción de el monto de 350 para cancelar su deuda indica que se retraso por problemas de salud el dinero es parte de sus ahorros mensuales si le aprueba lo solicitado lo paga hoy el pago lo realizara por transferencia via BCP el pago lo realizara a la 1pm se visualiza en el search que mantiene 2 deudas vigentes.</t>
  </si>
  <si>
    <t>Sustento de pago PPC - Dinero en Mano / HORARIO DE PAGO: Mañana / NOTA: tt solicita excepción de el monto de 350 para cancelar su deuda indica que se retraso por temas familiares el dinero es parte de sus ahorros mensuales si le aprueba lo solicitado lo paga hoy el pago lo realizara por transferencia via BCP el pago lo realizara a las 5pm</t>
  </si>
  <si>
    <t>Sustento de pago PPC - Dinero en Mano / HORARIO DE PAGO: Mañana / NOTA: tt solicito ayuda excepcional para poder cancelar con 2k. La estan apoyando con importe</t>
  </si>
  <si>
    <t xml:space="preserve">Sustento de pago PPC - Dinero en Mano / HORARIO DE PAGO: Mañana / NOTA: tt solicito cta de banco de la nacion / ya tiene abono de 300 abonara saldo </t>
  </si>
  <si>
    <t>Sustento de pago PPC - Dinero en Mano / HORARIO DE PAGO: Mañana / NOTA: TT SOLITO PRESTADO DE SU HERMA A PAGARA HOY EL IMPORTE DE 348 SOLES SE ENVIA DOCUMENTO AL CORREO Y VIA WSP</t>
  </si>
  <si>
    <t xml:space="preserve">Sustento de pago PPC - Dinero en Mano / HORARIO DE PAGO: Mañana / NOTA: tt solo mejoro a 2500 se pide número de persona que le quedo en prestar dinero a tt para cancelar y se aclara que los 2600 aprobados por excepción es solo ayer y se hace incapie que si no lo pagan con los 2600 ya no se le aceptara mas adelante </t>
  </si>
  <si>
    <t>Sustento de pago PPC - Dinero en Mano / HORARIO DE PAGO: Mañana / NOTA: TT TIENE EL DINERO PARA CANCELAR PERO SE ENCUENTRA ALEJADO DE LA CIUDAD HACE UN MES LLAMÓ A CT PARA PAGAR PERO NO LE DIERON NFORMACIÓN.</t>
  </si>
  <si>
    <t xml:space="preserve">Sustento de pago PPC - Dinero en Mano / HORARIO DE PAGO: Mañana / NOTA: tt tiene una excepcion aceptada por 2000                                                                                                              tt se acoge a la excepcion Se compromete hacer el pago de la siguiente manera </t>
  </si>
  <si>
    <t xml:space="preserve"> 09/07                        200</t>
  </si>
  <si>
    <t xml:space="preserve">16/07                       1800 soles </t>
  </si>
  <si>
    <t xml:space="preserve">Sustento de pago PPC - Dinero en Mano / HORARIO DE PAGO: Mañana / NOTA: tt trabaja de albañil, indica que su negocio fue a la quiebra por ello no cancelo la deuda, se compromete para cancelar su deuda el dia lunes 29/04 </t>
  </si>
  <si>
    <t>Sustento de pago PPC - Dinero en Mano / HORARIO DE PAGO: Mañana / NOTA: TT va generar un adelanto del importe de 1000 soles y lo restante para el día 28 de febrero del importe de 10000, generará el pago en el mismo banco INTERBANK</t>
  </si>
  <si>
    <t>Sustento de pago PPC - Dinero en Mano / HORARIO DE PAGO: Mañana / NOTA: TT YA PAGO 1,500 X IBK</t>
  </si>
  <si>
    <t xml:space="preserve">Sustento de pago PPC - Dinero en Mano / HORARIO DE PAGO: Mañana / NOTA: tt ya pago 500.00 soles, falta saldo de 500 soles que pagara el lunes 21/4 - se informo a superv </t>
  </si>
  <si>
    <t xml:space="preserve">Sustento de pago PPC - Dinero en Mano / HORARIO DE PAGO: Mañana / NOTA: tt ya tiene la plata en mano y pagara por bcp </t>
  </si>
  <si>
    <t>Sustento de pago PPC - Dinero en Mano / HORARIO DE PAGO: Mañana / NOTA: tt, abono 100 s./ cancelo su deuda</t>
  </si>
  <si>
    <t xml:space="preserve">Sustento de pago PPC - Dinero en Mano / HORARIO DE PAGO: Mañana / NOTA: tt, abono 1500 </t>
  </si>
  <si>
    <t>Sustento de pago PPC - Dinero en Mano / HORARIO DE PAGO: Mañana / NOTA: tt, abonó 200</t>
  </si>
  <si>
    <t>Sustento de pago PPC - Dinero en Mano / HORARIO DE PAGO: Mañana / NOTA: tt, abonó 3000</t>
  </si>
  <si>
    <t xml:space="preserve">Sustento de pago PPC - Dinero en Mano / HORARIO DE PAGO: Mañana / NOTA: tt, abono hoy 04/08 el importe de 252  s./ mediantede trasferencia BCP </t>
  </si>
  <si>
    <t>Sustento de pago PPC - Dinero en Mano / HORARIO DE PAGO: Mañana / NOTA: tt, abono los 100 s./ vía trasferencia bcp</t>
  </si>
  <si>
    <t xml:space="preserve">Sustento de pago PPC - Dinero en Mano / HORARIO DE PAGO: Mañana / NOTA: tt, abono los 1000 vía bcp a las 5:23pm </t>
  </si>
  <si>
    <t>Sustento de pago PPC - Dinero en Mano / HORARIO DE PAGO: Mañana / NOTA: tt, indica que el día lunes 04/08 realiazará el pago por un importe de 400 s./ importe que el día de hoy fue aprobado 01/08 por gerencia se le menciona DT,1,885.71 DK3,048.73, MIN1/ 810.85</t>
  </si>
  <si>
    <t xml:space="preserve">Sustento de pago PPC - Dinero en Mano / HORARIO DE PAGO: Mañana / NOTA: tt, indica que hoy abonara el 50% de los 1170 s./ que vendria ser 585 y la difrencia fin de mes 29/11 los otro 585 s./ y nos menciona que pagaria a las 5pm </t>
  </si>
  <si>
    <t>Sustento de pago PPC - Dinero en Mano / HORARIO DE PAGO: Mañana / NOTA: tt, indica que pagara los 150 s./ se le indica DT622.45 ,MIN/190</t>
  </si>
  <si>
    <t>Sustento de pago PPC - Dinero en Mano / HORARIO DE PAGO: Mañana / NOTA: tt, realizó el pago el día 29/08 de los 600 s./ del monto aprobado envía vaucher pago vía agente BCP</t>
  </si>
  <si>
    <t>Sustento de pago PPC - Dinero en Mano / HORARIO DE PAGO: Mañana / NOTA: tt, ya realizo el pago de liquidación de los 400 a las 4:24pm</t>
  </si>
  <si>
    <t>Sustento de pago PPC - Dinero en Mano / HORARIO DE PAGO: Mañana / NOTA: tt,abono el importe correspondiente 140 s./</t>
  </si>
  <si>
    <t>Sustento de pago PPC - Dinero en Mano / HORARIO DE PAGO: Mañana / NOTA: tt,realizo pago vía BCP el importe de 120 s./</t>
  </si>
  <si>
    <t xml:space="preserve">Sustento de pago PPC - Dinero en Mano / HORARIO DE PAGO: Mañana / NOTA: tt. abonara en oficina caja los andes -chachapoyas </t>
  </si>
  <si>
    <t>Sustento de pago PPC - Dinero en Mano / HORARIO DE PAGO: Mañana / NOTA: tt. se acercara a oficina Chepen  s/2800</t>
  </si>
  <si>
    <t xml:space="preserve">Sustento de pago PPC - Dinero en Mano / HORARIO DE PAGO: Mañana / NOTA: tt. se comunico via watsapp cuenta con dinero en mano </t>
  </si>
  <si>
    <t xml:space="preserve">Sustento de pago PPC - Dinero en Mano / HORARIO DE PAGO: Mañana / NOTA: tt. tiene dinero en mano  s/450   app bcp </t>
  </si>
  <si>
    <t>Sustento de pago PPC - Dinero en Mano / HORARIO DE PAGO: Mañana / NOTA: TTcancela con el importe de 13,200 el 12/13</t>
  </si>
  <si>
    <t>Sustento de pago PPC - Dinero en Mano / HORARIO DE PAGO: Mañana / NOTA: TTT HARA EL PAGO</t>
  </si>
  <si>
    <t>Sustento de pago PPC - Dinero en Mano / HORARIO DE PAGO: Mañana / NOTA: ult cuota ppm</t>
  </si>
  <si>
    <t xml:space="preserve">Sustento de pago PPC - Dinero en Mano / HORARIO DE PAGO: Mañana / NOTA: ultima cuota  </t>
  </si>
  <si>
    <t>Sustento de pago PPC - Dinero en Mano / HORARIO DE PAGO: Mañana / NOTA: última cuota</t>
  </si>
  <si>
    <t xml:space="preserve">Sustento de pago PPC - Dinero en Mano / HORARIO DE PAGO: Mañana / NOTA: ULTIMA CUOTA   6 DE 6   </t>
  </si>
  <si>
    <t xml:space="preserve">Sustento de pago PPC - Dinero en Mano / HORARIO DE PAGO: Mañana / NOTA: ULTIMA CUOTA / CAN TOTAL 267 </t>
  </si>
  <si>
    <t>Sustento de pago PPC - Dinero en Mano / HORARIO DE PAGO: Mañana / NOTA: ULTIMA CUOTA 6/6</t>
  </si>
  <si>
    <t xml:space="preserve">Sustento de pago PPC - Dinero en Mano / HORARIO DE PAGO: Mañana / NOTA: ultima cuota 760 paga hoy se envia documento </t>
  </si>
  <si>
    <t>Sustento de pago PPC - Dinero en Mano / HORARIO DE PAGO: Mañana / NOTA: ultima cuota Cancelación</t>
  </si>
  <si>
    <t>Sustento de pago PPC - Dinero en Mano / HORARIO DE PAGO: Mañana / NOTA: ULTIMA CUOTA DE 1610 SOLES EL DIA 31 DE MARZO</t>
  </si>
  <si>
    <t>Sustento de pago PPC - Dinero en Mano / HORARIO DE PAGO: Mañana / NOTA: ULTIMA CUOTA DE 490 SOLES PAGA EL 04 DE ABRIL</t>
  </si>
  <si>
    <t>Sustento de pago PPC - Dinero en Mano / HORARIO DE PAGO: Mañana / NOTA: ULTIMA CUOTA DE 5000 SOLES PARA E DIA 20-02-2025</t>
  </si>
  <si>
    <t>Sustento de pago PPC - Dinero en Mano / HORARIO DE PAGO: Mañana / NOTA: ultima cuota de ppm</t>
  </si>
  <si>
    <t xml:space="preserve">Sustento de pago PPC - Dinero en Mano / HORARIO DE PAGO: Mañana / NOTA: Ultima cuota de ppm +56 982340821 </t>
  </si>
  <si>
    <t xml:space="preserve">Sustento de pago PPC - Dinero en Mano / HORARIO DE PAGO: Mañana / NOTA: ultima cuota de ppm cancelacion directa segun cronograma 220 soles </t>
  </si>
  <si>
    <t>Sustento de pago PPC - Dinero en Mano / HORARIO DE PAGO: Mañana / NOTA: ultima cuota de ppm, segun acuerdo pactado en agosto</t>
  </si>
  <si>
    <t xml:space="preserve">Sustento de pago PPC - Dinero en Mano / HORARIO DE PAGO: Mañana / NOTA: ULTIMA CUOTA DE S/1,000 CON ELLO CAN. </t>
  </si>
  <si>
    <t xml:space="preserve">Sustento de pago PPC - Dinero en Mano / HORARIO DE PAGO: Mañana / NOTA: ultima cuota ppm </t>
  </si>
  <si>
    <t>Sustento de pago PPC - Dinero en Mano / HORARIO DE PAGO: Mañana / NOTA: ultima cuota ppm , paga fdm</t>
  </si>
  <si>
    <t xml:space="preserve">Sustento de pago PPC - Dinero en Mano / HORARIO DE PAGO: Mañana / NOTA: Ultima cuota. </t>
  </si>
  <si>
    <t xml:space="preserve">Sustento de pago PPC - Dinero en Mano / HORARIO DE PAGO: Mañana / NOTA: ultma cuota </t>
  </si>
  <si>
    <t>Sustento de pago PPC - Dinero en Mano / HORARIO DE PAGO: Mañana / NOTA: viernes 4 de la tarde</t>
  </si>
  <si>
    <t>Sustento de pago PPC - Dinero en Mano / HORARIO DE PAGO: Mañana / NOTA: YA PAGO</t>
  </si>
  <si>
    <t xml:space="preserve">Sustento de pago PPC - Dinero en Mano / HORARIO DE PAGO: Medioda / NOTA:  Se informa a titular que procedió su propuesta indica que va generar el pago por medio de la cuenta BBVA vía transferencia. importe de 1500 soles </t>
  </si>
  <si>
    <t>Sustento de pago PPC - Dinero en Mano / HORARIO DE PAGO: Medioda / NOTA: Can 12500 soles, medio dia.</t>
  </si>
  <si>
    <t xml:space="preserve">Sustento de pago PPC - Dinero en Mano / HORARIO DE PAGO: Medioda / NOTA: Can 200 soles. </t>
  </si>
  <si>
    <t xml:space="preserve">Sustento de pago PPC - Dinero en Mano / HORARIO DE PAGO: Medioda / NOTA: Can 3mil soles, adelanta 700, resta 2300 para fin de mes. </t>
  </si>
  <si>
    <t xml:space="preserve">Sustento de pago PPC - Dinero en Mano / HORARIO DE PAGO: Medioda / NOTA: Can 3mil soles, medio dia. </t>
  </si>
  <si>
    <t>Sustento de pago PPC - Dinero en Mano / HORARIO DE PAGO: Medioda / NOTA: cancela hoy</t>
  </si>
  <si>
    <t>Sustento de pago PPC - Dinero en Mano / HORARIO DE PAGO: Medioda / NOTA: cancelacion 250 hoy por app scotiabank</t>
  </si>
  <si>
    <t>Sustento de pago PPC - Dinero en Mano / HORARIO DE PAGO: Medioda / NOTA: Cliente logró conseguir 3500, pero se encuentra en zona lejana, podrá acercarse el lunes 20</t>
  </si>
  <si>
    <t>Sustento de pago PPC - Dinero en Mano / HORARIO DE PAGO: Medioda / NOTA: cliente realizará el pago de 1800, hoy antes de las 2pm por transferencia BCP</t>
  </si>
  <si>
    <t>Sustento de pago PPC - Dinero en Mano / HORARIO DE PAGO: Medioda / NOTA: Cliente realizará pagó 1200.00 soles, en el rango de 9 a 12 del medio día. Pide enviar documento a su correo santiagovhg@gmail.com</t>
  </si>
  <si>
    <t xml:space="preserve">Sustento de pago PPC - Dinero en Mano / HORARIO DE PAGO: Medioda / NOTA: compromiso  130  fecha 15-05   medio día  </t>
  </si>
  <si>
    <t xml:space="preserve">nota:  solicita que se le envie x wtp   el documento de compromiso    pagara en agente   del bcp   </t>
  </si>
  <si>
    <t xml:space="preserve">Sustento de pago PPC - Dinero en Mano / HORARIO DE PAGO: Medioda / NOTA: DE LA CRUZ SILVA JACKELINE  DNI 71423885 REPRESENTANTE  compromiso  20000 fecha 21-03  </t>
  </si>
  <si>
    <t>Sustento de pago PPC - Dinero en Mano / HORARIO DE PAGO: Medioda / NOTA: DT: S/.821.41 , segun excepcion cl paga 200 soles correo de cl : nabilanton47@gmail.com</t>
  </si>
  <si>
    <t>Sustento de pago PPC - Dinero en Mano / HORARIO DE PAGO: Medioda / NOTA: Dt:S/. 12,443.03 segun excepcion cl paga 1300, cl confrima que realiza el pago antes de medio día</t>
  </si>
  <si>
    <t>Sustento de pago PPC - Dinero en Mano / HORARIO DE PAGO: Medioda / NOTA: dt2739 cqampañ 400 tit pagara deuda cn 400 antes de las 2pm</t>
  </si>
  <si>
    <t>Sustento de pago PPC - Dinero en Mano / HORARIO DE PAGO: Medioda / NOTA: Encargada de pago Sra. Mercedes realizara el pago a través del bim a nuestro yape</t>
  </si>
  <si>
    <t>Sustento de pago PPC - Dinero en Mano / HORARIO DE PAGO: Medioda / NOTA: excepción aceptada  por 2500</t>
  </si>
  <si>
    <t>Sustento de pago PPC - Dinero en Mano / HORARIO DE PAGO: Medioda / NOTA: MONTO TOTAL NEGOCIADO: SE NEGOCIA DT S/4,518.39 Y DK S/ 2,715.60 CAMPAÑA S/820</t>
  </si>
  <si>
    <t xml:space="preserve">MOTIVO DE NO PAGO: RETRASO EN PAGOS </t>
  </si>
  <si>
    <t>SUSTENTO DE PAGO: HABERES</t>
  </si>
  <si>
    <t>FECHA DE PAGO: 30-05-2026</t>
  </si>
  <si>
    <t>MONTO DE PROPUESTA: TT COMENTA QUE EL INCUMPLIO POR RETARSO TEMAS PERSONALES SE LE PIDE NO INCUMPLIR  MINIMO 820.00 Y OBTENGA SU CARTA DE NO ADEUDO PRIMERO SE COBRA 1000 HAY POSIBILIDADES QUE HOY HAGA UN YAPE DE ALDELANTO  SALDO EL 30 S/820.00</t>
  </si>
  <si>
    <t>Sustento de pago PPC - Dinero en Mano / HORARIO DE PAGO: Medioda / NOTA: Motivo de no cierre - Se eleva excepción / NOTA: MONTO TOTAL NEGOCIADO: SE NEGOCIA DT S/ 26,041.53Y DK S/16,546.66 CAMPAÑA S/5500.00MOTIVO DE NO PAGO: REDUCCION DE  envINGRESOSSUSTENTO DE PAGO:  DINERO EN CUENTAFECHA DE PAGO: 21-05-2026MONTO DE PROPUESTA: TT COMENTA QUE ESTAMUY INCOMODO POR LLAMADAS S/3000.00 SOLES ES SU PROPUESTA SE CONULTA PISO DE SUPER S/2500.00 EL CLIENTE MANTIENE 3000.00 1 CUOTA DIRECTAMENTE EN L BANCO envió su comprobante al correo.</t>
  </si>
  <si>
    <t>Sustento de pago PPC - Dinero en Mano / HORARIO DE PAGO: Medioda / NOTA: Motivo de no cierre - Se eleva excepción / NOTA: MONTO TOTAL NEGOCIADO: SE NEGOCIA DT S/14,937.25 Y DK S/10,233.23 CAMPAÑA S/3200MOTIVO DE NO PAGO:n reduccion de ingresosSUSTENTO DE PAGO: pago dinero en cuentaFECHA DE PAGO: 25-05-2026MONTO DE PROPUESTA: 1200 solo cuenta con 1200 se comprometa a da solución el dia de hoy s/1200.00 por transefrencia</t>
  </si>
  <si>
    <t>Sustento de pago PPC - Dinero en Mano / HORARIO DE PAGO: Medioda / NOTA: Motivo de no cierre - Se eleva excepción / NOTA: MONTO TOTAL NEGOCIADO: SE NEGOCIA DT S/4,396.39 Y DK S/ 2,775.89CAMPAÑA S/ 865.00MOTIVO DE NO PAGO:GASTOS DE SALUD DE SU HERMANO SIN TRABAJOSUSTENTO DE PAGO:  DINERO EN CUENTA FECHA DE PAGO: 19-05-2026MONTO DE PROPUESTA: TT COMENTA QUE MANTIENE 400 S EL PIDE MEJORAR COMENTA HASTA 450 SE SOLICITA PISO A SUPER  SE ENVIA INFORMACION AL WSP POR BCP</t>
  </si>
  <si>
    <t>Sustento de pago PPC - Dinero en Mano / HORARIO DE PAGO: Medioda / NOTA: Motivo de no cierre - Se eleva excepción / NOTA: MONTO TOTAL NEGOCIADO: SE NEGOCIA DT S/4,819.28 Y DK S/2,741.94 CAMPAÑA S/1805.00MOTIVO DE NO PAGO:NO FACILITASUSTENTO DE PAGO: PAGO PENDIENTEFECHA DE PAGO: 20-05-2026MONTO DE PROPUESTA: TT COMENTA QUE ES LO QUE MANTIENE SON S/500.00  NO PUEDE HOY POR QUE ESTA EN EL CAMPO MAÑANA LO EFECTUAPOR BCP</t>
  </si>
  <si>
    <t>Sustento de pago PPC - Dinero en Mano / HORARIO DE PAGO: Medioda / NOTA: Motivo de no cierre - Se eleva excepción / NOTA: MONTO TOTAL NEGOCIADO: SE NEGOCIA DT S/710.75 Y DK S/457.75 CAMPAÑA S/460MOTIVO DE NO PAGO: reducción de ingresos SUSTENTO DE PAGO:  dinero en yapeFECHA DE PAGO: 04-05-2026MONTO DE PROPUESTA:TT COMENTA QUE SU SITUACION SIGUE PEOR SOBRE SU SALUD QUIEERE SOLUCIONAR CON S/300.00 PARA HOY 04-05  1 CUOTA POR YAPE NO QUIERE  MAS LLAMADAS NO QUIERE DEBER A NINGUNA ENTIDAD POR SU TRANQUILIDAD  GANA 800 SOLES POR ESO NO PUEDE MEJORAR ALGUN IMPORTE S/300.00 POR YAPE</t>
  </si>
  <si>
    <t>Sustento de pago PPC - Dinero en Mano / HORARIO DE PAGO: Medioda / NOTA: Motivo de no cierre - Se eleva excepción / NOTA: MONTO TOTAL NEGOCIADO: SE NEGOCIA DT S/79,425.22 Y DK S/ 54,581.15CAMPAÑA S/15,300.00MOTIVO DE NO PAGO:  SIN TRABAJOSUSTENTO DE PAGO:  DINERO EN CUENTA Y PRESTAMO DE FAMILIARFECHA DE PAGO: 18-05-2026MONTO DE PROPUESTA: TT COMENTA QUE SE SEPARO Y SU PAREJA LA DEJO CON MUCHAS DEUDAS COMO SU FAMILIA L A VE MAL ES QUE LE ESTA  APOYANDO PERO NO CUENTAN CON MAS MAS ADELANTE NO TENDRA DINERO 7000.00 ES LO MAXIMIO QUE VA PODER CONSEGUIR EN EL BANCO DIRECTAMENTE HACE LA CANCELACION</t>
  </si>
  <si>
    <t>Sustento de pago PPC - Dinero en Mano / HORARIO DE PAGO: Medioda / NOTA: ONTO TOTAL NEGOCIADO: SE NEGOCIA DT S/186.16 Y DK S/111.45 CAMPAÑA S/72</t>
  </si>
  <si>
    <t>MOTIVO DE NO PAGO: LO UTILIZO UN TERCERO</t>
  </si>
  <si>
    <t>SUSTENTO DE PAGO:  DINERO EN CUENTA</t>
  </si>
  <si>
    <t>FECHA DE PAGO: 11-05-2026</t>
  </si>
  <si>
    <t>MONTO DE PROPUESTA: TT COMENTA QUE ENVIA SU COMPROBANTE 112.00  A MEDIOA DIA</t>
  </si>
  <si>
    <t>Sustento de pago PPC - Dinero en Mano / HORARIO DE PAGO: Medioda / NOTA: paga por ibk 870</t>
  </si>
  <si>
    <t>Sustento de pago PPC - Dinero en Mano / HORARIO DE PAGO: Medioda / NOTA: Realiza por transferencia</t>
  </si>
  <si>
    <t>Sustento de pago PPC - Dinero en Mano / HORARIO DE PAGO: Medioda / NOTA: se brinda dt, se propone can con 200 , se menciona como validar su cuenta con sbs y  se brinda camp, adicionalmenet vaklidara , cancelra por cuenta bcp y enviara voucher por deposito</t>
  </si>
  <si>
    <t>Sustento de pago PPC - Dinero en Mano / HORARIO DE PAGO: Medioda / NOTA: Se brinda opción de cancelar con 750, con la condición que el día de hoy adelante 350 y la diferencia para fdm</t>
  </si>
  <si>
    <t xml:space="preserve">Sustento de pago PPC - Dinero en Mano / HORARIO DE PAGO: Medioda / NOTA: Se contacta a tt, se brinda dt dk can 500 , no accede indica contar con 450 soles, aplicativo BCP. </t>
  </si>
  <si>
    <t>Sustento de pago PPC - Dinero en Mano / HORARIO DE PAGO: Medioda / NOTA: SE GESTIONA PPC CON CAMPAÑA EXCLUSIVA EXCELL</t>
  </si>
  <si>
    <t xml:space="preserve">Sustento de pago PPC - Dinero en Mano / HORARIO DE PAGO: Medioda / NOTA: Se indica DT 1,482.68, DK 652.26 y campaña de 265, tit cancela deuda S/265 mañana 06/06 al mediodía por transferencia </t>
  </si>
  <si>
    <t xml:space="preserve">Sustento de pago PPC - Dinero en Mano / HORARIO DE PAGO: Medioda / NOTA: se indica DT 778.04, DK 571.82 y campaña de 230, tit cancela deuda mañana 11/06 Monto de 230 soles por yape estará realizando el pago </t>
  </si>
  <si>
    <t xml:space="preserve">Sustento de pago PPC - Dinero en Mano / HORARIO DE PAGO: Medioda / NOTA: Se informa a titular que su propuesta fue aprobada, cancela hoy con el importe de 400 soles. </t>
  </si>
  <si>
    <t>Sustento de pago PPC - Dinero en Mano / HORARIO DE PAGO: Medioda / NOTA: Se informa aprobación de su propuesta, que se le envíe las cuentas a su whats y acuerdo.</t>
  </si>
  <si>
    <t>Sustento de pago PPC - Dinero en Mano / HORARIO DE PAGO: Medioda / NOTA: Se informa aprobación, pide pago con tarjeta de crédito, se envía link al whats, pide carta de no adeudo al correo lissetjayocarnica@gmail.com</t>
  </si>
  <si>
    <t>Sustento de pago PPC - Dinero en Mano / HORARIO DE PAGO: Medioda / NOTA: Se informa aprobación, se envía compromiso a su whatsapp y cuentas , realizará la transferencia en un momento, ya que se encuentra en la calle.</t>
  </si>
  <si>
    <t>Sustento de pago PPC - Dinero en Mano / HORARIO DE PAGO: Medioda / NOTA: Se le brinda aprobación por el importe de S/600, titular realiza pago por transferencia BCP.</t>
  </si>
  <si>
    <t>Sustento de pago PPC - Dinero en Mano / HORARIO DE PAGO: Medioda / NOTA: Se le brinda aprobación por S/3100 para el 16/06.</t>
  </si>
  <si>
    <t xml:space="preserve">Sustento de pago PPC - Dinero en Mano / HORARIO DE PAGO: Medioda / NOTA: SE LE BRINDA DT Y CMPAÑA DE 350 INDICA QUE NO LE INDICARON COMO ERA E PAGO SE LE MENCIONA QUE ES A BASE TRANFERENCIA O NRO DE CUENTA DE XPERTIS INDICA PODER REALIZAR EN EL MEDIODIA  APROX SE LE ENVIA EL DOCUMENTO DE CANCELACION LO REALIZARA EN BBVA </t>
  </si>
  <si>
    <t>Sustento de pago PPC - Dinero en Mano / HORARIO DE PAGO: Medioda / NOTA: SE LE BRINDA LADT INDICA TT QUE DESEA CANCELAR PERO EL DIA DE MAÑANA POR AGENCIA INTERBANK EN LA CUAL SE PUEDA ACERCAR Y CANCELAR APROX DEL MEDIODIA SE ESTARIA ACERCANDO SE ENVIARA EL DOCUMENTO DE CANCELACION POR WSP</t>
  </si>
  <si>
    <t xml:space="preserve">Sustento de pago PPC - Dinero en Mano / HORARIO DE PAGO: Medioda / NOTA: Se le indica DT 122.38 y campaña de 72 soles para liquidar, cancela deuda con S/72 hoy 04/06 por transferencia </t>
  </si>
  <si>
    <t>Sustento de pago PPC - Dinero en Mano / HORARIO DE PAGO: Medioda / NOTA: SE OFRECIO PRODUCTOS DT 4,016.00 MIN2 1,628.56 DK 1,613.24 // TT INDICA DISPONE DE S/. 800, MEJORA HASTA S/. 100 // REALIZARA CANCELACIONE EN BASE A S/. 1100 // ABONARA HOY S/. 800 VIA DEPOSITO BCP EN MEDIA HORA Y DIFERENCIA S/. 300 MAÑANA 26/09 ANTES DEL MEDIO DIA.</t>
  </si>
  <si>
    <t>Sustento de pago PPC - Dinero en Mano / HORARIO DE PAGO: Medioda / NOTA: se propone can 130 - dt, tt puede hacerlo para el día martes 12 - del medio día, , se envia doc por wsp , por tranferecnia bcp o yape</t>
  </si>
  <si>
    <t xml:space="preserve">Sustento de pago PPC - Dinero en Mano / HORARIO DE PAGO: Medioda / NOTA: Tit se acoge a excepción aprobada, cancela deuda con S/20.000, realizará adelanto de S/4000 el día viernes 26/12 al mediodía y el día 31/12 cancela la diferencia S/16.000 </t>
  </si>
  <si>
    <t>Sustento de pago PPC - Dinero en Mano / HORARIO DE PAGO: Medioda / NOTA: titm paga deuda total</t>
  </si>
  <si>
    <t xml:space="preserve">Sustento de pago PPC - Dinero en Mano / HORARIO DE PAGO: Medioda / NOTA: titular  indica   que realizara el pago de 2000 soles  hoy 29/05 en banco interbank  a  la cuenta corrientes autorizadas  antes del mediodia </t>
  </si>
  <si>
    <t>Sustento de pago PPC - Dinero en Mano / HORARIO DE PAGO: Medioda / NOTA: Titular emplea pago de cancelación por el alcance de S/150 soles para el Miércoles 06/05/2026 pago a las 12pm.</t>
  </si>
  <si>
    <t>Sustento de pago PPC - Dinero en Mano / HORARIO DE PAGO: Medioda / NOTA: titular indica que realizara pago de 400 soles  el día  05/06  a las cuentas corrientes autorizadas   a las primera hora.</t>
  </si>
  <si>
    <t>Sustento de pago PPC - Dinero en Mano / HORARIO DE PAGO: Medioda / NOTA: Titular realiza pago de S/1,200 soles por app BBVA ,hoy Martes 12/12/2025.</t>
  </si>
  <si>
    <t>Sustento de pago PPC - Dinero en Mano / HORARIO DE PAGO: Medioda / NOTA: Titular realiza pago de S/2,600 soles para Hoy Lunes 18/05/2026 por agencia IBK o por transferencia BCP, antes de las 12:00 pm.</t>
  </si>
  <si>
    <t xml:space="preserve">Sustento de pago PPC - Dinero en Mano / HORARIO DE PAGO: Medioda / NOTA: Titular realizara pago de  200 soles el dia 04/06 por agente bancario antes del mediodio, no pudo pagar antes por viaje que  realizo </t>
  </si>
  <si>
    <t>Sustento de pago PPC - Dinero en Mano / HORARIO DE PAGO: Medioda / NOTA: tt  indica que realizaria el pago de 270 el día 09.6   a las cuentas corrientes autorizadas mediodía  se le brindo DT Y DK Y C1- 270</t>
  </si>
  <si>
    <t xml:space="preserve">Sustento de pago PPC - Dinero en Mano / HORARIO DE PAGO: Medioda / NOTA: TT ACEPTA CANCELAR EL PAGO DE 2500 EN DOS PARTES DENTRO DEL MES 200 EL DIA DE HOY Y 2300 SOLES AL DIA 30 SE ENVIA DOCUMENTO AL CORREO BRUGONZALEZ727@GMAIL.COM Y LO REALZIARA AL MEDIODIA POR APP BCP </t>
  </si>
  <si>
    <t>Sustento de pago PPC - Dinero en Mano / HORARIO DE PAGO: Medioda / NOTA: tt adelantara el 9/02 (S/125.00) Y el restante el 13/02 con el importe de (S/125.00) en base a S/250.00</t>
  </si>
  <si>
    <t xml:space="preserve">Sustento de pago PPC - Dinero en Mano / HORARIO DE PAGO: Medioda / NOTA: TT AL WTSP  LE CONFIRMO SE ACEPTA PROPUESTA PAGAR 300 HOY 15/12 Y 300 AL 30/12 ,PIDE CARTA AL WTSP </t>
  </si>
  <si>
    <t>Sustento de pago PPC - Dinero en Mano / HORARIO DE PAGO: Medioda / NOTA: tt cancela 1200 se acercara mañana ya que hoy banco esta cerrado en su pueblito se indica diferentes medios de pago</t>
  </si>
  <si>
    <t xml:space="preserve">Sustento de pago PPC - Dinero en Mano / HORARIO DE PAGO: Medioda / NOTA: TT CANCELA 3000 HOY POR APP IBK </t>
  </si>
  <si>
    <t xml:space="preserve">Sustento de pago PPC - Dinero en Mano / HORARIO DE PAGO: Medioda / NOTA: TT cancela campaña de C1 S/100.00, se le envia información wsp </t>
  </si>
  <si>
    <t>Sustento de pago PPC - Dinero en Mano / HORARIO DE PAGO: Medioda / NOTA: tt cancela con 6000</t>
  </si>
  <si>
    <t xml:space="preserve">Sustento de pago PPC - Dinero en Mano / HORARIO DE PAGO: Medioda / NOTA: TT CANCELA CON 800 SOLES ,PAGA 400 HOY POR YAPE Y 400 AL 30/04 SE AYUDA EN LINEA </t>
  </si>
  <si>
    <t>Sustento de pago PPC - Dinero en Mano / HORARIO DE PAGO: Medioda / NOTA: tt cancela los 1k hasta el martes 24 por transferencia se envia carta campaña</t>
  </si>
  <si>
    <t>Sustento de pago PPC - Dinero en Mano / HORARIO DE PAGO: Medioda / NOTA: tt cancela ultima cuota fraccionamiento S/290    27/12</t>
  </si>
  <si>
    <t>Sustento de pago PPC - Dinero en Mano / HORARIO DE PAGO: Medioda / NOTA: TT CANCELARA EL DIA DE HOY CON EL IMPORTE DE S/100.00 PAGARA POR TRANSFERENCIA BCP EN MEDIA HORA.</t>
  </si>
  <si>
    <t>Sustento de pago PPC - Dinero en Mano / HORARIO DE PAGO: Medioda / NOTA: TT CANCELARA EL DIA DE HOY EL MONTO DE S/1,000.00 POR MEDIO DE YAPE A LAS 10AM</t>
  </si>
  <si>
    <t>Sustento de pago PPC - Dinero en Mano / HORARIO DE PAGO: Medioda / NOTA: TT cancelará excepción aprobada por S/500, el 21.10.2025 cancelará S/400, y el 31.10.2025 cancelará lo restante S/100,  se enviará información de cuenta al WhatsApp.</t>
  </si>
  <si>
    <t>Sustento de pago PPC - Dinero en Mano / HORARIO DE PAGO: Medioda / NOTA: TT cancelará excepción aprobada por S/500.00 el 28.05, se enviará información de cuenta al WhatsApp.</t>
  </si>
  <si>
    <t>Sustento de pago PPC - Dinero en Mano / HORARIO DE PAGO: Medioda / NOTA: TT CONFIRMA QUE PUEDE REALIZAR EN DOS PARTES DENTRO DEL MES SIEMPRE Y CUANDO HOY EFECTUE LOS 250 Y EL RESTANTE A FINALES DE MES QUE SE LE ENVIE EL DOCUMENTO  POR CORREO  fernanda1701eva@gmail.com LO ESTARA EFECUTNADO POR BCP AL MEDIODIA</t>
  </si>
  <si>
    <t xml:space="preserve">Sustento de pago PPC - Dinero en Mano / HORARIO DE PAGO: Medioda / NOTA: TT CONFIRMO CANCELACION POR 3000  PAGA ANTES DE LA 1PM </t>
  </si>
  <si>
    <t>Sustento de pago PPC - Dinero en Mano / HORARIO DE PAGO: Medioda / NOTA: TT CONFIRMO LA CANCELACION POR EL IMPORTE DE 1650 , PAGANDO 900 9-5  EN BANCO BBVA Y 750 AL 29-5 SE MODIFICARA AL RECIBIR PAGO</t>
  </si>
  <si>
    <t>Sustento de pago PPC - Dinero en Mano / HORARIO DE PAGO: Medioda / NOTA: TT DT CANC 150  indica solo cuenta con 100 indico hasta 130 CANCELA HOY</t>
  </si>
  <si>
    <t>Sustento de pago PPC - Dinero en Mano / HORARIO DE PAGO: Medioda / NOTA: tt efectuara pago hoy 97 csoles se envia info al wsp</t>
  </si>
  <si>
    <t xml:space="preserve">Sustento de pago PPC - Dinero en Mano / HORARIO DE PAGO: Medioda / NOTA: tt hará el pago hoy </t>
  </si>
  <si>
    <t xml:space="preserve">Sustento de pago PPC - Dinero en Mano / HORARIO DE PAGO: Medioda / NOTA: tt hara su pago en dos cuotas dentro del mismo mes </t>
  </si>
  <si>
    <t>16/04    s/800                                                                                                                                                      30/04      s/3097</t>
  </si>
  <si>
    <t>Sustento de pago PPC - Dinero en Mano / HORARIO DE PAGO: Medioda / NOTA: tt indica paga hoy las 10 de la mañana  aproximadamente en el mismo banco ya que su aplicativo tiene problemas .</t>
  </si>
  <si>
    <t xml:space="preserve">Sustento de pago PPC - Dinero en Mano / HORARIO DE PAGO: Medioda / NOTA: tt indica pagar 2500 a las 2 pm para la liquidación total de su deuda </t>
  </si>
  <si>
    <t>Sustento de pago PPC - Dinero en Mano / HORARIO DE PAGO: Medioda / NOTA: tt indica que hoy realiza el pago ,esta en reunion solicita que le enviemos el documento y proceso de pago ,para que pueda cancelar.</t>
  </si>
  <si>
    <t xml:space="preserve">Sustento de pago PPC - Dinero en Mano / HORARIO DE PAGO: Medioda / NOTA: tt indica que pagara al medio dia por yape </t>
  </si>
  <si>
    <t>Sustento de pago PPC - Dinero en Mano / HORARIO DE PAGO: Medioda / NOTA: tt indica que pagara hoy  en el mismo banco 140 soles  ,menciona que no tiene WhatsApp y va a  traer el documento a la oficina se la ha brindado el numero de cuenta bbva  ,su numero de prestamo para que confirme en el mismo banco y tambien el numero corporativo en caso no le de tiempo solicitará un familiar  que le apoye enviando la foto ,pero el insiste en que traera el comprobante de pago aqui ,se le dio la dirección.</t>
  </si>
  <si>
    <t xml:space="preserve">Sustento de pago PPC - Dinero en Mano / HORARIO DE PAGO: Medioda / NOTA: TT INDICO DT 213.05 ATRASO Y CESION TT CONFIRMA QUE RESUELVE EL PAGO HOY POR TRANSFERENCIA DE BCP ,ENVIO DATOS AL WSP </t>
  </si>
  <si>
    <t>Sustento de pago PPC - Dinero en Mano / HORARIO DE PAGO: Medioda / NOTA: TT MENCIONA QUE HOY PAGA EN CAJA LOS ANDES EL IMPORTE DE S/1615 SOLES</t>
  </si>
  <si>
    <t>Sustento de pago PPC - Dinero en Mano / HORARIO DE PAGO: Medioda / NOTA: tt menciona que hoy pagar a las 12:30pm aprx en agente de bcp el importe de s/300 soles</t>
  </si>
  <si>
    <t>Sustento de pago PPC - Dinero en Mano / HORARIO DE PAGO: Medioda / NOTA: tt paga 1700  hoy antes de medio dia  via trasferencia bcp</t>
  </si>
  <si>
    <t xml:space="preserve">Sustento de pago PPC - Dinero en Mano / HORARIO DE PAGO: Medioda / NOTA: TT paga 5k mañana </t>
  </si>
  <si>
    <t>Sustento de pago PPC - Dinero en Mano / HORARIO DE PAGO: Medioda / NOTA: TT PAGA HOY 2000 Y 1500 AL 30-6PAGA EN BBVA</t>
  </si>
  <si>
    <t>Sustento de pago PPC - Dinero en Mano / HORARIO DE PAGO: Medioda / NOTA: TT PAGA S/7MIL POR TRANSF IBK</t>
  </si>
  <si>
    <t xml:space="preserve">Sustento de pago PPC - Dinero en Mano / HORARIO DE PAGO: Medioda / NOTA: tt pagara bien por ibk o bbva cualquiera de los dos hará el pago antes del medio día. </t>
  </si>
  <si>
    <t xml:space="preserve">Sustento de pago PPC - Dinero en Mano / HORARIO DE PAGO: Medioda / NOTA: tt pagara por app del bcp </t>
  </si>
  <si>
    <t xml:space="preserve">Sustento de pago PPC - Dinero en Mano / HORARIO DE PAGO: Medioda / NOTA: tt pagara por el aplicativo del bcp </t>
  </si>
  <si>
    <t xml:space="preserve">Sustento de pago PPC - Dinero en Mano / HORARIO DE PAGO: Medioda / NOTA: TT PAGARA POR EL APP DE IBK </t>
  </si>
  <si>
    <t xml:space="preserve">Sustento de pago PPC - Dinero en Mano / HORARIO DE PAGO: Medioda / NOTA: tt pp 50 se le dice que el monto en si ya esta con descuento accede a campaña de 75 soles estaría pagando el día lunes </t>
  </si>
  <si>
    <t>Sustento de pago PPC - Dinero en Mano / HORARIO DE PAGO: Medioda / NOTA: tt realizara el pago de 405 soles  el dia 09/06  a la cuentas corrientes autorizada medioia</t>
  </si>
  <si>
    <t>Sustento de pago PPC - Dinero en Mano / HORARIO DE PAGO: Medioda / NOTA: TT Realizara pago de 590 el dia 30.05 por transferencia bcp antes del 12pm</t>
  </si>
  <si>
    <t xml:space="preserve">Sustento de pago PPC - Dinero en Mano / HORARIO DE PAGO: Medioda / NOTA: tt realizara pago por app bcp, pago el dia viernes 15 de mayo </t>
  </si>
  <si>
    <t>Sustento de pago PPC - Dinero en Mano / HORARIO DE PAGO: Medioda / NOTA: TT RESPONDE POR WASPP, MENCIONA QUE MAÑANA PAGARA EL IMPORTE DE S/50.00 POR TRANSFERENCIA O AGENTE.</t>
  </si>
  <si>
    <t xml:space="preserve">Sustento de pago PPC - Dinero en Mano / HORARIO DE PAGO: Medioda / NOTA: TT se acoge a campaña de S/600 que lo cancelará por agente BCP; se envía información por WhatsApp. </t>
  </si>
  <si>
    <t xml:space="preserve">Sustento de pago PPC - Dinero en Mano / HORARIO DE PAGO: Medioda / NOTA: TT se acoge a la campaña de S/140 para cancelar el 14.03, en comunicacion por wsp +56992088448 se envia informacion wsp </t>
  </si>
  <si>
    <t xml:space="preserve">Sustento de pago PPC - Dinero en Mano / HORARIO DE PAGO: Medioda / NOTA: TT SE CONFIRMA SE APRUEBA ACUERDO PAGA HOY 500 Y 500 MAÑANA 20-5 ,DA CORREO </t>
  </si>
  <si>
    <t>Sustento de pago PPC - Dinero en Mano / HORARIO DE PAGO: Mediodía</t>
  </si>
  <si>
    <t xml:space="preserve">Sustento de pago PPC - Dinero en Mano / HORARIO DE PAGO: Mediodía / NOTA: </t>
  </si>
  <si>
    <t xml:space="preserve">Sustento de pago PPC - Dinero en Mano / HORARIO DE PAGO: Mediodía / NOTA:  SE APRUEBA CANCELACION POR 10000 EN 2 PAGOS 5000 ,TT  pago ayer 3700 19-5  hoy pago 1300  completo 5000 y RESTA 5000 pagara el 30/5 </t>
  </si>
  <si>
    <t>Sustento de pago PPC - Dinero en Mano / HORARIO DE PAGO: Mediodía / NOTA: *Monto Negociado: total 469.38 capital 397.00</t>
  </si>
  <si>
    <t>*Sustento: pago de haberes</t>
  </si>
  <si>
    <t xml:space="preserve"> no pago: </t>
  </si>
  <si>
    <t>*Fecha: 05/07</t>
  </si>
  <si>
    <t>*Propuesta: 397.00</t>
  </si>
  <si>
    <t>realiza pago al medio dia por aplicativo</t>
  </si>
  <si>
    <t xml:space="preserve">Sustento de pago PPC - Dinero en Mano / HORARIO DE PAGO: Mediodía / NOTA: 1PM </t>
  </si>
  <si>
    <t xml:space="preserve">Sustento de pago PPC - Dinero en Mano / HORARIO DE PAGO: Mediodía / NOTA: 200 4-6  y 200 al 28-6 </t>
  </si>
  <si>
    <t>Sustento de pago PPC - Dinero en Mano / HORARIO DE PAGO: Mediodía / NOTA: 614.33 DT. DESC 500.00 SOLES TT PROPONE CANCELAR CON 400 SOLES EL DIA 6-1</t>
  </si>
  <si>
    <t xml:space="preserve">Sustento de pago PPC - Dinero en Mano / HORARIO DE PAGO: Mediodía / NOTA: a corde a excepcion </t>
  </si>
  <si>
    <t xml:space="preserve">Sustento de pago PPC - Dinero en Mano / HORARIO DE PAGO: Mediodía / NOTA: ATIENDE TITULAR VA PAGAR UN ADELANTO Y CANCELA EN UNA CUOTA DE S/3050.00 POR CAJA TRUJILLO CON DNI 12PM  LO CANCELA </t>
  </si>
  <si>
    <t>Sustento de pago PPC - Dinero en Mano / HORARIO DE PAGO: Mediodía / NOTA: CAMPAÑA PPM 6CxS/332 | TT CONFIRMA PAGO DE CUOTA 06 EL 22/10, ÚLTIMA CUOTA.</t>
  </si>
  <si>
    <t xml:space="preserve">Sustento de pago PPC - Dinero en Mano / HORARIO DE PAGO: Mediodía / NOTA: carol hija hoy cancela informa en agente multired banco de la nacion </t>
  </si>
  <si>
    <t xml:space="preserve">Sustento de pago PPC - Dinero en Mano / HORARIO DE PAGO: Mediodía / NOTA: CLIENTE CANCELO </t>
  </si>
  <si>
    <t>Sustento de pago PPC - Dinero en Mano / HORARIO DE PAGO: Mediodía / NOTA: CLIENTE DA CONTRAPROPUESTA DE 200, SE LE PIDE ALGO ADICIONAL PARA PODER AYUDARLO Y DA CONTRAPROPUESTA DE 250, SE LE PIDE ALGO ADICIONAL Y MENCIONA QUE ES CON LO UNICO QUE CUENTA.</t>
  </si>
  <si>
    <t xml:space="preserve">Sustento de pago PPC - Dinero en Mano / HORARIO DE PAGO: Mediodía / NOTA: cliente realizará pago en agencia de villa el salvador </t>
  </si>
  <si>
    <t>Sustento de pago PPC - Dinero en Mano / HORARIO DE PAGO: Mediodía / NOTA: dk 16  cam 100</t>
  </si>
  <si>
    <t xml:space="preserve">Sustento de pago PPC - Dinero en Mano / HORARIO DE PAGO: Mediodía / NOTA: dk 3300 cam  1320   </t>
  </si>
  <si>
    <t xml:space="preserve">Sustento de pago PPC - Dinero en Mano / HORARIO DE PAGO: Mediodía / NOTA: DK 3800 CAM  1400  </t>
  </si>
  <si>
    <t xml:space="preserve">SE SUBIO EXCEPCION POR 800 </t>
  </si>
  <si>
    <t>PAGO 400   30/04</t>
  </si>
  <si>
    <t xml:space="preserve">Sustento de pago PPC - Dinero en Mano / HORARIO DE PAGO: Mediodía / NOTA: DK 936  ICAMPAÑA 468 CANCELA </t>
  </si>
  <si>
    <t>Sustento de pago PPC - Dinero en Mano / HORARIO DE PAGO: Mediodía / NOTA: DK:775.00 , MIN2:360.00 | TT INDICA QUE SE LE DIO IMPORTE DE 300, LE INFORMO QUE ESO FUE PARA JULIO PERO INDICA QUE TUVO QUE GASTAR DINERO. | CANCELARÁ CON 300 EN 2 FECHAS 100 EL 04/08 Y 200 EL 11/08 | REALIZARÁ PAGO POR BCP. SE ENVÍA DETALLE POR WHATSAPP</t>
  </si>
  <si>
    <t xml:space="preserve">Sustento de pago PPC - Dinero en Mano / HORARIO DE PAGO: Mediodía / NOTA: dt 1,172 dk  750 cmp 420 tt pagara 420 soles antes anticipara  este fin de semna 100 </t>
  </si>
  <si>
    <t>Sustento de pago PPC - Dinero en Mano / HORARIO DE PAGO: Mediodía / NOTA: dt 443.88 - s emenciona que el monto a cancelar es 444- tt solicita un descuento menciono min 400 , tt peude pagarlo la siguiente semana miercoles por la misma oficina, ok menciona que lo hara por la oficina, se explica entrega de cdna 24h posterior al pago tt ok</t>
  </si>
  <si>
    <t xml:space="preserve">Sustento de pago PPC - Dinero en Mano / HORARIO DE PAGO: Mediodía / NOTA: dt 5,322.94 dk 2,598.49 camp 620 tti pagaria el lunes ya q esta de viaje ahora </t>
  </si>
  <si>
    <t>Sustento de pago PPC - Dinero en Mano / HORARIO DE PAGO: Mediodía / NOTA: DT 9500 CAMP 7600 TT REALIZO ADELANTO HOY 13.02  DE 1500 , RESTAN 6100 , MENCIONA QUE LA OTRA SEMANA SE ESTARA COMUNICANDO PARA HACER OTRO ADELANTO Y LA CANCELACION FINAL EL 27.02.2025</t>
  </si>
  <si>
    <t>Sustento de pago PPC - Dinero en Mano / HORARIO DE PAGO: Mediodía / NOTA: DT: S/.1,136.58 - se le da campaña de 482 inidcandole que es un descuento gerencial, abona 100 el 16-10 y la dif para fin de mes</t>
  </si>
  <si>
    <t xml:space="preserve">Sustento de pago PPC - Dinero en Mano / HORARIO DE PAGO: Mediodía / NOTA: Dt: S/.1,576.91- campaña de 250, cl confrima su pago, su esposo es que va a pagar mediante su app de BCP, comneta que no pagaron antes por desconfianza. </t>
  </si>
  <si>
    <t>Sustento de pago PPC - Dinero en Mano / HORARIO DE PAGO: Mediodía / NOTA: DT: S/.1,772.07 - campaña de 146, cl dice que no puede pagar hoy pide para el 15 ya que ese dia cobra, dice que el importe fue un mensaje de campaña, comenta que si quiere pagar y que si le prestan el dinero lo paga antes , dice que si o si el dinero esta confrimado para 15na, cmapaña de 146</t>
  </si>
  <si>
    <t xml:space="preserve">Sustento de pago PPC - Dinero en Mano / HORARIO DE PAGO: Mediodía / NOTA: DT: S/.10,663.58 - segun excepcion aprovada cl paga mñna 1250  11-07 , cl confirma que realizara el pago </t>
  </si>
  <si>
    <t>Sustento de pago PPC - Dinero en Mano / HORARIO DE PAGO: Mediodía / NOTA: DT: S/.2,945.87 - se le da cmapaña de 800, cl confirma pago, pero quiere pagar a fin de mes, se le inidca que abone 200 para mantener camapaña.</t>
  </si>
  <si>
    <t>inidca que si abona los 200 el dia de mañana ya que quiere verificar autenticidad de la entidad.</t>
  </si>
  <si>
    <t xml:space="preserve">Sustento de pago PPC - Dinero en Mano / HORARIO DE PAGO: Mediodía / NOTA: DT:1,095.00 - cliente confirma pago en 2h , se le da campaña de 450, cliente pide descuento, se le da 350 , confirma campaña </t>
  </si>
  <si>
    <t>Sustento de pago PPC - Dinero en Mano / HORARIO DE PAGO: Mediodía / NOTA: el viernas anricicpa y eñ 12 cancela  wasat 991592581</t>
  </si>
  <si>
    <t>Sustento de pago PPC - Dinero en Mano / HORARIO DE PAGO: Mediodía / NOTA: encaragda de pago maricielo facuolata bellido, dni 77268569, pagara por caja piura o trans bancaria, 3000 cancelacion</t>
  </si>
  <si>
    <t>Sustento de pago PPC - Dinero en Mano / HORARIO DE PAGO: Mediodía / NOTA: EXCEPCIÓN APROBADA. TT CONFIRMA ABONO PARA HOY.</t>
  </si>
  <si>
    <t>Sustento de pago PPC - Dinero en Mano / HORARIO DE PAGO: Mediodía / NOTA: Familiar Joseph Aycachi se hace cargo de la deuda ya que su tio se encuentra en el penal , realizara pago en oficina caja los andes</t>
  </si>
  <si>
    <t>Sustento de pago PPC - Dinero en Mano / HORARIO DE PAGO: Mediodía / NOTA: hara pago</t>
  </si>
  <si>
    <t xml:space="preserve">Sustento de pago PPC - Dinero en Mano / HORARIO DE PAGO: Mediodía / NOTA: hoy cancela 500 y el lunes 2800 soles en credinka o bcp </t>
  </si>
  <si>
    <t>Sustento de pago PPC - Dinero en Mano / HORARIO DE PAGO: Mediodía / NOTA: inbound asignado dt y campaña 575 soles no se le dio dk tt indica que cuenta con 500 soles para soluciopnar se le indica q no es posible pero no tiene mas, se consulta aceptan el importe de 500 soles para cancelar es mas del capital pago el 03/07</t>
  </si>
  <si>
    <t xml:space="preserve">Sustento de pago PPC - Dinero en Mano / HORARIO DE PAGO: Mediodía / NOTA: PAGARA  418 EN 2 CUOTAS DE 209 C/U TODOS LOS FINES DE MES EMPEZANDO EN JULIO// ADELANTARA 20 SOLES DE 1RA CUOTA </t>
  </si>
  <si>
    <t>Sustento de pago PPC - Dinero en Mano / HORARIO DE PAGO: Mediodía / NOTA: PAGARA EN CAJA LAN.</t>
  </si>
  <si>
    <t xml:space="preserve">Sustento de pago PPC - Dinero en Mano / HORARIO DE PAGO: Mediodía / NOTA: pago sera realizado en oficina de ilabe </t>
  </si>
  <si>
    <t xml:space="preserve">Sustento de pago PPC - Dinero en Mano / HORARIO DE PAGO: Mediodía / NOTA: rep leg 09187944 </t>
  </si>
  <si>
    <t>DAMIAN AVILA LUIS ALBERTO</t>
  </si>
  <si>
    <t xml:space="preserve">*Monto Negociado: dt 4286  canc 1081 </t>
  </si>
  <si>
    <t xml:space="preserve">*Sustento:REP LEG no reconoce la deuda por empresa que no tuvo trato siempre le llamen se quejo le di notificacion no llega a acercarse a oficina ofreci cancelar reajustando al capital 1081 , tt confirma que tomara de una vez la cancelacion en 2 partes ,confirma mejor mañana abona todo y cancela </t>
  </si>
  <si>
    <t>*Motivo de no pago: no reconocia la deuda</t>
  </si>
  <si>
    <t>*Fecha: 22/05/2025</t>
  </si>
  <si>
    <t>*Propuesta: 1081</t>
  </si>
  <si>
    <t>Sustento de pago PPC - Dinero en Mano / HORARIO DE PAGO: Mediodía / NOTA: responsable de deuda cancelo el dia sabado en caja los andes de juliaca 900</t>
  </si>
  <si>
    <t>Sustento de pago PPC - Dinero en Mano / HORARIO DE PAGO: Mediodía / NOTA: SE CONFIRMA CON EL TT QUE LA CANCELACIÓN ERA POR OTRO PRODUCTO Y TAMBIÉN QUIERE SOLUCIONAR ESTE. SE LE DA CAMP DE CAN 2710 INDICA QUE LO PODRÍA CANCELAR EL DÍA DE MAÑANA. PERO POR TEMA DE HORARIO CON SEGURIDAD EL DÍA LUNES HARÍA EL PAGO. EN CUALQUIERA DE LOS DOS CASOS SE PONDRÍA EN CONTACTO PARA CONFIRMAR</t>
  </si>
  <si>
    <t xml:space="preserve">Sustento de pago PPC - Dinero en Mano / HORARIO DE PAGO: Mediodía / NOTA: Se indica Dt 5,897, Dk 3,210, tt indica que le llego una campaña por S/.1,120 soles. Se indica que la campaña esta vigente solo por hoy, indica que cuenta con el monto pero no podrá cancelar ya que se encuentra viajando. Indica que cancelara en caja los andes antes del medio dia, se enviara documento por whatsapp </t>
  </si>
  <si>
    <t xml:space="preserve">Sustento de pago PPC - Dinero en Mano / HORARIO DE PAGO: Mediodía / NOTA: se le da la conformidad de 3k - indica que lo haria x bbva - esta aprox 30 min del banco - se le especifico - se le mandara info x wsp </t>
  </si>
  <si>
    <t xml:space="preserve">Sustento de pago PPC - Dinero en Mano / HORARIO DE PAGO: Mediodía / NOTA: SE LLEGA A LA CONCILIACIÓN CON EL CLIENTE Y EL DIA JUEVES 12 ESTARÁ CANCELANDO CON S/490.00 EN MISMO CAJA TRUJILLO - SEGUIMIENTO </t>
  </si>
  <si>
    <t xml:space="preserve">Sustento de pago PPC - Dinero en Mano / HORARIO DE PAGO: Mediodía / NOTA: SE LLEGA A LA CONCILIACIÓN CON TT, SE NEGOCIA CON 3MIL SOLES HOY PAGA S/300.00 COMO ABONO Y LA DIFERENCIA DE LOS 2700.0 LO PAGA EL DIA 30 O QUIZAS ANTES, ESO NOS INFORMA, SEGUIMIENTO </t>
  </si>
  <si>
    <t>Sustento de pago PPC - Dinero en Mano / HORARIO DE PAGO: Mediodía / NOTA: SE LLEGÓ A LA CONCILIACION Y FUE APROBADO EN CANCELAR CON LOS 2500 SOLES</t>
  </si>
  <si>
    <t xml:space="preserve">Sustento de pago PPC - Dinero en Mano / HORARIO DE PAGO: Mediodía / NOTA: SE NEGOCIA CON CLIENTE Y ESTARA CANCELANDO CON 80 SOLES HOY EN EL BCP, PIDE QUE ENVIEMOS INFORMACION AL WSSP Y EL NUMERO DE CUENTA </t>
  </si>
  <si>
    <t>Sustento de pago PPC - Dinero en Mano / HORARIO DE PAGO: Mediodía / NOTA: se propone cancelr con 750 , tt dice que el pago es mensual no le propongo pagar en una cancelacion en la oficina trujillo, tt dice que esta lejos  esta en un lugar que no cuenta con señal solo agentes , le mencionoq ue puede hacer transferencia por app bcp , tt ok se le da el numero de cuenmta , se orienta comor ealizar el pago por aplicativo , tt al medio realiza se le da datos del estudio s envia comvenio por wsp</t>
  </si>
  <si>
    <t>Sustento de pago PPC - Dinero en Mano / HORARIO DE PAGO: Mediodía / NOTA: señora garante y amiga titular del pago hara la cancelacion con 1600 soles y cancelara deuda confirma ya esta en agencia</t>
  </si>
  <si>
    <t>Sustento de pago PPC - Dinero en Mano / HORARIO DE PAGO: Mediodía / NOTA: Sustento: HABERES</t>
  </si>
  <si>
    <t>Motivo de no pago: FALTA DE TRABAJO</t>
  </si>
  <si>
    <t>Fecha: 31-05</t>
  </si>
  <si>
    <t>Propuesta 1800</t>
  </si>
  <si>
    <t xml:space="preserve">Sustento de pago PPC - Dinero en Mano / HORARIO DE PAGO: Mediodía / NOTA: TIPI CORRECTA </t>
  </si>
  <si>
    <t>a tt se le da la aprobacion de los 3,4k - indica nuevamente que lo tiene en efectivo - que no puede ahorita x la hora - quiere x correo Jnz_8419@hotmail.com la aprobacion donde se indique la cancelacion y el plazo de la carta de no adeudo - se le especifica que hoy es esta excepcion sin embargo x un tema excepcional se le habilitara hasta mñn medio dia como max -- quiere todo x correo - podria hacerlo x bcp</t>
  </si>
  <si>
    <t xml:space="preserve">MONTO NEGOCIADO 3,4 </t>
  </si>
  <si>
    <t xml:space="preserve">sustento: tt indica que solo podria con 3,4k </t>
  </si>
  <si>
    <t>motivo de no pago: SE PERJUDICO X PANDEMIA SU NEGOCIO</t>
  </si>
  <si>
    <t>fecha: 08/07</t>
  </si>
  <si>
    <t xml:space="preserve">propuesta: tt indica que solo podria con 3,4k </t>
  </si>
  <si>
    <t xml:space="preserve">Sustento de pago PPC - Dinero en Mano / HORARIO DE PAGO: Mediodía / NOTA: tit  idnica que mañana al medio dia  esta cancelando monto 1500 / paga  en el mismo banco </t>
  </si>
  <si>
    <t>Sustento de pago PPC - Dinero en Mano / HORARIO DE PAGO: Mediodía / NOTA: tit cancala</t>
  </si>
  <si>
    <t>Sustento de pago PPC - Dinero en Mano / HORARIO DE PAGO: Mediodía / NOTA: Titular realiza el pago de S/2500 soles para el Lunes 30/09 por caja los andes.</t>
  </si>
  <si>
    <t>Sustento de pago PPC - Dinero en Mano / HORARIO DE PAGO: Mediodía / NOTA: Titular realiza el pago total de S/1,000 soles en 2 fechas iniciando el Miercoles 19/11/2025 de S/500 soles y lo restante de S/500 soles el Viernes 28/11/2025 ,del cual lo realizara por transferencia por su app BCP o agente indica ,pagos antes de 12:00 pm se indica en llamada de whatsapp ya que por señal no ingresa la llamada.</t>
  </si>
  <si>
    <t>Sustento de pago PPC - Dinero en Mano / HORARIO DE PAGO: Mediodía / NOTA: Titular realiza pago de S/350 soles con el adelanto de S/150 soles para hoy viernes 13/09 por app bcp y el restante el viernes 20/09 de S/200 soles.</t>
  </si>
  <si>
    <t>Sustento de pago PPC - Dinero en Mano / HORARIO DE PAGO: Mediodía / NOTA: titular realiza pago de ultima cuota que no pago en abril ,el jueves 31/05 los 370 soles,esta en otra zona por trabajo por ello no pago a teimpo pidio prorroga.</t>
  </si>
  <si>
    <t>Sustento de pago PPC - Dinero en Mano / HORARIO DE PAGO: Mediodía / NOTA: TITULAR REALIZA ULTIMA CUOTA DE 250 SOLES PARA EL JUEVES 29/08 POR AGENTE BCP.</t>
  </si>
  <si>
    <t>Sustento de pago PPC - Dinero en Mano / HORARIO DE PAGO: Mediodía / NOTA: Titular se acoge a campaña de 17mil soles pagando 10mil soles hoy 28/10 y 7mil el 29/10 pago lo realizará de manera interbancaria</t>
  </si>
  <si>
    <t xml:space="preserve">Sustento de pago PPC - Dinero en Mano / HORARIO DE PAGO: Mediodía / NOTA: titular se acoge a campaña de 397.00 </t>
  </si>
  <si>
    <t>Sustento de pago PPC - Dinero en Mano / HORARIO DE PAGO: Mediodía / NOTA: tt   dic pagara  12pm</t>
  </si>
  <si>
    <t>Sustento de pago PPC - Dinero en Mano / HORARIO DE PAGO: Mediodía / NOTA: tt adelanto ayer 27/08 el importe de 2000 y hoy 28/08  completa 500, via bcp, brindo correo electronico jackjunior12345678@gmail.com</t>
  </si>
  <si>
    <t xml:space="preserve">Sustento de pago PPC - Dinero en Mano / HORARIO DE PAGO: Mediodía / NOTA: TT ALEJADO POR TRABAJO VA DIFERENTES LOCALIDADES  MAÑANA REALIZA PAGO EN ANDES SINO POR BCP  </t>
  </si>
  <si>
    <t xml:space="preserve">Sustento de pago PPC - Dinero en Mano / HORARIO DE PAGO: Mediodía / NOTA: TT CANCELA 13000 K EN BBVA , SE DIO ACEPTACION PAGO </t>
  </si>
  <si>
    <t>Sustento de pago PPC - Dinero en Mano / HORARIO DE PAGO: Mediodía / NOTA: TT CANCELA 250 ESTA ALEJADO LLEGA AL 28 EN CREDINKA QUIERE NO ADEUDO</t>
  </si>
  <si>
    <t xml:space="preserve">Sustento de pago PPC - Dinero en Mano / HORARIO DE PAGO: Mediodía / NOTA: TT CANCELA CON 3000 ,PAGA HOY 2500  Y 500 A FIN DE MES  SE ENVIA CARTA AL WSP </t>
  </si>
  <si>
    <t xml:space="preserve">Sustento de pago PPC - Dinero en Mano / HORARIO DE PAGO: Mediodía / NOTA: TT Cancela hoy </t>
  </si>
  <si>
    <t>Sustento de pago PPC - Dinero en Mano / HORARIO DE PAGO: Mediodía / NOTA: TT cancela la deuda total 1273.25</t>
  </si>
  <si>
    <t>Sustento de pago PPC - Dinero en Mano / HORARIO DE PAGO: Mediodía / NOTA: TT cancela S/410 el día 30.06.2025 a través de agente BCP, indica que su madre falleció y tuvo gastos // Se brindo DT: 16,378.05 -DK: 1,815.92</t>
  </si>
  <si>
    <t>Sustento de pago PPC - Dinero en Mano / HORARIO DE PAGO: Mediodía / NOTA: tt comnfirma que realizara el pago por agente bbva</t>
  </si>
  <si>
    <t>Sustento de pago PPC - Dinero en Mano / HORARIO DE PAGO: Mediodía / NOTA: tt confirma pago hasta el dia 25 de noviembre 291</t>
  </si>
  <si>
    <t xml:space="preserve">Sustento de pago PPC - Dinero en Mano / HORARIO DE PAGO: Mediodía / NOTA: tt confirma que llegara el bote en unas horas viajara y el dia de malñana estara en la cidaud para cancelar por agente bcp - se envia  uentas </t>
  </si>
  <si>
    <t>Sustento de pago PPC - Dinero en Mano / HORARIO DE PAGO: Mediodía / NOTA: TT CONFIRMA REALIZAR EL SEGUNDO PAGO DE SU CONVENIO POR 300  PARA EL DÍA SABADO 5, LIQUIDARA SU PENDIENTE CON ESTE PAGO.</t>
  </si>
  <si>
    <t xml:space="preserve">Sustento de pago PPC - Dinero en Mano / HORARIO DE PAGO: Mediodía / NOTA: tt confirmo acuerdo cancela con 600 soles al 23/06 </t>
  </si>
  <si>
    <t>Sustento de pago PPC - Dinero en Mano / HORARIO DE PAGO: Mediodía / NOTA: tt conforme, menciona que el pago lor realiza por la misma agencia , ss que le envie el documento de comrpomiso de pago.</t>
  </si>
  <si>
    <t>Sustento de pago PPC - Dinero en Mano / HORARIO DE PAGO: Mediodía / NOTA: tt conformw con el apoyo , se envia metodos de pago</t>
  </si>
  <si>
    <t>Sustento de pago PPC - Dinero en Mano / HORARIO DE PAGO: Mediodía / NOTA: tt de acuero con realizar la cancelacion en la misma agencia de trujillo san isidro</t>
  </si>
  <si>
    <t xml:space="preserve">Sustento de pago PPC - Dinero en Mano / HORARIO DE PAGO: Mediodía / NOTA: TT DICE QUE REALIZARA PAGO EN MI BANCO </t>
  </si>
  <si>
    <t>Sustento de pago PPC - Dinero en Mano / HORARIO DE PAGO: Mediodía / NOTA: tt did mañana</t>
  </si>
  <si>
    <t>Sustento de pago PPC - Dinero en Mano / HORARIO DE PAGO: Mediodía / NOTA: tt hara cancelacion</t>
  </si>
  <si>
    <t xml:space="preserve">Sustento de pago PPC - Dinero en Mano / HORARIO DE PAGO: Mediodía / NOTA: TT HARA EL PAGO A LAS 11:30 YA QUE TIENE QUE IR POR EL DINERO QUE SE VA A PRESTAR, YA LE CONFIRMARON EL MONTO Y SOLO TIENE QUE IR A RECOGER EL DINERO PARA PODER CANCELAR LA DIFERENCIA EL DIA DE HOY, SE LE BIRNDO LA INFORMACION DE QUE SOLO ATENDEREMOS HASTA LAS 12 PM Y TIENE QUE HACER LA PAGO ANTES DE. </t>
  </si>
  <si>
    <t xml:space="preserve">Sustento de pago PPC - Dinero en Mano / HORARIO DE PAGO: Mediodía / NOTA: tt id que entre hoy y mañana cancelará con campaña de 200- se envia cesion de derechos para que valide informacion </t>
  </si>
  <si>
    <t xml:space="preserve">Sustento de pago PPC - Dinero en Mano / HORARIO DE PAGO: Mediodía / NOTA: TT INDICA  REALIZARA  LA CANCELACION EL DIA 15/05 </t>
  </si>
  <si>
    <t xml:space="preserve">Sustento de pago PPC - Dinero en Mano / HORARIO DE PAGO: Mediodía / NOTA: tt indica que hara pago de cuota 3 de 3  monto de 260  el  dia 20.06   si puede realizarlo antes lo haria el dia 15.06 pero confirmara no s llamara </t>
  </si>
  <si>
    <t xml:space="preserve">Sustento de pago PPC - Dinero en Mano / HORARIO DE PAGO: Mediodía / NOTA: tt indica que se encuentra en la chara y que es muy difícil cancelar ya que la señal del internet es muy baja y tendría que acercarse al pueblo. Se indica monto DT 912, Dk 484.76, Min1 320 soles a lo cual indica que si puede cancelar por medio del BCP pero que será el día sábado. Se indica que después de efectuar su pago envie comprobante por whatsapp y se revisara el lunes a las 7 am. Se indica que se enviara numero de cuenta BCP por whatsapp. </t>
  </si>
  <si>
    <t>Sustento de pago PPC - Dinero en Mano / HORARIO DE PAGO: Mediodía / NOTA: tt liquida en 2 cuotas , con la suma de 150 por que  no cuenta  con dinero , solo tiene 100 y 50 fines de mes</t>
  </si>
  <si>
    <t>100 - 15/04</t>
  </si>
  <si>
    <t xml:space="preserve">50 - 30/04 </t>
  </si>
  <si>
    <t>Sustento de pago PPC - Dinero en Mano / HORARIO DE PAGO: Mediodía / NOTA: TT LLAMA CANCELA CON 900 SOLES VA IR APORTANDO HASTA JUNTAR EL RESTO AL 27 PIDE AYUDA A SU PAREJA HOY SE COMPROMETE A DAR UN MINIMO ADELANTO</t>
  </si>
  <si>
    <t xml:space="preserve">Sustento de pago PPC - Dinero en Mano / HORARIO DE PAGO: Mediodía / NOTA: TT MANDO FOTO DEL COMPROBANTE DE PAGO POR EL ACUERDO QUE SE APROBO, PAGO EL ADELANTO DE LOS 12K EL DIA DE HOY, RESTANTE LO PAGARA A MAS TARDAR EL 31/7 REALIZO PAGO POR BCP (MISMO BANCO) INDICO QUE PAGO DE LOS 4K LO REALIZARA POR TRANSFERENCIA BANCARIA DEL BCP </t>
  </si>
  <si>
    <t>Sustento de pago PPC - Dinero en Mano / HORARIO DE PAGO: Mediodía / NOTA: TT NO CANCELÓ PORQUE FUE AL BANCO Y LE DIJERON QUE NO TENÍA DEUDA CON ELLOS, SE LE EXPLICA QUE LA DEUDA LA REPORTAMOS NOSOTROS PORQUE SOMOS LOS ACREEDORES DE LA DEUDA. INDICA QUE EL DÍA LUNES SE ACERCA AL CONTINENTAL A CANCELAR A LAS 11 DE LA MAÑANA Y ENVÍA SU COMPROBANTE POR WHATSAPP , YA NO QUIERE QUE SE LE SIGA LLAMANDO</t>
  </si>
  <si>
    <t xml:space="preserve">Sustento de pago PPC - Dinero en Mano / HORARIO DE PAGO: Mediodía / NOTA: tt paga  1000 soles campaña </t>
  </si>
  <si>
    <t xml:space="preserve">Sustento de pago PPC - Dinero en Mano / HORARIO DE PAGO: Mediodía / NOTA: tt paga 500 9-10 y 700 al 30-10 </t>
  </si>
  <si>
    <t xml:space="preserve">Sustento de pago PPC - Dinero en Mano / HORARIO DE PAGO: Mediodía / NOTA: tt paga en agente banco de la nacion </t>
  </si>
  <si>
    <t>Sustento de pago PPC - Dinero en Mano / HORARIO DE PAGO: Mediodía / NOTA: TT paga en caja trujillo de tumbes 1500</t>
  </si>
  <si>
    <t xml:space="preserve">Sustento de pago PPC - Dinero en Mano / HORARIO DE PAGO: Mediodía / NOTA: tt pagara 4500 soles en agente bcp </t>
  </si>
  <si>
    <t xml:space="preserve">Sustento de pago PPC - Dinero en Mano / HORARIO DE PAGO: Mediodía / NOTA: tt pagara el 29 de agosto su deuda confirmo. </t>
  </si>
  <si>
    <t xml:space="preserve">Sustento de pago PPC - Dinero en Mano / HORARIO DE PAGO: Mediodía / NOTA: tt pago el dia 03.7  </t>
  </si>
  <si>
    <t xml:space="preserve">Sustento de pago PPC - Dinero en Mano / HORARIO DE PAGO: Mediodía / NOTA: tt pago hoy 600 soles y a el dia 29.08 pagara la diferencia 730 soles </t>
  </si>
  <si>
    <t xml:space="preserve">Sustento de pago PPC - Dinero en Mano / HORARIO DE PAGO: Mediodía / NOTA: TT PIDE ESPERA FIN DE MES PAGAR LOS 600 INSISTI SINO PIERDE CONVENIO  </t>
  </si>
  <si>
    <t>Sustento de pago PPC - Dinero en Mano / HORARIO DE PAGO: Mediodía / NOTA: TT REALIZARA EL PAGO EN AGENCIA BBVA DE TRUJILLO</t>
  </si>
  <si>
    <t>Sustento:VENTA Y PRESTAMO</t>
  </si>
  <si>
    <t>Motivo de no pago: SU NEGOCIO DECAYO CASI A LA QUIEBRA</t>
  </si>
  <si>
    <t xml:space="preserve">Fecha:17-05 </t>
  </si>
  <si>
    <t xml:space="preserve">Propuesta: 8K </t>
  </si>
  <si>
    <t xml:space="preserve">Sustento de pago PPC - Dinero en Mano / HORARIO DE PAGO: Mediodía / NOTA: TT REALIZARA PAGO DE 1000 SOLES EN AGENCIA DE BBVA </t>
  </si>
  <si>
    <t>Sustento de pago PPC - Dinero en Mano / HORARIO DE PAGO: Mediodía / NOTA: tt realizara pago importe s/. 8500 bajo excepcion // fecha de pago 12/12 via oficina bcp // dinero en mano.</t>
  </si>
  <si>
    <t>Sustento de pago PPC - Dinero en Mano / HORARIO DE PAGO: Mediodía / NOTA: tt realizo pago inicial de 800 soles, pagara diferencia de 5,700 hasta 20/08.</t>
  </si>
  <si>
    <t>Sustento de pago PPC - Dinero en Mano / HORARIO DE PAGO: Mediodía / NOTA: TT se acoge a campaña MIN1: 60 ya que desea obtener su carta de no adeudo, Se brindo DK; 294.22</t>
  </si>
  <si>
    <t xml:space="preserve">Sustento de pago PPC - Dinero en Mano / HORARIO DE PAGO: Mediodía / NOTA: TT SE COBRA 690 </t>
  </si>
  <si>
    <t>Sustento de pago PPC - Dinero en Mano / HORARIO DE PAGO: Mediodía / NOTA: tt se comunica por wasapt  y dice que pagara 379 el dia 28/12  en  caja trujillo antes del mediodia</t>
  </si>
  <si>
    <t>Sustento de pago PPC - Dinero en Mano / HORARIO DE PAGO: Mediodía / NOTA: TT TIENE INTENCION DE PAGO, EL DINERO LO REUNIO DESDE EL AÑO PASADO CON LA INTENCION DE LLEGAR A UN ACUERDO, NO CONTABA CON TRABAJO ESTABLE, NO LE PAGAN UN SUELDO CONSIDERADO PARA CUBRIR LA TOTALDIAD DE LA CAMPAÑA (33,674.00) PROPONE CANCELAR CON 5100, SE LE BRINDA LOS DETALLES DE LA CONSULTA APROBADA Y REALIZARA EL PAGO POR APLICATIVO BCP PAGO POR SERVICIOS, BRINDA SU CORREO PARA EL DOCUMENTO EN ESPERA PAGO EN LA BREVEDADA, PAGARA ANTES DE LAS 2 PM.</t>
  </si>
  <si>
    <t>Sustento de pago PPC - Dinero en Mano / HORARIO DE PAGO: Mediodía / NOTA: TT ULTIMA CUOTA 15NA</t>
  </si>
  <si>
    <t>Sustento de pago PPC - Dinero en Mano / HORARIO DE PAGO: Mediodía / NOTA: tt via wsp da confirmacion</t>
  </si>
  <si>
    <t>Si.</t>
  </si>
  <si>
    <t>El día viernes</t>
  </si>
  <si>
    <t>Voy hacer el depósito</t>
  </si>
  <si>
    <t>---</t>
  </si>
  <si>
    <t xml:space="preserve">MONTO NEGOCIADO:  1,5 trabajado </t>
  </si>
  <si>
    <t xml:space="preserve">Sustento: queda pendiente ultima cuota de 800 </t>
  </si>
  <si>
    <t>Motivo de no pago: no menciona</t>
  </si>
  <si>
    <t>Fecha: 04/07</t>
  </si>
  <si>
    <t xml:space="preserve">Propuesta: queda pendiente ultima cuota de 800 </t>
  </si>
  <si>
    <t xml:space="preserve">Sustento de pago PPC - Dinero en Mano / HORARIO DE PAGO: Mediodía / NOTA: tt. indica que se acercara a oficina Santo Tomas s/850 se encuentra lejos de la ciudad </t>
  </si>
  <si>
    <t>Sustento de pago PPC - Dinero en Mano / HORARIO DE PAGO: Mediodía / NOTA: ULTIMA CUOTA 217 DK. 2604</t>
  </si>
  <si>
    <t>Sustento de pago PPC - Dinero en Mano / HORARIO DE PAGO: Tarde</t>
  </si>
  <si>
    <t xml:space="preserve">Sustento de pago PPC - Dinero en Mano / HORARIO DE PAGO: Tarde / NOTA: </t>
  </si>
  <si>
    <t xml:space="preserve">Sustento de pago PPC - Dinero en Mano / HORARIO DE PAGO: Tarde / NOTA:   camp 782    tt propoen  cancelar con el importe de s/ 300    se le da plazo hasta las 10:30 am </t>
  </si>
  <si>
    <t xml:space="preserve">Sustento de pago PPC - Dinero en Mano / HORARIO DE PAGO: Tarde / NOTA:   TT se comunica via wsp indicando que hoy se apersona al bbva a generar el pago, se indica que hasta hoy tiene vigente la campaña de 4900 soles. </t>
  </si>
  <si>
    <t>Sustento de pago PPC - Dinero en Mano / HORARIO DE PAGO: Tarde / NOTA:  CANCELACIÓN TOTAL15 377 SOLES</t>
  </si>
  <si>
    <t xml:space="preserve">3,500 SOLES -   27/01/2024 </t>
  </si>
  <si>
    <t>11,877  SOLES -   31/01/2024</t>
  </si>
  <si>
    <t xml:space="preserve"> REALIZA PAGO DE 3500 SOLES (ADELANTO)</t>
  </si>
  <si>
    <t xml:space="preserve">Sustento de pago PPC - Dinero en Mano / HORARIO DE PAGO: Tarde / NOTA:  cliente  el dia  jueves 14 realizo pago monto de 2000, envio foto del voucher </t>
  </si>
  <si>
    <t xml:space="preserve">Sustento de pago PPC - Dinero en Mano / HORARIO DE PAGO: Tarde / NOTA:  cliente  realizo pago de  215 resto con fecha de pago </t>
  </si>
  <si>
    <t>Sustento de pago PPC - Dinero en Mano / HORARIO DE PAGO: Tarde / NOTA:  por  agente</t>
  </si>
  <si>
    <t>Sustento de pago PPC - Dinero en Mano / HORARIO DE PAGO: Tarde / NOTA:  Se informa a titular que solo por hoy su propuesta fue aceptado bajo el importe de 2,000 soles, indica que genera pago mediante transferencia BBVA.</t>
  </si>
  <si>
    <t xml:space="preserve">Sustento de pago PPC - Dinero en Mano / HORARIO DE PAGO: Tarde / NOTA:  Se informa a titular que su propuesta procedió, hoy adelanta 2000 soles y fin de mes paga 500 soles, se informa que solo es valido por hoy. </t>
  </si>
  <si>
    <t>Sustento de pago PPC - Dinero en Mano / HORARIO DE PAGO: Tarde / NOTA:  Titular hara pago de 250 soles el dia 20.05 por transferencia BCP</t>
  </si>
  <si>
    <t>Sustento de pago PPC - Dinero en Mano / HORARIO DE PAGO: Tarde / NOTA:  Titular realizara pago de 2000 soles el 26.03 por transferencia bcp</t>
  </si>
  <si>
    <t xml:space="preserve">Sustento de pago PPC - Dinero en Mano / HORARIO DE PAGO: Tarde / NOTA:  TT CANCELA CON MONTO APROBADO POR GERENCIA  S/1,800 ENVIA VOUCHER DE BCP </t>
  </si>
  <si>
    <t>Sustento de pago PPC - Dinero en Mano / HORARIO DE PAGO: Tarde / NOTA:  TT DT DK CANC 528.45 DICE ESTA ESPERANDO LIQUIDACIÓN  YA VA MAS DE 1 MES NO SABE CUANDO INDICA TIENE MUCHOS GASTO NO TIENE OTRA FORMA OFRESCO CAN 400 HOY O HASTA 2C EN MES DICE QUE PUEDE PAGA R EL 16-4 COBRA 15 NA PAGA 200 Y 200 A 30-4 SE ACEPTA SE PROGRAMA ENVIO WTSP Y DATOS DE CESION PAGA BCP EN LA TARDE COBRA 2PM</t>
  </si>
  <si>
    <t>Sustento de pago PPC - Dinero en Mano / HORARIO DE PAGO: Tarde / NOTA:  tt indica  que realizara el pago de 450 el dia 15.10  por transferencia bcp  hara un primer abono de 150 hoy 11.10 y 300 el dia 15.10 a las 04pm</t>
  </si>
  <si>
    <t>Sustento de pago PPC - Dinero en Mano / HORARIO DE PAGO: Tarde / NOTA:  tt menciona que el banco le perjudico por un documento solicitado  que necesitaba  ,perdió una venta  de un terreno por culpa del banco ,genero 17 reclamo y solo dos le atendieron ,por ese motivo dejo de pagar ,ademas le cobraban por un dia de atraso 80 soles de interés , presento una denuncia ante indecopi , indica que por capricho no pago ,se le indica de trasferencia de la deuda  ,ya lo sabe menciona ,indica que pagara un monto mínimo ,sele brinda piso 130 soles ,pide que se le envié la información al correo ,JSALAZARU@HOTMAIL.COM ,confirma con el banco y paga indica ,solo para que le dejen de llamar por que en realidad no quiere pagar nada.</t>
  </si>
  <si>
    <t>Sustento de pago PPC - Dinero en Mano / HORARIO DE PAGO: Tarde / NOTA:  tt realizara pago de ultima cuotas  de 750 cuota 2 de 2  el día 30/12  en cuenta corrientes autorizadas</t>
  </si>
  <si>
    <t>Sustento de pago PPC - Dinero en Mano / HORARIO DE PAGO: Tarde / NOTA:  tt se acoge a exepcion aprobada de 5000 soles para el dia 30.07 ,   observacion , hoy 08.07 hara abono de 200 soles y 4800 soles el dia 30.07  , se le brindo los numeros de cuentas corrientes autorizadas</t>
  </si>
  <si>
    <t>Sustento de pago PPC - Dinero en Mano / HORARIO DE PAGO: Tarde / NOTA:  tt se acogera al monto campña para cancelar su deuda con 450 cancelara el dia 14 ya que de´pende su pago indica que si puede lo hara antes 941548234 se le llamar 3 dias antes da numero de watsapp</t>
  </si>
  <si>
    <t>TODO LO CONVERSADO CON EL CLIENTE se informa dt 5,781.89, dk 3,523.23, can con 1100 indica que consultó si le pueden esperar a fin  de mes, se le indica que las campañas varian que realice un adelanto de la mitad y restante a fin de mes, pide se le envíe cuentas a su whats, que mañana realizará el pago, se explica transferencia, dejó de pagar porque no disponía de dinero.</t>
  </si>
  <si>
    <t>MOTIVO DE NO PAGO   económico</t>
  </si>
  <si>
    <t>SUSTENTO DE PAGO    préstamo</t>
  </si>
  <si>
    <t>MONTO DE PROPUESTA   1100</t>
  </si>
  <si>
    <t>FECHA DE PGO,  19/05</t>
  </si>
  <si>
    <t>TODO LO CONVERSADO CON EL CLIENTE Se informa dt 6,659.52, dk 4,581.32, can con 1450 soles, indica que no pudo cumplir con pagos, ya que estuvo esperando un pago y le fallaron, recién le pagaron y quiere cancelar, se envia cuentas a pagar.</t>
  </si>
  <si>
    <t>MOTIVO DE NO PAGO  economicos</t>
  </si>
  <si>
    <t>SUSTENTO DE PAGO     pago</t>
  </si>
  <si>
    <t>MONTO DE PROPUESTA   1450</t>
  </si>
  <si>
    <t>FECHA DE PGO   22/05</t>
  </si>
  <si>
    <t>Sustento de pago PPC - Dinero en Mano / HORARIO DE PAGO: Tarde / NOTA: *Monto Negociado: capital  1,340</t>
  </si>
  <si>
    <t xml:space="preserve">*Sustento: ingresos propios </t>
  </si>
  <si>
    <t>*Motivo de no pago: liquidacion de deuda</t>
  </si>
  <si>
    <t>*Fecha: 25/07</t>
  </si>
  <si>
    <t xml:space="preserve">*Propuesta: 1000 </t>
  </si>
  <si>
    <t xml:space="preserve">Sustento de pago PPC - Dinero en Mano / HORARIO DE PAGO: Tarde / NOTA: *Monto Negociado: total 270.90 capital 215.00 </t>
  </si>
  <si>
    <t xml:space="preserve">*Sustento: recibe un dinero </t>
  </si>
  <si>
    <t>*Motivo de no pago:  problemas economicos</t>
  </si>
  <si>
    <t>*Fecha: 15/08</t>
  </si>
  <si>
    <t xml:space="preserve">*Propuesta:215 cancela por aplicativo bbva </t>
  </si>
  <si>
    <t>Sustento de pago PPC - Dinero en Mano / HORARIO DE PAGO: Tarde / NOTA: *Propuesta: 1800 se pide excepcion 1300 adelanta el dia de hoy y 500 el dia 30 de julio, realiza pago por app de BCP, se envia a correo.</t>
  </si>
  <si>
    <t xml:space="preserve">Sustento de pago PPC - Dinero en Mano / HORARIO DE PAGO: Tarde / NOTA: 4 pm </t>
  </si>
  <si>
    <t>Sustento de pago PPC - Dinero en Mano / HORARIO DE PAGO: Tarde / NOTA: 4PM PAGARA</t>
  </si>
  <si>
    <t>Sustento de pago PPC - Dinero en Mano / HORARIO DE PAGO: Tarde / NOTA: abogado de tt, confirma pago de 40 mil soles, via BCP. toda la coordinación se realizo por correo.</t>
  </si>
  <si>
    <t>hlopez.legal1@gmail.com</t>
  </si>
  <si>
    <t>Sustento de pago PPC - Dinero en Mano / HORARIO DE PAGO: Tarde / NOTA: acepta liquidacion</t>
  </si>
  <si>
    <t>Sustento de pago PPC - Dinero en Mano / HORARIO DE PAGO: Tarde / NOTA: acuerdo de pago de 5k en 2 partes, 1k hoy 13/01 y 4k el 31/01 confirma pago.</t>
  </si>
  <si>
    <t>CORRECCIÓN EN ANTERIORES TIPIFICACIONES, EL NÚMERO CORRECTO ES 930569285</t>
  </si>
  <si>
    <t>Sustento de pago PPC - Dinero en Mano / HORARIO DE PAGO: Tarde / NOTA: adelanta  200 soles el dia 15 y 310 el dia 29 de agosto completa su pago</t>
  </si>
  <si>
    <t>Sustento de pago PPC - Dinero en Mano / HORARIO DE PAGO: Tarde / NOTA: ADELANTA 100 SABADO</t>
  </si>
  <si>
    <t xml:space="preserve">Sustento de pago PPC - Dinero en Mano / HORARIO DE PAGO: Tarde / NOTA: adelanta el 13 -el monto de 150 soles y diferencia el dia 30 </t>
  </si>
  <si>
    <t xml:space="preserve">Sustento de pago PPC - Dinero en Mano / HORARIO DE PAGO: Tarde / NOTA: Adelanta S/500, resta 5500 para fin de mes </t>
  </si>
  <si>
    <t xml:space="preserve">Sustento de pago PPC - Dinero en Mano / HORARIO DE PAGO: Tarde / NOTA: adelantara hoy 100 y restante 19 </t>
  </si>
  <si>
    <t>Sustento de pago PPC - Dinero en Mano / HORARIO DE PAGO: Tarde / NOTA: adelanto 100, pagara diferencia de 290 hasta el lunes, ctas a IBK o BCP</t>
  </si>
  <si>
    <t>Sustento de pago PPC - Dinero en Mano / HORARIO DE PAGO: Tarde / NOTA: ADELANTO 50</t>
  </si>
  <si>
    <t xml:space="preserve">Sustento de pago PPC - Dinero en Mano / HORARIO DE PAGO: Tarde / NOTA: agente bcp 500 soles </t>
  </si>
  <si>
    <t xml:space="preserve">Sustento de pago PPC - Dinero en Mano / HORARIO DE PAGO: Tarde / NOTA: App bbva 550 soles </t>
  </si>
  <si>
    <t>Sustento de pago PPC - Dinero en Mano / HORARIO DE PAGO: Tarde / NOTA: APP BCP.</t>
  </si>
  <si>
    <t>Sustento de pago PPC - Dinero en Mano / HORARIO DE PAGO: Tarde / NOTA: APP IBK.</t>
  </si>
  <si>
    <t xml:space="preserve">Sustento de pago PPC - Dinero en Mano / HORARIO DE PAGO: Tarde / NOTA: APROBADO, SE LLEGA A LA CONCILIACIÓN Y TT ESTARÁ CANCELANDO CON 1500.00 SOLES EL DIA VIERNES 11 EN MISMO CAJA TRUJILLO, SE HARÁ SEGUIMIENTO </t>
  </si>
  <si>
    <t>Sustento de pago PPC - Dinero en Mano / HORARIO DE PAGO: Tarde / NOTA: ATIENDE ALUMNO CANCELA S/985.00 1 CUOTA AGENTE BCP PRESTAMO FAMILIAR YA QUE DESE AUN PRESTAMO Y RECUPERARSE 4PM</t>
  </si>
  <si>
    <t xml:space="preserve">Sustento de pago PPC - Dinero en Mano / HORARIO DE PAGO: Tarde / NOTA: campa  152 paga por el bcp  </t>
  </si>
  <si>
    <t xml:space="preserve">Sustento de pago PPC - Dinero en Mano / HORARIO DE PAGO: Tarde / NOTA: campaña 1200   menciona que dispone el dinero  porel  viernes  , si tiene el dine ro antes enviará su vaucher </t>
  </si>
  <si>
    <t xml:space="preserve">Sustento de pago PPC - Dinero en Mano / HORARIO DE PAGO: Tarde / NOTA: CAMPAÑA 150 PAGA HOY </t>
  </si>
  <si>
    <t xml:space="preserve">Sustento de pago PPC - Dinero en Mano / HORARIO DE PAGO: Tarde / NOTA: CAMPAÑA 3,000   FECHA DE PAGO  24-05 , AGENCIA  BCP   , RESPONSABLE DE PAGO :ROSARIO  </t>
  </si>
  <si>
    <t>Sustento de pago PPC - Dinero en Mano / HORARIO DE PAGO: Tarde / NOTA: CAMPAÑA 6CxS/262 | TT CONFIRMA PAGO DE CUOTA 06 EL 31/12</t>
  </si>
  <si>
    <t>Sustento de pago PPC - Dinero en Mano / HORARIO DE PAGO: Tarde / NOTA: CAMPAÑA CANCELACIÓN: S/345, TT CONFIRMA PAGO.</t>
  </si>
  <si>
    <t xml:space="preserve">Sustento de pago PPC - Dinero en Mano / HORARIO DE PAGO: Tarde / NOTA: CAMPAÑA COINVERSIÓN IMPORTE DE S/9425 ,  FECHA DE PAGO  20/12  , RALIZA EL PAGO MISMO BANCO BBVA  . </t>
  </si>
  <si>
    <t>Sustento de pago PPC - Dinero en Mano / HORARIO DE PAGO: Tarde / NOTA: CAMPAÑA EXCEPCIÓN DE S/2,400 | TT COFIRMA PAGO DE CUOTA 02 (S/200) EL 16/12</t>
  </si>
  <si>
    <t>Sustento de pago PPC - Dinero en Mano / HORARIO DE PAGO: Tarde / NOTA: Can 1000 soles, 4pm</t>
  </si>
  <si>
    <t>Sustento de pago PPC - Dinero en Mano / HORARIO DE PAGO: Tarde / NOTA: Can 1600 soles</t>
  </si>
  <si>
    <t xml:space="preserve">Sustento de pago PPC - Dinero en Mano / HORARIO DE PAGO: Tarde / NOTA: Can 2100 soles. </t>
  </si>
  <si>
    <t xml:space="preserve">Sustento de pago PPC - Dinero en Mano / HORARIO DE PAGO: Tarde / NOTA: Can 2500 soles, 5pm agencia. </t>
  </si>
  <si>
    <t xml:space="preserve">Sustento de pago PPC - Dinero en Mano / HORARIO DE PAGO: Tarde / NOTA: Can 2500 soles, adelantó S/300, restante S/2200 a fin de mes. </t>
  </si>
  <si>
    <t xml:space="preserve">Sustento de pago PPC - Dinero en Mano / HORARIO DE PAGO: Tarde / NOTA: Can 2800 soles. </t>
  </si>
  <si>
    <t xml:space="preserve">Sustento de pago PPC - Dinero en Mano / HORARIO DE PAGO: Tarde / NOTA: Can 2850 soles </t>
  </si>
  <si>
    <t xml:space="preserve">Sustento de pago PPC - Dinero en Mano / HORARIO DE PAGO: Tarde / NOTA: Can 4600 soles, adelanto 600 y 4mil a fin de mes. </t>
  </si>
  <si>
    <t xml:space="preserve">Sustento de pago PPC - Dinero en Mano / HORARIO DE PAGO: Tarde / NOTA: Can 5mil soles. </t>
  </si>
  <si>
    <t xml:space="preserve">Sustento de pago PPC - Dinero en Mano / HORARIO DE PAGO: Tarde / NOTA: Can 6mil soles. </t>
  </si>
  <si>
    <t xml:space="preserve">Sustento de pago PPC - Dinero en Mano / HORARIO DE PAGO: Tarde / NOTA: Can 800 soles, abona 500 por yape, resta 300 en un momento lo hará. </t>
  </si>
  <si>
    <t xml:space="preserve">Sustento de pago PPC - Dinero en Mano / HORARIO DE PAGO: Tarde / NOTA: Can 850 soles, antes de las 5pm. </t>
  </si>
  <si>
    <t xml:space="preserve">Sustento de pago PPC - Dinero en Mano / HORARIO DE PAGO: Tarde / NOTA: CAN CON 800 SOLE </t>
  </si>
  <si>
    <t>Sustento de pago PPC - Dinero en Mano / HORARIO DE PAGO: Tarde / NOTA: CAN CON 9000</t>
  </si>
  <si>
    <t>ADELANTO 2700 08/11</t>
  </si>
  <si>
    <t xml:space="preserve">SALDO RESTANTE  6,300 11/11  </t>
  </si>
  <si>
    <t xml:space="preserve">Sustento de pago PPC - Dinero en Mano / HORARIO DE PAGO: Tarde / NOTA: Can S/8700 soles. </t>
  </si>
  <si>
    <t>Sustento de pago PPC - Dinero en Mano / HORARIO DE PAGO: Tarde / NOTA: cancela 220 hoy por bcp</t>
  </si>
  <si>
    <t>Sustento de pago PPC - Dinero en Mano / HORARIO DE PAGO: Tarde / NOTA: cancela hoy via BCP, antes de 1pm, se enviara CDD</t>
  </si>
  <si>
    <t>Sustento de pago PPC - Dinero en Mano / HORARIO DE PAGO: Tarde / NOTA: cancelacion 1500 soles hoy</t>
  </si>
  <si>
    <t>Sustento de pago PPC - Dinero en Mano / HORARIO DE PAGO: Tarde / NOTA: cancelara</t>
  </si>
  <si>
    <t>Sustento de pago PPC - Dinero en Mano / HORARIO DE PAGO: Tarde / NOTA: cancelara con 1300</t>
  </si>
  <si>
    <t>Sustento de pago PPC - Dinero en Mano / HORARIO DE PAGO: Tarde / NOTA: cancelara deuda cn exepcion aproibada</t>
  </si>
  <si>
    <t>Sustento de pago PPC - Dinero en Mano / HORARIO DE PAGO: Tarde / NOTA: cancelara el dia de mañana 06/09 por agente ya que se acercara a la ciudad, se le envia documentos al whatsap y cuenta.</t>
  </si>
  <si>
    <t>Sustento de pago PPC - Dinero en Mano / HORARIO DE PAGO: Tarde / NOTA: CANCELLA POR AGENTE 135 LUNES 21  DE JULIO POR LA TARDE</t>
  </si>
  <si>
    <t xml:space="preserve">Sustento de pago PPC - Dinero en Mano / HORARIO DE PAGO: Tarde / NOTA: CANCELO SU DEUDA CON 650 SOLES </t>
  </si>
  <si>
    <t xml:space="preserve">Sustento de pago PPC - Dinero en Mano / HORARIO DE PAGO: Tarde / NOTA: CLC CAN </t>
  </si>
  <si>
    <t>Sustento de pago PPC - Dinero en Mano / HORARIO DE PAGO: Tarde / NOTA: cleinte realizará cancelacion el dia martes 24/09</t>
  </si>
  <si>
    <t xml:space="preserve">Sustento de pago PPC - Dinero en Mano / HORARIO DE PAGO: Tarde / NOTA: clienta realizará pago de 3500 </t>
  </si>
  <si>
    <t>Sustento de pago PPC - Dinero en Mano / HORARIO DE PAGO: Tarde / NOTA: cliente abonará 200 el 09/04 a las 10 am y restante a fin de mes</t>
  </si>
  <si>
    <t xml:space="preserve">Sustento de pago PPC - Dinero en Mano / HORARIO DE PAGO: Tarde / NOTA: CLIENTE ABONARA 500 SOLES HOY PARA CANCELAR LA DEUDA, IMPORTE MAYOR A LAS CAMPAÑAS REGISTRADAS. </t>
  </si>
  <si>
    <t xml:space="preserve">Sustento de pago PPC - Dinero en Mano / HORARIO DE PAGO: Tarde / NOTA: CLIENTE CANCELA EN CAJA LOS ANDES AYER ENVIO DE 1000- PROPUESTA ACEPTADA POR MAYRA </t>
  </si>
  <si>
    <t xml:space="preserve">Sustento de pago PPC - Dinero en Mano / HORARIO DE PAGO: Tarde / NOTA: CLIENTE CANCELA IMPORTE DE 5,000 POR TRANSFERENCIA BCP </t>
  </si>
  <si>
    <t>Sustento de pago PPC - Dinero en Mano / HORARIO DE PAGO: Tarde / NOTA: cliente cancela ultima cuota de 200 soles</t>
  </si>
  <si>
    <t>Sustento de pago PPC - Dinero en Mano / HORARIO DE PAGO: Tarde / NOTA: cliente canceló los 2000 soles por transferencia BCP</t>
  </si>
  <si>
    <t>Sustento de pago PPC - Dinero en Mano / HORARIO DE PAGO: Tarde / NOTA: CLIENTE CONFIRMA PAGO DE  950 COMO CANCELACION</t>
  </si>
  <si>
    <t>Sustento de pago PPC - Dinero en Mano / HORARIO DE PAGO: Tarde / NOTA: CLIENTE CONFIRMA PAGO EL DIA DE HOY EN EL TRANSCURSO DE LA TARDE INDICA ENVIAR DOCUMENTO DE CANCELACION PARA PODER REALIZAR EL PAGO</t>
  </si>
  <si>
    <t xml:space="preserve">Sustento de pago PPC - Dinero en Mano / HORARIO DE PAGO: Tarde / NOTA: cliente confirma que paga 420 en la tarde </t>
  </si>
  <si>
    <t>Sustento de pago PPC - Dinero en Mano / HORARIO DE PAGO: Tarde / NOTA: cliente cuenta con los 500 soles para realizar el pago, es un prestamos que le otorgaron para poder cancelar su deuda</t>
  </si>
  <si>
    <t xml:space="preserve">Sustento de pago PPC - Dinero en Mano / HORARIO DE PAGO: Tarde / NOTA: CLIENTE DESEA ABONAR EL IMPORTE DE 500 SOLES, SE SUBE EXCEPCION. </t>
  </si>
  <si>
    <t>Sustento de pago PPC - Dinero en Mano / HORARIO DE PAGO: Tarde / NOTA: cliente envía comprobante de pago por app del scotiabank</t>
  </si>
  <si>
    <t>Sustento de pago PPC - Dinero en Mano / HORARIO DE PAGO: Tarde / NOTA: cliente estará realizando pago el 23/12</t>
  </si>
  <si>
    <t>Sustento de pago PPC - Dinero en Mano / HORARIO DE PAGO: Tarde / NOTA: CLIENTE HA REALIZADO POLLADA Y PROPONE HOY DEPOSITAR 800 Y EL SABADO LOS 200 RESTANTES</t>
  </si>
  <si>
    <t>Sustento de pago PPC - Dinero en Mano / HORARIO DE PAGO: Tarde / NOTA: CLIENTE INDICA EL FIN DE SEMANA QUE VA REALIZAR EL PAGO EL DIA LUNES DENTRO DE LAS 3 PM PARA CANCELAR SU DEUDA</t>
  </si>
  <si>
    <t>Sustento de pago PPC - Dinero en Mano / HORARIO DE PAGO: Tarde / NOTA: CLIENTE NO TIENE OFICNAS CERCA HARA EL PAGO EN AGENTE</t>
  </si>
  <si>
    <t>Sustento de pago PPC - Dinero en Mano / HORARIO DE PAGO: Tarde / NOTA: cliente nos dice q pagara todo el mismo dia q no habra ningun problema sobre el tema de la cancelacion.</t>
  </si>
  <si>
    <t xml:space="preserve">Sustento de pago PPC - Dinero en Mano / HORARIO DE PAGO: Tarde / NOTA: cliente pagara hoy 100 , el dia  07 120 y el fin de  mes 320 </t>
  </si>
  <si>
    <t>Sustento de pago PPC - Dinero en Mano / HORARIO DE PAGO: Tarde / NOTA: CLIENTE PAGARA POR TRANSFERENCIA  SE LE ENVIA INFO AL WSP</t>
  </si>
  <si>
    <t xml:space="preserve">Sustento de pago PPC - Dinero en Mano / HORARIO DE PAGO: Tarde / NOTA: Cliente pago , incidencia </t>
  </si>
  <si>
    <t>Sustento de pago PPC - Dinero en Mano / HORARIO DE PAGO: Tarde / NOTA: cliente pago, incidencia</t>
  </si>
  <si>
    <t>Sustento de pago PPC - Dinero en Mano / HORARIO DE PAGO: Tarde / NOTA: Cliente pide se envíe documento a su whatsapp, y cuentas, su hija realizará el pago en ventanilla, se orienta proceso y cuenta interbank.</t>
  </si>
  <si>
    <t>Sustento de pago PPC - Dinero en Mano / HORARIO DE PAGO: Tarde / NOTA: cliente realiza adelanto de 200 soles y hoy cancelar 4800 restantes</t>
  </si>
  <si>
    <t>Sustento de pago PPC - Dinero en Mano / HORARIO DE PAGO: Tarde / NOTA: cliente realiza pago por transferencia bcp</t>
  </si>
  <si>
    <t>Sustento de pago PPC - Dinero en Mano / HORARIO DE PAGO: Tarde / NOTA: CLIENTE REALIZARÁ CANCELACIÓN TOTAL DE SU DEUDA DURANTE EL MES.</t>
  </si>
  <si>
    <t xml:space="preserve">1 ERA CUOTA EL 1ERO DE JULIO - 500 </t>
  </si>
  <si>
    <t>2 CUOTA EL 26 DE JULIO - 365</t>
  </si>
  <si>
    <t>Sustento de pago PPC - Dinero en Mano / HORARIO DE PAGO: Tarde / NOTA: cliente realizará cobro de 500 soles para poder cancelar su deuda</t>
  </si>
  <si>
    <t>Sustento de pago PPC - Dinero en Mano / HORARIO DE PAGO: Tarde / NOTA: cliente realizará el pago de 400 soles</t>
  </si>
  <si>
    <t>Sustento de pago PPC - Dinero en Mano / HORARIO DE PAGO: Tarde / NOTA: cliente realizará el pago en caja trujillo de san isidro</t>
  </si>
  <si>
    <t>Sustento de pago PPC - Dinero en Mano / HORARIO DE PAGO: Tarde / NOTA: cliente realizará pago de 500 a las 5 pm</t>
  </si>
  <si>
    <t>Sustento de pago PPC - Dinero en Mano / HORARIO DE PAGO: Tarde / NOTA: cliente realizará pago de 500 soles a las 10a m</t>
  </si>
  <si>
    <t>Sustento de pago PPC - Dinero en Mano / HORARIO DE PAGO: Tarde / NOTA: cliente realizará pago de 500 soles en proempresa en la tarde</t>
  </si>
  <si>
    <t>Sustento de pago PPC - Dinero en Mano / HORARIO DE PAGO: Tarde / NOTA: cliente realizará pago de 600 soles</t>
  </si>
  <si>
    <t>Sustento de pago PPC - Dinero en Mano / HORARIO DE PAGO: Tarde / NOTA: CLIENTE REALIZARÁ PAGO DE 6MIL SOLES EN BASE  A EXCEPCION APROBADA</t>
  </si>
  <si>
    <t>Sustento de pago PPC - Dinero en Mano / HORARIO DE PAGO: Tarde / NOTA: cliente realizará pago de su deuda en agencia de cajamarca</t>
  </si>
  <si>
    <t>Sustento de pago PPC - Dinero en Mano / HORARIO DE PAGO: Tarde / NOTA: cliente realizará pago de su deuda en caja los andes de villa rica, esta en oxapampa si no llega el dia de hoy a mas tardar el sábado a primera hora</t>
  </si>
  <si>
    <t>Sustento de pago PPC - Dinero en Mano / HORARIO DE PAGO: Tarde / NOTA: cliente realizará pago de su última cuota</t>
  </si>
  <si>
    <t>Sustento de pago PPC - Dinero en Mano / HORARIO DE PAGO: Tarde / NOTA: cliente realizará pago de ultima cuota de ppm el dia 17/11</t>
  </si>
  <si>
    <t>Sustento de pago PPC - Dinero en Mano / HORARIO DE PAGO: Tarde / NOTA: cliente realizará pago en agencia de caja los andes de tocache a las 3 pm</t>
  </si>
  <si>
    <t>Sustento de pago PPC - Dinero en Mano / HORARIO DE PAGO: Tarde / NOTA: cliente realizará pago en agencia de caja trjillo de sjm</t>
  </si>
  <si>
    <t>Sustento de pago PPC - Dinero en Mano / HORARIO DE PAGO: Tarde / NOTA: cliente realizará pago en agente</t>
  </si>
  <si>
    <t>Sustento de pago PPC - Dinero en Mano / HORARIO DE PAGO: Tarde / NOTA: CLIENTE REALIZARÁ PAGO EN AGENTE A LAS 3 PM</t>
  </si>
  <si>
    <t>Sustento de pago PPC - Dinero en Mano / HORARIO DE PAGO: Tarde / NOTA: cliente realizará pago en agente de los 500 soles</t>
  </si>
  <si>
    <t>Sustento de pago PPC - Dinero en Mano / HORARIO DE PAGO: Tarde / NOTA: cliente realizará pago en caja trujillo en quincena</t>
  </si>
  <si>
    <t>Sustento de pago PPC - Dinero en Mano / HORARIO DE PAGO: Tarde / NOTA: cliente realizará pago en oficina caja los andes puno</t>
  </si>
  <si>
    <t>Sustento de pago PPC - Dinero en Mano / HORARIO DE PAGO: Tarde / NOTA: Cliente realizará pago hoy de S/ 330.00 soles para liquidar deuda.</t>
  </si>
  <si>
    <t>Sustento de pago PPC - Dinero en Mano / HORARIO DE PAGO: Tarde / NOTA: cliente realizará pago por trans caja huancayo</t>
  </si>
  <si>
    <t>Sustento de pago PPC - Dinero en Mano / HORARIO DE PAGO: Tarde / NOTA: Cliente realizará pago por transferencia bbva, se envía a su correo el acuerdo.</t>
  </si>
  <si>
    <t>Sustento de pago PPC - Dinero en Mano / HORARIO DE PAGO: Tarde / NOTA: Cliente realizará pago por transferencia scotiabank, pide se envíe carta de no adeudo al correo eva2000.pe@gmail.com</t>
  </si>
  <si>
    <t>Sustento de pago PPC - Dinero en Mano / HORARIO DE PAGO: Tarde / NOTA: cliente realizó adelanto de 100 y fin de mes 150 restantes</t>
  </si>
  <si>
    <t>Sustento de pago PPC - Dinero en Mano / HORARIO DE PAGO: Tarde / NOTA: cliente realizó adelanto de 1500 en agente bcp, fin de mes realizará cancelación con los 2200 restantes</t>
  </si>
  <si>
    <t>Sustento de pago PPC - Dinero en Mano / HORARIO DE PAGO: Tarde / NOTA: cliente realizó pago de 300</t>
  </si>
  <si>
    <t xml:space="preserve">Sustento de pago PPC - Dinero en Mano / HORARIO DE PAGO: Tarde / NOTA: cliente recien en quincena esta de regreso de su trabajo, esta en zona alejada, el martes ya debe estar llegando a la ciudad y cancelar en caja trujillo </t>
  </si>
  <si>
    <t>Sustento de pago PPC - Dinero en Mano / HORARIO DE PAGO: Tarde / NOTA: cliente reunirá el restante de 160 soles para cancelar su deuda</t>
  </si>
  <si>
    <t>Sustento de pago PPC - Dinero en Mano / HORARIO DE PAGO: Tarde / NOTA: Cliente se acoge a campaña de 350 soles</t>
  </si>
  <si>
    <t>Sustento de pago PPC - Dinero en Mano / HORARIO DE PAGO: Tarde / NOTA: CLIENTE SE ACOGE A EXCEPCION DE CANCELAR CON S/1000.00 SOLES // TRARO CON HIJO DE TT CESAR // DK7,480.30</t>
  </si>
  <si>
    <t>Sustento de pago PPC - Dinero en Mano / HORARIO DE PAGO: Tarde / NOTA: Cliente se acoge a pago de excepcion aprobada por 900 soles</t>
  </si>
  <si>
    <t>Sustento de pago PPC - Dinero en Mano / HORARIO DE PAGO: Tarde / NOTA: Cliente se acoge a propuesta aprobada de 8mil soles.</t>
  </si>
  <si>
    <t xml:space="preserve">Sustento de pago PPC - Dinero en Mano / HORARIO DE PAGO: Tarde / NOTA: cliente se presto 600 para cancelar </t>
  </si>
  <si>
    <t xml:space="preserve">Sustento de pago PPC - Dinero en Mano / HORARIO DE PAGO: Tarde / NOTA: cliente va a cumplir con el convenio </t>
  </si>
  <si>
    <t>Sustento de pago PPC - Dinero en Mano / HORARIO DE PAGO: Tarde / NOTA: cliente va adelantar el dia de hoy 100 soles, el dia 31 que le pagan,completa lo restante</t>
  </si>
  <si>
    <t>Sustento de pago PPC - Dinero en Mano / HORARIO DE PAGO: Tarde / NOTA: clietne cancelará 150 soles</t>
  </si>
  <si>
    <t>Sustento de pago PPC - Dinero en Mano / HORARIO DE PAGO: Tarde / NOTA: CLUETE INBAUS</t>
  </si>
  <si>
    <t xml:space="preserve">Sustento de pago PPC - Dinero en Mano / HORARIO DE PAGO: Tarde / NOTA: compromiso   1400  fecha 28-05   </t>
  </si>
  <si>
    <t>Sustento de pago PPC - Dinero en Mano / HORARIO DE PAGO: Tarde / NOTA: compromiso   1500 fecha  07 de mayo    envia correo  Ericescor.86@gmail.com</t>
  </si>
  <si>
    <t xml:space="preserve">Sustento de pago PPC - Dinero en Mano / HORARIO DE PAGO: Tarde / NOTA: compromiso   4mil   fecha   29-05   3pm   pagara en el banco   tiene dinero en efectivo.     </t>
  </si>
  <si>
    <t>correo:  zentenovicentewilliam@gmail.com</t>
  </si>
  <si>
    <t xml:space="preserve">Sustento de pago PPC - Dinero en Mano / HORARIO DE PAGO: Tarde / NOTA: compromiso   588   fecha  12 de mayo   envia correo    dhoyospascual@gmail.compagara en el transcurso del dia hasta las pm </t>
  </si>
  <si>
    <t xml:space="preserve">Sustento de pago PPC - Dinero en Mano / HORARIO DE PAGO: Tarde / NOTA: compromiso   6mil   en 2 partes   3mil   22-04  y   3mil   30-04   </t>
  </si>
  <si>
    <t xml:space="preserve">Sustento de pago PPC - Dinero en Mano / HORARIO DE PAGO: Tarde / NOTA: compromiso  2500 fecha 27 de mayo  </t>
  </si>
  <si>
    <t>Sustento de pago PPC - Dinero en Mano / HORARIO DE PAGO: Tarde / NOTA: compromiso  2mil   fecha   27 de mayo   se le ENVIA AL CORREO : angelavictorina2@gmail.com</t>
  </si>
  <si>
    <t xml:space="preserve">Sustento de pago PPC - Dinero en Mano / HORARIO DE PAGO: Tarde / NOTA: compromiso 2000  fecha 11-04   </t>
  </si>
  <si>
    <t>Sustento de pago PPC - Dinero en Mano / HORARIO DE PAGO: Tarde / NOTA: confirma dinero a  la mano se le envia compromiso de pago y carta de notificacion india que su hijo lo ayudara en hacer el pago ya que el no sabe mucho del tema teme que se le engañe pago lo hara por agente banco de la nacion</t>
  </si>
  <si>
    <t>Sustento de pago PPC - Dinero en Mano / HORARIO DE PAGO: Tarde / NOTA: CONFIRMA PAGO DE ULTIMA CUOTA</t>
  </si>
  <si>
    <t xml:space="preserve">Sustento de pago PPC - Dinero en Mano / HORARIO DE PAGO: Tarde / NOTA: contestas  esposa se hace respñonsable  de  pagar la dfeuda  , indidca que el dia de hoy  realiza  el abo de  100 y la  proxima semana maximo 14/06 cancela los  300 restantes </t>
  </si>
  <si>
    <t>Sustento de pago PPC - Dinero en Mano / HORARIO DE PAGO: Tarde / NOTA: dic es herman fabioal se hara cargo de deuda hoy 5pm cuandi dalga de trabajar</t>
  </si>
  <si>
    <t xml:space="preserve">Sustento de pago PPC - Dinero en Mano / HORARIO DE PAGO: Tarde / NOTA: DINA Y HECTOR HARAN PAGO DE 700 EL 15 MAYO </t>
  </si>
  <si>
    <t>Sustento de pago PPC - Dinero en Mano / HORARIO DE PAGO: Tarde / NOTA: DINERO EN MANO</t>
  </si>
  <si>
    <t>Sustento de pago PPC - Dinero en Mano / HORARIO DE PAGO: Tarde / NOTA: dk  292  cam 300</t>
  </si>
  <si>
    <t xml:space="preserve">Sustento de pago PPC - Dinero en Mano / HORARIO DE PAGO: Tarde / NOTA: dk 1200 cam 800      </t>
  </si>
  <si>
    <t xml:space="preserve">Sustento de pago PPC - Dinero en Mano / HORARIO DE PAGO: Tarde / NOTA: dk 1k cam 700   </t>
  </si>
  <si>
    <t>Sustento de pago PPC - Dinero en Mano / HORARIO DE PAGO: Tarde / NOTA: DK 37,721.12 CAMPAÑA 16800 PROPUSO 3000 TITULAR CANCELA</t>
  </si>
  <si>
    <t xml:space="preserve">Sustento de pago PPC - Dinero en Mano / HORARIO DE PAGO: Tarde / NOTA: DK 400 TT INDICA PAGO EN EL APP </t>
  </si>
  <si>
    <t xml:space="preserve">Sustento de pago PPC - Dinero en Mano / HORARIO DE PAGO: Tarde / NOTA: DK 400 TT INDICA VA REALIZAR PAGO HOY A LAS 5PM </t>
  </si>
  <si>
    <t xml:space="preserve">Sustento de pago PPC - Dinero en Mano / HORARIO DE PAGO: Tarde / NOTA: dk 4100 cam 2200   tt es paciente oncologica y pide que pórfavor no la estresen mas con las llamadas </t>
  </si>
  <si>
    <t xml:space="preserve">Sustento de pago PPC - Dinero en Mano / HORARIO DE PAGO: Tarde / NOTA: DK 450 CAM 310   </t>
  </si>
  <si>
    <t>Sustento de pago PPC - Dinero en Mano / HORARIO DE PAGO: Tarde / NOTA: dk. 1199 ica. 310 cancelo adelanto</t>
  </si>
  <si>
    <t>Sustento de pago PPC - Dinero en Mano / HORARIO DE PAGO: Tarde / NOTA: DK: S/.98,249.56 - según excepción, cliente paga 10000 mediante BCP</t>
  </si>
  <si>
    <t>Sustento de pago PPC - Dinero en Mano / HORARIO DE PAGO: Tarde / NOTA: DK:500.00 , MIN2:245.00 | TT INDICABA QUE PODÍA CANCELAR 100 MENSUAL, SE LE DA OPCIÓN DE CANCELAR DEUDA CON 245 INDICA QUE PAGARÀ EL DÌA 12/08 SOLICITA ACUERDO AL WHATSAPP</t>
  </si>
  <si>
    <t>Sustento de pago PPC - Dinero en Mano / HORARIO DE PAGO: Tarde / NOTA: Dk:S/. 288.62 / Cl abona este jueves 08-08 135 y terminara de pagar este 29-08, menciona que si cuenta con el dinero antes cancelara antes.</t>
  </si>
  <si>
    <t>Sustento de pago PPC - Dinero en Mano / HORARIO DE PAGO: Tarde / NOTA: DT  12084 CAMP 3800 PROPUESTA ACEPTADA 800 ADELANTA 200 HOY 23/12/2024 , RESTAN 600</t>
  </si>
  <si>
    <t xml:space="preserve">Sustento de pago PPC - Dinero en Mano / HORARIO DE PAGO: Tarde / NOTA: DT  2,763.62 - DK   1,930.45   ---TT PROPONE LIQUIDAR SU DEUDA CON S/.400 - MANIFIESTA PAGAR SU DEUDA PRIMERO CON FOH Y LUEGO LA DEUDA DE LOS BANCOS  - PAGARIA  HOY  VIA BBVA  </t>
  </si>
  <si>
    <t xml:space="preserve">Sustento de pago PPC - Dinero en Mano / HORARIO DE PAGO: Tarde / NOTA: DT :1,395.65SOLES,TT  MENCIONA QUE HOY RECIBIRA EL PAGO DE SU TRABAJO Y HOY MISMO PAGA CASO CONTRARIO EL DIA DE MAÑANA SI ESQUE DEMORA SU PAGO DE LABORES, COMPAÑA BASE 300 SOLES </t>
  </si>
  <si>
    <t>Sustento de pago PPC - Dinero en Mano / HORARIO DE PAGO: Tarde / NOTA: DT 12500 CAMP 7800 EXCEP 2000</t>
  </si>
  <si>
    <t xml:space="preserve">Sustento de pago PPC - Dinero en Mano / HORARIO DE PAGO: Tarde / NOTA: DT 13,211.03  MIN1  6,669.43  EXCEPCION APROBADA-- TT PAGA  s/.2500.00  EL 18/08  VIA BCP POR LA TARDE </t>
  </si>
  <si>
    <t xml:space="preserve">Sustento de pago PPC - Dinero en Mano / HORARIO DE PAGO: Tarde / NOTA: DT 13207 CAMP 9931 PROPUESTA FINAL ACEPTADA 5000 ( 2000 MIL HOY 2.04.2025 Y 3000 EL 24.04.2025 ) </t>
  </si>
  <si>
    <t xml:space="preserve">Sustento de pago PPC - Dinero en Mano / HORARIO DE PAGO: Tarde / NOTA: DT 14.4K  HARA CAN 2K EN 02 PARTES : 1ER PAGO DE 1K EL 15 JUNIO Y EL 2DO PAGO 1K EL 28 JUNIO </t>
  </si>
  <si>
    <t>Sustento de pago PPC - Dinero en Mano / HORARIO DE PAGO: Tarde / NOTA: DT 15000 CAMP 7000 MONTO APROBADO 1000</t>
  </si>
  <si>
    <t>Sustento de pago PPC - Dinero en Mano / HORARIO DE PAGO: Tarde / NOTA: DT 17,006 TT SE LEMOFRECE CAMPAÑA DE 1200 PERO NO TIENE TRABAJO FIJO SE SOLICITO EXCEPCION POR MONTO SOLICITADO DE 800 LA CUAL SE APROBO REALIZARIA PAGO MONTO DE 500 AHORA Y FDM S/300</t>
  </si>
  <si>
    <t xml:space="preserve">Sustento de pago PPC - Dinero en Mano / HORARIO DE PAGO: Tarde / NOTA: dt 18,700.07 - dk   669.44 - tt paga  s/.500.00  el 23/06 ahora se ncuentra lejos de la ciudad y recien llegaria a   el  20/06 - pero pagaria el entre el  20/06 o  23/06  - via bcp  </t>
  </si>
  <si>
    <t xml:space="preserve">Sustento de pago PPC - Dinero en Mano / HORARIO DE PAGO: Tarde / NOTA: dt 180 soles tt pagara por yape indica  en breve que tuvo inconveniente en realizarlo en abril, ya tiene conocimiento de la cesion </t>
  </si>
  <si>
    <t>Sustento de pago PPC - Dinero en Mano / HORARIO DE PAGO: Tarde / NOTA: DT 1800 CAMP 550</t>
  </si>
  <si>
    <t>Sustento de pago PPC - Dinero en Mano / HORARIO DE PAGO: Tarde / NOTA: DT 1812 CAMP 600 ADELANTA 200 HOY 20.06 Y EL RESTANTE EL 27.06</t>
  </si>
  <si>
    <t xml:space="preserve">Sustento de pago PPC - Dinero en Mano / HORARIO DE PAGO: Tarde / NOTA: DT 1888 CAMP 1291 TT REALIZA PAGO CANCELATORIO </t>
  </si>
  <si>
    <t>Sustento de pago PPC - Dinero en Mano / HORARIO DE PAGO: Tarde / NOTA: DT 1980 CAMP 864 COBRA EL 17 PERO A VECES TARDAN 2 DIAS MAXIMO EL 19</t>
  </si>
  <si>
    <t xml:space="preserve">Sustento de pago PPC - Dinero en Mano / HORARIO DE PAGO: Tarde / NOTA: DT 2,454.17  MIN2  588.35 -- </t>
  </si>
  <si>
    <t xml:space="preserve">TT SE ENCUENTRA LEJOS DE LA CIUDAD Y BAJARA EL 11/07  - PAGA 590.00 SOLES  VIA LOS ANDES  POR LA TARDE   </t>
  </si>
  <si>
    <t xml:space="preserve">Sustento de pago PPC - Dinero en Mano / HORARIO DE PAGO: Tarde / NOTA: dt 2,990.81  min1 1,604.32 - se brinda campaña 1700.00 sol  paga el 24/07  via bcp  por la tarde </t>
  </si>
  <si>
    <t xml:space="preserve">Sustento de pago PPC - Dinero en Mano / HORARIO DE PAGO: Tarde / NOTA: DT 200 SOLES SE LE BRINDA CAMPAÑA DE 100 SOLES A CANCELAR.. DICE QUE PUEDE PAGAR EL SIGUIENTE VIERNES 26.04 PORQUE BAJARA A CIUDAD AHORA ELLA SE ENCUENTRA EN CHACRA NO PUEDE REALIZARLO </t>
  </si>
  <si>
    <t>Sustento de pago PPC - Dinero en Mano / HORARIO DE PAGO: Tarde / NOTA: dt 2386 dk 1853 camp 1200 soles tt indica q se acoge a la campaña pero pagara 600 soles 15/12 y 600 soles 31/12, se espera el voucher para modificar la fecha, lo pagara òr la app del bcp</t>
  </si>
  <si>
    <t>Sustento de pago PPC - Dinero en Mano / HORARIO DE PAGO: Tarde / NOTA: DT 2680 CAMP 1400 TT ADELANTA 1000 HOY RESTANTE EL MIERCOLES 28</t>
  </si>
  <si>
    <t xml:space="preserve">Sustento de pago PPC - Dinero en Mano / HORARIO DE PAGO: Tarde / NOTA: dt 2700 camp 470 </t>
  </si>
  <si>
    <t>Sustento de pago PPC - Dinero en Mano / HORARIO DE PAGO: Tarde / NOTA: DT 272, TT CONFIRMA CANCELACION PARA EL VIERNES 10 DE MAYO CON SEGURIDAD SE BRINDA IMPORTE 273 SOLES</t>
  </si>
  <si>
    <t xml:space="preserve">Sustento de pago PPC - Dinero en Mano / HORARIO DE PAGO: Tarde / NOTA: DT 277 CAMP 130 TT INDICA NO PAGO POR TEMAS DE TIEMPO PERO QUE TENDRA EL DINERO SEGURO PARA EL VIERNES 15 </t>
  </si>
  <si>
    <t xml:space="preserve">Sustento de pago PPC - Dinero en Mano / HORARIO DE PAGO: Tarde / NOTA: DT 360.00 - TT MANIFIEST QUE POR MOTIVO TIEMPO NO PUDO PAGAR PERO YA EL  24 ESTARIA LLEGANDO A LA CIUDAD // PAGA  S/.205.00 EL 24/06  VIA BCP  O LOS ANDES   </t>
  </si>
  <si>
    <t xml:space="preserve">Sustento de pago PPC - Dinero en Mano / HORARIO DE PAGO: Tarde / NOTA: dt 362.14   min2 344.82 -- tt paga campaña  350.00 el  09/08 via bcp por la tarde </t>
  </si>
  <si>
    <t>Sustento de pago PPC - Dinero en Mano / HORARIO DE PAGO: Tarde / NOTA: DT 385 CAMP 55</t>
  </si>
  <si>
    <t xml:space="preserve">Sustento de pago PPC - Dinero en Mano / HORARIO DE PAGO: Tarde / NOTA: DT 4099 CAMP 900 PROPUESTA FINAL ACEPTADA 700 </t>
  </si>
  <si>
    <t>Sustento de pago PPC - Dinero en Mano / HORARIO DE PAGO: Tarde / NOTA: DT 5120 CAMP 3400 TT CANCELA HOY 3400</t>
  </si>
  <si>
    <t xml:space="preserve">Sustento de pago PPC - Dinero en Mano / HORARIO DE PAGO: Tarde / NOTA: DT 6,134.51  MIN1 2,102.51 -- TT  PAGA  S/2110  2 PARTES ,  1055 EL 21/07  Y  1055 EL 31/07  VIA BCP  POR LA TARDE </t>
  </si>
  <si>
    <t>Sustento de pago PPC - Dinero en Mano / HORARIO DE PAGO: Tarde / NOTA: DT 620.14 CAMP 187 TT INDICA QUE PAGA HOY 94 SOLES Y LOS 93 SOLES RESTANTES EL 27.11</t>
  </si>
  <si>
    <t xml:space="preserve">Sustento de pago PPC - Dinero en Mano / HORARIO DE PAGO: Tarde / NOTA: dt 6369 dk 5244 tt indica q no puede solucionar con ese importe que ella cuenta con 2000 soles se le indica 3500 soles pero ara hoy nos dice q no llega al importe se le indica q hoy puede pagar los 2000 soles y se le puede dar unos dias mas para los 1500 restantes, nos indica q le tomara unos 15 dias para juntarlos que le 18 los deposita, quedamos a la espera del 1er pago para solicitar modificacion de fecha </t>
  </si>
  <si>
    <t>Sustento de pago PPC - Dinero en Mano / HORARIO DE PAGO: Tarde / NOTA: dt 650 dk 380 tt se acoge a campaña pagara 200 soles el 15/08 y 180 soles el dia 22/08, se maneja con la primera fecha de pagi hasta q envie el voucher y se solicitara modificacion</t>
  </si>
  <si>
    <t xml:space="preserve">Sustento de pago PPC - Dinero en Mano / HORARIO DE PAGO: Tarde / NOTA: dt 667.59  min1 144.48   mn2 216.73  -- tt paga campaña  S/200.00 el  27/08  via caja trujillo  por la tarde </t>
  </si>
  <si>
    <t xml:space="preserve">Sustento de pago PPC - Dinero en Mano / HORARIO DE PAGO: Tarde / NOTA: DT 680 CAMP 290 </t>
  </si>
  <si>
    <t>Sustento de pago PPC - Dinero en Mano / HORARIO DE PAGO: Tarde / NOTA: DT 680 CAMP 468 TT INDICA QUE POR FALTA DE TIEMPO NO A PODIDO ACERCARSE Y POR OTROS INCONVENIENTES QUE NO ESPECIFICA , MENCIONA QUE REALIZAR EL DEPOSITO EL 15.08.2025 TT QUIERE HACE PAGO EN EL MISMO BANCO</t>
  </si>
  <si>
    <t xml:space="preserve">MOTIVO DE NO PAGO: FALTA DE TIEMPO  </t>
  </si>
  <si>
    <t xml:space="preserve">SUSTENTO DE PAGO: DINERO EN MANO </t>
  </si>
  <si>
    <t xml:space="preserve">FECHA DE PAGO: 15.08.2025 </t>
  </si>
  <si>
    <t>MONTO PROPUESTA: 468</t>
  </si>
  <si>
    <t>Sustento de pago PPC - Dinero en Mano / HORARIO DE PAGO: Tarde / NOTA: DT 727.95 CAMP 350  TT INDICA QUE PROGRAMEMOS PARA MAÑANA PORQUE HOY SALDRA TARDE Y NO SABE SI PODRA HACERLO , MAÑANA SEGURO</t>
  </si>
  <si>
    <t xml:space="preserve">Sustento de pago PPC - Dinero en Mano / HORARIO DE PAGO: Tarde / NOTA: DT 780 CAMP 342 TT ABONARA LA MITAD DE 171 EL 14 Y EL RESTANTE EL 25 </t>
  </si>
  <si>
    <t xml:space="preserve">Sustento de pago PPC - Dinero en Mano / HORARIO DE PAGO: Tarde / NOTA: DT 800 CAMP 245 </t>
  </si>
  <si>
    <t>Sustento de pago PPC - Dinero en Mano / HORARIO DE PAGO: Tarde / NOTA: DT 850 CAMP 280</t>
  </si>
  <si>
    <t xml:space="preserve">Sustento de pago PPC - Dinero en Mano / HORARIO DE PAGO: Tarde / NOTA: DT 900 CAMP 235 ( ULTIMA CUOTA ) 4PM </t>
  </si>
  <si>
    <t>Sustento de pago PPC - Dinero en Mano / HORARIO DE PAGO: Tarde / NOTA: DT 911 CAMP 314 TT INDICA QUE POR AHORA NO TRABAJA , PEDIRIA APOYO A SUS HIJAS PERO SERIA 157 EL SABADO 20.12 Y 157 EL 30.12</t>
  </si>
  <si>
    <t xml:space="preserve">Sustento de pago PPC - Dinero en Mano / HORARIO DE PAGO: Tarde / NOTA: DT 979.34  MIN1 360  -TT  PAGA  360.00 POR LA TARDE EL 17/07 VIA BCP </t>
  </si>
  <si>
    <t>Sustento de pago PPC - Dinero en Mano / HORARIO DE PAGO: Tarde / NOTA: dt dk 350 soles tt pagara el día 05/05 se le envia cesion cuentas y telefono mora</t>
  </si>
  <si>
    <t xml:space="preserve">Sustento de pago PPC - Dinero en Mano / HORARIO DE PAGO: Tarde / NOTA: dt s/ 2,094.25 - dk s/1400 - min2 s/1200 - SE NEGOCIA POR s/950.  titular pago 1ra parte de s/475 el 10 Oct , ahora el 30 Oct pagara s/475 y con ello termina de cancelar toda la deuda. </t>
  </si>
  <si>
    <t xml:space="preserve">Sustento de pago PPC - Dinero en Mano / HORARIO DE PAGO: Tarde / NOTA: DT: /. 7,579.96 - campaña de 1250, cl pide pagar 425  para el 15-07 y la diferencia S/825 para el 31-07 ,confrima su pago ya que cliente confrima que su esposo la ayudara con el pago de su gratificacion, pide ayuda, cliente con interes de pago. monto a pagar 1250 </t>
  </si>
  <si>
    <t xml:space="preserve">Sustento de pago PPC - Dinero en Mano / HORARIO DE PAGO: Tarde / NOTA: DT: S/. 1,243.93; según excepción, cliente paga 400 hoy mediante BCP. </t>
  </si>
  <si>
    <t xml:space="preserve">Sustento de pago PPC - Dinero en Mano / HORARIO DE PAGO: Tarde / NOTA: DT: S/. 12,910.60 - segun solicitud de 1200- </t>
  </si>
  <si>
    <t xml:space="preserve">Sustento de pago PPC - Dinero en Mano / HORARIO DE PAGO: Tarde / NOTA: DT: S/. 2,193.03 - segun excepcion cl paga 471, confirma que paga mediante su APP movil </t>
  </si>
  <si>
    <t>Sustento de pago PPC - Dinero en Mano / HORARIO DE PAGO: Tarde / NOTA: DT: S/. 2,195.50 , segun excepcion clinete paga 400</t>
  </si>
  <si>
    <t xml:space="preserve">Sustento de pago PPC - Dinero en Mano / HORARIO DE PAGO: Tarde / NOTA: DT: S/. 2,801.82 - segun solicitud aprovada cliente abona 100 hoy 08-05 y la diferencia de 300 el 17-05 paga por la tarde </t>
  </si>
  <si>
    <t xml:space="preserve">Sustento de pago PPC - Dinero en Mano / HORARIO DE PAGO: Tarde / NOTA: DT: S/. 46,466.30  según excepción cl paga, 3578 hoy y la diferencia a fin de mes, cl confirma que sí. Se le envía doc. a su correo: davidmostacero@gmail.com </t>
  </si>
  <si>
    <t xml:space="preserve">Sustento de pago PPC - Dinero en Mano / HORARIO DE PAGO: Tarde / NOTA: Dt: S/. 49,978.22 - segun excepcion cliente paga 4k </t>
  </si>
  <si>
    <t>Sustento de pago PPC - Dinero en Mano / HORARIO DE PAGO: Tarde / NOTA: DT: S/. 88,447.30 , segun excepcion cliente paga 8000</t>
  </si>
  <si>
    <t xml:space="preserve">Sustento de pago PPC - Dinero en Mano / HORARIO DE PAGO: Tarde / NOTA: Dt: S/.12,177.74 , segun excepcion clinete paga 875 hoy y 875 el 29-05, cl confirma que realizara el pago mediante BCP </t>
  </si>
  <si>
    <t xml:space="preserve">Sustento de pago PPC - Dinero en Mano / HORARIO DE PAGO: Tarde / NOTA: DT: S/.127,857.91; según excepción, cliente paga 15000. </t>
  </si>
  <si>
    <t>Sustento de pago PPC - Dinero en Mano / HORARIO DE PAGO: Tarde / NOTA: Dt: S/.18,474.93. Según excepción, cliente paga 3000. Correo de cliente: estudio3@casterllares.com</t>
  </si>
  <si>
    <t xml:space="preserve">Sustento de pago PPC - Dinero en Mano / HORARIO DE PAGO: Tarde / NOTA: DT: S/.3,798.20 - cliente se acoje a la campaña de 700, cl indica que paga mediante banco de la nacion, menciona qe no pudo pagar por que estuvo fuera del pais </t>
  </si>
  <si>
    <t>Sustento de pago PPC - Dinero en Mano / HORARIO DE PAGO: Tarde / NOTA: DT: S/.6,236.11 -  se le menciona a cliente que fue mod su exp y se le pide 1600, cl confirma que si llega al monto, confirma que si realiza el pago pero un poco tarde.  monto a pagar 1600</t>
  </si>
  <si>
    <t>Sustento de pago PPC - Dinero en Mano / HORARIO DE PAGO: Tarde / NOTA: DT: S/.80,954.57 - segun solicitud, cliente paga 3k , cl confrima pago.</t>
  </si>
  <si>
    <t>Sustento de pago PPC - Dinero en Mano / HORARIO DE PAGO: Tarde / NOTA: DT: S/.839.46 - cliente confirma su abono de 100 y la diferencia el 17-12, cl confirma pago campaña de S/.488</t>
  </si>
  <si>
    <t>Sustento de pago PPC - Dinero en Mano / HORARIO DE PAGO: Tarde / NOTA: DT: S/.956.65 - se le da campña de 500, cl confirma pago antes de las 3pm , cl con interes de pago.</t>
  </si>
  <si>
    <t>Sustento de pago PPC - Dinero en Mano / HORARIO DE PAGO: Tarde / NOTA: DT:1,327.32 - DK 1,143.33, TT INDICA QUE NO PUDO CANCELAR YA QUE SE LE OFRECIO EL IMPORTE DE S/1000 Y NO PUDO RECAUDAR ESA CANTIDAD, TT IDNCA QUE PPODRIA CANCELAR CON S/500 SE LE DA LA POSIBILIDAD DE DCANCELAR CON ESE I PORTE PARA EL DIA DE HOY E INDICA QUE SI PODRIA AL MEDIO DIA. SE LE BRINDA CUENTAS DEL BANCO DE LA NACION VIA WHATSAPPP</t>
  </si>
  <si>
    <t>Sustento de pago PPC - Dinero en Mano / HORARIO DE PAGO: Tarde / NOTA: DT:10,018.31 - DK:950.04. SE LE INDICA POR QUE NO PUDO REALIZAR EL PAGO EL DIA DE LA FECHA PACATADA ANTERIORMENTE, INIDCA QUE NO PUDO YA QUE SE ENCUENTRA ALEJADA DE LA CIUDAD, INIDCA QUE PODRA CANCELAR PARA EL DIA DOMINGO 03/ DE AGOSTO LOS S/.360 YA QUE PODRA BAJAR AL PUEBLO, INIDCA QUE PAGARA VIA BCP</t>
  </si>
  <si>
    <t>Sustento de pago PPC - Dinero en Mano / HORARIO DE PAGO: Tarde / NOTA: DT:19,537.98 - DK:17,094.79, TT SE ACOGE A EXCEPCION APROBADA DE S/.1800 DANDO UN ADELANTO DE S/.100 EL 9 DE AGOSTO, LUEGO S/.300 EL 15 Y EL 29 LA DIFERENCIA S/.1400</t>
  </si>
  <si>
    <t>Sustento de pago PPC - Dinero en Mano / HORARIO DE PAGO: Tarde / NOTA: DT:3,121.43 , DK:1,220.00 | TT INDICA QUE SE LE HABÍA DADO DSCTO CON 400.00 PERO NO PUDO PAGARLO DEBIDO QUE NO LE DEPOSITARON. YA LE CONFIRMARON Y SE ACOGE A DSCTO DE 400.00 PARA EL 22/08 POR LA TARDE. SOLICITA ACUERDO AL WHATSAPP</t>
  </si>
  <si>
    <t>Sustento de pago PPC - Dinero en Mano / HORARIO DE PAGO: Tarde / NOTA: DT:3,638.31 - DK:2,439.87, TT SE ACOGE A EXCEPCION APROBADA PARA CANCEAR ULTIMA CUOTA DE S.289</t>
  </si>
  <si>
    <t xml:space="preserve">Sustento de pago PPC - Dinero en Mano / HORARIO DE PAGO: Tarde / NOTA: DT:316.01 - DK:272.55 - SE LE MENCIONA DT A TT, INIDCA UQE ANTERIORMENTE TENIA UN COMPROMISO DE PAGO PERO NO PUDO CANCELAR YA QUE JUSTO DIO A LUZ, INIDCA QUE SI DESEA PAGAR Y ACOPLA A LA CAMPAÑA DE S/250.00 INDICA QUE PODRIA REALIZAR EL PAGO EN DOS CUOTAS DENTRO DEL MES LA PRIMERA CUOTA DE S/125.00 EL DIA 15 DE AGOSTO Y LA DIFERENCIA EL DIA 28 DE AGOSTO, LO PAGARIA VIA CONTINENTAL </t>
  </si>
  <si>
    <t xml:space="preserve">Sustento de pago PPC - Dinero en Mano / HORARIO DE PAGO: Tarde / NOTA: DT:544.35 - cliente cancela el dia lunes en pro empresa de san juan de lurigancho, cliente se acoje a campaña de 50 soles/ </t>
  </si>
  <si>
    <t>Sustento de pago PPC - Dinero en Mano / HORARIO DE PAGO: Tarde / NOTA: Dt:9,415.30 Segun excepcion cl paga 1885 carta a correo angelmrs7@hotmail.com</t>
  </si>
  <si>
    <t>Sustento de pago PPC - Dinero en Mano / HORARIO DE PAGO: Tarde / NOTA: DT:9,879.32 - DK:398.60, SE LE INDICA DK A TT Y LA CAMPAÑA DE S/.100 PARA PAGAR LA DEUDA, TT INDICA QUE SI SE PUEDE ACOGER A ESA CAMAPAÑA INDICA QUE ESTARA PAGANDO EL DIA DE MAÑANA 05 DE AGOSTO EN LA MISMA CAJA TRUJILLO, SE LE ENVIA NUM DE CUENTA VIA WHATASAPP</t>
  </si>
  <si>
    <t xml:space="preserve">Sustento de pago PPC - Dinero en Mano / HORARIO DE PAGO: Tarde / NOTA: el dia lunes realiza la cancelacion de su deuda con  mil </t>
  </si>
  <si>
    <t>Sustento de pago PPC - Dinero en Mano / HORARIO DE PAGO: Tarde / NOTA: el jueves estaria bajando recien a la ciudad para que pueda cancelar su deuda</t>
  </si>
  <si>
    <t>Sustento de pago PPC - Dinero en Mano / HORARIO DE PAGO: Tarde / NOTA: en la noche solo consiguio 300 a pagarpor aplicativo</t>
  </si>
  <si>
    <t>Sustento de pago PPC - Dinero en Mano / HORARIO DE PAGO: Tarde / NOTA: encargada de pagos marilyn confirma pago para hoy 06.03 del monto de 100 soles y la diferencia para el dia 13.03</t>
  </si>
  <si>
    <t xml:space="preserve">Sustento de pago PPC - Dinero en Mano / HORARIO DE PAGO: Tarde / NOTA: encargado alan  realizo pago de 1000 el dia 22.07 en caja los andes </t>
  </si>
  <si>
    <t xml:space="preserve">Sustento de pago PPC - Dinero en Mano / HORARIO DE PAGO: Tarde / NOTA: encargado amigo de tt indica que ella se encuentra delicada que esta en cama el la desea apoyar solo esta proponiendo 200 </t>
  </si>
  <si>
    <t>Sustento de pago PPC - Dinero en Mano / HORARIO DE PAGO: Tarde / NOTA: encargado de los pagos jose quispe sobrino hara pago de 948 el dia 30.01 en agente bcp ,  realizara abono de 500 hoy 22.01 y 448 soles el dia 30.01 realizara el pago en una hora 12.30</t>
  </si>
  <si>
    <t xml:space="preserve">Sustento de pago PPC - Dinero en Mano / HORARIO DE PAGO: Tarde / NOTA: Encargado del pago Joel Perez Vargas DNI 42749473 cancela deuda con importe de S/3,000 hoy 23/06 </t>
  </si>
  <si>
    <t>Sustento de pago PPC - Dinero en Mano / HORARIO DE PAGO: Tarde / NOTA: Encargado Sr marcelo realizara pago  de 300 soles  el dia 13.09 en caja trujillo , realizara primer abono de 100 el dia 12.09 y 200 el dia 13.09</t>
  </si>
  <si>
    <t>Sustento de pago PPC - Dinero en Mano / HORARIO DE PAGO: Tarde / NOTA: Encargado Sr ROY ORDONEZ  eposo realizara el pago de 700 soles hoy 08.05 en caja los andes de la joya a las 03.30pm</t>
  </si>
  <si>
    <t xml:space="preserve">Sustento de pago PPC - Dinero en Mano / HORARIO DE PAGO: Tarde / NOTA: Enriqueta esposa se acercara a  oficina ayacucho se encuentra a 30 minutos de la ciudad , esta esperando para que lo acompañe su hermano </t>
  </si>
  <si>
    <t>Sustento de pago PPC - Dinero en Mano / HORARIO DE PAGO: Tarde / NOTA: esposa de tt sra gladys, realizara pago total de la deuda por importe de s/. 1000 en 2 partes dentro del mes de octubre // 1er pago s/. 500 fecha 07/10 // 2do pago s/. 500 fecha 21/10 // sustento de pago, dinero en mano y ahorros. // pago se realizara via agente bcp</t>
  </si>
  <si>
    <t xml:space="preserve">Sustento de pago PPC - Dinero en Mano / HORARIO DE PAGO: Tarde / NOTA: ESPOSO CARLOS ENCARGADO DE PAGO, SE LE CONFIRMA PROP. APROBADA / CANCELARA EL 06-07 DESPUES DE LA 1PM EL MONTO DE S/550.00 ENVIARA VOUCHER POR WSP, YA DISPONE DE LA CTA BCP LO HARA POR TRANSFERENCIA. </t>
  </si>
  <si>
    <t xml:space="preserve">Sustento de pago PPC - Dinero en Mano / HORARIO DE PAGO: Tarde / NOTA: EXCEPCION  PAGO EN 2 CUOTAS </t>
  </si>
  <si>
    <t>Sustento de pago PPC - Dinero en Mano / HORARIO DE PAGO: Tarde / NOTA: Excepción aprobada, Tit cancela su deuda con S/8.800, pagará adelanto de S/7.800 hoy 15/12 y la diferencia de S/1.000 el día 18/12, pagará en el banco Interbank</t>
  </si>
  <si>
    <t xml:space="preserve">Sustento de pago PPC - Dinero en Mano / HORARIO DE PAGO: Tarde / NOTA: excepción aprobado con el importe de S/1,100  fecha de pago 7/01    envió vaucher de pago  </t>
  </si>
  <si>
    <t>Sustento de pago PPC - Dinero en Mano / HORARIO DE PAGO: Tarde / NOTA: EXCEPCIÓN DE S/100. TITULAR CONFIRMA EL PAGO PARA MAÑANA.</t>
  </si>
  <si>
    <t xml:space="preserve">Sustento de pago PPC - Dinero en Mano / HORARIO DE PAGO: Tarde / NOTA: hara cancrlacion </t>
  </si>
  <si>
    <t>Sustento de pago PPC - Dinero en Mano / HORARIO DE PAGO: Tarde / NOTA: hara el pago por transferencia bancaria se le envia compromiso de pago por correo y wsp</t>
  </si>
  <si>
    <t>Sustento de pago PPC - Dinero en Mano / HORARIO DE PAGO: Tarde / NOTA: hara transferecnia bancaria</t>
  </si>
  <si>
    <t>Sustento de pago PPC - Dinero en Mano / HORARIO DE PAGO: Tarde / NOTA: Hermano Teodoro realiza ultima cuota de 250 soles para el martes 30/07 por agente BCP.</t>
  </si>
  <si>
    <t>Sustento de pago PPC - Dinero en Mano / HORARIO DE PAGO: Tarde / NOTA: HIJO  FLORIAN CARDENAS CURASI DNI 48382543 CONFIRMA PAGO BAJO LA CAMPAÑA PPC S/250</t>
  </si>
  <si>
    <t xml:space="preserve">Sustento de pago PPC - Dinero en Mano / HORARIO DE PAGO: Tarde / NOTA: hijo enzo mattos celular 3178320840, responsable de pago adelanta el 11 de enero 50 soles </t>
  </si>
  <si>
    <t>Sustento de pago PPC - Dinero en Mano / HORARIO DE PAGO: Tarde / NOTA: hoy 100 y el resto mañana por la tarde</t>
  </si>
  <si>
    <t xml:space="preserve">Sustento de pago PPC - Dinero en Mano / HORARIO DE PAGO: Tarde / NOTA: hoy dará un adelanto 200 soles por la tarde 3:30 aprox y el día lunes la diferencia 593 soles </t>
  </si>
  <si>
    <t>Sustento de pago PPC - Dinero en Mano / HORARIO DE PAGO: Tarde / NOTA: HOY DIA REALIZA EL PAGO DE 1500 Y 1000 A FIN DE MES.</t>
  </si>
  <si>
    <t xml:space="preserve">Sustento de pago PPC - Dinero en Mano / HORARIO DE PAGO: Tarde / NOTA: Hoy estará realizando el pago con el monto de la campaña de descuento, con la suma de 1200 soles. </t>
  </si>
  <si>
    <t xml:space="preserve">Sustento de pago PPC - Dinero en Mano / HORARIO DE PAGO: Tarde / NOTA: HOY HARA SU PAGO </t>
  </si>
  <si>
    <t>Sustento de pago PPC - Dinero en Mano / HORARIO DE PAGO: Tarde / NOTA: hoy realiza pago de campaña de 140 por transferencia</t>
  </si>
  <si>
    <t xml:space="preserve">Sustento de pago PPC - Dinero en Mano / HORARIO DE PAGO: Tarde / NOTA: ICAM 462 DK 848. </t>
  </si>
  <si>
    <t>Sustento de pago PPC - Dinero en Mano / HORARIO DE PAGO: Tarde / NOTA: IMPORTE APROBADO 1500 - Abonó 200 soles fecha 23/04 (pago reconocido) y los 1300 abona el 30/04.</t>
  </si>
  <si>
    <t>Sustento de pago PPC - Dinero en Mano / HORARIO DE PAGO: Tarde / NOTA: inbound</t>
  </si>
  <si>
    <t>Sustento de pago PPC - Dinero en Mano / HORARIO DE PAGO: Tarde / NOTA: indica que el dia de hoy realizará pago por transferencia de los 130 soles</t>
  </si>
  <si>
    <t>Sustento de pago PPC - Dinero en Mano / HORARIO DE PAGO: Tarde / NOTA: indica que hoy estará realizando pago de adelanto de 1000 y reuniendo los 700 retsantes</t>
  </si>
  <si>
    <t>Sustento de pago PPC - Dinero en Mano / HORARIO DE PAGO: Tarde / NOTA: INDICA QUE SU ESPOSA SERA RESPONSABLE DE PAGO ESTA ESPERANDO QUE LE DEPOSITEN HOY VIERNES O MAXIMO DIA LUNES, CON SEGURIDAD</t>
  </si>
  <si>
    <t>Sustento de pago PPC - Dinero en Mano / HORARIO DE PAGO: Tarde / NOTA: it hara pago cn expcon aporbada</t>
  </si>
  <si>
    <t xml:space="preserve">Sustento de pago PPC - Dinero en Mano / HORARIO DE PAGO: Tarde / NOTA: LA EXCEPCION FUE APROBADA Y CANCELA HOY CON 700 SOLES, EN BCP, NOS ENVIARÁ EL VOUCHER </t>
  </si>
  <si>
    <t xml:space="preserve">Sustento de pago PPC - Dinero en Mano / HORARIO DE PAGO: Tarde / NOTA: LA SEÑORA QUIERE REGULARIZAR CON 1200 EL DIA DE MAÑANA 8/5/24 LA SEÑORA NO TIENE WHATSAAP Y SE LE ESCRIBE POR MENSAJE DE TEXTO QUIERE QUE LE DEN LA ABSOLUTA CONFIANZA </t>
  </si>
  <si>
    <t xml:space="preserve">Sustento de pago PPC - Dinero en Mano / HORARIO DE PAGO: Tarde / NOTA: la señora se comunica con nosotros y va a hacer regularizacion con 175 soles por tranferencia quiere quew se le envie un documento antes de hacer cualquier tipo de regularizacion por whatsaap </t>
  </si>
  <si>
    <t>Sustento de pago PPC - Dinero en Mano / HORARIO DE PAGO: Tarde / NOTA: lo cancela el lunes</t>
  </si>
  <si>
    <t>Sustento de pago PPC - Dinero en Mano / HORARIO DE PAGO: Tarde / NOTA: LO CONVERSADO CON EL CLIENTE: se informó dt 101,327.33, dk 79,590.53, can con 24500 indica que quiere solucionar sus cuentas, consultó si se puede en 3 cuotas a base campaña, se ofreció 3c de 9460, consulto si pueden darle plazo hasta fin de mes, se le propone que adelante 2 mil soles y restante fin de mes, acepta, el viernes estará realizando adelanto, pide se envíe documentación a su correo eloy.palomino01@gmail.com y whats, dejó de pagar por problemas familiares</t>
  </si>
  <si>
    <t>MOTIVO DE NO PAGO: problemas familiares</t>
  </si>
  <si>
    <t>SUSTENTO DE PAGO: sueldo y apoyo de esposa</t>
  </si>
  <si>
    <t>MONTO DE PROPUESTA: 24500</t>
  </si>
  <si>
    <t>FECHA DE PAGO : 16/01</t>
  </si>
  <si>
    <t>Sustento de pago PPC - Dinero en Mano / HORARIO DE PAGO: Tarde / NOTA: Lo realizara desde la APP de IBK.</t>
  </si>
  <si>
    <t>Sustento de pago PPC - Dinero en Mano / HORARIO DE PAGO: Tarde / NOTA: mamá de tt mercy quiñones paga en caja arequipa</t>
  </si>
  <si>
    <t xml:space="preserve">Sustento de pago PPC - Dinero en Mano / HORARIO DE PAGO: Tarde / NOTA: mañana pagara en prop empresa   a las  3pm    mama ira a pagar  </t>
  </si>
  <si>
    <t xml:space="preserve">Sustento de pago PPC - Dinero en Mano / HORARIO DE PAGO: Tarde / NOTA: Marina cancela mañana 17-7  1mil </t>
  </si>
  <si>
    <t>Sustento de pago PPC - Dinero en Mano / HORARIO DE PAGO: Tarde / NOTA: ME COMUNICO CON TT NOS INDICA QUE EL MES PASADO TUVO UN INCONVENIENTE EL DINERO LO VA A TENER EL DIA 12 EN LA NOCHE Y ESTARÍA HACIENDO EL DEPOSITO EL DIA VIERNES 13 A LAS 3PM, LA CAMPAÑA ES DE S/1200.00 LO ESTARÍA PAGANDO EN MISMO CAJA TRUJILLO, SEGUIMIENTO</t>
  </si>
  <si>
    <t>Sustento de pago PPC - Dinero en Mano / HORARIO DE PAGO: Tarde / NOTA: ME COMUNICO CON TT POR WSSP, NSO INDICA QUE ESTUVO A LA ESPERA DE UNA DINERO POR PARTE DE SU TRABAJO,  PERO LAMENTABLEMENTE LE FALLARON Y AHORA PIDE QUE POR FAVOR LO AYUDEMOS CON LA CAMPAÑA DE S/600.00 PARA EL DIA 15 DE OCTUBRE, ENVIAR EL COMPROMISO.</t>
  </si>
  <si>
    <t xml:space="preserve">Sustento de pago PPC - Dinero en Mano / HORARIO DE PAGO: Tarde / NOTA: ME COMUNICO CON TT, ESTARA CANCELANDO LOS 1900 SOLES EL DIA  15-08,   SEGUIMIENTO  </t>
  </si>
  <si>
    <t xml:space="preserve">Sustento de pago PPC - Dinero en Mano / HORARIO DE PAGO: Tarde / NOTA: ME COMUNICO NUEVAMENTE CON TT, SE MENCIONÓ DT, DK Y EL MIN1 NOS INDICA QUE ESTA INTERESADO EN CANCELAR CON LA CAMPAÑA DE 1726 SOLES, EL DIA DE AYER NO PUDO CONTESTAR YA QUE ESTUVO EN LA CLINICA, AHORA NOS COMENTA QUE EL DINERO LO TENDRA EL DIA MIERCOLES 22 Y LO ESTARIA PAGANDO POR LA TARDE NO LO PUEDE PAGAR ANTES EL DINERO ES SOBRE UN PRESTAMO DE UN FAMILIAR, SE HARA SEGUIMIENTO </t>
  </si>
  <si>
    <t>Sustento de pago PPC - Dinero en Mano / HORARIO DE PAGO: Tarde / NOTA: Monto negociado : 336</t>
  </si>
  <si>
    <t>sustento:  cobro</t>
  </si>
  <si>
    <t xml:space="preserve"> Motivo de no pago:   problemas de salud</t>
  </si>
  <si>
    <t>Fecha:  14/05</t>
  </si>
  <si>
    <t>propuesta : 150</t>
  </si>
  <si>
    <t>_ indica  le  llego texto descuento cn el 80%</t>
  </si>
  <si>
    <t>_ señala mañana poder  realizar pago de 150 soles</t>
  </si>
  <si>
    <t>Sustento de pago PPC - Dinero en Mano / HORARIO DE PAGO: Tarde / NOTA: Monto negociado:  700</t>
  </si>
  <si>
    <t>sustento:   dinero en mano</t>
  </si>
  <si>
    <t xml:space="preserve">Motivo de no pago: desempleo  </t>
  </si>
  <si>
    <t>Fecha:  28/05</t>
  </si>
  <si>
    <t xml:space="preserve">Propuesta:    435                                            </t>
  </si>
  <si>
    <t>Observación:  se menciona  DT 965.64   CAMP REGULAR 4350</t>
  </si>
  <si>
    <t>- indica  debia solo ultima  cuota de 500 soles</t>
  </si>
  <si>
    <t>_señala por desempleo no pudo asumir  la  deuda</t>
  </si>
  <si>
    <t>_Tiene conocimiento de la  transferencia</t>
  </si>
  <si>
    <t>Sustento de pago PPC - Dinero en Mano / HORARIO DE PAGO: Tarde / NOTA: Monto negociado: 1050</t>
  </si>
  <si>
    <t xml:space="preserve">Sustento: Dinero en mano  </t>
  </si>
  <si>
    <t>Motivo de no pago: no especifica</t>
  </si>
  <si>
    <t>Fecha: 12-05</t>
  </si>
  <si>
    <t>Propuesta: 1050</t>
  </si>
  <si>
    <t>Observacion: Se le da campaña de 1050, cl menicona que si quiere pagar, confirmo por el banco, pide pagarlo hasta las 6pm. monto a pagar 1050</t>
  </si>
  <si>
    <t>correo de cl:  estefany.surcok123@gmail.com</t>
  </si>
  <si>
    <t>Sustento de pago PPC - Dinero en Mano / HORARIO DE PAGO: Tarde / NOTA: MONTO NEGOCIADO: 14. 800</t>
  </si>
  <si>
    <t>Sustento: PRESTAMO FAMILIAR</t>
  </si>
  <si>
    <t>Motivo de no pago: se quedo sin trabajo. se fue a  la selva</t>
  </si>
  <si>
    <t>Fecha:  21/11  disponibilidad del dinero</t>
  </si>
  <si>
    <t>Propuesta:  5800 (5k es un ahorro- 800 prestamo)</t>
  </si>
  <si>
    <t xml:space="preserve">se menciona  prop es aprobada como campaña excepcional, con la vigencia solo por  hoy, indica pago lo realiza por la agencia   </t>
  </si>
  <si>
    <t>Sustento de pago PPC - Dinero en Mano / HORARIO DE PAGO: Tarde / NOTA: Monto Negociado: 14220</t>
  </si>
  <si>
    <t>Sustento: PRESTAMO</t>
  </si>
  <si>
    <t xml:space="preserve">Motivo de no pago: QUIEBRA </t>
  </si>
  <si>
    <t>Fecha: 30.05</t>
  </si>
  <si>
    <t xml:space="preserve">Propuesta: 5000 ( PROPUESTA APROBADA , 1000 EL 19.05 Y 4000 EL 30.05 ) </t>
  </si>
  <si>
    <t>Sustento de pago PPC - Dinero en Mano / HORARIO DE PAGO: Tarde / NOTA: Monto negociado: 180</t>
  </si>
  <si>
    <t>Sustento: dinero en mano +  pago de haberes</t>
  </si>
  <si>
    <t>Motivo de no pago: gastos del hospital</t>
  </si>
  <si>
    <t>Fecha: 12/02 - 20/02</t>
  </si>
  <si>
    <t xml:space="preserve">Propuesta: se le da campaña de 200, cl menicona que no cuenta con el dinero, se le da cmapaña de 180 solo xhoy, cl menicona que recine el dinero lo tendria el 20, se le pide que adelante el 50%, cl confrima que si hoy a las e a mas tardar 5 p. m., paga; CL confirma correo: ibeth010101@gmail.com. </t>
  </si>
  <si>
    <t>Sustento de pago PPC - Dinero en Mano / HORARIO DE PAGO: Tarde / NOTA: Monto negociado: 310</t>
  </si>
  <si>
    <t>Sustento: DINERO EN MANO</t>
  </si>
  <si>
    <t xml:space="preserve">Motivo de no pago: no especifica </t>
  </si>
  <si>
    <t>Fecha: 25-05</t>
  </si>
  <si>
    <t>Propuesta: Se le da campaña de 310, cl confrima que quiere realizar el pago, medio de pago es mediante agente BCP, cl confirma que si realizara el pago, correo electronico de cliente: pilar.diazc4@gmail.com</t>
  </si>
  <si>
    <t>Sustento de pago PPC - Dinero en Mano / HORARIO DE PAGO: Tarde / NOTA: Monto negociado: 340</t>
  </si>
  <si>
    <t xml:space="preserve">Sustento: ahorros y pago de trabajo </t>
  </si>
  <si>
    <t>Fecha: 05-01</t>
  </si>
  <si>
    <t>Propuesta:se le da campaña de 340, cl pide pagarlo despuesta y adiciona que ah tenido problema con IBK , cl pide ayuda, se le pide que adelante el 50% , cl confirma que realiza el pago hoy, brinda correo: cquispeantialon@gmail.com</t>
  </si>
  <si>
    <t>Sustento de pago PPC - Dinero en Mano / HORARIO DE PAGO: Tarde / NOTA: Monto negociado: 370</t>
  </si>
  <si>
    <t xml:space="preserve">Sustento: no especifica </t>
  </si>
  <si>
    <t xml:space="preserve">Motivo de no pago: perdida laboral  </t>
  </si>
  <si>
    <t xml:space="preserve">Fecha: 04-12 </t>
  </si>
  <si>
    <t>Propuesta: se le da campaña de 370, solo hasta mñna, cl pide mas dias , se le extiende hasta el jueves como maximo, se le pide seguridad ya que si no cumple piuerde campaña y se lñe cobra la totalidad, cl confrima que paga el jueves, correo: yadira.96124@gmail.com</t>
  </si>
  <si>
    <t>Sustento de pago PPC - Dinero en Mano / HORARIO DE PAGO: Tarde / NOTA: MONTO TOTAL NEGOCIADO: SE NEGOCIA DT S/ 1,887.31Y DK S/ 1,044.01CAMPAÑA S/670.00</t>
  </si>
  <si>
    <t>MOTIVO DE NO PAGO:GASTOS familiares</t>
  </si>
  <si>
    <t>MONTO DE PROPUESTA: TT ABONA EL DIA 11 SE BORRO LA GESTION DEL DIA 11-05  TT YA CANCELO POR BCP S/360.00 Y SE RECONOCIO EL PAGO</t>
  </si>
  <si>
    <t>Sustento de pago PPC - Dinero en Mano / HORARIO DE PAGO: Tarde / NOTA: MONTO TOTAL NEGOCIADO: SE NEGOCIA DT S/675.87 Y DK S/ 430.72CAMPAÑA S/435.00</t>
  </si>
  <si>
    <t>MOTIVO DE NO PAGO:GASTOS</t>
  </si>
  <si>
    <t>FECHA DE PAGO: 05-05-2026</t>
  </si>
  <si>
    <t xml:space="preserve">MONTO DE PROPUESTA:  TT COMENTA QUE ESTABA EN UNA ZONA RURAL NO PUDO APAGAR ANTES LO CANCELA MAÑANA05-05 QUIERE PAGAR LA TOTALIDAD POR EL  BANCO </t>
  </si>
  <si>
    <t xml:space="preserve">Sustento de pago PPC - Dinero en Mano / HORARIO DE PAGO: Tarde / NOTA: Motivo de no cierre - Se eleva excepción / NOTA: MONTO TOTAL NEGOCIADO: SE NEGOCIA DT S/ 1,368.78 Y DK S/ 1,002.27CAMPAÑA S/650.00MOTIVO DE NO PAGO: la  tarjeta lo uso un tercero no pago no asume la deudaSUSTENTO DE PAGO: dinero en cuentaFECHA DE PAGO: 22-06-2026MONTO DE PROPUESTA:TT COMENTA QUE NO PUEDE PGAR MAS DE 450 SE LA HEC MEJORAR HASTA 500 1CUOTA EN EL BANCO DIRECTAMENTE 1 CUOTA YA QUE DESCONFIA </t>
  </si>
  <si>
    <t>Sustento de pago PPC - Dinero en Mano / HORARIO DE PAGO: Tarde / NOTA: Motivo de no cierre - Se eleva excepción / NOTA: MONTO TOTAL NEGOCIADO: SE NEGOCIA DT S/ 1,887.31Y DK S/1,044.01 CAMPAÑA S/670.00MOTIVO DE NO PAGO: sin trabajoSUSTENTO DE PAGO: HABERESFECHA DE PAGO: 11-05-2026MONTO DE PROPUESTA: tt resppinde wsp cancelae 200 se explica que mejore lo maximo 360.00</t>
  </si>
  <si>
    <t xml:space="preserve">Sustento de pago PPC - Dinero en Mano / HORARIO DE PAGO: Tarde / NOTA: Motivo de no cierre - Se eleva excepción / NOTA: MONTO TOTAL NEGOCIADO: SE NEGOCIA DT S/ 222,217.93Y DK S/ 160,476.94CAMPAÑA S/45000 1 cuota MOTIVO DE NO PAGO: reducción de ingresos SUSTENTO DE PAGO:  dinero en cuenta FECHA DE PAGO: 15-06-2026MONTO DE PROPUESTA: TT COMENTA QUE EN EL MES DE MAYO YA LE APROBARON LA PROPUESTA EL MIN 1 FIGURABA 12000 PERO SOLO TENIA 10,000.00  AHORA YA PUDO COMPLETAR SOLICITA NUEVAMENTE EL APOYO PARA CANCELARLO HOY </t>
  </si>
  <si>
    <t xml:space="preserve">Sustento de pago PPC - Dinero en Mano / HORARIO DE PAGO: Tarde / NOTA: Motivo de no cierre - Se eleva excepción / NOTA: MONTO TOTAL NEGOCIADO: SE NEGOCIA DT S/ 9,889.61 Y DK S/ 6,539.86 CAMPAÑA S/ 3250.00MOTIVO DE NO PAGO: GASTIOS DE SALUD DE SU HIJO SUSTENTO DE PAGO: HABERES EN CUENTA FECHA DE PAGO: 18-06-2026MONTO DE PROPUESTA: Titular comenta que tuvo temas de salud el y su hijo  no ah mejorado la situación primero ofrece 900 y lo maximo que pudo mejorar 1000se solicito mejora con piso de suer 1300 y no llega  solicita apoyo efectúa el abono por transferencia </t>
  </si>
  <si>
    <t>Sustento de pago PPC - Dinero en Mano / HORARIO DE PAGO: Tarde / NOTA: Motivo de no cierre - Se eleva excepción / NOTA: MONTO TOTAL NEGOCIADO: SE NEGOCIA DT S/1,015.34 Y DK S/ 695.28CAMPAÑA S/460.00MOTIVO DE NO PAGO: SIN INGRESOS FIJOSSUSTENTO DE PAGO:  DINERO EN CUENTAFECHA DE PAGO: 18-05-2026MONTO DE PROPUESTA: TITULAR RESPONDE MENSAJE POR S/150.00 SE SOLICITA PISO DE SUPER S/200.00 PERO CLIENTE PUDO MEJROAR HASTA 250.00 POR BCP EL PAGO ´PARA HOY  por bcp</t>
  </si>
  <si>
    <t>Sustento de pago PPC - Dinero en Mano / HORARIO DE PAGO: Tarde / NOTA: Motivo de no cierre - Se eleva excepción / NOTA: MONTO TOTAL NEGOCIADO: SE NEGOCIA DT S/2,560.83 Y DK S/1,823.99AMPAÑA S/1170.00MOTIVO DE NO PAGO: temas de salud  que ocasionaron  gastosSUSTENTO DE PAGO: dinero en cuentaFECHA DE PAGO: 03-06-2026MONTO DE PROPUESTA: TT OFRECIO TENER 350 SE LE COMENTA QUE ES MUY POCO ESE MONTO QUE MEJORE LO MAS CERCANO ASU PROPUESTA DE 700 AH PODIDO RECAUDAR LOS 450 PARA HOY 03-06-2026 PAGA HOY</t>
  </si>
  <si>
    <t>Sustento de pago PPC - Dinero en Mano / HORARIO DE PAGO: Tarde / NOTA: Motivo de no cierre - Se eleva excepción / NOTA: MONTO TOTAL NEGOCIADO: SE NEGOCIA DT S/32,978.60 Y DK S/ 16,763.88CAMPAÑA S/5050MOTIVO DE NO PAGO: INCUMPLIMIENTO DE HABERESSUSTENTO DE PAGO: DINERO EN MANO Y PAGO POR RECIBO POR HONARARIOSFECHA DE PAGO: 14-05-2026MONTO DE PROPUESTA: TITULAR COMENTA QUE INCUMPLIO POR QUE SU EMPRESA INCUMPLIO LA DEUDA  PERO ABONARA  HOY 600 Y 400 EL DIA LUNES EL SALDO A FIN DE MES S/2000.00 HARA LA TRASFERENCIA POR BCP  TT YA ENVIO SU COMPROBANTE DE 600 Y EL DIA LUNES ABONA 400 Y EL SALDO AL DIA 30 POR S/2000.00</t>
  </si>
  <si>
    <t>Sustento de pago PPC - Dinero en Mano / HORARIO DE PAGO: Tarde / NOTA: Motivo de no cierre - Se eleva excepción / NOTA: MONTO TOTAL NEGOCIADO: SE NEGOCIA DT S/38,079.53 Y DK S/25,414.73 CAMPAÑA S/14000MOTIVO DE NO PAGO: reducción de ingresos y deudasSUSTENTO DE PAGO: dinero en cuenta y préstamoFECHA DE PAGO: 16-06-2026MONTO DE PROPUESTA: TT COMENTA QUE ELLA CANCELA DEUDAS MENSUALES BASTANTES FUERTES ASI QUE SE LE VA COMPLICAR CUMPLIR CON EL CONVENIO MEJOR SE PRESTO DE UN FAMILIAR UN DINERO S/4000 Y ELLA PONDRA 1000 ES TODO LO QUE CUENTA NO CONTARA CON MAS QUIERE SLUCIONAR PARA HOY hara la transferencia.</t>
  </si>
  <si>
    <t>Sustento de pago PPC - Dinero en Mano / HORARIO DE PAGO: Tarde / NOTA: Motivo de no cierre - Se eleva excepción / NOTA: MONTO TOTAL NEGOCIADO: SE NEGOCIA DT S/38,563.57 Y DK S/21,811.56CAMPAÑA S/8800.00MOTIVO DE NO PAGO: REDUCCION DE INGRESOS COMENTA QUE DEJO TRABAJAR ENFERMEDAD DE PADRESUSTENTO DE PAGO: HABERESFECHA DE PAGO: 29-05-2026MONTO DE PROPUESTA: TT COMENTA QUE TRATO DE LLEGAR A 5K LO QUE ANTERIORMENTE BRINDO PERO NO PUEDE SOLO CUENTA CON 4000 1 CUOTA PARA HOY CANCELO POR TRANSFERENCIA BBVA.</t>
  </si>
  <si>
    <t>Sustento de pago PPC - Dinero en Mano / HORARIO DE PAGO: Tarde / NOTA: Motivo de no cierre - Se eleva excepción / NOTA: MONTO TOTAL NEGOCIADO: SE NEGOCIA DT S/4,968.78 Y DK S/ 3,789.99 CAMPAÑA S/2015MOTIVO DE NO PAGO: Gastos de saludSUSTENTO DE PAGO:  DINERO EN CUENTA FECHA DE PAGO: 29-04-2026MONTO DE PROPUESTA: TT COMENTA QUE INCUMPLIO POR QUE NO LE PAGARON ADEMAS ESTUVO EN UNA ZONA RURAL  PROÚSO 400 SE LOGRO MEJORA HASTA 600 NO CUENTA CON MAS TIENE MAS DEUDAS 600 POR YAPE</t>
  </si>
  <si>
    <t>Sustento de pago PPC - Dinero en Mano / HORARIO DE PAGO: Tarde / NOTA: Motivo de no cierre - Se eleva excepción / NOTA: MONTO TOTAL NEGOCIADO: SE NEGOCIA DT S/755.35  Y DK S/294.75 CAMPAÑA S/205MOTIVO DE NO PAGO:GASTOS de salud SUSTENTO DE PAGO: HABERESFECHA DE PAGO: 12-06-2026MONTO DE PROPUESTA: TT COMENTA QUE LO MAXIMO QUE PUEDE CANCELAR 100 SE LE INDICA QUE NO MEJORO HASTA 160 SE CONCULTO CON SUPER  1 CUOTA PARA HOY  POR TRANSFERENCIA BCP O YAPE</t>
  </si>
  <si>
    <t>Sustento de pago PPC - Dinero en Mano / HORARIO DE PAGO: Tarde / NOTA: Motivo de no cierre - Se eleva excepción / NOTA: MONTO TOTAL NEGOCIADO: SE NEGOCIA DT S/8,450.31 Y DK S/ 5,694.35CAMPAÑA S/3000MOTIVO DE NO PAGO:GASTos familiaresSUSTENTO DE PAGO: HABERESFECHA DE PAGO: 11-05-2026MONTO DE PROPUESTA: TT COMENTA QUE STUVI BASTANTE TIEMPO SIN TRABAJO POR ELLOS LE ACUSO MAS DEUDAS PROPONE 800 SE LE HIZO MEJORAR HASTA 1150 MAS NO PUEDE SE LE PIDE PISO A SUPER PERO NO LLEGO</t>
  </si>
  <si>
    <t>Sustento de pago PPC - Dinero en Mano / HORARIO DE PAGO: Tarde / NOTA: Motivo de VLL - Confirmará disponibilidad de dinero /MONTO TOTAL NEGOCIADO: 22300 / NOTA: MONTO TOTAL NEGOCIADO: SE NEGOCIA DT S/ 126,529.72Y DK S/ 90,366.47CAMPAÑA S/22300MOTIVO DE NO PAGO: zona ruralSUSTENTO DE PAGO: HABERESFECHA DE PAGO: 25-05-2026MONTO DE PROPUESTA: TT COMENTA QUE ESTA ENUNA ZONA RURAL Y QUE NO PUEDE ABONAR HOY SE LE SOLICITA ADELANTO EL HACE EL ABONO EL DUA LUNES YA QUE ESTA DE VIAJE SE REPORTA A SUPERVISORA 8K SU PROPUESTA FUE ACEPTADA EL PAGO DIRECTAMENTE EN EL BANCO a mas tardar 2pm cancela</t>
  </si>
  <si>
    <t>Sustento de pago PPC - Dinero en Mano / HORARIO DE PAGO: Tarde / NOTA: negociación se realizo con el banco y por correo, se ingresa PDP</t>
  </si>
  <si>
    <t>Sustento de pago PPC - Dinero en Mano / HORARIO DE PAGO: Tarde / NOTA: Nieto Johan menciona que no logro poder generar pago hoy pago de 200 soles y el restante el martes 07.05 de 150 soles,lo pagara por app bcp o cci.</t>
  </si>
  <si>
    <t>Sustento de pago PPC - Dinero en Mano / HORARIO DE PAGO: Tarde / NOTA: nos contesta la titular, se menciona el capital y la campaña de 384 pero no accede, indica que puede pagarlo en cuotas, se propone 2 cuotas de 208 por que acepta. pagara el dia de hoy 208 y 208 mas hasta el 31/03</t>
  </si>
  <si>
    <t>Sustento de pago PPC - Dinero en Mano / HORARIO DE PAGO: Tarde / NOTA: NOTA: MONTO TOTAL NEGOCIADO: SE NEGOCIA por DT 17,850.94  DK 13,411.58, MIN1 CAMPAÑA 5670.00 TT RESPONDE WSP MENCIONA QUE SOLO TIENE 2000 SE LE INFORMA QUE ES MUY POCO SE LE PIDE MEJORAR PUEDE HASTA 2500  MAXIMO MENCIONA QUE PERDIO NEGOCIOS NO TENIA LIQUIDEZ ADEMAS SE ENDEUDO YA LOGRO SALIR POCO A POCO.**NOTA**: TITULAR HARA EL ABONO 12-01-2026MOTIVO DE NO PAGO: SIN LIQUIDEZ POR TEMAS DISMINUCION DE INGRESOSSUSTENTO DE PAGO:  DINERO EN CUENTAFECHA DE PAGO: 12-01-2026MONTO PROPUESTA: TT RESPONDE WSP HACE PROPUESTA BAJA DE S/2000.00 LOGRA MEJORAR HASTA 2500 DIRECTAMENTE EN EL BANCO SE ACERCA MAXIMO 4PM ESTA LABORANDO NO PUEDE ATENDER LLAMADAS SE ENVIA NUMERO DEL BBVA</t>
  </si>
  <si>
    <t xml:space="preserve">Sustento de pago PPC - Dinero en Mano / HORARIO DE PAGO: Tarde / NOTA: oficina caja los andes </t>
  </si>
  <si>
    <t>Sustento de pago PPC - Dinero en Mano / HORARIO DE PAGO: Tarde / NOTA: Oficina Chachapoyas , dinero en manom</t>
  </si>
  <si>
    <t xml:space="preserve">Sustento de pago PPC - Dinero en Mano / HORARIO DE PAGO: Tarde / NOTA: oficina Puno  s/3000 , Hija Maribel edp </t>
  </si>
  <si>
    <t xml:space="preserve">Sustento de pago PPC - Dinero en Mano / HORARIO DE PAGO: Tarde / NOTA: Oficina Tacna  , se presto dinero </t>
  </si>
  <si>
    <t>Sustento de pago PPC - Dinero en Mano / HORARIO DE PAGO: Tarde / NOTA: Padre Pedro confirma pago es el responsable numero de otro pais</t>
  </si>
  <si>
    <t xml:space="preserve">Sustento de pago PPC - Dinero en Mano / HORARIO DE PAGO: Tarde / NOTA: paga hoy 500 </t>
  </si>
  <si>
    <t>Sustento de pago PPC - Dinero en Mano / HORARIO DE PAGO: Tarde / NOTA: paga por bcp</t>
  </si>
  <si>
    <t>Sustento de pago PPC - Dinero en Mano / HORARIO DE PAGO: Tarde / NOTA: PAGARA 3PM</t>
  </si>
  <si>
    <t>Sustento de pago PPC - Dinero en Mano / HORARIO DE PAGO: Tarde / NOTA: pagara 4pm</t>
  </si>
  <si>
    <t>Sustento de pago PPC - Dinero en Mano / HORARIO DE PAGO: Tarde / NOTA: PAGARA EN CAJA AREQUIPA SE LE ENVIA ACUERDO DE PAGO Y CUENTAS DE LA EMPRESA</t>
  </si>
  <si>
    <t>Sustento de pago PPC - Dinero en Mano / HORARIO DE PAGO: Tarde / NOTA: pagara hoy</t>
  </si>
  <si>
    <t xml:space="preserve">Sustento de pago PPC - Dinero en Mano / HORARIO DE PAGO: Tarde / NOTA: PAGARA HOY 400 SOLES Y EL DIA 21 1600 SOLES </t>
  </si>
  <si>
    <t xml:space="preserve">Sustento de pago PPC - Dinero en Mano / HORARIO DE PAGO: Tarde / NOTA: PAGARÁ MEDIANTE EL APP IBK </t>
  </si>
  <si>
    <t>Sustento de pago PPC - Dinero en Mano / HORARIO DE PAGO: Tarde / NOTA: pagara via BCP</t>
  </si>
  <si>
    <t>Sustento de pago PPC - Dinero en Mano / HORARIO DE PAGO: Tarde / NOTA: pagó</t>
  </si>
  <si>
    <t>Sustento de pago PPC - Dinero en Mano / HORARIO DE PAGO: Tarde / NOTA: pago confirmado bajo excepcion, DT:3,913.61 , contrapropuesta 1k, paga en la misma agencia.</t>
  </si>
  <si>
    <t xml:space="preserve">Sustento de pago PPC - Dinero en Mano / HORARIO DE PAGO: Tarde / NOTA: pago de ultima cuota   </t>
  </si>
  <si>
    <t>Sustento de pago PPC - Dinero en Mano / HORARIO DE PAGO: Tarde / NOTA: pago después de las 5pm el dia 06/04</t>
  </si>
  <si>
    <t xml:space="preserve">Sustento de pago PPC - Dinero en Mano / HORARIO DE PAGO: Tarde / NOTA: PAGO EN AGENCIA DE PRO </t>
  </si>
  <si>
    <t xml:space="preserve">Sustento de pago PPC - Dinero en Mano / HORARIO DE PAGO: Tarde / NOTA: pago en caja los andes de san sebastian </t>
  </si>
  <si>
    <t xml:space="preserve">Sustento de pago PPC - Dinero en Mano / HORARIO DE PAGO: Tarde / NOTA: PAGO EN CAJA LOS ANDES LA SUMA DE 3500 </t>
  </si>
  <si>
    <t xml:space="preserve">Sustento de pago PPC - Dinero en Mano / HORARIO DE PAGO: Tarde / NOTA: pago por agente </t>
  </si>
  <si>
    <t xml:space="preserve">Sustento de pago PPC - Dinero en Mano / HORARIO DE PAGO: Tarde / NOTA: PAPA DE TT INDICA REALIZAR PAGO POR TRANSFERENCIA </t>
  </si>
  <si>
    <t>Sustento de pago PPC - Dinero en Mano / HORARIO DE PAGO: Tarde / NOTA: papa de tt sr sr maximo roman se hara responsable de pago, campaña s/. 200 // 1era abono s/. 100 fecha 19/08 y diferencia de s/. 100 para 29/08 // agencia los andes tacna</t>
  </si>
  <si>
    <t>Sustento de pago PPC - Dinero en Mano / HORARIO DE PAGO: Tarde / NOTA: PPC 251.00 19 JUL</t>
  </si>
  <si>
    <t>Sustento de pago PPC - Dinero en Mano / HORARIO DE PAGO: Tarde / NOTA: PPC 5,200 CANCELÓ POR APP DE SCOTIABANK</t>
  </si>
  <si>
    <t xml:space="preserve">Sustento de pago PPC - Dinero en Mano / HORARIO DE PAGO: Tarde / NOTA: ppc ultima cuota dia 30 de noviembre confirma medio de whatsapp 1200 soles ultima cuyota de ppm , modificacion vigente al dia 30 </t>
  </si>
  <si>
    <t>Sustento de pago PPC - Dinero en Mano / HORARIO DE PAGO: Tarde / NOTA: PPC// 390.00 //  22 JUL // ADELANTO DE 100 SOLES HOY 19 JUL Y RESTANTE DE 290 EL LUNES 22</t>
  </si>
  <si>
    <t>Sustento de pago PPC - Dinero en Mano / HORARIO DE PAGO: Tarde / NOTA: PROP. APROBADA MONTO DE 8,000 CLIENTA ABONARA DE FORMA DIARIA 250 O CADA 3 DIAS 750 SOLES VIA TRANSFERENCIA BRINDA CORREO duany84@hotmail.com PARA EL ENVIO DEL DOC. HOY ABONARIA 250 INMEDITO Y 250 A LAS 17:00 O A MAS TARDAR MAÑANA TEMPRANO QUE RECIBE SU DEPOSITO.</t>
  </si>
  <si>
    <t>Sustento de pago PPC - Dinero en Mano / HORARIO DE PAGO: Tarde / NOTA: PROP. APROBADA POR 27K TITULAR ENVIA CORREO: mddiegofernandez@gmail.com PARA EL ENVIO DE COMPROMISO REALIZARIA ABONO PARCIAL DE 15K EL DIA DE HOY 05/05 Y DIFERENCIA HASTA E LDIA 30</t>
  </si>
  <si>
    <t xml:space="preserve">Sustento de pago PPC - Dinero en Mano / HORARIO DE PAGO: Tarde / NOTA: PROP. APROBADA POR 5,500 TITULAR CANCELARIA EN AGENCIA BBVA HORARIO DE LA TARDE </t>
  </si>
  <si>
    <t xml:space="preserve">Sustento de pago PPC - Dinero en Mano / HORARIO DE PAGO: Tarde / NOTA: PROP. APROBADA POR 6,000 SRA CANCELARIA EN AGENCIA BBVA SOLICITA ENVIO DE COMPROMISO VIA WSP </t>
  </si>
  <si>
    <t>Sustento de pago PPC - Dinero en Mano / HORARIO DE PAGO: Tarde / NOTA: PROP. APROBADA TITULAR ABONA 600 EL DIA 13/05/2025 Y DIFERENCIA DE 4,000 HASTA EL DIA VIERNES 30.</t>
  </si>
  <si>
    <t>Sustento de pago PPC - Dinero en Mano / HORARIO DE PAGO: Tarde / NOTA: PROP. APROBADA TITULAR ENVIA CORREO ynesgallardoc@gmail.com PARA EL ENVIO DEL COMPROMISO, SE SOLICITA APOYO A SUPERVISORA PARA EL ENVIO PAGARIA EN LA TARDE VIA TRANSFERENCIA BCP</t>
  </si>
  <si>
    <t>Sustento de pago PPC - Dinero en Mano / HORARIO DE PAGO: Tarde / NOTA: propone  :ahora solo cuenta con 10k  / se le acepta importe  por jefatura si solo lo realiza el dia de hoy  se le envia acuerdo correo  piter242013@hotmail.com</t>
  </si>
  <si>
    <t xml:space="preserve">motivo  saco para otra persona   y le fallo -  tambien paga pension  de hijos   tambien paga departamento 1662  y  sueldo pagan 15cena de junio   por ello no puede mejorar ahora </t>
  </si>
  <si>
    <t xml:space="preserve">fecha :  27/05  </t>
  </si>
  <si>
    <t xml:space="preserve">sustento  :  ha juntado   dinero en mano   lo tiene en su app </t>
  </si>
  <si>
    <t>Sustento de pago PPC - Dinero en Mano / HORARIO DE PAGO: Tarde / NOTA: PROPUESTA APROBADA DE S/500 *** TT CANCELARA EN CAJA TRUJILLO EL MONTO DE 500 // SE LE ENVIARA EL DOC POR WSP /</t>
  </si>
  <si>
    <t xml:space="preserve">Sustento de pago PPC - Dinero en Mano / HORARIO DE PAGO: Tarde / NOTA: Propuesta aprobada por 2500 en caja trujillo sr confirma pago para el dia de hoy </t>
  </si>
  <si>
    <t xml:space="preserve">Sustento de pago PPC - Dinero en Mano / HORARIO DE PAGO: Tarde / NOTA: realiza pago bcp </t>
  </si>
  <si>
    <t>Sustento de pago PPC - Dinero en Mano / HORARIO DE PAGO: Tarde / NOTA: realizara pago en caja los andes de tacna</t>
  </si>
  <si>
    <t>Sustento de pago PPC - Dinero en Mano / HORARIO DE PAGO: Tarde / NOTA: realizara pago via IBK</t>
  </si>
  <si>
    <t xml:space="preserve">Sustento de pago PPC - Dinero en Mano / HORARIO DE PAGO: Tarde / NOTA: realizara semanal </t>
  </si>
  <si>
    <t xml:space="preserve">Sustento de pago PPC - Dinero en Mano / HORARIO DE PAGO: Tarde / NOTA: Realizo pago por app bcp </t>
  </si>
  <si>
    <t>Sustento de pago PPC - Dinero en Mano / HORARIO DE PAGO: Tarde / NOTA: recibe su pago dice que ya le confirmaron</t>
  </si>
  <si>
    <t xml:space="preserve">Sustento de pago PPC - Dinero en Mano / HORARIO DE PAGO: Tarde / NOTA: RESPONSABLE DE PAGO DEPOSITARA HGOY 300 Y EL REWSDTO PARA EL 28/06 1300 YA QUE TT ESTA DELIXCADA DE SALUD Y NPO CUENTA AHORA NO CUENTA CON DINERO SR- MOISES ES QUIEN LE PRESTARA EL DINERO PARA REALIZAR SU PAGO DE SU SUELF¿DO HOY POR LA TARDE HARA UN ADELANTO DE 300 Y EL RESTO PARA 28 </t>
  </si>
  <si>
    <t>Sustento de pago PPC - Dinero en Mano / HORARIO DE PAGO: Tarde / NOTA: RESPONSABLE DE PAGO SRA LIZ HIJA DE TT, REALIZARA CANCELACION POR IMPORTE DE S/. 4000 BAJO EXCEPCION // ADELANTO PAGO DE S/. 350 EN FECHA 12/10 Y DIFERENCIA S/. 3650 EN FECHA 30/10 // PAGO SE REALIZARA EN OFICINA CAJA LOS ANDES SEDE HUANCAVELICA PAMPAS, SUSTENTO DE PAGO AHORROS Y DINERO PRESTADO DE FAMILIARES.</t>
  </si>
  <si>
    <t xml:space="preserve">Sustento de pago PPC - Dinero en Mano / HORARIO DE PAGO: Tarde / NOTA: S/ 8,000 HOY MARTES 21.10   S/800 EL 30 DE OCTBRE / HORA DE PAGO 5:30PM. SOLICITA DOCUMENTO. CANTIDAD DEUDAS: 4 MONTO TOTAL DEUDAS: 79399 SUSTENTO DE FONDOS: DINERO Y SUELDO SITUACION ACTUAL: EN SEGUIMIENTO SE MENCIONO DT. DK. CAMPAÑA MIN.  NO ACCEDE AMORTIZACIÓN, FRACCIONAMIENTO. CUENTA CON 8K. SE BRINDA ALTERNATIVAS DE MEJORA,. PUEDE CONTAR CON S/800 PARA EL 30/10. S/8800.  TT TIENE OTRAS DEUDAS . ESTA NEGOCIANDO CON IBK. TIENE OTRAS PRIORIDADES POR ELLO NO PUEDE ACCEDER A PAGOS MENSUALES. </t>
  </si>
  <si>
    <t>Sustento de pago PPC - Dinero en Mano / HORARIO DE PAGO: Tarde / NOTA: se acoge a campaña 350 soles pagara bcp por transferencia pagara encargada de pagos dni 42744771 carla cinthia bueno tuero</t>
  </si>
  <si>
    <t>Sustento de pago PPC - Dinero en Mano / HORARIO DE PAGO: Tarde / NOTA: se aprobo excepcion</t>
  </si>
  <si>
    <t xml:space="preserve">Sustento de pago PPC - Dinero en Mano / HORARIO DE PAGO: Tarde / NOTA: SE APROBO EXCEPCION INTERNAMENTE, TT PAGO EL DIA DE AYER LOS 500 SOLES POR TRANSFERENCIA BANCARIA </t>
  </si>
  <si>
    <t>Sustento de pago PPC - Dinero en Mano / HORARIO DE PAGO: Tarde / NOTA: SE APROBÓ LA PROPUESTA, SE LLEGÓ A LA CONCILIACIÓN Y HOY ESTARA CANCELANDO CON 800 SOLES, ANTES DE LAS 4PM, ENVIAR INF Y MEDIOS DE PAGO AL WSSP.</t>
  </si>
  <si>
    <t>Sustento de pago PPC - Dinero en Mano / HORARIO DE PAGO: Tarde / NOTA: se aprobo ppt</t>
  </si>
  <si>
    <t xml:space="preserve">Sustento de pago PPC - Dinero en Mano / HORARIO DE PAGO: Tarde / NOTA: se aprobó ppt </t>
  </si>
  <si>
    <t>Sustento de pago PPC - Dinero en Mano / HORARIO DE PAGO: Tarde / NOTA: se aprobó ppt del 15/05</t>
  </si>
  <si>
    <t>Sustento de pago PPC - Dinero en Mano / HORARIO DE PAGO: Tarde / NOTA: se aprobó ppt pagara 1000 soles el 14/05 y 3000 soles el 29/05</t>
  </si>
  <si>
    <t>Sustento de pago PPC - Dinero en Mano / HORARIO DE PAGO: Tarde / NOTA: se aprobo ppt tt pagara 1200 soles para completar la 1era cuota de 2 por 1500 soles ya q en julio hizo un pago de 300 soles y la 2da cuota de 2 por 1500 soles el dia 29/08 para cancelar el pendiente, se consulto</t>
  </si>
  <si>
    <t>Sustento de pago PPC - Dinero en Mano / HORARIO DE PAGO: Tarde / NOTA: se aprobo ppt tt pagara 1500 19/08 y 1500 el 20/08</t>
  </si>
  <si>
    <t>Sustento de pago PPC - Dinero en Mano / HORARIO DE PAGO: Tarde / NOTA: se aprobo ppt tt pagara 300 soles 11/03 y 2700 soles 12/03</t>
  </si>
  <si>
    <t>Sustento de pago PPC - Dinero en Mano / HORARIO DE PAGO: Tarde / NOTA: se aprobo ppt tt pagara los 1000 soles el dia 28/10 maximo a las 5pm indica por wsp</t>
  </si>
  <si>
    <t>Sustento de pago PPC - Dinero en Mano / HORARIO DE PAGO: Tarde / NOTA: se aprobo ppt, pagara 200 soles 24/10 y 1300 soles el 30/10 pagara por la tarde</t>
  </si>
  <si>
    <t>Sustento de pago PPC - Dinero en Mano / HORARIO DE PAGO: Tarde / NOTA: SE APRUEBA EXCEPCIÓN | CAMPAÑA CANCELACIÓN POR 6MIL, TT CONFIRMA PAGO DURANTE EL DÍA.</t>
  </si>
  <si>
    <t>Sustento de pago PPC - Dinero en Mano / HORARIO DE PAGO: Tarde / NOTA: SE APRUEBA EXCEPCION BAJO EL IMPORTE DE S/150</t>
  </si>
  <si>
    <t>Sustento de pago PPC - Dinero en Mano / HORARIO DE PAGO: Tarde / NOTA: Se aprueba excepción por S/303, tt envía comprobante de pago aplicativo BCP.</t>
  </si>
  <si>
    <t>Sustento de pago PPC - Dinero en Mano / HORARIO DE PAGO: Tarde / NOTA: SE APRUEBA LA PROPUESTA Y SE LLEGA A LA CONCILIACIÓN,  TT ESTARA CANCELANDO LOS 6MIL SOLES EL DIA 26 DE AGOSTO MISMO CAJA LOS ANDES, ENVIAR LOS MEDIOS DE PAGOS.</t>
  </si>
  <si>
    <t xml:space="preserve">Sustento de pago PPC - Dinero en Mano / HORARIO DE PAGO: Tarde / NOTA: se aprueba ultima cuota de ppm 24 de noviembre, se le informo al tt todo ok. </t>
  </si>
  <si>
    <t xml:space="preserve">Sustento de pago PPC - Dinero en Mano / HORARIO DE PAGO: Tarde / NOTA: Se brinda can bajo dk, se acuerda abonar el dia de hoy 1k y la diferencia hasta el 29. </t>
  </si>
  <si>
    <t>Sustento de pago PPC - Dinero en Mano / HORARIO DE PAGO: Tarde / NOTA: SE BRINDA DT (S/1003), SE OFRECE PPC POR S/890 | MAMÁ DE TT ES LA QUE PIDE LA INFORMACIÓN, TIENE CONOCIMIENTO DE LA DEUDA DEL TT YA QUE LE LLEGÓ UNA CARTA DE COBRANZA. SRA. SE COMPROMETE A PAGAR LA DEUDA EN DOS PARTES: S/445 ANTES DEL 15/10 Y S/445 ANTES DEL 31/10</t>
  </si>
  <si>
    <t xml:space="preserve">Sustento de pago PPC - Dinero en Mano / HORARIO DE PAGO: Tarde / NOTA: se brinda dt 2,652.63 y camp de 600, y tt tiene contrapropuesta de 200 </t>
  </si>
  <si>
    <t xml:space="preserve">indica que cancelara con 200 en bcp por agente </t>
  </si>
  <si>
    <t xml:space="preserve">Sustento de pago PPC - Dinero en Mano / HORARIO DE PAGO: Tarde / NOTA: Se brinda DT 811.22 campaña DK 528.62 indica que ella no disponde de esa cantidad , indica q dispondra del importe de S/302 para la cancelacion se evalua internamente ya q esta dentro del MIN1 Y MIN2 , indica  que realizara la cancelacion el dia 14/07 en el rango de la tarde mediante trasferencia bcp ya q tiene inconveniente con su app .tiene compromiso de hacerlo </t>
  </si>
  <si>
    <t>Sustento de pago PPC - Dinero en Mano / HORARIO DE PAGO: Tarde / NOTA: SE BRINDA EXCEPCION PARA CANCELACION POR 1.1K CON LA CONDICION QUE EL DIA DE HOY EFECTUE EL PAGO DE 250 Y COMPLETE EL IMPORTE PARA EL 30 DEL PRESENTE MES</t>
  </si>
  <si>
    <t>Sustento de pago PPC - Dinero en Mano / HORARIO DE PAGO: Tarde / NOTA: Se brindo beneficio a TT para cancelar bajo importe de 6500 el día de hoy, TT confirma pago para el día de hoy entre 4 a 5 pm mediante transferencia BCP</t>
  </si>
  <si>
    <t>Sustento de pago PPC - Dinero en Mano / HORARIO DE PAGO: Tarde / NOTA: SE BRINDO DK 2,200 Y CAMP DE 380</t>
  </si>
  <si>
    <t>HOY PAGARA 200</t>
  </si>
  <si>
    <t>12-08: 180</t>
  </si>
  <si>
    <t xml:space="preserve">PAGO SE REALIZA POR BCP </t>
  </si>
  <si>
    <t xml:space="preserve">Sustento de pago PPC - Dinero en Mano / HORARIO DE PAGO: Tarde / NOTA: SE CAMBIA MODALIDAD A CANCELACION POR 680 SOLES </t>
  </si>
  <si>
    <t>Sustento de pago PPC - Dinero en Mano / HORARIO DE PAGO: Tarde / NOTA: se concreta acuerdo , 300 so - por tranf. bancaria</t>
  </si>
  <si>
    <t>Sustento de pago PPC - Dinero en Mano / HORARIO DE PAGO: Tarde / NOTA: Se concreta con cliente el importe de S/1400 pago realizado por yape y S/1000 por transferencia Bcp</t>
  </si>
  <si>
    <t xml:space="preserve">Sustento de pago PPC - Dinero en Mano / HORARIO DE PAGO: Tarde / NOTA: Se concreta con cliente el importe de S/400 pago realizado por yape </t>
  </si>
  <si>
    <t>Sustento de pago PPC - Dinero en Mano / HORARIO DE PAGO: Tarde / NOTA: Se confirma aprobación de su propuesta, realizará transferencia bcp, consulta plazo de retiro en las centrales de riesgo, se explica min 30 d max 90 dias, que se envia acuerdo y cuentas a whats.</t>
  </si>
  <si>
    <t>Sustento de pago PPC - Dinero en Mano / HORARIO DE PAGO: Tarde / NOTA: se confirma con tt pago por misma agencia de tru, se envia carta de campaña</t>
  </si>
  <si>
    <t>Sustento de pago PPC - Dinero en Mano / HORARIO DE PAGO: Tarde / NOTA: se confirma el monto propuesto por tt, por agencia caja trujillo</t>
  </si>
  <si>
    <t>Sustento de pago PPC - Dinero en Mano / HORARIO DE PAGO: Tarde / NOTA: SE CONFIRMA LA APROBACION AL CLIENTE DEL DESCUENTO POR EL IMPORTE DE 5300, CLIENTE CONFIRMA ABONAR 5000 SOLES HOY 20/10 Y 300 SOLES EL DIA DE MAÑANA 21/10</t>
  </si>
  <si>
    <t xml:space="preserve">Sustento de pago PPC - Dinero en Mano / HORARIO DE PAGO: Tarde / NOTA: Se contacta a tt, se brinda can 230 soles, 5:30pm agencia. </t>
  </si>
  <si>
    <t xml:space="preserve">Sustento de pago PPC - Dinero en Mano / HORARIO DE PAGO: Tarde / NOTA: Se contacta a tt, se brinda dt dk can 295 soles , ya validó la transferencia de la deuda, lo pagará por yape. </t>
  </si>
  <si>
    <t>Sustento de pago PPC - Dinero en Mano / HORARIO DE PAGO: Tarde / NOTA: Se contacta a tt, se brinda dt dk can 600 aplicativo , adjunta num de wsp 930861522</t>
  </si>
  <si>
    <t xml:space="preserve">Sustento de pago PPC - Dinero en Mano / HORARIO DE PAGO: Tarde / NOTA: Se contacta a tt, se brinda dt dk can 680 soles, 11am, agencia. </t>
  </si>
  <si>
    <t>Sustento de pago PPC - Dinero en Mano / HORARIO DE PAGO: Tarde / NOTA: SE CONVERSA CON HNA DE TT. SRA SONIA VEGGRO - SE ENCUENTRA CON EX CUÑADO SR MIGUEL DNI 43555629 QUE HARÁ RP</t>
  </si>
  <si>
    <t>Monto negociado: 200</t>
  </si>
  <si>
    <t>Sustento:  AHORROS</t>
  </si>
  <si>
    <t xml:space="preserve">Motivo de no pago: ID QUE SI PAGÓ Y QUE NUNCA LE DIERON LA CDNA </t>
  </si>
  <si>
    <t>Fecha: 16-07</t>
  </si>
  <si>
    <t>Propuesta:  200</t>
  </si>
  <si>
    <t>Sustento de pago PPC - Dinero en Mano / HORARIO DE PAGO: Tarde / NOTA: se coordina con tt para el pago en oficina y envio de voucher</t>
  </si>
  <si>
    <t>Sustento de pago PPC - Dinero en Mano / HORARIO DE PAGO: Tarde / NOTA: se coordina pago en 2 partes inciial de 350 y cocmpleta el dia sabado , por deposito agente , bcp , interbank</t>
  </si>
  <si>
    <t>Sustento de pago PPC - Dinero en Mano / HORARIO DE PAGO: Tarde / NOTA: se coordina pago por ibk , desc,.esp . 180so</t>
  </si>
  <si>
    <t>Sustento de pago PPC - Dinero en Mano / HORARIO DE PAGO: Tarde / NOTA: se envio acordo de pago</t>
  </si>
  <si>
    <t>Sustento de pago PPC - Dinero en Mano / HORARIO DE PAGO: Tarde / NOTA: Se envio acuerdo al correo, tt ind que una vez pague enviara comprobante al correo</t>
  </si>
  <si>
    <t>Sustento de pago PPC - Dinero en Mano / HORARIO DE PAGO: Tarde / NOTA: Se genera Cancelación por S/3925 (última cuota de producto C1) para el día 13/02/2026, realizará pago por cajero Interbank a las 3pm.</t>
  </si>
  <si>
    <t xml:space="preserve">Sustento de pago PPC - Dinero en Mano / HORARIO DE PAGO: Tarde / NOTA: Se genera compromiso por la diferencia del acuerdo de los 2500 y los otros 2.5k lo haria fin de mes - autorizado por supervisora </t>
  </si>
  <si>
    <t xml:space="preserve">Sustento de pago PPC - Dinero en Mano / HORARIO DE PAGO: Tarde / NOTA: SE GESTIONA COMPROMISO DE PAGO PPC, YA QUE CLIENTE CUENTA CONTABA CON EL DINERO ALA MANO, ASIMISMO,  CLIENTE ENVIA VOUCHER DE PAGO EL DÍA 04/07 AL WHATSAPP. </t>
  </si>
  <si>
    <t>motivo de no pago: CLIENTE HA CANCELADO A OTROS BANCOS</t>
  </si>
  <si>
    <t>fecha de pago: 04/07</t>
  </si>
  <si>
    <t>sustento de pago: INGRESO DE GRATI DE JULIO</t>
  </si>
  <si>
    <t>monto de propuesta: IMPORTE DE PROPUESTA DE 2500</t>
  </si>
  <si>
    <t>Sustento de pago PPC - Dinero en Mano / HORARIO DE PAGO: Tarde / NOTA: se habla con el tt indica q en su poder solo puede conseguir 5k , se le indica el monto de la DT:15,027.11 MIN1: 12K (CAMPAÑA DE COINVERSION =6800 )indica q esta hablando con su familiar si o si para poder q le preste la diferencia y obtener todo el importe /se le indica q se consulta con GERENCIA .(CONSULTA CON SUPERVISOR)</t>
  </si>
  <si>
    <t>Sustento de pago PPC - Dinero en Mano / HORARIO DE PAGO: Tarde / NOTA: se habla con el tt nos dice que sabe de q credito se le habla se le menciona de la DT:28,071.86 MIN1:20K  REF C3 C6 C12: S/2,248.69 nos indica q ninguno de esos montos puede empezar a pagar ya q no sabe si este mes si se puede pagar y el mes siguiente noo. por eso q contrapropone en pagar 8k y dar solucion a su deuda , actualmente esta pagando su credito hipotecario con el mismo BBVA esta preocupado porq tiene q pagar 3 cuotas atrazadas ,hablara con su familia para q le apoye,(SE PIDE MODIFICACION DE FECHA A SUPERVISORA)</t>
  </si>
  <si>
    <t xml:space="preserve">Sustento de pago PPC - Dinero en Mano / HORARIO DE PAGO: Tarde / NOTA: SE HABLA CON EL TT NOS INDICA Q REALIZARA EL PAGO CON NORMALIDAD POR LA TARDE ATRAVEZ DEL APP Y CON ESO CANCELA TODO EL CREDITO . </t>
  </si>
  <si>
    <t>Sustento de pago PPC - Dinero en Mano / HORARIO DE PAGO: Tarde / NOTA: se habla con el tt se estaba coordinando de la deuda DT:584.67 REFI: C2: 293 X 2 CLIENTE INDICA Q ESTA EN UNA ZONA MUY LEJANA EL PAGARA POR UN TERCERO DE AGENTE Y MAÑANA ESTARIAN YENDO A DEPOSITAR , AL ULTIMO SE QUEDA EN CONFIRMAR LA CANCELACION :500.00 min1 /pagara por bcp.</t>
  </si>
  <si>
    <t>Sustento de pago PPC - Dinero en Mano / HORARIO DE PAGO: Tarde / NOTA: se habla con el tt se le indica q tenemos una deuda DT:14,447.85 MIN1:10,862.71 REF C3 C6 C12 , NOS DICE Q POR TEMAS DE ESTAFA NO PUDO CANCELAR CON EL MISMO BANCO , PIDE PAGAR LA DEUDA CON 2K , SE LE INDICA Q PARA EVALUACION TENDRIA Q MEJORAR ,MENCIONA Q ANALISTA ANTERIOR LE DIJO Q LA CARTA SALDRIA EN 72 HORAS.</t>
  </si>
  <si>
    <t xml:space="preserve">Sustento de pago PPC - Dinero en Mano / HORARIO DE PAGO: Tarde / NOTA: Se indica DT 2,437.84, DK 616.66, campaña de 250, tit accede y cancela deuda S/250 mañana 18/06 a las 2pm en Caja Trujillo </t>
  </si>
  <si>
    <t xml:space="preserve">Sustento de pago PPC - Dinero en Mano / HORARIO DE PAGO: Tarde / NOTA: Se indica DT 2,520.97, DK 1,037.78, y campaña de 800 soles, tit accede y dará adelanto de 400 soles el día 09/01 por la tarde pasada las 2pm y la diferencia de los 400 soles restantes el día 31/01 </t>
  </si>
  <si>
    <t xml:space="preserve">Sustento de pago PPC - Dinero en Mano / HORARIO DE PAGO: Tarde / NOTA: Se indica DT 2,580.59, DK 900.73 y campaña C1 365, tit accede y cancela deuda S/365 hoy 23/06 en la agencia Caja Trujillo a las 4pm </t>
  </si>
  <si>
    <t xml:space="preserve">Sustento de pago PPC - Dinero en Mano / HORARIO DE PAGO: Tarde / NOTA: Se indica DT 2,784.68, DK 848.54 y campaña de 350, tit accede y cancela deuda con S/350 el martes 09/06 por la tarde antes de las 5pm </t>
  </si>
  <si>
    <t xml:space="preserve">Sustento de pago PPC - Dinero en Mano / HORARIO DE PAGO: Tarde / NOTA: Se indica DT 2,784.68, DK 848.54 y campaña de 350, tit accede y cancela deuda con S/350 el martes 16/06 por la tarde antes de las 5pm </t>
  </si>
  <si>
    <t xml:space="preserve">Sustento de pago PPC - Dinero en Mano / HORARIO DE PAGO: Tarde / NOTA: Se indica DT 5,313.31, DK 3,641.45 y Min2 605 soles como campaña para liquidar deuda, Tit cancela el día 24/07 a las 4pm </t>
  </si>
  <si>
    <t>Sustento de pago PPC - Dinero en Mano / HORARIO DE PAGO: Tarde / NOTA: Se indica monto DT 18,819, DK 4,916, Min 1 S/1,288.  Tt indica que puede cancelar en base a 1,200, adelantará   S/100 hoy por la tarde y la diferencia hasta el dia 22/07</t>
  </si>
  <si>
    <t>Sustento de pago PPC - Dinero en Mano / HORARIO DE PAGO: Tarde / NOTA: se indica que gerencia no acepto su propuesta para cancelar y que hara lo posible para juntar hasta fin de mes ya que le ecomendarton no pagarlo por el viaje que tendra yq eu por eso queria solucionar dentro de su posibilidad , tt meniona que hara lo posible y que vera como consigue para terminaar su cuenta</t>
  </si>
  <si>
    <t xml:space="preserve">Sustento de pago PPC - Dinero en Mano / HORARIO DE PAGO: Tarde / NOTA: Se informa a  titular que solo por hoy su propuesta fue aprobada por 6300 soles, pagara en el mismo banco </t>
  </si>
  <si>
    <t xml:space="preserve">Sustento de pago PPC - Dinero en Mano / HORARIO DE PAGO: Tarde / NOTA: Se informa a titular que por hoy su propuesta fue acepta bajo el importe de 5000 soles, titular indica que el pago lo genera en mismo ventanilla del banco. </t>
  </si>
  <si>
    <t xml:space="preserve">Sustento de pago PPC - Dinero en Mano / HORARIO DE PAGO: Tarde / NOTA: Se informa a titular que procede su propuesta hoy cancela con el importe de 120 soles, pagara por yape </t>
  </si>
  <si>
    <t xml:space="preserve">Sustento de pago PPC - Dinero en Mano / HORARIO DE PAGO: Tarde / NOTA: Se informa a titular que procedió su propuesta, importe de cancelación 550 soles. </t>
  </si>
  <si>
    <t>Sustento de pago PPC - Dinero en Mano / HORARIO DE PAGO: Tarde / NOTA: Se informa a titular que su propuesta procedió por el importe de 18,000 soles, se indica que el pago tiene que generarlo máximo hasta las 4pm. se procede a enviar documentación a su correo diafire@hotmail.com.</t>
  </si>
  <si>
    <t>Sustento de pago PPC - Dinero en Mano / HORARIO DE PAGO: Tarde / NOTA: Se informa a tt aprobación de excepción de S/10,000.00 solo hoy 20.10 tt solicita acuerdo de pago al correo:  gustavoramirezduque@gmail.com // Se validó que tt tiene otro producto pendiente con BBVA por ello realizará el pago por BCP o IBK antes de las 6PM</t>
  </si>
  <si>
    <t>Sustento de pago PPC - Dinero en Mano / HORARIO DE PAGO: Tarde / NOTA: Se informa a tt autorización de dscto condicionada a cumplimiento, se envía acuerdo de pago vía WhatsApp. Hoy 18/02 abonará S/500.00 y la diferencia a fin de mes con el dinero de su sueldo.</t>
  </si>
  <si>
    <t xml:space="preserve">Sustento de pago PPC - Dinero en Mano / HORARIO DE PAGO: Tarde / NOTA: Se informa a tt que su propuesta procedio, confirma adelanto de pago hoy de 500 soles y fin de mes paga la diferencia de 1k. </t>
  </si>
  <si>
    <t>Sustento de pago PPC - Dinero en Mano / HORARIO DE PAGO: Tarde / NOTA: Se informa aprobación , se envía acuerdo a whats, realizará pago en ventanillas de ibk, está esperando le yapeen los 200 soles restantes para ir en un solo viaje a cancelar.</t>
  </si>
  <si>
    <t>Sustento de pago PPC - Dinero en Mano / HORARIO DE PAGO: Tarde / NOTA: se informa aprobación de propuesta, se le envía cuentas de pago, pide se le envíe acuerdo a su whats, hoy adelanta 1000 , restante para el 19/01</t>
  </si>
  <si>
    <t>Sustento de pago PPC - Dinero en Mano / HORARIO DE PAGO: Tarde / NOTA: Se informa aprobación de su propuesta, se aproximará al banco a realizar el pago, se envia a su whats compromiso, pide se envie a su correo edher223@gmail.com carta de no adeudo.</t>
  </si>
  <si>
    <t>Sustento de pago PPC - Dinero en Mano / HORARIO DE PAGO: Tarde / NOTA: Se informa aprobación, pide se envíe compromiso, realizará pago en ventanillas de ibk.</t>
  </si>
  <si>
    <t>Sustento de pago PPC - Dinero en Mano / HORARIO DE PAGO: Tarde / NOTA: Se informa aprobacion, que se le envíe documento a su whats, se le envia cuentas.</t>
  </si>
  <si>
    <t>Sustento de pago PPC - Dinero en Mano / HORARIO DE PAGO: Tarde / NOTA: Se informa aprobación, se envia acuerdo a su whats, realizará transferencia por ibk</t>
  </si>
  <si>
    <t>Sustento de pago PPC - Dinero en Mano / HORARIO DE PAGO: Tarde / NOTA: Se informa aprobación, se envía acuerdo a whats, realizará transferencia bbva.</t>
  </si>
  <si>
    <t>Sustento de pago PPC - Dinero en Mano / HORARIO DE PAGO: Tarde / NOTA: Se informa aprobación, se envía acuerdo al correo eddercs07@gmail.com y cuentas de pago a su whats.</t>
  </si>
  <si>
    <t>Sustento de pago PPC - Dinero en Mano / HORARIO DE PAGO: Tarde / NOTA: SE INFORMA DT 183, INDICA QUE LO PAGARA EL 31 QUE LE DEPOSITAN SUS HABERES, CONFIRMA Y ASEGURA CANCELAR ESE DIA</t>
  </si>
  <si>
    <t>Sustento de pago PPC - Dinero en Mano / HORARIO DE PAGO: Tarde / NOTA: Se informa dt 339.94, dk y can 190 soles, dejó de pagar porque le bloquearon su cuenta, se le hizo tarde para ir al banco, pago 2 cuotas, se informa transferencia, puede pagar por bcp,  confirma que hoy estará realizando el pago, se envía cuenta a su whats.</t>
  </si>
  <si>
    <t>Sustento de pago PPC - Dinero en Mano / HORARIO DE PAGO: Tarde / NOTA: se informa dt, campaña 417.61,  que se le apoye con un descuento con 335 soles se le ayuda, antes de las 5 pm estará realizando el pago en banco interbank</t>
  </si>
  <si>
    <t>Sustento de pago PPC - Dinero en Mano / HORARIO DE PAGO: Tarde / NOTA: Se informa que su propuesta procedió, indica que pagara por transferencia bancaria importe de 700 soles , confirma correo: jesusadelaida72@gmail.com</t>
  </si>
  <si>
    <t>Sustento de pago PPC - Dinero en Mano / HORARIO DE PAGO: Tarde / NOTA: Se informo aprobación hoy realizaría el pago</t>
  </si>
  <si>
    <t>Sustento de pago PPC - Dinero en Mano / HORARIO DE PAGO: Tarde / NOTA: se ingresa gestion hoy ya que ayer se cayo el expertisone casi en la salida tt pago por el aplicativo del bcp</t>
  </si>
  <si>
    <t xml:space="preserve">Sustento de pago PPC - Dinero en Mano / HORARIO DE PAGO: Tarde / NOTA: SE LE B RINDO DT Y CAMPAÑA DK INDICA QUE DEJO DE PAGAR POR PROBLEMAS DE SALUD Y TRABAJO A CONSECUENCIA NO PUDO INDICA QUE ESTUVO NEGOCIANDO PERO IBA A CONFIRMAR EL PAGO DE ADELANTO HASTA DE 900 EN DOS PARTES DENTRO DEL MES 450 EL DIA DE HOY Y EL DIA 30 450 QUE LO ESTARÁ EFECTUANDO POR BCP APP PAGO DE SERVICIO SE LE ENVIARA DOCUMENTO POR EL MEDIO DE WSP </t>
  </si>
  <si>
    <t>Sustento de pago PPC - Dinero en Mano / HORARIO DE PAGO: Tarde / NOTA: Se le brinda aprobación con importe de S/10,000, titular envía comprobante de pago por App BBVA.</t>
  </si>
  <si>
    <t>Sustento de pago PPC - Dinero en Mano / HORARIO DE PAGO: Tarde / NOTA: Se le brinda aprobación con pago inmediato, se le adjunta compromiso de pago y realiza el abono por transferencia BCP.</t>
  </si>
  <si>
    <t>Sustento de pago PPC - Dinero en Mano / HORARIO DE PAGO: Tarde / NOTA: Se le brinda aprobación de propuesta por S/4,600 para el 17/06 a las 4:30 pm por App BCP.</t>
  </si>
  <si>
    <t>Sustento de pago PPC - Dinero en Mano / HORARIO DE PAGO: Tarde / NOTA: Se le brinda aprobación por el importe de S/1500</t>
  </si>
  <si>
    <t>Sustento de pago PPC - Dinero en Mano / HORARIO DE PAGO: Tarde / NOTA: Se le brinda aprobación por el importe de S/2500, realizará adelanto de S/200 hoy 23/02/2026 y restante el S/2300 el día 26/02/2026. Se solicita documentación.</t>
  </si>
  <si>
    <t>Sustento de pago PPC - Dinero en Mano / HORARIO DE PAGO: Tarde / NOTA: Se le brinda aprobación por importe de S/35,500 por hoy 13/10, se le adjunta compromiso de pago, tt indica que se esta dirigiendo al BANCO BBVA.</t>
  </si>
  <si>
    <t>Sustento de pago PPC - Dinero en Mano / HORARIO DE PAGO: Tarde / NOTA: Se le brinda aprobación por importe de S/4,620 para el día 10/04/2026, realizará pago en agencia Interbank a las 3pm.</t>
  </si>
  <si>
    <t>Sustento de pago PPC - Dinero en Mano / HORARIO DE PAGO: Tarde / NOTA: Se le brinda aprobación por importe de S/6,600</t>
  </si>
  <si>
    <t>Sustento de pago PPC - Dinero en Mano / HORARIO DE PAGO: Tarde / NOTA: Se le brinda aprobación por ocasión de S/400 pagara por App BBVA</t>
  </si>
  <si>
    <t>Sustento de pago PPC - Dinero en Mano / HORARIO DE PAGO: Tarde / NOTA: Se le brinda aprobación por S/250 hasta mañana 18/03. Realizará pago por agencia Interbank a las 2pm. Solicita documentación</t>
  </si>
  <si>
    <t>Sustento de pago PPC - Dinero en Mano / HORARIO DE PAGO: Tarde / NOTA: se le brinda información  de su deuda total  9,123.71 y capital 6,000.00 ,dejo de pagar por lo sacaron de su trabajo ,se le brinda 3,300 como cancelación tt indica que solo tiene 3 k ,paga hoy ese importe y mañana 300 , paga en el mismo banco.</t>
  </si>
  <si>
    <t>Sustento de pago PPC - Dinero en Mano / HORARIO DE PAGO: Tarde / NOTA: Se le brinda información de su deuda total 16,966.03 y capital  14,380.64, menciona , ser trabajador independiente (abogada independiente ) tiene un tumor y lo van a operar  y se gastara ese dinero  ,además viajara el siguiente año y desea quedar sin deuda  , indica que en este tiempo solo logro juntar 7500 , por que anteriormente le ofrecieron pagar  con 9 k , se le menciona que las campañas son temporales , tt indica  que es imposible pagar mas , es todo lo que ha reunido con fin de hacer la cancelación , si le apoyan cancelar con ese monto , revisaría el tema del compromiso de pago y pagaría de inmediato , se eleva acepción ,apoyo con la Srta. MAYRA, se enviara carta de notificación</t>
  </si>
  <si>
    <t>Sustento de pago PPC - Dinero en Mano / HORARIO DE PAGO: Tarde / NOTA: se le brinda información de su deuda total 5,893.71 ,capital  10,184.56 , no cuenta con ese monto ,se le brinda c1 como cancelación ,menciona que ese monto si lo puede pagar hoy las 3 :pm ,tiene el dinero en efectivo.  3630.</t>
  </si>
  <si>
    <t>Sustento de pago PPC - Dinero en Mano / HORARIO DE PAGO: Tarde / NOTA: SE LE BRINDA LA APROBACION A TT CON EL IMPORTE DE 5K , EL DIA DE HOY 3K Y EL RESTANTE  2K PARA EL DIA LUNES 23 POR LA CUAL DESEA QUE LE ENVIEMOS EL DOCUMENTO POR CORREO ERIKAHERENCIA@GMAIL.COM LO ESTARA REALIZANDO EN EL MISMO BBVA A LAS 3 O 4 PM</t>
  </si>
  <si>
    <t>Sustento de pago PPC - Dinero en Mano / HORARIO DE PAGO: Tarde / NOTA: SE LE BRINDA LA DT Y CAMPAÑA DK INDICA QUE LA SRTA SE LE BRINDO CON 350 Y YA LO REUNIO  QUE LO CANCELARA POR PLAN DE 6 PM jorgeluisbarturenbances@gmail.com</t>
  </si>
  <si>
    <t xml:space="preserve">Sustento de pago PPC - Dinero en Mano / HORARIO DE PAGO: Tarde / NOTA: SE LE BRINDO CAMP DE 24,173.39 HASTA 18600, PROPUSO 4500, SE LE PIDIO MEJORAR PROPUESTA MEJORA HASTA 4650, SE APRUEBA PROPUESTA, REALIZARA EL PAGO POR EL BCP AGENTE, DE IGUAL FORMA ADELANTO 300 EL DIA MARTES, SE VALIDA TODO LO CONVERSADO, CLIENTE EN CAMINO AL AGENTE PARA REALIZAR EL PAGO. </t>
  </si>
  <si>
    <t>Sustento de pago PPC - Dinero en Mano / HORARIO DE PAGO: Tarde / NOTA: SE LE BRINDO DT 8,306.12 camp de 6,318.07, tt refuta de que el banco le brinda un monto menor 2590 , se le indica que esa campaña ya no esta activa y podríamos ayudarlo con un beneficio adicional de hasta 5,500, indica que no podria pagar ese monto, se cierra con la campaña del banco, se menciona que podríamos ver la forma de ayudarlo hasta con 3500 y menciona que podría reunir hasta 3mil pero no tiene el dinero es el apoyo de un familiar, se consulta bajo evaluacion, y se le solicita adjuntar pruebas del monto menor. Envia captura de campaña, por el importe mencionado, se consulto sobre propuesta, se genera ppc por el importe de 3k, comenta que el pago seria por transferencia hasta antes de las 6 pm.</t>
  </si>
  <si>
    <t xml:space="preserve">Sustento de pago PPC - Dinero en Mano / HORARIO DE PAGO: Tarde / NOTA: se le confirma   compromiso   de 3k   fecha   16-6    se envia documento por wtp  </t>
  </si>
  <si>
    <t>Sustento de pago PPC - Dinero en Mano / HORARIO DE PAGO: Tarde / NOTA: Se le confirma aprobación por el importe de S/1200 por única ocasión con fecha máxima 31/07, tt indica que se le envié documento Formalizado del Acuerdo de Pago.</t>
  </si>
  <si>
    <t xml:space="preserve">Sustento de pago PPC - Dinero en Mano / HORARIO DE PAGO: Tarde / NOTA: SE LE CONFIRMA MONTO DE 6500 PARA CANCELAR TT INDICA QUE CANCELARA POR SCOTIABANK, SE LE BRINDA METODO DE PAGO Y SE LE ENVIA DOCUMENTOS, PAGARA ANTES DE LAS 4PM. TODO OK. </t>
  </si>
  <si>
    <t xml:space="preserve">Sustento de pago PPC - Dinero en Mano / HORARIO DE PAGO: Tarde / NOTA: se le confirmo  solicitud a tt   se enviara documento de compromiso   monto   500 soles   fecha  30  en la tarde pagara  </t>
  </si>
  <si>
    <t xml:space="preserve">Sustento de pago PPC - Dinero en Mano / HORARIO DE PAGO: Tarde / NOTA: SE LE DA APROBACION SOLICITA NUMEROS DE CUENTA </t>
  </si>
  <si>
    <t xml:space="preserve">Sustento de pago PPC - Dinero en Mano / HORARIO DE PAGO: Tarde / NOTA: se le envía acuerdo de pago esta en el trabajo el pago lo hará por yape </t>
  </si>
  <si>
    <t xml:space="preserve">Sustento de pago PPC - Dinero en Mano / HORARIO DE PAGO: Tarde / NOTA: se le envia acuerdo de pago hoy hara pago de adelanto de 2k y el 22/06 los 2k restantes </t>
  </si>
  <si>
    <t>Sustento de pago PPC - Dinero en Mano / HORARIO DE PAGO: Tarde / NOTA: se le envia acuerdo de pago indica que pago lo hara por transferencia bancaria hoy adelantara 1500  y los 500 los pagara hasta el 30/05</t>
  </si>
  <si>
    <t>Sustento de pago PPC - Dinero en Mano / HORARIO DE PAGO: Tarde / NOTA: se le envia acuerdo de pago indica que pago lo hara por transferencia bcp</t>
  </si>
  <si>
    <t>Sustento de pago PPC - Dinero en Mano / HORARIO DE PAGO: Tarde / NOTA: se le envía acuerdo de pago por importe de 5000 se acercara a banco a hacer el pago</t>
  </si>
  <si>
    <t>Sustento de pago PPC - Dinero en Mano / HORARIO DE PAGO: Tarde / NOTA: se le envia acuerdo de pago por wsp hoy ABONA 500</t>
  </si>
  <si>
    <t>500 EL DIA 19/06 Y 1400 HASTA EL 30/06 PAGO LO HARA POR AGENTE BCP</t>
  </si>
  <si>
    <t>Sustento de pago PPC - Dinero en Mano / HORARIO DE PAGO: Tarde / NOTA: se le envia acuerdo de pago se acercara a agencia de bbva a hacer el pago</t>
  </si>
  <si>
    <t>Sustento de pago PPC - Dinero en Mano / HORARIO DE PAGO: Tarde / NOTA: se le envia acuerdo de pago se acercara a una agencia hoy abonaria como adelanto 4k se le envia info al wso</t>
  </si>
  <si>
    <t>Sustento de pago PPC - Dinero en Mano / HORARIO DE PAGO: Tarde / NOTA: se le envia acuerdo de pago via wsp indica que pago lo realizara por transferencia bancaria</t>
  </si>
  <si>
    <t>Sustento de pago PPC - Dinero en Mano / HORARIO DE PAGO: Tarde / NOTA: se le envia acuerdo de pago via wsp pago lo hara por transferencia</t>
  </si>
  <si>
    <t>Sustento de pago PPC - Dinero en Mano / HORARIO DE PAGO: Tarde / NOTA: se le envia acuerdo de pago via wsp pago lo hara por transferencia bcp por la tarde</t>
  </si>
  <si>
    <t>Sustento de pago PPC - Dinero en Mano / HORARIO DE PAGO: Tarde / NOTA: se le envia acuerdo de pago via wsp y correo  cuenta  de la empresa hara transferencia bcp</t>
  </si>
  <si>
    <t xml:space="preserve">Sustento de pago PPC - Dinero en Mano / HORARIO DE PAGO: Tarde / NOTA: se le envia acuerdo de pago via wsp y correo indica que pago lo hara por agencia </t>
  </si>
  <si>
    <t>Sustento de pago PPC - Dinero en Mano / HORARIO DE PAGO: Tarde / NOTA: se le envia acuerdo de pago via wsp y correo indica que se acercara a una agencia a realizar el pago</t>
  </si>
  <si>
    <t>Sustento de pago PPC - Dinero en Mano / HORARIO DE PAGO: Tarde / NOTA: se le envia acuerdo de pago y cuentas  de la empresa pago lo hará por transferencia bancaria</t>
  </si>
  <si>
    <t>Sustento de pago PPC - Dinero en Mano / HORARIO DE PAGO: Tarde / NOTA: se le envia compromiso de pago a  correo pradoa2012@gmail.com abonara por transferencia bancaria bcp desde app de un familiar pagara adelanto de 2500 hoy y 500 fin de mes</t>
  </si>
  <si>
    <t>Sustento de pago PPC - Dinero en Mano / HORARIO DE PAGO: Tarde / NOTA: se le envia compromiso de pago y cuenta de la empresa</t>
  </si>
  <si>
    <t>Sustento de pago PPC - Dinero en Mano / HORARIO DE PAGO: Tarde / NOTA: se le envia compromiso y cuentas</t>
  </si>
  <si>
    <t xml:space="preserve">Sustento de pago PPC - Dinero en Mano / HORARIO DE PAGO: Tarde / NOTA: Se le indica a tit DT 1,686.47, DK 1,081.03 y campaña de 500 soles, tit accede y cancela deuda el 15/06 por el monto de S/500 por la tarde realizará el pago </t>
  </si>
  <si>
    <t>Sustento de pago PPC - Dinero en Mano / HORARIO DE PAGO: Tarde / NOTA: Se le indica la aprobación de la excepción por única ocasión por el importe de S/1400, tt confirma y esta a la espera del documento del acuerdo de pago, para dirigirse a la agencia Caja Los Andes de Sandia el día 12/07 a las 10am.</t>
  </si>
  <si>
    <t>Sustento de pago PPC - Dinero en Mano / HORARIO DE PAGO: Tarde / NOTA: se le indica tt deuda de dt y dk indica que e mucho que ya pago lo suficiente que el solo podria reunir 1 k para el dia viernes 11</t>
  </si>
  <si>
    <t>Sustento de pago PPC - Dinero en Mano / HORARIO DE PAGO: Tarde / NOTA: Se le informa aprobación a TT para cancelar el día lunes 18.05 bajo importe de 2500, menciona que lo estaría realizando por la tarde a partir de las 3 pm. Se brindo DT 14,821.89 C1 x 5000 e indico que antes le dieron un importe menor por lo que se brindo piso de super e indico estar interesada.</t>
  </si>
  <si>
    <t>Sustento de pago PPC - Dinero en Mano / HORARIO DE PAGO: Tarde / NOTA: se le informa sobre su propuesta pide se le envie acuerdo a su correo y whats, confirmará hora que se aproxima a banco</t>
  </si>
  <si>
    <t xml:space="preserve">Sustento de pago PPC - Dinero en Mano / HORARIO DE PAGO: Tarde / NOTA: SE LE MENCIONA DT:1,372.28 CLIENTE SE ACOGE AL IMPORTE DE LA 1300. PAGANDO 12/12 =350.00  23/12 = 350.00 Y EL DIA 30/12 =600.00  Y CON ESO COMPLETARIA SU CONVENIO DE LA CANCELACION . </t>
  </si>
  <si>
    <t>Sustento de pago PPC - Dinero en Mano / HORARIO DE PAGO: Tarde / NOTA: Se le ofrece DT 10,736.62, DK 1,729.47, MIN1 310 Soles, tt indica que se encuentra interesado y que desea acceder al beneficio, desea que se le adjunte el documento formalizado del acuerdo de pago para que se dirija a Caja Trujillo a efectuar el pago, por otro lado indica que es una persona discapacitada y podría realizar el pago el día 31/07 a las 2pm, se genera PDP.</t>
  </si>
  <si>
    <t>Sustento de pago PPC - Dinero en Mano / HORARIO DE PAGO: Tarde / NOTA: Se le ofrece DT 165.21, DK 134.66, C1 93 Soles, titular accede a campaña, desea que se le brinde el compromiso de pago y los números de la central de cobranza de interbank y SBS, realizará pago el 19/01 a las 12pm.</t>
  </si>
  <si>
    <t>Sustento de pago PPC - Dinero en Mano / HORARIO DE PAGO: Tarde / NOTA: Se le ofrece DT 793.91 , DK 480.85, C1 339 Soles, indica que si estaría interesado en regularizar su deuda pero podría pagarla el día 09/01 por transferencia BCP a las 2pm</t>
  </si>
  <si>
    <t>Sustento de pago PPC - Dinero en Mano / HORARIO DE PAGO: Tarde / NOTA: Se le ofrece DT 874.44, DK 552 Soles, MIN1 351 Soles, indica que el podría efectuar el pago el martes 22/07 ya que recibe sus pagos de haberes, y lo realizaría en la agencia Caja los Andes en camaná Arequipa a las 3pm.</t>
  </si>
  <si>
    <t>Sustento de pago PPC - Dinero en Mano / HORARIO DE PAGO: Tarde / NOTA: Se le ofrece DT,DK (8546 Soles), e indica que ella estaba solucionando su cuenta con 1500 soles, se le refuta y se le indica que ese beneficio no sería factible, que tendría hacer una mejora en esa propuesta se le ofrece 6k, e indica que no podría mejorar tanto, a lo que podría acceder es a 3k, se le indica que para brindarle el beneficio tendría que realizar un adelanto hoy, menciona que podría realizar adelanto de S/700 el miércoles 23/04 a las 12pm iría al Banco a corroborar la cesión de la deuda y posterior a ello realizar el abono, y lo restante de S/2300 hasta el 30/04, desea que la llame el 23/04 a las 10 am para coordinar el pago.</t>
  </si>
  <si>
    <t>Sustento de pago PPC - Dinero en Mano / HORARIO DE PAGO: Tarde / NOTA: Se le ofrece DT,DK,C1 212 Soles, titular acepta pero indica que podría efectuar pago el viernes 08/05 a las 4:00 pm por transferencia BCP.</t>
  </si>
  <si>
    <t xml:space="preserve">Sustento de pago PPC - Dinero en Mano / HORARIO DE PAGO: Tarde / NOTA: Se le ofrece DT,DK,C1 289 Soles, titular acepta acceder a campaña e indica que el pago lo estaría realizando en agencia Interbank, para validar la transferencia de su cuenta el día 18/05 ya que le pagan en esa fecha a las 2pm </t>
  </si>
  <si>
    <t>Sustento de pago PPC - Dinero en Mano / HORARIO DE PAGO: Tarde / NOTA: Se le ofrece DT,DK,C1 473 Soles, titular accede a beneficio y cancelará por Aplicativo BBVA.</t>
  </si>
  <si>
    <t xml:space="preserve">Sustento de pago PPC - Dinero en Mano / HORARIO DE PAGO: Tarde / NOTA: Se le ofrece DT,DK,MIN2,MIN1 (221 Soles), indica que el mes pasado no concretó pago por desconfianza y que actualmente solo dispone de 180 soles, por ello se le ofrece MIN1 e indica que el día de mañana 07/05 podría efectuar el pago sin inconvenientes en oficina Interbank en Trujillo en el horario de 3pm. </t>
  </si>
  <si>
    <t>Sustento de pago PPC - Dinero en Mano / HORARIO DE PAGO: Tarde / NOTA: SE LLEGA A LA CONCILIACIÓN Y ESTARA CANCELANDO CON 3MIL EL DIA 26 SI TIENE TIEMPO LO HACE ANTES DE LAS 6PM EN MISMO CAJA LOS ANDES</t>
  </si>
  <si>
    <t>Sustento de pago PPC - Dinero en Mano / HORARIO DE PAGO: Tarde / NOTA: SE LLEGA A LA CONCILIACIÓN Y SE APRUEBA EL DESCUENTO. CLIENTE CANCELA CON 2700 SOLES EL DIA 27 DE  JULIO, ANTES DEL MEDIO DIA, SI TIENE ANTES MUCHO MEJOR, LO REALIZA EN CAJA LOS ANDES</t>
  </si>
  <si>
    <t xml:space="preserve">Sustento de pago PPC - Dinero en Mano / HORARIO DE PAGO: Tarde / NOTA: se menciona  pago de ultima  cuota </t>
  </si>
  <si>
    <t>Sustento de pago PPC - Dinero en Mano / HORARIO DE PAGO: Tarde / NOTA: se menciona dk 4,050.00 - min 859 , campaña enviada por wsp tt esta deacuerdo en pagarlo hoy por cuenta bbva.</t>
  </si>
  <si>
    <t>Sustento de pago PPC - Dinero en Mano / HORARIO DE PAGO: Tarde / NOTA: Se otorgo DK - 8911, C1 x 4850 y PISO DE SUPER - 1604 a lo cual TT solicito se le brinde en 2 cuotas, se le informo que se puede brindar monto dentro del mes pero abonando 802 y la diferencia a fdm a lo cual indico que sería mejor pero que pagaría el día de mañana el adelanto.</t>
  </si>
  <si>
    <t>Sustento de pago PPC - Dinero en Mano / HORARIO DE PAGO: Tarde / NOTA: se porpone  can 160 - pagara por agente pero recien el dia sabado esta trabajando en zona alejada , no tiene apps, pagara por agente bcp 130pm</t>
  </si>
  <si>
    <t>Sustento de pago PPC - Dinero en Mano / HORARIO DE PAGO: Tarde / NOTA: SE PROGRAMA CAMP 1500</t>
  </si>
  <si>
    <t xml:space="preserve">Sustento de pago PPC - Dinero en Mano / HORARIO DE PAGO: Tarde / NOTA: SE PROGRAMA CAMP 250 </t>
  </si>
  <si>
    <t xml:space="preserve">Sustento de pago PPC - Dinero en Mano / HORARIO DE PAGO: Tarde / NOTA: SE PROGRAMA CAMP 350 HOY 13.05 </t>
  </si>
  <si>
    <t xml:space="preserve">Sustento de pago PPC - Dinero en Mano / HORARIO DE PAGO: Tarde / NOTA: SE PROGRAMA CAMP CON 285 </t>
  </si>
  <si>
    <t>Sustento de pago PPC - Dinero en Mano / HORARIO DE PAGO: Tarde / NOTA: SE PROGRAMA CANCELACION CON 1000</t>
  </si>
  <si>
    <t xml:space="preserve">Sustento de pago PPC - Dinero en Mano / HORARIO DE PAGO: Tarde / NOTA: SE PROGRAMA CANCELACION CON 1500 ( 750 SOLES HOY 10.04 Y 750 EL 30.04 ) </t>
  </si>
  <si>
    <t xml:space="preserve">Sustento de pago PPC - Dinero en Mano / HORARIO DE PAGO: Tarde / NOTA: SE PROGRAMA CANCELACION CON 1600 HOY 06,05 </t>
  </si>
  <si>
    <t xml:space="preserve">Sustento de pago PPC - Dinero en Mano / HORARIO DE PAGO: Tarde / NOTA: SE PROGRAMA CANCELACION CON 2300 </t>
  </si>
  <si>
    <t>Sustento de pago PPC - Dinero en Mano / HORARIO DE PAGO: Tarde / NOTA: SE PROGRAMA CANCELACION CON 250 SOLES</t>
  </si>
  <si>
    <t xml:space="preserve">Sustento de pago PPC - Dinero en Mano / HORARIO DE PAGO: Tarde / NOTA: SE PROGRAMA CANCELACION CON 300 HOY 26.05 </t>
  </si>
  <si>
    <t xml:space="preserve">Sustento de pago PPC - Dinero en Mano / HORARIO DE PAGO: Tarde / NOTA: se programa cancelacion con 350 </t>
  </si>
  <si>
    <t xml:space="preserve">Sustento de pago PPC - Dinero en Mano / HORARIO DE PAGO: Tarde / NOTA: se programa cancelacion con 5000 soles </t>
  </si>
  <si>
    <t xml:space="preserve">Sustento de pago PPC - Dinero en Mano / HORARIO DE PAGO: Tarde / NOTA: SE PROGRAMA CANCELACION CON 5600 ´, TT ABONA 600 HOY 12.05 Y 5000 EL 15.05 </t>
  </si>
  <si>
    <t xml:space="preserve">Sustento de pago PPC - Dinero en Mano / HORARIO DE PAGO: Tarde / NOTA: SE PROGRAMA CANCELACION CON 800 </t>
  </si>
  <si>
    <t>Sustento de pago PPC - Dinero en Mano / HORARIO DE PAGO: Tarde / NOTA: SE PROGRAMA CANCELACION DE 6000 , PRIMER PAGO  DE 3000 HOY 12.03.2026 Y RESTANTE DE 3000 EL 31.03.2026</t>
  </si>
  <si>
    <t xml:space="preserve">Sustento de pago PPC - Dinero en Mano / HORARIO DE PAGO: Tarde / NOTA: SE PROGRAMA CANCELACION DE DEUDA CON 400 SOLES , TT ABONA 200 Y 200 EL 30.04 </t>
  </si>
  <si>
    <t xml:space="preserve">Sustento de pago PPC - Dinero en Mano / HORARIO DE PAGO: Tarde / NOTA: SE PROGRAMA CANCELACION FINAL CON 2000 HOY 29.05 </t>
  </si>
  <si>
    <t xml:space="preserve">Sustento de pago PPC - Dinero en Mano / HORARIO DE PAGO: Tarde / NOTA: SE PROGRAMA CANCELACIÓN SEGÚN EXCEPCIÓN </t>
  </si>
  <si>
    <t>Sustento de pago PPC - Dinero en Mano / HORARIO DE PAGO: Tarde / NOTA: se programa cuota 2 de 2 por 257 soles para el 30/01/2026</t>
  </si>
  <si>
    <t>Sustento de pago PPC - Dinero en Mano / HORARIO DE PAGO: Tarde / NOTA: se programa cuota 2 de 2 por 900 soles para el 30/12/2025</t>
  </si>
  <si>
    <t>Sustento de pago PPC - Dinero en Mano / HORARIO DE PAGO: Tarde / NOTA: se programa pago de 500 soles que es la 2da cuota de 2, se elevo excepcion</t>
  </si>
  <si>
    <t xml:space="preserve">Sustento de pago PPC - Dinero en Mano / HORARIO DE PAGO: Tarde / NOTA: SE PROGRAMA PAGO SEGUNDA CUOTA Y ULTIMA POR EL MONTO DE 1000 SOLES </t>
  </si>
  <si>
    <t>Sustento de pago PPC - Dinero en Mano / HORARIO DE PAGO: Tarde / NOTA: se propine can 230 , se idnica u dt , tt menciona que sir ealizara la cancelacion hoy por la tarde 3pm por bbva</t>
  </si>
  <si>
    <t>Sustento de pago PPC - Dinero en Mano / HORARIO DE PAGO: Tarde / NOTA: se propone camp 680 , tt ok , dice que lo puede pagar mañlana por la gtarde en la agencoi de huacho / se brinda carta 24h para gestionar tt okd e acuerdo</t>
  </si>
  <si>
    <t>Sustento de pago PPC - Dinero en Mano / HORARIO DE PAGO: Tarde / NOTA: Se realiza aprobación de excepcion por 8k con condición de adelanto de 7k hoy 22/01 y 1k el 23/01, tt realiza pago en agencia de adelanto por 7k y envia comprobante al whatsapp.</t>
  </si>
  <si>
    <t xml:space="preserve">Sustento de pago PPC - Dinero en Mano / HORARIO DE PAGO: Tarde / NOTA: SE REALIZO LA CONSULTA DE MANERA INTERNA RESPECTO A LA EXCEPCION DE CANCELAR LA DEUDA CON EL MONTO DE S/2500, YA QUE HABIA UN CONVENIO  CON OTRA ENTIDAD QUE CON EL MONTO DE S/7500 CANCELARIA LA DEUDA  CLIENTE HABIA REALIZADO   UN ABONO DE S/5000 , ENVIO DOCUMENTACION  , BAJO ELLO SE HIZO LA CONSULTA INTERNA Y SE CANCELARA LA DEUDA CON EL MONTO DE S/2500 SE ACERCARA A BANCO A REALIZARLO EN EL RANGO DE LA TARDE . </t>
  </si>
  <si>
    <t>SE BRINDO DT 29,924.35 Y CAMPAÑA DK 22,493.55</t>
  </si>
  <si>
    <t xml:space="preserve">Sustento de pago PPC - Dinero en Mano / HORARIO DE PAGO: Tarde / NOTA: señor adelantara monto de 200 soles el dia de hoy y la diferencia el dia 20 con 800 soles para cancelar </t>
  </si>
  <si>
    <t xml:space="preserve">Sustento de pago PPC - Dinero en Mano / HORARIO DE PAGO: Tarde / NOTA: señor cancelafa monto de 3000 soles confirma se ira de viaje </t>
  </si>
  <si>
    <t>Sustento de pago PPC - Dinero en Mano / HORARIO DE PAGO: Tarde / NOTA: SEÑOR CANCELAR AMONTO DE 500 SOLES RESPONSABLE DE LA DEUDA JUAN QUIERE QUE SE LE ENVIE DOCUMENTACION E INFORMACION DE PAGO POR WHATSAAP 998 901 804/CANCELARA A  LAS 4 DE LA TARDE</t>
  </si>
  <si>
    <t xml:space="preserve">Sustento de pago PPC - Dinero en Mano / HORARIO DE PAGO: Tarde / NOTA: señor cancelara deuda el dia de hoy confirma </t>
  </si>
  <si>
    <t xml:space="preserve">Sustento de pago PPC - Dinero en Mano / HORARIO DE PAGO: Tarde / NOTA: SEÑOR CANCELARA MONTO DE 1500 SOLES EL DIA DE HOY </t>
  </si>
  <si>
    <t xml:space="preserve">Sustento de pago PPC - Dinero en Mano / HORARIO DE PAGO: Tarde / NOTA: SEÑOR CANCELARA MONTO DE 800 SOLES EL DIA DE HOY A LAS 6 PM HORA MAXIMA </t>
  </si>
  <si>
    <t>Sustento de pago PPC - Dinero en Mano / HORARIO DE PAGO: Tarde / NOTA: señor indica que hara adelnto de 300 soles el dia de hoy en la oficina de caja trujillo y diferencia hasta el dia 28 de agosto quiere info en whatsapp y documento</t>
  </si>
  <si>
    <t xml:space="preserve">Sustento de pago PPC - Dinero en Mano / HORARIO DE PAGO: Tarde / NOTA: señor quiere regularizar monto de 500 soles y cancelar su deuda totalmente </t>
  </si>
  <si>
    <t xml:space="preserve">Sustento de pago PPC - Dinero en Mano / HORARIO DE PAGO: Tarde / NOTA: señor regularizA monto de 1000 soles el dia de hoy cancelara </t>
  </si>
  <si>
    <t xml:space="preserve">Sustento de pago PPC - Dinero en Mano / HORARIO DE PAGO: Tarde / NOTA: señor regularizara su deuda con 120 soles para poder cancelar </t>
  </si>
  <si>
    <t xml:space="preserve">Sustento de pago PPC - Dinero en Mano / HORARIO DE PAGO: Tarde / NOTA: SEÑOR RESPONSABLE DE DEUDA VA A CANCELAR CON EL MONTO DE 800 SOLES YA CUENTA CON EL DINERO EN MANO Y DESEA CANCELAR LA DEUDA TOTAL </t>
  </si>
  <si>
    <t xml:space="preserve">Sustento de pago PPC - Dinero en Mano / HORARIO DE PAGO: Tarde / NOTA: señora cancelara deuda bajo el monto de 250 </t>
  </si>
  <si>
    <t>Sustento de pago PPC - Dinero en Mano / HORARIO DE PAGO: Tarde / NOTA: señora cancelara pago de 3000 soles con seguridad ira a pficina</t>
  </si>
  <si>
    <t>Sustento de pago PPC - Dinero en Mano / HORARIO DE PAGO: Tarde / NOTA: señora desea cancelar monto de 800 soles y cancelara por transferencia interbank</t>
  </si>
  <si>
    <t xml:space="preserve">Sustento de pago PPC - Dinero en Mano / HORARIO DE PAGO: Tarde / NOTA: SEÑORA HARA EL PAGO DE 500 SOLES EL DIA DE HOY CONFIRMA Y SE ACERCARA A OFICINA DE LOS ANDES PARA CANCELAR </t>
  </si>
  <si>
    <t xml:space="preserve">Sustento de pago PPC - Dinero en Mano / HORARIO DE PAGO: Tarde / NOTA: señora hara el pago de 500 soles el dia lunes con seguridad no puede con menos y va a prestarse de manera segura </t>
  </si>
  <si>
    <t>Sustento de pago PPC - Dinero en Mano / HORARIO DE PAGO: Tarde / NOTA: SEÑORA QUIERE HACER REGULARIZACION EL DIA DE MAÑANA SI O SI 4/6/24´POR QUE ESTUVO VIAJANDO PREVIAMENTE</t>
  </si>
  <si>
    <t>Sustento de pago PPC - Dinero en Mano / HORARIO DE PAGO: Tarde / NOTA: Sr.Christhian aun esposo de titular emplea pago por la suma de S/20,000.00 soles para Hoy Lunes 09/06/2025 por el Banco BBVA .</t>
  </si>
  <si>
    <t xml:space="preserve">Sustento de pago PPC - Dinero en Mano / HORARIO DE PAGO: Tarde / NOTA: sra  diana y sr daniel iran a pagar a la misma oficjina de *caja arequipa*  </t>
  </si>
  <si>
    <t>Sustento de pago PPC - Dinero en Mano / HORARIO DE PAGO: Tarde / NOTA: Srta Cinthia pilar tito Vidal( esposa) encargada de realizar el pago DNI: 45379785   realizara pago de 10,000 soles el día 30/01-    realizara primer abono de 5000 soles hoy 19/01  y segundo abono de 5000 soles el día 30/01 , lo realizara en agencia BBVA.</t>
  </si>
  <si>
    <t>Sustento de pago PPC - Dinero en Mano / HORARIO DE PAGO: Tarde / NOTA: Supervisor brinda autorización para Acuerdo de pago por el importe de S/2700 para el día 16/05, tt menciona que realizará pago por APP BCP en el horario de 4pm a mas tardar, también indica que de ser posible lo realizaría antes.</t>
  </si>
  <si>
    <t xml:space="preserve">Sustento de pago PPC - Dinero en Mano / HORARIO DE PAGO: Tarde / NOTA: SUS HIJAS LO HARÁN DESDE EL APP </t>
  </si>
  <si>
    <t>Sustento de pago PPC - Dinero en Mano / HORARIO DE PAGO: Tarde / NOTA: Sustento de pago PPC - Dinero en Mano / HORARIO DE PAGO: Tarde / NOTA: Motivo de no cierre - Se eleva excepción / NOTA: MONTO TOTAL NEGOCIADO: SE NEGOCIA DT S/8,450.31 Y DK S/ 5,694.35CAMPAÑA S/3000MOTIVO DE NO PAGO:GASTos familiaresSUSTENTO DE PAGO: HABERESFECHA DE PAGO: 11-05-2026MONTO DE PROPUESTA: TT COMENTA QUE STUVI BASTANTE TIEMPO SIN TRABAJO POR ELLOS LE ACUSO MAS DEUDAS PROPONE 800 SE LE HIZO MEJORAR HASTA 1150 MAS NO PUEDE SE LE PIDE PISO A SUPER PERO NO LLEGO</t>
  </si>
  <si>
    <t>Sustento de pago PPC - Dinero en Mano / HORARIO DE PAGO: Tarde / NOTA: Sustento: AHORROS</t>
  </si>
  <si>
    <t xml:space="preserve">Motivo de no pago: CAIDA DE INGRESOS EN EL RESTAURANTE </t>
  </si>
  <si>
    <t>Fecha: 30-05</t>
  </si>
  <si>
    <t>Propuesta 18K</t>
  </si>
  <si>
    <t>Sustento de pago PPC - Dinero en Mano / HORARIO DE PAGO: Tarde / NOTA: TERDE 3PM</t>
  </si>
  <si>
    <t xml:space="preserve">Sustento de pago PPC - Dinero en Mano / HORARIO DE PAGO: Tarde / NOTA: TIR PAGA CON CAMPAÑA 320 </t>
  </si>
  <si>
    <t>Sustento de pago PPC - Dinero en Mano / HORARIO DE PAGO: Tarde / NOTA: tit cancela  hoy monto de 500  /  horario tarde alas 5pm</t>
  </si>
  <si>
    <t>Sustento de pago PPC - Dinero en Mano / HORARIO DE PAGO: Tarde / NOTA: Tit cancela deuda con S/1392 el día 26/08 en la agencia de Caja Trujillo.</t>
  </si>
  <si>
    <t xml:space="preserve">Sustento de pago PPC - Dinero en Mano / HORARIO DE PAGO: Tarde / NOTA: Tit cancela deuda con S/1500, adelanta S/200 hoy 16/06 y los S/1300 restantes los cancela el viernes 19/06 </t>
  </si>
  <si>
    <t xml:space="preserve">Sustento de pago PPC - Dinero en Mano / HORARIO DE PAGO: Tarde / NOTA: Tit cancela deuda S/300 hoy 01/06 en Caja los Andes, indica que en media hora estará realizando el pago </t>
  </si>
  <si>
    <t xml:space="preserve">Sustento de pago PPC - Dinero en Mano / HORARIO DE PAGO: Tarde / NOTA: tit confirma el pago de su ultima cuota para fdm monto 200 lo realizara en la tarde antes de las 8 igual se le indica que pague el 29 como maximo </t>
  </si>
  <si>
    <t>Sustento de pago PPC - Dinero en Mano / HORARIO DE PAGO: Tarde / NOTA: tit indica que el dia lunes cancela la deuda monto 650  paga en la tarde</t>
  </si>
  <si>
    <t>Sustento de pago PPC - Dinero en Mano / HORARIO DE PAGO: Tarde / NOTA: tit indica que mañana en la tarde realizara pago cancelara  con 180 la cuenta solicita metodo de pago por wassapp</t>
  </si>
  <si>
    <t xml:space="preserve">Sustento de pago PPC - Dinero en Mano / HORARIO DE PAGO: Tarde / NOTA: tit se acoge a excepción aprobada, cancela deuda hoy 04/06 con el monto de 500 soles por transferencia pago lo realizará aproximadamente dentro de 1 hora </t>
  </si>
  <si>
    <t>Sustento de pago PPC - Dinero en Mano / HORARIO DE PAGO: Tarde / NOTA: Tit se acoge a excepción aprobada, cancela deuda S/3.000, adelanta hoy 24/03 S/2.000 y el día 31/03 cancela la diferencia S/1.000, pago lo hará en el horario máximo hasta las 4pm</t>
  </si>
  <si>
    <t xml:space="preserve">Sustento de pago PPC - Dinero en Mano / HORARIO DE PAGO: Tarde / NOTA: tit se le confirma que se acepto excepcion pagara 100 hoy restante 400 se le da hasta fdm si tiene antes el monto la proxima semana lo pagaria en comunicacion </t>
  </si>
  <si>
    <t>Sustento de pago PPC - Dinero en Mano / HORARIO DE PAGO: Tarde / NOTA: titular  indica  que realizara  pago de 200 soles hoy 3.06 por  transferencia bcp  en forma inmediata a las cuenta corrientes autorizadas</t>
  </si>
  <si>
    <t xml:space="preserve">Sustento de pago PPC - Dinero en Mano / HORARIO DE PAGO: Tarde / NOTA: titular  realizara el pago de 1494 el día 28/05 con tarjeta de crédito BCP  En forma inmediata  se le envió el link de pago </t>
  </si>
  <si>
    <t>Sustento de pago PPC - Dinero en Mano / HORARIO DE PAGO: Tarde / NOTA: Titular  realizara el pago de 1602 el dia 20.05 en agencia bbva antes de la 1pm</t>
  </si>
  <si>
    <t>Sustento de pago PPC - Dinero en Mano / HORARIO DE PAGO: Tarde / NOTA: Titular  realizara pago de 2500 hoy 28/05 por Transferencia  Interbank  a la brevedad que reciba  la cuentas corrientes autorizadas y el acuerdo de compromiso de pago. se envió info de wasap de supervisor.</t>
  </si>
  <si>
    <t>Sustento de pago PPC - Dinero en Mano / HORARIO DE PAGO: Tarde / NOTA: TITULAR ABONA S/750</t>
  </si>
  <si>
    <t>Sustento de pago PPC - Dinero en Mano / HORARIO DE PAGO: Tarde / NOTA: Titular accede a cancelación por la suma de S/600 soles ,Hoy Martes 16/12/2025 de S/500.00 Soles por agencia Interbank y el Lunes 22/12/2025 de S/100 soles ,trabaja de manera independiente indica pero esta por reunir el restante ,se indica que el ultimo pago lo maneje antes de 12:00 pm.</t>
  </si>
  <si>
    <t>Sustento de pago PPC - Dinero en Mano / HORARIO DE PAGO: Tarde / NOTA: Titular accede a cancelación por S/220 soles para el 12/12/2025 .</t>
  </si>
  <si>
    <t>Sustento de pago PPC - Dinero en Mano / HORARIO DE PAGO: Tarde / NOTA: Titular accede a logar mejora Hoy Miercoles 09/04/2025 de S/6,000.00 soles y el restante de S/2,000.00 soles para el Miercoles 30/04/2025,monto de propuesta mejorada de S/8,000.00 soles.</t>
  </si>
  <si>
    <t>Sustento de pago PPC - Dinero en Mano / HORARIO DE PAGO: Tarde / NOTA: Titular cancela bajo importe aprobado, se envía datos de pago vía WhatsApp</t>
  </si>
  <si>
    <t>Sustento de pago PPC - Dinero en Mano / HORARIO DE PAGO: Tarde / NOTA: Titular cancela bajo propuesta aprobada, se envía compromiso de pago vía correo electrónico</t>
  </si>
  <si>
    <t>Sustento de pago PPC - Dinero en Mano / HORARIO DE PAGO: Tarde / NOTA: Titular cancela bajo propuesta aprobada, se envía compromiso de pago vía WhatsApp</t>
  </si>
  <si>
    <t>Sustento de pago PPC - Dinero en Mano / HORARIO DE PAGO: Tarde / NOTA: Titular cancela bajo propuesta aprobada, se envía compromiso vía correo y WhatsApp</t>
  </si>
  <si>
    <t>Sustento de pago PPC - Dinero en Mano / HORARIO DE PAGO: Tarde / NOTA: Titular cancela bajo propuesta aprobada, se envía compromiso vía WhatsApp</t>
  </si>
  <si>
    <t>Sustento de pago PPC - Dinero en Mano / HORARIO DE PAGO: Tarde / NOTA: Titular cancela bajo propuesta aprobada, se envía compromiso vía WhatsApp y correo</t>
  </si>
  <si>
    <t>Sustento de pago PPC - Dinero en Mano / HORARIO DE PAGO: Tarde / NOTA: Titular cancela bajo propuesta aprobada, se envía datos de pago vía WhatsApp</t>
  </si>
  <si>
    <t>Sustento de pago PPC - Dinero en Mano / HORARIO DE PAGO: Tarde / NOTA: Titular cancela con importe de S/4000 soles por transferencia el 17/02/2025.</t>
  </si>
  <si>
    <t xml:space="preserve">Sustento de pago PPC - Dinero en Mano / HORARIO DE PAGO: Tarde / NOTA: TITULAR CANCELARIA BAJO EL IMPORTE DE 7MIL DEPOSITOS LOS ESTARIA REALIZANDO EN PARTES YA QUE SOLO TIENE FUNCIONAMIENTO UN AGENTE EN SU ZONA </t>
  </si>
  <si>
    <t xml:space="preserve">Sustento de pago PPC - Dinero en Mano / HORARIO DE PAGO: Tarde / NOTA: Titular cancelo con el importe de 600 soles. </t>
  </si>
  <si>
    <t>Sustento de pago PPC - Dinero en Mano / HORARIO DE PAGO: Tarde / NOTA: TITULAR CONFIRMA EL PAGO DE S/850 A LAS 5:30PM</t>
  </si>
  <si>
    <t xml:space="preserve">Sustento de pago PPC - Dinero en Mano / HORARIO DE PAGO: Tarde / NOTA: TITULAR CONFIRMA PAGO  DE S/570 SOLES PARA EL DIA DE HOY 12/05/25 </t>
  </si>
  <si>
    <t xml:space="preserve">Sustento de pago PPC - Dinero en Mano / HORARIO DE PAGO: Tarde / NOTA: TITULAR CONFIRMA PAGO DE 115 SOLES PARA EL DIA DE HOY </t>
  </si>
  <si>
    <t>Sustento de pago PPC - Dinero en Mano / HORARIO DE PAGO: Tarde / NOTA: TITULAR CONFIRMA PAGO DE DEUDA CON IMPORTE DE S/460 PARA EL DIA DE HOY</t>
  </si>
  <si>
    <t xml:space="preserve">Sustento de pago PPC - Dinero en Mano / HORARIO DE PAGO: Tarde / NOTA: TITULAR CONFIRMA PAGO POR S/1300 ULTIMA CUOTA PARA EL DIA 15 DE AGOSTO. </t>
  </si>
  <si>
    <t xml:space="preserve">Sustento de pago PPC - Dinero en Mano / HORARIO DE PAGO: Tarde / NOTA: TITULAR CONFIRMA QUE EL DIA DE HOY ESTARA REGULARIZANDO LA DEUDA CON EL ULTIMO PAGO DE S/205 SOLES </t>
  </si>
  <si>
    <t xml:space="preserve">Sustento de pago PPC - Dinero en Mano / HORARIO DE PAGO: Tarde / NOTA: TITULAR CONFIRMA QUE HOY PAGARA 1000 SOLES COMO ADELANTO Y COMPLETARA 1500 EL DIA 31/05 </t>
  </si>
  <si>
    <t>IMPORTE TOTAL: S/2500</t>
  </si>
  <si>
    <t xml:space="preserve">PAGO LO VA REALIZAR POR AGENCIA DEL BCP </t>
  </si>
  <si>
    <t>Sustento de pago PPC - Dinero en Mano / HORARIO DE PAGO: Tarde / NOTA: TITULAR CONFIRMA QUE PAGARA S/2800 PARA COMPLETAR LOS S/3000 ANTERIOR.</t>
  </si>
  <si>
    <t xml:space="preserve">LO VA REALIZAR MEDIANTE TRANSFERENCIA BCP DESPUES DE SALIR DE CONSULTA IRA AL BANCO. </t>
  </si>
  <si>
    <t xml:space="preserve">FECHA DE PAGO 27/12/24 </t>
  </si>
  <si>
    <t>Sustento de pago PPC - Dinero en Mano / HORARIO DE PAGO: Tarde / NOTA: Titular dejo de asumir deuda por que se separo con esposa hace 1 y medio y lo dejo con deudas por el cual el préstamo fue para el pago hipotecario de su casa, por el cual menciona que el manejo lo estaría haciendo de la siguiente manera , Hoy Lunes 20/04/2026 adelanto de S/1,000.00 soles y el restante para el Jueves 30/04/2026 de S/6,000.00 soles , por el cual se indico capital de S/12,656.21 soles, campaña de 9k de enero , nos menciona que el podria 7k el 15 de mayo , por el cual se menciona que el importe sea accesible pero dentro del mes de Abril pero contando hoy con adelanto mínimo del 50% o S/1,500 soles , por el cual lo analiza y accede con 1k , pagos antes de 1:00 pm se indica, el restante indica el vera como lo reúne para cancelar deuda.</t>
  </si>
  <si>
    <t>Sustento de pago PPC - Dinero en Mano / HORARIO DE PAGO: Tarde / NOTA: Titular emplea el pago por la suma de S/6,000.00 soles por cuenta interbank, enviado en el documento Hoy Lunes 24/03/2025 .</t>
  </si>
  <si>
    <t>Sustento de pago PPC - Dinero en Mano / HORARIO DE PAGO: Tarde / NOTA: Titular emplea pago de S/5,600 soles por app Interbank ,Hoy Jueves 18/06/2026.</t>
  </si>
  <si>
    <t>Sustento de pago PPC - Dinero en Mano / HORARIO DE PAGO: Tarde / NOTA: Titular emplea pago de S/550 soles por agencia IBK ,para Hoy Miercoles 13/05/2026.</t>
  </si>
  <si>
    <t>Sustento de pago PPC - Dinero en Mano / HORARIO DE PAGO: Tarde / NOTA: Titular emplea pago en 2 fechas Hoy Miércoles 25/03/2026 de S/5,000.00 soles y el restante el Lunes 30/03/2026 por S/5,000.00 soles (Totalidad de S/10,000.00 soles) por agencia BCP.</t>
  </si>
  <si>
    <t>Sustento de pago PPC - Dinero en Mano / HORARIO DE PAGO: Tarde / NOTA: Titular emplea pago por el importe de S/1,000 soles por hoy 06/05/2026 por transferencia.</t>
  </si>
  <si>
    <t>Sustento de pago PPC - Dinero en Mano / HORARIO DE PAGO: Tarde / NOTA: Titular emplea su pago por la suma de S/1,525.00soles por su APP BCP.</t>
  </si>
  <si>
    <t>Sustento de pago PPC - Dinero en Mano / HORARIO DE PAGO: Tarde / NOTA: Titular indica que hara el pago de 250 el dia  12.06   por aplicativo BCP  se le enviara cuenta corrientes de BCP  Haria el pago entre 05 a 06pm</t>
  </si>
  <si>
    <t>Sustento de pago PPC - Dinero en Mano / HORARIO DE PAGO: Tarde / NOTA: titular indica que realizar el pago de 500 soles  el día  24/02 en caja Trujillo</t>
  </si>
  <si>
    <t>Sustento de pago PPC - Dinero en Mano / HORARIO DE PAGO: Tarde / NOTA: titular indica que realizara el pago  600 soles  hoy 19/06  por yape  ,  antes del mediodía ,   pero si es por yape de forma inmediata anteriormente no realizo el pago  por que su pdf no abria el documento que se le enviaba</t>
  </si>
  <si>
    <t>Sustento de pago PPC - Dinero en Mano / HORARIO DE PAGO: Tarde / NOTA: Titular paga a cuenta BCP.</t>
  </si>
  <si>
    <t>Sustento de pago PPC - Dinero en Mano / HORARIO DE PAGO: Tarde / NOTA: Titular paga bajo propuesta aprobada, se envía compromiso vía WhatsApp.</t>
  </si>
  <si>
    <t>Sustento de pago PPC - Dinero en Mano / HORARIO DE PAGO: Tarde / NOTA: Titular realiza adelanto de S/200 hoy 20/03/2026 por App BCP, realizará pago restante de S/800 el 31/03/2026</t>
  </si>
  <si>
    <t>Sustento de pago PPC - Dinero en Mano / HORARIO DE PAGO: Tarde / NOTA: Titular realiza el pago de S/4,000.00 soles ,donde el manejo para Hoy Lunes 19/01/2026 de S/3,000.00 soles y el restante para el Viernes 30/01 de S/500 soles ,pago lo hara por app BCP.</t>
  </si>
  <si>
    <t>Sustento de pago PPC - Dinero en Mano / HORARIO DE PAGO: Tarde / NOTA: Titular realiza pago correspondiente por el importe de S/210 soles por app interbank para Hoy Martes 05/05/2026.</t>
  </si>
  <si>
    <t>Sustento de pago PPC - Dinero en Mano / HORARIO DE PAGO: Tarde / NOTA: Titular realiza pago de S/1,000 soles para Hoy Martes 12/05/2026 por app bbva.</t>
  </si>
  <si>
    <t>Sustento de pago PPC - Dinero en Mano / HORARIO DE PAGO: Tarde / NOTA: Titular realiza pago de S/1,000.00 soles por app BCP ,Hoy Viernes 18/07/2025 .</t>
  </si>
  <si>
    <t>Sustento de pago PPC - Dinero en Mano / HORARIO DE PAGO: Tarde / NOTA: Titular realiza pago de S/2,500 soles por el Banco BBVA por la tardes .</t>
  </si>
  <si>
    <t>Sustento de pago PPC - Dinero en Mano / HORARIO DE PAGO: Tarde / NOTA: Titular realiza pago de S/3,500 soles por banco BCP.</t>
  </si>
  <si>
    <t>Sustento de pago PPC - Dinero en Mano / HORARIO DE PAGO: Tarde / NOTA: Titular realizar el adelanto de pago de S/6,000.00 soles por app bcp o banco directo Hoy Miercoles 21/01/2026  y el restante de S/3,000.00 soles para el Jueves 22/01/2026 ,monto de cancelacion por S/9,000.00 soles .</t>
  </si>
  <si>
    <t>Sustento de pago PPC - Dinero en Mano / HORARIO DE PAGO: Tarde / NOTA: TITULAR realizara pago de 1602 el día 13.05 en  por transferencia  BCP , En forma inmediata</t>
  </si>
  <si>
    <t>Sustento de pago PPC - Dinero en Mano / HORARIO DE PAGO: Tarde / NOTA: Titular realizara pago de 2000 soles el día 18/05   por transferencia BBVA   A primera hora del dia</t>
  </si>
  <si>
    <t>Sustento de pago PPC - Dinero en Mano / HORARIO DE PAGO: Tarde / NOTA: Titular realizara pago de S/10,000.00 soles por app BCP .</t>
  </si>
  <si>
    <t xml:space="preserve">Sustento de pago PPC - Dinero en Mano / HORARIO DE PAGO: Tarde / NOTA: TITULAR REALIZARA PAGO DE S/1500 EL DIA DE HOY POR APP BCP </t>
  </si>
  <si>
    <t>Sustento de pago PPC - Dinero en Mano / HORARIO DE PAGO: Tarde / NOTA: titular realizara pago de ultima cuota conenio monto de 351 el dia 09/06 a las cuenta corrientes autorizadas</t>
  </si>
  <si>
    <t>Sustento de pago PPC - Dinero en Mano / HORARIO DE PAGO: Tarde / NOTA: Titular responde wsp, indicando hasta cuanto podríamos ayudarle con un reajuste de por medio, se consulta cual seria su propuesta indica que dispone de 2500 soles, es lo unico que tiene reunido, de ser aceptado genera el pago el dia de hoy.</t>
  </si>
  <si>
    <t>Sustento de pago PPC - Dinero en Mano / HORARIO DE PAGO: Tarde / NOTA: Titular se acoge a campaña de 250 soles.</t>
  </si>
  <si>
    <t>Sustento de pago PPC - Dinero en Mano / HORARIO DE PAGO: Tarde / NOTA: Titular se acoge a campaña de 800 soles</t>
  </si>
  <si>
    <t>Sustento de pago PPC - Dinero en Mano / HORARIO DE PAGO: Tarde / NOTA: titular se acoge a campaña de cancelación por 500 soles</t>
  </si>
  <si>
    <t>Sustento de pago PPC - Dinero en Mano / HORARIO DE PAGO: Tarde / NOTA: Titular se acoge a campaña de cancelacion por 5mil soles</t>
  </si>
  <si>
    <t>Sustento de pago PPC - Dinero en Mano / HORARIO DE PAGO: Tarde / NOTA: titular se acoge a excepcion aprobada de 3mil soles.</t>
  </si>
  <si>
    <t>Sustento de pago PPC - Dinero en Mano / HORARIO DE PAGO: Tarde / NOTA: titular se compromete en pagar 500 soles va pagar por adelantado hoy 300.00 soles y el sabado 31/05 200.00 soles</t>
  </si>
  <si>
    <t>Sustento de pago PPC - Dinero en Mano / HORARIO DE PAGO: Tarde / NOTA: TODO LO CONVERSADO CON EL CLIENTE Se informa dt 261.62, dk 170.79, can con 150, se explica transferencia y proceso de pago, que se aproximar a oficina, se deriva con área de gerencia , plan de 2 pm , se aproxima a banco, pide se envíe documento de transferencia y número sbs, dejó de pagar porque tarjeta lo uso su hija, ahora ella se está haciendo responsable .</t>
  </si>
  <si>
    <t>MOTIVO DE NO PAGO  tercero</t>
  </si>
  <si>
    <t>SUSTENTO DE PAGO   ahorros</t>
  </si>
  <si>
    <t>MONTO DE PROPUESTA 150</t>
  </si>
  <si>
    <t>FECHA DE PGO   06/05</t>
  </si>
  <si>
    <t>Sustento de pago PPC - Dinero en Mano / HORARIO DE PAGO: Tarde / NOTA: TODO LO CONVERSADO CON EL CLIENTE Se informa dt 474.78, dk 307, can con 300 soles, pide se le envíe cuentas para realizar el pago por yape realizará el pago antes que se le vaya la señal, dejó de realizar los pagos, ya que viajo de arequipa a Ayacucho en zona sin bancos ni agentes Interbank, ya no radica en esa zona</t>
  </si>
  <si>
    <t>MOTIVO DE NO PAGO   viaje</t>
  </si>
  <si>
    <t>SUSTENTO DE PAGO     ahorro</t>
  </si>
  <si>
    <t>MONTO DE PROPUESTA  300</t>
  </si>
  <si>
    <t>FECHA DE PGO  27/05</t>
  </si>
  <si>
    <t>Sustento de pago PPC - Dinero en Mano / HORARIO DE PAGO: Tarde / NOTA: tt   Realizara pago de 550 soles hoy 15/06   en el rango de horario de 03 a 04pm en un agentes bcp  motivo de no pago fue que prestamo fue  para su padre  que no pudo realizar el pago , pagara en un agente bcp</t>
  </si>
  <si>
    <t>Sustento de pago PPC - Dinero en Mano / HORARIO DE PAGO: Tarde / NOTA: TT  CAMP 4800 INDICA  QUE  MAÑANA  SE HABILITARAN UN PRESTAMO Y PODRA  PAGARLO A MAS TARDAR EL DIA JUEVES 4800 PARA LIQUIDAR  SU DEUDA ESTA EN UN LUGAR A MEDIO DIA DE UN CENTRO DE PAGO POSIBLEMENTE SEA EN A BANCO E LA NACION</t>
  </si>
  <si>
    <t>Sustento de pago PPC - Dinero en Mano / HORARIO DE PAGO: Tarde / NOTA: TT  CANCELA HOY 05.05</t>
  </si>
  <si>
    <t>Sustento de pago PPC - Dinero en Mano / HORARIO DE PAGO: Tarde / NOTA: tt  cancelara  deuda  con s/1220 adelanta mañana s/100 y el dia 31 de MAYO  CANCELARA CON S/1120</t>
  </si>
  <si>
    <t>Sustento de pago PPC - Dinero en Mano / HORARIO DE PAGO: Tarde / NOTA: tt  dejo de pagar por que tuvo problemas con la financiera , a la fecha no esta trabajando durante todo este  años ,tiene gastos con su hijos, pide que se le apoye pagar con *175* es lo único que tiene ,por que justamente se le viene los gastos de finde les con sus hijos , se le pide mejora pero insiste que es imposible  ,se le brinda información de su deuda total y capital , tt indica que le genera desconfianza ,se enviara carta de notificación paga hoy  vi bcp .</t>
  </si>
  <si>
    <t>Sustento de pago PPC - Dinero en Mano / HORARIO DE PAGO: Tarde / NOTA: TT  envia foto del voucher IBK</t>
  </si>
  <si>
    <t>Sustento de pago PPC - Dinero en Mano / HORARIO DE PAGO: Tarde / NOTA: tt  indica  que pagara 10mil el dia  martes ya que le daran un prestamo. oh quizas el dia lunes nos avisara  pero para no quedar mal  menciona el martes con seguridad.clte con intension de pago</t>
  </si>
  <si>
    <t xml:space="preserve">Sustento de pago PPC - Dinero en Mano / HORARIO DE PAGO: Tarde / NOTA: tt  indida  que es transportista y que el 15 es su dia libre y podra  ´pagar los 800 </t>
  </si>
  <si>
    <t xml:space="preserve">Sustento de pago PPC - Dinero en Mano / HORARIO DE PAGO: Tarde / NOTA: tt  menciona  que pagara  la campaña  enviada  por  wsp s/286.50 mañana 15  abona s/150 15-08 y el 29/08 s/136.5 </t>
  </si>
  <si>
    <t>Sustento de pago PPC - Dinero en Mano / HORARIO DE PAGO: Tarde / NOTA: tt  menciona que en estos dias  pasado mañana  recibe un dinero pero con seguridad el viernes 10  abonara 500 y fines de mes abonara  la diferencia de 1200</t>
  </si>
  <si>
    <t>Sustento de pago PPC - Dinero en Mano / HORARIO DE PAGO: Tarde / NOTA: tt  realizara pago de 800 soles el día 15/05 por agencia interbank</t>
  </si>
  <si>
    <t>Sustento de pago PPC - Dinero en Mano / HORARIO DE PAGO: Tarde / NOTA: tt  se le brinda  campaña de s/2800 indica  que el proximo  jueves se le pide adelanto  para mañana 200 y diferencia el proximo  jueves 10 2600</t>
  </si>
  <si>
    <t>Sustento de pago PPC - Dinero en Mano / HORARIO DE PAGO: Tarde / NOTA: tt  se le envia compromiso de pago hoy adelantara 1500   via correo y wsp ira a un cajero para hacer el pago</t>
  </si>
  <si>
    <t xml:space="preserve">Sustento de pago PPC - Dinero en Mano / HORARIO DE PAGO: Tarde / NOTA: tt abona hoy 100 y resto el lunes informa </t>
  </si>
  <si>
    <t>Sustento de pago PPC - Dinero en Mano / HORARIO DE PAGO: Tarde / NOTA: TT ABONARA  HOY 250 Y  EL 31 JULIO 250  PARA LA CANCELACION DE  SU DEUDA</t>
  </si>
  <si>
    <t xml:space="preserve">Sustento de pago PPC - Dinero en Mano / HORARIO DE PAGO: Tarde / NOTA: TT ABONARÁ EL VIERNES 7 IMPORTE DE 200 Y EL VIERNES 14 IMPORTE DE 100 </t>
  </si>
  <si>
    <t>Sustento de pago PPC - Dinero en Mano / HORARIO DE PAGO: Tarde / NOTA: tt abonara hoy adelanto de S/700.00 Y  300 HASTA FIN DE MES SE LE ENVIA COMPROMISO DE PAGO PAGO LO HARA POR  transferencia</t>
  </si>
  <si>
    <t>Sustento de pago PPC - Dinero en Mano / HORARIO DE PAGO: Tarde / NOTA: TT ABONARA LOS 500  POR LA TARDE  PARA LA CANCELACION DE SU DEUDA.</t>
  </si>
  <si>
    <t xml:space="preserve">Sustento de pago PPC - Dinero en Mano / HORARIO DE PAGO: Tarde / NOTA: tt abono 4500 soles ayer 21.8 y el sabado 23.08 abonara la diferencia </t>
  </si>
  <si>
    <t xml:space="preserve">Sustento de pago PPC - Dinero en Mano / HORARIO DE PAGO: Tarde / NOTA: TT ABONÓ EL 28-06 IMPORTE DE 50 Y PAGARÁ EL 15 DE JULIO IMPORTE DE 500 </t>
  </si>
  <si>
    <t>Sustento de pago PPC - Dinero en Mano / HORARIO DE PAGO: Tarde / NOTA: TT accede a cancelación de deuda por el DT, por el importe de S/2264, cancelará mañana 11/10, desde agencia BBVA, se le brinda carta de notificación.</t>
  </si>
  <si>
    <t>Sustento de pago PPC - Dinero en Mano / HORARIO DE PAGO: Tarde / NOTA: TT accede a cancelación total de la deuda bajo el importe de MIN1 7.6k, se le ofrece DT, DK.Realizará abono el 31/12 ya que en esa fecha recibe bonificación y sueldo.</t>
  </si>
  <si>
    <t>Sustento de pago PPC - Dinero en Mano / HORARIO DE PAGO: Tarde / NOTA: TT ACEPTA LA CAMPAÑA DE S/750 PARA MAÑANA CON ADELANTO HOY DE S/100</t>
  </si>
  <si>
    <t xml:space="preserve">Sustento de pago PPC - Dinero en Mano / HORARIO DE PAGO: Tarde / NOTA: TT ADELANTA EL 50% AHORA Y A FDM 50% RESTANTE </t>
  </si>
  <si>
    <t>Sustento de pago PPC - Dinero en Mano / HORARIO DE PAGO: Tarde / NOTA: TT adelantará el día de hoy S/2,500.00 y el día 31 cancelará la diferencia.</t>
  </si>
  <si>
    <t xml:space="preserve">Sustento de pago PPC - Dinero en Mano / HORARIO DE PAGO: Tarde / NOTA: tt adjunta  foto del voucher  monto de 200 soles  , la diferencia de 450 lo realiza ultimo dia habil del mes </t>
  </si>
  <si>
    <t>Sustento de pago PPC - Dinero en Mano / HORARIO DE PAGO: Tarde / NOTA: TT ASEGURA EL PAGO CON  939 AL 31/10 COBRA</t>
  </si>
  <si>
    <t xml:space="preserve">Sustento de pago PPC - Dinero en Mano / HORARIO DE PAGO: Tarde / NOTA: tt campaña s/350  pagara en 2 cuotas mañana s/150 y fin de mes s/200 </t>
  </si>
  <si>
    <t>Sustento de pago PPC - Dinero en Mano / HORARIO DE PAGO: Tarde / NOTA: TT CAN 445</t>
  </si>
  <si>
    <t xml:space="preserve">Sustento de pago PPC - Dinero en Mano / HORARIO DE PAGO: Tarde / NOTA: tt cancela 1000 propuesta de liquidacion </t>
  </si>
  <si>
    <t xml:space="preserve">Sustento de pago PPC - Dinero en Mano / HORARIO DE PAGO: Tarde / NOTA: TT CANCELA 2400 HOY  POR IBK </t>
  </si>
  <si>
    <t>Sustento de pago PPC - Dinero en Mano / HORARIO DE PAGO: Tarde / NOTA: tt cancela 3000 importe autorizado por excepción.</t>
  </si>
  <si>
    <t xml:space="preserve">Sustento de pago PPC - Dinero en Mano / HORARIO DE PAGO: Tarde / NOTA: TT CANCELA 350 </t>
  </si>
  <si>
    <t xml:space="preserve">Sustento de pago PPC - Dinero en Mano / HORARIO DE PAGO: Tarde / NOTA: TT CANCELA 4500 HOY POR BCP </t>
  </si>
  <si>
    <t>Sustento de pago PPC - Dinero en Mano / HORARIO DE PAGO: Tarde / NOTA: tt cancela 8000 hoy por ibk</t>
  </si>
  <si>
    <t xml:space="preserve">Sustento de pago PPC - Dinero en Mano / HORARIO DE PAGO: Tarde / NOTA: TT cancela campaña de S/127, se envia mensaje wsp </t>
  </si>
  <si>
    <t xml:space="preserve">Sustento de pago PPC - Dinero en Mano / HORARIO DE PAGO: Tarde / NOTA: TT CANCELA CON  LOS 300 SOLES HOY </t>
  </si>
  <si>
    <t xml:space="preserve">Sustento de pago PPC - Dinero en Mano / HORARIO DE PAGO: Tarde / NOTA: TT CANCELA CON 2500 HOY </t>
  </si>
  <si>
    <t xml:space="preserve">Sustento de pago PPC - Dinero en Mano / HORARIO DE PAGO: Tarde / NOTA: tt cancela con 2500 soles </t>
  </si>
  <si>
    <t xml:space="preserve">Sustento de pago PPC - Dinero en Mano / HORARIO DE PAGO: Tarde / NOTA: TT CANCELA CON 2600 HOY  POR TRANSFERENCIA </t>
  </si>
  <si>
    <t xml:space="preserve">Sustento de pago PPC - Dinero en Mano / HORARIO DE PAGO: Tarde / NOTA: TT CANCELA CON 550   </t>
  </si>
  <si>
    <t xml:space="preserve">Sustento de pago PPC - Dinero en Mano / HORARIO DE PAGO: Tarde / NOTA: TT CANCELA CON 5500 HOY POR BANCO BBVA </t>
  </si>
  <si>
    <t xml:space="preserve">Sustento de pago PPC - Dinero en Mano / HORARIO DE PAGO: Tarde / NOTA: TT CANCELA CON 5MIL PARA EL DIA 25 DE JULIO, SI TIENE ANTES MUCHO MEJOR, SE HACE SEGUIMIENTO </t>
  </si>
  <si>
    <t>Sustento de pago PPC - Dinero en Mano / HORARIO DE PAGO: Tarde / NOTA: TT CANCELA CON 6200 POR BCP</t>
  </si>
  <si>
    <t>Sustento de pago PPC - Dinero en Mano / HORARIO DE PAGO: Tarde / NOTA: TT cancela con el importe de 1000 soles, pagara via transferencia bancaria.</t>
  </si>
  <si>
    <t xml:space="preserve">Sustento de pago PPC - Dinero en Mano / HORARIO DE PAGO: Tarde / NOTA: TT cancela con el importe de 10k , aprobado por gerencia </t>
  </si>
  <si>
    <t xml:space="preserve">Sustento de pago PPC - Dinero en Mano / HORARIO DE PAGO: Tarde / NOTA: TT CANCELA CON EL IMPORTE DE 6MIL, PAGO EL DIA 07/03 . </t>
  </si>
  <si>
    <t>Sustento de pago PPC - Dinero en Mano / HORARIO DE PAGO: Tarde / NOTA: tt cancela con S/4500 - S/2250 hoy 02/12  y  S/2250 11/12</t>
  </si>
  <si>
    <t>Sustento de pago PPC - Dinero en Mano / HORARIO DE PAGO: Tarde / NOTA: tt cancela deuda con exepcion aprobada 900 soles</t>
  </si>
  <si>
    <t xml:space="preserve">Sustento de pago PPC - Dinero en Mano / HORARIO DE PAGO: Tarde / NOTA: TT CANCELA HOY 3500 </t>
  </si>
  <si>
    <t>Sustento de pago PPC - Dinero en Mano / HORARIO DE PAGO: Tarde / NOTA: TT CANCELA HOY 550 ENL OS ANDES CERRO DE PASCO ALAS 4PM</t>
  </si>
  <si>
    <t>Sustento de pago PPC - Dinero en Mano / HORARIO DE PAGO: Tarde / NOTA: tt cancela hoy con 1K</t>
  </si>
  <si>
    <t>Sustento de pago PPC - Dinero en Mano / HORARIO DE PAGO: Tarde / NOTA: tt cancela hoy la deuda con 5k</t>
  </si>
  <si>
    <t>Sustento de pago PPC - Dinero en Mano / HORARIO DE PAGO: Tarde / NOTA: tt cancela hoy via BCP</t>
  </si>
  <si>
    <t>Sustento de pago PPC - Dinero en Mano / HORARIO DE PAGO: Tarde / NOTA: tt cancela por app BCP, se envía datos vía wsp</t>
  </si>
  <si>
    <t xml:space="preserve">Sustento de pago PPC - Dinero en Mano / HORARIO DE PAGO: Tarde / NOTA: TT CANCELA S/. 4,002.00 </t>
  </si>
  <si>
    <t xml:space="preserve">Sustento de pago PPC - Dinero en Mano / HORARIO DE PAGO: Tarde / NOTA: TT CANCELA S/1200, POR EL BANCO DE LA NACION. </t>
  </si>
  <si>
    <t>DT:18,301.04 - DK:7,413.25</t>
  </si>
  <si>
    <t>Sustento de pago PPC - Dinero en Mano / HORARIO DE PAGO: Tarde / NOTA: TT cancela S/2000 el día 15/05 PAGA EN CAJA TRUJILLO O BCP /// INDICA QUE EL CREDITO LO SACO SU HIJO Y LO VA AYUDAR</t>
  </si>
  <si>
    <t xml:space="preserve">Sustento de pago PPC - Dinero en Mano / HORARIO DE PAGO: Tarde / NOTA: TT cancela S/9000 // S/2500 EL DIA 15/08 Y S/7000 EL DIA 25/08 POR BCP </t>
  </si>
  <si>
    <t>Sustento de pago PPC - Dinero en Mano / HORARIO DE PAGO: Tarde / NOTA: tt cancela su deuda con 857</t>
  </si>
  <si>
    <t xml:space="preserve">Sustento de pago PPC - Dinero en Mano / HORARIO DE PAGO: Tarde / NOTA: TT CANCELARA CON 400 </t>
  </si>
  <si>
    <t>Sustento de pago PPC - Dinero en Mano / HORARIO DE PAGO: Tarde / NOTA: tt cancelara con 700 soles el 01/06</t>
  </si>
  <si>
    <t xml:space="preserve">Sustento de pago PPC - Dinero en Mano / HORARIO DE PAGO: Tarde / NOTA: tt cancelara con 750 soles </t>
  </si>
  <si>
    <t>Sustento de pago PPC - Dinero en Mano / HORARIO DE PAGO: Tarde / NOTA: TT CANCELARA CON EL IMORTE DE S/2460.00, PERO ADELANTO AYER EL MONTO DE S/1600.00 QUE LO HIZO POR TRANSFERENCIA, EL RESTANTE DE S/860.00 PAGARA EL DIA 30/05.</t>
  </si>
  <si>
    <t>Sustento de pago PPC - Dinero en Mano / HORARIO DE PAGO: Tarde / NOTA: TT CANCELARA CON EL IMPORTE DE S/800.00 EL DINERO LO TIENE EN EFECTIVO, LO CANCELARA POR UN AGENTE A LAS 2:00 PM-3:00 PM</t>
  </si>
  <si>
    <t>Sustento de pago PPC - Dinero en Mano / HORARIO DE PAGO: Tarde / NOTA: TT CANCELARA CON EL MONTO DE LOS S/1000.00 EN EL MISMO BANCO INTERBANK.</t>
  </si>
  <si>
    <t>Sustento de pago PPC - Dinero en Mano / HORARIO DE PAGO: Tarde / NOTA: TT CANCELARA CON EL MONTO DE S/4,000.00 HOY POR TRANSFERENCIA.</t>
  </si>
  <si>
    <t>Sustento de pago PPC - Dinero en Mano / HORARIO DE PAGO: Tarde / NOTA: TT CANCELARA CON EL PISO DE SUPERVISOR, CON EL MONTO DE S/1500.00 HACIENDO UN ADELANTO DE S/750.00 MAÑANA 4/06 PAGANDO EN EL MISMO BANCO A LAS 1-2PM Y EL RESTANTE A FIN DE MES 30/06</t>
  </si>
  <si>
    <t>Sustento de pago PPC - Dinero en Mano / HORARIO DE PAGO: Tarde / NOTA: TT CANCELARA DEUDA CON S/. 180 // FECHA 05/08 // REALIZARA PAGO EN OFICINA LOS ANDES SEDE PUQUIO-AYACUCHO // TT YA CUENTA CON EL DINERO EN MANO PERO MENCIONA SE ENCUENTRA EN MINA TRABAJANDO.</t>
  </si>
  <si>
    <t>Sustento de pago PPC - Dinero en Mano / HORARIO DE PAGO: Tarde / NOTA: tt cancelara dt. con 500 soles excepcion aprobada</t>
  </si>
  <si>
    <t>Sustento de pago PPC - Dinero en Mano / HORARIO DE PAGO: Tarde / NOTA: tt cancelara el dia 29 por medio de cuenta BCP , sin embargo de contar con el dinero antes lo realizara - cancelacion 2000</t>
  </si>
  <si>
    <t>Sustento de pago PPC - Dinero en Mano / HORARIO DE PAGO: Tarde / NOTA: TT CANCELARA EL DIA DE HOY CON EL MONTO DE LOS S/300.00 PORUN AGENTE.</t>
  </si>
  <si>
    <t>Sustento de pago PPC - Dinero en Mano / HORARIO DE PAGO: Tarde / NOTA: TT CANCELARA EL IMPORTE DE S/950.00 MAÑANA 28/04 O EL DIA DE HOY A LAS 7:00PM, SI LO PAGA HOY SERA POR TRANSFERENCIA O MAÑANA DIRECTAMENTE DEL BANCO.</t>
  </si>
  <si>
    <t>Sustento de pago PPC - Dinero en Mano / HORARIO DE PAGO: Tarde / NOTA: TT CANCELARA EL MONTO DE S/1,000.00 POR EL MISMO BANCO INTERBANK A LAS 5 DE LA TARDE.</t>
  </si>
  <si>
    <t>Sustento de pago PPC - Dinero en Mano / HORARIO DE PAGO: Tarde / NOTA: TT CANCELARA EL MONTO DE S/2800.00 POR TRANSFERENCIA EL DIA DE HOY 10/06</t>
  </si>
  <si>
    <t>Sustento de pago PPC - Dinero en Mano / HORARIO DE PAGO: Tarde / NOTA: TT cancelará excepción aprobada por S/1,500 el 20.04.2026, se enviará información de cuenta al WhatsApp.</t>
  </si>
  <si>
    <t>Sustento de pago PPC - Dinero en Mano / HORARIO DE PAGO: Tarde / NOTA: TT cancelará excepción aprobada por S/100 el 08.05; se enviará información de cuenta al WhatsApp.</t>
  </si>
  <si>
    <t>Sustento de pago PPC - Dinero en Mano / HORARIO DE PAGO: Tarde / NOTA: TT cancelará excepción aprobada por S/150.00 el 15.06, se enviará información de cuenta al WhatsApp.</t>
  </si>
  <si>
    <t>Sustento de pago PPC - Dinero en Mano / HORARIO DE PAGO: Tarde / NOTA: TT cancelará excepción aprobada por S/160.00; el 20.05 se enviará información de cuenta al WhatsApp.</t>
  </si>
  <si>
    <t>Sustento de pago PPC - Dinero en Mano / HORARIO DE PAGO: Tarde / NOTA: TT cancelará excepción aprobada por S/2,340 el 26.05, se enviará información de cuenta al WhatsApp.</t>
  </si>
  <si>
    <t>Sustento de pago PPC - Dinero en Mano / HORARIO DE PAGO: Tarde / NOTA: TT cancelará excepción aprobada por S/290; el 08.06 se enviará información de cuenta al WhatsApp.</t>
  </si>
  <si>
    <t>Sustento de pago PPC - Dinero en Mano / HORARIO DE PAGO: Tarde / NOTA: TT cancelará excepción aprobada por S/325 el 01.06, se enviará información de cuenta al WhatsApp.</t>
  </si>
  <si>
    <t>Sustento de pago PPC - Dinero en Mano / HORARIO DE PAGO: Tarde / NOTA: TT cancelará excepción aprobada por S/3600 el 26.02, se enviará información de cuenta al WhatsApp.</t>
  </si>
  <si>
    <t>Sustento de pago PPC - Dinero en Mano / HORARIO DE PAGO: Tarde / NOTA: TT cancelará excepción aprobada por S/380 el 03.06, se enviará información de cuenta al WhatsApp.</t>
  </si>
  <si>
    <t>Sustento de pago PPC - Dinero en Mano / HORARIO DE PAGO: Tarde / NOTA: TT cancelará excepción aprobada por S/400 el 20.04.2026, se enviará información de cuenta al WhatsApp.</t>
  </si>
  <si>
    <t>Sustento de pago PPC - Dinero en Mano / HORARIO DE PAGO: Tarde / NOTA: TT cancelará excepción aprobada por S/400 el 22.05, se enviará información de cuenta al WhatsApp.</t>
  </si>
  <si>
    <t>Sustento de pago PPC - Dinero en Mano / HORARIO DE PAGO: Tarde / NOTA: TT cancelará excepción aprobada por S/70 el 02.06, se enviará información de cuenta al WhatsApp.</t>
  </si>
  <si>
    <t>Sustento de pago PPC - Dinero en Mano / HORARIO DE PAGO: Tarde / NOTA: TT CANCELARA HOY CON EL IMPORTE DE S/1600.00 POR TRANSFERENCIA.</t>
  </si>
  <si>
    <t>Sustento de pago PPC - Dinero en Mano / HORARIO DE PAGO: Tarde / NOTA: TT CANCELARA HOY CON EL MONTO DE LOS S/150.00 EN EL MISMO BANCO INTERBANK A LAS 3PM</t>
  </si>
  <si>
    <t>Sustento de pago PPC - Dinero en Mano / HORARIO DE PAGO: Tarde / NOTA: TT CANCELARA HOY EL MONTO DE S/500.00 EL DIA DE HOY, PAGARA POR TRANSFERENCIA.</t>
  </si>
  <si>
    <t>Sustento de pago PPC - Dinero en Mano / HORARIO DE PAGO: Tarde / NOTA: tt cancelara S/.4,800.00 - por lo cual adelanta S/1,000 el 13/06. Cancelara diferencia el 30/06 de S/. 3,800.00</t>
  </si>
  <si>
    <t>Sustento de pago PPC - Dinero en Mano / HORARIO DE PAGO: Tarde / NOTA: tt cancelara su deuda el dia 11 750</t>
  </si>
  <si>
    <t xml:space="preserve">Sustento de pago PPC - Dinero en Mano / HORARIO DE PAGO: Tarde / NOTA: tt canceló 4k falta regularizar 1k que lo estará pagando el día de mañana según indica el TT pero pido plazo máximo hasta el día lunes </t>
  </si>
  <si>
    <t xml:space="preserve">Sustento de pago PPC - Dinero en Mano / HORARIO DE PAGO: Tarde / NOTA: tt cancelo cin 1000 soles </t>
  </si>
  <si>
    <t xml:space="preserve">Sustento de pago PPC - Dinero en Mano / HORARIO DE PAGO: Tarde / NOTA: tt cancelo su dueda cin 3 k </t>
  </si>
  <si>
    <t>Sustento de pago PPC - Dinero en Mano / HORARIO DE PAGO: Tarde / NOTA: TT cancelo vía BCP</t>
  </si>
  <si>
    <t>Sustento de pago PPC - Dinero en Mano / HORARIO DE PAGO: Tarde / NOTA: TT CANCELRA CON EL MONTO DE S/550.00 POR EL MISMO BANCO, PAGARA POR LA TARDE EL DIA DE HOY.</t>
  </si>
  <si>
    <t>Sustento de pago PPC - Dinero en Mano / HORARIO DE PAGO: Tarde / NOTA: tt canelara dt. con 400 soles axcepcion aprobada</t>
  </si>
  <si>
    <t>Sustento de pago PPC - Dinero en Mano / HORARIO DE PAGO: Tarde / NOTA: TT comenta que solo ha podido reunir 1300, se brindo DT - 5,341.34 , c1 - 2384, TT propuso 1300 para liquidar su deuda que es un dinero que ha reunido y quisiera que se le pueda apoyar con la liquidación, se le pidió mejora e indico que lo evaluaría pero se comunico a indicar que le es complicado reunir un monto adicional ahora.</t>
  </si>
  <si>
    <t>Sustento de pago PPC - Dinero en Mano / HORARIO DE PAGO: Tarde / NOTA: TT COMPLETARA PROPUESTA DE PAGO , 8K ESTE MES ENTRE SEMANA IRA ABONANDO PARA QUE NO SE LE ACUMULE. PAGA PRIMER DEPOSITO VIA BCP</t>
  </si>
  <si>
    <t>Sustento de pago PPC - Dinero en Mano / HORARIO DE PAGO: Tarde / NOTA: tt confiema pago por bcp deposito ya que tiene el dinero en efectivo , se envia las cuentas por wsp , tt enviara foto de voucher</t>
  </si>
  <si>
    <t xml:space="preserve">Sustento de pago PPC - Dinero en Mano / HORARIO DE PAGO: Tarde / NOTA: TT CONFIRMA ADELANTO DE 5MIL PARA HOY 20/03/25 Y 5MIL EL DIA 31/03/25 </t>
  </si>
  <si>
    <t>Sustento de pago PPC - Dinero en Mano / HORARIO DE PAGO: Tarde / NOTA: TT confirma adelanto de pago de 1k dia 23/06, queda pendiente importe de 3k para dia 27/06.</t>
  </si>
  <si>
    <t>Sustento de pago PPC - Dinero en Mano / HORARIO DE PAGO: Tarde / NOTA: TT CONFIRMA CANCELACIÓN CON S/1380 HOY!</t>
  </si>
  <si>
    <t>Sustento de pago PPC - Dinero en Mano / HORARIO DE PAGO: Tarde / NOTA: TT confirma disposición de 1500 para el día de hoy, pago lo estaría realizando en agencia BCP por la tarde.</t>
  </si>
  <si>
    <t>Sustento de pago PPC - Dinero en Mano / HORARIO DE PAGO: Tarde / NOTA: TT CONFIRMA EL ABONO PARA ESTE SÁBADO 15/06 | CAMPAÑA DE S/150</t>
  </si>
  <si>
    <t xml:space="preserve">Sustento de pago PPC - Dinero en Mano / HORARIO DE PAGO: Tarde / NOTA: tt confirma el pago de 230 soles para el 15.04.25 por el banco no tiene para ir abondo y ese dia recibira algun ingreso </t>
  </si>
  <si>
    <t>Sustento de pago PPC - Dinero en Mano / HORARIO DE PAGO: Tarde / NOTA: tt confirma el pago de 500 soles por trasferencia 08.07.2025</t>
  </si>
  <si>
    <t xml:space="preserve">Sustento de pago PPC - Dinero en Mano / HORARIO DE PAGO: Tarde / NOTA: TT CONFIRMA EL PAGO POR AGENTE INTERBANK POR LOS 500 SOLES </t>
  </si>
  <si>
    <t>Sustento de pago PPC - Dinero en Mano / HORARIO DE PAGO: Tarde / NOTA: TT CONFIRMA INGRESO A CAMPAÑA POR S/350 PARA EL 05 DE JULIO.</t>
  </si>
  <si>
    <t>Sustento de pago PPC - Dinero en Mano / HORARIO DE PAGO: Tarde / NOTA: TT CONFIRMA PAGO DE CAMPAÑA PARA EL LUNES (S/850)</t>
  </si>
  <si>
    <t xml:space="preserve">Sustento de pago PPC - Dinero en Mano / HORARIO DE PAGO: Tarde / NOTA: TT confirma pago de cancelacion de 8k, hoy paga 4k y mañana 03/06 importe de 4k. </t>
  </si>
  <si>
    <t xml:space="preserve">Sustento de pago PPC - Dinero en Mano / HORARIO DE PAGO: Tarde / NOTA: TT confirma pago de su ultima cuota para dia 15/06 importe de 503 soles. </t>
  </si>
  <si>
    <t xml:space="preserve">Sustento de pago PPC - Dinero en Mano / HORARIO DE PAGO: Tarde / NOTA: TT confirma pago de su ultima cuota para el dia 20/06, cuota 3 de 3, importe de 475 soles. </t>
  </si>
  <si>
    <t>Sustento de pago PPC - Dinero en Mano / HORARIO DE PAGO: Tarde / NOTA: TT CONFIRMA PAGO DE ULTIMA CUOTA S/240 EL DIA 26 DE JULIO</t>
  </si>
  <si>
    <t>Sustento de pago PPC - Dinero en Mano / HORARIO DE PAGO: Tarde / NOTA: tt confirma pago en 1 hora en la misma of a cargo de su esposa, se envia compromiso</t>
  </si>
  <si>
    <t xml:space="preserve">Sustento de pago PPC - Dinero en Mano / HORARIO DE PAGO: Tarde / NOTA: tt confirma pago en un hora aprox. </t>
  </si>
  <si>
    <t>Sustento de pago PPC - Dinero en Mano / HORARIO DE PAGO: Tarde / NOTA: TT CONFIRMA PAGO HOY EN CAJA TRUJILLO (S/3800)</t>
  </si>
  <si>
    <t>Sustento de pago PPC - Dinero en Mano / HORARIO DE PAGO: Tarde / NOTA: TT confirma pago para el día de hoy por la tarde, se agenda compromiso de pago bajo excepción</t>
  </si>
  <si>
    <t xml:space="preserve">Sustento de pago PPC - Dinero en Mano / HORARIO DE PAGO: Tarde / NOTA: TT CONFIRMA PAGO PARA HOY POR S/1500 SOLES A LAS 4:30 PM EN BANCO BBVA JULIACA. </t>
  </si>
  <si>
    <t>Sustento de pago PPC - Dinero en Mano / HORARIO DE PAGO: Tarde / NOTA: TT CONFIRMA QUE REALIZARA EL PAGO EL 31 DE OCTUBRE POR 1000 SOLES</t>
  </si>
  <si>
    <t xml:space="preserve">Sustento de pago PPC - Dinero en Mano / HORARIO DE PAGO: Tarde / NOTA: TT confirma que se acercará al banco interbank a regularizar la deuda por el importe de s/450. Se le brindó DT y can 2 indica que no tiene el importe se le menciona descuento hasta s/450. Se acerá al banco interbank a las 3pm a realizar el pago. </t>
  </si>
  <si>
    <t>Sustento de pago PPC - Dinero en Mano / HORARIO DE PAGO: Tarde / NOTA: TT CONFIRMA QUE YA CUENTA CON EL DINERO REALIZARA EL DEPOSITO DE 2000 SOLES POR AGENCIA Y 3000 EL DIA LUNES CUANDO RECIBA EL DIENRO DE SU ESPOSO SE ENVIA INFORMACION POR NUMERO DE WSP</t>
  </si>
  <si>
    <t>Sustento de pago PPC - Dinero en Mano / HORARIO DE PAGO: Tarde / NOTA: TT CONFIRMA REALIZARA CANCELACION EN BASE A IMPORTE DE S/. 500 // FECHA DE PAGO 29/05 VIA TRANSFERENCIA BCP //  INDICA QUE ESTA RECIBIENDO EL PAGO DE SU TRABAJO</t>
  </si>
  <si>
    <t xml:space="preserve">Sustento de pago PPC - Dinero en Mano / HORARIO DE PAGO: Tarde / NOTA: TT CONFIRMA SU PAGO DE CANCELACION DE 9K PARA EL 31 DE JULIO CUMPLIENDO CON SU CRONOGRAMA EN LA MISMA AGENCIA BBVA </t>
  </si>
  <si>
    <t xml:space="preserve">Sustento de pago PPC - Dinero en Mano / HORARIO DE PAGO: Tarde / NOTA: TT CONFIRMA TODO OK CON EL DOCUMENTO INDICA QUE HARA EL PAGO POR LA TARDE A LAS 5 PM YA QUE A ESA HORA SALE DE SU TRABAJO COMENTA DE QUE TIENE UNA OFICINA BCP CRUZANDO LA CALLE E INDICA QUE NO TENDRIA PROBLEMAS CON HACER EL PAGO EN LA OFICINA. </t>
  </si>
  <si>
    <t>Sustento de pago PPC - Dinero en Mano / HORARIO DE PAGO: Tarde / NOTA: TT confirma y envía pago de S/1200 vía Whatsapp, lo realizó por Agente Interbank.</t>
  </si>
  <si>
    <t xml:space="preserve">Sustento de pago PPC - Dinero en Mano / HORARIO DE PAGO: Tarde / NOTA: TT confirma ya disponer del importe de 3500 para la cancelación de su cuenta el día de hoy, se le indica procedimiento de pago y se le menciona respecto a compromiso para que revise el contrato de cancelación, menciona que el pago lo estaría efectuando el día de hoy después de almuerzo, se le insta a que sea antes de las 4 pm e indica que antes de las 3 sería solo que sus hijas han salido y las tiene que esperar. Se reporta con super para elevar excepción. </t>
  </si>
  <si>
    <t>Sustento de pago PPC - Dinero en Mano / HORARIO DE PAGO: Tarde / NOTA: tt confirmo realizar el pago de 1,100.</t>
  </si>
  <si>
    <t>Sustento de pago PPC - Dinero en Mano / HORARIO DE PAGO: Tarde / NOTA: tt conform realizara adelanto de 300 y doferencia para fin de mes 905</t>
  </si>
  <si>
    <t>Sustento de pago PPC - Dinero en Mano / HORARIO DE PAGO: Tarde / NOTA: TT cumple con el pago según lo acordado</t>
  </si>
  <si>
    <t>Sustento de pago PPC - Dinero en Mano / HORARIO DE PAGO: Tarde / NOTA: TT CUMPLIO CON ANTICIPO DE 11K EL DIA DE HOY Y CONFIRMA PAGO DE 1K EL DIA 30 JULIO</t>
  </si>
  <si>
    <t>Sustento de pago PPC - Dinero en Mano / HORARIO DE PAGO: Tarde / NOTA: TT DESEA IR A LA OFICINA CAJA LOS ANDES. QUIERE VALIDAR LA INFORMACION. SEGUN ELLO PAGARA .2PM. INDICS ESTAR DE VIAJE / NOTA: TT DESEA IR A LA OFICINA CAJA LOS ANDES. QUIERE VALIDAR LA INFORMACION. SEGUN ELLO PAGARA .2PM. INDICS ESTAR DE VIAJE</t>
  </si>
  <si>
    <t>Sustento de pago PPC - Dinero en Mano / HORARIO DE PAGO: Tarde / NOTA: TT dice que esta esperando que una señora que le debe le pague ya que tiene un dinero por cobrar aprobado indica que estaria realizando el abono el día 22 de Octubre, se le genera compromiso por importe de 1300</t>
  </si>
  <si>
    <t xml:space="preserve">Sustento de pago PPC - Dinero en Mano / HORARIO DE PAGO: Tarde / NOTA: TT DT DK  SE LE MENCIONA CAMPAÑA DE S/12MIL DE MES DE MAYO SIN EMBARGO SOLICITA  CAMPAÑA DE ABRIL DE S/10MIL PIDE  APOYO PARA PAGAR MAÑANA Y EA MISMO EL MONTO DE  S/10MI VENDRA  A NUESTRA OFICINA EL VIENE DE LOS  OLIVOS </t>
  </si>
  <si>
    <t xml:space="preserve">Sustento de pago PPC - Dinero en Mano / HORARIO DE PAGO: Tarde / NOTA: TT DT DK CANC  380 HOY INDICA QUE SI DISPONE  PERO NO LLEGA A BANCO INDICO OPCION DE TRANSFERENCIA YAPE DICE TIENE EN EFECTIVO ,PIDE ESPERA MAÑANA ANTES DE LAS 14HR ACERCARSE A BANCO </t>
  </si>
  <si>
    <t xml:space="preserve">Sustento de pago PPC - Dinero en Mano / HORARIO DE PAGO: Tarde / NOTA: TT DT DK CANC 3150  INDICA QUE ESTA BUSCANDO MANERA DE CANCELAR  PERO TODAVIA CUENTA CON  2500 INDICO ASEGURAR CAMPAÑA ENVIO CARTA DE CONVENIO PAGA HOY 2500 Y 650 AL 29-5 INDICA QUE CUENTA POR BCP ENVIO CARTA AL WTSP PAGA ANTES DE LAS 5PM VALIDO LA CESION </t>
  </si>
  <si>
    <t>Sustento de pago PPC - Dinero en Mano / HORARIO DE PAGO: Tarde / NOTA: tt efectiara el pago por app bcp de 8500 aprobado siempre y cuando cancele hoy los 8050 y los 450 para finales se le brinda correo cesar.david.mejia.llanos@gmail.com el documento de cancelacion</t>
  </si>
  <si>
    <t>Sustento de pago PPC - Dinero en Mano / HORARIO DE PAGO: Tarde / NOTA: TT EFECTUARA EL PAGO DE CANCELACION EL DIA DE HOY 500 Y 500 A FIN EE MES TT DESEA QUE LE ENVIEMOS EL DOCUMENTO POR CORREO marauvertiz@gmail.com LO EFECTUARA POR APP BCP</t>
  </si>
  <si>
    <t xml:space="preserve">Sustento de pago PPC - Dinero en Mano / HORARIO DE PAGO: Tarde / NOTA: TT EFECTUARA EL PAGO EL DIA DE HOY CON 1400 SOLES PARA LIQUIDAR LA TOTALIDAD SE ENVIA AL CORREO CX.HINOSTROZA@GMAIL.COM EL DOCUMENTO PARA QUE LO REALICE ANTES DE LAS 3 PM </t>
  </si>
  <si>
    <t>Sustento de pago PPC - Dinero en Mano / HORARIO DE PAGO: Tarde / NOTA: TT EFECTUARA EL PAGO POR INTERBANK AGENTES</t>
  </si>
  <si>
    <t>Sustento de pago PPC - Dinero en Mano / HORARIO DE PAGO: Tarde / NOTA: TT efectuó adelanto de 500 mediante transferencia BCP, la diferencia de 1000 restantes la estaría efectuando hasta el día 30.06. Se indico a TT que cdna se le otorgaría en un plazo de 24 horas hábiles posteriores a la cancelación y que en caso disponga de la diferencia antes de mes la puede realizar para agilizar su cdna</t>
  </si>
  <si>
    <t xml:space="preserve">Sustento de pago PPC - Dinero en Mano / HORARIO DE PAGO: Tarde / NOTA: TT EFECTUO ADELANTO DE 5MIL SOLES HOY, QUEDA PENDIENTE 3MIL PARA EL DIA 29/8 </t>
  </si>
  <si>
    <t xml:space="preserve">Sustento de pago PPC - Dinero en Mano / HORARIO DE PAGO: Tarde / NOTA: TT EFECTUO PAGO DE ADELANTO DE 3MIL SOLES POR APP BCP MANDO FOTO DE COMPROBANTE, SE ELEVO EXCEPCION SEGUN LO COORDINADO </t>
  </si>
  <si>
    <t>3MIL HOY 4/8</t>
  </si>
  <si>
    <t xml:space="preserve">1K EL 29/8 </t>
  </si>
  <si>
    <t>Sustento de pago PPC - Dinero en Mano / HORARIO DE PAGO: Tarde / NOTA: TT efectuo pago de compromiso mediante DEPOSITO BCP // Se reporta con super para que pueda modificar fecha de PDP para el día de ayer.</t>
  </si>
  <si>
    <t>Sustento de pago PPC - Dinero en Mano / HORARIO DE PAGO: Tarde / NOTA: TT envia foto del voucher por  BCP</t>
  </si>
  <si>
    <t>_facilita correo para envio de cdna        maylirod24@gmail.com</t>
  </si>
  <si>
    <t>Sustento de pago PPC - Dinero en Mano / HORARIO DE PAGO: Tarde / NOTA: tt envio comprobante de pago via Banco de la Nacion</t>
  </si>
  <si>
    <t>Sustento de pago PPC - Dinero en Mano / HORARIO DE PAGO: Tarde / NOTA: TT ESCRIBE POR WHATSAPP INDICANDO QUE HOY SE ACERCÓ AL BANCO PARA RETIRAR DINERO Y REALIZAR EL PAGO PORQUE LE URGE CANCELAR ESTA DEUDA PERO YA ESTABA CERRADO. EL DÍA DE MAÑANA HASTA LAS 4 DE LA TARDE ESTARÍA REALIZANDO LA CANCELACIÓN. BRINDA CORREO ELECTRÓNICO Cmry191182@hotmail.com</t>
  </si>
  <si>
    <t xml:space="preserve">Sustento de pago PPC - Dinero en Mano / HORARIO DE PAGO: Tarde / NOTA: tt esta en el campo y fin de semana va a bajar para poder pagar </t>
  </si>
  <si>
    <t xml:space="preserve">Sustento de pago PPC - Dinero en Mano / HORARIO DE PAGO: Tarde / NOTA: TT ESTARÁ PAGANDO LA CUOTA 02,  QUE ES LA ULTIMA EL DIA 30 DE SETIEMBRE DE S/390.00   - SEGUIMIENTO </t>
  </si>
  <si>
    <t xml:space="preserve">Sustento de pago PPC - Dinero en Mano / HORARIO DE PAGO: Tarde / NOTA: tt genera cumple con adelanto , hizo pago de 1.500 y hoy hara pago de 10 mil . para la cancelacion con 11.500 </t>
  </si>
  <si>
    <t>Sustento de pago PPC - Dinero en Mano / HORARIO DE PAGO: Tarde / NOTA: TT generará la cancelación del importe de 646 el día 5 de Agosto ya que esta lejos de huanuco lo va realizar en la misma agencia, indica que no pago anteriormente ya que la llamaron de manera prepotente, se le genera su compromiso para el día 5 de Agosto de la cancelación</t>
  </si>
  <si>
    <t>Sustento de pago PPC - Dinero en Mano / HORARIO DE PAGO: Tarde / NOTA: TT GENERO EL PAGO DE 1K DEL ANTICIPO Y 6K EL DIA 30 JULIO</t>
  </si>
  <si>
    <t>MONTO NEGOCIADO: 7000</t>
  </si>
  <si>
    <t>Sustento: pago de haberes y clientes</t>
  </si>
  <si>
    <t>Motivo de no pago: sobreendeudada y negocio e quiebra</t>
  </si>
  <si>
    <t xml:space="preserve">Fecha: 30 julio </t>
  </si>
  <si>
    <t xml:space="preserve">Propuesta: 1k ya pago y 6k el 30 julio </t>
  </si>
  <si>
    <t xml:space="preserve">ENCARGADA CLARA ROSA LOPEZ FLORES  DNI 18142965 , HIZO PAGO DE 1K EN EL BBVA , ENVIO BOUCHER Y CONFIRMA PAGO EL DIA 30 JULIO DE LA DIFERENCIA DE LOS 7K </t>
  </si>
  <si>
    <t xml:space="preserve">Sustento de pago PPC - Dinero en Mano / HORARIO DE PAGO: Tarde / NOTA: TT HACE ABONO 1K Y 4K FIN DE MES </t>
  </si>
  <si>
    <t>Sustento de pago PPC - Dinero en Mano / HORARIO DE PAGO: Tarde / NOTA: TT HAR SU PAGO POR LA TARDE 500  PARA LA CANCELACION CUANTA EN CAJA TRUJILLO</t>
  </si>
  <si>
    <t xml:space="preserve">Sustento de pago PPC - Dinero en Mano / HORARIO DE PAGO: Tarde / NOTA: TT HARA ABONO 300 HOY Y 1K EL 26/07  </t>
  </si>
  <si>
    <t>Sustento de pago PPC - Dinero en Mano / HORARIO DE PAGO: Tarde / NOTA: TT HARA ADELANTO DE S/100.00 HOY Y S/300.00 HASTA EL DIA 30 SE LE ENVIA COMPROMISO DE PAGO Y CUENTAS DE EXPERTIS</t>
  </si>
  <si>
    <t xml:space="preserve">Sustento de pago PPC - Dinero en Mano / HORARIO DE PAGO: Tarde / NOTA: TT HARA CAN 13.2K , hizo adelanto de 10k por ibk y diferencia fin de mes </t>
  </si>
  <si>
    <t xml:space="preserve">Sustento de pago PPC - Dinero en Mano / HORARIO DE PAGO: Tarde / NOTA: tt hara can 2.6k  el pago de 2.1k hoy y diferencia fin de mes </t>
  </si>
  <si>
    <t xml:space="preserve">Sustento de pago PPC - Dinero en Mano / HORARIO DE PAGO: Tarde / NOTA: TT HARA CAN 20K . HIZO ANTICIPO DE 5K Y LA DIFERENCIA DE 15K LO HARA EL LUNES 11 NOV </t>
  </si>
  <si>
    <t xml:space="preserve">Sustento de pago PPC - Dinero en Mano / HORARIO DE PAGO: Tarde / NOTA: TT HARA CAN 700 EL VIERNES A MAS TARDAR. YA PUDO CONSEGUIR EL DINERO . DT 7.4K </t>
  </si>
  <si>
    <t xml:space="preserve">Sustento de pago PPC - Dinero en Mano / HORARIO DE PAGO: Tarde / NOTA: TT HARA CAN 720 FDM </t>
  </si>
  <si>
    <t>Sustento de pago PPC - Dinero en Mano / HORARIO DE PAGO: Tarde / NOTA: tt hara can 886 mañana 29-05</t>
  </si>
  <si>
    <t xml:space="preserve">Sustento de pago PPC - Dinero en Mano / HORARIO DE PAGO: Tarde / NOTA: TT HARA CAN 900 </t>
  </si>
  <si>
    <t xml:space="preserve">Sustento de pago PPC - Dinero en Mano / HORARIO DE PAGO: Tarde / NOTA: tt hará el pago a la 1pm </t>
  </si>
  <si>
    <t>Sustento de pago PPC - Dinero en Mano / HORARIO DE PAGO: Tarde / NOTA: tt hara el pago por agente en 1 hora y media aprox.</t>
  </si>
  <si>
    <t>Sustento de pago PPC - Dinero en Mano / HORARIO DE PAGO: Tarde / NOTA: tt hara el pago por transferencia bancaria  se le envia acuerdo de pago</t>
  </si>
  <si>
    <t>Sustento de pago PPC - Dinero en Mano / HORARIO DE PAGO: Tarde / NOTA: tt hara pago</t>
  </si>
  <si>
    <t>Sustento de pago PPC - Dinero en Mano / HORARIO DE PAGO: Tarde / NOTA: tt hara pago ahroa</t>
  </si>
  <si>
    <t>Sustento de pago PPC - Dinero en Mano / HORARIO DE PAGO: Tarde / NOTA: tt hara pago de 2168 el ida 28.03 en caja los andes</t>
  </si>
  <si>
    <t>Sustento de pago PPC - Dinero en Mano / HORARIO DE PAGO: Tarde / NOTA: tt hara pago de 2450 el dia  12.11  por bcp transferencia</t>
  </si>
  <si>
    <t>Sustento de pago PPC - Dinero en Mano / HORARIO DE PAGO: Tarde / NOTA: TT HARA PAGO DE 2750 EL DIA 18.12 EN AGENCIA DE SOL PUNO 02PM</t>
  </si>
  <si>
    <t>Sustento de pago PPC - Dinero en Mano / HORARIO DE PAGO: Tarde / NOTA: tt hara pago de 3000 el 22.04 en caja trujillo . tt abono 1000 el dia 18.04 y 2000 soles el dia 22.04</t>
  </si>
  <si>
    <t>Sustento de pago PPC - Dinero en Mano / HORARIO DE PAGO: Tarde / NOTA: TT hara pago de 3000 soles  el dia 31.05  por transferencia scotiabank</t>
  </si>
  <si>
    <t>Sustento de pago PPC - Dinero en Mano / HORARIO DE PAGO: Tarde / NOTA: tt hara pago de 4000 excepcion aprobada  el dia 24.07 ,  en caja trujillo , hoy 15.07 abonara 200 soles a las 05pm y el dia 24/07 monto de 3800 soles</t>
  </si>
  <si>
    <t>Sustento de pago PPC - Dinero en Mano / HORARIO DE PAGO: Tarde / NOTA: tt hara pago de 500 soles el dia 25.05 en caja los andes de tacna o agente b.nacion  primer abono de 200 lo hara hoy 08.05 y 300 el dia 25.05</t>
  </si>
  <si>
    <t>Sustento de pago PPC - Dinero en Mano / HORARIO DE PAGO: Tarde / NOTA: tt hara pago de 890 soles , el dia 31.03 por transf bcp ,   el dia 25.03 hara abono de 200 soles y el dia 31.03 monto de 690 soles</t>
  </si>
  <si>
    <t>Sustento de pago PPC - Dinero en Mano / HORARIO DE PAGO: Tarde / NOTA: tt hará pago del 50% el dia de hoy s/12500 y la otra mitad hasta el 17/11 los otros s/12500</t>
  </si>
  <si>
    <t xml:space="preserve">se le envia compromiso de pago al correo fabio.farfanz@gmail.com y cuentas de la empresa </t>
  </si>
  <si>
    <t>se le recalca que ayuda es por única vez hara pago por transferencia bancaria</t>
  </si>
  <si>
    <t xml:space="preserve">Sustento de pago PPC - Dinero en Mano / HORARIO DE PAGO: Tarde / NOTA: tt hara pago total de su deuda con el monto de 400 soles aprobado por excepcion </t>
  </si>
  <si>
    <t>Sustento de pago PPC - Dinero en Mano / HORARIO DE PAGO: Tarde / NOTA: tt hara pgo de 3000 soles el dia 30.01 en caja los andes</t>
  </si>
  <si>
    <t xml:space="preserve">Sustento de pago PPC - Dinero en Mano / HORARIO DE PAGO: Tarde / NOTA: TT HARA SU PAGO EL DIA 24 REALISA 360 EN UNA GENTE BCP SE LE ENVIARA  LAS CUENTAS </t>
  </si>
  <si>
    <t xml:space="preserve">Sustento de pago PPC - Dinero en Mano / HORARIO DE PAGO: Tarde / NOTA: TT HARA SU PAGO HOY LA CANCELACION DE SU DEUDA SE LE ENVIARA LOS DOCUMMENBTOS SOLICITADOS </t>
  </si>
  <si>
    <t>Sustento de pago PPC - Dinero en Mano / HORARIO DE PAGO: Tarde / NOTA: tt haraa el pago por el ibk</t>
  </si>
  <si>
    <t xml:space="preserve">Sustento de pago PPC - Dinero en Mano / HORARIO DE PAGO: Tarde / NOTA: TT HIZO EL ANTICIPO DE 200 Y HARIA ABONO 800 EL MIERCOLES . YA Q RECIEN LE PAGARAAN </t>
  </si>
  <si>
    <t xml:space="preserve">Sustento de pago PPC - Dinero en Mano / HORARIO DE PAGO: Tarde / NOTA: tt hizo el pago por app scotiabank  </t>
  </si>
  <si>
    <t xml:space="preserve">Sustento de pago PPC - Dinero en Mano / HORARIO DE PAGO: Tarde / NOTA: tt hizo el pago por su aplicativo por el app del bcp </t>
  </si>
  <si>
    <t>Sustento de pago PPC - Dinero en Mano / HORARIO DE PAGO: Tarde / NOTA: tt hoy cumple con primer pago de 900 diferencia de 900 hasta el 30/06</t>
  </si>
  <si>
    <t xml:space="preserve">Sustento de pago PPC - Dinero en Mano / HORARIO DE PAGO: Tarde / NOTA: tt hoy paga 50 soles en bbva y maximo el jueves paga lo restante </t>
  </si>
  <si>
    <t xml:space="preserve">Sustento de pago PPC - Dinero en Mano / HORARIO DE PAGO: Tarde / NOTA: tt hoy pagara adelanto de 4,500 y diferencia de 300 a fines, se enviara acuerdo de pago a espera de correo de tt </t>
  </si>
  <si>
    <t>Sustento de pago PPC - Dinero en Mano / HORARIO DE PAGO: Tarde / NOTA: tt ind que hoy realizara el pago por la tarde, se adjunta cesion deuda como compromiso de pago</t>
  </si>
  <si>
    <t>Sustento de pago PPC - Dinero en Mano / HORARIO DE PAGO: Tarde / NOTA: tt ind que sale de trabajo 4pm maximo 5pm pagaria, enviar cuenta BCP</t>
  </si>
  <si>
    <t>Sustento de pago PPC - Dinero en Mano / HORARIO DE PAGO: Tarde / NOTA: tt indcia que se acercara a la agencia a pagar sobre las 3 pm se le envia acuerdo de pago por correo y wsp</t>
  </si>
  <si>
    <t>Sustento de pago PPC - Dinero en Mano / HORARIO DE PAGO: Tarde / NOTA: tt indica  que  ´pagara fines de mes 31 que recibe un pago.</t>
  </si>
  <si>
    <t xml:space="preserve">Sustento de pago PPC - Dinero en Mano / HORARIO DE PAGO: Tarde / NOTA: tt indica cancela con 5000 hoy por transferencia </t>
  </si>
  <si>
    <t xml:space="preserve">Sustento de pago PPC - Dinero en Mano / HORARIO DE PAGO: Tarde / NOTA: tt indica el dia 14 realiza su cancelacion con 550 soles en la tarde </t>
  </si>
  <si>
    <t xml:space="preserve">Sustento de pago PPC - Dinero en Mano / HORARIO DE PAGO: Tarde / NOTA: tt indica hara lo posible para cancelar, recibira dinero el 20 y con eso cancela </t>
  </si>
  <si>
    <t>Sustento de pago PPC - Dinero en Mano / HORARIO DE PAGO: Tarde / NOTA: tt indica pagar hoy a las 4 pm, por app bcp 150 soles, e le envia a su whatsapp cuenta de expertis</t>
  </si>
  <si>
    <t>Sustento de pago PPC - Dinero en Mano / HORARIO DE PAGO: Tarde / NOTA: tt indica pagar por app bcp 750 soles, antes de las 4:30</t>
  </si>
  <si>
    <t xml:space="preserve">Sustento de pago PPC - Dinero en Mano / HORARIO DE PAGO: Tarde / NOTA: tt indica qiue jhara su pago el dia lunmes 10 a las 3 pm se ace5rcara a la agencia de caja los andes de andaylas de se genera una cita con la agenmcia llamar a esa hora </t>
  </si>
  <si>
    <t>Sustento de pago PPC - Dinero en Mano / HORARIO DE PAGO: Tarde / NOTA: TT INDICA QUE ADELANTAR 1750 PARA HOY Y LO RESTANTE PARA EL DIA 29, SE VALIDA TODO OK, GENERARIA EL PAGO POR APLICATIVO BCP ANTES DE LAS 5PM</t>
  </si>
  <si>
    <t xml:space="preserve">Sustento de pago PPC - Dinero en Mano / HORARIO DE PAGO: Tarde / NOTA: tt indica que cancela la deuda con un importe de 200 soles  , se emite confirmacion via  wsp , ya que no puede contestar llamada , cancelara esa fecha por que recien se en cuentra laborando y juntara hasta esaa fecha  </t>
  </si>
  <si>
    <t xml:space="preserve">Sustento de pago PPC - Dinero en Mano / HORARIO DE PAGO: Tarde / NOTA: TT INDICA QUE CANCELARA LUNES POR LA TARDE / SE LE DA HASTA LAS 3PM </t>
  </si>
  <si>
    <t>Sustento de pago PPC - Dinero en Mano / HORARIO DE PAGO: Tarde / NOTA: TT indica que desea cancelar deuda ya que recibe llamadas constantes, se brinda DK: 2,577.00, MIN1: 555</t>
  </si>
  <si>
    <t xml:space="preserve">Sustento de pago PPC - Dinero en Mano / HORARIO DE PAGO: Tarde / NOTA: tt indica que el dia 23 se acerca a la agencia a cancelar se le dejo sms </t>
  </si>
  <si>
    <t xml:space="preserve">Sustento de pago PPC - Dinero en Mano / HORARIO DE PAGO: Tarde / NOTA: tt indica que el dia 28 hace el pago de los 200 soles en  l tarde </t>
  </si>
  <si>
    <t>Sustento de pago PPC - Dinero en Mano / HORARIO DE PAGO: Tarde / NOTA: TT indica que el dia sabado 19.07.2025 realizara el deposito en agente BCP, se brinda DK: 1,309.29, DT: 3,306.95 y MIN1:710</t>
  </si>
  <si>
    <t>Sustento de pago PPC - Dinero en Mano / HORARIO DE PAGO: Tarde / NOTA: TT INDICA QUE ESTARIA REALIZANDO EL PAGO PASANDO LAS 12PM EL IMPORTE DE S/300</t>
  </si>
  <si>
    <t>Sustento de pago PPC - Dinero en Mano / HORARIO DE PAGO: Tarde / NOTA: TT indica que familiar hara el pago ya dispone del dinero del adelanto de 800 para hoy y los 950 para el 30/12 pide que se le envie documento via wsp</t>
  </si>
  <si>
    <t>Sustento de pago PPC - Dinero en Mano / HORARIO DE PAGO: Tarde / NOTA: tt indica que hará el pago en un hora aprox</t>
  </si>
  <si>
    <t>Sustento de pago PPC - Dinero en Mano / HORARIO DE PAGO: Tarde / NOTA: TT INDICA QUE HARA EL PAGO POR LA TARDE, MENCIONA DE QUE SOLO PUEDE EN ESE HORARIO, A LA ESPERA DE CONFIRMACION DE PAGO.</t>
  </si>
  <si>
    <t>Sustento de pago PPC - Dinero en Mano / HORARIO DE PAGO: Tarde / NOTA: tt indica que hará pago de 1570 el ia 05.06 por yape    se le enviara numero autorizado no  pago  porque tuvo accidente , se le dio DT 4,213.26 Y DK 3,270 Y C1-1570    hara el pago mañana  a primer hora ya que esta en lugar a lejado  ,08 am</t>
  </si>
  <si>
    <t>Sustento de pago PPC - Dinero en Mano / HORARIO DE PAGO: Tarde / NOTA: tt indica que hara pago de 355 soles el dia 23.12 en caja trujillo a las 03pm</t>
  </si>
  <si>
    <t>Sustento de pago PPC - Dinero en Mano / HORARIO DE PAGO: Tarde / NOTA: tt indica que hara pago de 881 el dia 31.12 en agente bcp , hoy 23.12 hara abono de 200 soles  y el dia 31.12 monto de 681 soles  a las 03pm ,  indica que no pago porque la hicieron esperar mucho , fue a pagar todo en su momento y no recibio buenas atencion se demoraron en girar codigo de pago.</t>
  </si>
  <si>
    <t>Sustento de pago PPC - Dinero en Mano / HORARIO DE PAGO: Tarde / NOTA: tt indica que hara su pago hoy de 200 adelante y el resto 390 para le dia 30/11 sev le envia la info a su numero de wtasapp</t>
  </si>
  <si>
    <t xml:space="preserve">Sustento de pago PPC - Dinero en Mano / HORARIO DE PAGO: Tarde / NOTA: tt indica que hoy paga el 50 % y mañana culmina , paga las 6:pm </t>
  </si>
  <si>
    <t>Sustento de pago PPC - Dinero en Mano / HORARIO DE PAGO: Tarde / NOTA: TT indica que la deuda fue para otra persona, pero que podria liquidar con nosotros el lunes 10.11 por bcp</t>
  </si>
  <si>
    <t>Sustento de pago PPC - Dinero en Mano / HORARIO DE PAGO: Tarde / NOTA: TT INDICA QUE LO REALIZARA EL DIA VIERNES A MAS TARDAR SI LO PUEDE REALIZAR ANTES TT SE COMUNICAR CON EL IMPORTE RESTANTE DE 600</t>
  </si>
  <si>
    <t>Sustento de pago PPC - Dinero en Mano / HORARIO DE PAGO: Tarde / NOTA: TT indica que no cancelo ya que paso un imprevisto, pero se compromete a cancelar su deuda total del Min1: s/680 el dia viernes 04.07.2025, se brinda DT:s/4,312.16 y DK: s/1,271.00.</t>
  </si>
  <si>
    <t xml:space="preserve">Sustento de pago PPC - Dinero en Mano / HORARIO DE PAGO: Tarde / NOTA: tt indica que paga el dia lunes  ,el monto de s/1,200.00 </t>
  </si>
  <si>
    <t>Sustento de pago PPC - Dinero en Mano / HORARIO DE PAGO: Tarde / NOTA: tt indica que pagara antes de las 5:pm  via trasferencia bcp.</t>
  </si>
  <si>
    <t>Sustento de pago PPC - Dinero en Mano / HORARIO DE PAGO: Tarde / NOTA: TT indica que pagara el monto de 2,700.00 , el dia de hoy abona s/200 y el viernes 27 los s/1500 ,que queda pendiente .</t>
  </si>
  <si>
    <t>Sustento de pago PPC - Dinero en Mano / HORARIO DE PAGO: Tarde / NOTA: tt indica que pagara los 250 por yape que se le envie info al wsp para que pueda hacer el pago</t>
  </si>
  <si>
    <t xml:space="preserve">Sustento de pago PPC - Dinero en Mano / HORARIO DE PAGO: Tarde / NOTA: tt indica que por temas de lluvia no sabe si podra llegar el dia de hoy , pide que se al dia de mañana el pago de la diferencia - hara can 4mil 05 mayo </t>
  </si>
  <si>
    <t>Sustento de pago PPC - Dinero en Mano / HORARIO DE PAGO: Tarde / NOTA: TT INDICA QUE REALIZARA EL PAGO D 5K</t>
  </si>
  <si>
    <t xml:space="preserve">Sustento de pago PPC - Dinero en Mano / HORARIO DE PAGO: Tarde / NOTA: tt indica que realizara el pago de S/ 180 el dia de mañana por la tarde , antes de la 4:30 por agente bcp  se envia informacion via wsp </t>
  </si>
  <si>
    <t>DK 894.57</t>
  </si>
  <si>
    <t>Sustento de pago PPC - Dinero en Mano / HORARIO DE PAGO: Tarde / NOTA: TT indica que realizara pago de 850 soles el dia de hoy  24.05 en caja lo andes de juliaca a las 03pm motivo de no pago fue por olvido  porque no la llamaron y indica que trabaja en casa y tiene efectivo ahorrado.ya pago su deuda con caja cusco y quiere solucionar de los andes</t>
  </si>
  <si>
    <t>Sustento de pago PPC - Dinero en Mano / HORARIO DE PAGO: Tarde / NOTA: TT indica que realizará pago del restante del importe acordado de S/1318 el 05/12 realizaría el pago por aplicativo BBVA.</t>
  </si>
  <si>
    <t>Sustento de pago PPC - Dinero en Mano / HORARIO DE PAGO: Tarde / NOTA: TT indica que se acercará a un BCP a realizar el pago. Se envia carta campaña y carta de notf.</t>
  </si>
  <si>
    <t>Sustento de pago PPC - Dinero en Mano / HORARIO DE PAGO: Tarde / NOTA: tt indica que su hijo enfermo la cual no pudo realizar el pago indioca que quiere pagar los 1300 soles el dia de hoy 500 el dia 03 300 soles mas y los 500 el dia 04</t>
  </si>
  <si>
    <t xml:space="preserve">Sustento de pago PPC - Dinero en Mano / HORARIO DE PAGO: Tarde / NOTA: tt indica que ya le envio la informacion a su esposa, esta a la espera que le responda  y haga el pago </t>
  </si>
  <si>
    <t>Sustento de pago PPC - Dinero en Mano / HORARIO DE PAGO: Tarde / NOTA: tt indica realizar pago de 2500 soles el dia 18.10 en caja trujillo  hoy abonara 100 soles y 2400 soles el dia 18.10 se le enviara cuenta de caja trujillo hara el primer abono a las 03.30pm</t>
  </si>
  <si>
    <t xml:space="preserve">Sustento de pago PPC - Dinero en Mano / HORARIO DE PAGO: Tarde / NOTA: TT INDICA REALIZARA PAGO HOY 4.7 POR TRANSFERENCIA </t>
  </si>
  <si>
    <t xml:space="preserve">Sustento de pago PPC - Dinero en Mano / HORARIO DE PAGO: Tarde / NOTA: tt indica va realizar deposito por agente bcp en el mercado </t>
  </si>
  <si>
    <t xml:space="preserve">Sustento de pago PPC - Dinero en Mano / HORARIO DE PAGO: Tarde / NOTA: TT INDICA YA CONTAR CON EL IMPORTE EN MANO DE 940, DESEA LIQUIDAR HOY EN BANCO DE LA NACION ANTES DE LAS 5 PM </t>
  </si>
  <si>
    <t xml:space="preserve">Sustento de pago PPC - Dinero en Mano / HORARIO DE PAGO: Tarde / NOTA: tt ira a misma entidad a cancelar </t>
  </si>
  <si>
    <t xml:space="preserve">Sustento de pago PPC - Dinero en Mano / HORARIO DE PAGO: Tarde / NOTA: tt liquida con 600 soles </t>
  </si>
  <si>
    <t xml:space="preserve">Sustento de pago PPC - Dinero en Mano / HORARIO DE PAGO: Tarde / NOTA: tt liquida su deuda con 3k su deuda </t>
  </si>
  <si>
    <t xml:space="preserve">Sustento de pago PPC - Dinero en Mano / HORARIO DE PAGO: Tarde / NOTA: TT LLAMA AL CORPORATIVO SE L EBRINDA LA DT INDICA QUE NO ES POSIBLE CANCELAR ESE IMPORTE DESEA FRACCIONADO LA CUENTA DE MIL SOLES COMO HA VENIDO CANCELANDO CON EL BANCO YA QUE NO PODRIA PAGAR NI LOS 1700 QUE ERA SU CUOTA NORMAL POR ESO INCUMPLIO YA QUE TENIA OTRO TRABAJO SE L EBIRNDA BENEFICIO DE CANCELACION CON 15K INDICA QUE NO ES POSIBLE QUE PUEDE REUNIR HASTA 6K DENTRO DEL MES, SE LE INSISTE EN UN ADELANTO PARA LA EVALUACION INDICA QUE SI MIL SOLES PARA EL DIA MARTES 8 POR LA TARDE APROX 4 PM LO ESTARA EFECTUANDO Y 5 MIL SOLES PARA EL DIA 31 DE JULIO YA QUE ENVIO SU CORREO EN LINEA  dulynav1611@hotmail.com  Y EN LA CUAL PODRA CANCELARLO DE ESA MANERA </t>
  </si>
  <si>
    <t>Sustento: AHORRO Y PRESTAMO</t>
  </si>
  <si>
    <t>Motivo de no pago: TENIA DOS TRABAJOS AHORA SOLO UNO</t>
  </si>
  <si>
    <t>Fecha: 31-07</t>
  </si>
  <si>
    <t>Propuesta 6K</t>
  </si>
  <si>
    <t xml:space="preserve">Sustento de pago PPC - Dinero en Mano / HORARIO DE PAGO: Tarde / NOTA: TT llama al corporativo, se le informa sobre los 3 productos que origino con el BBVA  y que las cuentas han sido cedida a la empresa Expertis, se informa dt: 6,850.63, camp: 4900, Indica que dia sabado a mas tardar esta acercandose al BANCO a confirmar traslado de la cuenta y dia lunes a mas tardar esta generando el pago de la cancelacion de la cuenta con el importe de 4900 soles. se envia carta de notificacion. </t>
  </si>
  <si>
    <t xml:space="preserve">Sustento de pago PPC - Dinero en Mano / HORARIO DE PAGO: Tarde / NOTA: TT LLAMO ENMASCARADO TT INDICA QUE NO DISPONE AHORA DICE MENSAJES LLEGABAN A TELEFONO DE MADRE POR ESTO LLAMO DICE TIENE TARJETA CON BBVA ACTIVA EXPLICO CESION , INDICO OPCION DE CANC HOY CON 300 DICE QUE PUEDE PAGAR FDM PAGA HOY 150 Y 150 AL 29-5 VALIDA CESION PAGA ANTES DE La 5pm </t>
  </si>
  <si>
    <t>Sustento de pago PPC - Dinero en Mano / HORARIO DE PAGO: Tarde / NOTA: tt lo hara en el yrascueros de la tarde</t>
  </si>
  <si>
    <t>Sustento de pago PPC - Dinero en Mano / HORARIO DE PAGO: Tarde / NOTA: TT mañana pagara con 400 soles, 3pm necesita un nuevo prestamo.</t>
  </si>
  <si>
    <t xml:space="preserve">Sustento de pago PPC - Dinero en Mano / HORARIO DE PAGO: Tarde / NOTA: tt menciona  que ira a odficna de los andes  esta  4 horas  de of  a la 3pm estaria  llgando se lemciona camp s/1100 soop por hoy </t>
  </si>
  <si>
    <t>Sustento de pago PPC - Dinero en Mano / HORARIO DE PAGO: Tarde / NOTA: TT MENCIONA DE QUE MANEJA APLICATIVO BBVA PUEDE HACER EL PAGO AHORA INDICA QUE CUENTA CON EL DINERO DE 200 Y ABONARIA EL DIA LUNES LO RESTANTE 100 SOLES. PAGO TOTAL 300, INDICA QUE QUIERE SER EVALUADA PARA UNA TARJETA DE CREDITO.</t>
  </si>
  <si>
    <t>Sustento de pago PPC - Dinero en Mano / HORARIO DE PAGO: Tarde / NOTA: tt menciona que esta en la espera de su pago de haberes ,siempre pasa que se retrasan con sus pagos ,pero a mas tardar el dia viernes 6 el pago ya estará .</t>
  </si>
  <si>
    <t>Sustento de pago PPC - Dinero en Mano / HORARIO DE PAGO: Tarde / NOTA: TT MENCIONA QUE HARA EL PAGO EN UNOS  MOMENTOS  VIA  TRANSFERENCIA  VIA BANCO  BCP</t>
  </si>
  <si>
    <t>Sustento de pago PPC - Dinero en Mano / HORARIO DE PAGO: Tarde / NOTA: TT MENCIONA QUE NO PAGÓ PORQUE SE QUEDÓ SIN TRABAJO EN ESE MOMENTO, SE LE ENVÍA TODA LA INFORMACIÓN DE LA CANCELACIÓN PARA EL DÍA DE HOY, TAMBIÉN SE LE MANDA CARTA DE NOTIFICACIÓN</t>
  </si>
  <si>
    <t>Sustento de pago PPC - Dinero en Mano / HORARIO DE PAGO: Tarde / NOTA: tt menciona que no pudo pagarlo por que esta fuera de la ciduad y su pago recien recibira el dia de mañana  20 - ok menciono su dt 2,031.31 - min 400 - tt menciona que pagara por bcp ok se idnica que se enviara doc compro y metodo de pago por wsp</t>
  </si>
  <si>
    <t xml:space="preserve">Sustento de pago PPC - Dinero en Mano / HORARIO DE PAGO: Tarde / NOTA: tt menciona que pasando las 12 estria cancelando con el monto de 250 , quiere recoger su carta en oficina </t>
  </si>
  <si>
    <t>Sustento de pago PPC - Dinero en Mano / HORARIO DE PAGO: Tarde / NOTA: tt menciona que va a realizar el pago 180 soles a las 1pm en agente de bcp</t>
  </si>
  <si>
    <t>Sustento de pago PPC - Dinero en Mano / HORARIO DE PAGO: Tarde / NOTA: tt mrnciona que no pudo cancelar por que esta en zona alejada, s emenciona la campa 338 y su dk  1,906.95 - tt dice que a mas tardar el dia viernes que esta en la ciudad tiene que viajar por que un fam se accidento con su carro , tt pagara por agente bcp , si llega antes estaria pagando, ok s eenvia metodo de pago por wsp</t>
  </si>
  <si>
    <t>Sustento de pago PPC - Dinero en Mano / HORARIO DE PAGO: Tarde / NOTA: TT OAGO EL 01 100 SOLES Y LO RESTABTE 50 EL DIA 29</t>
  </si>
  <si>
    <t xml:space="preserve">Sustento de pago PPC - Dinero en Mano / HORARIO DE PAGO: Tarde / NOTA: tt paga 15000 en agencia bcp </t>
  </si>
  <si>
    <t>Sustento de pago PPC - Dinero en Mano / HORARIO DE PAGO: Tarde / NOTA: tt paga 2,000.00 hoy paga s/1500 y el dia 30 pagara los 500 que queda pendiente ,paga por el banco de la nacion .</t>
  </si>
  <si>
    <t xml:space="preserve">Sustento de pago PPC - Dinero en Mano / HORARIO DE PAGO: Tarde / NOTA: tt paga 200 hoy 4 a 5pm y 300 15na cancela </t>
  </si>
  <si>
    <t>Sustento de pago PPC - Dinero en Mano / HORARIO DE PAGO: Tarde / NOTA: tt paga 2000 soles en caja los andes juliaca</t>
  </si>
  <si>
    <t>Sustento de pago PPC - Dinero en Mano / HORARIO DE PAGO: Tarde / NOTA: tt paga 2k hoy y 500 hasta el 27 , en la misma oficina se envia acuerdo al correo marysselly@hotmail.com</t>
  </si>
  <si>
    <t>Sustento de pago PPC - Dinero en Mano / HORARIO DE PAGO: Tarde / NOTA: tt paga 350 hoy mediante yape.</t>
  </si>
  <si>
    <t>Sustento de pago PPC - Dinero en Mano / HORARIO DE PAGO: Tarde / NOTA: tt paga 50 soles hoy y 150 fin de mes .</t>
  </si>
  <si>
    <t xml:space="preserve">Sustento de pago PPC - Dinero en Mano / HORARIO DE PAGO: Tarde / NOTA: TT PAGA 500 SOLES HOY  , MAÑANA 25-03  1000 Y RESTO DE 500 AL 31-03 </t>
  </si>
  <si>
    <t>paga por bbva</t>
  </si>
  <si>
    <t>Sustento de pago PPC - Dinero en Mano / HORARIO DE PAGO: Tarde / NOTA: tt paga el dia de hoy en el transcurso del medio dia s/515.00</t>
  </si>
  <si>
    <t>Sustento de pago PPC - Dinero en Mano / HORARIO DE PAGO: Tarde / NOTA: tt paga el monto de 4 mils soles  n dos partes hoy 3500 y 500 el 30 de marzo ,trasferencia interbank</t>
  </si>
  <si>
    <t>Sustento de pago PPC - Dinero en Mano / HORARIO DE PAGO: Tarde / NOTA: TT PAGA EN BBVA , YA TIENE CLARO LA CESION DE DEUDA</t>
  </si>
  <si>
    <t>Sustento de pago PPC - Dinero en Mano / HORARIO DE PAGO: Tarde / NOTA: tt paga en caja trujillo</t>
  </si>
  <si>
    <t xml:space="preserve">Sustento de pago PPC - Dinero en Mano / HORARIO DE PAGO: Tarde / NOTA: tt paga en el mismo banco bbva  antes de las 4:pm </t>
  </si>
  <si>
    <t>Sustento de pago PPC - Dinero en Mano / HORARIO DE PAGO: Tarde / NOTA: tt paga en la misma of 4k</t>
  </si>
  <si>
    <t>Sustento de pago PPC - Dinero en Mano / HORARIO DE PAGO: Tarde / NOTA: tt paga en los andes juliaca</t>
  </si>
  <si>
    <t>Sustento de pago PPC - Dinero en Mano / HORARIO DE PAGO: Tarde / NOTA: tt paga en of caja trujillo</t>
  </si>
  <si>
    <t>Sustento de pago PPC - Dinero en Mano / HORARIO DE PAGO: Tarde / NOTA: tt paga en of los andes</t>
  </si>
  <si>
    <t xml:space="preserve">Sustento de pago PPC - Dinero en Mano / HORARIO DE PAGO: Tarde / NOTA: TT PAGA HOY 1300 4 A 5PMY PAGA 1200 AL 30-6 ,ENVIO CARTA </t>
  </si>
  <si>
    <t>Sustento de pago PPC - Dinero en Mano / HORARIO DE PAGO: Tarde / NOTA: TT PAGA HOY 250</t>
  </si>
  <si>
    <t>Sustento de pago PPC - Dinero en Mano / HORARIO DE PAGO: Tarde / NOTA: TT PAGA HOY 250 POR LA TARDE 4A 5 ENVIO CARTA A CORREO</t>
  </si>
  <si>
    <t xml:space="preserve">Sustento de pago PPC - Dinero en Mano / HORARIO DE PAGO: Tarde / NOTA: tt paga hoy s/300  aproximadamente las 4:pm ,lo queda pendiente lo paga hasta fin de mes </t>
  </si>
  <si>
    <t>Sustento de pago PPC - Dinero en Mano / HORARIO DE PAGO: Tarde / NOTA: tt paga hoy s/5,000.00 según lo acordado ,el pago se realiza en el banco bcp.</t>
  </si>
  <si>
    <t>Sustento de pago PPC - Dinero en Mano / HORARIO DE PAGO: Tarde / NOTA: tt paga hoy s/500.00  ,deposito.</t>
  </si>
  <si>
    <t>Sustento de pago PPC - Dinero en Mano / HORARIO DE PAGO: Tarde / NOTA: tt paga hoy s/8,500.00   dprincipem95@gmail.com  enviar al correo electronico y a su WhatsApp el compromiso de pago.</t>
  </si>
  <si>
    <t>Sustento de pago PPC - Dinero en Mano / HORARIO DE PAGO: Tarde / NOTA: tt paga las 4:pm saliendo de su trabajo indica.</t>
  </si>
  <si>
    <t>Sustento de pago PPC - Dinero en Mano / HORARIO DE PAGO: Tarde / NOTA: tt paga los s/3,000.00 como se coordino ,paga en el mismo banco bbva.</t>
  </si>
  <si>
    <t>Sustento de pago PPC - Dinero en Mano / HORARIO DE PAGO: Tarde / NOTA: tt paga los s/4,000.00 segun lo acordado ,envió el comprobante de pago realizado ,vía trasferencia interbank</t>
  </si>
  <si>
    <t>Sustento de pago PPC - Dinero en Mano / HORARIO DE PAGO: Tarde / NOTA: tt paga por agente bcp</t>
  </si>
  <si>
    <t>Sustento de pago PPC - Dinero en Mano / HORARIO DE PAGO: Tarde / NOTA: tt paga por app bcp</t>
  </si>
  <si>
    <t>Sustento de pago PPC - Dinero en Mano / HORARIO DE PAGO: Tarde / NOTA: tt paga por app ibk</t>
  </si>
  <si>
    <t>Sustento de pago PPC - Dinero en Mano / HORARIO DE PAGO: Tarde / NOTA: tt paga por bcp</t>
  </si>
  <si>
    <t>Sustento de pago PPC - Dinero en Mano / HORARIO DE PAGO: Tarde / NOTA: tt paga por ibk</t>
  </si>
  <si>
    <t>Sustento de pago PPC - Dinero en Mano / HORARIO DE PAGO: Tarde / NOTA: tt paga por ibk 4pm</t>
  </si>
  <si>
    <t>Sustento de pago PPC - Dinero en Mano / HORARIO DE PAGO: Tarde / NOTA: tt paga por transf ibk</t>
  </si>
  <si>
    <t xml:space="preserve">Sustento de pago PPC - Dinero en Mano / HORARIO DE PAGO: Tarde / NOTA: tt paga s/10mil para la cancelacion de la deuda </t>
  </si>
  <si>
    <t>Sustento de pago PPC - Dinero en Mano / HORARIO DE PAGO: Tarde / NOTA: tt paga s/1100.00 en bbva mismo  ,envio comprobante de pago.</t>
  </si>
  <si>
    <t>Sustento de pago PPC - Dinero en Mano / HORARIO DE PAGO: Tarde / NOTA: tt paga s/400.00 segun lo acordado.</t>
  </si>
  <si>
    <t xml:space="preserve">Sustento de pago PPC - Dinero en Mano / HORARIO DE PAGO: Tarde / NOTA: tt paga s/4000 para cancelar deuda </t>
  </si>
  <si>
    <t>Sustento de pago PPC - Dinero en Mano / HORARIO DE PAGO: Tarde / NOTA: tt paga s/5,000.00 en el mismo banco bbva según lo coordinado.</t>
  </si>
  <si>
    <t>Sustento de pago PPC - Dinero en Mano / HORARIO DE PAGO: Tarde / NOTA: tt pagar edsa fehvca</t>
  </si>
  <si>
    <t xml:space="preserve">Sustento de pago PPC - Dinero en Mano / HORARIO DE PAGO: Tarde / NOTA: TT PAGAR SU CAMPAÑA DE CANCELACION CON 1800 PARA EL 15 YA QUE INDICA QUE ESA DEUDA NO LA SACO PERO POR PROBLEMAS NO PUDO PAGAR Y AHORA ES DA CUENTA QUE ESTA REPORTADO POR EXPERTIS Y DESEA SOLUCIONAR PARA PAGAR EL 15 A BASE DE LOS 1800 TIENE NEGOCIO PROPIO DE ABARROTES  DESEA CONCILAIR SE LE ENVIARA LA INFO A SU WATSAPP </t>
  </si>
  <si>
    <t>Sustento de pago PPC - Dinero en Mano / HORARIO DE PAGO: Tarde / NOTA: TT PAGARA 1100 FINANCIADO EN 2 CUOTAS HOY ABONARA S/550 Y EL 15 MAYO S/550 A LAS 4PM HARA EL PAGO</t>
  </si>
  <si>
    <t>Sustento de pago PPC - Dinero en Mano / HORARIO DE PAGO: Tarde / NOTA: tt pagara 219.20</t>
  </si>
  <si>
    <t>Sustento de pago PPC - Dinero en Mano / HORARIO DE PAGO: Tarde / NOTA: tt pagara 3800 y 400 soles el dia 30.04</t>
  </si>
  <si>
    <t>Sustento de pago PPC - Dinero en Mano / HORARIO DE PAGO: Tarde / NOTA: tt pagara 4:30 pm</t>
  </si>
  <si>
    <t xml:space="preserve">Sustento de pago PPC - Dinero en Mano / HORARIO DE PAGO: Tarde / NOTA: tt pagara 5pm </t>
  </si>
  <si>
    <t>Sustento de pago PPC - Dinero en Mano / HORARIO DE PAGO: Tarde / NOTA: tt pagara a las 4pm</t>
  </si>
  <si>
    <t>Sustento de pago PPC - Dinero en Mano / HORARIO DE PAGO: Tarde / NOTA: TT PAGARA CON EL IMPORTE DE S/1500.00 POR TRANSFERENCIA, INICIALMENTE MENCIONO QUE PAGARIA HOY 07/05 PERO INDICO QUE PAGARA MAÑANA VIERNES EN LA TARDE A LAS 3-4 PM, SE LE INFORMO A LA SUPER.</t>
  </si>
  <si>
    <t xml:space="preserve">Sustento de pago PPC - Dinero en Mano / HORARIO DE PAGO: Tarde / NOTA: tt pagara el 50% mañana 04.02 y la diferencia el dia 28.02 </t>
  </si>
  <si>
    <t>Sustento de pago PPC - Dinero en Mano / HORARIO DE PAGO: Tarde / NOTA: TT pagará el día de hoy el importe de 1000 y lo restante para fines de mes el día 30 de septiembre de 4000, paga hoy a las 2 o 3p.m.(motivo que labora)</t>
  </si>
  <si>
    <t xml:space="preserve">Sustento de pago PPC - Dinero en Mano / HORARIO DE PAGO: Tarde / NOTA: tt pagara el día sábado a las 7pm </t>
  </si>
  <si>
    <t>Sustento de pago PPC - Dinero en Mano / HORARIO DE PAGO: Tarde / NOTA: TT pagará en agencia antes de las 6 pm el importe de 4000</t>
  </si>
  <si>
    <t xml:space="preserve">Sustento de pago PPC - Dinero en Mano / HORARIO DE PAGO: Tarde / NOTA: tt pagara en el ibk </t>
  </si>
  <si>
    <t xml:space="preserve">Sustento de pago PPC - Dinero en Mano / HORARIO DE PAGO: Tarde / NOTA: TT PAGARA EN LA AGENCIA LOS 3000 MIL SOLES. </t>
  </si>
  <si>
    <t xml:space="preserve">Sustento de pago PPC - Dinero en Mano / HORARIO DE PAGO: Tarde / NOTA: tt pagará excepcion por S/.1,500 en banco IBK. 4 pm </t>
  </si>
  <si>
    <t xml:space="preserve">Sustento de pago PPC - Dinero en Mano / HORARIO DE PAGO: Tarde / NOTA: tt pagara hoy 225 soles y el dia 15.06 la diferencia </t>
  </si>
  <si>
    <t>Sustento de pago PPC - Dinero en Mano / HORARIO DE PAGO: Tarde / NOTA: tt pagara hoy en la misma of de ibk</t>
  </si>
  <si>
    <t xml:space="preserve">Sustento de pago PPC - Dinero en Mano / HORARIO DE PAGO: Tarde / NOTA: tt pagara hoy mismo por yape </t>
  </si>
  <si>
    <t xml:space="preserve">Sustento de pago PPC - Dinero en Mano / HORARIO DE PAGO: Tarde / NOTA: tt pagara hoy por  transferencia bcp </t>
  </si>
  <si>
    <t xml:space="preserve">Sustento de pago PPC - Dinero en Mano / HORARIO DE PAGO: Tarde / NOTA: tt pagara informa cancelacion 750 soles motivo que esa fecha le pagaran </t>
  </si>
  <si>
    <t>Sustento de pago PPC - Dinero en Mano / HORARIO DE PAGO: Tarde / NOTA: tt pagara la deuda hoy al medio dia aprox.</t>
  </si>
  <si>
    <t>Sustento de pago PPC - Dinero en Mano / HORARIO DE PAGO: Tarde / NOTA: tt pagara la deuda hoy.</t>
  </si>
  <si>
    <t xml:space="preserve">Sustento de pago PPC - Dinero en Mano / HORARIO DE PAGO: Tarde / NOTA: TT PAGARA LO 550 PARA LA CANCELACION DE SU DEUDA </t>
  </si>
  <si>
    <t>Sustento de pago PPC - Dinero en Mano / HORARIO DE PAGO: Tarde / NOTA: TT pagara para liquidar deuda.</t>
  </si>
  <si>
    <t xml:space="preserve">Sustento de pago PPC - Dinero en Mano / HORARIO DE PAGO: Tarde / NOTA: tt pagara por app bcp </t>
  </si>
  <si>
    <t xml:space="preserve">Sustento de pago PPC - Dinero en Mano / HORARIO DE PAGO: Tarde / NOTA: TT PAGARA POR APP DE BCP </t>
  </si>
  <si>
    <t xml:space="preserve">Sustento de pago PPC - Dinero en Mano / HORARIO DE PAGO: Tarde / NOTA: tt pagara por el aplicativo de  bcp y ibk </t>
  </si>
  <si>
    <t>Sustento de pago PPC - Dinero en Mano / HORARIO DE PAGO: Tarde / NOTA: tt pagara por la tarde.</t>
  </si>
  <si>
    <t xml:space="preserve">Sustento de pago PPC - Dinero en Mano / HORARIO DE PAGO: Tarde / NOTA: tt pagara por scotiabank </t>
  </si>
  <si>
    <t>Sustento de pago PPC - Dinero en Mano / HORARIO DE PAGO: Tarde / NOTA: tt pagara por transferencia bcp los 1100 , da su correo Richard.ric26@gmail.com</t>
  </si>
  <si>
    <t xml:space="preserve">Sustento de pago PPC - Dinero en Mano / HORARIO DE PAGO: Tarde / NOTA: tt pagara por yape </t>
  </si>
  <si>
    <t xml:space="preserve">Sustento de pago PPC - Dinero en Mano / HORARIO DE PAGO: Tarde / NOTA: tt pagara por yape o transf </t>
  </si>
  <si>
    <t xml:space="preserve">Sustento de pago PPC - Dinero en Mano / HORARIO DE PAGO: Tarde / NOTA: TT PAGARA SU DEUDA EL DIA 30 CON 171 SOLES </t>
  </si>
  <si>
    <t>Sustento de pago PPC - Dinero en Mano / HORARIO DE PAGO: Tarde / NOTA: TT PAGO  S/1880 PAGA POR SCOTIABANK VIA TRANSFERENCIA. CAN</t>
  </si>
  <si>
    <t xml:space="preserve">Sustento de pago PPC - Dinero en Mano / HORARIO DE PAGO: Tarde / NOTA: tt pago el monto de 1200 soles </t>
  </si>
  <si>
    <t xml:space="preserve">Sustento de pago PPC - Dinero en Mano / HORARIO DE PAGO: Tarde / NOTA: tt pagó el monto de 1500 el 30 de enero, por interbank; liquidar la deuda total </t>
  </si>
  <si>
    <t xml:space="preserve">Sustento de pago PPC - Dinero en Mano / HORARIO DE PAGO: Tarde / NOTA: tt pagó en caja arequipa </t>
  </si>
  <si>
    <t>Sustento de pago PPC - Dinero en Mano / HORARIO DE PAGO: Tarde / NOTA: tt pago hoy 16_01 s/1800 y fin de mes los 1800 que faltan .</t>
  </si>
  <si>
    <t>Sustento de pago PPC - Dinero en Mano / HORARIO DE PAGO: Tarde / NOTA: tt pago lo s/ 2,800 como se coordino .</t>
  </si>
  <si>
    <t>Sustento de pago PPC - Dinero en Mano / HORARIO DE PAGO: Tarde / NOTA: tt pago según lo acordado ,4,500 via bcp trasferencia.</t>
  </si>
  <si>
    <t>Sustento de pago PPC - Dinero en Mano / HORARIO DE PAGO: Tarde / NOTA: TT PAGÓ SEGÚN LO ACORDADO, POR BANCO BBVA</t>
  </si>
  <si>
    <t>Sustento de pago PPC - Dinero en Mano / HORARIO DE PAGO: Tarde / NOTA: TT pide comunicarnos 8am activara su wsp para enviar cuentas, pagara por banco BCP o Los Andes, bajara en Ferrocarril.</t>
  </si>
  <si>
    <t>Sustento de pago PPC - Dinero en Mano / HORARIO DE PAGO: Tarde / NOTA: tt propone  cancelar  con s/500 se le da plazo maximo 5pm la hara por tranferencia</t>
  </si>
  <si>
    <t>Sustento de pago PPC - Dinero en Mano / HORARIO DE PAGO: Tarde / NOTA: TT PROPONE CANCELACIÓN POR EL IMPORTE DE 6K, SE REALIZA LA APROBACIÓN DE EXCEPCIÓN Y GENERA PAGO VÍA BCP.</t>
  </si>
  <si>
    <t xml:space="preserve">Sustento de pago PPC - Dinero en Mano / HORARIO DE PAGO: Tarde / NOTA: TT PROPONE CANCELAR SU DEUDA CON S/650 EL DÍA DE HOY 12/03 ADELANTO DE S/ 300 SOLES (PAGO REALIZADO APP BBVA) Y EL 31/03 EL RESTANTE DE S/350 SOLES </t>
  </si>
  <si>
    <t xml:space="preserve">Sustento de pago PPC - Dinero en Mano / HORARIO DE PAGO: Tarde / NOTA: tt propone el monto de 170 para cancelar su deuda indica que fue el préstamo para un familiar pero este no pago la deuda, indica que tiene carga familiar y que el dinero fue prestado por un familiar el pago lo haría por transferencia bancaria vio Bcp el pago lo realizara a las 3pm </t>
  </si>
  <si>
    <t xml:space="preserve">Sustento de pago PPC - Dinero en Mano / HORARIO DE PAGO: Tarde / NOTA: TT QUE ESTABA A LA ESPERA DEL PAGO DE SU LIQUDIACION, INFORMA QUE YA LE ABONARON Y QUE ESPERABA A QUE LE PAGUEN MAS PERO LAMENTABLEMENTE NO LE DIERON LO ACORDADO ES POR ELLO QUE INDICA QUE TIENE A LA MANO LOS S/800 SOLES PARA CANCELAR HOY </t>
  </si>
  <si>
    <t>Sustento de pago PPC - Dinero en Mano / HORARIO DE PAGO: Tarde / NOTA: TT REALIZA ADELANTO DE 1244.67 HOY 2255.3.3 Y COMPLETA 3500 EL DIA 13 DE ENERO</t>
  </si>
  <si>
    <t>Sustento de pago PPC - Dinero en Mano / HORARIO DE PAGO: Tarde / NOTA: TT REALIZA CAMP DE 275 EL 26.05</t>
  </si>
  <si>
    <t>Sustento de pago PPC - Dinero en Mano / HORARIO DE PAGO: Tarde / NOTA: tt realiza el pago</t>
  </si>
  <si>
    <t>Sustento de pago PPC - Dinero en Mano / HORARIO DE PAGO: Tarde / NOTA: tt realiza el pago de 7000 para cancelar su deuda BBVA 26/06</t>
  </si>
  <si>
    <t>Sustento de pago PPC - Dinero en Mano / HORARIO DE PAGO: Tarde / NOTA: TT REALIZA EL PAGO DE S/5000.00 POR APP DEL BCP EL DÍA 31 DE DICIEMBRE A LAS 8:03PM</t>
  </si>
  <si>
    <t>Sustento de pago PPC - Dinero en Mano / HORARIO DE PAGO: Tarde / NOTA: tt realiza el pago hoy s/610</t>
  </si>
  <si>
    <t xml:space="preserve">Sustento de pago PPC - Dinero en Mano / HORARIO DE PAGO: Tarde / NOTA: TT REALIZA PAGO CANCELATORIO DE 1200 </t>
  </si>
  <si>
    <t>Sustento de pago PPC - Dinero en Mano / HORARIO DE PAGO: Tarde / NOTA: TT REALIZA PAGO DE 2000 POR BANCO BCP PARA CANCELAR SU DEUDA 05/12</t>
  </si>
  <si>
    <t xml:space="preserve">Sustento de pago PPC - Dinero en Mano / HORARIO DE PAGO: Tarde / NOTA: tt realiza pago del monto de 190 soles por el app del bcp </t>
  </si>
  <si>
    <t>Sustento de pago PPC - Dinero en Mano / HORARIO DE PAGO: Tarde / NOTA: tt realizar pago de 1000 soles hoy 31.03  en agente bbva</t>
  </si>
  <si>
    <t>Sustento de pago PPC - Dinero en Mano / HORARIO DE PAGO: Tarde / NOTA: tt realizar pago de 500 soles el dia 26.12 por transf, bcp , hoy 19.12 abonara 100 soles y el dia 26.12  el monto de 400 soles a las 03pm</t>
  </si>
  <si>
    <t>Sustento de pago PPC - Dinero en Mano / HORARIO DE PAGO: Tarde / NOTA: tt realizara  pago de 1500  cuota 2 de 2  el día 31/12  en las cuentas corrientes autorizadas a las horas de la tarde</t>
  </si>
  <si>
    <t xml:space="preserve">Sustento de pago PPC - Dinero en Mano / HORARIO DE PAGO: Tarde / NOTA: TT REALIZARA ABONO DE 600 , COMENTA QUE NO HA PODIDO PAGAR POR UNA LESIÓN QUE TENIA EN EL BRAZO Y NO PUDO ESTAR LABORANDO, </t>
  </si>
  <si>
    <t>Sustento de pago PPC - Dinero en Mano / HORARIO DE PAGO: Tarde / NOTA: TT REALIZARÁ ABONO DE S/900, EXCEPCIÓN APROBADA.</t>
  </si>
  <si>
    <t>Sustento de pago PPC - Dinero en Mano / HORARIO DE PAGO: Tarde / NOTA: tt realizara adelanto el dia lunes 07 de 190 y el restante para fin de mes de 300</t>
  </si>
  <si>
    <t xml:space="preserve">Sustento de pago PPC - Dinero en Mano / HORARIO DE PAGO: Tarde / NOTA: Tt realizara adelanto hoy de 3500 soles y 500 el dia 31 diciembre manda su correo para acuerdo deyvid.ap12358@gmail.com </t>
  </si>
  <si>
    <t>Sustento de pago PPC - Dinero en Mano / HORARIO DE PAGO: Tarde / NOTA: TT REALIZARA CANCELACION EN BASE A DK S/. 245 // MAÑANA 15/07 REALIZARA ADELANTO DE S/. 50 Y DIFERENCIA S/. 195 PARA EL DIA VIERNES 18/07 // PAGO SE REALIZARA VIA DEPOSITO BCP.</t>
  </si>
  <si>
    <t>Sustento de pago PPC - Dinero en Mano / HORARIO DE PAGO: Tarde / NOTA: TT REALIZARA CANCELACION EN BASE A DT S/. 248 // PAGO SE REALIZARA EN 2 PARTES, 1ER ABONO S/. 124 EN FECHA 12/07 Y DIFERENCIA S/. 124 EN FECHA 21/07 VIA TRANSFERENCIA BCP.</t>
  </si>
  <si>
    <t>Sustento de pago PPC - Dinero en Mano / HORARIO DE PAGO: Tarde / NOTA: tt realizara el abono de 500 el dia de hoy y los 3500 para el dia 31</t>
  </si>
  <si>
    <t>Sustento de pago PPC - Dinero en Mano / HORARIO DE PAGO: Tarde / NOTA: tt realizara el pago de 10,000 soles el dia 30.05   por transf bcp ,  primer abono de 5000 soles lo hara el dia 24.05 y el dia 30.05 otro abono de 5000 soles</t>
  </si>
  <si>
    <t>Sustento de pago PPC - Dinero en Mano / HORARIO DE PAGO: Tarde / NOTA: TT REALIZARA EL PAGO DE 13070 PARA EL DIA VIERNES EN AGENCIA BBVA APROX DE 3 A 4 PM</t>
  </si>
  <si>
    <t xml:space="preserve">Sustento de pago PPC - Dinero en Mano / HORARIO DE PAGO: Tarde / NOTA: TT REALIZARA EL PAGO DE 325.42 ABONANDO EL DIA DE HOY 200 Y EL RESTANTE AL DIA VIERNES 5 LO REALIZARA POR APP BCP Y SE LE ENVIARA DOCUMENTO POR WSP </t>
  </si>
  <si>
    <t xml:space="preserve">Sustento de pago PPC - Dinero en Mano / HORARIO DE PAGO: Tarde / NOTA: TT REALIZARA EL PAGO DE 3500 PARA EL DIA DE MAÑNA QUE LE  ENVIEMOS EL CORREO DE CANCELACION LO REALIZARA EN VENTANILLA DE BBVA A LA 1 PM APROX SE ENVIA POR CORREO  fras_250684@hotmail.com  DOCUMENTO DE CANCELACION </t>
  </si>
  <si>
    <t xml:space="preserve">Sustento de pago PPC - Dinero en Mano / HORARIO DE PAGO: Tarde / NOTA: TT REALIZARA EL PAGO DE SU ULTIMA CUOTA </t>
  </si>
  <si>
    <t xml:space="preserve">Sustento de pago PPC - Dinero en Mano / HORARIO DE PAGO: Tarde / NOTA: tt realizara el pago de su ultima cuota de 500 cuota 13 de 13 el día 30.12 por agente bcp </t>
  </si>
  <si>
    <t xml:space="preserve">Sustento de pago PPC - Dinero en Mano / HORARIO DE PAGO: Tarde / NOTA: TT REALIZARA EL PAGO EL DIA 26 COMO CORRRESPONDE A LA NEGOCIACION </t>
  </si>
  <si>
    <t>Sustento de pago PPC - Dinero en Mano / HORARIO DE PAGO: Tarde / NOTA: TT REALIZARA EL PAGO EL DIA LUNES 17 COMO PAGO DE LA ULTIMA CUOTA POR APP BCP EL DIA 17</t>
  </si>
  <si>
    <t>Sustento de pago PPC - Dinero en Mano / HORARIO DE PAGO: Tarde / NOTA: TT REALIZARA EL PAGO POR APLICATIVO BCP POR LA TARDE</t>
  </si>
  <si>
    <t>Sustento de pago PPC - Dinero en Mano / HORARIO DE PAGO: Tarde / NOTA: TT REALIZARA EL PAGO POR APLICATIVO IBK</t>
  </si>
  <si>
    <t xml:space="preserve">Sustento de pago PPC - Dinero en Mano / HORARIO DE PAGO: Tarde / NOTA: TT REALIZARA EL PAGO POR APP BCP EN TOTAL DE 6K , HOY 5K Y EL RESTANTE A FIN DE MES </t>
  </si>
  <si>
    <t>Sustento de pago PPC - Dinero en Mano / HORARIO DE PAGO: Tarde / NOTA: TT REALIZARA EL PAGO POR APP IBK</t>
  </si>
  <si>
    <t>Sustento de pago PPC - Dinero en Mano / HORARIO DE PAGO: Tarde / NOTA: tt realizara pago 3500 el día 31/03  por transferencia scotiabank</t>
  </si>
  <si>
    <t>Sustento de pago PPC - Dinero en Mano / HORARIO DE PAGO: Tarde / NOTA: TT REALIZARA PAGO CANCELACION EN BASE A EXCEPCION DE S/.18000 // FECHA 07/02 VIA TRASNFERENCIA BANCARIA.</t>
  </si>
  <si>
    <t xml:space="preserve">Sustento de pago PPC - Dinero en Mano / HORARIO DE PAGO: Tarde / NOTA: tt realizara pago de 1200 el dia 07.04  por tranferencia bcp </t>
  </si>
  <si>
    <t xml:space="preserve">Sustento de pago PPC - Dinero en Mano / HORARIO DE PAGO: Tarde / NOTA: TT REALIZARA PAGO DE 15K EN DOS PARTES EL DIA DE HOY 12K Y 3K PARA EL VIERNES 28 </t>
  </si>
  <si>
    <t>Sustento de pago PPC - Dinero en Mano / HORARIO DE PAGO: Tarde / NOTA: TT REALIZARA PAGO DE 1950 PARA LIQUIDAR LA CUENTA EN AGENCIA BBVA</t>
  </si>
  <si>
    <t xml:space="preserve">Sustento de pago PPC - Dinero en Mano / HORARIO DE PAGO: Tarde / NOTA: TT REALIZARA PAGO DE 250 PARA CUMPLIR LA EXCEPCION EL DIA 30 </t>
  </si>
  <si>
    <t xml:space="preserve">Sustento de pago PPC - Dinero en Mano / HORARIO DE PAGO: Tarde / NOTA: tt realizara pago de 2597 soles  eldia 29.01 en caja trujilo de talara </t>
  </si>
  <si>
    <t xml:space="preserve">Sustento de pago PPC - Dinero en Mano / HORARIO DE PAGO: Tarde / NOTA: tt realizara pago de 266 el dia 06.1 en agente bcp  a las 03pm  </t>
  </si>
  <si>
    <t xml:space="preserve">Sustento de pago PPC - Dinero en Mano / HORARIO DE PAGO: Tarde / NOTA: TT REALIZARA PAGO DE 3200 EL DIA DE HOY Y 2800 A FIN DE MES </t>
  </si>
  <si>
    <t>Sustento de pago PPC - Dinero en Mano / HORARIO DE PAGO: Tarde / NOTA: tt realizara pago de 350 soles hoy 17/06 por yape  se le envió información   realizara entre 01 a 02pm esta esperando a familiar para realizar el pago ya que ella no sabe mucho  los pagos digitales.</t>
  </si>
  <si>
    <t>Sustento de pago PPC - Dinero en Mano / HORARIO DE PAGO: Tarde / NOTA: TT REALIZARA PAGO DE 3500 PARA EL DIA DE MAÑANA EN LA AGENCIA INTERBANK APROX DE LAS 3 PM</t>
  </si>
  <si>
    <t>Sustento de pago PPC - Dinero en Mano / HORARIO DE PAGO: Tarde / NOTA: tt realizara pago de 3500 soles  hoy 04/05   por transferencia bcp  en forma inmediata</t>
  </si>
  <si>
    <t xml:space="preserve">Sustento de pago PPC - Dinero en Mano / HORARIO DE PAGO: Tarde / NOTA: tt realizara pago de 3500 soles hoy 06.05 por transferencia BCP  En forma inmediata </t>
  </si>
  <si>
    <t xml:space="preserve">Sustento de pago PPC - Dinero en Mano / HORARIO DE PAGO: Tarde / NOTA: tt realizara pago de 400 </t>
  </si>
  <si>
    <t xml:space="preserve">Sustento de pago PPC - Dinero en Mano / HORARIO DE PAGO: Tarde / NOTA: tt realizara pago de 420  hoy 25.05 por transferencia bcp </t>
  </si>
  <si>
    <t xml:space="preserve">Sustento de pago PPC - Dinero en Mano / HORARIO DE PAGO: Tarde / NOTA: TT REALIZARA PAGO DE 50 SOLES POR APP </t>
  </si>
  <si>
    <t xml:space="preserve">Sustento de pago PPC - Dinero en Mano / HORARIO DE PAGO: Tarde / NOTA: TT REALIZARA PAGO DE 8K EN TOTAL PERO EL DIA DE HOY ABONARA 5K Y EL RESTANTE DE 3K EL DIA LUNES 17 , EL DIA DE HOY LO REALIZARA POR BANCO DE LA NACION </t>
  </si>
  <si>
    <t>Sustento de pago PPC - Dinero en Mano / HORARIO DE PAGO: Tarde / NOTA: tt realizara pago de 920 el dia 30.04   por transferencia bcp  ,  hara primer abono de 460 el dia de hoy 21.04 y segundo abono de 460 el dia  30.04</t>
  </si>
  <si>
    <t>Sustento de pago PPC - Dinero en Mano / HORARIO DE PAGO: Tarde / NOTA: tt realizara pago de adelanto hoy de 1000 y hasta el 29/05 completara los 4000 que le falta se le envia compromiso de pago via wsp pago lo hara por transferencia</t>
  </si>
  <si>
    <t>Sustento de pago PPC - Dinero en Mano / HORARIO DE PAGO: Tarde / NOTA: TT REALIZARA PAGO DE LA ULTIMA CUOTA DE SU CRONOGRAMA POR APP BBVA</t>
  </si>
  <si>
    <t xml:space="preserve">Sustento de pago PPC - Dinero en Mano / HORARIO DE PAGO: Tarde / NOTA: TT REALIZARA PAGO DE MIL SOLES EL DIA DE HOY Y EL 28  DE FEBRERO LOS 19K </t>
  </si>
  <si>
    <t>Sustento de pago PPC - Dinero en Mano / HORARIO DE PAGO: Tarde / NOTA: tt realizara pago de s/. 1200 bajo excepcion// 1er pago 03/09 por s/. 600 (dinero en mano) y diferencia de s/. 600 (pago de trabajo en construccion) en fecha 25/09 // via bcp.</t>
  </si>
  <si>
    <t xml:space="preserve">Sustento de pago PPC - Dinero en Mano / HORARIO DE PAGO: Tarde / NOTA: tt realizara pago ded ultima cuota de 800 por ibk </t>
  </si>
  <si>
    <t>Sustento de pago PPC - Dinero en Mano / HORARIO DE PAGO: Tarde / NOTA: tt realizara pago excepcion importe s/. 1500 // fecha de pago 12/12 via app bcp // dinero en mano.</t>
  </si>
  <si>
    <t>Sustento de pago PPC - Dinero en Mano / HORARIO DE PAGO: Tarde / NOTA: TT REALIZARA PAGO POR AGENCIA BBVA DE 1K A LAS 3 PM</t>
  </si>
  <si>
    <t xml:space="preserve">Sustento de pago PPC - Dinero en Mano / HORARIO DE PAGO: Tarde / NOTA: tt realizara pago por app bcp </t>
  </si>
  <si>
    <t>Sustento de pago PPC - Dinero en Mano / HORARIO DE PAGO: Tarde / NOTA: TT REALIZARA PAGO POR APP BCP LA CANCELACIONN</t>
  </si>
  <si>
    <t>Sustento de pago PPC - Dinero en Mano / HORARIO DE PAGO: Tarde / NOTA: TT REALIZARA PAGO POR APP SCOTIABANK</t>
  </si>
  <si>
    <t>Sustento de pago PPC - Dinero en Mano / HORARIO DE PAGO: Tarde / NOTA: tt realizara pago s/. 900 excepcion // 1er abono s/. 700 25/07 y diferencia s/. 200 26/07 //</t>
  </si>
  <si>
    <t xml:space="preserve">Sustento de pago PPC - Dinero en Mano / HORARIO DE PAGO: Tarde / NOTA: TT REALIZO ADELANTO DE 300 SOLES POR APP BANCO BBVA </t>
  </si>
  <si>
    <t>Sustento de pago PPC - Dinero en Mano / HORARIO DE PAGO: Tarde / NOTA: TT realizo pago de 2000 el dia 13.09 en caja trujillo</t>
  </si>
  <si>
    <t>Sustento de pago PPC - Dinero en Mano / HORARIO DE PAGO: Tarde / NOTA: tt realizo pago de 5K ayer y completo importe de 2K via BCP.</t>
  </si>
  <si>
    <t>Sustento de pago PPC - Dinero en Mano / HORARIO DE PAGO: Tarde / NOTA: TT REALIZO PAGO EL 13 DE MAYO</t>
  </si>
  <si>
    <t xml:space="preserve">Sustento de pago PPC - Dinero en Mano / HORARIO DE PAGO: Tarde / NOTA: TT REALIZO PAGO EL DIA 12 DE MAYO </t>
  </si>
  <si>
    <t xml:space="preserve">Sustento de pago PPC - Dinero en Mano / HORARIO DE PAGO: Tarde / NOTA: TT REALIZO PAGO EL DIA 15 DE MAYO </t>
  </si>
  <si>
    <t xml:space="preserve">Sustento de pago PPC - Dinero en Mano / HORARIO DE PAGO: Tarde / NOTA: TT REALIZO PAGO EL DIA DE AYER, MANDO COMPROBANTE DE PAGO BCP </t>
  </si>
  <si>
    <t xml:space="preserve">Sustento de pago PPC - Dinero en Mano / HORARIO DE PAGO: Tarde / NOTA: tt realizo pago por banco bbva </t>
  </si>
  <si>
    <t>Sustento de pago PPC - Dinero en Mano / HORARIO DE PAGO: Tarde / NOTA: tt realizó pago por pago de servicios bcp importe aprobado de 200 soles fecha 13/08, adjuntó comprobante de pago servicios por wsp.</t>
  </si>
  <si>
    <t>Sustento de pago PPC - Dinero en Mano / HORARIO DE PAGO: Tarde / NOTA: TT realizo pago vía Banco de la Nación</t>
  </si>
  <si>
    <t>Sustento de pago PPC - Dinero en Mano / HORARIO DE PAGO: Tarde / NOTA: TT realizó transferencia por APP</t>
  </si>
  <si>
    <t>Sustento de pago PPC - Dinero en Mano / HORARIO DE PAGO: Tarde / NOTA: TT REGULARIZA CANCELACIÓN DE DEUDA, ENVÍA COMPROBANTE DE PAGO</t>
  </si>
  <si>
    <t xml:space="preserve">Sustento de pago PPC - Dinero en Mano / HORARIO DE PAGO: Tarde / NOTA: TT RELIZARA PAGO DE  6 MIL SOLES PARA LIQUIDAR LA DEUDA </t>
  </si>
  <si>
    <t xml:space="preserve">Sustento de pago PPC - Dinero en Mano / HORARIO DE PAGO: Tarde / NOTA: TT SE ACEPTA CANC 300 SOLES POR YAPE O TRANSFERENCIA DE MANERA INMEDIATA </t>
  </si>
  <si>
    <t xml:space="preserve">Sustento de pago PPC - Dinero en Mano / HORARIO DE PAGO: Tarde / NOTA: tt se acercara a la  agencia  del banco </t>
  </si>
  <si>
    <t xml:space="preserve">Sustento de pago PPC - Dinero en Mano / HORARIO DE PAGO: Tarde / NOTA: TT SE ACERCARA CON LOS 300 SOLES QUE TIENE EN SU PODER PARA LIQUIDAR PENDIENTE </t>
  </si>
  <si>
    <t>Sustento de pago PPC - Dinero en Mano / HORARIO DE PAGO: Tarde / NOTA: TT SE ACERCO A OFICINA, POSTERIOR SE COMUNICO, SE OFRECIO CANCELACION EN BASE A DT, DK, INDICA QUE LO MAXIMO QUE PODRIA REUNIR SERIA HASTA 3K, CONFIRMA ESTARA REALIZANDO CANCELACION TOTAL EN BASE A 3K PARA EL DIA 30/05 VIA DEPOSITO BCP // SUSTENTO DE PAGO, RECIBIRA UN DINERO EN ESA FECHA.</t>
  </si>
  <si>
    <t>Sustento de pago PPC - Dinero en Mano / HORARIO DE PAGO: Tarde / NOTA: tt se acoge a campaña 450 soles pagara 225 soles 12/11/2025 y 225 soles el 28/11/2025 lo pagara por la app del bcp a espra del voucher para modificar fecha al 28/11</t>
  </si>
  <si>
    <t>Sustento de pago PPC - Dinero en Mano / HORARIO DE PAGO: Tarde / NOTA: TT se acoge a campaña MIN1:140, menciona que cancelara hoy en agente BCP, Se brindo DK: 346.05</t>
  </si>
  <si>
    <t>Sustento de pago PPC - Dinero en Mano / HORARIO DE PAGO: Tarde / NOTA: tt se acoge a campaña por el importe de 335 soles pagara 100 soles 15/07 y 235 soles el 30/07 se programa todo para el 15 si envia el voucher se modifica la fecha al 30</t>
  </si>
  <si>
    <t>Sustento de pago PPC - Dinero en Mano / HORARIO DE PAGO: Tarde / NOTA: TT SE ACOGE A CANCELAR DT. CON EXCEPCION DE 400.00 SOLES, INDICO QUE ESTA ALMORZANDO EN UNA HORA ESTARA REALIZANDO EL PAGO.</t>
  </si>
  <si>
    <t>Sustento de pago PPC - Dinero en Mano / HORARIO DE PAGO: Tarde / NOTA: TT SE ACOGE A MC 1900 / ADL 1000 HOY Y DIF DE 900 EL 18-09 / MENCIONA QUE SUFRIO UN ACCIDENTE POR ESO SE GENERO LA DEUDA, ESTA TRABAJANDO Y DONDE ESTA NO HAY FINANCIERAS, SU ESPOSA GENERARA EL PAGO EN AGENTE BCP./ ENVIARA VOUCHER POR WSP</t>
  </si>
  <si>
    <t xml:space="preserve">Sustento de pago PPC - Dinero en Mano / HORARIO DE PAGO: Tarde / NOTA: tt se aprueba excdepcion paga 300 mañana  5-6  y 200 al 28-6 </t>
  </si>
  <si>
    <t>Sustento de pago PPC - Dinero en Mano / HORARIO DE PAGO: Tarde / NOTA: TT SE COMPROMETE A CANCELAR CON EL IMPORTE DE S /183</t>
  </si>
  <si>
    <t xml:space="preserve">Sustento de pago PPC - Dinero en Mano / HORARIO DE PAGO: Tarde / NOTA: tt se compromete a cancelar con el importe de s/ 210 </t>
  </si>
  <si>
    <t>Sustento de pago PPC - Dinero en Mano / HORARIO DE PAGO: Tarde / NOTA: TT se compromete a cancelar con el importe de s/ 8,000</t>
  </si>
  <si>
    <t>Sustento de pago PPC - Dinero en Mano / HORARIO DE PAGO: Tarde / NOTA: tt se compromete a cancelar con el importe de s/.1,000</t>
  </si>
  <si>
    <t>Sustento de pago PPC - Dinero en Mano / HORARIO DE PAGO: Tarde / NOTA: tt se compromete a cancelar con el importe de s/.110</t>
  </si>
  <si>
    <t>Sustento de pago PPC - Dinero en Mano / HORARIO DE PAGO: Tarde / NOTA: tt se compromete a cancelar con el importe de s/.400  trara de pagar hoy 22.4</t>
  </si>
  <si>
    <t>Sustento de pago PPC - Dinero en Mano / HORARIO DE PAGO: Tarde / NOTA: tt se compromete a cancelar con el importe s/. 1,000</t>
  </si>
  <si>
    <t>Sustento de pago PPC - Dinero en Mano / HORARIO DE PAGO: Tarde / NOTA: TT se compromete a cancelar el importe de s/ 250</t>
  </si>
  <si>
    <t xml:space="preserve">Sustento de pago PPC - Dinero en Mano / HORARIO DE PAGO: Tarde / NOTA: tt se compromete a pagar hoy 361 soles y el dia 14.02 el monto de 360.50 , el 28.02 el monto de 721.50 total 1443 soles </t>
  </si>
  <si>
    <t>Sustento de pago PPC - Dinero en Mano / HORARIO DE PAGO: Tarde / NOTA: tt se compromete a pagar hoy s/500,00 y el dia viernes 27 s/3500 ,siendo un total a pagar de s/4,000.00 , el pago se hará en el mismo banco.</t>
  </si>
  <si>
    <t>Sustento de pago PPC - Dinero en Mano / HORARIO DE PAGO: Tarde / NOTA: TT SE COMPROMETE EL DIA VIERNES LOS 95 SOLES, POR LA TARDE, SE ENVIA DOCUMENTO VIA WSP CEDENCIA DE LA DEUDA</t>
  </si>
  <si>
    <t>Sustento de pago PPC - Dinero en Mano / HORARIO DE PAGO: Tarde / NOTA: TT SE COMUNICA INDICANDO QUE DESEA SOLUCIONAR QUE DESEA QUE SUS CUOTAS PUEDA PAGARLA SE LE INDICA QUE ACTUALMENTE SOLO SE PUEDE BRINDAR PARA LIQUIDACION SE LE BRINDA EL IMPORTE DE 777  INDICA QUE HOY PAGARA 500 Y EL DIA 29 277 LO PUEDE ABONAR POR AGENTE BCP ANTES DE LAS 4.30 PM SE LE ENVIA LAS CUENTAS POR WHATSAPP</t>
  </si>
  <si>
    <t xml:space="preserve">Sustento de pago PPC - Dinero en Mano / HORARIO DE PAGO: Tarde / NOTA: TT se comunica y confirma la cancelación con el monto de 23k soles hasta el 30.05 dado que salio de viaje y estaria pagndo 5$ equivalente a 18k en lso próximos dias no define la echa pero si antes del 30.05 tl importe acordado. Solicta documento pro correo yusef.simon.val@gmail.com y x whastapp. </t>
  </si>
  <si>
    <t xml:space="preserve">Sustento de pago PPC - Dinero en Mano / HORARIO DE PAGO: Tarde / NOTA: tt se comunico e indica q puede solucionar el pendiente con 2800 soles se consullto y aprobaron el importe lo pago el dia 01/07/2025 envio voucher de pago al wsp pago 2000 en bbva y 800 en scotia </t>
  </si>
  <si>
    <t>Sustento de pago PPC - Dinero en Mano / HORARIO DE PAGO: Tarde / NOTA: TT SE ENCUENTRA  EN OFICINA DE CAJA  AREQUIPA PAGARA  570</t>
  </si>
  <si>
    <t xml:space="preserve">Sustento de pago PPC - Dinero en Mano / HORARIO DE PAGO: Tarde / NOTA: tt se encuentra conforme con camp ofrecida por el monto de s/480 realizará pago por yape </t>
  </si>
  <si>
    <t xml:space="preserve">Sustento de pago PPC - Dinero en Mano / HORARIO DE PAGO: Tarde / NOTA: tt se genera confirmacion can 2450 - hara anticipo de 2mil hoy  y 450 fin de mes - envia correo Takeshi.inoguchi27@gmail.com </t>
  </si>
  <si>
    <t xml:space="preserve">Sustento de pago PPC - Dinero en Mano / HORARIO DE PAGO: Tarde / NOTA: tt se le brinda campaña de 1000 soles adelanto 500 </t>
  </si>
  <si>
    <t>Sustento de pago PPC - Dinero en Mano / HORARIO DE PAGO: Tarde / NOTA: TT SE LE BRINDA LA APROBACION EN CANCELAR EL IMPORTE DE 4500 EN DOS PARTES 500 EL DIA VIERNES Y 4K EL DIA 18 JUEVES SE LE ENVIA POR CORREO EL DOCUMENTO derysabina20@gmail.com LO REALIZARA  A LAS 4 PM EN BBVA</t>
  </si>
  <si>
    <t>Sustento de pago PPC - Dinero en Mano / HORARIO DE PAGO: Tarde / NOTA: tt se le envia compromiso de pago via wsp y cuentas de la empresa hoy hara adelanto de S/1000.00 y hasta el 30/04 pagara la diferencia de S/3970.00</t>
  </si>
  <si>
    <t>Sustento de pago PPC - Dinero en Mano / HORARIO DE PAGO: Tarde / NOTA: TT SE LE ENVIA COMPROMISO DE PAGO Y CUENTAS A NOMBRE DE EXPERTIS SE LE INDICA QUE EXCEPCION ES POR UNICA VEZ</t>
  </si>
  <si>
    <t xml:space="preserve">Sustento de pago PPC - Dinero en Mano / HORARIO DE PAGO: Tarde / NOTA: tt se le hace un ajuste a 400 soles si el pago es hoy mismo ,hara el pago en caja los andes una vez validada la información brindada se le envía la  notificación de la deuda </t>
  </si>
  <si>
    <t xml:space="preserve">Sustento de pago PPC - Dinero en Mano / HORARIO DE PAGO: Tarde / NOTA: tt se le informa su dk y se le da can de 350 accede pagara el dia viernes pide que le recuerden el día jueves por llamada </t>
  </si>
  <si>
    <t>Sustento de pago PPC - Dinero en Mano / HORARIO DE PAGO: Tarde / NOTA: TT solicita apoyo para liquidar su deuda con 2800, menciona que estaría realizando el pago mediante transferencia scotiabank, Se brindo DK - 27,337.85 , C1 - 6768, CAMPAÑA ESPECIAL de 3768 pero TT indico solo disponer de 2500, Se solicito mejora a 2800 para evaluar a lo cual ya confirmo tener la disposición del dinero.</t>
  </si>
  <si>
    <t>Sustento de pago PPC - Dinero en Mano / HORARIO DE PAGO: Tarde / NOTA: tt solicito apoyo para cancelar bajo importe de 4k, menciona no estar laborando de manera formal que solo dispone de ingresos limitados, el dinero proviene de un familiar el cual lo esta apoyando en la negociacion de sus deudas. fecha de pago: 11/11</t>
  </si>
  <si>
    <t xml:space="preserve">Sustento de pago PPC - Dinero en Mano / HORARIO DE PAGO: Tarde / NOTA: tt tiene dinero en efectivo </t>
  </si>
  <si>
    <t>Sustento de pago PPC - Dinero en Mano / HORARIO DE PAGO: Tarde / NOTA: TT tiene el dinero</t>
  </si>
  <si>
    <t>Sustento de pago PPC - Dinero en Mano / HORARIO DE PAGO: Tarde / NOTA: TT va a realizar su pago por el importe de s/180 soles en agente de bcp antes de las 4pm</t>
  </si>
  <si>
    <t>Sustento de pago PPC - Dinero en Mano / HORARIO DE PAGO: Tarde / NOTA: tt ya esta saliendo del trabajo y hara la transferencia.</t>
  </si>
  <si>
    <t>Sustento de pago PPC - Dinero en Mano / HORARIO DE PAGO: Tarde / NOTA: TT, NOS INDICA QUE TUVO INCONVENIENTES,  QUE EL DIA 22 ESTARA CANCELANDO LOS 580 SOLES, POR BCP,   PERO EL DIA JUEVES 08 HARÁ UN DEPOSITO DE 100 SOLES Y EL DIA JUEVES 22 PAGA LA DIFERENCIA DE LOS 480 SOLES,  ENVIAR NUEVAMENTE LOS MEDIOS DE PAGO</t>
  </si>
  <si>
    <t xml:space="preserve">Sustento de pago PPC - Dinero en Mano / HORARIO DE PAGO: Tarde / NOTA: tt. abonara en oficina san sebastian </t>
  </si>
  <si>
    <t xml:space="preserve">Sustento de pago PPC - Dinero en Mano / HORARIO DE PAGO: Tarde / NOTA: tt. indica que se acercara a oficina caja trujillo  </t>
  </si>
  <si>
    <t xml:space="preserve">Sustento de pago PPC - Dinero en Mano / HORARIO DE PAGO: Tarde / NOTA: TT. solo dispone s/2000  abonara por agente bcp  , viajo a la ciudad  </t>
  </si>
  <si>
    <t xml:space="preserve">Sustento de pago PPC - Dinero en Mano / HORARIO DE PAGO: Tarde / NOTA: TT. tiene dinero en mano esposo le presto s/200  es ama de casa , cancelara por app bcp </t>
  </si>
  <si>
    <t>Sustento de pago PPC - Dinero en Mano / HORARIO DE PAGO: Tarde / NOTA: tti hara pago cn ecpecion</t>
  </si>
  <si>
    <t>Sustento de pago PPC - Dinero en Mano / HORARIO DE PAGO: Tarde / NOTA: tti hara pago cn exepccion</t>
  </si>
  <si>
    <t>Sustento de pago PPC - Dinero en Mano / HORARIO DE PAGO: Tarde / NOTA: tti paga cn ecepcion aprobada</t>
  </si>
  <si>
    <t>Sustento de pago PPC - Dinero en Mano / HORARIO DE PAGO: Tarde / NOTA: ttt abona mañana 12 / 200 soles y los mill el dia 24</t>
  </si>
  <si>
    <t xml:space="preserve">Sustento de pago PPC - Dinero en Mano / HORARIO DE PAGO: Tarde / NOTA: ultima  cuota 3 de 3   s/268   informa   pagara el   15 a las 4pm   motivo antes no puede yaque tiene que juntar el dinero </t>
  </si>
  <si>
    <t>Sustento de pago PPC - Dinero en Mano / HORARIO DE PAGO: Tarde / NOTA: ULTIMA CUOTA</t>
  </si>
  <si>
    <t>Sustento de pago PPC - Dinero en Mano / HORARIO DE PAGO: Tarde / NOTA: ultima cuota de pago en vigencia 312 soles a cancelar segun cronograma</t>
  </si>
  <si>
    <t>Sustento de pago PPC - Dinero en Mano / HORARIO DE PAGO: Tarde / NOTA: ultima cuota de ppm. can con 330soles</t>
  </si>
  <si>
    <t xml:space="preserve">Sustento de pago PPC - Dinero en Mano / HORARIO DE PAGO: Tarde / NOTA: ULTIMA CUOTA DE S/400 SOLES </t>
  </si>
  <si>
    <t>Sustento de pago PPC - Dinero en Mano / HORARIO DE PAGO: Tarde / NOTA: ya dispone del dinero por falta de tiempo maximo lo pagaria el viernes</t>
  </si>
  <si>
    <t xml:space="preserve">Sustento de pago PPC - Es titular y corta llamada (Llamada Larga) / HORARIO DE PAGO: Mañana / NOTA: TT CONFIRMA PAGA MARTES 12 -5 EL TOTAL SE ENVÍO MEDIOS DE VALIDAR CESIÓN  ENVIO CARTA PAGA ANTES DE LAS 4PM </t>
  </si>
  <si>
    <t xml:space="preserve">Sustento de pago PPC - Liquidación, AFP, ahorros / HORARIO DE PAGO: Mañana / NOTA: </t>
  </si>
  <si>
    <t>Sustento de pago PPC - Liquidación, AFP, ahorros / HORARIO DE PAGO: Mañana / NOTA:  SE BRINDA DT 378.28 DK 221.07 A TT CAN 200 MENCIONA QUE QUIERE REGULARIZAR LA DEUDA EL ESTARIA PAGANDO EL DIA MARTES 17 ANTES DE LAS 5 DE LA TARDE .</t>
  </si>
  <si>
    <t>Sustento de pago PPC - Liquidación, AFP, ahorros / HORARIO DE PAGO: Mañana / NOTA:  TITULAR AHORRRO 5K. SALDO RESTANTE SERA REALIZADO CON LA SEGUNDA UIT DE SU AFP. EL 20.07(SU ESPOSA NO LE QUISO PRESTAR O APOYAR PARA LIQUIDR ANTES DE FECHA)EL PAGO SERA REALIZADO POR EL APP DEL BCP</t>
  </si>
  <si>
    <t xml:space="preserve">Sustento de pago PPC - Liquidación, AFP, ahorros / HORARIO DE PAGO: Mañana / NOTA:  tt accede hoy 18-05 paga  s/115 y 29-05 s/115. TOTAL s/230 </t>
  </si>
  <si>
    <t>Sustento de pago PPC - Liquidación, AFP, ahorros / HORARIO DE PAGO: Mañana / NOTA:  TT DICE INCOMODA POR LA LLAMADA. CUENTA CON SU CRONOGRAMA DE PAGO. TIENE CONOCIMIENTO QUE TIENE QUE PAGAR 2MIL EL 31.08. SE MENCIONA FERIADO. PARA QUE PUEDA SER GENERADO QUIZÁ ANTES DE FECHA. (ÚLTIMA CUOTA PPM )</t>
  </si>
  <si>
    <t>Sustento de pago PPC - Liquidación, AFP, ahorros / HORARIO DE PAGO: Mañana / NOTA: aceptan propuesta del tit por 7000</t>
  </si>
  <si>
    <t>medio de pago : IBK</t>
  </si>
  <si>
    <t xml:space="preserve">hora de pago : 9am </t>
  </si>
  <si>
    <t xml:space="preserve">Sustento de pago PPC - Liquidación, AFP, ahorros / HORARIO DE PAGO: Mañana / NOTA: Aceptan propuesta del tit realizara el pago de los 800 en POS expertis mañana vendrá a las 10am </t>
  </si>
  <si>
    <t xml:space="preserve">Sustento de pago PPC - Liquidación, AFP, ahorros / HORARIO DE PAGO: Mañana / NOTA: cancelación importe 30,000 soles </t>
  </si>
  <si>
    <t>3,000 soles  -  19/03</t>
  </si>
  <si>
    <t xml:space="preserve">27,000 soles  -  31/03 </t>
  </si>
  <si>
    <t xml:space="preserve">Sustento de pago PPC - Liquidación, AFP, ahorros / HORARIO DE PAGO: Mañana / NOTA: cl realizara pago por 1000 aprobado su excepcionv realziara pago por agente </t>
  </si>
  <si>
    <t xml:space="preserve">Sustento de pago PPC - Liquidación, AFP, ahorros / HORARIO DE PAGO: Mañana / NOTA: D.T. 12,532.38 D.K. S/ 8,588.54 SE LE OFRECIO M1 S/3,005.98 TT MENCIONA Q LE LLEGO CAMPAÑA  X  S/1200 EN DICIEMBRE SE LE MENCIONA QUE YA NO ESTA  DISPONIBLE  PORPONE MEJORAR  A  S/1700 SOLES CON LA CONDICION QUE ABONE  HOY S/200 SOLES POR LA TARDE X  AGENTE BCP   Y DIFERENCIA S/1500. PARA EL  DIA 17/7/2025 </t>
  </si>
  <si>
    <t>Sustento de pago PPC - Liquidación, AFP, ahorros / HORARIO DE PAGO: Mañana / NOTA: D.T. S/ 2,758.36 DK S/ 2,041.74 SE LE OFRECE  M2 S/ 1560. LE LLEGO UN MENSAJE POR S/1186 SOLES PROPONE  PAGAR  EN 2 CUOTAS  DENTRO DEL MES DE JULIO DE S/593 SOLES HOY ABONA LA MITAD  X APP Y DIFERENCIA  FIN DE  MES</t>
  </si>
  <si>
    <t xml:space="preserve">Sustento de pago PPC - Liquidación, AFP, ahorros / HORARIO DE PAGO: Mañana / NOTA: D.T. S/819.70 DK S/ 453. INDICA QUE NO TIENE  ESE DINERO TT PROPONE CAN  CON S/300 SOLES  PARA EL VIERNES 11/7 SE LE MENCIONA QUE LA CONDICION ES QUE ABONE HOY  VIERNES 4/7 S/100 SOLES X APP BCP Y LA DIFERENCIA VIERNES 11/7 </t>
  </si>
  <si>
    <t>Sustento de pago PPC - Liquidación, AFP, ahorros / HORARIO DE PAGO: Mañana / NOTA: dt camp 78 soles tt indica q recien hoy le pagaron que hara el pago por yape</t>
  </si>
  <si>
    <t>Sustento de pago PPC - Liquidación, AFP, ahorros / HORARIO DE PAGO: Mañana / NOTA: HERMANO JHONY EDP DICE Q HOY AB 300 Y DIF DE 650 EL 20 LO HACE POR BCP ALAS 5PM</t>
  </si>
  <si>
    <t>Sustento de pago PPC - Liquidación, AFP, ahorros / HORARIO DE PAGO: Mañana / NOTA: hija lesly indica que hoy ab 212.50 y 212.50 hasta el 31 para canc deuda</t>
  </si>
  <si>
    <t xml:space="preserve">Sustento de pago PPC - Liquidación, AFP, ahorros / HORARIO DE PAGO: Mañana / NOTA: JHON ROQUE  CRUZ ESPOSO DE LA  SRA CHIRINOS ROMERO YANNIRA TATIANA   APOYA  A SU ESPOSA  POR  SALUD ///SUT PAGO DE  UTILIDADES </t>
  </si>
  <si>
    <t xml:space="preserve">EL  DIA VIERNES 14 S/100  Y EL 31 LA  DIFERENCIA S/550  Y  UN CASO  DEPOSITA  ANTES   LIQUIDA ESTE  VIERNES 14/03 TODO </t>
  </si>
  <si>
    <t>Sustento de pago PPC - Liquidación, AFP, ahorros / HORARIO DE PAGO: Mañana / NOTA: paga mañana en el trascurso de la mañana.</t>
  </si>
  <si>
    <t>Sustento de pago PPC - Liquidación, AFP, ahorros / HORARIO DE PAGO: Mañana / NOTA: por excepción aprobada, Daniel, hijo de tt asume pago por afp tenía disponible 2800 para que los pague hoy mismo 10/07 y mañana 11/07 completa 200 para cuadrar con la excepción de 3000 en total para entrega de carta de libre deuda</t>
  </si>
  <si>
    <t>Sustento de pago PPC - Liquidación, AFP, ahorros / HORARIO DE PAGO: Mañana / NOTA: PPC  200 SOLES  EN OF  CREDINKA QUILLABAMBA  MARTES 25/6</t>
  </si>
  <si>
    <t>Sustento de pago PPC - Liquidación, AFP, ahorros / HORARIO DE PAGO: Mañana / NOTA: PPC  500 SOLES  EN OF  CREDINKA 30/7</t>
  </si>
  <si>
    <t xml:space="preserve">Sustento de pago PPC - Liquidación, AFP, ahorros / HORARIO DE PAGO: Mañana / NOTA: PPC 500 SOLES  ULTIMA CUOTA DE PPM  X  AGENTE BCP </t>
  </si>
  <si>
    <t>Sustento de pago PPC - Liquidación, AFP, ahorros / HORARIO DE PAGO: Mañana / NOTA: ppc 500 soles  x agente lunes 24</t>
  </si>
  <si>
    <t xml:space="preserve">Sustento de pago PPC - Liquidación, AFP, ahorros / HORARIO DE PAGO: Mañana / NOTA: PPC S/3000 SOLES LUNES 15/7 A LAS 4 PM HIJO LUIS MIGUEL HIJO DE LA TT </t>
  </si>
  <si>
    <t>Sustento de pago PPC - Liquidación, AFP, ahorros / HORARIO DE PAGO: Mañana / NOTA: se aprobó ppt pagara 200 soles 0405 y 2600 el 11/05, a la espera del voucher para solicitar modificacion</t>
  </si>
  <si>
    <t>Sustento de pago PPC - Liquidación, AFP, ahorros / HORARIO DE PAGO: Mañana / NOTA: se aprobo ppt pagara1000 soles 14/05 y 3000 29/05, a espera del voucher para solicitar modificación de fecha al 29/05</t>
  </si>
  <si>
    <t>Sustento de pago PPC - Liquidación, AFP, ahorros / HORARIO DE PAGO: Mañana / NOTA: Se brinda  a tt DT DK se hace consulta respecto a tipi anterior confirma que el día lunes brindaría respuesta para cancelar la totalidad S/252  El primer pago se efectuará el día de mañana, martes 21/04, en el transcurso de la tarde, por el monto de S/ 126. El importe restante se cancelará como fecha límite el martes 28/04 S/126</t>
  </si>
  <si>
    <t>Sustento de pago PPC - Liquidación, AFP, ahorros / HORARIO DE PAGO: Mañana / NOTA: SE BRINDA DT DK A TT CAN 390 MENCIONA QUE LE PAGAN ENTRE HOY O MAÑANA , INDICA QUE LO VUELVAN A LLAMAR PARA PODER CONFIRMAR LA DISPONIBILIDAD. tt confirma contar con el importe solicita documento números de cuenta -Yape</t>
  </si>
  <si>
    <t xml:space="preserve">Sustento de pago PPC - Liquidación, AFP, ahorros / HORARIO DE PAGO: Mañana / NOTA: Se brinda dt29,202.94 dk20,404.14 a tt hasta min111,018.23 , en su ,momento le ofrecieron pagar con 5k pero ella no disponía , a tratado de juntar lo mas que a podido ella comenta que podría llegar a S/5100 prestándose </t>
  </si>
  <si>
    <t xml:space="preserve">*SUSTENTO: tiene un importe ahorrado y el restante lo daría fin de mes ya que tiene de quien prestarse el dinero </t>
  </si>
  <si>
    <t>*MOTIVO DE NO PAGO: en pandemia abrio un negocio compro maquina para manualidades los cuales bajo el negocio y se vino a lima a trabajar del todo .</t>
  </si>
  <si>
    <t>*FECHA: 11-11-2025</t>
  </si>
  <si>
    <t>*PROPUESTA: 5100 hoy estaría abonando el importe de S/2400 y el otro restante de S/2700 el día 28-11</t>
  </si>
  <si>
    <t>Sustento de pago PPC - Liquidación, AFP, ahorros / HORARIO DE PAGO: Mañana / NOTA: se brinda importe de C1 para la cancelacion de su deuda se le indica el importe de 300 cliente acepta el monto a pagar comenta que se retrazo por temas familiares el dinero con el que pagara es parte de sus ahorros pagara a las 13:00 mediante la operacion de yape</t>
  </si>
  <si>
    <t xml:space="preserve">Sustento de pago PPC - Liquidación, AFP, ahorros / HORARIO DE PAGO: Mañana / NOTA: se le indico a tt que lo puede pagar con 2320 soles y acepto, se aprobo ppt </t>
  </si>
  <si>
    <t>Sustento de pago PPC - Liquidación, AFP, ahorros / HORARIO DE PAGO: Mañana / NOTA: tit paga el importe de 1650 se envía compromiso de pago al correo  ROELQUE@HOTMAIL.COM</t>
  </si>
  <si>
    <t>Sustento de pago PPC - Liquidación, AFP, ahorros / HORARIO DE PAGO: Mañana / NOTA: Titular cancela bajo propuesta aprobada, abona el importe de S/. 1000 el día de hoy y diferencia el día 30/03</t>
  </si>
  <si>
    <t>Sustento de pago PPC - Liquidación, AFP, ahorros / HORARIO DE PAGO: Mañana / NOTA: Titular emplea pago Hoy Viernes 22/05/2026 por app BCP, la suma de S/3,400 soles antes de 9:00 am.</t>
  </si>
  <si>
    <t>Sustento de pago PPC - Liquidación, AFP, ahorros / HORARIO DE PAGO: Mañana / NOTA: Titular indica que trabaja de manera independiente el cual no asumió el 15/05 por que le quedaron mal en los pagos por ello ,le han quedado para este sábado 23/05, por lo que el pago lo asumirá el Lunes 25/05/2026 se le dijo antes de 11:00 am, lo emplea por app BCP, se dejo claro de no asumirlo se invalida el convenio de cancelación.</t>
  </si>
  <si>
    <t>Sustento de pago PPC - Liquidación, AFP, ahorros / HORARIO DE PAGO: Mañana / NOTA: Titular realiza pago de S/2,100 soles por agencia BBVA ,HOY Martes 09/06/2026.</t>
  </si>
  <si>
    <t>Sustento de pago PPC - Liquidación, AFP, ahorros / HORARIO DE PAGO: Mañana / NOTA: tt  menciona  que  pagara  600  el 06  de junio  y  el 30 los  otros  600  monto  de campaña 1200  pagos  que le van a realizar</t>
  </si>
  <si>
    <t xml:space="preserve">Sustento de pago PPC - Liquidación, AFP, ahorros / HORARIO DE PAGO: Mañana / NOTA: TT ABONA HOY 500 DE ADELANTO Y PAGARÁ 4500 EL JUEVES 25 </t>
  </si>
  <si>
    <t xml:space="preserve">Sustento de pago PPC - Liquidación, AFP, ahorros / HORARIO DE PAGO: Mañana / NOTA: tt accede a pagar s/130 el día 29-05 ya que espera un pago, hará el pago por transferencia en la tarde. </t>
  </si>
  <si>
    <t>Sustento de pago PPC - Liquidación, AFP, ahorros / HORARIO DE PAGO: Mañana / NOTA: tt cancela el 24/03 s/ 1000 y 31/03 s/ 7314.32 siendo un total de s/ 8,314.32 .</t>
  </si>
  <si>
    <t>Sustento de pago PPC - Liquidación, AFP, ahorros / HORARIO DE PAGO: Mañana / NOTA: tt cancela el sab 6 los 130 en los andes</t>
  </si>
  <si>
    <t>Sustento de pago PPC - Liquidación, AFP, ahorros / HORARIO DE PAGO: Mañana / NOTA: TT cancela la deuda TOTAL, separando el día 19 de julio con el importe de 600 y lo restante a fines de mes el 30 de Julio según lo conversado de 750</t>
  </si>
  <si>
    <t>Sustento de pago PPC - Liquidación, AFP, ahorros / HORARIO DE PAGO: Mañana / NOTA: TT cancela s/1730 por transferencia BCP.</t>
  </si>
  <si>
    <t xml:space="preserve">Sustento de pago PPC - Liquidación, AFP, ahorros / HORARIO DE PAGO: Mañana / NOTA: tt cancela s/2000 por transferencia máximo hasta el 20-06 si puede antes lo hace, brinda correo angelicamarinaramirezb@gmail.com para envío de compromiso de pago. </t>
  </si>
  <si>
    <t xml:space="preserve">Sustento de pago PPC - Liquidación, AFP, ahorros / HORARIO DE PAGO: Mañana / NOTA: tt cancela s/450 12-05, por BCP </t>
  </si>
  <si>
    <t xml:space="preserve">Sustento de pago PPC - Liquidación, AFP, ahorros / HORARIO DE PAGO: Mañana / NOTA: tt cancela s/7000 11-05 por BCP </t>
  </si>
  <si>
    <t>Sustento de pago PPC - Liquidación, AFP, ahorros / HORARIO DE PAGO: Mañana / NOTA: TT cumplió con adelanto de S/1,300 (excepción condicionada a cumplimiento)</t>
  </si>
  <si>
    <t>Sustento de pago PPC - Liquidación, AFP, ahorros / HORARIO DE PAGO: Mañana / NOTA: tt dice que ya consiguió el importe de campaña s/4200 pagará el lunes 8-6 en el banco INTERBANK horario 9am a 12pm, brinda correo marlen-94@hotmail.com</t>
  </si>
  <si>
    <t xml:space="preserve"> para el envío del compromiso de pago .</t>
  </si>
  <si>
    <t>Sustento de pago PPC - Liquidación, AFP, ahorros / HORARIO DE PAGO: Mañana / NOTA: TT INDICO DT DK CANC 1000 INDICA QUE TIENE INTERES PREGUNTA COMO ASEGURARSE DE QUE CANCELA EXPLICO ,PIDO ADELANTO NO ACCEDE DICE COBRA EL 15 A PARTIR DL MEDIO DIA PIDE ESPERA ANTES NADA SE PROGRAMA PARA 15/05 1000 PAGARA ANTES DE LAS 4PM</t>
  </si>
  <si>
    <t>Sustento de pago PPC - Liquidación, AFP, ahorros / HORARIO DE PAGO: Mañana / NOTA: tt paga el 15 paga 3,500 y el 30 paga 5000 siendo un total de 8500</t>
  </si>
  <si>
    <t>Sustento de pago PPC - Liquidación, AFP, ahorros / HORARIO DE PAGO: Mañana / NOTA: tt paga el 30 ,su ultima cuota s/361</t>
  </si>
  <si>
    <t>Sustento de pago PPC - Liquidación, AFP, ahorros / HORARIO DE PAGO: Mañana / NOTA: tt paga en Caja Trujillo, se envía datos vía wsp. Se le recalca que campaña es sujeto a cumplimiento de pago de adelanto</t>
  </si>
  <si>
    <t>Sustento de pago PPC - Liquidación, AFP, ahorros / HORARIO DE PAGO: Mañana / NOTA: tt paga hoy 20-05 s/500 en agente, dinero en mano</t>
  </si>
  <si>
    <t xml:space="preserve">Sustento de pago PPC - Liquidación, AFP, ahorros / HORARIO DE PAGO: Mañana / NOTA: tt paga hoy 5-06 s/7000 en el banco INTERBANK. </t>
  </si>
  <si>
    <t>Sustento de pago PPC - Liquidación, AFP, ahorros / HORARIO DE PAGO: Mañana / NOTA: tt paga s/2400 hoy 14-05 por BBVA</t>
  </si>
  <si>
    <t xml:space="preserve">Sustento de pago PPC - Liquidación, AFP, ahorros / HORARIO DE PAGO: Mañana / NOTA: tt paga s/400 en 2 partes hoy 25-05 por agente. </t>
  </si>
  <si>
    <t xml:space="preserve">Sustento de pago PPC - Liquidación, AFP, ahorros / HORARIO DE PAGO: Mañana / NOTA: tt paga s/920  el 5-06 en interbank por la tarde, espera un pago. </t>
  </si>
  <si>
    <t xml:space="preserve">Sustento de pago PPC - Liquidación, AFP, ahorros / HORARIO DE PAGO: Mañana / NOTA: tt se compromete a cumplir con el pago de s/450 para el día 25/05 ya que actualmente esta en el hospital con dengue y el viernes le dan de alta por lo tanto el lunes asegura hacer el pago. En horario de 2pm a 4pm </t>
  </si>
  <si>
    <t>Sustento de pago PPC - Liquidación, AFP, ahorros / HORARIO DE PAGO: Mañana / NOTA: TT SE COMUNICA POR WASPP, MENCIONA QUE HOY ESTARIA REALIZANDO EL ADELANTO DE S/860.00 CON FORME LO ACORDADO EN CUOTAS DENTRO DEL MES CON EL MONTO DE S/2600.00, HOY ABONARA ANTES DE LAS 4PM</t>
  </si>
  <si>
    <t xml:space="preserve">Sustento de pago PPC - Liquidación, AFP, ahorros / HORARIO DE PAGO: Mañana / NOTA: tt se le brinda dk cam 300, tt dice que hoy no puede ya que recién empieza la semana, el día 6/05 pagaría s/300 por transferencia máximo hasta medio dia. </t>
  </si>
  <si>
    <t xml:space="preserve">Sustento de pago PPC - Liquidación, AFP, ahorros / HORARIO DE PAGO: Mañana / NOTA: tt, paga los 2800 s./ los 24/09 ultima cuota </t>
  </si>
  <si>
    <t xml:space="preserve">Sustento de pago PPC - Liquidación, AFP, ahorros / HORARIO DE PAGO: Mañana / NOTA: tt. indica a 30 minutos de oficina sandia </t>
  </si>
  <si>
    <t xml:space="preserve">Sustento de pago PPC - Liquidación, AFP, ahorros / HORARIO DE PAGO: Medioda / NOTA: </t>
  </si>
  <si>
    <t>Sustento de pago PPC - Liquidación, AFP, ahorros / HORARIO DE PAGO: Medioda / NOTA:  SE BRINDA DT DK A TT SE LE MENCIONA QUE COMO ULTIMA INSTANCIA SE PUEDE BRINDAT UN DESCUENTO PARA LA CANCELACION TOTAL DE LA DEUDA 6600 MENCIONA QUE TENDRIA QUE CONSULTARLO , YA QUE EL AUN ESTIMA PAGAR EN 2 MESES , COMO ULTIMA INSTANCIA SE BRINDA PISO 4900 LOS CUALES SE REITERA QUE SE PUEDE MANEJAR DENTRO DEL MES , TT CONFIRMA QUE REALIZARA HOY 22/04 UN ADELANTO DE s/1000 Y EL IMPORTE RESTANTE EL DIA 30/04 QUE SERIAN LOS 3900 . TRANSFERENCIA BCP</t>
  </si>
  <si>
    <t>Sustento de pago PPC - Liquidación, AFP, ahorros / HORARIO DE PAGO: Medioda / NOTA: dt dk camp 600 soles pagara 200 soles 19/05 y 400 soles el 30/05, a espera del voucher de 200 para solicitar modificacion, lo pagara por app de ibk al medio dia</t>
  </si>
  <si>
    <t xml:space="preserve">Sustento de pago PPC - Liquidación, AFP, ahorros / HORARIO DE PAGO: Medioda / NOTA: Pagara la Ultima cuota </t>
  </si>
  <si>
    <t xml:space="preserve">Sustento de pago PPC - Liquidación, AFP, ahorros / HORARIO DE PAGO: Medioda / NOTA: Se brinda DT665.24 DK 416.39 a tt hasta C1 286.59 menciona que tiene toda la intensión de pagar su deuda a pedido a su esposo para que la pueda ayudar hoy brindaría S/100 y el otro restante el fin de mes 27/02 </t>
  </si>
  <si>
    <t xml:space="preserve">Sustento de pago PPC - Liquidación, AFP, ahorros / HORARIO DE PAGO: Medioda / NOTA: Se ofrece cancelar con 1,100 soles Estará pagando el día 24.12  </t>
  </si>
  <si>
    <t>Sustento de pago PPC - Liquidación, AFP, ahorros / HORARIO DE PAGO: Medioda / NOTA: Titular realiza pago de S/1,500 soles por app BCP, para hoy Jueves 28/05/2026.</t>
  </si>
  <si>
    <t>Sustento de pago PPC - Liquidación, AFP, ahorros / HORARIO DE PAGO: Medioda / NOTA: tt cancela 7000</t>
  </si>
  <si>
    <t xml:space="preserve">Sustento de pago PPC - Liquidación, AFP, ahorros / HORARIO DE PAGO: Medioda / NOTA: tt cancelará dt. con el importe de 1000.00 soles excepcion probada. </t>
  </si>
  <si>
    <t>Sustento de pago PPC - Liquidación, AFP, ahorros / HORARIO DE PAGO: Medioda / NOTA: TT DT CANC 300 DICE ANTES LE OFRECIERON 200 CANCELAR INDICO REAJUSTE 235 HOY NO ACCEDE PAGA 8-5 300 CANC EXPLICO CESIÓN</t>
  </si>
  <si>
    <t xml:space="preserve">Sustento de pago PPC - Liquidación, AFP, ahorros / HORARIO DE PAGO: Medioda / NOTA: TT PAGA CUOTA 2  AL 30/12  TAL CUAL EL CRONOGRAMA ,ULTIMA CUOTA CANCELA </t>
  </si>
  <si>
    <t xml:space="preserve">Sustento de pago PPC - Liquidación, AFP, ahorros / HORARIO DE PAGO: Medioda / NOTA: tt pagara 901 soles que es la dt pagara 201 soles hoy 27/05 y 700 soles el 29/05, lo pagara por la app del bcp en cuanto le enviemos las cuentas y la campaña </t>
  </si>
  <si>
    <t>Sustento de pago PPC - Liquidación, AFP, ahorros / HORARIO DE PAGO: Mediodía / NOTA: enc pablo pagara cn dinero de apf  ind ests en gastos tine hija enferma  hoy dia ya hizo anticipo de 200 soles</t>
  </si>
  <si>
    <t>Sustento de pago PPC - Liquidación, AFP, ahorros / HORARIO DE PAGO: Mediodía / NOTA: INDICA QUE PAGA EN AGENCIA DE LA PAMPILLA</t>
  </si>
  <si>
    <t>Sustento de pago PPC - Liquidación, AFP, ahorros / HORARIO DE PAGO: Tarde</t>
  </si>
  <si>
    <t>Sustento de pago PPC - Liquidación, AFP, ahorros / HORARIO DE PAGO: Tarde / CANAL ENVIO - LLAMADA / NOTA: tt informa que tuvo problemas de salud y por ello no pagó, pide que se le dé plazo hasta la próxima semana para cancelar</t>
  </si>
  <si>
    <t xml:space="preserve">Sustento de pago PPC - Liquidación, AFP, ahorros / HORARIO DE PAGO: Tarde / NOTA: </t>
  </si>
  <si>
    <t xml:space="preserve">Sustento de pago PPC - Liquidación, AFP, ahorros / HORARIO DE PAGO: Tarde / NOTA:  DT 2,528.66 - DK  1,453.71   - TT PAGA S/.600.00 EN DOS CUOTAS  S/. 300 EL  18/06 Y S/.300  23/06   VIA BCP  POR LA TARDE </t>
  </si>
  <si>
    <t>Sustento de pago PPC - Liquidación, AFP, ahorros / HORARIO DE PAGO: Tarde / NOTA:  Monto negociado:  420   piso de  superv</t>
  </si>
  <si>
    <t>sustento:   recibe  pago</t>
  </si>
  <si>
    <t>Motivo de no pago:   problemas  economicos</t>
  </si>
  <si>
    <t xml:space="preserve"> Fecha:  15/05</t>
  </si>
  <si>
    <t xml:space="preserve">Propuesta:   420                                            </t>
  </si>
  <si>
    <t xml:space="preserve"> Observación:  de brindo  camp 1470</t>
  </si>
  <si>
    <t>_ tt indica solo trabaja  eventual meses anteriores  recibio monto menor</t>
  </si>
  <si>
    <t>_  señala esta por recibir  dinero de  trabajo eventual  para  poder  cancelar  la deuda</t>
  </si>
  <si>
    <t xml:space="preserve"> _ solicita plazo hasta el viernes para cancear  la deuda, se  envia  carta compromiso </t>
  </si>
  <si>
    <t xml:space="preserve">Sustento de pago PPC - Liquidación, AFP, ahorros / HORARIO DE PAGO: Tarde / NOTA:  SE BRINDA A TT DT DK CAN 1200 TT MENCIONA QUE TIEN UNA ENFERMEDAD CRONICA , TRABAJA PARA EL ESTADO PERO SE LE HACE DIFICIL PODER MEJORAR EL IMPORTE QUE INCLUSO INIDCO TENER , MENCIONA QUE SEMANANL MENTE TOMA PASTILLAS QUE CUESTAN MAS DE 250 , LOS CUALES SE LE HACE IMPOSIBLE DISPONER DEL DINERO INIDCA QUE HACIENDO PRESTAMOS PODRIA LLEGAR A REUNIR 600 LOS CUALES SERIAN PRESTAMOS DE COLEGAS , SE MENCIONA QUE ESE IMPORTE NO ES VIABLE PIDE APOYO SE MENCIONA QUE JO SE ASEGURA NADA QUE TENDRIA QUE HACER CONSULTAS EN ESTOS MOMENTOS A GERENCIA , EN CASO ACEPTEN PAGO INMEDIATO.SE CONFIRMA TT PARA QUE REALICE PAGO , LO REALIZARA EN EL BBVA </t>
  </si>
  <si>
    <t>Sustento de pago PPC - Liquidación, AFP, ahorros / HORARIO DE PAGO: Tarde / NOTA:  Se brinda dt dk a tt can con reajuste adicional 4300 menciona que el aun esta pensando en pagar la deuda en el mes de julio que podría percibir un dinero, se le menciona que en el mes de julio el sistema se actualiza , los cuales impide  que exista alguna campaña si no se estaría manejando bajo la deuda  capital,  indica que haciendo consultas o un prestamos podria contar con 2000 soles los cuales se le menciona que debería ver una mejora para ver si se pueda solicitar una evaluacion con la gerencia inidca que podria contar con 500 mas , se le menciona que en caso aprobado el pago es inmediato , indica que podría brindar hoy S/500 y el día 19/06 viernes los 2000 restante , se envia informacion mediante wsp adjunta correo : abog.ktorres@gmail.com se confirma excepción aceptada . pago transferencia.</t>
  </si>
  <si>
    <t>Sustento de pago PPC - Liquidación, AFP, ahorros / HORARIO DE PAGO: Tarde / NOTA:  SE BRINDA DT11,128.07 DK 8,801.70 A TT HASTA CAN 5500 LOS CUALES MENCIONA QUE SI HAY ALGUN REAJUSTE YA QUE EL QUIERE CANCELAR LA TOTALIDAD DE LA DEUDA SE BRINDA C1 MENCIONA QUE HUBO INCONVENIENTES PARA PODER REALIZAR EN SU MOMENTO LOS PAGOS A TIEMPO SE BRINDA PISO COMO ULTIMA OPCION 4100,MNCIONA QUE PODRIA LLEGAR A DISPONER DE 3500 LOS CUALES ESE DINERO LO TIENE AHORRADO EN UNA CUENTA A LARGO PLAZO EN UNA ENTIDAD, VA A REALIZAR LAS GESTIONES PARA RETIRAR EL DINERO. TT CONFIRMA QUE YA LE DIERON EN EL BANCO EL DINERO DE 3500  , PODRIA PAGAR HOY MISMO . TT MENCIONA QUE HOY ESTARIA REALIZANDO UN ADELANTO DE s/500 Y EL IMPORTE RESTANTE PODER MANEJARLO HASTA EL DIA MIERCOLES 18/03</t>
  </si>
  <si>
    <t>Sustento de pago PPC - Liquidación, AFP, ahorros / HORARIO DE PAGO: Tarde / NOTA: 42897276  ABOGADA DEYSI DURAND, ESTA VALIDANDO LOS DOCUMENTO EXTRAJUDICIALOES YA QUE HUBO OBSERVACION CON LAS LETRAS DE CAMBIO, ESTA EN REVISION DE LA MANO CON EL AREA LEGAL PARA VALIDAR SE SOLCITO APOYO A SUPERVISORA, YA QUE ABOGA SOLITA EXTENDER EL COMPROMISO PARA EL DIA DE MAÑANA SE REGSITRA COMPORMISO PARA MÑANA 17-04-2026 EL IMPORTE PROPUESTA DEL CLIENTE CON MEJORA A S/10,500.00</t>
  </si>
  <si>
    <t xml:space="preserve">Sustento de pago PPC - Liquidación, AFP, ahorros / HORARIO DE PAGO: Tarde / NOTA: aceptan propuesta de la clienta por el importe de S/ 1100 </t>
  </si>
  <si>
    <t xml:space="preserve">Sustento de pago PPC - Liquidación, AFP, ahorros / HORARIO DE PAGO: Tarde / NOTA: aceptan propuesta de tit por el importe de 5k clienta abonara el día de hoy 4k y el día 30/04 el importe de 1k </t>
  </si>
  <si>
    <t>Sustento de pago PPC - Liquidación, AFP, ahorros / HORARIO DE PAGO: Tarde / NOTA: adelanto 50 soles para que se le de espera para el restante hasta el 25 de abril</t>
  </si>
  <si>
    <t>Sustento de pago PPC - Liquidación, AFP, ahorros / HORARIO DE PAGO: Tarde / NOTA: brinda dt dk a tt can 1083 menciona que en su momento brindo tener un importe pero surgió inconvenientes por ello no pudo cumplir con el pago , menciona que el podría reunir el importe de 650 se pide mejora ya que fue un incumplimiento pide apoyo ya que menciona que el tiene toda la intensión de  poder salir de la deuda pero aun contaría con el dinero fin de mes  , se menciona que en caso se pueda volver a reevaluar su caso gerencia si solicita el pago inmediato o en su defecto poder brindar una inicial , menciona que el va hacer lo posible para poder conseguir dinero para el adelanto pide que lo llamen mañana apartir de las 9 de la mañana . me comunico con cl menciona que tien toda la intension de poder pagar , pero dinero todavía tendría fin de mes , los cuales menciona que hoy podría brindar un adelanto de S/100 , se hace consultas  a supervisor.</t>
  </si>
  <si>
    <t>Sustento de pago PPC - Liquidación, AFP, ahorros / HORARIO DE PAGO: Tarde / NOTA: Cliente abonara el día 15/12 S/ 1750 que equivale al 50% del monto de campaña de cancelación S/3500 y el otro 50% abonará el 31/12</t>
  </si>
  <si>
    <t>SUSTENTO DE PAGO: GRATIFICACIÓN</t>
  </si>
  <si>
    <t>MEDIO DE PAGO : VENTANILLA BBVA</t>
  </si>
  <si>
    <t>HORA DE PAGO: 2PM</t>
  </si>
  <si>
    <t xml:space="preserve">Sustento de pago PPC - Liquidación, AFP, ahorros / HORARIO DE PAGO: Tarde / NOTA: cliente dara un abono de 50 y se le espera hasta este 28/06 para que cancele la diferencia. dinero saldra de su AFP. esta esperando su desenboslo </t>
  </si>
  <si>
    <t>Sustento de pago PPC - Liquidación, AFP, ahorros / HORARIO DE PAGO: Tarde / NOTA: CLIENTE INDICA QUEABONARA EL DINERO RECIBIDO SU GRATIFICACION SE LE ENVIA CARTA DE COMPROMISO X WSP</t>
  </si>
  <si>
    <t>Sustento de pago PPC - Liquidación, AFP, ahorros / HORARIO DE PAGO: Tarde / NOTA: CLIENTE SE COMUNICO CON INFOCORP Y LE BRINDARON NUESTRO NUMERO SE LE MENCIONA DT:1,413.58 DK: 920.97 SE LE OFRECE COMO CAMPAÑA DE CANCELACION 650 MENCIONA QUE ANTERIORMENTE LE OFRECIERON 550 LE INDICO QUE LAS CAMPAÑAS VARIAN PERO QUE TENEMOS UNA CAMPAÑA C1 558 CLIENTE ACEPTA, PERO TIENE EN MANO PARA PAGAR LA MITAD 279 Y LA OTRA PARTE LO PAGARA EL 26/12 QUE ESTA RECIBIENDO SU AFP EN LA TARDE 4PM</t>
  </si>
  <si>
    <t>SUSTENTO DE PAGO: DINERO EN MANO // AFP</t>
  </si>
  <si>
    <t>HORA: 4PM</t>
  </si>
  <si>
    <t>MEDIO DE PAGO: TRANSFERENCIA BCP</t>
  </si>
  <si>
    <t>Sustento de pago PPC - Liquidación, AFP, ahorros / HORARIO DE PAGO: Tarde / NOTA: Cuota 6 de 33.</t>
  </si>
  <si>
    <t>Sustento de pago PPC - Liquidación, AFP, ahorros / HORARIO DE PAGO: Tarde / NOTA: dt 548 soles tt pagara hoy 08/05 200 soles y el día 29/05 completara los 348 soles, se le indico la cesión esta todo claro, indica q pagara por yape entre 5 y 6pm</t>
  </si>
  <si>
    <t>Sustento de pago PPC - Liquidación, AFP, ahorros / HORARIO DE PAGO: Tarde / NOTA: dt 590 soles tt pagara el día de mañana 06/05 150 soles y el día 15/05 los 440 soles restantes, indica q sabe sobre la cesión de derechos que le queda claro porque ya fue el banco y le indicaron eso, ira al BBVA a la 1pm a mas tardar a realizar el pago, se espera el voucher de pago del adelanto para solicitar la modificación de fecha</t>
  </si>
  <si>
    <t>Sustento de pago PPC - Liquidación, AFP, ahorros / HORARIO DE PAGO: Tarde / NOTA: dt 685 dk 451 no puede pagar se le indica 350 soles nos indica para fdm se le indica que adelante nos indica q puede pagar 100 soles el 14/03 y 250 soles el 31/03 se le envía los numero de cuentas se le indica el proceso del pago, se espera el voucher del primer pago para solicitar la ampliación de fecha para el segundo pago</t>
  </si>
  <si>
    <t>Sustento de pago PPC - Liquidación, AFP, ahorros / HORARIO DE PAGO: Tarde / NOTA: dt 938 dk 860 no puede cancelar con ese importe se le indica 700 soles nos indica q el puede pagar hoy 100 soles sábado 25/04 250 soles y el 30/04 350 soles para completar los 700, quedamos a la espera del voucher del día de hoy para solicitar apoyo con la fecha, pagara 2pm por el app del bcp</t>
  </si>
  <si>
    <t xml:space="preserve">Sustento de pago PPC - Liquidación, AFP, ahorros / HORARIO DE PAGO: Tarde / NOTA: dt dk camp 281 soles, tt indica q ya firmo su liquidacion que le dijeron que hoy le depositaran, en cuanto lo hagan lo transfiere del ibk </t>
  </si>
  <si>
    <t>Sustento de pago PPC - Liquidación, AFP, ahorros / HORARIO DE PAGO: Tarde / NOTA: encargada de las cuentas personales Sra Anali Patricia Fernandez Silupu DNI 71078909 indica q su esposo se encuentra en el mar que por eso ella se encarga de las cuentas, se le indca dt dk 476 soles nos indica q ella lo puede pagar en unos 15 dias se le indica q no es posible que lo aq puede hacer es pagar 238 soles hoy 06/02 y 238 soles al 20/02 como indicam accede pagarapor agente a las 5pm ya q por trabajo no puede antes, se sube la ppc con fecha de hoy 06/02 una vez q envie el voucher se locitara modificacion de fecha al 20/02</t>
  </si>
  <si>
    <t xml:space="preserve">Sustento de pago PPC - Liquidación, AFP, ahorros / HORARIO DE PAGO: Tarde / NOTA: HOY S/5,000  ANTES DE LAS 4PM . Y S/3,000 FIN DE MES </t>
  </si>
  <si>
    <t>Sustento de pago PPC - Liquidación, AFP, ahorros / HORARIO DE PAGO: Tarde / NOTA: IMPORTE NEGOCIADO S/. 430 // TT REALIZARA PAGO EN 2 PARTES 1ER ABONO S/. 150 FECHA 18/06 Y DIFERENCIA S/. 280 EN FECHA 25/06</t>
  </si>
  <si>
    <t>Sustento de pago PPC - Liquidación, AFP, ahorros / HORARIO DE PAGO: Tarde / NOTA: me contacto con ttt se detalla nuevamente dt dk y can con reajuste 4700 menciona que no quiere fallar pero no sabe si va ser posible llegar a ese importe se  solicita piso , se le menciona que podríamos ayudarlo hasta con 3900 los cuales menciona que el día de hoy podría brindar una inicial de S/1000 y el importe restante con fecha limite 30/06 se solicita documento para el envio ,tt pueda realizar el abono.</t>
  </si>
  <si>
    <t xml:space="preserve">Sustento de pago PPC - Liquidación, AFP, ahorros / HORARIO DE PAGO: Tarde / NOTA: MONTO NEGOCIADO 300 SOLES // CLIENTA PAGARA UN ADELANTO DE 50 SOLES EL DIA DE MAÑANA 10/06 POR LA TARDE Y EN 2 SEMANAS EL RESTANTE 23/06 LO HARE A TRAVE DE UN AGENTE </t>
  </si>
  <si>
    <t>Sustento de pago PPC - Liquidación, AFP, ahorros / HORARIO DE PAGO: Tarde / NOTA: Monto negociado:   520</t>
  </si>
  <si>
    <t>sustento:   COBRO DE HABERES</t>
  </si>
  <si>
    <t>Motivo de no pago:  Inconvenientes legales</t>
  </si>
  <si>
    <t>Fecha:  16/04 ( hoy realiza pago de 175 soles_ diferencia el dia jueves 30/04)</t>
  </si>
  <si>
    <t>Propuesta:  350</t>
  </si>
  <si>
    <t>Observación:  se da la aprobacion, menciona  esta en horario laboral por  la  tarde realiza pago, se  envia informacion via  whatsapp</t>
  </si>
  <si>
    <t>Sustento de pago PPC - Liquidación, AFP, ahorros / HORARIO DE PAGO: Tarde / NOTA: Monto negociado: 300</t>
  </si>
  <si>
    <t xml:space="preserve">Sustento: GRATIFICACION </t>
  </si>
  <si>
    <t xml:space="preserve">Motivo de no pago: PERDIDA DE LA TARJETA   </t>
  </si>
  <si>
    <t xml:space="preserve">Fecha: 15-12 </t>
  </si>
  <si>
    <t>Propuesta: cl menciona que no pago por uso externo de la tarjeta,se le perdio su tarjeta e hicieron gastos con ello. da correo:  samquispearias@gmail.com</t>
  </si>
  <si>
    <t>Sustento de pago PPC - Liquidación, AFP, ahorros / HORARIO DE PAGO: Tarde / NOTA: paga por app BCP, se envía datos vía wsp</t>
  </si>
  <si>
    <t>Sustento de pago PPC - Liquidación, AFP, ahorros / HORARIO DE PAGO: Tarde / NOTA: pagara 100 soles hoy 14/04 por yape a las 8pm y 180 soles el 30/04 a espera del primer pago para solicitar modificación de fecha</t>
  </si>
  <si>
    <t>Sustento de pago PPC - Liquidación, AFP, ahorros / HORARIO DE PAGO: Tarde / NOTA: pagara el importe de 6k.</t>
  </si>
  <si>
    <t>Sustento de pago PPC - Liquidación, AFP, ahorros / HORARIO DE PAGO: Tarde / NOTA: Se  Brinda DT 125,673.39 DK 62,912.99 hasta C1 62,912.99 a tt menciona que no puede mejorar la propuesta inicial ya que en su trabajo demoran en el pago no quiere comprometerse y de ahí no cumplir , esta esperando su afp para poder ver la manera de llegar a un acuerdo , se le brinda piso 13500 pero pago al contado no en cuotas , menciona que va a esperar el deposito de su afp , tt confirma deposito de su afp el día de hoy estaría abonando S/5300 y el importe restante S/8200 como fecha limite el día 30/01 en caso disponga antes lo estaría realizando.</t>
  </si>
  <si>
    <t>Sustento de pago PPC - Liquidación, AFP, ahorros / HORARIO DE PAGO: Tarde / NOTA: se  da  cancelacion con 7k, hoy viernes  monto de  5k  ya realizo pago (envio foto del voucher) y el dia jueves 26/ compelta  la diferencia de  2k</t>
  </si>
  <si>
    <t xml:space="preserve">Sustento de pago PPC - Liquidación, AFP, ahorros / HORARIO DE PAGO: Tarde / NOTA: se aprobo ppt </t>
  </si>
  <si>
    <t xml:space="preserve">Sustento de pago PPC - Liquidación, AFP, ahorros / HORARIO DE PAGO: Tarde / NOTA: se aprobó ppt de pago ¡, pagara hoy 06/05 a las 5:30pm en el bbva, tiene todo claro en cuanto a la cesión se le consulto mas de una vez, se le explico el proceso del pago y la cna, se envía cuentas y campaña </t>
  </si>
  <si>
    <t>Sustento de pago PPC - Liquidación, AFP, ahorros / HORARIO DE PAGO: Tarde / NOTA: se aprobó ppt pagara 1500 20/04 y 1500 30/04, a espera del primer pago, para solicitar modificación para el 30/04</t>
  </si>
  <si>
    <t>Sustento de pago PPC - Liquidación, AFP, ahorros / HORARIO DE PAGO: Tarde / NOTA: se aprobó ppt por 5000 soles, pagara 2000 02/06 y 3000 04/06</t>
  </si>
  <si>
    <t>Sustento de pago PPC - Liquidación, AFP, ahorros / HORARIO DE PAGO: Tarde / NOTA: se aprobó ppt, por 5500 soles, tt pagara 1000 soles 29/05 y 4500 soles el 30/05 al medio día por la app del bcp paagara</t>
  </si>
  <si>
    <t>Sustento de pago PPC - Liquidación, AFP, ahorros / HORARIO DE PAGO: Tarde / NOTA: Se brinda DT 510.69 dk 365.23 a tt hasta opción de pagar la totalidad con S/350 menciona que no pudo contestar las llamadas ya que el lugar donde se encuentra esta alejado a la ciudad , la cobertura , menciona que el aun podría pagar el día 27 de marzo , y que el día de hoy podría brindar un adelanto de S/100 se envía mensaje mediante wsp , tt confirma que estaría realizando un adelanto de 100 y el importe restante el 27 de marzo.</t>
  </si>
  <si>
    <t>Sustento de pago PPC - Liquidación, AFP, ahorros / HORARIO DE PAGO: Tarde / NOTA: SE BRINDA DT DK A TT CAN 1500 MENCIONA QUE EL EN VARIAS OCASIONES DECIDIO ACERCARSE AL BANCO PERO NO LE QUISIERON ACEPTAR PAGAR , SE MENCIONA QUE LA DEUDA YA FUE TRANSFERIDA A LA EMPRESA EXPERTIS POR ESA RAZON ES QUE LAS NEGOCIANOES ACUERDOS ES SOLO CON NOSOTROS . MENCION A QUE NO SABE SI HOY O MAÑANA SE ACERCARA AL BANCO. TT CONFIRMA TRANSFERENCIA DE DEUDA LLAMA Y SOLICITA DOCUMENTO DE CANCELACION TOTAL SE ADJUNTA .</t>
  </si>
  <si>
    <t>Sustento de pago PPC - Liquidación, AFP, ahorros / HORARIO DE PAGO: Tarde / NOTA: Se brinda dt dk a tt Can 700 menciona que solo dispone de 580 los cuales pagaría de manera inmediata se explica proceso de pago , de igual manera se menciona que se tendría que hacer consultas a la jefatura , se confirma pago a tt , realizara pago mediante transferencia.</t>
  </si>
  <si>
    <t>Sustento de pago PPC - Liquidación, AFP, ahorros / HORARIO DE PAGO: Tarde / NOTA: Se brinda DT S/798.48 DK S/418.80 ,Titular se le  menciona que aun el jueves podría acercarse al banco hacer el pago en el rango de la tarde ,importe de cancelacion de S/420.00 soles.</t>
  </si>
  <si>
    <t xml:space="preserve">Sustento de pago PPC - Liquidación, AFP, ahorros / HORARIO DE PAGO: Tarde / NOTA: Se brinda DT7,192.74 DK 3,851.99 a tt menciona que el banco le ofreció una campaña para cancelar la deuda en cuotas bajo S/ 1,465.00  las cuales ya iba en la segunda , menciona que al querer realizar el pago de su cuota 3 el banco le menciona que la deuda fue cedida a Expertis , menciona que ella no puede pagar bajo la totalidad que se brinda ya que ella no genera muchos ingresos , menciona que solo pagaría bajo el importe que le queda , se le menciona que ese importe es imposible menciona que podria pagar hasta S/900  , se menciona que ese importe debería ser evaluado si en caso gerencia es el apoyo que le puede dar su hija  ya que esta molesta por que no respetaron el acuerdo en el banco, tt realizara el pago el dia lunes de la deuda menciona que se estaría acercando el día lunes a oficina por la mañana , ya que tiene desconfianza. </t>
  </si>
  <si>
    <t>Sustento de pago PPC - Liquidación, AFP, ahorros / HORARIO DE PAGO: Tarde / NOTA: SE BRINDO DT DK A TT CAN 9000 MENCIONA QUE TIENE OTRO PRODUCTO CON EL BANCO QUE PENSO QUE LOS PRODUCTOS SE HABIAN UNIFICADO, SE MENCIONA QUE DE IGUAL FORMA ES UN DESCUENTO CONSIDERABLE A LA DEUDA TOTAL QUE TIENE , INDICA QUE NO SE ENCUENTRA LABORANDO SE BRINDA REAJUSTE 8100 MENCIONA QUE A LA FECHA A PODIDO REUNIR 5000 , SE MENCIONA QUE ESE MONTO SI ESTA ALEJADO A LA CAMPAÑA LO QUE SE PODRIA SOLICITAR ES LA EVALUACION CON GERENCIA PERO EN CASO SEA ACEPTADO EL PAGO SE GENERA DE MANERA INMEDIATA EN CASO APROBADO SE CONFIRMA A TT EXCEPCION APROBADA REALIZARA PAGO EN EL BANCO .</t>
  </si>
  <si>
    <t xml:space="preserve">Sustento de pago PPC - Liquidación, AFP, ahorros / HORARIO DE PAGO: Tarde / NOTA: Se compromete a pagar 2500 en dos partes, mañana 4/06 1250y diferencia el 12.06 Lo hara por caja Trujillo o por yape. </t>
  </si>
  <si>
    <t>Sustento de pago PPC - Liquidación, AFP, ahorros / HORARIO DE PAGO: Tarde / NOTA: se e brinda dt y campaña de 80, se le indica sobre a campaña que esta activa solo hasta las 10 am para cancelar por lo que la tt accede añade un correo mpizzaroc2010@gmail.com para el envio del compromiso, todo ok se genera ppc, dinero en mano pagara antes de las 10 am por transferencia.</t>
  </si>
  <si>
    <t>Sustento de pago PPC - Liquidación, AFP, ahorros / HORARIO DE PAGO: Tarde / NOTA: Se habla con el tt , se le indica sobre el credito DT: 17,043.93 MIN2:15,355.60 MIN1:11,812.00 REF C3 C6 C12 indica q estaba esperando sus pagos de los devengados q le habia confirmado q lo haria el dia de hoy, pero no le pagaron , realiza un adelanto de 1000 y la diferencia lo pagara el dia 27/12 , indica q los pagos seran en el mismo BBVA.</t>
  </si>
  <si>
    <t>Sustento de pago PPC - Liquidación, AFP, ahorros / HORARIO DE PAGO: Tarde / NOTA: se informa  evaluacion fue  aprobada, se indica  hoy VIERNES 11/ realiza  pago de  S/500 y la  diferencia  de S/750 para el dia  MIERCOLES  16/  se adjunta  carta compromiso al correo clara_lurv27@hotmail.com</t>
  </si>
  <si>
    <t>Sustento de pago PPC - Liquidación, AFP, ahorros / HORARIO DE PAGO: Tarde / NOTA: Se otorga DT, DK y campaña de 16200. Titular indica que dejó de pagar por tema de cese laboral y que el banco no quiso brindarle facilidades, refiere que ahora cuenta con un ahorro de fondo mutuo con lo que propone cancelar deuda bajo monto de 7000 mejorando hasta 8000. Menciona que para la liberación de dicho fondo le toma 2 o 3 días, se le recalca que el plazo final es al día 30 del presente mes lo cual es confirmado por la titular comprometiéndose a la cancelación bajo monto excepcional de campaña, se envía carta de notificación y compromiso de pago</t>
  </si>
  <si>
    <t>Sustento de pago PPC - Liquidación, AFP, ahorros / HORARIO DE PAGO: Tarde / NOTA: se recalca a tt dt dk can 6,192.54 como ultima instancia piso supervisor , menciona que a la fecha tiene solo 1300 pero haciendo consultas podría llegar a reunir  1200 los cuales serian un total de 2500 , hoy brindaria S/1300 y el importe restante de S/1200 como fecha limite el dia 30/06 se le menciona que ese importe debería pasar una evaluación con jefatura, en caso aceptado el pago del adelanto si se tendría que realizar de manera inmediata se hace consultas que en caso aceptado en que rango de horario se efectuaría ,a espera de su respuesta. Se confirma excepción aceptada realizara pago mediante aplicativo móvil.</t>
  </si>
  <si>
    <t>Sustento de pago PPC - Liquidación, AFP, ahorros / HORARIO DE PAGO: Tarde / NOTA: supervisor acepta propuesta de tit de cancelar 10000</t>
  </si>
  <si>
    <t>hoy pagará 6800 y el día 23/03 2300</t>
  </si>
  <si>
    <t xml:space="preserve">medio de pago : transferencia </t>
  </si>
  <si>
    <t xml:space="preserve">Sustento de pago PPC - Liquidación, AFP, ahorros / HORARIO DE PAGO: Tarde / NOTA: TIT abonara 2k por medio de trasferencia bcp </t>
  </si>
  <si>
    <t>Sustento de pago PPC - Liquidación, AFP, ahorros / HORARIO DE PAGO: Tarde / NOTA: tit pagara el día hoy el importe de 1650 enviar compromisod e pago al correo  ROELQUE@HOTMAIL.COM</t>
  </si>
  <si>
    <t xml:space="preserve">Sustento de pago PPC - Liquidación, AFP, ahorros / HORARIO DE PAGO: Tarde / NOTA: tit se brindo su dt y ddk se da cam 150 se consulta por que no pago anterioormente y dice que no pudo tuvo urgensia pagara el dia de hoy </t>
  </si>
  <si>
    <t>Sustento de pago PPC - Liquidación, AFP, ahorros / HORARIO DE PAGO: Tarde / NOTA: Titular cancela bajo propuesta aprobada, se envía compromiso de pago vía WhatsApp y correo</t>
  </si>
  <si>
    <t>Sustento de pago PPC - Liquidación, AFP, ahorros / HORARIO DE PAGO: Tarde / NOTA: Titular cancela bajo propuesta aprobada, se envía datos de pago vía WhatsApp</t>
  </si>
  <si>
    <t>Sustento de pago PPC - Liquidación, AFP, ahorros / HORARIO DE PAGO: Tarde / NOTA: Titular cancela con el importe de S/2,000 soles para Hoy Martes 19/05/2026 por agencia IBK.</t>
  </si>
  <si>
    <t>Sustento de pago PPC - Liquidación, AFP, ahorros / HORARIO DE PAGO: Tarde / NOTA: Titular emplea pago con la suma de S/1,000 soles para Hoy Martes 16/06/2026 por app BCP.</t>
  </si>
  <si>
    <t>Sustento de pago PPC - Liquidación, AFP, ahorros / HORARIO DE PAGO: Tarde / NOTA: Titular emplea pago de S/4,500 soles Hoy Viernes 19/06/2026 por app BCP antes de 4:40 pm.</t>
  </si>
  <si>
    <t>Sustento de pago PPC - Liquidación, AFP, ahorros / HORARIO DE PAGO: Tarde / NOTA: Titular realiza adelanto de S/1,000 soles Hoy Miércoles 17/06/2026 por agente BCP y el restante el Viernes 26/06/2026 de S/7,000 soles en agencia BBVA, sobre totalidad de S/8,000 soles.</t>
  </si>
  <si>
    <t>Sustento de pago PPC - Liquidación, AFP, ahorros / HORARIO DE PAGO: Tarde / NOTA: Titular realiza pago de S/1,600 soles para el Viernes 22/05/2026 por transferencia.</t>
  </si>
  <si>
    <t>Sustento de pago PPC - Liquidación, AFP, ahorros / HORARIO DE PAGO: Tarde / NOTA: Titular realiza pago de S/1,800 soles por app Interbank ,Hoy Martes 09/06/2026.</t>
  </si>
  <si>
    <t>Sustento de pago PPC - Liquidación, AFP, ahorros / HORARIO DE PAGO: Tarde / NOTA: Titular realiza su cancelación por el importe de S/20,000.00 soles, en 2fechas , Hoy Lunes 16/03/2026 por el adelanto de S/1,000.00 soles por app BBVA, y el restante para el Lunes 30/03/2026 de S/19,000.00 soles ya sea por agencia Interbank o app BBVA, indica.</t>
  </si>
  <si>
    <t>Sustento de pago PPC - Liquidación, AFP, ahorros / HORARIO DE PAGO: Tarde / NOTA: Titular realizara el pago en 2 fechas dentro del mes, Hoy Miércoles 03/06 realiza adelanto de S/500 soles y el restante de S/500 soles para el Viernes 05/06 ambos pagos por agencia BBVA.</t>
  </si>
  <si>
    <t>Sustento de pago PPC - Liquidación, AFP, ahorros / HORARIO DE PAGO: Tarde / NOTA: titular se compromete a cancelar bajo importe total de S/. 726.00 el día 30/12. Adelanta el 50% monto de S/. 363.00 a más tardar el día de mañana 02/12 y completa saldo restante en fecha indicada. Se envía datos vía WhatsApp</t>
  </si>
  <si>
    <t>Sustento de pago PPC - Liquidación, AFP, ahorros / HORARIO DE PAGO: Tarde / NOTA: tt cancela bajo propuesta aprobada, se le recalca que excepción es sujeto a pago de adelanto. Se envía datos vía wsp</t>
  </si>
  <si>
    <t>Sustento de pago PPC - Liquidación, AFP, ahorros / HORARIO DE PAGO: Tarde / NOTA: tt cancela en agente, se le recalca que campaña es válida sujeto a pago de adelanto del día lunes 13/05. Se envía datos vía wsp</t>
  </si>
  <si>
    <t>Sustento de pago PPC - Liquidación, AFP, ahorros / HORARIO DE PAGO: Tarde / NOTA: tt cancela en agente, solicita envío de datos vía WhatsApp</t>
  </si>
  <si>
    <t>Sustento de pago PPC - Liquidación, AFP, ahorros / HORARIO DE PAGO: Tarde / NOTA: tt cancela en CT Casma, solicita envío de datos vía wsp</t>
  </si>
  <si>
    <t>Sustento de pago PPC - Liquidación, AFP, ahorros / HORARIO DE PAGO: Tarde / NOTA: tt cancela en CT Huaraz, se envía datos de pago vía wsp</t>
  </si>
  <si>
    <t xml:space="preserve">Sustento de pago PPC - Liquidación, AFP, ahorros / HORARIO DE PAGO: Tarde / NOTA: tt cancela hoy 18-06 s/4500 por transferencia BBVA, se le envía reporte SENTINEL para su validación y compromiso a correo  jaguirre777@gmail.com, tt no está seguro de tener proceso judicial, por lo tanto estará comunicando luego, por ahora accede a la cancelación de la cuenta. </t>
  </si>
  <si>
    <t xml:space="preserve">Sustento de pago PPC - Liquidación, AFP, ahorros / HORARIO DE PAGO: Tarde / NOTA: tt cancela s/8000 por BCP hoy 29-05 dinero en mano. </t>
  </si>
  <si>
    <t>Sustento de pago PPC - Liquidación, AFP, ahorros / HORARIO DE PAGO: Tarde / NOTA: tt comunicado DT:1,304.81 MIN1:1,095.00 REF( NO SE LE BRINDA)cliente esta en arequipa,ayer se apersono al banco BBVA y le brindaron un numero ,para contactarse . Se le activa para q pague por la tarde/DISCADOR.</t>
  </si>
  <si>
    <t xml:space="preserve">Sustento de pago PPC - Liquidación, AFP, ahorros / HORARIO DE PAGO: Tarde / NOTA: tt confirma cancelar la segunda cuota 10k para el 31 de mayo </t>
  </si>
  <si>
    <t>Sustento de pago PPC - Liquidación, AFP, ahorros / HORARIO DE PAGO: Tarde / NOTA: TT CONFIRMA EL ABONO DE S/550 PARA EL 24 DE JUNIO, INDICA QUE DEL PAGO DE SU AFP REALIZARÁ EL PAGO DE ESTA DEUDA.</t>
  </si>
  <si>
    <t xml:space="preserve">Sustento de pago PPC - Liquidación, AFP, ahorros / HORARIO DE PAGO: Tarde / NOTA: TT CONFIRMA PAGO DE 15 MIL , HARA PAGO EN EL BBVA </t>
  </si>
  <si>
    <t>Sustento de pago PPC - Liquidación, AFP, ahorros / HORARIO DE PAGO: Tarde / NOTA: tt confirma pago de segunda cuota y ultima S/2284 para el dia 20 de julio</t>
  </si>
  <si>
    <t>Sustento de pago PPC - Liquidación, AFP, ahorros / HORARIO DE PAGO: Tarde / NOTA: tt confirma ultima cuota de ppm por el importe de 500 soles para el 15/12 con esa fecha se le envio el documento de pago</t>
  </si>
  <si>
    <t>Sustento de pago PPC - Liquidación, AFP, ahorros / HORARIO DE PAGO: Tarde / NOTA: TT CUMPLE CON ADELANTO DE 5000 EL DÍA DE HOY, COMPLETA CON 3000 EL DÍA 15 DE ENERO</t>
  </si>
  <si>
    <t xml:space="preserve">Sustento de pago PPC - Liquidación, AFP, ahorros / HORARIO DE PAGO: Tarde / NOTA: tt dice que ha tenido dificultades para pagar anteriormente debido a que no le respondían, se compromete a realizar el pago hoy 25/05 s/100 por agente máximo hasta las 4pm que sale de su trabajo. </t>
  </si>
  <si>
    <t>Sustento de pago PPC - Liquidación, AFP, ahorros / HORARIO DE PAGO: Tarde / NOTA: TT generará el pago de la excepción unica que se le brindo, para una solución conforme en 2 cuotas, indica que paga importe de 2000 y lo restante el día 31 de Julio de 4460, se hace seguimiento para verificar la solución y cumplimiento del TT, en seguimiento se le indica que es la última oportunidad, se acepta excepción con super sandy del importe de 6460</t>
  </si>
  <si>
    <t xml:space="preserve">Sustento de pago PPC - Liquidación, AFP, ahorros / HORARIO DE PAGO: Tarde / NOTA: TT ID QUE SU PRIMO LE PRESTARÁ DE LO QUE LE DEPOSITAN DEL AFP, SI NO ES HOY ES MAÑANA </t>
  </si>
  <si>
    <t>Sustento de pago PPC - Liquidación, AFP, ahorros / HORARIO DE PAGO: Tarde / NOTA: tt indica que no le notificaron de su deuda y que tiene desconocimiento de ella, se le detalla pendiente y se compromete a cancelar el 50% hasta antes del día viernes 19 y restante a fin de mes. Se envía carta notificación y datos de pago vía wsp</t>
  </si>
  <si>
    <t>Sustento de pago PPC - Liquidación, AFP, ahorros / HORARIO DE PAGO: Tarde / NOTA: tt indica que se ascercaria a expertis * quiere hacerlo de manera presencial camp s/809</t>
  </si>
  <si>
    <t>Sustento de pago PPC - Liquidación, AFP, ahorros / HORARIO DE PAGO: Tarde / NOTA: TT indica que su gratificación lo recibirá a las 5-6 p.m,si a esa hora se puede acercar al banco lo hará sino al día siguiente.Si lo recibe antes de la fecha también lo puede realizar antes.</t>
  </si>
  <si>
    <t xml:space="preserve">Sustento de pago PPC - Liquidación, AFP, ahorros / HORARIO DE PAGO: Tarde / NOTA: tt indics el di 10 de la mañana </t>
  </si>
  <si>
    <t xml:space="preserve">Sustento de pago PPC - Liquidación, AFP, ahorros / HORARIO DE PAGO: Tarde / NOTA: TT mejoro la propuesta punto medio y pago 1400 </t>
  </si>
  <si>
    <t>Sustento de pago PPC - Liquidación, AFP, ahorros / HORARIO DE PAGO: Tarde / NOTA: TT MENCIONA QUE NO LE LLEGARON A DEPOSITAR UN DINERO QUE ESTABA ESPERANDO, MENCIONA QUE LE HAN CONFIRMADO LA DISPONIBILIDAD DEL IMPORTE PARA EL DIA DE MAÑANA PARA PODER CANCELAR CON EL MONTO DE S/350.00 ARA EL PAGO POR TRANSFERENCIA A LAS 3-4 DE LA TARDE.</t>
  </si>
  <si>
    <t>Sustento de pago PPC - Liquidación, AFP, ahorros / HORARIO DE PAGO: Tarde / NOTA: TT OAGARA CON SU AFP 460</t>
  </si>
  <si>
    <t>Sustento de pago PPC - Liquidación, AFP, ahorros / HORARIO DE PAGO: Tarde / NOTA: tt paga en Caja Trujillo, adelanta S/. 50 hoy y diferencia en fecha pactada</t>
  </si>
  <si>
    <t>Sustento de pago PPC - Liquidación, AFP, ahorros / HORARIO DE PAGO: Tarde / NOTA: tt paga en CT El Porvenir, se envía datos vía wsp</t>
  </si>
  <si>
    <t xml:space="preserve">Sustento de pago PPC - Liquidación, AFP, ahorros / HORARIO DE PAGO: Tarde / NOTA: tt paga hoy 15-06 s/5000 por transferencia INTERBANK, dinero en mano. </t>
  </si>
  <si>
    <t>Sustento de pago PPC - Liquidación, AFP, ahorros / HORARIO DE PAGO: Tarde / NOTA: tt paga hoy 19-05 s/ 250, dinero en mano</t>
  </si>
  <si>
    <t xml:space="preserve">Sustento de pago PPC - Liquidación, AFP, ahorros / HORARIO DE PAGO: Tarde / NOTA: tt paga hoy 25-05 s/313 4pm por transferencia. </t>
  </si>
  <si>
    <t>Sustento de pago PPC - Liquidación, AFP, ahorros / HORARIO DE PAGO: Tarde / NOTA: TT PAGA HOY MIL SOLES Y 4 MIL HASTA FIN DE MES ,VIA BCP</t>
  </si>
  <si>
    <t>Sustento de pago PPC - Liquidación, AFP, ahorros / HORARIO DE PAGO: Tarde / NOTA: tt paga por app BCP, se envía datos vía wsp</t>
  </si>
  <si>
    <t xml:space="preserve">Sustento de pago PPC - Liquidación, AFP, ahorros / HORARIO DE PAGO: Tarde / NOTA: tt paga por BCP s/5000, dinero en mano. </t>
  </si>
  <si>
    <t>(tt un poco desconfiado, hizo las validaciones correspondientes, se le envió poderes de NATHALY JIMENEZ)</t>
  </si>
  <si>
    <t>Sustento de pago PPC - Liquidación, AFP, ahorros / HORARIO DE PAGO: Tarde / NOTA: tt paga s/100 hoy 14-05 por BCP</t>
  </si>
  <si>
    <t xml:space="preserve">Sustento de pago PPC - Liquidación, AFP, ahorros / HORARIO DE PAGO: Tarde / NOTA: tt paga s/1700 hoy 17-06 por transferencia BBVA, adjunta correo marite_7_14@hotmail.com para compromiso y carta </t>
  </si>
  <si>
    <t xml:space="preserve">Sustento de pago PPC - Liquidación, AFP, ahorros / HORARIO DE PAGO: Tarde / NOTA: tt paga s/450 por transferencia hoy 11-05 o 12-05 hasta 4pm máximo ya que no tiene mucha disponibilidad por su trabajo. </t>
  </si>
  <si>
    <t xml:space="preserve">Sustento de pago PPC - Liquidación, AFP, ahorros / HORARIO DE PAGO: Tarde / NOTA: tt paga s/650 hoy 14-05 por BCP, dinero en mano. </t>
  </si>
  <si>
    <t xml:space="preserve">Sustento de pago PPC - Liquidación, AFP, ahorros / HORARIO DE PAGO: Tarde / NOTA: tt paga s/800 hoy 29-05 por BCP dinero en mano. </t>
  </si>
  <si>
    <t>Sustento de pago PPC - Liquidación, AFP, ahorros / HORARIO DE PAGO: Tarde / NOTA: TT PAGARA EL MONTO DE S/2600.00 EN 3 ARMADAS DENTRO DEL MES, SU 1ER ABONO SERA EL 09/06 CON EL MONTO DE S/860.00 EL DIA 23/06 PAGARIA S/870.00 Y EL 30/06 PAGARA EL RESTANTE DE S/870.00 PARA LA CANCELACION TOTAL, PAGARA POR TRANSFERENCIA.</t>
  </si>
  <si>
    <t>Sustento de pago PPC - Liquidación, AFP, ahorros / HORARIO DE PAGO: Tarde / NOTA: tt pagará en agente, se envía datos vía wsp</t>
  </si>
  <si>
    <t xml:space="preserve">Sustento de pago PPC - Liquidación, AFP, ahorros / HORARIO DE PAGO: Tarde / NOTA: tt pagará hasta el día 27/02 s/.6000 por transferencia. Ya cuenta con el dinero pero no está en ciudad por ahora debido a su trabajo, si un familiar le apoya hará el pago antes. </t>
  </si>
  <si>
    <t>Sustento de pago PPC - Liquidación, AFP, ahorros / HORARIO DE PAGO: Tarde / NOTA: tt pagara la campaña brindada de 1800 para el dia 26-06 a las 3pm</t>
  </si>
  <si>
    <t xml:space="preserve">medio de pago: CAJA LOS ANDES </t>
  </si>
  <si>
    <t>Sustento de pago PPC - Liquidación, AFP, ahorros / HORARIO DE PAGO: Tarde / NOTA: TT PAGARA ULTIMA CUOTA DE PPM EL PAGO ESTA PROGRAMADO PARA EL 26/12</t>
  </si>
  <si>
    <t>CONFIRMA PAGO PARA ESA FECHA</t>
  </si>
  <si>
    <t xml:space="preserve">Sustento de pago PPC - Liquidación, AFP, ahorros / HORARIO DE PAGO: Tarde / NOTA: TT PIDE CARTA AL CORREO PAGA HOY 2000 Y 1200 MAÑANA </t>
  </si>
  <si>
    <t>Sustento de pago PPC - Liquidación, AFP, ahorros / HORARIO DE PAGO: Tarde / NOTA: TT REALIZA PAGO DE 1500 HOY Y 3500 EL DIA 30</t>
  </si>
  <si>
    <t xml:space="preserve">Sustento de pago PPC - Liquidación, AFP, ahorros / HORARIO DE PAGO: Tarde / NOTA: TT realizará pago de DT, mañana en el transcurso del día indica que ya le confirmaron que la cuenta fue cedida a Expertis </t>
  </si>
  <si>
    <t xml:space="preserve">Sustento de pago PPC - Liquidación, AFP, ahorros / HORARIO DE PAGO: Tarde / NOTA: Tt realizo adelanto de 500 soles y 4500 hasta el viernes 26 </t>
  </si>
  <si>
    <t xml:space="preserve">Sustento de pago PPC - Liquidación, AFP, ahorros / HORARIO DE PAGO: Tarde / NOTA: TT RESERVARÁ CAMPAÑA DE S/ 650.00 HASTA EL 16 ABONANDO HOY IMPORTE DE S/ 100.0 </t>
  </si>
  <si>
    <t>Sustento de pago PPC - Liquidación, AFP, ahorros / HORARIO DE PAGO: Tarde / NOTA: tt se compromete a cancelar en CT Cajamarca, hora en referencia 12pm. Se envía datos vía wsp</t>
  </si>
  <si>
    <t>Sustento de pago PPC - Liquidación, AFP, ahorros / HORARIO DE PAGO: Tarde / NOTA: tt se compromete con cancelación para fin de mes, solicita se le envíe datos vía wsp</t>
  </si>
  <si>
    <t>Sustento de pago PPC - Liquidación, AFP, ahorros / HORARIO DE PAGO: Tarde / NOTA: TT.indica que le habian robado la linea y  que liquidara deuda se prestara</t>
  </si>
  <si>
    <t xml:space="preserve">Sustento de pago PPC - Liquidación, AFP, ahorros / HORARIO DE PAGO: Tarde / NOTA: ULTIMA CUOTA PPM  S/ 10,000.00 - 29 DE ENERO </t>
  </si>
  <si>
    <t>Sustento de pago PPC - Liquidación, AFP, bono del gobierno</t>
  </si>
  <si>
    <t xml:space="preserve">Sustento de pago PPC - OTROS: </t>
  </si>
  <si>
    <t>Sustento de pago PPC - OTROS:  / HORARIO DE PAGO: Mañana</t>
  </si>
  <si>
    <t>Sustento de pago PPC - OTROS:  / HORARIO DE PAGO: Mañana / CANAL ENVIO - LLAMADA</t>
  </si>
  <si>
    <t>Sustento de pago PPC - OTROS:  / HORARIO DE PAGO: Mediodía</t>
  </si>
  <si>
    <t>Sustento de pago PPC - OTROS:  / HORARIO DE PAGO: Tarde</t>
  </si>
  <si>
    <t>Sustento de pago PPC - OTROS:  993124581  enviar por correo  efs140782gamilcom   ppc de 100</t>
  </si>
  <si>
    <t>Sustento de pago PPC - OTROS:  A su esposo le pagan el dia de mañana y con ello estara efectuando el pago de 300</t>
  </si>
  <si>
    <t>Sustento de pago PPC - OTROS:  CAMPAÑA  200   ABONA HOY 50 SOLES  EL  150  SOLES  EL 15 DE ENERO  / HORARIO DE PAGO: Tarde</t>
  </si>
  <si>
    <t>Sustento de pago PPC - OTROS:  campaña 350 esta en lima va pagar en san isidro</t>
  </si>
  <si>
    <t xml:space="preserve">Sustento de pago PPC - OTROS:  CAMPAÑA 361    AGENTE </t>
  </si>
  <si>
    <t>Sustento de pago PPC - OTROS:  cl   se comunica al corp nro 15 le llego sms de cancelacion de 191  dinero lo saca de ahorros</t>
  </si>
  <si>
    <t>Sustento de pago PPC - OTROS:  cliente  hoy realiza pago de 1650  ya que tieen que viajar y pide plazo hasta el viernes paralos 150 restantes / HORARIO DE PAGO: Tarde</t>
  </si>
  <si>
    <t>Sustento de pago PPC - OTROS:  esposa de tt Monica la Torre Cahuanca 44715692 esposa de tt menciona que ella se hara cargo de la deuda por que su esposo no trabaja y  esta enfermo le llego el msj por 117</t>
  </si>
  <si>
    <t>Sustento de pago PPC - OTROS:  ESPOSO DE TT SE HACE CARGO DE DEUDA  MARCK MENDOZA AGUILAR DNI 80647063   QUIERE SU CARTA  HASTA EL 31 07</t>
  </si>
  <si>
    <t>Sustento de pago PPC - OTROS:  Estara mandando aun familiar a pagar en caja los andes Importede 2200 / HORARIO DE PAGO: Mañana</t>
  </si>
  <si>
    <t>Sustento de pago PPC - OTROS:  Explica que no logro juntar la totalidad que ahorita tiene 350 y que los 205 el viernes 12.01 lo pagara SOBRE 555  / HORARIO DE PAGO: Mañana</t>
  </si>
  <si>
    <t>Sustento de pago PPC - OTROS:  fam apoya a cancelar la deuda piden plazo de pago viven en el campo / HORARIO DE PAGO: Mañana</t>
  </si>
  <si>
    <t>Sustento de pago PPC - OTROS:  HIJA DE TT SRA PAMELA CUTOYO VINCES NO ACEPTA REFINANCIAR CANCELARA 5000 EL 30 CON AHORROS</t>
  </si>
  <si>
    <t>Sustento de pago PPC - OTROS:  indica  recien esta por  cobrar  pide  plazo  de reunir antes  el dinero enviara foto  / HORARIO DE PAGO: Mañana</t>
  </si>
  <si>
    <t xml:space="preserve">Sustento de pago PPC - OTROS:  le llego por msj de texto un descuento para cancelar  </t>
  </si>
  <si>
    <t xml:space="preserve">Sustento de pago PPC - OTROS:  paga el dia de mañana a las 10 am </t>
  </si>
  <si>
    <t xml:space="preserve">Sustento de pago PPC - OTROS:  PAGO DE  LIQUIDACION LO OBTENDRA A FIN DE MES </t>
  </si>
  <si>
    <t>Sustento de pago PPC - OTROS:  POR ESTADO DE  SALUD  INCUMPLIO PAGO PIDE  MANTENER  MISMO ACUERDO  A  QUINCENA  PAGO COMO COMPROMISO RESTO A FINES   / HORARIO DE PAGO: Mañana</t>
  </si>
  <si>
    <t xml:space="preserve">Sustento de pago PPC - OTROS:  PPC DE 60 MENCIONA QUE EL DIA DE HOY PAGA </t>
  </si>
  <si>
    <t xml:space="preserve">Sustento de pago PPC - OTROS:  ppc de 900     </t>
  </si>
  <si>
    <t>Sustento de pago PPC - OTROS:  reunira el dinero con seguridad</t>
  </si>
  <si>
    <t xml:space="preserve">Sustento de pago PPC - OTROS:  se elevo excepcion de pago por 3000 </t>
  </si>
  <si>
    <t xml:space="preserve">Sustento de pago PPC - OTROS:  SE PREGUNTA POR EL SUSTENTO PEOR NO RESPNDE SU HIJO IRA A PAGAR </t>
  </si>
  <si>
    <t>Sustento de pago PPC - OTROS:  TT INDICA QUE 11 JULIO 200 SOLES Y LE DIA 30 DE JULIO PAGA 415 SOLES TELF PERSONAL  941881472</t>
  </si>
  <si>
    <t>Sustento de pago PPC - OTROS:  TT INDICA QUE HOY RECIEN LE HAN DADO EL DINERO ESTARA EFECTUANDOLO EL DIA DE MAÑANA A MAS TARDAR Y TODAS LAS AGENCIAS ESTAN CERRADAS</t>
  </si>
  <si>
    <t>Sustento de pago PPC - OTROS:  ULTIMO PAGO  / HORARIO DE PAGO: Mañana</t>
  </si>
  <si>
    <t xml:space="preserve">Sustento de pago PPC - OTROS: 06 de julio monto 300 excecpion </t>
  </si>
  <si>
    <t>Sustento de pago PPC - OTROS: 100 ADELANTO DIA 5.11.2020 Y EL DIA 16.11.2020 425.00 SOLES CANCELACIÓN</t>
  </si>
  <si>
    <t>Sustento de pago PPC - OTROS: 100 el de 6 y 900 para el 31  se prestara dinero</t>
  </si>
  <si>
    <t>Sustento de pago PPC - OTROS: 100 soles de inicial lunes 15 y 220 hasta 22 .  / HORARIO DE PAGO: Mediodía</t>
  </si>
  <si>
    <t>Sustento de pago PPC - OTROS: 1000 ppc hoy excepcion</t>
  </si>
  <si>
    <t>Sustento de pago PPC - OTROS: 11 150 soles diferencia hasta el 20</t>
  </si>
  <si>
    <t>Sustento de pago PPC - OTROS: 12 a 3pm</t>
  </si>
  <si>
    <t>Sustento de pago PPC - OTROS: 12 oct hara el pago de 100 y lo restante a fin de mes tuvo un accidente de moto recien se reincorporara a su trabajo</t>
  </si>
  <si>
    <t>Sustento de pago PPC - OTROS: 13 de julio 1500 y el 20 de julio 500 Total 2000 EXCEPCION</t>
  </si>
  <si>
    <t xml:space="preserve">Sustento de pago PPC - OTROS: 14 MONTO 50  EL 31 MONTO 150 </t>
  </si>
  <si>
    <t xml:space="preserve">Sustento de pago PPC - OTROS: 15 262 y diferencia fin d mes </t>
  </si>
  <si>
    <t>Sustento de pago PPC - OTROS: 15 PAGA 400 Y 29 PAGA 300</t>
  </si>
  <si>
    <t xml:space="preserve">Sustento de pago PPC - OTROS: 150  dic e prestatria dinero </t>
  </si>
  <si>
    <t>Sustento de pago PPC - OTROS: 150 cancelara / HORARIO DE PAGO: Mañana</t>
  </si>
  <si>
    <t xml:space="preserve">Sustento de pago PPC - OTROS: 150 canelara </t>
  </si>
  <si>
    <t>Sustento de pago PPC - OTROS: 150 el dia marte 8 de set y 246 el dia 30 del 09 ppc trabaja independiente en su camion</t>
  </si>
  <si>
    <t>Sustento de pago PPC - OTROS: 170 dia 15 del 07 y el dia 30 del 07 total</t>
  </si>
  <si>
    <t xml:space="preserve">Sustento de pago PPC - OTROS: 1700 HASTA EL MEDIO DIA </t>
  </si>
  <si>
    <t>Sustento de pago PPC - OTROS: 19 nov pagara 263 y 30 nov termina con 263</t>
  </si>
  <si>
    <t xml:space="preserve">Sustento de pago PPC - OTROS: 2 DE 2 CUOTAS </t>
  </si>
  <si>
    <t>Sustento de pago PPC - OTROS: 21 ADELANTA 150 LO RESTANTE A FIN DE MES</t>
  </si>
  <si>
    <t xml:space="preserve">Sustento de pago PPC - OTROS: 220 SOLES PARA EL 30 DE ENERO. </t>
  </si>
  <si>
    <t>Sustento de pago PPC - OTROS: 250 soles en 2 cuotas dentro del mes de setiembre 125 soles el dia 12 y 125 soles el dia 30</t>
  </si>
  <si>
    <t xml:space="preserve">Sustento de pago PPC - OTROS: 270 GRABACION TACITA </t>
  </si>
  <si>
    <t>Sustento de pago PPC - OTROS: 280 tt dice pagara deuda  indica que habia sacado a su amiga  / HORARIO DE PAGO: Mediodía</t>
  </si>
  <si>
    <t xml:space="preserve">Sustento de pago PPC - OTROS: 283 DIA 3 DEL 11 Y 30 DEL 11 ULTIMA CUOTA 283 </t>
  </si>
  <si>
    <t>Sustento de pago PPC - OTROS: 300 el dia miercoles 22 del 07 encargado de pago pagara</t>
  </si>
  <si>
    <t xml:space="preserve">Sustento de pago PPC - OTROS: 300 SOLES PARA EL 15 </t>
  </si>
  <si>
    <t>Sustento de pago PPC - OTROS: 300.00 adelanto  19.12  can  200 soles 30.12</t>
  </si>
  <si>
    <t>Sustento de pago PPC - OTROS: 3000 EL 01 DE JULIO Y EL 04 EL MONTO DE 2000 BASE DE ASIGNACION VACACIONES ANDREA EXCEPCION</t>
  </si>
  <si>
    <t xml:space="preserve">Sustento de pago PPC - OTROS: 320 cancelara </t>
  </si>
  <si>
    <t>Sustento de pago PPC - OTROS: 350 HOY Y 150 EL DIA LUNES PPC</t>
  </si>
  <si>
    <t xml:space="preserve">Sustento de pago PPC - OTROS: 370soles seguimiento </t>
  </si>
  <si>
    <t xml:space="preserve">Sustento de pago PPC - OTROS: 400 PPC </t>
  </si>
  <si>
    <t>Sustento de pago PPC - OTROS: 400 soles  / HORARIO DE PAGO: Mañana</t>
  </si>
  <si>
    <t xml:space="preserve">Sustento de pago PPC - OTROS: 400 soles can </t>
  </si>
  <si>
    <t xml:space="preserve">Sustento de pago PPC - OTROS: 40991345 MILAGRITOS AGUIRRE DAVILA </t>
  </si>
  <si>
    <t xml:space="preserve">Sustento de pago PPC - OTROS: 431 ind que stp  de su negocio que a emprendido </t>
  </si>
  <si>
    <t>Sustento de pago PPC - OTROS: 50 SOLES Y LA DIFERENCIA 350 REALIZARA A TRAVEZ DE UN AGENTE .  NUMERO NUEVO 924545080</t>
  </si>
  <si>
    <t xml:space="preserve">Sustento de pago PPC - OTROS: 500 3PM ARA EL PAGO </t>
  </si>
  <si>
    <t>Sustento de pago PPC - OTROS: 500 CANCELARA EL DIA DE MAÑANA MIERCOLES 20 ENERO</t>
  </si>
  <si>
    <t>Sustento de pago PPC - OTROS: 500 HOY 1.04.2024 Y 800 EL 30.04.2024 / HORARIO DE PAGO: Tarde</t>
  </si>
  <si>
    <t>Sustento de pago PPC - OTROS: 500 PPC SE RESTO PARA PAGAR HOY CON 500</t>
  </si>
  <si>
    <t>Sustento de pago PPC - OTROS: 550 PPC SEXCEP</t>
  </si>
  <si>
    <t>Sustento de pago PPC - OTROS: 615</t>
  </si>
  <si>
    <t>Sustento de pago PPC - OTROS: 7 EL MONTO DE 600 Y EL 30 OTRO 600</t>
  </si>
  <si>
    <t xml:space="preserve">Sustento de pago PPC - OTROS: 700 ppc pagar con su ahora 947099425 </t>
  </si>
  <si>
    <t>Sustento de pago PPC - OTROS: 800</t>
  </si>
  <si>
    <t xml:space="preserve">Sustento de pago PPC - OTROS: 910367134 whatsapp </t>
  </si>
  <si>
    <t>Sustento de pago PPC - OTROS: 918330226  tiene el dinero monto 300   pagara antes del mediodia</t>
  </si>
  <si>
    <t xml:space="preserve">Sustento de pago PPC - OTROS: 923558738 whatsap stp. sueldo </t>
  </si>
  <si>
    <t xml:space="preserve">Sustento de pago PPC - OTROS: 924392212 numero de tt </t>
  </si>
  <si>
    <t>Sustento de pago PPC - OTROS: 929069118 CAM1300</t>
  </si>
  <si>
    <t xml:space="preserve">Sustento de pago PPC - OTROS: 941256601 </t>
  </si>
  <si>
    <t>Sustento de pago PPC - OTROS: 947911696</t>
  </si>
  <si>
    <t xml:space="preserve">Sustento de pago PPC - OTROS: 963447828 numero pàra whatsaspp </t>
  </si>
  <si>
    <t>Sustento de pago PPC - OTROS: 974.00 SOLES en 3 partes dentro del mes 06.11 ..... 325 soles ... 21.11..... 325 soles..... 30.11 ..... 325 soles</t>
  </si>
  <si>
    <t xml:space="preserve">Sustento de pago PPC - OTROS: 977466417 PPC 150 </t>
  </si>
  <si>
    <t xml:space="preserve">Sustento de pago PPC - OTROS: 978279711 </t>
  </si>
  <si>
    <t xml:space="preserve">Sustento de pago PPC - OTROS: 981790995 envio documentos </t>
  </si>
  <si>
    <t>Sustento de pago PPC - OTROS: 994052066 CAMP 400 ESTO CANCELACION  almaleanjesa gmail com</t>
  </si>
  <si>
    <t>Sustento de pago PPC - OTROS: a cliente le realizaron un abono una transferencia a banco de la nacion y todavia no le llega por eso el retraso</t>
  </si>
  <si>
    <t xml:space="preserve">Sustento de pago PPC - OTROS: a espera de los 5 mil soles que le faltan.. esta a espera de que hermano le confirme para que pueda completar y acercarse a pagar </t>
  </si>
  <si>
    <t>Sustento de pago PPC - OTROS: A ESPERA DE UN DINERO 20 ABONA 100 DIFERENCIA FINES</t>
  </si>
  <si>
    <t>Sustento de pago PPC - OTROS: A ESTADO JUNTADO YA LA CANTIDAD PROPUESTA ANTERIORMENTE</t>
  </si>
  <si>
    <t>Sustento de pago PPC - OTROS: a juntado</t>
  </si>
  <si>
    <t>Sustento de pago PPC - OTROS: a la  3 pm cancelara 115</t>
  </si>
  <si>
    <t>Sustento de pago PPC - OTROS: a tt le confirmaron pago para el 2810 por la noche paga 2910</t>
  </si>
  <si>
    <t>Sustento de pago PPC - OTROS: AADELANTO DE 1500 HOY SALDO 0903 / HORARIO DE PAGO: Mañana</t>
  </si>
  <si>
    <t>Sustento de pago PPC - OTROS: abona 100 dia 17 dic. y 380 soles el dia 28 dic. paga</t>
  </si>
  <si>
    <t>Sustento de pago PPC - OTROS: abona 100 el sabado diferencia a fines su esposo la apoyara</t>
  </si>
  <si>
    <t>Sustento de pago PPC - OTROS: abona 100 soles 18 y a fines diferencia</t>
  </si>
  <si>
    <t xml:space="preserve">Sustento de pago PPC - OTROS: abona 100 soles el sabado tiene el dinero a fin de mes la diferencia </t>
  </si>
  <si>
    <t>Sustento de pago PPC - OTROS: abona 131 el dia 6 y restante hasta fin de mes</t>
  </si>
  <si>
    <t>Sustento de pago PPC - OTROS: ABONA EL ADELANTO DE 50 EL 17 Y LO RESTANTE A FIN DE MES</t>
  </si>
  <si>
    <t>Sustento de pago PPC - OTROS: abona hoy 200 y dfierencia 650 para el 30</t>
  </si>
  <si>
    <t>Sustento de pago PPC - OTROS: abona hoy 50 soles y 20 cancela la diferencia</t>
  </si>
  <si>
    <t>Sustento de pago PPC - OTROS: ABONARA 100 DIA 11 Y FINALIZARA CON 50 PARA EL DIA 18</t>
  </si>
  <si>
    <t xml:space="preserve">Sustento de pago PPC - OTROS: abonara 100 hoy </t>
  </si>
  <si>
    <t>Sustento de pago PPC - OTROS: abonara 100 lunes 21 y dif 30</t>
  </si>
  <si>
    <t xml:space="preserve">Sustento de pago PPC - OTROS: ABONARA 100 MAÑANA  SALD EL 16 DE SUELDO </t>
  </si>
  <si>
    <t xml:space="preserve">Sustento de pago PPC - OTROS: ABONARA 100 MAÑANA 12 NOV Y LO RESTANTE A FIN DE MES </t>
  </si>
  <si>
    <t xml:space="preserve">Sustento de pago PPC - OTROS: abonara 100 max el día sabado 10 y diferencia de 960 para fin de mes </t>
  </si>
  <si>
    <t>Sustento de pago PPC - OTROS: ABONARA 200 EL 23.02 Y DIF FIN DE MES / HORARIO DE PAGO: Mañana</t>
  </si>
  <si>
    <t>Sustento de pago PPC - OTROS: ABONARA 200 PARA DIA VIERNES 4 Y RESTO PARA EL DIA 28 DICIEMBRE</t>
  </si>
  <si>
    <t>Sustento de pago PPC - OTROS: ABONARA 200 PARA QUINCENA Y RESTANTE PARA DIA 30</t>
  </si>
  <si>
    <t>Sustento de pago PPC - OTROS: abonara 400 hasta 07 y diferencia a fines</t>
  </si>
  <si>
    <t>Sustento de pago PPC - OTROS: abonara 50 el 17 y dif el 30</t>
  </si>
  <si>
    <t xml:space="preserve">Sustento de pago PPC - OTROS: abonara 50 el miercoles 11  y dif de 300 el 24 </t>
  </si>
  <si>
    <t>Sustento de pago PPC - OTROS: ABONARA 50 MIERCOL Y RST 30 NOV</t>
  </si>
  <si>
    <t>Sustento de pago PPC - OTROS: Abonará 50 soles el dia de mañana 13 y 270 para el 28 de enero</t>
  </si>
  <si>
    <t xml:space="preserve">Sustento de pago PPC - OTROS: abonara el 16 300 soles diferencia a fin de mes </t>
  </si>
  <si>
    <t>Sustento de pago PPC - OTROS: abonara hoy 50 soles y la diferencia el dia miercoles 10  / HORARIO DE PAGO: Tarde</t>
  </si>
  <si>
    <t>Sustento de pago PPC - OTROS: abonara por la tarde  / HORARIO DE PAGO: Tarde</t>
  </si>
  <si>
    <t xml:space="preserve">Sustento de pago PPC - OTROS: abonara transcurso del mes hasta llegar a 900 fin de mes grabacion </t>
  </si>
  <si>
    <t>Sustento de pago PPC - OTROS: abonaria 50 al medio dia 21 y dif 295</t>
  </si>
  <si>
    <t>Sustento de pago PPC - OTROS: ABONO HOY 50  Y HARA CANCELACION EL VIERNES 19 / HORARIO DE PAGO: Tarde</t>
  </si>
  <si>
    <t>Sustento de pago PPC - OTROS: acuerdo de pago de 15k 7500 el 16.01 y 7500 el 31.01 / HORARIO DE PAGO: Mañana</t>
  </si>
  <si>
    <t>Sustento de pago PPC - OTROS: adelanta 100 / HORARIO DE PAGO: Tarde</t>
  </si>
  <si>
    <t>Sustento de pago PPC - OTROS: adelanta 100 el 12 diferencia 30 prestamo de familar</t>
  </si>
  <si>
    <t>Sustento de pago PPC - OTROS: adelanta 100 el 15 dif el 30</t>
  </si>
  <si>
    <t xml:space="preserve">Sustento de pago PPC - OTROS: adelanta 100 el dia 11 </t>
  </si>
  <si>
    <t>Sustento de pago PPC - OTROS: adelanta 100 hoy / HORARIO DE PAGO: Tarde</t>
  </si>
  <si>
    <t>Sustento de pago PPC - OTROS: adelanta 100 y diferencia 400 hasta el 30</t>
  </si>
  <si>
    <t>Sustento de pago PPC - OTROS: adelanta 150 hoy y diferencia el 30</t>
  </si>
  <si>
    <t>Sustento de pago PPC - OTROS: adelanta 200 el 26 y diferencia el 29 es independiente</t>
  </si>
  <si>
    <t>Sustento de pago PPC - OTROS: ADELANTA 200 HOY / HORARIO DE PAGO: Tarde</t>
  </si>
  <si>
    <t>Sustento de pago PPC - OTROS: adelanta 300 el 17 es independiente</t>
  </si>
  <si>
    <t>Sustento de pago PPC - OTROS: adelanta 300 hoy 15 diferencia fin de mes</t>
  </si>
  <si>
    <t>Sustento de pago PPC - OTROS: adelanta 400 y el resto / HORARIO DE PAGO: Tarde</t>
  </si>
  <si>
    <t>Sustento de pago PPC - OTROS: adelanta 50 10 de enero / HORARIO DE PAGO: Tarde</t>
  </si>
  <si>
    <t>Sustento de pago PPC - OTROS: adelanta 500 el 18 diferencia el 31</t>
  </si>
  <si>
    <t>Sustento de pago PPC - OTROS: ADELANTA 500 SOLES 25.01</t>
  </si>
  <si>
    <t>Sustento de pago PPC - OTROS: adelanta 70 el 11 y dif de 600 el 30</t>
  </si>
  <si>
    <t>Sustento de pago PPC - OTROS: adelanta 77 hoy diferencia 600 el 17</t>
  </si>
  <si>
    <t>Sustento de pago PPC - OTROS: adelanta el dia lunes 07 menciona que incumplio es por tiempo y lo restante 991698048</t>
  </si>
  <si>
    <t>Sustento de pago PPC - OTROS: adelanta en la tarde 175 y fin de mes la diferencia  / HORARIO DE PAGO: Mañana</t>
  </si>
  <si>
    <t>Sustento de pago PPC - OTROS: adelanta entre hoy o mñn 50 o 100 y a mas tardar el 26 cancela</t>
  </si>
  <si>
    <t>Sustento de pago PPC - OTROS: adelanta hoy 150</t>
  </si>
  <si>
    <t>Sustento de pago PPC - OTROS: ADELANTA HOY 150 / HORARIO DE PAGO: Mañana</t>
  </si>
  <si>
    <t>Sustento de pago PPC - OTROS: adelanta hoy 20 dinero en mano y diferencia con planilla para fin de mes</t>
  </si>
  <si>
    <t>Sustento de pago PPC - OTROS: adelanta hoy 200 y diferencia el 30</t>
  </si>
  <si>
    <t>Sustento de pago PPC - OTROS: adelanta hoy 400 y diferencia el 30</t>
  </si>
  <si>
    <t>Sustento de pago PPC - OTROS: adelanta hoy 450 y diferencia el 30 esposa maria gianella</t>
  </si>
  <si>
    <t>Sustento de pago PPC - OTROS: adelanta pago 100 soles el 19 de octubre y el 29 cancela la diferencia</t>
  </si>
  <si>
    <t>Sustento de pago PPC - OTROS: adelanta una parte el 14 entre 100 a 150</t>
  </si>
  <si>
    <t>Sustento de pago PPC - OTROS: ADELANTARA 500 EL 22.12</t>
  </si>
  <si>
    <t xml:space="preserve">Sustento de pago PPC - OTROS: adelante el dia de mapñana 70 soles 2pm </t>
  </si>
  <si>
    <t>Sustento de pago PPC - OTROS: adelanto 100 dia 20.11 y 425 el dia 30.11 spt sueldo</t>
  </si>
  <si>
    <t>Sustento de pago PPC - OTROS: ADELANTO 50 5 DE FEBRERO / HORARIO DE PAGO: Mañana</t>
  </si>
  <si>
    <t>Sustento de pago PPC - OTROS: adelanto 500 como parte de la excepcion</t>
  </si>
  <si>
    <t>Sustento de pago PPC - OTROS: ADELANTO DE 1200 14.01.21</t>
  </si>
  <si>
    <t>Sustento de pago PPC - OTROS: ADELANTO DE 200 SOLES PARA HOY</t>
  </si>
  <si>
    <t>Sustento de pago PPC - OTROS: ADELANTO DE 300 SOLES PARA EL 15</t>
  </si>
  <si>
    <t xml:space="preserve">Sustento de pago PPC - OTROS: adelanto de pago 266 el dia 15.01.21 </t>
  </si>
  <si>
    <t>Sustento de pago PPC - OTROS: ADELANTO DE SUELDO</t>
  </si>
  <si>
    <t xml:space="preserve">Sustento de pago PPC - OTROS: adelanto el dia 14 </t>
  </si>
  <si>
    <t xml:space="preserve">Sustento de pago PPC - OTROS: ADELANTO EL DIA DE MAÑANA 100 SOLES </t>
  </si>
  <si>
    <t xml:space="preserve">Sustento de pago PPC - OTROS: ADELANTO EL DIA SABADO 05 ADELANTO DE 150 AFIN LOS RESTANTE ABOAN POR BANCO DE LA NACION </t>
  </si>
  <si>
    <t>Sustento de pago PPC - OTROS: adelnata hasta el 15 / HORARIO DE PAGO: Mañana</t>
  </si>
  <si>
    <t xml:space="preserve">Sustento de pago PPC - OTROS: ahorrara de sus trabajos independiente </t>
  </si>
  <si>
    <t>Sustento de pago PPC - OTROS: ahorro</t>
  </si>
  <si>
    <t>Sustento de pago PPC - OTROS: ahorro de la titular</t>
  </si>
  <si>
    <t>Sustento de pago PPC - OTROS: ahorro mas veta de su equipo ppc 600</t>
  </si>
  <si>
    <t xml:space="preserve">Sustento de pago PPC - OTROS: AHORRO PARA CANCELAR </t>
  </si>
  <si>
    <t>Sustento de pago PPC - OTROS: ahorro propinas de sus hijos  enviar  acuerdo de cancelacion  jrodriguezch67gmailcom</t>
  </si>
  <si>
    <t>Sustento de pago PPC - OTROS: ahorros</t>
  </si>
  <si>
    <t>Sustento de pago PPC - OTROS: AHORROS  AUDIO GRABADO</t>
  </si>
  <si>
    <t xml:space="preserve">Sustento de pago PPC - OTROS: ahorros  brinda nro de wssp 980624098 </t>
  </si>
  <si>
    <t>Sustento de pago PPC - OTROS: ahorros  grabacion carpeta</t>
  </si>
  <si>
    <t>Sustento de pago PPC - OTROS: ahorros  grabacion en carpeta llamo del cel corp</t>
  </si>
  <si>
    <t xml:space="preserve">Sustento de pago PPC - OTROS: ahorros 150 ppc  50 dia 21 de 09 de 2020 y 100 el dia 30 de 09 </t>
  </si>
  <si>
    <t>Sustento de pago PPC - OTROS: ahorros abonara 150 esta semana y a find emes 150</t>
  </si>
  <si>
    <t xml:space="preserve">Sustento de pago PPC - OTROS: AHORROS AMORTIZARA ABONOS HASTA LLEGAR SU TOTALIDAD DE 300 GRABACION </t>
  </si>
  <si>
    <t>Sustento de pago PPC - OTROS: ahorros ara todo lo posible para completar por que quiere recuperar su recor crediticio</t>
  </si>
  <si>
    <t xml:space="preserve">Sustento de pago PPC - OTROS: AHORROS COSECHA GRABACION </t>
  </si>
  <si>
    <t>Sustento de pago PPC - OTROS: ahorros coswcha audio</t>
  </si>
  <si>
    <t xml:space="preserve">Sustento de pago PPC - OTROS: ahorros de cosecha </t>
  </si>
  <si>
    <t xml:space="preserve">Sustento de pago PPC - OTROS: ahorros de trabajo grabacion </t>
  </si>
  <si>
    <t xml:space="preserve">Sustento de pago PPC - OTROS: AHORROS EXCEPCION APROBADA </t>
  </si>
  <si>
    <t>Sustento de pago PPC - OTROS: AHORROS GRABACIION CARPETA</t>
  </si>
  <si>
    <t xml:space="preserve">Sustento de pago PPC - OTROS: ahorros grabacion </t>
  </si>
  <si>
    <t xml:space="preserve">Sustento de pago PPC - OTROS: ahorros grabacion carpeta </t>
  </si>
  <si>
    <t>Sustento de pago PPC - OTROS: ahorros grabacion carpeta EXCEPCION APROBADA</t>
  </si>
  <si>
    <t xml:space="preserve">Sustento de pago PPC - OTROS: ahorros grabacion de llamada </t>
  </si>
  <si>
    <t>Sustento de pago PPC - OTROS: ahorros grabacion en carpeta</t>
  </si>
  <si>
    <t>Sustento de pago PPC - OTROS: ahorros grabacion guardada excepcion aprobada</t>
  </si>
  <si>
    <t xml:space="preserve">Sustento de pago PPC - OTROS: ahorros grabacion sms excepcion </t>
  </si>
  <si>
    <t xml:space="preserve">Sustento de pago PPC - OTROS: ahorros juntados </t>
  </si>
  <si>
    <t>Sustento de pago PPC - OTROS: ahorros marielacirianigarciagmailcom</t>
  </si>
  <si>
    <t xml:space="preserve">Sustento de pago PPC - OTROS: AHORROS NO PAGO EL MES PASADO PORQUE SU MAMA SE ENFERMO Y NO PUDO REALIZARLO </t>
  </si>
  <si>
    <t xml:space="preserve">Sustento de pago PPC - OTROS: AHORROS PPC 500 </t>
  </si>
  <si>
    <t xml:space="preserve">Sustento de pago PPC - OTROS: Ahorros se fue ficha </t>
  </si>
  <si>
    <t xml:space="preserve">Sustento de pago PPC - OTROS: ahorros y dinero que le deben </t>
  </si>
  <si>
    <t>Sustento de pago PPC - OTROS: ahorros y préstamo familiar</t>
  </si>
  <si>
    <t>Sustento de pago PPC - OTROS: ambulante 64 so el viernes</t>
  </si>
  <si>
    <t>Sustento de pago PPC - OTROS: amelia barrios chavez 80169546 resp 13 de julio monto 800 excepcion tarde</t>
  </si>
  <si>
    <t>Sustento de pago PPC - OTROS: AMORTIZACIÓN / HORARIO DE PAGO: Mañana</t>
  </si>
  <si>
    <t>Sustento de pago PPC - OTROS: AMORTIZARA 250 A LA QUINCENA Y COMPLETARA PARA FIN DE MES</t>
  </si>
  <si>
    <t xml:space="preserve">Sustento de pago PPC - OTROS: ANAHITI ZAVALETA GONZALES 48944338  ESPOSA RESP CONSEGUIRA EL DINERO HASTA EL 13 DE JULIO </t>
  </si>
  <si>
    <t>Sustento de pago PPC - OTROS: ANTES DE LA 1 PM CANCELA LOS 2000</t>
  </si>
  <si>
    <t>Sustento de pago PPC - OTROS: anticipara 100 el 21 de diciembre</t>
  </si>
  <si>
    <t>Sustento de pago PPC - OTROS: anticipara con 100 el 12 de octubre y restante fin de mes 30</t>
  </si>
  <si>
    <t>Sustento de pago PPC - OTROS: anticipara hoy 300</t>
  </si>
  <si>
    <t>Sustento de pago PPC - OTROS: app bcp 350 soles estuvo de viaje  / HORARIO DE PAGO: Tarde</t>
  </si>
  <si>
    <t xml:space="preserve">Sustento de pago PPC - OTROS: aprobacion de 700 se enviara carta de comprmiso </t>
  </si>
  <si>
    <t>Sustento de pago PPC - OTROS: APROBADO POR 5000 SE PRESENTO EL SUSTENTO NECESARIO CONFIRMA QUE ESTA A UNOS MIN DE OFIC</t>
  </si>
  <si>
    <t xml:space="preserve">Sustento de pago PPC - OTROS: APROVARON EXCEPCION </t>
  </si>
  <si>
    <t>Sustento de pago PPC - OTROS: ARRENDAMIENTOS</t>
  </si>
  <si>
    <t>Sustento de pago PPC - OTROS: asegura que contara con dinero para esa fecha</t>
  </si>
  <si>
    <t>Sustento de pago PPC - OTROS: asegura que hara todo lo posible para cumplir por que quiero solucionar</t>
  </si>
  <si>
    <t>Sustento de pago PPC - OTROS: ASIGN Mariangela se llama solo para conf hora y fecha ya estaba negociado</t>
  </si>
  <si>
    <t xml:space="preserve">Sustento de pago PPC - OTROS: ASIGNADO </t>
  </si>
  <si>
    <t xml:space="preserve">Sustento de pago PPC - OTROS: asignado cese Veronica </t>
  </si>
  <si>
    <t xml:space="preserve">Sustento de pago PPC - OTROS: ASIGNADO MAYRA </t>
  </si>
  <si>
    <t>Sustento de pago PPC - OTROS: Asignado por Imbound</t>
  </si>
  <si>
    <t>Sustento de pago PPC - OTROS: asignado por Melina</t>
  </si>
  <si>
    <t>Sustento de pago PPC - OTROS: AUDIO CON LISBEHT CARTA WHATSSAP</t>
  </si>
  <si>
    <t xml:space="preserve">Sustento de pago PPC - OTROS: AVAL CRISTHIAN PAGA HOY </t>
  </si>
  <si>
    <t>Sustento de pago PPC - OTROS: bajara de la chacra para cancelar 390 / HORARIO DE PAGO: Mañana</t>
  </si>
  <si>
    <t>Sustento de pago PPC - OTROS: BASE CESE JORGE PPC DE 860</t>
  </si>
  <si>
    <t>Sustento de pago PPC - OTROS: BASE TACITA  ADELANTA HOY Y CANCELAA EL 25 07</t>
  </si>
  <si>
    <t xml:space="preserve">Sustento de pago PPC - OTROS: base tacita le demoraron en los pagos por eso no pudo pagar el  acuerdo pasado  menciona que este  mes cancela su deuda 105 </t>
  </si>
  <si>
    <t xml:space="preserve">Sustento de pago PPC - OTROS: Base tacita Sr Max Torres Segundo   dni 46502897 esposo de tt encargado de pagos confirma que el pago lo realizan mañana a mas tardar ya que el dia de mañana que iba a pagar su esposa salio de imprevisto por que trabaja en una empresa de transporte </t>
  </si>
  <si>
    <t xml:space="preserve">Sustento de pago PPC - OTROS: base tascita tt  no pudo pagar por que no le depositaron  recien en esta seana le pagabn y la otra semana le cancelan el total  se ofrecio campáña de 2351  adelanta mitad el viernes 24 y restante fin de mes </t>
  </si>
  <si>
    <t xml:space="preserve">Sustento de pago PPC - OTROS: base tasita  cancela el dia de mañana no tenia tiempo menciona lo realizara aproximado 4pm </t>
  </si>
  <si>
    <t>Sustento de pago PPC - OTROS: bcp 4PM</t>
  </si>
  <si>
    <t>Sustento de pago PPC - OTROS: BILARDO ALIAGA ESPOSO RESP CAMPAÑA 140 RECIBE DINERO TIENE  100</t>
  </si>
  <si>
    <t xml:space="preserve">Sustento de pago PPC - OTROS: brindara el dinero su hermano cancela por excepcion </t>
  </si>
  <si>
    <t>Sustento de pago PPC - OTROS: brindo nro de whatsapp 926455041</t>
  </si>
  <si>
    <t>Sustento de pago PPC - OTROS: caja andes / HORARIO DE PAGO: Mañana</t>
  </si>
  <si>
    <t>Sustento de pago PPC - OTROS: caja de los andes / HORARIO DE PAGO: Mañana</t>
  </si>
  <si>
    <t>Sustento de pago PPC - OTROS: CAMAPAÑA 170</t>
  </si>
  <si>
    <t xml:space="preserve">Sustento de pago PPC - OTROS: CAMP 430 ABONARA 100 MAÑANA Y LO RESTANTE A FIN DE MES SI NO LLEGARA A REUNIR LA TOTALIDAD </t>
  </si>
  <si>
    <t>Sustento de pago PPC - OTROS: CAMPAÑA   250   FECHA DE PAGO  2 DE MARZO  / HORARIO DE PAGO: Tarde</t>
  </si>
  <si>
    <t>Sustento de pago PPC - OTROS: CAMPAÑA   850  PAGARA  HASTA  EL DIA DE MAÑANA     / HORARIO DE PAGO: Tarde</t>
  </si>
  <si>
    <t xml:space="preserve">Sustento de pago PPC - OTROS: CAMPAÑA  1608     MEDIODIA </t>
  </si>
  <si>
    <t>Sustento de pago PPC - OTROS: CAMPAÑA  180  / HORARIO DE PAGO: Tarde</t>
  </si>
  <si>
    <t>Sustento de pago PPC - OTROS: CAMPAÑA  280 SOLES HOY ABONA 100 SOLES  Y LA DIFERENCIA  180 SOLES EL 29  / HORARIO DE PAGO: Tarde</t>
  </si>
  <si>
    <t xml:space="preserve">Sustento de pago PPC - OTROS: campaña 100 </t>
  </si>
  <si>
    <t>Sustento de pago PPC - OTROS: CAMPAÑA 100 PAGO DE TRABAJO  NO LE FIGURA DEUDAS</t>
  </si>
  <si>
    <t>Sustento de pago PPC - OTROS: CAMPAÑA 100 ULTIMO PLAZO</t>
  </si>
  <si>
    <t>Sustento de pago PPC - OTROS: CAMPAÑA 1100 PARA EL 26      998446014 WHATSAPP</t>
  </si>
  <si>
    <t xml:space="preserve">Sustento de pago PPC - OTROS: campaña 116 </t>
  </si>
  <si>
    <t xml:space="preserve">Sustento de pago PPC - OTROS: CAMPAÑA 120     sale a la ciudad pagara en la tarde </t>
  </si>
  <si>
    <t xml:space="preserve">Sustento de pago PPC - OTROS: campaña 120 TT indica que dio positivo al covid 19 y que puede realizar la cancelacion el dia 22 de junio ya que ese dia esta yendo al hospital </t>
  </si>
  <si>
    <t xml:space="preserve">Sustento de pago PPC - OTROS: CAMPAÑA 1200   TRANSACCION CONFIRMADA </t>
  </si>
  <si>
    <t xml:space="preserve">Sustento de pago PPC - OTROS: CAMPAÑA 1200 DINERO REUNIDO  1 HORA </t>
  </si>
  <si>
    <t xml:space="preserve">Sustento de pago PPC - OTROS: campaña 1350 </t>
  </si>
  <si>
    <t xml:space="preserve">Sustento de pago PPC - OTROS: CAMPAÑA 141 </t>
  </si>
  <si>
    <t>Sustento de pago PPC - OTROS: CAMPAÑA 1423</t>
  </si>
  <si>
    <t xml:space="preserve">Sustento de pago PPC - OTROS: CAMPAÑA 150 </t>
  </si>
  <si>
    <t xml:space="preserve">Sustento de pago PPC - OTROS: CAMPAÑA 150  VALIDO DE EXPERTIS </t>
  </si>
  <si>
    <t>Sustento de pago PPC - OTROS: CAMPAÑA 150 PENALIDAD</t>
  </si>
  <si>
    <t>Sustento de pago PPC - OTROS: campaña 1500  va cercar a las 10am</t>
  </si>
  <si>
    <t>Sustento de pago PPC - OTROS: CAMPAÑA 1650 LLAMADA CORPORATIVO .</t>
  </si>
  <si>
    <t xml:space="preserve">Sustento de pago PPC - OTROS: campaña 1670  indica que prestamo fue para su hermanastro va con versar con el si no paga tt se hace responsable  </t>
  </si>
  <si>
    <t>Sustento de pago PPC - OTROS: campaña 170 base asignacion cesado</t>
  </si>
  <si>
    <t>Sustento de pago PPC - OTROS: CAMPAÑA 1750  OSCAR RIVERA HIJO RESPONSABLE RECIBE PAGO    943258882</t>
  </si>
  <si>
    <t xml:space="preserve">Sustento de pago PPC - OTROS: campaña 180              el 15 va adelantar 50 y la diferencia a fin de mes </t>
  </si>
  <si>
    <t>Sustento de pago PPC - OTROS: CAMPAÑA 182   COMPROMISO DE PAGO</t>
  </si>
  <si>
    <t xml:space="preserve">Sustento de pago PPC - OTROS: CAMPAÑA 18560  ANA MARIA PERALTA CHICCHE  RESPONSABLE ASEGURA PAGO . ANTES DE LAS 5PM ACERCARSE . </t>
  </si>
  <si>
    <t xml:space="preserve">Sustento de pago PPC - OTROS: campaña 190 </t>
  </si>
  <si>
    <t xml:space="preserve">Sustento de pago PPC - OTROS: CAMPAÑA 20 </t>
  </si>
  <si>
    <t xml:space="preserve">Sustento de pago PPC - OTROS: campaña 200 </t>
  </si>
  <si>
    <t xml:space="preserve">Sustento de pago PPC - OTROS: CAMPAÑA 200   TT INFORMA QUE SU HERMANO VA PAGAR ANTES DEL MEDIODIA </t>
  </si>
  <si>
    <t xml:space="preserve">Sustento de pago PPC - OTROS: CAMPAÑA 200  estuvo mal de salud </t>
  </si>
  <si>
    <t xml:space="preserve">Sustento de pago PPC - OTROS: CAMPAÑA 2000   TRABAJA EN NEGOCIO DE MADERA </t>
  </si>
  <si>
    <t xml:space="preserve">Sustento de pago PPC - OTROS: campaña 2000  tt va pagar con el apoyo de su hijo  </t>
  </si>
  <si>
    <t>Sustento de pago PPC - OTROS: campaña 210 cuenta con el dinero no pago por tiempo   bcp</t>
  </si>
  <si>
    <t>Sustento de pago PPC - OTROS: campaña 215  pago de su trabajo</t>
  </si>
  <si>
    <t>Sustento de pago PPC - OTROS: CAMPAÑA 230  VA PAGAR EN LA MAÑANA</t>
  </si>
  <si>
    <t>Sustento de pago PPC - OTROS: CAMPAÑA 240  HIJO TIENE WHATSAPP</t>
  </si>
  <si>
    <t xml:space="preserve">Sustento de pago PPC - OTROS: CAMPAÑA 2410 SMS </t>
  </si>
  <si>
    <t xml:space="preserve">Sustento de pago PPC - OTROS: campaña 25   </t>
  </si>
  <si>
    <t xml:space="preserve">Sustento de pago PPC - OTROS: CAMPAÑA 250 </t>
  </si>
  <si>
    <t xml:space="preserve">Sustento de pago PPC - OTROS: campaña 250   penalidad   se me fue la ficha </t>
  </si>
  <si>
    <t>Sustento de pago PPC - OTROS: campaña 250  asignacion cesado</t>
  </si>
  <si>
    <t xml:space="preserve">Sustento de pago PPC - OTROS: campaña 250  pago de trabajo </t>
  </si>
  <si>
    <t xml:space="preserve">Sustento de pago PPC - OTROS: CAMPAÑA 250 TALVEZ LE PAGAN ANTES </t>
  </si>
  <si>
    <t xml:space="preserve">Sustento de pago PPC - OTROS: campaña 260 </t>
  </si>
  <si>
    <t>Sustento de pago PPC - OTROS: campaña 265      whatasapp</t>
  </si>
  <si>
    <t>Sustento de pago PPC - OTROS: CAMPAÑA 270     PAGO  SEMANAL INICIANDO DESDE EL 10  TODOS LOS SABADOS   TRANSFERENCIA</t>
  </si>
  <si>
    <t xml:space="preserve">Sustento de pago PPC - OTROS: CAMPAÑA 270     PAGO DE TRABAJO </t>
  </si>
  <si>
    <t>Sustento de pago PPC - OTROS: campaña 274 soles paga el día lunes se encuentra  en el campaña  el dáia domingo  viaja a  la cuidad por ello el Lunes con seguirdad  pagará  / HORARIO DE PAGO: Tarde</t>
  </si>
  <si>
    <t>Sustento de pago PPC - OTROS: campaña 279</t>
  </si>
  <si>
    <t xml:space="preserve">Sustento de pago PPC - OTROS: CAMPAÑA 279  NO PAGO POR INSEGURIDAD SOLICITA COMPROMISO DE PAGO  </t>
  </si>
  <si>
    <t xml:space="preserve">Sustento de pago PPC - OTROS: CAMPAÑA 280 </t>
  </si>
  <si>
    <t>Sustento de pago PPC - OTROS: CAMPAÑA 285   COMPROMISO DE PAGO</t>
  </si>
  <si>
    <t xml:space="preserve">Sustento de pago PPC - OTROS: CAMPAÑA 288 SMS </t>
  </si>
  <si>
    <t>Sustento de pago PPC - OTROS: campaña 30  indica que no habia sistema en bcp  hoy 12 monto de 20 y el 13 monto 10</t>
  </si>
  <si>
    <t xml:space="preserve">Sustento de pago PPC - OTROS: campaña 300     </t>
  </si>
  <si>
    <t xml:space="preserve">Sustento de pago PPC - OTROS: CAMPAÑA 300  TIENE CERCA AGENTE LE PRESTARON EL DINERO </t>
  </si>
  <si>
    <t xml:space="preserve">Sustento de pago PPC - OTROS: CAMPAÑA 300 ESPERA DE TRABAJO </t>
  </si>
  <si>
    <t xml:space="preserve">Sustento de pago PPC - OTROS: CAMPAÑA 300 PAGARA 30 07 2020 </t>
  </si>
  <si>
    <t xml:space="preserve">Sustento de pago PPC - OTROS: campaña 3000 excepcion  cuenta con el dinero para pagar  1pm </t>
  </si>
  <si>
    <t xml:space="preserve">Sustento de pago PPC - OTROS: CAMPAÑA 305   PAGARA EN BANCO DE LA NACION O INTERBANK </t>
  </si>
  <si>
    <t xml:space="preserve">Sustento de pago PPC - OTROS: CAMPAÑA 320 LLAMADA </t>
  </si>
  <si>
    <t xml:space="preserve">Sustento de pago PPC - OTROS: CAMPAÑA 3420   YESENIA AYALA CARPIO  HIJA RESPONSABLE  CORPORATIVO </t>
  </si>
  <si>
    <t>Sustento de pago PPC - OTROS: CAMPAÑA 35     BASE ASIGNACION CESADO</t>
  </si>
  <si>
    <t xml:space="preserve">Sustento de pago PPC - OTROS: campaña 350 </t>
  </si>
  <si>
    <t>Sustento de pago PPC - OTROS: CAMPAÑA 350   CORPORATIVO</t>
  </si>
  <si>
    <t>Sustento de pago PPC - OTROS: campaña 350  abona hpy 50 soles y la diferencia el lunes 8  / HORARIO DE PAGO: Tarde</t>
  </si>
  <si>
    <t xml:space="preserve">Sustento de pago PPC - OTROS: CAMPAÑA 365  COMPROMISO DE PAGO CORREO </t>
  </si>
  <si>
    <t xml:space="preserve">Sustento de pago PPC - OTROS: CAMPAÑA 37 SMS </t>
  </si>
  <si>
    <t>Sustento de pago PPC - OTROS: CAMPAÑA 380</t>
  </si>
  <si>
    <t>Sustento de pago PPC - OTROS: CAMPAÑA 400</t>
  </si>
  <si>
    <t xml:space="preserve">Sustento de pago PPC - OTROS: campaña 400     bcp agente </t>
  </si>
  <si>
    <t xml:space="preserve">Sustento de pago PPC - OTROS: CAMPAÑA 400 VA RECIBIR PAGO EL VIERNES A LAS 5PM </t>
  </si>
  <si>
    <t xml:space="preserve">Sustento de pago PPC - OTROS: CAMPAÑA 410 </t>
  </si>
  <si>
    <t xml:space="preserve">Sustento de pago PPC - OTROS: campaña 441  </t>
  </si>
  <si>
    <t>Sustento de pago PPC - OTROS: CAMPAÑA 450 SOLES PAGA HOPY  / HORARIO DE PAGO: Mañana</t>
  </si>
  <si>
    <t xml:space="preserve">Sustento de pago PPC - OTROS: campaña 450 tt indica que por temas de viaje y transporte solo dispone de 450 para cancelar </t>
  </si>
  <si>
    <t xml:space="preserve">Sustento de pago PPC - OTROS: campaña 480   asegura pago </t>
  </si>
  <si>
    <t xml:space="preserve">Sustento de pago PPC - OTROS: campaña 500 le pagan los sabados en la tarde </t>
  </si>
  <si>
    <t xml:space="preserve">Sustento de pago PPC - OTROS: campaña 500 pago de trabajo  </t>
  </si>
  <si>
    <t xml:space="preserve">Sustento de pago PPC - OTROS: campaña 520   </t>
  </si>
  <si>
    <t xml:space="preserve">Sustento de pago PPC - OTROS: CAMPAÑA 550 </t>
  </si>
  <si>
    <t xml:space="preserve">Sustento de pago PPC - OTROS: campaña 550   compromiso de pago </t>
  </si>
  <si>
    <t>Sustento de pago PPC - OTROS: campaña 550  venta de inmueble</t>
  </si>
  <si>
    <t xml:space="preserve">Sustento de pago PPC - OTROS: CAMPAÑA 560    VA ADELANTAR 60 </t>
  </si>
  <si>
    <t xml:space="preserve">Sustento de pago PPC - OTROS: campaña 5967 </t>
  </si>
  <si>
    <t xml:space="preserve">Sustento de pago PPC - OTROS: campaña 600 si le abonan los 100 el dia de hoy hace el pago sino el 29  </t>
  </si>
  <si>
    <t>Sustento de pago PPC - OTROS: campaña 640  enviar direccion de puente piedra ya tiene 400</t>
  </si>
  <si>
    <t xml:space="preserve">Sustento de pago PPC - OTROS: campaña 76  se encuentra en un lugar donde no hay agencias . </t>
  </si>
  <si>
    <t>Sustento de pago PPC - OTROS: CAMPAÑA 80   MEDIODIA</t>
  </si>
  <si>
    <t xml:space="preserve">Sustento de pago PPC - OTROS: CAMPAÑA 800   CONVENIO AL CORREO </t>
  </si>
  <si>
    <t xml:space="preserve">Sustento de pago PPC - OTROS: campaña 800  tiene 600 en mano  manaña completa con 200 </t>
  </si>
  <si>
    <t>Sustento de pago PPC - OTROS: campaña 800 soles tt pagara mañana 5 de enero 100 soles y si puede mas pagara mas para asegurar la campaña / HORARIO DE PAGO: Tarde</t>
  </si>
  <si>
    <t>Sustento de pago PPC - OTROS: CAMPAÑA 850  ABONO 100 SOLES  HOY     750 EL 25 DE ABRIL  / HORARIO DE PAGO: Tarde</t>
  </si>
  <si>
    <t xml:space="preserve">Sustento de pago PPC - OTROS: CAMPAÑA 881 VA PAGAR EN AGENCIA DE PROEMPRESA DE HUANCAYO </t>
  </si>
  <si>
    <t xml:space="preserve">Sustento de pago PPC - OTROS: CAMPAÑA 90 </t>
  </si>
  <si>
    <t>Sustento de pago PPC - OTROS: CAMPAÑA 900</t>
  </si>
  <si>
    <t xml:space="preserve">Sustento de pago PPC - OTROS: campaña 930 </t>
  </si>
  <si>
    <t xml:space="preserve">Sustento de pago PPC - OTROS: campaña 980 venta de kion  asegura pago  </t>
  </si>
  <si>
    <t xml:space="preserve">Sustento de pago PPC - OTROS: CAMPAÑA DE 163  LUNES </t>
  </si>
  <si>
    <t xml:space="preserve">Sustento de pago PPC - OTROS: campaña de 450 </t>
  </si>
  <si>
    <t>Sustento de pago PPC - OTROS: campaña SMS</t>
  </si>
  <si>
    <t xml:space="preserve">Sustento de pago PPC - OTROS: CAMPAÑA SMS  132 </t>
  </si>
  <si>
    <t>Sustento de pago PPC - OTROS: CAMPAÑA SMS 102</t>
  </si>
  <si>
    <t xml:space="preserve">Sustento de pago PPC - OTROS: campaña sms 121 </t>
  </si>
  <si>
    <t xml:space="preserve">Sustento de pago PPC - OTROS: CAMPAÑA SMS 141 </t>
  </si>
  <si>
    <t xml:space="preserve">Sustento de pago PPC - OTROS: campaña sms 170   </t>
  </si>
  <si>
    <t xml:space="preserve">Sustento de pago PPC - OTROS: CAMPAÑA SMS 260   </t>
  </si>
  <si>
    <t>Sustento de pago PPC - OTROS: CAMPAÑA SMS 359  NUMERO DE WHATSAPP</t>
  </si>
  <si>
    <t xml:space="preserve">Sustento de pago PPC - OTROS: campaña sms 837     le van hacer un pago  se acercara en la mañana </t>
  </si>
  <si>
    <t>Sustento de pago PPC - OTROS: can 250 expc / HORARIO DE PAGO: Tarde</t>
  </si>
  <si>
    <t>Sustento de pago PPC - OTROS: CAN 2K DENTRO DEL MES 14.02 1000 Y FIN DE MES 1000 / HORARIO DE PAGO: Mañana</t>
  </si>
  <si>
    <t>Sustento de pago PPC - OTROS: CAN 550  HOY 250 Y MARTES 23 300  / HORARIO DE PAGO: Mañana</t>
  </si>
  <si>
    <t>Sustento de pago PPC - OTROS: can con 100soles tt indica q cobra sueldo plan.  x la tarde .se envia info wsp / HORARIO DE PAGO: Tarde</t>
  </si>
  <si>
    <t>Sustento de pago PPC - OTROS: can con 150soles en fecha dad / HORARIO DE PAGO: Tarde</t>
  </si>
  <si>
    <t>Sustento de pago PPC - OTROS: can con 370soles en bcp o pro.  / HORARIO DE PAGO: Mañana</t>
  </si>
  <si>
    <t>Sustento de pago PPC - OTROS: can en interbank monto de 250. / HORARIO DE PAGO: Tarde</t>
  </si>
  <si>
    <t>Sustento de pago PPC - OTROS: cancela  288  sole  el día de mañana   srta   Vanessa  encrgada de la deuda   / HORARIO DE PAGO: Tarde</t>
  </si>
  <si>
    <t xml:space="preserve">Sustento de pago PPC - OTROS: cancela 100 de 1 a 2 pm </t>
  </si>
  <si>
    <t>Sustento de pago PPC - OTROS: cancela 3000 / HORARIO DE PAGO: Mañana</t>
  </si>
  <si>
    <t>Sustento de pago PPC - OTROS: Cancela 5000 a la 4 pm se presento el sustento necesario</t>
  </si>
  <si>
    <t>Sustento de pago PPC - OTROS: CANCELA A FIN DE MES PERO ADELANTA 100 EL DÍA 16 POR LA TARDE / HORARIO DE PAGO: Tarde</t>
  </si>
  <si>
    <t>Sustento de pago PPC - OTROS: cancela co 350 soles para mañana 25.01 / HORARIO DE PAGO: Mañana</t>
  </si>
  <si>
    <t>Sustento de pago PPC - OTROS: CANCELA CON 1874</t>
  </si>
  <si>
    <t>Sustento de pago PPC - OTROS: cancela con 250 soles / HORARIO DE PAGO: Mañana</t>
  </si>
  <si>
    <t xml:space="preserve">Sustento de pago PPC - OTROS: CANCELA CON 300 </t>
  </si>
  <si>
    <t>Sustento de pago PPC - OTROS: cancela con 3000 soles 200 10.01  2800 soles 20.01 / HORARIO DE PAGO: Mañana</t>
  </si>
  <si>
    <t>Sustento de pago PPC - OTROS: cancela con 400 soles  / HORARIO DE PAGO: Tarde</t>
  </si>
  <si>
    <t xml:space="preserve">Sustento de pago PPC - OTROS: cancela d sus ahorros se le brinda numero d empresa expertis vll 12 pm </t>
  </si>
  <si>
    <t xml:space="preserve">Sustento de pago PPC - OTROS: cancela esposo d tt </t>
  </si>
  <si>
    <t>Sustento de pago PPC - OTROS: CANCELA PPM / HORARIO DE PAGO: Mañana</t>
  </si>
  <si>
    <t>Sustento de pago PPC - OTROS: cancelacion con el importe 750 de la sgte manera 50 el dia 12 de junio y 700 el dia 22 de junio</t>
  </si>
  <si>
    <t xml:space="preserve">Sustento de pago PPC - OTROS: cancelacion de la deuda por sms </t>
  </si>
  <si>
    <t>Sustento de pago PPC - OTROS: CANCELARA  CON 880</t>
  </si>
  <si>
    <t>Sustento de pago PPC - OTROS: CANCELARA 100</t>
  </si>
  <si>
    <t xml:space="preserve">Sustento de pago PPC - OTROS: cancelara 100 el jueves 29 de oct nro de cel 922585379 </t>
  </si>
  <si>
    <t>Sustento de pago PPC - OTROS: CANCELARA 1000 EL 16 NOV</t>
  </si>
  <si>
    <t>Sustento de pago PPC - OTROS: CANCELARA 1000 EL 30 SEPT</t>
  </si>
  <si>
    <t xml:space="preserve">Sustento de pago PPC - OTROS: CANCELARA 1000 EL DIA DE HOY </t>
  </si>
  <si>
    <t xml:space="preserve">Sustento de pago PPC - OTROS: CANCELARA 1000 EL VIERNES 28 EN LA TARDE EN CREDINKA </t>
  </si>
  <si>
    <t>Sustento de pago PPC - OTROS: Cancelara 1000 hasta el miercoles 28</t>
  </si>
  <si>
    <t xml:space="preserve">Sustento de pago PPC - OTROS: CANCELARA 1000 MIERCOLES 30 SEPT EN TRANSCURSO DE 4 A 5 PM </t>
  </si>
  <si>
    <t xml:space="preserve">Sustento de pago PPC - OTROS: CANCELARA 1050 EN CREDINKA DE CUSCO EL DIA DE MAÑANA SABADO 9 ENERO DESEA SOLICITA SU CARTA DE NO ADEUDO EN OFICINA </t>
  </si>
  <si>
    <t>Sustento de pago PPC - OTROS: cancelara 110</t>
  </si>
  <si>
    <t xml:space="preserve">Sustento de pago PPC - OTROS: cancelara 117 al medio dia </t>
  </si>
  <si>
    <t>Sustento de pago PPC - OTROS: cancelara 120</t>
  </si>
  <si>
    <t xml:space="preserve">Sustento de pago PPC - OTROS: cancelara 120 el sabado 25 de julio a la 10 am </t>
  </si>
  <si>
    <t>Sustento de pago PPC - OTROS: CANCELARA 1250 EN TRANSCURSO DEL DIA</t>
  </si>
  <si>
    <t xml:space="preserve">Sustento de pago PPC - OTROS: CANCELARA 149 A LA 4 PM </t>
  </si>
  <si>
    <t xml:space="preserve">Sustento de pago PPC - OTROS: CANCELARA 150 </t>
  </si>
  <si>
    <t xml:space="preserve">Sustento de pago PPC - OTROS: CANCELARA 150 EL MIERCOLES 30 SEPT </t>
  </si>
  <si>
    <t>Sustento de pago PPC - OTROS: cancelara 1500 el miercoles 30 dic antes del medio dia</t>
  </si>
  <si>
    <t xml:space="preserve">Sustento de pago PPC - OTROS: Cancelara 1500 en la nacion </t>
  </si>
  <si>
    <t>Sustento de pago PPC - OTROS: cancelara 1500 hoy lunes 27</t>
  </si>
  <si>
    <t xml:space="preserve">Sustento de pago PPC - OTROS: CANCELARA 1500 HOY MARTES 13 OCT APROBADO POR JULIO </t>
  </si>
  <si>
    <t>Sustento de pago PPC - OTROS: cancelara 160</t>
  </si>
  <si>
    <t xml:space="preserve">Sustento de pago PPC - OTROS: CANCELARA 160 EL 30 </t>
  </si>
  <si>
    <t>Sustento de pago PPC - OTROS: CANCELARA 17</t>
  </si>
  <si>
    <t xml:space="preserve">Sustento de pago PPC - OTROS: CANCELARA 1700 A PRIMERA HORA </t>
  </si>
  <si>
    <t xml:space="preserve">Sustento de pago PPC - OTROS: CANCELARA 180 A LA 2 PM </t>
  </si>
  <si>
    <t xml:space="preserve">Sustento de pago PPC - OTROS: CANCELARA 180 EL DIA DE MAÑANA MARTES 25 SE PRESTARA EL DINERO </t>
  </si>
  <si>
    <t>Sustento de pago PPC - OTROS: cancelara 180 el miercoles 4 niv</t>
  </si>
  <si>
    <t>Sustento de pago PPC - OTROS: CANCELARA 1800 INBOUND MAÑANA MIERCOLES 8</t>
  </si>
  <si>
    <t xml:space="preserve">Sustento de pago PPC - OTROS: cancelara 1900 a la 9 am </t>
  </si>
  <si>
    <t>Sustento de pago PPC - OTROS: cancelara 200 el 31 de julio nro de cel de su hijo ricardo castillo 985957051</t>
  </si>
  <si>
    <t>Sustento de pago PPC - OTROS: cancelara 200 el jueves 22</t>
  </si>
  <si>
    <t>Sustento de pago PPC - OTROS: cancelara 200 el viernes 8 temprano</t>
  </si>
  <si>
    <t>Sustento de pago PPC - OTROS: CANCELARA 200 EN EL BANCO INTERBANK EL MARTES 11</t>
  </si>
  <si>
    <t xml:space="preserve">Sustento de pago PPC - OTROS: cancelara 200 hoy martes </t>
  </si>
  <si>
    <t xml:space="preserve">Sustento de pago PPC - OTROS: CANCELARA 2000 EL JUEVES 27 ANTES DE LA 4 PM SU PRIMO LE PRESTARA EL DINERO </t>
  </si>
  <si>
    <t>Sustento de pago PPC - OTROS: CANCELARA 210 EL 31 DE AGOSTO FACILITA SU NRO DE CELULAR 948795663</t>
  </si>
  <si>
    <t>Sustento de pago PPC - OTROS: CANCELARA 210 EL LUNES 21</t>
  </si>
  <si>
    <t>Sustento de pago PPC - OTROS: CANCELARA 210 EL LUNES 28</t>
  </si>
  <si>
    <t>Sustento de pago PPC - OTROS: cancelara 21nov 330</t>
  </si>
  <si>
    <t xml:space="preserve">Sustento de pago PPC - OTROS: CANCELARA 220 A LA 2 PM </t>
  </si>
  <si>
    <t>Sustento de pago PPC - OTROS: cancelara 230 el dia de mañana viernes al medio dia</t>
  </si>
  <si>
    <t xml:space="preserve">Sustento de pago PPC - OTROS: CANCELARA 2300 EL LUNES 16 HASTA LA 4 PM </t>
  </si>
  <si>
    <t>Sustento de pago PPC - OTROS: CANCELARA 2400 EL MIERCOLES 27</t>
  </si>
  <si>
    <t xml:space="preserve">Sustento de pago PPC - OTROS: CANCELARA 250 EN CREDINKA HOY JUEVES 13 A LA 1 PM </t>
  </si>
  <si>
    <t xml:space="preserve">Sustento de pago PPC - OTROS: CANCELARA 250 HOY 3 SEPT A LA 3 PM </t>
  </si>
  <si>
    <t xml:space="preserve">Sustento de pago PPC - OTROS: CANCELARA 250 HOY JUEVES 10 SEP A LA 4 PM </t>
  </si>
  <si>
    <t>Sustento de pago PPC - OTROS: CANCELARA 250 HOY MIERCOLES 26 A LA 3 PM FACILITA NRO PARA QUE NOS ENVIE EL VOUCHER 934114516</t>
  </si>
  <si>
    <t>Sustento de pago PPC - OTROS: CANCELARA 2700</t>
  </si>
  <si>
    <t>Sustento de pago PPC - OTROS: CANCELARA 280 RL 15 DE SEPT</t>
  </si>
  <si>
    <t xml:space="preserve">Sustento de pago PPC - OTROS: CANCELARA 30 EL DIA DE MAÑANA MIERCOLES 12 DE AGOSTO POR SU APLICACION </t>
  </si>
  <si>
    <t>Sustento de pago PPC - OTROS: cancelara 300 el 10 nov en la tarde</t>
  </si>
  <si>
    <t xml:space="preserve">Sustento de pago PPC - OTROS: CANCELARA 300 EL 24 </t>
  </si>
  <si>
    <t>Sustento de pago PPC - OTROS: cancelara 300 el viernes 18</t>
  </si>
  <si>
    <t>Sustento de pago PPC - OTROS: CANCELARA 300 EN LA TARDE</t>
  </si>
  <si>
    <t>Sustento de pago PPC - OTROS: CANCELARA 310  HOY VIERNES 4SEP</t>
  </si>
  <si>
    <t>Sustento de pago PPC - OTROS: CANCELARA 310 EL VIERNES 14</t>
  </si>
  <si>
    <t>Sustento de pago PPC - OTROS: CANCELARA 320 PARA EL 14 DE SEPT</t>
  </si>
  <si>
    <t>Sustento de pago PPC - OTROS: CANCELARA 3200 EL DIA DE MAÑANA JUEVES 10 SEPT</t>
  </si>
  <si>
    <t xml:space="preserve">Sustento de pago PPC - OTROS: cancelara 330 el martes 18 en la tarde </t>
  </si>
  <si>
    <t xml:space="preserve">Sustento de pago PPC - OTROS: CANCELARA 340 EL 31 DE JULIO </t>
  </si>
  <si>
    <t>Sustento de pago PPC - OTROS: cancelara 340 el lunes 9</t>
  </si>
  <si>
    <t xml:space="preserve">Sustento de pago PPC - OTROS: cancelara 35 </t>
  </si>
  <si>
    <t>Sustento de pago PPC - OTROS: cancelara 350</t>
  </si>
  <si>
    <t xml:space="preserve">Sustento de pago PPC - OTROS: cancelara 350 el lunes 14 </t>
  </si>
  <si>
    <t xml:space="preserve">Sustento de pago PPC - OTROS: CANCELARA 352 A LA 11 AM </t>
  </si>
  <si>
    <t>Sustento de pago PPC - OTROS: CANCELARA 355 EL LUNES 31 NOS BRINDA NRO DE MOVIL QUE TIENE WHATSAP 935808843 AL MEDIO DIA</t>
  </si>
  <si>
    <t>Sustento de pago PPC - OTROS: CANCELARA 360 EL VIERNES 24 DE JULIO</t>
  </si>
  <si>
    <t>Sustento de pago PPC - OTROS: CANCELARA 370 EL LUNES 20 DE JULIO</t>
  </si>
  <si>
    <t>Sustento de pago PPC - OTROS: CANCELARA 386 EL LUNES 31</t>
  </si>
  <si>
    <t>Sustento de pago PPC - OTROS: cancelara 400 el lunes 18</t>
  </si>
  <si>
    <t xml:space="preserve">Sustento de pago PPC - OTROS: CANCELARA 400 EL SABADO 15 DE AGOSTO EN EL BANCO INTERBANK </t>
  </si>
  <si>
    <t>Sustento de pago PPC - OTROS: cancelara 430</t>
  </si>
  <si>
    <t xml:space="preserve">Sustento de pago PPC - OTROS: CANCELARA 450 A LA 11 AM </t>
  </si>
  <si>
    <t>Sustento de pago PPC - OTROS: CANCELARA 450 HOY 03</t>
  </si>
  <si>
    <t xml:space="preserve">Sustento de pago PPC - OTROS: cancelara 500 </t>
  </si>
  <si>
    <t>Sustento de pago PPC - OTROS: CANCELARA 500 A LA 10AM</t>
  </si>
  <si>
    <t>Sustento de pago PPC - OTROS: CANCELARA 500 EL 22 DE AGOSTO CON SU SUELDO REALIZARA EL PAGO</t>
  </si>
  <si>
    <t xml:space="preserve">Sustento de pago PPC - OTROS: cancelara 500 el lunes 31 en el bcp antes de la 5 pm </t>
  </si>
  <si>
    <t>Sustento de pago PPC - OTROS: CANCELARA 500 EL SABADO 8 DE AGOSTO</t>
  </si>
  <si>
    <t xml:space="preserve">Sustento de pago PPC - OTROS: CANCELARA 500 EL SABDO 21 YA QUE SE ENCUENTRA TRABAJANDO EN PROVINCIA </t>
  </si>
  <si>
    <t xml:space="preserve">Sustento de pago PPC - OTROS: cancelara 500 el viernes 21 temprano </t>
  </si>
  <si>
    <t xml:space="preserve">Sustento de pago PPC - OTROS: CANCELARA 500 EN LA MAÑANA EL LUNES 18 ENERO </t>
  </si>
  <si>
    <t xml:space="preserve">Sustento de pago PPC - OTROS: CANCELARA 500 HOY </t>
  </si>
  <si>
    <t>Sustento de pago PPC - OTROS: CANCELARA 5000 EN CREDINKA EL VIERNES 28</t>
  </si>
  <si>
    <t>Sustento de pago PPC - OTROS: CANCELARA 600 EL DIA DE MAÑANA VIERNES 31 EN EL BANCO INTERBANK SOLICITA SU CARTA DE NO ADEUDO EN 24 HORAS</t>
  </si>
  <si>
    <t>Sustento de pago PPC - OTROS: CANCELARA 600 EN CREDINKA HOY VIERNES 28</t>
  </si>
  <si>
    <t>Sustento de pago PPC - OTROS: CANCELARA 6184</t>
  </si>
  <si>
    <t>Sustento de pago PPC - OTROS: CANCELARA 650 EL DIA DE HOY MARTES 15</t>
  </si>
  <si>
    <t xml:space="preserve">Sustento de pago PPC - OTROS: cancelara 660 el jueves 20 de agosto </t>
  </si>
  <si>
    <t xml:space="preserve">Sustento de pago PPC - OTROS: CANCELARA 660 EL LUNES 31 NOS ENVIA SU WHSTAP 935808843 PARA MANDARLE DOCUMENTOS </t>
  </si>
  <si>
    <t xml:space="preserve">Sustento de pago PPC - OTROS: CANCELARA 670 EL MIERCOLES 22 </t>
  </si>
  <si>
    <t>Sustento de pago PPC - OTROS: cancelara 695 hoy lunes 31</t>
  </si>
  <si>
    <t xml:space="preserve">Sustento de pago PPC - OTROS: cancelara 700  el miercoles 23 a la 3 pm </t>
  </si>
  <si>
    <t xml:space="preserve">Sustento de pago PPC - OTROS: CANCELARA 700 A LA 2 PM </t>
  </si>
  <si>
    <t xml:space="preserve">Sustento de pago PPC - OTROS: CANCELARA 700 EL 29OCT EN LA TARDE </t>
  </si>
  <si>
    <t xml:space="preserve">Sustento de pago PPC - OTROS: cancelara 700 el sabado 30 ya que esa fecha cobra </t>
  </si>
  <si>
    <t xml:space="preserve">Sustento de pago PPC - OTROS: CANCELARA 720 EL SABADO 31 </t>
  </si>
  <si>
    <t xml:space="preserve">Sustento de pago PPC - OTROS: CANCELARA 750 EL VIERNES 14 A LA 2 PM </t>
  </si>
  <si>
    <t>Sustento de pago PPC - OTROS: cancelara 800</t>
  </si>
  <si>
    <t xml:space="preserve">Sustento de pago PPC - OTROS: cancelara 876 el dia de mañana miercoles 23 </t>
  </si>
  <si>
    <t xml:space="preserve">Sustento de pago PPC - OTROS: cancelara 890 el miercoles 25 en la tarde en el banco de la nacion </t>
  </si>
  <si>
    <t>Sustento de pago PPC - OTROS: cancelara 893 hoy 30 sep a la 10 am aprox</t>
  </si>
  <si>
    <t>Sustento de pago PPC - OTROS: cancelara a base de 400 soles  . 200 el dia de hoy 27 y lo restante el dia 30. confrima pago .</t>
  </si>
  <si>
    <t xml:space="preserve">Sustento de pago PPC - OTROS: cancelara a fin de mes ya que estaba con descanso medico y ya comenzara a laborar </t>
  </si>
  <si>
    <t>Sustento de pago PPC - OTROS: cancelara a la 3 pm 800</t>
  </si>
  <si>
    <t>Sustento de pago PPC - OTROS: CANCELARA A LA 4 PM 800</t>
  </si>
  <si>
    <t xml:space="preserve">Sustento de pago PPC - OTROS: cancelara con 162 hoy 31 de julio tenia carta de no adeudo simple </t>
  </si>
  <si>
    <t>Sustento de pago PPC - OTROS: cancelara con 350 para el dia 30. ya habia indicado que pagaria en esa fecha pero no se visualiza acuerdo. se genero compromiso</t>
  </si>
  <si>
    <t>Sustento de pago PPC - OTROS: CANCELARA DE 10 A 11 AM 100</t>
  </si>
  <si>
    <t xml:space="preserve">Sustento de pago PPC - OTROS: CANCELARA DEUDA CON 209 DISP DE DINERO </t>
  </si>
  <si>
    <t xml:space="preserve">Sustento de pago PPC - OTROS: cancelara el 15 de sept 530 soles </t>
  </si>
  <si>
    <t xml:space="preserve">Sustento de pago PPC - OTROS: CANCELARA EL 15 MONTO DE 1000 </t>
  </si>
  <si>
    <t>Sustento de pago PPC - OTROS: cancelará el 16 con adelanto de 50 para hoy martes 02 / HORARIO DE PAGO: Mañana</t>
  </si>
  <si>
    <t>Sustento de pago PPC - OTROS: CANCELARA EL 18 LOS 580</t>
  </si>
  <si>
    <t>Sustento de pago PPC - OTROS: cancelara el viernes 25 monto de 5000</t>
  </si>
  <si>
    <t xml:space="preserve">Sustento de pago PPC - OTROS: cancelara fin de mes  500 soles dio numero de referencia para conversar por wsp 996150287 </t>
  </si>
  <si>
    <t xml:space="preserve">Sustento de pago PPC - OTROS: cancelara la deuda con excepcion </t>
  </si>
  <si>
    <t>Sustento de pago PPC - OTROS: CANCELARA250 EL DIA DE MAÑANA MARTES 15</t>
  </si>
  <si>
    <t xml:space="preserve">Sustento de pago PPC - OTROS: CANCELARAN 200 EL MIERCOLES 29 </t>
  </si>
  <si>
    <t>Sustento de pago PPC - OTROS: CANCELLARA 1200 EL MATES 15 EN TRANSCURSO DE LA TARDE</t>
  </si>
  <si>
    <t>Sustento de pago PPC - OTROS: captura de llamada y msj</t>
  </si>
  <si>
    <t>Sustento de pago PPC - OTROS: cerrado 500 TT SUFRIO ACCIDENTE ESTA MEDIO INVALIDO Y SU ESPOSA LE PRESTARAS EL DINERO PARA CANCELAR  PARA EL 30.12 ABONARA 100 PARA EL 21.12</t>
  </si>
  <si>
    <t xml:space="preserve">Sustento de pago PPC - OTROS: CERRADO POR WHATSAPP MONTO 600 </t>
  </si>
  <si>
    <t>Sustento de pago PPC - OTROS: cesar esposo de tt encargado de pago 936802402</t>
  </si>
  <si>
    <t xml:space="preserve">Sustento de pago PPC - OTROS: cesar quevedo responsable de pago abona mañana 500 y diferencia hasta fines de mes </t>
  </si>
  <si>
    <t xml:space="preserve">Sustento de pago PPC - OTROS: chari mori cruz dni 79666657 esposa idica que se acercara hacer el pago de los 213 a la 2 pm </t>
  </si>
  <si>
    <t>Sustento de pago PPC - OTROS: cl adelanta el dia 15 importe de 100 dinero lo saca de ahorros</t>
  </si>
  <si>
    <t>Sustento de pago PPC - OTROS: CL INDICA QUE MÑANA REALIZARA EL PAGO DE 117 SOLES YA QUE LE LLEGO LA PROM POR MSJ DE TEXTO</t>
  </si>
  <si>
    <t xml:space="preserve">Sustento de pago PPC - OTROS: cl indica tendra apoyo familiar </t>
  </si>
  <si>
    <t xml:space="preserve">Sustento de pago PPC - OTROS: clente esta manejando no ariene bien la llamaada no se pudo teerminar plantilla  pero confirma pago </t>
  </si>
  <si>
    <t xml:space="preserve">Sustento de pago PPC - OTROS: CLIENTA COMUNCICA QUE MAÑANA LLEGA S HIJO DE VAJE Y LE DARA EL DINERO PARA QUE CANCELE DEUDA. </t>
  </si>
  <si>
    <t xml:space="preserve">Sustento de pago PPC - OTROS: CLIENTA CONSEGUIRA 200 EL DIA 15 Y LA DIFERENCIA FIN DE MES </t>
  </si>
  <si>
    <t>Sustento de pago PPC - OTROS: CLIENTA CONSEGUIRA EL DINERO EL DIA 15 MONTO DE 200  Y PAGARA LA DIFERENCIA FIN DE MES EL MONTO TOTAL ES DE 525</t>
  </si>
  <si>
    <t xml:space="preserve">Sustento de pago PPC - OTROS: CLIENTA HABIA OFRECIDO 3000 ML SOLES Y E LE MENCIONO QUE NO Y PUDO CONSEGUIRSE 3200 SOLES PARA ELD IA JUEVES 29 DE OCTUBRE </t>
  </si>
  <si>
    <t>Sustento de pago PPC - OTROS: CLIENTA MAÑANA LE PAGAN EN SU TRABAJO</t>
  </si>
  <si>
    <t xml:space="preserve">Sustento de pago PPC - OTROS: cliente abonara 06.01.2021 monto de 150 y la fecha de 11.01.2021 monto de 150 para completar el pago </t>
  </si>
  <si>
    <t>Sustento de pago PPC - OTROS: CLIENTE ABONARA 50 SOLES MAÑANA Y LA DIFERENCIA EL 30</t>
  </si>
  <si>
    <t xml:space="preserve">Sustento de pago PPC - OTROS: cliente abonara el 21 100 y la diferencia en la fecha solicitada </t>
  </si>
  <si>
    <t>Sustento de pago PPC - OTROS: cliente abonara la mitad y el 27 completa informa que la semana pasada fue pero no indico caja recaudadora</t>
  </si>
  <si>
    <t xml:space="preserve">Sustento de pago PPC - OTROS: CLIENTE ACEPTA LA EXCEPCION DE 600 EN 2 PAGOS ENTRO DEL MES 300 Y 300 A FINES </t>
  </si>
  <si>
    <t>Sustento de pago PPC - OTROS: CLIENTE ADELANTO 180 SOLES DIFERENCIA DE 120 SOLES PARA FIN DE MES</t>
  </si>
  <si>
    <t>Sustento de pago PPC - OTROS: CLIENTE AELANTARA 100 SOLES Y ANTES DEL 27 ESTARIA REALIZANDO EL DEPOSITO DEL RESTANTE / HORARIO DE PAGO: Mañana</t>
  </si>
  <si>
    <t>Sustento de pago PPC - OTROS: CLIENTE ASIGNADO  / HORARIO DE PAGO: Mediodía</t>
  </si>
  <si>
    <t>Sustento de pago PPC - OTROS: CLIENTE ASIGNADO POR INBOUND</t>
  </si>
  <si>
    <t>Sustento de pago PPC - OTROS: cliente asignado por mayra</t>
  </si>
  <si>
    <t>Sustento de pago PPC - OTROS: CLIENTE CANCELA 780</t>
  </si>
  <si>
    <t xml:space="preserve">Sustento de pago PPC - OTROS: cliente cancela con 173 soles. </t>
  </si>
  <si>
    <t>Sustento de pago PPC - OTROS: Cliente cancela el dia viernes con 600 soles. enviar wsp</t>
  </si>
  <si>
    <t xml:space="preserve">Sustento de pago PPC - OTROS: cliente cancela ultima cuota  dinero lo saca de empleo </t>
  </si>
  <si>
    <t xml:space="preserve">Sustento de pago PPC - OTROS: CLIENTE CANCELARA </t>
  </si>
  <si>
    <t>Sustento de pago PPC - OTROS: CLIENTE CANCELARA 1300 EL LUNES 21</t>
  </si>
  <si>
    <t>Sustento de pago PPC - OTROS: cliente cancelara 1600 el sabado 8 de agosto</t>
  </si>
  <si>
    <t xml:space="preserve">Sustento de pago PPC - OTROS: cliente cancelara 500 el dia martes </t>
  </si>
  <si>
    <t xml:space="preserve">Sustento de pago PPC - OTROS: CLIENTE CANCELARA CON EL MONTO DE 1500.00 PERO EL DIA 16 DE NOVIEMBRE ABONARA 200.00 PARA MANTENER EL COMPROMISO </t>
  </si>
  <si>
    <t xml:space="preserve">Sustento de pago PPC - OTROS: CLIENTE CANCELARA EL IMPORTE DE 700  </t>
  </si>
  <si>
    <t>Sustento de pago PPC - OTROS: CLIENTE CANCELARA LA DEUDA  CON EL MONTO DE 350. PAGO 100 Y LO RESTANTE LO PAGA EL LUNES 22 / HORARIO DE PAGO: Mañana</t>
  </si>
  <si>
    <t xml:space="preserve">Sustento de pago PPC - OTROS: CLIENTE COMUNICA QUE EL DIA DE HOY REALIZARA EL PAGO PREIMERO DEL IMPORTE DE 485 SOLES Y EL DIA 30.11  ESTA CANCELANDO LO RESTANTE DEL DINERO QUE SERIA EL IMPORTE DE 485 SOLES </t>
  </si>
  <si>
    <t>Sustento de pago PPC - OTROS: cliente confirma 580 soles para el dia sabado enviara omprobante quiere la carta de no aduedo</t>
  </si>
  <si>
    <t>Sustento de pago PPC - OTROS: CLIENTE CONFIRMO ABONO PARA EL DIA DE MAÑANA PORQUE NO TRENIA CON QUIEN ENVIAR A PAGAR</t>
  </si>
  <si>
    <t>Sustento de pago PPC - OTROS: cliente cuena con dinero de ahorros  se solicito exepcion en linea</t>
  </si>
  <si>
    <t>Sustento de pago PPC - OTROS: CLIENTE CUENTA CON DINERO AHORRADO</t>
  </si>
  <si>
    <t>Sustento de pago PPC - OTROS: cliente desea revisar el compromiso de pago para efectuar el pago de los 500 soles</t>
  </si>
  <si>
    <t>Sustento de pago PPC - OTROS: CLIENTE EN BASE A 350 PAGARA MAÑANA JUEVES 175 Y FIN DE MES 175</t>
  </si>
  <si>
    <t xml:space="preserve">Sustento de pago PPC - OTROS: CLIENTE ES MUY DESCONFIADO Y VA A CANCELAR MAÑANA ANTES DEL MEDIO DIA </t>
  </si>
  <si>
    <t>Sustento de pago PPC - OTROS: Cliente esta saldando toda sus deudas</t>
  </si>
  <si>
    <t>Sustento de pago PPC - OTROS: Cliente estara haciendo el pago de la diferencia de 300 soles por la tarde. Nos menciona si puede hacerlo antes nos avisaria.  / HORARIO DE PAGO: Tarde</t>
  </si>
  <si>
    <t xml:space="preserve">Sustento de pago PPC - OTROS: CLIENTE FUE A OH Y SE ACOGIO A LA CANCELACION </t>
  </si>
  <si>
    <t xml:space="preserve">Sustento de pago PPC - OTROS: CLIENTE HACE TRABAJITOS Y CANCELARA EL DIA VIERNES POR LA APLICACION DE INTERBANK </t>
  </si>
  <si>
    <t>Sustento de pago PPC - OTROS: CLIENTE HARA PAGOS LOS DIAS LUNES 11 18 25 DE ENERO 2021 DIVIDIDOS POR EL MONTO DE 535</t>
  </si>
  <si>
    <t>Sustento de pago PPC - OTROS: CLIENTE HIZO DEPOSITO DE 100 SOLES PARA GARANTIZAR ACUERDO DE CANCELACIÓN DE 300. LE RESTA 200 LOS CUALES ABONARÁ EL DÍA 15 / HORARIO DE PAGO: Mañana</t>
  </si>
  <si>
    <t xml:space="preserve">Sustento de pago PPC - OTROS: Cliente indica que abonaria el dia 30 de Enero. enviar los numeros de cuenta 253 soles. </t>
  </si>
  <si>
    <t xml:space="preserve">Sustento de pago PPC - OTROS: CLiente indica que e enviemos informacion por wsp. </t>
  </si>
  <si>
    <t>Sustento de pago PPC - OTROS: cliente indica que esta en campo ahora va a pagar alas 5  / HORARIO DE PAGO: Tarde</t>
  </si>
  <si>
    <t>Sustento de pago PPC - OTROS: cliente indica que hara el deposito de pago de 150 para el dia 8 ya que ese dia le pagaran de su sueldo e indico que realizara el pago por kashnet  / HORARIO DE PAGO: Mañana</t>
  </si>
  <si>
    <t>Sustento de pago PPC - OTROS: cliente indica que hara el deposito el dia 29 de su ultima couta 420 / HORARIO DE PAGO: Mañana</t>
  </si>
  <si>
    <t>Sustento de pago PPC - OTROS: cliente indica que hara el deposito el dia de hoy mediante una transferencia de su aplicativo del interbank / HORARIO DE PAGO: Tarde</t>
  </si>
  <si>
    <t xml:space="preserve">Sustento de pago PPC - OTROS: Cliente indica que pagara el dia martes 19 con el importe 440 soles se le indica que si  falta porque si no cancela se le cobrara con itereses. </t>
  </si>
  <si>
    <t>Sustento de pago PPC - OTROS: cliente indica que pagara en agencia de camána  / HORARIO DE PAGO: Mañana</t>
  </si>
  <si>
    <t xml:space="preserve">Sustento de pago PPC - OTROS: Cliente indica que tiene desconfianza dice que no pago los 600 soles porque se acerco y le dijeron que pagando no iba a solucionar nada se le indco que no puede ser por la misma propuesta del mes pasado dice que podria cancelar conn 700 soles. Enviar la informacion por wsp. </t>
  </si>
  <si>
    <t>Sustento de pago PPC - OTROS: cliente informa que mañana estara pagando en la agencia. Se le enviara la informacion por mensaje  / HORARIO DE PAGO: Mañana</t>
  </si>
  <si>
    <t xml:space="preserve">Sustento de pago PPC - OTROS: cliente informa que pagara semanal hasta completar los 2478 </t>
  </si>
  <si>
    <t>Sustento de pago PPC - OTROS: cliente ira a la agencia de caja los andes  / HORARIO DE PAGO: Tarde</t>
  </si>
  <si>
    <t xml:space="preserve">Sustento de pago PPC - OTROS: CLIENTE LE MANDARON UN MENSAJE CLIENTE NO PUDO CANCELAR PORQ LE DIERON UN MAL SERVICIO SULLANA Y CANCELARA LA CAMPAÑA HASTA EL LUNES 8 EN LA MAÑANA  </t>
  </si>
  <si>
    <t>Sustento de pago PPC - OTROS: cliente menciona pago mañana campaña msj de texto numero tt 936675281</t>
  </si>
  <si>
    <t>Sustento de pago PPC - OTROS: cliente menciona que se atraso por tems personals pagara el dia de hoy 1100 soles y el 30 de setiembre 1100 soles</t>
  </si>
  <si>
    <t xml:space="preserve">Sustento de pago PPC - OTROS: cliente nos dice q pagara el 14  por la tarde . </t>
  </si>
  <si>
    <t xml:space="preserve">Sustento de pago PPC - OTROS: CLIENTE NOS DICE Q YA SE COSIGUIO EL DINERO PERO QUE EL AGENTE NO ESTABA PARA PODER HACER EL PAGO HASTA LAS 2 DE LA TARDE EN EL AGENTE BCP </t>
  </si>
  <si>
    <t>Sustento de pago PPC - OTROS: cliente paga 21 con 174 y el restante fin de mes</t>
  </si>
  <si>
    <t>Sustento de pago PPC - OTROS: cliente paga 4000 el 18 nov y la diferencia a fin de mes</t>
  </si>
  <si>
    <t>Sustento de pago PPC - OTROS: Cliente paga hoy 900 soles y 300 el dia 28 de enero</t>
  </si>
  <si>
    <t>Sustento de pago PPC - OTROS: cliente pagara 10  450   y la diferencia 485</t>
  </si>
  <si>
    <t>Sustento de pago PPC - OTROS: cliente pagara 50soles el dia viernes 09 01 2021 y la diferencia cancelara el dia 29 01 2021 dejando en cero su compromiso de pago.</t>
  </si>
  <si>
    <t>Sustento de pago PPC - OTROS: Cliente pagará 85 soles el 30_04 / HORARIO DE PAGO: Mediodía</t>
  </si>
  <si>
    <t>Sustento de pago PPC - OTROS: CLIENTE PAGARA EL DIA 18 LA CAMPAÑA</t>
  </si>
  <si>
    <t>Sustento de pago PPC - OTROS: CLIENTE PAGARA EL DIA DE MAÑANA EL IMPORTE DE 114</t>
  </si>
  <si>
    <t xml:space="preserve">Sustento de pago PPC - OTROS: CLIENTE PAGARA EL IMPORTA ENTRE EL SABADO O A MAS TARDAR EL 31 PORQ RECIBIRA DE SU SUELDO Q ES TODOS LOS FINES O EL DIA SIGUIENTE </t>
  </si>
  <si>
    <t>Sustento de pago PPC - OTROS: CLIENTE PAGARA EN AGENTE BCP NOS PIDE Q SI LO REALIZARA SI O SI  998612933 SE LE INDICA UN ADELANTO</t>
  </si>
  <si>
    <t xml:space="preserve">Sustento de pago PPC - OTROS: CLIENTE PAGARA FIN DE MES POR EL MONTO 1730 </t>
  </si>
  <si>
    <t>Sustento de pago PPC - OTROS: cliente pagara hoy 500 soles y mañana completa los otros 500  whatsapp</t>
  </si>
  <si>
    <t>Sustento de pago PPC - OTROS: cliente pagará monto de 200 soles para no tener mas deudas / HORARIO DE PAGO: Mañana</t>
  </si>
  <si>
    <t>Sustento de pago PPC - OTROS: CLIENTE PAGARA SU RESTANTE DE LA CAMPAÑA</t>
  </si>
  <si>
    <t>Sustento de pago PPC - OTROS: CLIENTE PAGARA SU ULTIMA CUOTA / HORARIO DE PAGO: Mañana</t>
  </si>
  <si>
    <t>Sustento de pago PPC - OTROS: cliente pagará todo el 09 de octubre en caso no pueda conseguir todo pagará mil y el restante en el mes de noviembre</t>
  </si>
  <si>
    <t>Sustento de pago PPC - OTROS: cliente pago 3000 y dice que cancela el 31 los 1000</t>
  </si>
  <si>
    <t>Sustento de pago PPC - OTROS: CLIENTE PRESENTO UN INCONVENIENTE POR LA CUAL SOLICITA REPROGRAMACION.</t>
  </si>
  <si>
    <t>Sustento de pago PPC - OTROS: CLIENTE REALIZA CANCELACIÓN / HORARIO DE PAGO: Mañana</t>
  </si>
  <si>
    <t>Sustento de pago PPC - OTROS: CLIENTE REALIZARA EL PAGO DE 200SOLES 15 01 21 Y EL 2DO ABONO LO REALIZARA EL 29 01 21 MONTO DE  160 SOLES</t>
  </si>
  <si>
    <t xml:space="preserve">Sustento de pago PPC - OTROS: CLIENTE REALIZARÁ UN TRABAJO PARA QUE PUEDA CANCELAR. </t>
  </si>
  <si>
    <t>Sustento de pago PPC - OTROS: CLIENTE REALIZARIA DEPOSITO DE CANCELACIÓN. / HORARIO DE PAGO: Mañana</t>
  </si>
  <si>
    <t xml:space="preserve">Sustento de pago PPC - OTROS: CLIENTE REALIZARIA EL PAGO EN BANCO DE LA NACION </t>
  </si>
  <si>
    <t>Sustento de pago PPC - OTROS: CLIENTE REALIZO EL  PAGO EL 1 DE AGOSTO Y SE COMUNICA A MI SUPERIORA</t>
  </si>
  <si>
    <t>Sustento de pago PPC - OTROS: cliente realizo el deposito del monto de 600 por bcp / HORARIO DE PAGO: Mañana</t>
  </si>
  <si>
    <t>Sustento de pago PPC - OTROS: cliente saca dinero de ahorros   indica cancelar el dia 12 de junio</t>
  </si>
  <si>
    <t>Sustento de pago PPC - OTROS: cliente sacara de su cuenta de ahorros</t>
  </si>
  <si>
    <t xml:space="preserve">Sustento de pago PPC - OTROS: cliente se comunica a  coorporativo de melina por msj de descuento con minimo2  se ingresa compromiso   para cancelar este mes </t>
  </si>
  <si>
    <t>Sustento de pago PPC - OTROS: CLIENTE SE COMUNICA EN CONTAR CON LOS 1600 PARA QUE CANCELE HOY QUE YA CUENTA CON EL DINERO</t>
  </si>
  <si>
    <t>Sustento de pago PPC - OTROS: CLIENTE SE COMUNICA Y QUIERE LLEGAR A DAR UNA CONCILIACION DE CANCELACION</t>
  </si>
  <si>
    <t xml:space="preserve">Sustento de pago PPC - OTROS: CLIENTE SE COMUNICA Y SE ACOGE A LA CAMPAÑA DE 144 </t>
  </si>
  <si>
    <t xml:space="preserve">Sustento de pago PPC - OTROS: CLIENTE SE COMUNICO POR EL CORPORATIVO PARA CANCELAR MAÑANA </t>
  </si>
  <si>
    <t>Sustento de pago PPC - OTROS: CLIENTE SE ELEVO EXCEPCION PARA PODER CANCELAR LA EXCEPCION</t>
  </si>
  <si>
    <t>Sustento de pago PPC - OTROS: CLIENTE SE ENCUENTRA DE VIAJE Y REALIZARA EL PAGO EL DIA LUNES</t>
  </si>
  <si>
    <t xml:space="preserve">Sustento de pago PPC - OTROS: Cliente se encuentra en Arequipa cancela 350 soles el dia  25 de enero. </t>
  </si>
  <si>
    <t xml:space="preserve">Sustento de pago PPC - OTROS: CLIENTE SE ENCUENTRA EN EL MONTE Y EL DIA VIERNES EN LA MADRUGA ESTABA BAJANDO PARA Q EL SABADO CANCELE A LAS 10 DE LA MAÑANA </t>
  </si>
  <si>
    <t>Sustento de pago PPC - OTROS: cliente tiene dinero ahorrado por su trabajo eventual y se conseguira la diferencia</t>
  </si>
  <si>
    <t>Sustento de pago PPC - OTROS: CLIENTE VA A PAGAR 50 HOY Y A FIN DE MES DE 350</t>
  </si>
  <si>
    <t>Sustento de pago PPC - OTROS: CLIENTE VA A PAGAR EN EL AGENTE DE INTERBANK 9 AM</t>
  </si>
  <si>
    <t xml:space="preserve">Sustento de pago PPC - OTROS: CLIENTE VA A REALIZAR EL PAGO EN CORDINACION DE HORA PORQ NO QUIERE Q LO PENALIZEMOS </t>
  </si>
  <si>
    <t xml:space="preserve">Sustento de pago PPC - OTROS: CLIENTE VA A REALIZAR EL PAGO ESTE FIN DE MES </t>
  </si>
  <si>
    <t xml:space="preserve">Sustento de pago PPC - OTROS: CLIENTE VA A SER UNA TRANSFERENCIA DE CANCELACION </t>
  </si>
  <si>
    <t>Sustento de pago PPC - OTROS: cliente ya abono 500 soles  liquida el importe restante para fin de mes 27 de marzO / HORARIO DE PAGO: Mañana</t>
  </si>
  <si>
    <t>Sustento de pago PPC - OTROS: CLIENTE YA PAGO 300 SOLES. 25 TERMINA DE PAGAR LO RESTANTE. / HORARIO DE PAGO: Mañana</t>
  </si>
  <si>
    <t xml:space="preserve">Sustento de pago PPC - OTROS: CLIENTE YA PAGO EL PRIMER PAGO DE 150 EL PROX PAGO ES EL VIERNES PPAGO TOTAL  </t>
  </si>
  <si>
    <t>Sustento de pago PPC - OTROS: clietne informa que ya tiene el dienro el viernes lo pagaron tarde  / HORARIO DE PAGO: Mañana</t>
  </si>
  <si>
    <t>Sustento de pago PPC - OTROS: Cncelara deuda 280 soles . 140 lunes 07 y 140 el dia 30.12</t>
  </si>
  <si>
    <t>Sustento de pago PPC - OTROS: cobrará de un negocio</t>
  </si>
  <si>
    <t>Sustento de pago PPC - OTROS: cobro de alquiler de terreno</t>
  </si>
  <si>
    <t xml:space="preserve">Sustento de pago PPC - OTROS: cobro de un familiar </t>
  </si>
  <si>
    <t xml:space="preserve">Sustento de pago PPC - OTROS: cobro pension policia retirado </t>
  </si>
  <si>
    <t>Sustento de pago PPC - OTROS: COBROS DE TRABAJOS REALIZADOS</t>
  </si>
  <si>
    <t>Sustento de pago PPC - OTROS: cobros pendientes</t>
  </si>
  <si>
    <t xml:space="preserve">Sustento de pago PPC - OTROS: comenta que el incumplimiento fue por que tenia dudas en el pago luego de ello confirmo cancela el dia lunes sin falta en base al saldo capital </t>
  </si>
  <si>
    <t xml:space="preserve">Sustento de pago PPC - OTROS: COMENZO A TRABAJARADELANTO PARA EL DIA VIERNES </t>
  </si>
  <si>
    <t>Sustento de pago PPC - OTROS: completara el dinero juntado</t>
  </si>
  <si>
    <t>Sustento de pago PPC - OTROS: CON DINERO</t>
  </si>
  <si>
    <t>Sustento de pago PPC - OTROS: CON GRATIFICACIOBN ENVIAR ACUERDO A CORREO</t>
  </si>
  <si>
    <t xml:space="preserve">Sustento de pago PPC - OTROS: conf de excepcion 1500 </t>
  </si>
  <si>
    <t>Sustento de pago PPC - OTROS: conf pago desea carta a su correo asignado por sandy</t>
  </si>
  <si>
    <t>Sustento de pago PPC - OTROS: Confirma cancelacion con campaña de 300 para martes 10 lo hara a las 11 am</t>
  </si>
  <si>
    <t>Sustento de pago PPC - OTROS: CONFIRMA CANCELACION CON EXCEPCION</t>
  </si>
  <si>
    <t xml:space="preserve">Sustento de pago PPC - OTROS: CONFIRMA CANCELACION CONTARA CON DINERO EL SABADO </t>
  </si>
  <si>
    <t xml:space="preserve">Sustento de pago PPC - OTROS: CONFIRMA CANCELACION Y DISPOSICION DE DINERO </t>
  </si>
  <si>
    <t>Sustento de pago PPC - OTROS: CONFIRMA PAGO 1200 POT LA TARDE / HORARIO DE PAGO: Mañana</t>
  </si>
  <si>
    <t>Sustento de pago PPC - OTROS: Confirma pago del mes de Noviembre 607 como Ultima cuota segun convenio.  Si realizo pago de Octubre .. a espera de voucher.</t>
  </si>
  <si>
    <t xml:space="preserve">Sustento de pago PPC - OTROS: confirma pago mañana </t>
  </si>
  <si>
    <t xml:space="preserve">Sustento de pago PPC - OTROS: CONFIRMA PPC 261 OBTENDRA DINERO HASTA ESA FECHA </t>
  </si>
  <si>
    <t>Sustento de pago PPC - OTROS: CONFIRMA ULTIMA CUOTA SEGUN CONVENIO INICIAL</t>
  </si>
  <si>
    <t xml:space="preserve">Sustento de pago PPC - OTROS: Confirmo abono de 150 y restante a fin de mes </t>
  </si>
  <si>
    <t>Sustento de pago PPC - OTROS: CONSEGUIRA DINERO</t>
  </si>
  <si>
    <t xml:space="preserve">Sustento de pago PPC - OTROS: CONSEGUIRA DINERO MONTO 380 </t>
  </si>
  <si>
    <t xml:space="preserve">Sustento de pago PPC - OTROS: conseguira dinero no pago porque tiene deudas que priorizo y gastos </t>
  </si>
  <si>
    <t>Sustento de pago PPC - OTROS: conseguira efectivo</t>
  </si>
  <si>
    <t>Sustento de pago PPC - OTROS: CONSEGUIRA EL DINERO</t>
  </si>
  <si>
    <t xml:space="preserve">Sustento de pago PPC - OTROS: conseguira el dinero   campaña 130 </t>
  </si>
  <si>
    <t>Sustento de pago PPC - OTROS: conseguira el dinero  tiene 100  el dia de mañana a las 2pm va pagar la deuda   campaña 390</t>
  </si>
  <si>
    <t xml:space="preserve">Sustento de pago PPC - OTROS: CONSEGUIRA EL DINERO ASEGURA PAGO </t>
  </si>
  <si>
    <t>Sustento de pago PPC - OTROS: CONSEGUIRA EL DINERO BRINDARA ADELANTO EL DIA 9 ACTIVACION DE CAMPAÑA</t>
  </si>
  <si>
    <t>Sustento de pago PPC - OTROS: conseguira el dinero campaña 826 sms   banco la nacion</t>
  </si>
  <si>
    <t>Sustento de pago PPC - OTROS: conseguira el dinero de sus ahorros excepcion aprobada</t>
  </si>
  <si>
    <t xml:space="preserve">Sustento de pago PPC - OTROS: conseguira el dinero de trabajo  monto 200 </t>
  </si>
  <si>
    <t xml:space="preserve">Sustento de pago PPC - OTROS: CONSEGUIRA EL DINERO MONTO 140 </t>
  </si>
  <si>
    <t>Sustento de pago PPC - OTROS: CONSEGUIRA EL DINERO MONTO SMS DESCUENTO 886 TRANSFERENCIA DE BBVA</t>
  </si>
  <si>
    <t xml:space="preserve">Sustento de pago PPC - OTROS: conseguira el dinero regresa de viaje  sms 94 </t>
  </si>
  <si>
    <t xml:space="preserve">Sustento de pago PPC - OTROS: conseguira el dinero trabaja de manera independiente </t>
  </si>
  <si>
    <t>Sustento de pago PPC - OTROS: contara con dinero</t>
  </si>
  <si>
    <t xml:space="preserve">Sustento de pago PPC - OTROS: contara con el dinero hasta el fin de mes </t>
  </si>
  <si>
    <t xml:space="preserve">Sustento de pago PPC - OTROS: CONTESTA MADRE E INDICA HIJA LISBETH ANTONIA ALARCON QUISPE EFECTUARA EL PAGO POR EL MONTO DE 800 SOLES SE PIDE DNI Y NO SE ACUERDA MAÑANA SE ACERCARA ANTES DE LAS 5 PM A CANCELAR </t>
  </si>
  <si>
    <t>Sustento de pago PPC - OTROS: correccion de importe a cancelar</t>
  </si>
  <si>
    <t xml:space="preserve">Sustento de pago PPC - OTROS: correcion de fecha llamada de discador TT menciono que estaria pagando hoy </t>
  </si>
  <si>
    <t>Sustento de pago PPC - OTROS: CORREO CJC1662GMAILCOM</t>
  </si>
  <si>
    <t xml:space="preserve">Sustento de pago PPC - OTROS: correo edsongutierrez2612 persona indidependiente </t>
  </si>
  <si>
    <t>Sustento de pago PPC - OTROS: CORREO JONATHAN_12_09@HOTMAIL.COM 935365603 ABONO EL DIA 22 DE 50 SOLES</t>
  </si>
  <si>
    <t xml:space="preserve">Sustento de pago PPC - OTROS: cosecha de papas </t>
  </si>
  <si>
    <t>Sustento de pago PPC - OTROS: COSECHA DE SUS HABAS SERA EL PAGO</t>
  </si>
  <si>
    <t>Sustento de pago PPC - OTROS: cta con el dinero</t>
  </si>
  <si>
    <t>Sustento de pago PPC - OTROS: ctt menciona que si tiene el dinero pero no pùdo realizar el pago por que no pudo salirde su trabajo  menciona el sabado realizar el pago asigando manual</t>
  </si>
  <si>
    <t xml:space="preserve">Sustento de pago PPC - OTROS: cuenta ahora con 470 soles y se le indica que cancele con 500 soles se va prestar la dif y a las 4 pm aprox cancela </t>
  </si>
  <si>
    <t>Sustento de pago PPC - OTROS: cuenta ahorros</t>
  </si>
  <si>
    <t xml:space="preserve">Sustento de pago PPC - OTROS: cuenta con 1000 para que pague mañana sabado 9 se le nota muy ocupado </t>
  </si>
  <si>
    <t xml:space="preserve">Sustento de pago PPC - OTROS: cuenta con dinero </t>
  </si>
  <si>
    <t>Sustento de pago PPC - OTROS: cuenta con dinero a las 4pm estara realizando su deposito</t>
  </si>
  <si>
    <t>Sustento de pago PPC - OTROS: cuenta con dinero de junta</t>
  </si>
  <si>
    <t>Sustento de pago PPC - OTROS: cuenta con dinero en mano</t>
  </si>
  <si>
    <t xml:space="preserve">Sustento de pago PPC - OTROS: cuenta con dinero en mano le hace imposible salir de casa por que es profesora y tien sus clases virtuales el dia miercoles 15 estara realizando sin falta </t>
  </si>
  <si>
    <t xml:space="preserve">Sustento de pago PPC - OTROS: cuenta con dinero en mano y quiere salir de la deuda </t>
  </si>
  <si>
    <t>Sustento de pago PPC - OTROS: cuenta con efectivo</t>
  </si>
  <si>
    <t>Sustento de pago PPC - OTROS: Cuenta con el dinero</t>
  </si>
  <si>
    <t xml:space="preserve">Sustento de pago PPC - OTROS: cuenta con el dinero clienta se comunico a corporativo 19 por sms </t>
  </si>
  <si>
    <t xml:space="preserve">Sustento de pago PPC - OTROS: CUENTA CON EL DINERO MONTO 385 </t>
  </si>
  <si>
    <t>Sustento de pago PPC - OTROS: Cuenta con el efectivo</t>
  </si>
  <si>
    <t>Sustento de pago PPC - OTROS: cuenta con una parte y se prestara de un tercero para completar</t>
  </si>
  <si>
    <t xml:space="preserve">Sustento de pago PPC - OTROS: cuenta el dinero en mano </t>
  </si>
  <si>
    <t>Sustento de pago PPC - OTROS: CUÑADA MARTHA AUMIRA LA DEUDA   TT FALLECIO  / HORARIO DE PAGO: Mañana</t>
  </si>
  <si>
    <t>Sustento de pago PPC - OTROS: cuñado elar de la cruz encargado</t>
  </si>
  <si>
    <t>Sustento de pago PPC - OTROS: Cuota 02 de 02 en baso a campaña de 300 soles</t>
  </si>
  <si>
    <t xml:space="preserve">Sustento de pago PPC - OTROS: Cuota 03 de 03 </t>
  </si>
  <si>
    <t xml:space="preserve">Sustento de pago PPC - OTROS: Cuota de 500 por excepción elevada </t>
  </si>
  <si>
    <t xml:space="preserve">Sustento de pago PPC - OTROS: cuota mes pasado 225 y cuota final 225 ttoal 450 </t>
  </si>
  <si>
    <t>Sustento de pago PPC - OTROS: cynthia beraun dni43263735 esposa encargada de pago menciona que le llego un sms por el importe de 379 soles</t>
  </si>
  <si>
    <t xml:space="preserve">Sustento de pago PPC - OTROS: DANIEL HIJO INDICA QUE CANCLARA 300 EL DIA DE MAÑANA VIERNES 15 </t>
  </si>
  <si>
    <t xml:space="preserve">Sustento de pago PPC - OTROS: DANIEL LEIVA PAPA ARA EL PAGO DE LOS 300 EL 30 SEPT </t>
  </si>
  <si>
    <t>Sustento de pago PPC - OTROS: DANTE PASTOR MANZANARES HIJO RESP ESPERA DE UN PAGO 1789 TOTAL  SEGURO  SMS</t>
  </si>
  <si>
    <t>Sustento de pago PPC - OTROS: Dara adelanto de 50 soles el dia 06.11  y los 650 restantes fin de mes .</t>
  </si>
  <si>
    <t xml:space="preserve">Sustento de pago PPC - OTROS: dara esta semana la mitad y lo restante a fin de mes total 280 </t>
  </si>
  <si>
    <t>Sustento de pago PPC - OTROS: DE 10 A 11 AM CALCELARA 168</t>
  </si>
  <si>
    <t>Sustento de pago PPC - OTROS: de 1500 le resta 1350 lo cancelara el jueves 29.02 si es antes se comunicara o nos escribira / HORARIO DE PAGO: Mañana</t>
  </si>
  <si>
    <t>Sustento de pago PPC - OTROS: DE 3 A 4 PM ESTA CANCELANDO 1000</t>
  </si>
  <si>
    <t xml:space="preserve">Sustento de pago PPC - OTROS: de ahorros </t>
  </si>
  <si>
    <t>Sustento de pago PPC - OTROS: de su negocio y completara con prestamo de familiar</t>
  </si>
  <si>
    <t xml:space="preserve">Sustento de pago PPC - OTROS: DE SU PRODUCCION DE TRABAJO </t>
  </si>
  <si>
    <t xml:space="preserve">Sustento de pago PPC - OTROS: DE SU TRABAJO REALIZARA LA CANCELACION  </t>
  </si>
  <si>
    <t xml:space="preserve">Sustento de pago PPC - OTROS: de su trabajo SE FUE FICHA </t>
  </si>
  <si>
    <t>Sustento de pago PPC - OTROS: de su trabajo temporal</t>
  </si>
  <si>
    <t>Sustento de pago PPC - OTROS: De su trabajpo estaria pidiendo un adelanto</t>
  </si>
  <si>
    <t xml:space="preserve">Sustento de pago PPC - OTROS: DE SUELDO </t>
  </si>
  <si>
    <t xml:space="preserve">Sustento de pago PPC - OTROS: de sus ahorros </t>
  </si>
  <si>
    <t xml:space="preserve">Sustento de pago PPC - OTROS: de sus trabajos eventuales </t>
  </si>
  <si>
    <t xml:space="preserve">Sustento de pago PPC - OTROS: DE UN DINERO QUE LE ESTAN DEBIENDO </t>
  </si>
  <si>
    <t xml:space="preserve">Sustento de pago PPC - OTROS: de un pago recibira el dinero no labora </t>
  </si>
  <si>
    <t xml:space="preserve">Sustento de pago PPC - OTROS: de un trabajo que tiene eventual como electricista </t>
  </si>
  <si>
    <t xml:space="preserve">Sustento de pago PPC - OTROS: deja numero de 93877749 es de hijo de tt </t>
  </si>
  <si>
    <t xml:space="preserve">Sustento de pago PPC - OTROS: deposito liq ind que mañana en transcurso del dia pagara ya que hoy en la noche le van a depositar </t>
  </si>
  <si>
    <t>Sustento de pago PPC - OTROS: desea que se le envie numero telefonico 994970725</t>
  </si>
  <si>
    <t>Sustento de pago PPC - OTROS: dezafredy367gmailcom cancelara 1030 el lunes 12oct enviar informacion a su correo</t>
  </si>
  <si>
    <t xml:space="preserve">Sustento de pago PPC - OTROS: dice el señor qiue le dio el dinero a la hermana la cual no pudo hacer el pago hoy salio temprano hacer el pago indica esta en la cola </t>
  </si>
  <si>
    <t xml:space="preserve">Sustento de pago PPC - OTROS: dice ese diapagara </t>
  </si>
  <si>
    <t>Sustento de pago PPC - OTROS: DICE MADRE ESTUVO ENFERMA POR ELLO NO CANCELO II ABONARA 100 SABADO 18 EN HUANCAYO MAS SALDO EL 30JULIP</t>
  </si>
  <si>
    <t xml:space="preserve">Sustento de pago PPC - OTROS: dice no haber pagado ya que perdio el nro de contacto pagara lunes </t>
  </si>
  <si>
    <t xml:space="preserve">Sustento de pago PPC - OTROS: DICE Q TUVO PROBLEMAS EN LA TRANSFERENCIA </t>
  </si>
  <si>
    <t>Sustento de pago PPC - OTROS: DICE QUE CREDITO FUE PARA OTRO PERSONA SE APERSONARA A OFICNA PARA MAYOR INF</t>
  </si>
  <si>
    <t>Sustento de pago PPC - OTROS: DICE QUE EN ESA FECHA ESPERA UN PAGO HABIA INDICADO QUE YA HABIA HABLADO Y CONFIRMADO EL PAGO PERO NOS E VISUALIZA EN SISTEMA SOLICITUD POR WHATSAPP</t>
  </si>
  <si>
    <t>Sustento de pago PPC - OTROS: dice que esta buscando un agente</t>
  </si>
  <si>
    <t>Sustento de pago PPC - OTROS: dice que se dedica a la artesania tiene una parte del dinero</t>
  </si>
  <si>
    <t>Sustento de pago PPC - OTROS: dinero a la mano</t>
  </si>
  <si>
    <t>Sustento de pago PPC - OTROS: dinero a la mano acuerdo correo candy21338</t>
  </si>
  <si>
    <t>Sustento de pago PPC - OTROS: dinero a la mano no se grabo se vuelve  allamar a confirmar se envio cta bcp</t>
  </si>
  <si>
    <t>Sustento de pago PPC - OTROS: DINERO A LA MANO SE ENFERMO DE COVID ENVIAR CTA BCP</t>
  </si>
  <si>
    <t xml:space="preserve">Sustento de pago PPC - OTROS: dinero a mano  max lunes acuerdo a correo </t>
  </si>
  <si>
    <t>Sustento de pago PPC - OTROS: DINERO AHORRADO DE CTA DE AHORROS</t>
  </si>
  <si>
    <t>Sustento de pago PPC - OTROS: dinero ahorrado y prestado</t>
  </si>
  <si>
    <t>Sustento de pago PPC - OTROS: dinero de afp</t>
  </si>
  <si>
    <t xml:space="preserve">Sustento de pago PPC - OTROS: Dinero de ahorros </t>
  </si>
  <si>
    <t>Sustento de pago PPC - OTROS: dinero de esposo</t>
  </si>
  <si>
    <t>Sustento de pago PPC - OTROS: Dinero de jubilado y trabajo como peluquero</t>
  </si>
  <si>
    <t xml:space="preserve">Sustento de pago PPC - OTROS: dinero de lechones vendidos </t>
  </si>
  <si>
    <t>Sustento de pago PPC - OTROS: dinero de prestamo</t>
  </si>
  <si>
    <t>Sustento de pago PPC - OTROS: dinero de su esposo</t>
  </si>
  <si>
    <t xml:space="preserve">Sustento de pago PPC - OTROS: Dinero de su jubilación </t>
  </si>
  <si>
    <t xml:space="preserve">Sustento de pago PPC - OTROS: DINERO DE SUS AHORROS </t>
  </si>
  <si>
    <t>Sustento de pago PPC - OTROS: Dinero de trabajo cobra semanal</t>
  </si>
  <si>
    <t>Sustento de pago PPC - OTROS: Dinero de trabajo como independiente</t>
  </si>
  <si>
    <t>Sustento de pago PPC - OTROS: dinero de una actividad</t>
  </si>
  <si>
    <t>Sustento de pago PPC - OTROS: dinero destinado para estudios de su hija</t>
  </si>
  <si>
    <t xml:space="preserve">Sustento de pago PPC - OTROS: dinero en mado </t>
  </si>
  <si>
    <t>Sustento de pago PPC - OTROS: dinero en mano</t>
  </si>
  <si>
    <t xml:space="preserve">Sustento de pago PPC - OTROS: dinero en mano  le llego sms </t>
  </si>
  <si>
    <t>Sustento de pago PPC - OTROS: dinero en mano  se realiza nuevamente cancelacion fallo en realizar la transaccion cancela hoy</t>
  </si>
  <si>
    <t>Sustento de pago PPC - OTROS: DINERO EN MANO  SMS</t>
  </si>
  <si>
    <t>Sustento de pago PPC - OTROS: dinero en mano 1000 y diferencia de 1171 para el 30</t>
  </si>
  <si>
    <t>Sustento de pago PPC - OTROS: DINERO EN MANO 1500  Y 120 SE VA CONSEGUIR PARARIA HOY</t>
  </si>
  <si>
    <t>Sustento de pago PPC - OTROS: dinero en mano 2k completara con afp</t>
  </si>
  <si>
    <t>Sustento de pago PPC - OTROS: DINERO EN MANO 300</t>
  </si>
  <si>
    <t>Sustento de pago PPC - OTROS: dinero en mano 600 conseguira dif de 200</t>
  </si>
  <si>
    <t>Sustento de pago PPC - OTROS: dinero en mano a las 4 pm pagara ind que no pago por que estaba de viaje</t>
  </si>
  <si>
    <t xml:space="preserve">Sustento de pago PPC - OTROS: dinero en mano audio grabado en 3 partes </t>
  </si>
  <si>
    <t>Sustento de pago PPC - OTROS: dinero en mano bajara de su pueblo para pagar en Arequipa y recien se dará tiempor el dia 19 de ener</t>
  </si>
  <si>
    <t xml:space="preserve">Sustento de pago PPC - OTROS: dinero en mano cliente INB asignado sustento baucher </t>
  </si>
  <si>
    <t>Sustento de pago PPC - OTROS: DINERO EN MANO DE 1000 Y LO RESTANTE A EL DIA 25  PERO SE COORDINA Q SERA A LA TOTALIDAD EL DIA 25</t>
  </si>
  <si>
    <t>Sustento de pago PPC - OTROS: dinero en mano de 500 se prestara 100</t>
  </si>
  <si>
    <t xml:space="preserve">Sustento de pago PPC - OTROS: dinero en mano excepcion aprobada </t>
  </si>
  <si>
    <t>Sustento de pago PPC - OTROS: Dinero en mano pagará 9AM</t>
  </si>
  <si>
    <t>Sustento de pago PPC - OTROS: dinero en mano pero donde esta no hay agentes bancarios estara en lima fin de semana</t>
  </si>
  <si>
    <t>Sustento de pago PPC - OTROS: dinero en mano pero necesita el doc de compromiso dice que a mas tardar el 08</t>
  </si>
  <si>
    <t>Sustento de pago PPC - OTROS: dinero en mano pero por tiempo solo podra el sabado</t>
  </si>
  <si>
    <t>Sustento de pago PPC - OTROS: dinero en mano por sms</t>
  </si>
  <si>
    <t>Sustento de pago PPC - OTROS: DINERO EN MANO SE CONVERSA CON EL TT A GRAVES DEL MOVIL CORPORATIVO</t>
  </si>
  <si>
    <t xml:space="preserve">Sustento de pago PPC - OTROS: DINERO EN MANO SE FUE LA FICHA </t>
  </si>
  <si>
    <t>Sustento de pago PPC - OTROS: dinero en mnao</t>
  </si>
  <si>
    <t xml:space="preserve">Sustento de pago PPC - OTROS: DINERO ENMANO </t>
  </si>
  <si>
    <t xml:space="preserve">Sustento de pago PPC - OTROS: dinero familiar </t>
  </si>
  <si>
    <t>Sustento de pago PPC - OTROS: DINERO LE VA GIRAR SU ESPOSO EL DIA DE HOY Y MAÑANA 26 HACE EL PAGO SE DEDICA CRIANZA DE CUYES</t>
  </si>
  <si>
    <t xml:space="preserve">Sustento de pago PPC - OTROS: dinero lo retirara de sus ahorros  para poder abonar 500 hoy 25 y los restante el dia 30 </t>
  </si>
  <si>
    <t>Sustento de pago PPC - OTROS: dinero lo saca del dia a dia pero con seguridad indica pagar la obligacion el dia 15 ya que quiere salir de ello</t>
  </si>
  <si>
    <t xml:space="preserve">Sustento de pago PPC - OTROS: dinero lo saca del dia a dia y quiere salir de la obligacion cancelara deuda el dia 15 </t>
  </si>
  <si>
    <t>Sustento de pago PPC - OTROS: dinero lo sacara de una cobranza que tendra en esta semana</t>
  </si>
  <si>
    <t>Sustento de pago PPC - OTROS: Dinero obtendrá de prestamo de colombianos pagará AM</t>
  </si>
  <si>
    <t xml:space="preserve">Sustento de pago PPC - OTROS: dinero prestado paga a las 2pm </t>
  </si>
  <si>
    <t xml:space="preserve">Sustento de pago PPC - OTROS: dinero que le deben le pagaran el dia viernes 14 200 y el dia 21 200 </t>
  </si>
  <si>
    <t>Sustento de pago PPC - OTROS: dinero reunido y juntado de trabajos de semanas</t>
  </si>
  <si>
    <t xml:space="preserve">Sustento de pago PPC - OTROS: dinero sacara de su trabajo temporal hasta quincena dara la primera cuota y lo restante a finde mes </t>
  </si>
  <si>
    <t>Sustento de pago PPC - OTROS: DINERO SALE DE SU NEGOCIO</t>
  </si>
  <si>
    <t>Sustento de pago PPC - OTROS: dinero sera de trabajo de taxi</t>
  </si>
  <si>
    <t>Sustento de pago PPC - OTROS: dinero sera de un pago que le daran asegura que cumplira este mes 15 de octubre la mitad y la diferencia fin de mes</t>
  </si>
  <si>
    <t>Sustento de pago PPC - OTROS: dinero sera de un pago que le realizaran de un trabajo.</t>
  </si>
  <si>
    <t xml:space="preserve">Sustento de pago PPC - OTROS: dinero sera de un pago que recibira de la ugel </t>
  </si>
  <si>
    <t>Sustento de pago PPC - OTROS: dinero sera de unos cheques que le dara la municipalidad</t>
  </si>
  <si>
    <t xml:space="preserve">Sustento de pago PPC - OTROS: DINERO TENDRA YA EL LUNES </t>
  </si>
  <si>
    <t xml:space="preserve">Sustento de pago PPC - OTROS: DISCADOR SIN INTERNET SE CORTO LA LLAMADA </t>
  </si>
  <si>
    <t>Sustento de pago PPC - OTROS: DISCADOR SIN INTERNET SE CORTO TT CONSEGUIRA DINERO EN 2 PARTES EL 19 LA MITAD</t>
  </si>
  <si>
    <t xml:space="preserve">Sustento de pago PPC - OTROS: DISPONE DEL DINERO VA MANDAR A SU FAMILIAR A PAGAR EL SE ENCUENTRA EN OTRA PARTE </t>
  </si>
  <si>
    <t xml:space="preserve">Sustento de pago PPC - OTROS: Disposicion de dinero </t>
  </si>
  <si>
    <t>Sustento de pago PPC - OTROS: dk  2300 cam 920    / HORARIO DE PAGO: Mañana</t>
  </si>
  <si>
    <t>Sustento de pago PPC - OTROS: DK 270 CAM 250  / HORARIO DE PAGO: Mañana</t>
  </si>
  <si>
    <t xml:space="preserve">Sustento de pago PPC - OTROS: donde trabaja aun no le depositaron menciona el dia miercoles realizaria con seguridad </t>
  </si>
  <si>
    <t xml:space="preserve">Sustento de pago PPC - OTROS: dos cuota200 mañana y 200 hasta fin de mes </t>
  </si>
  <si>
    <t>Sustento de pago PPC - OTROS: dt 1500 tt logro conseguir 400  realizara el pago dia 19.2  poque ahora se encuentra en el campo   / HORARIO DE PAGO: Tarde</t>
  </si>
  <si>
    <t>Sustento de pago PPC - OTROS: dt 300  se le indica a tt solo por hoy 8.3 podra cancelar con 30 si incumple tendra que pagar dt  / HORARIO DE PAGO: Tarde</t>
  </si>
  <si>
    <t xml:space="preserve">Sustento de pago PPC - OTROS: dt 4051 dc 1340  tt es comerciante venta abarrotes </t>
  </si>
  <si>
    <t>Sustento de pago PPC - OTROS: dt 510 campaña 360 tt indica que le parece demasiado ya que no debia y ella viajo en el 2017 pero que ella quiere solucionar ya que quiere hacer su negocio y le sale deuda con oh se le indicaque la podemos ayudar con 200 indica uqe no cuenta y su contra propuesta es 100 se le acepta y lo pagara hoy 10 de junio en BCP</t>
  </si>
  <si>
    <t xml:space="preserve">Sustento de pago PPC - OTROS: dt 5310 cancela total con 960 </t>
  </si>
  <si>
    <t>Sustento de pago PPC - OTROS: dt_ dk_ tit realiza pago mediante campaña Min_40 / HORARIO DE PAGO: Tarde</t>
  </si>
  <si>
    <t>Sustento de pago PPC - OTROS: dt3400 min 60 soles tt peude pagarlo mañana ok menciono que enviare convenio por wsp  agara por caja / HORARIO DE PAGO: Tarde</t>
  </si>
  <si>
    <t xml:space="preserve">Sustento de pago PPC - OTROS: edgar torres quispe  el 11 monto 400 y el 22 monto 700  total 1100  excepcion </t>
  </si>
  <si>
    <t xml:space="preserve">Sustento de pago PPC - OTROS: EDWIN JARA VA PAGAR 31 DE JULIO   TT HACE EL GIRO POR RADIO   </t>
  </si>
  <si>
    <t xml:space="preserve">Sustento de pago PPC - OTROS: el 03 monto 100  el 10 monto 100 y el 18 monto 134  total  334 </t>
  </si>
  <si>
    <t>Sustento de pago PPC - OTROS: el 04 monto 100 y el 30 monto 500 total 600</t>
  </si>
  <si>
    <t xml:space="preserve">Sustento de pago PPC - OTROS: el 04 monto 1000 y el 30 monto 800    Total  1800    </t>
  </si>
  <si>
    <t xml:space="preserve">Sustento de pago PPC - OTROS: EL 04 MONTO DE 100 Y EL 25 MONTO DE 20 TOTAL 120 </t>
  </si>
  <si>
    <t xml:space="preserve">Sustento de pago PPC - OTROS: EL 05 EL MONTO DE 100 Y EL 16 MONTO 140   TOTAL 240  </t>
  </si>
  <si>
    <t>Sustento de pago PPC - OTROS: EL 07.12 MONTO 270 Y EL 30 MONTO 270   TOTAL 540</t>
  </si>
  <si>
    <t>Sustento de pago PPC - OTROS: EL 09 MONTO 200 Y EL 20 MONTO 200 TOTAL 400</t>
  </si>
  <si>
    <t>Sustento de pago PPC - OTROS: EL 10 abona 300 y el 18 restante 250  total  550  whatsapp</t>
  </si>
  <si>
    <t xml:space="preserve">Sustento de pago PPC - OTROS: EL 10 ABONA 50 Y  100  EL 24 06   SE SUBE DOS AUDIOS Y CAPTURA DE PANTALLA CLIENTE CON SEÑAL MALA Y SE CORTABA </t>
  </si>
  <si>
    <t xml:space="preserve">Sustento de pago PPC - OTROS: el 11 monto 50 y el 28 monto 290  total 340 campaña </t>
  </si>
  <si>
    <t>Sustento de pago PPC - OTROS: EL 13 MONTO 400 Y EL 21 MONTO  400  TOTAL 800   APLICATIVO DE BCP</t>
  </si>
  <si>
    <t>Sustento de pago PPC - OTROS: el 14.12 monto 900 y el 31.12 monto 900  total 1800 .   pago de alquiler de terreno  enviar compromiso de pago</t>
  </si>
  <si>
    <t xml:space="preserve">Sustento de pago PPC - OTROS: el 15 abona 50 soles y lo restante a fin de mes </t>
  </si>
  <si>
    <t>Sustento de pago PPC - OTROS: EL 15 MONTO 100 Y EL 30 MONTO 400 TOTAL CAMPAÑA 500</t>
  </si>
  <si>
    <t xml:space="preserve">Sustento de pago PPC - OTROS: EL 15 MONTO 100 Y EL 30 MONTO 460 </t>
  </si>
  <si>
    <t>Sustento de pago PPC - OTROS: el 15 monto 125 y el 30 monto 125  total 250</t>
  </si>
  <si>
    <t xml:space="preserve">Sustento de pago PPC - OTROS: el 16 monto 100 y el 18 monto 290 Total 390 </t>
  </si>
  <si>
    <t xml:space="preserve">Sustento de pago PPC - OTROS: EL 16 REALIZA UN ADELANTO DE 500 LO RESTANTE EL  29 </t>
  </si>
  <si>
    <t xml:space="preserve">Sustento de pago PPC - OTROS: el 18 monto 1000 y el 30 monto 1000  Total 2000   edgar torres quispe responsable </t>
  </si>
  <si>
    <t>Sustento de pago PPC - OTROS: el 18 monto de 50 y el 31 monto 350       total 400   captura</t>
  </si>
  <si>
    <t>Sustento de pago PPC - OTROS: el 19 monto 50 y el 30 monto 450   total 500  trabaja planilla</t>
  </si>
  <si>
    <t xml:space="preserve">Sustento de pago PPC - OTROS: el 24 cancela 750 en la mañana </t>
  </si>
  <si>
    <t xml:space="preserve">Sustento de pago PPC - OTROS: EL 24 PAGA CAMPAÑA 700 EXCEPCION SE ENVIARA COMPROMISO DE PAGO </t>
  </si>
  <si>
    <t xml:space="preserve">Sustento de pago PPC - OTROS: EL 25 ESTABA BAJANDO A JULIACA A PAGAR </t>
  </si>
  <si>
    <t xml:space="preserve">Sustento de pago PPC - OTROS: el 25 monto 400 el 30 monto de 350   total 750 </t>
  </si>
  <si>
    <t>Sustento de pago PPC - OTROS: el 26 anticipara con 100</t>
  </si>
  <si>
    <t>Sustento de pago PPC - OTROS: EL 29 DE JULIO ESTA PAGANDO LA CAMPAÑA DE 800 DE  2 A 3 PM EN CREDINKA</t>
  </si>
  <si>
    <t xml:space="preserve">Sustento de pago PPC - OTROS: el 29sep cancelara 310 en la tarde </t>
  </si>
  <si>
    <t>Sustento de pago PPC - OTROS: EL 30 CANCELARA 350 EN LA TARDE</t>
  </si>
  <si>
    <t>Sustento de pago PPC - OTROS: EL 30 CANCELARA 400</t>
  </si>
  <si>
    <t xml:space="preserve">Sustento de pago PPC - OTROS: EL 30 DE SEP CANCELARA 870 </t>
  </si>
  <si>
    <t>Sustento de pago PPC - OTROS: EL 30 OCT CANCELARA 1500</t>
  </si>
  <si>
    <t>Sustento de pago PPC - OTROS: EL 31 CANCELARA 350 EN LA MAÑANA EN EL BCP</t>
  </si>
  <si>
    <t xml:space="preserve">Sustento de pago PPC - OTROS: el adelando jueves 9 </t>
  </si>
  <si>
    <t>Sustento de pago PPC - OTROS: el cliente cuenta con junta</t>
  </si>
  <si>
    <t xml:space="preserve">Sustento de pago PPC - OTROS: EL DIA 14 REALIZARA UN ADELANTO DE 200 SOLES Y LA DIFERENCIA A EL DIA 25 </t>
  </si>
  <si>
    <t>Sustento de pago PPC - OTROS: El dia 15 abonará 125 soles y la dferencia el dia 29 de enero</t>
  </si>
  <si>
    <t xml:space="preserve">Sustento de pago PPC - OTROS: El dia 16 de noviembre pagará la mitad de la PPC 175 y el dia 30 de noviembre pagará los restante </t>
  </si>
  <si>
    <t>Sustento de pago PPC - OTROS: el dia de hoy 150 y el 29 cancelara lo restante 550 / HORARIO DE PAGO: Mañana</t>
  </si>
  <si>
    <t xml:space="preserve">Sustento de pago PPC - OTROS: el dia de mañana abona se solicita acuerdo </t>
  </si>
  <si>
    <t>Sustento de pago PPC - OTROS: el día jueves estaría llegando a un pueblo para poder cancelar  / HORARIO DE PAGO: Mañana</t>
  </si>
  <si>
    <t xml:space="preserve">Sustento de pago PPC - OTROS: el dinero se lo dara el responsable de la deuda </t>
  </si>
  <si>
    <t>Sustento de pago PPC - OTROS: el pago lo realizara 15 marzo y fin de mes en dos partes  / HORARIO DE PAGO: Mediodía</t>
  </si>
  <si>
    <t xml:space="preserve">Sustento de pago PPC - OTROS: EL SE ENCUENTRA EN UN LUGAR MUY ALEJADO </t>
  </si>
  <si>
    <t xml:space="preserve">Sustento de pago PPC - OTROS: EL SR TIENE DINERO DE SUS TRABAJO </t>
  </si>
  <si>
    <t>Sustento de pago PPC - OTROS: emepzo a trabjar con ello pagara 15 100 soles diferencia dfin de mes</t>
  </si>
  <si>
    <t xml:space="preserve">Sustento de pago PPC - OTROS: empleo </t>
  </si>
  <si>
    <t>Sustento de pago PPC - OTROS: empleo independiente</t>
  </si>
  <si>
    <t>Sustento de pago PPC - OTROS: en agencia  no le aceptaron el pago  le dijeron que no hay deuda  no se termino plantilla por que esta apurado per si tiene intencion de pago solo que por problemas de agencia no le tomaron el pago</t>
  </si>
  <si>
    <t>Sustento de pago PPC - OTROS: EN BASE A 1200 EL SABADO 14 ABONA 300 Y HASTA EL 25 COMPLETA LA DIFERENCIA</t>
  </si>
  <si>
    <t>Sustento de pago PPC - OTROS: EN BASE A 1380 PAGARA HOY MARTES 690 Y EL 30NOV COMPLETARA 690</t>
  </si>
  <si>
    <t xml:space="preserve">Sustento de pago PPC - OTROS: EN BASE A 1500 PAG HOY 1000 Y EL 30 PAGA 500 RESTANTES </t>
  </si>
  <si>
    <t>Sustento de pago PPC - OTROS: EN BASE A 1750 EL VIERNES 4DIC PAGA 1000 Y EL 21DIC PAGA 750</t>
  </si>
  <si>
    <t xml:space="preserve">Sustento de pago PPC - OTROS: en base a 1800 el lunes 11enero abonara 200 y el 25enero la diferencia de 1600 </t>
  </si>
  <si>
    <t xml:space="preserve">Sustento de pago PPC - OTROS: en base a 1890 pagara el 14 monto de 500 y fin de mes la diferencia </t>
  </si>
  <si>
    <t>Sustento de pago PPC - OTROS: en base a 2000 el 23 sept abonara 1000 y el 30 sep la diferencia 1000</t>
  </si>
  <si>
    <t xml:space="preserve">Sustento de pago PPC - OTROS: EN BASE A 2201 EL 15 DE OCT PAGARA 1100 Y EL 31 OCT 1101 LLAMARLO DIAS ANTES HACERLE UN REORDATORIO </t>
  </si>
  <si>
    <t>Sustento de pago PPC - OTROS: en base a 300 pagara 200 hoy 14 de julio y finde mes 100</t>
  </si>
  <si>
    <t xml:space="preserve">Sustento de pago PPC - OTROS: EN BASE A 3200 PAGARA EL LUNES 10 DE AGOSTO 1000 Y EL 25 DE AGOSTO LA DIFERENCIA DE 2300 YA QUE LE PAGARAN DE LA VENTA DE SU CARRO </t>
  </si>
  <si>
    <t>Sustento de pago PPC - OTROS: EN BASE A 350 HOY ABONARA 150 Y EL 16NOV COMPLETARA 200</t>
  </si>
  <si>
    <t xml:space="preserve">Sustento de pago PPC - OTROS: EN BASE A 500 EL VIERNES 22 ENERO ABONARA 200 Y EL 30 LA DIFERENCIA </t>
  </si>
  <si>
    <t>Sustento de pago PPC - OTROS: en base a 700 paga hoy jueves 2 monto de 100 y el 15 de julio la diferencia de 600</t>
  </si>
  <si>
    <t xml:space="preserve">Sustento de pago PPC - OTROS: EN BASE A 850 EL SABADO 17OCT PAGARA 425 Y EL 24OCT COMPLETARA LOS 425 </t>
  </si>
  <si>
    <t xml:space="preserve">Sustento de pago PPC - OTROS: EN BASE A 922 HOY VIERNES ADELANTARA 300 Y LA DIFERENCIA TERMINARA FIN DE MES </t>
  </si>
  <si>
    <t>Sustento de pago PPC - OTROS: en efectivo</t>
  </si>
  <si>
    <t>Sustento de pago PPC - OTROS: en la cede de huancayo  / HORARIO DE PAGO: Tarde</t>
  </si>
  <si>
    <t>Sustento de pago PPC - OTROS: en la mañana realizara el pago trabaja vende ceviche 923420515 incumplio or que no tenia tiempo y tienen gastos</t>
  </si>
  <si>
    <t>Sustento de pago PPC - OTROS: en la semana lo que reuna ira adelantando el pago / HORARIO DE PAGO: Tarde</t>
  </si>
  <si>
    <t>Sustento de pago PPC - OTROS: EN LA TARDE CANCELA SOLICITA CARTA PARA MAÑANA LO NESECITA</t>
  </si>
  <si>
    <t>Sustento de pago PPC - OTROS: en mano 300 diferencia 100 el 15</t>
  </si>
  <si>
    <t>Sustento de pago PPC - OTROS: en mano 700 es independiente conseguira lo restante</t>
  </si>
  <si>
    <t>Sustento de pago PPC - OTROS: encargada de pago ind que cumplira con pago asignado por sandy</t>
  </si>
  <si>
    <t xml:space="preserve">Sustento de pago PPC - OTROS: encargada de pago sra. Carla stany Muñoz Garcia no quiso brindar dni realizara el pago por la mañana </t>
  </si>
  <si>
    <t xml:space="preserve">Sustento de pago PPC - OTROS: encargada erlinda saldaña torres mama </t>
  </si>
  <si>
    <t>Sustento de pago PPC - OTROS: encargada esposa Ursula se hara cargo de pagar</t>
  </si>
  <si>
    <t>Sustento de pago PPC - OTROS: encargada heydi pancco mamani esposa</t>
  </si>
  <si>
    <t xml:space="preserve">Sustento de pago PPC - OTROS: ENCARGADA HIJA KARLA DOMINGUEZ CON DNI 48332511 QUE EL TT ESTA DELICADO DE SALUD CON COVID Y CON LA APROVACION DE LA EXCEPCION DE 2000 SOLES EL DIA 27 DE JUNIO ABONA 200 Y EL DIA 30 RESTANTE PAGA 1800 </t>
  </si>
  <si>
    <t>Sustento de pago PPC - OTROS: encargada Maximidad Concha se brindo cta bcp</t>
  </si>
  <si>
    <t>Sustento de pago PPC - OTROS: ENCARGADA VA ASERCE CARGO DE LA DEUDA Y NOS DICE Q POR LA ZONA NO SE ESCUCHA BIEN PAGARA EN 14 500 O 700 Y LO RESTANTE A FIN DE MES DEL 29 ENCARGADA NORMA TRINIDAD ESPINOZA</t>
  </si>
  <si>
    <t>Sustento de pago PPC - OTROS: encargado Cesar ind que por horario de trabajo no puede hacer el pago mañana sin falta pagara</t>
  </si>
  <si>
    <t>Sustento de pago PPC - OTROS: ENCARGADO DE PAGO ID QUE PAGARÁ 50.00 EL 15.03 Y 550.00 EL 27.03  / HORARIO DE PAGO: Tarde</t>
  </si>
  <si>
    <t>Sustento de pago PPC - OTROS: encargado de pago william Garcia Reyes dni 46528545</t>
  </si>
  <si>
    <t xml:space="preserve">Sustento de pago PPC - OTROS: ENCARGADO PAGAR </t>
  </si>
  <si>
    <t xml:space="preserve">Sustento de pago PPC - OTROS: engorde ganado vacuno se encuentra en ICA va viajar </t>
  </si>
  <si>
    <t>Sustento de pago PPC - OTROS: enviar acuerdo a correo</t>
  </si>
  <si>
    <t xml:space="preserve">Sustento de pago PPC - OTROS: enviar acuerdo a correo le llego sms con dscto se fue la ficha </t>
  </si>
  <si>
    <t>Sustento de pago PPC - OTROS: enviar acuerdo por correo</t>
  </si>
  <si>
    <t>Sustento de pago PPC - OTROS: enviar acuerdo via wsp</t>
  </si>
  <si>
    <t xml:space="preserve">Sustento de pago PPC - OTROS: enviar compromiso a correo </t>
  </si>
  <si>
    <t>Sustento de pago PPC - OTROS: enviar compromiso a correo abudenengmailcom</t>
  </si>
  <si>
    <t>Sustento de pago PPC - OTROS: enviar cta bcp x wsp</t>
  </si>
  <si>
    <t>Sustento de pago PPC - OTROS: enviar cta de los andes por wsp</t>
  </si>
  <si>
    <t>Sustento de pago PPC - OTROS: enviar cta de pro por wsp</t>
  </si>
  <si>
    <t>Sustento de pago PPC - OTROS: enviar inf 972300577</t>
  </si>
  <si>
    <t xml:space="preserve">Sustento de pago PPC - OTROS: ENVIARA A UN FAMILIAR A CANCELAR </t>
  </si>
  <si>
    <t xml:space="preserve">Sustento de pago PPC - OTROS: erriquezegarra hotmail com  ppc 3600 </t>
  </si>
  <si>
    <t>Sustento de pago PPC - OTROS: ES CHATARRERO IRA AMORTIZANDO SEGUN SUS POSIBILDADES HASTA CANCELAR FDM</t>
  </si>
  <si>
    <t xml:space="preserve">Sustento de pago PPC - OTROS: es independiente 500 par como adelanto para dia lunes por la tarde </t>
  </si>
  <si>
    <t xml:space="preserve">Sustento de pago PPC - OTROS: es la ultima cuota de su pago y con eso cancelaria la deuda  sacado en base de excel q me brinda mariangela </t>
  </si>
  <si>
    <t>Sustento de pago PPC - OTROS: es mayor de edad tien 70 años pagara el 20 por que su sobrino lo hara el deposito</t>
  </si>
  <si>
    <t>Sustento de pago PPC - OTROS: es mototaxista reunira el dinero</t>
  </si>
  <si>
    <t xml:space="preserve">Sustento de pago PPC - OTROS: ESPERA DE PAGO </t>
  </si>
  <si>
    <t>Sustento de pago PPC - OTROS: espera de pago  comerciante  campaña correo 537  su otro numero 927872757</t>
  </si>
  <si>
    <t xml:space="preserve">Sustento de pago PPC - OTROS: ESPERA DE PAGO 1600 INTERESADO </t>
  </si>
  <si>
    <t>Sustento de pago PPC - OTROS: ESPERA DE PAGO COMERCIANTE CAMPAÑA 537  TIENE DEUDA EN OTRAS ENTIDADES</t>
  </si>
  <si>
    <t>Sustento de pago PPC - OTROS: ESPERA DE PAGO DE FACTURA DEL ESTADO</t>
  </si>
  <si>
    <t>Sustento de pago PPC - OTROS: espera de un deposito monto 110 penalidad</t>
  </si>
  <si>
    <t xml:space="preserve">Sustento de pago PPC - OTROS: espera de un pago 105 </t>
  </si>
  <si>
    <t>Sustento de pago PPC - OTROS: espera de un pago para el 13 seguro</t>
  </si>
  <si>
    <t xml:space="preserve">Sustento de pago PPC - OTROS: espera pago </t>
  </si>
  <si>
    <t>Sustento de pago PPC - OTROS: espera pago hasta el sabado</t>
  </si>
  <si>
    <t xml:space="preserve">Sustento de pago PPC - OTROS: espera un dinero que le deben lo hara a fin de mes </t>
  </si>
  <si>
    <t xml:space="preserve">Sustento de pago PPC - OTROS: ESPERANDO UNS COBRANZA  200 EL DIA 14 DEL 07 PARA EL DIA 18 DEL 07 UN IMP DE 2800 Y EN FIN DE MES 3000 SOLES </t>
  </si>
  <si>
    <t xml:space="preserve">Sustento de pago PPC - OTROS: esposa   de tt se hace cargo de la deuna vanesa quispe abiles  dni 48044179  se acerca  a las 11 am </t>
  </si>
  <si>
    <t>Sustento de pago PPC - OTROS: esposa  NORMA ROJAS  LIMA  se da  cancel 800 pide  plazo para reunir  y  poder  viajar / HORARIO DE PAGO: Tarde</t>
  </si>
  <si>
    <t>Sustento de pago PPC - OTROS: esposa cancelara 620 / HORARIO DE PAGO: Mañana</t>
  </si>
  <si>
    <t>Sustento de pago PPC - OTROS: esposa Damaris se hara cargo</t>
  </si>
  <si>
    <t xml:space="preserve">Sustento de pago PPC - OTROS: esposa de tt   sandra alberca alberca  dni 02826377  se  hace cargo de la deuda  939626709 llamar a la 1 pm </t>
  </si>
  <si>
    <t>Sustento de pago PPC - OTROS: ESPOSA DE TT SRA GIOVANNA CONFIRMA CON TT CANCELACION</t>
  </si>
  <si>
    <t>Sustento de pago PPC - OTROS: ESPOSA DE TT SRA ROXANA LOPEZ CHOQUECONDOR  48020031 ABONARA SALD DEUDA EL 1909 EN BANCO DE NACION CON VENTA DE PRODUCTOS CON ELLO LIQUIDARA NO SABE NADA DE ESPOSO YA QUE ESTA DE VIAJE POR ELLO ESTA SUMIENDO DEUDA</t>
  </si>
  <si>
    <t xml:space="preserve">Sustento de pago PPC - OTROS: ESPOSA DE TT TUVO PROBLEMAS CO GIRO DE DINERO </t>
  </si>
  <si>
    <t>Sustento de pago PPC - OTROS: esposa jessica llerena se hara responsable y pagara con sueldo</t>
  </si>
  <si>
    <t xml:space="preserve">Sustento de pago PPC - OTROS: esposa katerin cancela entre hoy o mañana </t>
  </si>
  <si>
    <t>Sustento de pago PPC - OTROS: esposa marianela tiene en mano 500 conseguira diferencia</t>
  </si>
  <si>
    <t>Sustento de pago PPC - OTROS: esposa mary juli dice que solo consiguien 100 pagara el 09 y diferencia hasta el 30</t>
  </si>
  <si>
    <t>Sustento de pago PPC - OTROS: Esposa Melisa Ordinola pagra con afp d tt enviar cta bcp</t>
  </si>
  <si>
    <t>Sustento de pago PPC - OTROS: esposa respondable maria ramos celis DNI 45703592</t>
  </si>
  <si>
    <t>Sustento de pago PPC - OTROS: ESPOSA SRA OLIVIA CALDERON SILVA CANCELARA TT EN CHILE</t>
  </si>
  <si>
    <t>Sustento de pago PPC - OTROS: esposa sra patricia ramirez de toledo encargada de realizar los pagos asegura que para el 15 esta contando con dinero</t>
  </si>
  <si>
    <t>Sustento de pago PPC - OTROS: ESPOSA TEOFILA JULIAN FERNANDEZ CON DNI 25544579 ME INFORMA QUE EL DIA 09 DE JULIO PAGARA 300 SOLES Y LOS 350 PAGARA EL DIA 31 JULIO ME INDICA EL NUNMERO DE SU HIJA BRENDA 990515839 YA QUE LA ESPOSA NO TIENE TELF PERSONAL</t>
  </si>
  <si>
    <t xml:space="preserve">Sustento de pago PPC - OTROS: ESPOSO BILARDO ALIAGA CASTAÑEDA RESP  EL 21 MONTO 100 Y EL 24 MONTO DE 40  TOTAL 140 </t>
  </si>
  <si>
    <t xml:space="preserve">Sustento de pago PPC - OTROS: esposo cancela con 600 </t>
  </si>
  <si>
    <t>Sustento de pago PPC - OTROS: esposo Claudio esta ala espera de su pago</t>
  </si>
  <si>
    <t xml:space="preserve">Sustento de pago PPC - OTROS: Esposo converso con Mayra indica que lunes esta llegando a lima pero tal vez le toma un tiempo y pagara el dia 28 de agosto </t>
  </si>
  <si>
    <t xml:space="preserve">Sustento de pago PPC - OTROS: esposo d tt con dni 40503826 juan mamani pagara deuda d tt </t>
  </si>
  <si>
    <t>Sustento de pago PPC - OTROS: ESPOSO DARA DINERO</t>
  </si>
  <si>
    <t>Sustento de pago PPC - OTROS: ESPOSO DE TT ARNALDO ALVAREZ TIENE LA SOLVENCIA PARA CANCELAR LA DEUDA DE SU ESPOSA POR 170 EL DIA SABADO 27 JUNIO</t>
  </si>
  <si>
    <t xml:space="preserve">Sustento de pago PPC - OTROS: ESPOSO DE TT CANCELARA 10674695 JULIO CESARNUÑEZ GONZALES CON AFP </t>
  </si>
  <si>
    <t>Sustento de pago PPC - OTROS: Esposo de tt... Sr. ISAIAS NAHUM CAMPOS PEREZ.. con DNI.. 47026819.. encargado de obligacion brinda contrapropuesta cnceara con 300 soles.</t>
  </si>
  <si>
    <t>Sustento de pago PPC - OTROS: Esposo Gilmar Camacho Soria llego sms con dscto</t>
  </si>
  <si>
    <t xml:space="preserve">Sustento de pago PPC - OTROS: Esposo gustavo carbajal indica que se hara cargo de la deuda cancelara con 771 70 se le enviara correo con acuerdo de pago gcarbajal2011 hotmail com </t>
  </si>
  <si>
    <t>Sustento de pago PPC - OTROS: Esposo JOAN con numero 917212679 se compromete a pagar el dia 12 menciona que la Srta ANALISTA NO LE DIO EL VOUCHER PERO LE DEVOLVIO EL DINERO. cosa que la esposa no nos habia dicho. dice ahora no poder pagar por que estan viajando a chiclayo. a las 3 pm   / HORARIO DE PAGO: Mañana</t>
  </si>
  <si>
    <t>Sustento de pago PPC - OTROS: esposo Jose mañana recibe su pago se envia nro de cta bcp x wsp</t>
  </si>
  <si>
    <t xml:space="preserve">Sustento de pago PPC - OTROS: ESPOSO JOSE RAUL POROPUNA UCHARO DNI 48238319 INDICA QUE MAÑANA ABONA 200 SOLES 04 DE JULIO Y EL DIA 27 DE JULIO EL RESTANTE </t>
  </si>
  <si>
    <t>Sustento de pago PPC - OTROS: Esposo la ayudará con el pago ahora se encuentran fuera de la ciudad</t>
  </si>
  <si>
    <t xml:space="preserve">Sustento de pago PPC - OTROS: ESPOSO LE DEPOSITA EL 10 Y PAGA EL 11 </t>
  </si>
  <si>
    <t>Sustento de pago PPC - OTROS: ESPOSO LUI ADEIR FLORES ROMAN SE HARA CARGO DE LA DEUDA DE SU ESPOSA ESPRANDO SU PAGO DE PLANILLA</t>
  </si>
  <si>
    <t xml:space="preserve">Sustento de pago PPC - OTROS: esposo pagara </t>
  </si>
  <si>
    <t>Sustento de pago PPC - OTROS: ESPOSO RESPONSABLE WILSON NUNTA RUIZ. DNI 80581471... SE DIO MONTO DE 600. PAGARA MAÑANA 50 SOLES EN AGENTE BCP Y LO RESTANTE EL 30.01</t>
  </si>
  <si>
    <t>Sustento de pago PPC - OTROS: Esposo Wilber pagara mñn 335 y diferencua hasta el 27  con su afp apoyara a su esposa</t>
  </si>
  <si>
    <t xml:space="preserve">Sustento de pago PPC - OTROS: esposos se encarga del pago grabacion </t>
  </si>
  <si>
    <t xml:space="preserve">Sustento de pago PPC - OTROS: esta a la espera d un pago entre hoy 10 y 11 d agosto </t>
  </si>
  <si>
    <t>Sustento de pago PPC - OTROS: esta a la espera de deposito de prestamo de familiar contara ccon dinero co seguridad 10 o antes</t>
  </si>
  <si>
    <t xml:space="preserve">Sustento de pago PPC - OTROS: ESTA COMIENZA A LABORAR </t>
  </si>
  <si>
    <t xml:space="preserve">Sustento de pago PPC - OTROS: ESTA EN AISLAMIENTO PAGA EL 28 </t>
  </si>
  <si>
    <t>Sustento de pago PPC - OTROS: esta en una zona rural baja fines se le informa deuda manimo 130 oficiana chanchamayo junin / HORARIO DE PAGO: Tarde</t>
  </si>
  <si>
    <t>Sustento de pago PPC - OTROS: esta esperando un pago</t>
  </si>
  <si>
    <t>Sustento de pago PPC - OTROS: ESTA FUERA DE AYACUCHO LLEGA EL JUEVES</t>
  </si>
  <si>
    <t>Sustento de pago PPC - OTROS: ESTA POR RECIBIR UN DINERO CON ELLO PAGARA</t>
  </si>
  <si>
    <t>Sustento de pago PPC - OTROS: esta reuniendo el dinero</t>
  </si>
  <si>
    <t>Sustento de pago PPC - OTROS: esta reuniendo el dinero 25 de junio va pagar 100 y el 30 de junio 510     total 610    bcp</t>
  </si>
  <si>
    <t>Sustento de pago PPC - OTROS: esta trabajando enviar cta bcp pagara pm</t>
  </si>
  <si>
    <t>Sustento de pago PPC - OTROS: estaba de viaje envia ubicacion por wsp indica que llega el sabado y paga el lunes</t>
  </si>
  <si>
    <t>Sustento de pago PPC - OTROS: Estara acercandose a la oficina de huancayo importe de 180 soles dice que ira solo estaba delicada de salud.  / HORARIO DE PAGO: Mediodía</t>
  </si>
  <si>
    <t>Sustento de pago PPC - OTROS: Estara pagando en Juliaca a la 1 aprox Importe 197  / HORARIO DE PAGO: Mañana</t>
  </si>
  <si>
    <t>Sustento de pago PPC - OTROS: Estuvo en el extranjero x eso no pago actualmente empiza a trabajar y a fin de mes pagara 300 pago total</t>
  </si>
  <si>
    <t>Sustento de pago PPC - OTROS: ewsposa carol sacedo dni 08663698  movil 933870635 cancelara 50 el viernes 14 de agosto</t>
  </si>
  <si>
    <t>Sustento de pago PPC - OTROS: excecpion 3500    codigo de recaudo 12604</t>
  </si>
  <si>
    <t xml:space="preserve">Sustento de pago PPC - OTROS: excep 700mañana en caso no pueda hoy </t>
  </si>
  <si>
    <t>Sustento de pago PPC - OTROS: EXCEPCION 100 ULTIMO PAGO</t>
  </si>
  <si>
    <t xml:space="preserve">Sustento de pago PPC - OTROS: excepcion 1000 </t>
  </si>
  <si>
    <t>Sustento de pago PPC - OTROS: excepcion 1030</t>
  </si>
  <si>
    <t xml:space="preserve">Sustento de pago PPC - OTROS: EXCEPCION 1100 </t>
  </si>
  <si>
    <t>Sustento de pago PPC - OTROS: EXCEPCION 1200     FANY CONDORI HUANCAPAZA  RESPONSABLE   987956174 WHATSAPP</t>
  </si>
  <si>
    <t xml:space="preserve">Sustento de pago PPC - OTROS: excepcion 140 va pagar por aplicacion de interbank </t>
  </si>
  <si>
    <t>Sustento de pago PPC - OTROS: EXCEPCION 1500</t>
  </si>
  <si>
    <t>Sustento de pago PPC - OTROS: excepcion 1600</t>
  </si>
  <si>
    <t xml:space="preserve">Sustento de pago PPC - OTROS: EXCEPCION 200   EN LA MAÑANA VA PAGAR </t>
  </si>
  <si>
    <t xml:space="preserve">Sustento de pago PPC - OTROS: excepcion 200 cuenta con el dinero </t>
  </si>
  <si>
    <t xml:space="preserve">Sustento de pago PPC - OTROS: excepcion 2000 </t>
  </si>
  <si>
    <t xml:space="preserve">Sustento de pago PPC - OTROS: EXCEPCION 2000    ASUNCIONA MAGALY GUILLEN TOLEDO NIETA RESPONSABLE </t>
  </si>
  <si>
    <t xml:space="preserve">Sustento de pago PPC - OTROS: EXCEPCION 2000   asignacion base cesado </t>
  </si>
  <si>
    <t xml:space="preserve">Sustento de pago PPC - OTROS: excepcion 220 dinero reunido  hora de pago 4 pm </t>
  </si>
  <si>
    <t xml:space="preserve">Sustento de pago PPC - OTROS: excepcion 2500 </t>
  </si>
  <si>
    <t xml:space="preserve">Sustento de pago PPC - OTROS: excepcion 2600 dinero de su cuenta de ahorro   </t>
  </si>
  <si>
    <t xml:space="preserve">Sustento de pago PPC - OTROS: EXCEPCION 280 </t>
  </si>
  <si>
    <t xml:space="preserve">Sustento de pago PPC - OTROS: excepcion 290 </t>
  </si>
  <si>
    <t>Sustento de pago PPC - OTROS: EXCEPCION 300</t>
  </si>
  <si>
    <t xml:space="preserve">Sustento de pago PPC - OTROS: excepcion 3000 </t>
  </si>
  <si>
    <t xml:space="preserve">Sustento de pago PPC - OTROS: excepcion 320 </t>
  </si>
  <si>
    <t xml:space="preserve">Sustento de pago PPC - OTROS: excepcion 370 </t>
  </si>
  <si>
    <t xml:space="preserve">Sustento de pago PPC - OTROS: Excepcion 3700 </t>
  </si>
  <si>
    <t xml:space="preserve">Sustento de pago PPC - OTROS: excepcion 400 </t>
  </si>
  <si>
    <t>Sustento de pago PPC - OTROS: EXCEPCION 400  SOLICITA COMPROMISO DE PAGO   DISCADOR</t>
  </si>
  <si>
    <t>Sustento de pago PPC - OTROS: EXCEPCION 4000   Zenaido Vargas Alarcon hijo responsable DNI 46787683</t>
  </si>
  <si>
    <t xml:space="preserve">Sustento de pago PPC - OTROS: EXCEPCION 500 </t>
  </si>
  <si>
    <t xml:space="preserve">Sustento de pago PPC - OTROS: excepcion 500    mediodia enviar compromiso de pago a su correo </t>
  </si>
  <si>
    <t>Sustento de pago PPC - OTROS: excepcion 500 BCP</t>
  </si>
  <si>
    <t xml:space="preserve">Sustento de pago PPC - OTROS: excepcion 5000  </t>
  </si>
  <si>
    <t>Sustento de pago PPC - OTROS: EXCEPCION 600</t>
  </si>
  <si>
    <t xml:space="preserve">Sustento de pago PPC - OTROS: EXCEPCION 600     EL 19 VA PAGAR 300 Y EL 24 LA DIFERENCIA 300 </t>
  </si>
  <si>
    <t xml:space="preserve">Sustento de pago PPC - OTROS: excepcion 700 </t>
  </si>
  <si>
    <t xml:space="preserve">Sustento de pago PPC - OTROS: EXCEPCION 700   BCP O  INTERBANK </t>
  </si>
  <si>
    <t xml:space="preserve">Sustento de pago PPC - OTROS: EXCEPCION 800 </t>
  </si>
  <si>
    <t xml:space="preserve">Sustento de pago PPC - OTROS: EXCEPCION 8500  </t>
  </si>
  <si>
    <t>Sustento de pago PPC - OTROS: excepcion 900</t>
  </si>
  <si>
    <t xml:space="preserve">Sustento de pago PPC - OTROS: excepcion anterior campaña 300 </t>
  </si>
  <si>
    <t>Sustento de pago PPC - OTROS: excepcion aprobada</t>
  </si>
  <si>
    <t xml:space="preserve">Sustento de pago PPC - OTROS: excepcion aprobada  ppc 65 </t>
  </si>
  <si>
    <t xml:space="preserve">Sustento de pago PPC - OTROS: excepcion aprobada ahorros audio carpeta </t>
  </si>
  <si>
    <t xml:space="preserve">Sustento de pago PPC - OTROS: EXCEPCION APROBADA CONFIRMA PAGO PARA EL DIA 31 AGOSTO </t>
  </si>
  <si>
    <t>Sustento de pago PPC - OTROS: EXCEPCION APROBADA IMPORTE 20.200 Soles / HORARIO DE PAGO: Tarde</t>
  </si>
  <si>
    <t xml:space="preserve">Sustento de pago PPC - OTROS: Excepcion aprobada SR Francisco confirma pago para el dia lunes </t>
  </si>
  <si>
    <t xml:space="preserve">Sustento de pago PPC - OTROS: excepcion aprobada TT cancelara entre 2 a 3 de la tarde </t>
  </si>
  <si>
    <t>Sustento de pago PPC - OTROS: EXCEPCION APROBADA TT COMENTA QUE MAÑANA HACE PAGO YA GRABACION</t>
  </si>
  <si>
    <t>Sustento de pago PPC - OTROS: excepcion aprobada tt menciona que el dia de  hoy se esta acercando ppc de 600</t>
  </si>
  <si>
    <t>Sustento de pago PPC - OTROS: excepción aprobado  400 soles  HOY ABONA 100 SOLES Y LA DIFERENCIA 300 SOLES   EL 15 / HORARIO DE PAGO: Mañana</t>
  </si>
  <si>
    <t>Sustento de pago PPC - OTROS: EXCEPCION MONTO 1500   CUENTA BCP</t>
  </si>
  <si>
    <t>Sustento de pago PPC - OTROS: excepcion por 3000 dinero reunido  hora 11am  solicita compromiso de pago</t>
  </si>
  <si>
    <t xml:space="preserve">Sustento de pago PPC - OTROS: excepcion por 4000    el 02 monto 2000 y el 16 monto 2000 </t>
  </si>
  <si>
    <t>Sustento de pago PPC - OTROS: EXCEPION 1600   RESPONSABLE PAUL YERBA QUISPE</t>
  </si>
  <si>
    <t>Sustento de pago PPC - OTROS: EXCPECION APROBANDA 3000 SOLES    / HORARIO DE PAGO: Mañana / CANAL ENVIO - LLAMADA</t>
  </si>
  <si>
    <t xml:space="preserve">Sustento de pago PPC - OTROS: expeccion  aprobada  PPC  331 </t>
  </si>
  <si>
    <t>Sustento de pago PPC - OTROS: factura de corporacion de empresa</t>
  </si>
  <si>
    <t xml:space="preserve">Sustento de pago PPC - OTROS: familar le apoyara con dinero </t>
  </si>
  <si>
    <t>Sustento de pago PPC - OTROS: FAMILIAR DE TT IRÁ A AGENCIA A REALIZAR PAGO DE 350.00 / HORARIO DE PAGO: Tarde</t>
  </si>
  <si>
    <t>Sustento de pago PPC - OTROS: Familiar para quien sacó el dinero recibirá pago de trabajo</t>
  </si>
  <si>
    <t>Sustento de pago PPC - OTROS: familiar realizara pago por titular por que es de la tercera edad</t>
  </si>
  <si>
    <t>Sustento de pago PPC - OTROS: Familiar Sra Diana Lindo  Sr Oscar Lindo responsable de pagos</t>
  </si>
  <si>
    <t xml:space="preserve">Sustento de pago PPC - OTROS: Financiera oh le indicara que la cuenta fue vendida a expertis el jueves y hay cancelara. </t>
  </si>
  <si>
    <t>Sustento de pago PPC - OTROS: frank salcedo realizara pago</t>
  </si>
  <si>
    <t>Sustento de pago PPC - OTROS: GANANCIA DE NEGOCIO</t>
  </si>
  <si>
    <t>Sustento de pago PPC - OTROS: genera pago de segunda cuota del acuerdo obtenido bajo exepcion</t>
  </si>
  <si>
    <t>Sustento de pago PPC - OTROS: graabcion reprogramiento</t>
  </si>
  <si>
    <t xml:space="preserve">Sustento de pago PPC - OTROS: GRABACION </t>
  </si>
  <si>
    <t xml:space="preserve">Sustento de pago PPC - OTROS: GRABACION  QUINCENA ABONARA 100 SOLES  RESTANTE FIN DE MES </t>
  </si>
  <si>
    <t xml:space="preserve">Sustento de pago PPC - OTROS: GRABACION AHORROS </t>
  </si>
  <si>
    <t xml:space="preserve">Sustento de pago PPC - OTROS: GRABACION ULTIMA CUOTA </t>
  </si>
  <si>
    <t>Sustento de pago PPC - OTROS: gratificacion</t>
  </si>
  <si>
    <t>Sustento de pago PPC - OTROS: hara el deposito de 200 lunes y los 625 los hara el dia lunes 15 recibe el pago de su sueldo / HORARIO DE PAGO: Mañana</t>
  </si>
  <si>
    <t>Sustento de pago PPC - OTROS: hara todo lo posible para reunir hasta  fecha</t>
  </si>
  <si>
    <t>Sustento de pago PPC - OTROS: hector alex barrantes apaza  dni 46264833</t>
  </si>
  <si>
    <t xml:space="preserve">Sustento de pago PPC - OTROS: heman ledara dinero para pagr </t>
  </si>
  <si>
    <t>Sustento de pago PPC - OTROS: HENRRY RODRIGUEZ HIJO RESPONSABLE DE PAGO PAGARA100 HOY 25</t>
  </si>
  <si>
    <t>Sustento de pago PPC - OTROS: HERMANA DE LA TITULAR SE HARA CARGO DE LA DEUDA PAGRA EL 29 POR LA TARDE / HORARIO DE PAGO: Tarde</t>
  </si>
  <si>
    <t>Sustento de pago PPC - OTROS: hermana de tt se agenciara dinero para pagar acuerdo</t>
  </si>
  <si>
    <t xml:space="preserve">Sustento de pago PPC - OTROS: hermana le hara el pago </t>
  </si>
  <si>
    <t>Sustento de pago PPC - OTROS: HERMANA NELLY LE APOYARA A TT Y EL LUNES 16 CANCELARA 1500</t>
  </si>
  <si>
    <t>Sustento de pago PPC - OTROS: hermana responssable del pago</t>
  </si>
  <si>
    <t xml:space="preserve">Sustento de pago PPC - OTROS: hermano de tt JERSON DIEGO TITO GUZMAN CON DNI 41980491 Se hara cargo de obligacion  cuenta con 400 soles en mano ya que quiere ayudar a cancelar deuda  se enviara acuerdo </t>
  </si>
  <si>
    <t>Sustento de pago PPC - OTROS: HERMANO PRESTARA DINERO DE 400 TALVEZ LO REALIZA ANTES   EXCEPCION</t>
  </si>
  <si>
    <t xml:space="preserve">Sustento de pago PPC - OTROS: hermano prestara dinero mañana a las 4 </t>
  </si>
  <si>
    <t xml:space="preserve">Sustento de pago PPC - OTROS: HIJA APOYARA 972783278 </t>
  </si>
  <si>
    <t>Sustento de pago PPC - OTROS: hija Clara Soplopuco cancelara deuda se enviara cta bcp</t>
  </si>
  <si>
    <t xml:space="preserve">Sustento de pago PPC - OTROS: HIJA DE CLIENTA COMUNICA QUE EL DIA DE HOY ESTA CANCELANDO LA DEUDA ELLA ES LA ENCARGADA DE PAHGOS YA QUE SU MAMA ES UNA PERSONA MAYOR. </t>
  </si>
  <si>
    <t>Sustento de pago PPC - OTROS: hija de tt maria candelaria se comunica</t>
  </si>
  <si>
    <t xml:space="preserve">Sustento de pago PPC - OTROS: hija del tt se prestara dinero ya que es mayor de edad y no tiene ingresos economicos  llamo desde el mes pasado </t>
  </si>
  <si>
    <t xml:space="preserve">Sustento de pago PPC - OTROS: HIJA MARISOL ES LA ENCARGADA DE EL PAGO YA Q SU MAMI ESTA DELICADA 300 Y CON ESO CANCELA </t>
  </si>
  <si>
    <t>Sustento de pago PPC - OTROS: hija respobsable abona 50 el día 21 y dif el 30</t>
  </si>
  <si>
    <t xml:space="preserve">Sustento de pago PPC - OTROS: HIJA RESPONSABLE PAGO DE 500 </t>
  </si>
  <si>
    <t xml:space="preserve">Sustento de pago PPC - OTROS: hija se hara cargo de la deuda  Glenda Espinoza Arguedas </t>
  </si>
  <si>
    <t>Sustento de pago PPC - OTROS: hijo ALEXANDER HUAYHUA  44057462 CAMP 987 SMS SOLICITA CONTATO DE CANCELACION CORREO alexanderhuayhua499 gmail com</t>
  </si>
  <si>
    <t xml:space="preserve">Sustento de pago PPC - OTROS: hijo antonio  realizara el pago en el transcurso de la semana mas tardar el día 14 de agosto </t>
  </si>
  <si>
    <t>Sustento de pago PPC - OTROS: Hijo Carlos Amaya Alvarado se hará responsable de deuda relizará pago con gratificación que recibirá mañana 15</t>
  </si>
  <si>
    <t xml:space="preserve">Sustento de pago PPC - OTROS: hijo d tt le depositara </t>
  </si>
  <si>
    <t xml:space="preserve">Sustento de pago PPC - OTROS: hijo de tt encargado de pago se realizo compromiso se le envia notif. </t>
  </si>
  <si>
    <t>Sustento de pago PPC - OTROS: hijo de tt numero de wsp 925375954 / HORARIO DE PAGO: Tarde</t>
  </si>
  <si>
    <t>Sustento de pago PPC - OTROS: HIJO DE TT SR SEVERINO HARÁ PAGO A LAS 4 PM. IMPORTE DE 250.00 BAJO EXCEPCION MEDIANTE EL BANCO BCP  / HORARIO DE PAGO: Tarde</t>
  </si>
  <si>
    <t xml:space="preserve">Sustento de pago PPC - OTROS: Hijo encargado Gaudencio con dni 32640008 indica que tiene el monto 200 soles para que cancele mañana </t>
  </si>
  <si>
    <t>Sustento de pago PPC - OTROS: hijo le asefuro que le daria el dinero para el 15</t>
  </si>
  <si>
    <t xml:space="preserve">Sustento de pago PPC - OTROS: hijo tiene el dinero por aplicacion bcp 120 </t>
  </si>
  <si>
    <t>Sustento de pago PPC - OTROS: HIJO YOMER ABONO 50 EL DÍA DE HOY PARA ACTIVACIÓN DE CAMPAÑA A FIN DE MES  / HORARIO DE PAGO: Mañana</t>
  </si>
  <si>
    <t>Sustento de pago PPC - OTROS: hja enc hara pago desea venir de mznwra presecial el lunes y ese dia opagara  / HORARIO DE PAGO: Mediodía</t>
  </si>
  <si>
    <t xml:space="preserve">Sustento de pago PPC - OTROS: Hoy a las 4PM abonará 50 soles y la diferencia el dia 29 de enero PM menciona que tiene una pequeña tienda de abarrotes </t>
  </si>
  <si>
    <t>Sustento de pago PPC - OTROS: hoy abona 100 y diferencia fin de mes</t>
  </si>
  <si>
    <t>Sustento de pago PPC - OTROS: Hoy abonará 50 soles y el dia 30 abonará 550 de dinero de trabajo tt se encuentra en Pucallpa</t>
  </si>
  <si>
    <t>Sustento de pago PPC - OTROS: hoy adelanta 285</t>
  </si>
  <si>
    <t>Sustento de pago PPC - OTROS: hoy adelanta 365 y diferencia el 30</t>
  </si>
  <si>
    <t>Sustento de pago PPC - OTROS: hoy adelanta 50 dice que tiene unos cobros pendientes</t>
  </si>
  <si>
    <t xml:space="preserve">Sustento de pago PPC - OTROS: hoy adelanta los 500 soles y mañana lo restante </t>
  </si>
  <si>
    <t xml:space="preserve">Sustento de pago PPC - OTROS: hoy genera adelanto </t>
  </si>
  <si>
    <t xml:space="preserve">Sustento de pago PPC - OTROS: hoy le abonan menciona si no abona hoy a mas tardar el dia viernes </t>
  </si>
  <si>
    <t>Sustento de pago PPC - OTROS: hoy tiene 430 y difer el 31</t>
  </si>
  <si>
    <t>Sustento de pago PPC - OTROS: id q le pagan de manera semana pagara 100 soles semanales y el fin de mes completa los 350 soles</t>
  </si>
  <si>
    <t xml:space="preserve">Sustento de pago PPC - OTROS: id que le llego campaña en junio no pago le robaron el telefono se acerca mañana a qapaq de enmacipacion </t>
  </si>
  <si>
    <t xml:space="preserve">Sustento de pago PPC - OTROS: id que no le mandaron numero de cuenta completa cantidad abono de 100 mañana </t>
  </si>
  <si>
    <t>Sustento de pago PPC - OTROS: Importe 2000  / HORARIO DE PAGO: Mañana</t>
  </si>
  <si>
    <t>Sustento de pago PPC - OTROS: INB / HORARIO DE PAGO: Mañana</t>
  </si>
  <si>
    <t>Sustento de pago PPC - OTROS: INBOUD ASIGNADO</t>
  </si>
  <si>
    <t>Sustento de pago PPC - OTROS: inboud whats</t>
  </si>
  <si>
    <t>Sustento de pago PPC - OTROS: INBOUND</t>
  </si>
  <si>
    <t xml:space="preserve">Sustento de pago PPC - OTROS: inbound  asignado melina </t>
  </si>
  <si>
    <t>Sustento de pago PPC - OTROS: inbound  mayra</t>
  </si>
  <si>
    <t xml:space="preserve">Sustento de pago PPC - OTROS: INBOUND 348 CAPTURA </t>
  </si>
  <si>
    <t>Sustento de pago PPC - OTROS: inbound asignado pagara hoy 650</t>
  </si>
  <si>
    <t xml:space="preserve">Sustento de pago PPC - OTROS: inbound asignado por melina </t>
  </si>
  <si>
    <t xml:space="preserve">Sustento de pago PPC - OTROS: INBOUND DE MARIANGELA cliente cancela deuda con importe de sms </t>
  </si>
  <si>
    <t xml:space="preserve">Sustento de pago PPC - OTROS: inbound mayra por 533 </t>
  </si>
  <si>
    <t xml:space="preserve">Sustento de pago PPC - OTROS: INBUND ASIGANDO POR MARIANGELA </t>
  </si>
  <si>
    <t>Sustento de pago PPC - OTROS: ind que el dia 30 le van a pagar su sueldo</t>
  </si>
  <si>
    <t xml:space="preserve">Sustento de pago PPC - OTROS: ind que ha sido despedido de su trabajo por que dio positivo del covid solo disp de 300 soles y mejora hasta el min 2 </t>
  </si>
  <si>
    <t xml:space="preserve">Sustento de pago PPC - OTROS: IND QUE NO PAGO POR QUE ESTABA FUERA D ELA CIUDAD PERO PAÑANA EN GTRANS DEL DIA ESTARA PAGANDO </t>
  </si>
  <si>
    <t xml:space="preserve">Sustento de pago PPC - OTROS: ind que plata hay tiempo no por eso ind pagar el dia 31 del sin falta con 732 </t>
  </si>
  <si>
    <t>Sustento de pago PPC - OTROS: ind que tuvo retraso een su pago se ind que de no pagar se cobrara en base al dt 1370</t>
  </si>
  <si>
    <t xml:space="preserve">Sustento de pago PPC - OTROS: IND TRAABAJA EN LA VENTAS DEL CATALAGO </t>
  </si>
  <si>
    <t>Sustento de pago PPC - OTROS: INDEPENDIENTE</t>
  </si>
  <si>
    <t>Sustento de pago PPC - OTROS: INDEPENDIENTE 25 Y FIN DE MES</t>
  </si>
  <si>
    <t>Sustento de pago PPC - OTROS: independiente adelanta 200 el 18</t>
  </si>
  <si>
    <t xml:space="preserve">Sustento de pago PPC - OTROS: independiente realiza el pago </t>
  </si>
  <si>
    <t>Sustento de pago PPC - OTROS: INDICA ESTUVO DE VIAJE Y GENERARA CANCE A LA1 TARDE</t>
  </si>
  <si>
    <t xml:space="preserve">Sustento de pago PPC - OTROS: INDICA PAGAR LOS 230 PAGARA 50 EL MVIERNES 10 07 Y EN 31 07 COMPLETA  </t>
  </si>
  <si>
    <t>Sustento de pago PPC - OTROS: indica q realizara el pago por los cachuelos que el hace correofranciscomenrie4gmail.com</t>
  </si>
  <si>
    <t>Sustento de pago PPC - OTROS: INDICA QUE AYER SE LE HIZO TARDE QUE SE ACERCARA EN TRASCURSO DE LA TARDE A DEPOSITAR 500</t>
  </si>
  <si>
    <t>Sustento de pago PPC - OTROS: indica que cancelara 2050 en la tarde</t>
  </si>
  <si>
    <t xml:space="preserve">Sustento de pago PPC - OTROS: INDICA QUE CANCELARA A FIN DE MES  REUNIRA EL DINERO </t>
  </si>
  <si>
    <t>Sustento de pago PPC - OTROS: indica que cuenta con dinero en mano y no pudo realizar su pago por que se encuentra fuera de la ciudad recien estara saliendo el lunes a primera hora</t>
  </si>
  <si>
    <t xml:space="preserve">Sustento de pago PPC - OTROS: indica que cuenta con dinero en mano y que estara cancelando el viernes ya que ahora esta en campo y no puede salir indica que se le envie documento para poder validar ya que requiere de carta de no adeudo </t>
  </si>
  <si>
    <t>Sustento de pago PPC - OTROS: INDICA QUE EL DIA 25 RECIBIRA SU PRESTAMO EL LUNES 26 PAGARA SU DEUDA TOTAL  / HORARIO DE PAGO: Mediodía</t>
  </si>
  <si>
    <t>Sustento de pago PPC - OTROS: indica que el dinero se gasto porque se le perdio el nro de cuenta</t>
  </si>
  <si>
    <t xml:space="preserve">Sustento de pago PPC - OTROS: INDICA QUE EL SABADO 19 ÀGARA 570 DE 9 A 10 AM </t>
  </si>
  <si>
    <t>Sustento de pago PPC - OTROS: indica que el viernes se acerca a agente del banco de la nacion enviar correo por correo marlenisoledadbaquedanocallao@gmail.com</t>
  </si>
  <si>
    <t>Sustento de pago PPC - OTROS: INDICA QUE ESTA A LA ESPERA DE UN DINERO LE PEDIMOS ADELANTO DE 100 SOLES PARA MAÑANA 170720</t>
  </si>
  <si>
    <t xml:space="preserve">Sustento de pago PPC - OTROS: indica que esta acercandose a la ciudad monto 990 indica podria realizarlo el dia de hoy o lunes 18 </t>
  </si>
  <si>
    <t xml:space="preserve">Sustento de pago PPC - OTROS: indica que esta en el teletrabajo y quiere pagar el lunes en la misma caja sullana que no tiene tiempo indica </t>
  </si>
  <si>
    <t xml:space="preserve">Sustento de pago PPC - OTROS: indica que familiar le hara el deposito </t>
  </si>
  <si>
    <t xml:space="preserve">Sustento de pago PPC - OTROS: Indica que lo pagarara 300 soles maximo para el dia viernes. </t>
  </si>
  <si>
    <t>Sustento de pago PPC - OTROS: INDICA QUE MANDO A PAGAR A UN TRABAJADOR LOS 3200 Y NO APARECIO QUE ESTA BISCANDOLO SE LE INDICA QUE SI EN ESTA OCASION NO CUMPLE YA NO LO APOYAREMOS CON EL DESCUENTO DE LOS 3200 PARA EL 30 SEPT</t>
  </si>
  <si>
    <t>Sustento de pago PPC - OTROS: INDICA QUE NO LE LLEGRON A PAGAR QUE VENDERA SU PAPA PÀRA QUE PAGUE HASTA EL MIERCOLES 30 SEP</t>
  </si>
  <si>
    <t>Sustento de pago PPC - OTROS: Indica que no puedo pagar se reprograma para el dia 13</t>
  </si>
  <si>
    <t xml:space="preserve">Sustento de pago PPC - OTROS: Indica que pagara 250 soles 100 soles el dia 14 y 250 el dia 20 indica que esta enl chara esos dias bajara a la ciudad necesita que le enviemos informacion por wsp. </t>
  </si>
  <si>
    <t xml:space="preserve">Sustento de pago PPC - OTROS: INDICA QUE REALIZARA EL PAGO DE 800 EL VIERNES 7 DE AGOSTO </t>
  </si>
  <si>
    <t>Sustento de pago PPC - OTROS: INDICA QUE SE ACERCARA CON LA CARTA DE SESION DE DERECHO A FINANCIERA A VALIDAR EL MARTES 17 Y TAMBIEN CANCELARA  LOS 100</t>
  </si>
  <si>
    <t>Sustento de pago PPC - OTROS: INDICA QUE SE ATRASO POR QUE SE SEPARO DE SU ESPOSA Y ESTUVO EN JUICIO HOY PAGARA 1030</t>
  </si>
  <si>
    <t>Sustento de pago PPC - OTROS: Indica que tiene el dinero en mano pero por falta de tiempo no se  puede acercar a cancelar sino hasta el sabado</t>
  </si>
  <si>
    <t>Sustento de pago PPC - OTROS: indica que ya empezo a trabajar de eso obtendra para que pueda cumplir a fin de mes con su pago</t>
  </si>
  <si>
    <t>Sustento de pago PPC - OTROS: INDICA QUE YA LE EFECTUARON EL DEPÓSITO PAGARÁ PM</t>
  </si>
  <si>
    <t xml:space="preserve">Sustento de pago PPC - OTROS: informa que ayer salio con esposo a prestarse el dinero a una señora la cual le confirmo el dinero para el dia lunes el cual pagara en la tarde </t>
  </si>
  <si>
    <t>Sustento de pago PPC - OTROS: INGRESO DE TRABAJO INDEPENDIENTE</t>
  </si>
  <si>
    <t xml:space="preserve">Sustento de pago PPC - OTROS: IRA A LA OFICNA A PAGAR </t>
  </si>
  <si>
    <t>Sustento de pago PPC - OTROS: irene flores quevedo aval  por motivos de salud no pago familiar dara dinero 15 de junio 200 soles y el dia 30 junio 700 soles</t>
  </si>
  <si>
    <t xml:space="preserve">Sustento de pago PPC - OTROS: jhony gamarra ramirez hermana responsable tiene el dinero en mano </t>
  </si>
  <si>
    <t xml:space="preserve">Sustento de pago PPC - OTROS: josetello4375@gmail.com tt tiene un poco de desconfianza por que ante lo estafaron  es un cliente muy especial quiere revisar su documenteo de compromiso de pago primero para pagar </t>
  </si>
  <si>
    <t xml:space="preserve">Sustento de pago PPC - OTROS: juan alfredo hijo realizara pago hoy </t>
  </si>
  <si>
    <t>Sustento de pago PPC - OTROS: JULIO ENCARGADO FIN DE MES 5000 SI ES ANTES SE COMUNICARA / HORARIO DE PAGO: Mañana</t>
  </si>
  <si>
    <t>Sustento de pago PPC - OTROS: junta</t>
  </si>
  <si>
    <t>Sustento de pago PPC - OTROS: JUNTA 2100  betty rm hotmail com 1000 para 16</t>
  </si>
  <si>
    <t>Sustento de pago PPC - OTROS: JUNTA DE ESTETICA</t>
  </si>
  <si>
    <t>Sustento de pago PPC - OTROS: junta dinero es conductor esposa estuvo enferma</t>
  </si>
  <si>
    <t>Sustento de pago PPC - OTROS: juntara</t>
  </si>
  <si>
    <t>Sustento de pago PPC - OTROS: JUNTARA 400 PPC</t>
  </si>
  <si>
    <t>Sustento de pago PPC - OTROS: juntara del diario de su trabajo independiente</t>
  </si>
  <si>
    <t>Sustento de pago PPC - OTROS: juntara dinero y tratara de pagar por semanas</t>
  </si>
  <si>
    <t xml:space="preserve">Sustento de pago PPC - OTROS: juntara el dinero menciona suspension perfecta </t>
  </si>
  <si>
    <t xml:space="preserve">Sustento de pago PPC - OTROS: juntara hasta fin de mes y tambien pagara a arequipa tambien es independiente </t>
  </si>
  <si>
    <t>Sustento de pago PPC - OTROS: juntara importe se solicita documentos informativos</t>
  </si>
  <si>
    <t>Sustento de pago PPC - OTROS: JUNTARA PARA EL LUENS</t>
  </si>
  <si>
    <t xml:space="preserve">Sustento de pago PPC - OTROS: juntaria el dinero </t>
  </si>
  <si>
    <t>Sustento de pago PPC - OTROS: KAREN HURATADO SALAZAR HIJA RESP  MONTO 50 931087701</t>
  </si>
  <si>
    <t>Sustento de pago PPC - OTROS: la apoyaran economicamente sus hijas</t>
  </si>
  <si>
    <t xml:space="preserve">Sustento de pago PPC - OTROS: la persona que le prestariaq el dinero no  pudo hoy  solo pago 1500  le fataria 450 que deposita a fin de mes </t>
  </si>
  <si>
    <t xml:space="preserve">Sustento de pago PPC - OTROS: LABORA adelanta el dia jueves </t>
  </si>
  <si>
    <t xml:space="preserve">Sustento de pago PPC - OTROS: labora en la provincia castilla menciona que es un campamento indica que si tendria el dinero ya quiere cancelar viajara ese mism dia 30 </t>
  </si>
  <si>
    <t>Sustento de pago PPC - OTROS: LE AYUDARAN A PAGAR</t>
  </si>
  <si>
    <t xml:space="preserve">Sustento de pago PPC - OTROS: le bridaran el dinero y por la tarde realizara el pago </t>
  </si>
  <si>
    <t xml:space="preserve">Sustento de pago PPC - OTROS: LE BRINDARAN DE UN PAGO Q RECIBIRA EN ESTOS DIAS DE UN TRABAJO Q REALIZO </t>
  </si>
  <si>
    <t xml:space="preserve">Sustento de pago PPC - OTROS: le daran el dinero trabajo activo </t>
  </si>
  <si>
    <t xml:space="preserve">Sustento de pago PPC - OTROS: le daran un dinero el dia 09 de julio y con eso cancelaria </t>
  </si>
  <si>
    <t>Sustento de pago PPC - OTROS: le daran un dinero en esa fecha y confirma cancelacion con campaña de descuento</t>
  </si>
  <si>
    <t>Sustento de pago PPC - OTROS: LE DEBEN UN DINERO CON ELLO CANCELARA VIA BCP ENVIAR ACUERDO SE ACORDO CON TT Y CON ENCARGADO FRANKLIN</t>
  </si>
  <si>
    <t xml:space="preserve">Sustento de pago PPC - OTROS: LE DEBEN UN DINERO DE UN TRABAJO CON ELLO PAGARA </t>
  </si>
  <si>
    <t>Sustento de pago PPC - OTROS: le haran un deposito</t>
  </si>
  <si>
    <t>Sustento de pago PPC - OTROS: le indicaron que podia pagar con 250 soles el dia 03 pago 100 soles y 150 soles pagara el dia 28 de agosto para cancelar</t>
  </si>
  <si>
    <t xml:space="preserve">Sustento de pago PPC - OTROS: LE LLEGO EL MSJ DE TEXTO CON DESCUENTO PPC DE 517 </t>
  </si>
  <si>
    <t>Sustento de pago PPC - OTROS: le llego mensaje de cancelar con 129</t>
  </si>
  <si>
    <t xml:space="preserve">Sustento de pago PPC - OTROS: LE LLEGO MSJ CON DESCUENTO  ASIGNADO MELINA </t>
  </si>
  <si>
    <t xml:space="preserve">Sustento de pago PPC - OTROS: le llego msj de descuento </t>
  </si>
  <si>
    <t>Sustento de pago PPC - OTROS: LE LLEGO MSJ DE TEXTO PPC DE 345</t>
  </si>
  <si>
    <t xml:space="preserve">Sustento de pago PPC - OTROS: le llego por msj de descuento  por eso quiere pagar </t>
  </si>
  <si>
    <t>Sustento de pago PPC - OTROS: le llego por msj de texto  madre soltera 2 hijos recien entro a trabajar pedira adelanto para cancelar  solo puede pagare a fin de mes  PPC DE 280  celular 940748940</t>
  </si>
  <si>
    <t xml:space="preserve">Sustento de pago PPC - OTROS: le llego por msj de texto el descuento  cancela 278 hoy </t>
  </si>
  <si>
    <t>Sustento de pago PPC - OTROS: Le llegó SMS a cliente hoy abona 200 y 1539 el dia 30 dinero le prestará su prima</t>
  </si>
  <si>
    <t>Sustento de pago PPC - OTROS: le llego ssms de 60 ahorros</t>
  </si>
  <si>
    <t>Sustento de pago PPC - OTROS: LE OTORGARAN UN CRÉDITO</t>
  </si>
  <si>
    <t xml:space="preserve">Sustento de pago PPC - OTROS: le paga la empresa en q trabaja el 25 d julio </t>
  </si>
  <si>
    <t>Sustento de pago PPC - OTROS: le pagan 15</t>
  </si>
  <si>
    <t>Sustento de pago PPC - OTROS: le pagan de su trabajo el sabado 27 y el lunes 29 hace el pago de 286   campaña sms de mayo</t>
  </si>
  <si>
    <t xml:space="preserve">Sustento de pago PPC - OTROS: le pagan el 14 sobre su trabajo </t>
  </si>
  <si>
    <t>Sustento de pago PPC - OTROS: le pagaran</t>
  </si>
  <si>
    <t>Sustento de pago PPC - OTROS: le pagaran por un trabajo independiente que realizo</t>
  </si>
  <si>
    <t>Sustento de pago PPC - OTROS: LE VAN A DAR UN EFECTIVO EL DIA SABADO</t>
  </si>
  <si>
    <t>Sustento de pago PPC - OTROS: LE VAN A PRESTAR 300</t>
  </si>
  <si>
    <t xml:space="preserve">Sustento de pago PPC - OTROS: LEIVA GARCIA  DANIEL  ENCARGADO DE PAGO  MENCIONA QUE ESTE MES SOLO PUEDE ABONAR 50 SOLES EL MES PASADO NO PUDO REUNIR </t>
  </si>
  <si>
    <t xml:space="preserve">Sustento de pago PPC - OTROS: LIQUIDACION </t>
  </si>
  <si>
    <t>Sustento de pago PPC - OTROS: liquidez</t>
  </si>
  <si>
    <t xml:space="preserve">Sustento de pago PPC - OTROS: LLAMADA A COORPORSTIVO CLIENTE TIENE UN DINERO AHORRADO  Y QUIERE CANCELAR </t>
  </si>
  <si>
    <t xml:space="preserve">Sustento de pago PPC - OTROS: llamada del discador se corto la llamada y se devuelve TT se acogera a la cancelacion con el importe de 996 el dia 20 de julio 2020 celular 993817058 </t>
  </si>
  <si>
    <t xml:space="preserve">Sustento de pago PPC - OTROS: llegara de viaje el dia viernes 3 pm </t>
  </si>
  <si>
    <t>Sustento de pago PPC - OTROS: llego a realizar en la noche   bcp  / HORARIO DE PAGO: Tarde</t>
  </si>
  <si>
    <t>Sustento de pago PPC - OTROS: Lo a programado para que salga el 31</t>
  </si>
  <si>
    <t>Sustento de pago PPC - OTROS: lo saca de cts</t>
  </si>
  <si>
    <t xml:space="preserve">Sustento de pago PPC - OTROS: luis carlos carnero  gonzales   ppc 320  </t>
  </si>
  <si>
    <t>Sustento de pago PPC - OTROS: LUIS esposo de tt pagara reunira dinero</t>
  </si>
  <si>
    <t xml:space="preserve">Sustento de pago PPC - OTROS: lunes realizara el pago </t>
  </si>
  <si>
    <t xml:space="preserve">Sustento de pago PPC - OTROS: madre GLADIS cancelara deuda se brindo ctas bcp e ibk </t>
  </si>
  <si>
    <t>Sustento de pago PPC - OTROS: MADRE NO PUDO PRESTAR DINERO II TRABAJARA Y FIN DE MES AFIRMA CANCELACION</t>
  </si>
  <si>
    <t>Sustento de pago PPC - OTROS: MADRE PRESTARA DINERO</t>
  </si>
  <si>
    <t>Sustento de pago PPC - OTROS: mama de cliente indica que su hija esta de viaje y le mandara plata para que cancele deuda</t>
  </si>
  <si>
    <t>Sustento de pago PPC - OTROS: MAMA INDICA QUE ASUMIRA EL PAGO DE LAS DEUDAS DE SUS HIJOS PAGARA EL 20  / HORARIO DE PAGO: Tarde</t>
  </si>
  <si>
    <t>Sustento de pago PPC - OTROS: mandara a un familiar esta fuera de la ciudad</t>
  </si>
  <si>
    <t>Sustento de pago PPC - OTROS: MANTIENE DINERO EN SU CTA DE AHORROS</t>
  </si>
  <si>
    <t xml:space="preserve">Sustento de pago PPC - OTROS: manuela ramos lucana hija responsable va pagar el 30  por medio de su hermano que esta en lima . le hara trasferencia va pagar poder BCP cerrado por whatsapp . </t>
  </si>
  <si>
    <t xml:space="preserve">Sustento de pago PPC - OTROS: manutencion de hijos </t>
  </si>
  <si>
    <t xml:space="preserve">Sustento de pago PPC - OTROS: Mañana 12 abonará 50 y la diferencia de 180 para el dia 30 dinero de trabajo </t>
  </si>
  <si>
    <t xml:space="preserve">Sustento de pago PPC - OTROS: Mañana 13 de enero pagará 50 soles y la diferencia el dia 30 </t>
  </si>
  <si>
    <t>Sustento de pago PPC - OTROS: Mañana 15 abonará 200 soles y 800 soles el dia 29 de enero de dinero de trabajo DK 1000</t>
  </si>
  <si>
    <t xml:space="preserve">Sustento de pago PPC - OTROS: Mañana 22 PM abonará 61 y el 27 61 para hacer cancelación dinero lo obtendrá de la venta de pasteles </t>
  </si>
  <si>
    <t>Sustento de pago PPC - OTROS: MAÑANA ABONA 100 Y EL 15 DE ENERO 200 SOLES DICE QUE SU PAPA ESTA EN TRATAMIENTO .  / HORARIO DE PAGO: Mañana</t>
  </si>
  <si>
    <t xml:space="preserve">Sustento de pago PPC - OTROS: MAÑANA HARA TRANSFERENCIA </t>
  </si>
  <si>
    <t xml:space="preserve">Sustento de pago PPC - OTROS: MAÑANA LE DEPOSITAN TIENE UN PARTE  TALVEZ PAGA EL DIA DE HOY </t>
  </si>
  <si>
    <t xml:space="preserve">Sustento de pago PPC - OTROS: MAÑANA PAGARA IMPORTE DE 2000 </t>
  </si>
  <si>
    <t>Sustento de pago PPC - OTROS: mañana recibe su pago dspues de la 1pm realizara pago</t>
  </si>
  <si>
    <t>Sustento de pago PPC - OTROS: martin oscar leon esposo responsable pagara con planilla</t>
  </si>
  <si>
    <t>Sustento de pago PPC - OTROS: mas tarde va tratar de hacer 50 en bcp y fin de mes completa la diferencia no pago porque estaba mal de salud informa se le dice que cumpla porque el otro mes es de 200 / HORARIO DE PAGO: Tarde</t>
  </si>
  <si>
    <t xml:space="preserve">Sustento de pago PPC - OTROS: MELISA CARBAJAL ESPOSA CONFIRMA QUE SU ESPOSO ESTA TRABAJANDO QUE ELLA COBRA EL CHEKE A LA 10 AM Y AL MEDIO DIA A MAS TARDAR ESTA PAGANDO </t>
  </si>
  <si>
    <t xml:space="preserve">Sustento de pago PPC - OTROS: MENCIONA  QUE ELLA   CANCELA HOY POR QUE LE LLEGO POR MSJ </t>
  </si>
  <si>
    <t xml:space="preserve">Sustento de pago PPC - OTROS: menciona 100 puede abonar  esta semana y completar el 31 07 </t>
  </si>
  <si>
    <t>Sustento de pago PPC - OTROS: menciona juntara con venta de cosas que estara ofreciendo adleanta 150  realizara el pago en Quillabamba</t>
  </si>
  <si>
    <t xml:space="preserve">Sustento de pago PPC - OTROS: menciona no tiene whatsapp se le hace seguimeinto dudoso llamada entre cortada pero confirma realizar abono </t>
  </si>
  <si>
    <t>Sustento de pago PPC - OTROS: MENCIONA QUE ABONARA 100 MAÑANA Y LO RESTANTE LUNES 16</t>
  </si>
  <si>
    <t>Sustento de pago PPC - OTROS: MENCIONA QUE ANTERIORMENTE LE BRINDARON OPCIONES DE PAGO PERO NO TUVO NINGUNA CONFIRMACION SE PROPONE PAGAR 250 Y ACEPTA PROPUESTA SEGUN SUS POSIBILIDADES</t>
  </si>
  <si>
    <t xml:space="preserve">Sustento de pago PPC - OTROS: MENCIONA QUE CANCELARA ANTES DE LAS 5PM CONFIRMA PAGO DE EXCEPCION DOCUMENTO  POR WHATSAPP </t>
  </si>
  <si>
    <t xml:space="preserve">Sustento de pago PPC - OTROS: MENCIONA QUE DEJO DE PAGAR PORQE QUE SE QUEDO SIN TRABAJO  ACTUALMENTE  CUENTA CON  MONTO </t>
  </si>
  <si>
    <t xml:space="preserve">Sustento de pago PPC - OTROS: menciona que el 17 07  puede acercarse con un adelanto  y a fin de mes total  ppc 180 </t>
  </si>
  <si>
    <t xml:space="preserve">Sustento de pago PPC - OTROS: menciona que le abonan el domingo trabaja construccion </t>
  </si>
  <si>
    <t xml:space="preserve">Sustento de pago PPC - OTROS: menciona que le llego msj de texto con descuento se comunica por whatsaap </t>
  </si>
  <si>
    <t xml:space="preserve">Sustento de pago PPC - OTROS: MENCIONA QUE MAÑANA LE PAGAN Y EL LUNESE ACERCA  A LA AGENCIA A PAGAR EN LA MAÑANA </t>
  </si>
  <si>
    <t xml:space="preserve">Sustento de pago PPC - OTROS: menciona que no  pudo juntar pero si es hasta el 31 </t>
  </si>
  <si>
    <t>Sustento de pago PPC - OTROS: Menciona que no pudo efectuar el pago ayer porque hubo trafico por construcción de carretera pagará el día 15 a la 1pm</t>
  </si>
  <si>
    <t xml:space="preserve">Sustento de pago PPC - OTROS: MENCIONA QUE SALIO DE VIAJE Y NO PUDO PAGAR PPC DE 50 </t>
  </si>
  <si>
    <t xml:space="preserve">Sustento de pago PPC - OTROS: MENCIONA QUE SE ACERCA A OFICINA </t>
  </si>
  <si>
    <t xml:space="preserve">Sustento de pago PPC - OTROS: menciona que se le olvido de realizar el pago no lo tiene pero el dia martes tendra el dinero </t>
  </si>
  <si>
    <t xml:space="preserve">Sustento de pago PPC - OTROS: menciona que si tendria e3l dinero se encuentgra en la selva </t>
  </si>
  <si>
    <t xml:space="preserve">Sustento de pago PPC - OTROS: menciona que si tendria el dinero </t>
  </si>
  <si>
    <t>Sustento de pago PPC - OTROS: MENCIONA QUE SI TIENE DINERO ESTA VIAJANDO DE AREQUIPA A LIMA QUIERE CANCELAR LA DEUDA NO QUIERE FIGURAR COMO DEUDOR</t>
  </si>
  <si>
    <t xml:space="preserve">Sustento de pago PPC - OTROS: MENCIONA QUE SOLO A FIN DE MES </t>
  </si>
  <si>
    <t xml:space="preserve">Sustento de pago PPC - OTROS: MENCIONA QUE YA ESTA COMENZANDO A LABORAR ADELANTA 50 SOLES MAÑANA </t>
  </si>
  <si>
    <t xml:space="preserve">Sustento de pago PPC - OTROS: menciona que ya le confirmaron el pago para el dia de mañana con importe de 521 ya que realizo adelanto de 300 este mes monto de nov. </t>
  </si>
  <si>
    <t xml:space="preserve">Sustento de pago PPC - OTROS: menciona reprogramacion por que no le dieron el dinero confirmaron que para el lunes sin falta </t>
  </si>
  <si>
    <t xml:space="preserve">Sustento de pago PPC - OTROS: menciona tenia un acuerdo esta quincena abona la mitad y a fin de mes restante </t>
  </si>
  <si>
    <t>Sustento de pago PPC - OTROS: mñn adelanta 1000 que tiene en mano por tiempo no llegaria a oficina hoy ya que esta en campo diferencia para el 31</t>
  </si>
  <si>
    <t>Sustento de pago PPC - OTROS: MOLESTA CONFIRMA CANCELACION DE SALDO NO SABIA QUE SE INCREMENTOS 50 SOLES ADICIONALES CORTA MOLESTA LLAMADA INDICANDO CANCELARA FIN DE MES EN QAPAQ</t>
  </si>
  <si>
    <t>Sustento de pago PPC - OTROS: monto de pago 1500</t>
  </si>
  <si>
    <t xml:space="preserve">Sustento de pago PPC - OTROS: MOTIVO DE NO PAGO NO LABORABA AHORA SI LABORA REALIZARA EL PAGO EL SABADO LE ENVIARON SMS </t>
  </si>
  <si>
    <t>Sustento de pago PPC - OTROS: nadia carpio hermana indica que cancelara los 1000 que se le envie carta informativa a su whatsap</t>
  </si>
  <si>
    <t>Sustento de pago PPC - OTROS: NEGOCIO</t>
  </si>
  <si>
    <t xml:space="preserve">Sustento de pago PPC - OTROS: negocio de comida delivery tiene otros gastos durante el mes pero del 20 a fin de juntara </t>
  </si>
  <si>
    <t xml:space="preserve">Sustento de pago PPC - OTROS: Nieta Srita. kelly kassandra Machaca canaza dni 70344336 se hace responsable de la deuda ya que indica que quiere ayudar a su abuelito porque para pensando en la deuda que tiene y es una persona de edad </t>
  </si>
  <si>
    <t xml:space="preserve">Sustento de pago PPC - OTROS: NIETO DE CLIENTE COMUNICA QUE FALLECIO SU ABUELA Y SE HARA CARGO DE LA DEUDA  EL CUAL SE LE PIDE QUE REALICE EL PAGO POR EL IMPORTE DE 1930 LO CUAL DICE QUE EL DIA DE HOY ABONARA 400 SOLES Y EL DIA 30 COMPLETA LO RESTANTE DEL DINERO QUE SERIA 1530 SOLES </t>
  </si>
  <si>
    <t>Sustento de pago PPC - OTROS: NO CANCELO PORQUE FALLECIO FAMILIAR Y TUVO GASTOS</t>
  </si>
  <si>
    <t xml:space="preserve">Sustento de pago PPC - OTROS: NO COMFIRMAR </t>
  </si>
  <si>
    <t>Sustento de pago PPC - OTROS: no especifica</t>
  </si>
  <si>
    <t xml:space="preserve">Sustento de pago PPC - OTROS: no especifica de donde sacatra dinero solo indica que realizara el pago </t>
  </si>
  <si>
    <t xml:space="preserve">Sustento de pago PPC - OTROS: no especifica dice que como sea lo conseguira </t>
  </si>
  <si>
    <t>Sustento de pago PPC - OTROS: no especifica solo indica que tenia algo pendiente</t>
  </si>
  <si>
    <t>Sustento de pago PPC - OTROS: NO INFORMA EL ORIGEN</t>
  </si>
  <si>
    <t xml:space="preserve">Sustento de pago PPC - OTROS: no labora por motivo de la pandemia juntara </t>
  </si>
  <si>
    <t>Sustento de pago PPC - OTROS: no le pagaron por eso pagara añana</t>
  </si>
  <si>
    <t xml:space="preserve">Sustento de pago PPC - OTROS: no menciona de donde sacara el dinero y no pago ya que no tenia efectivo </t>
  </si>
  <si>
    <t>Sustento de pago PPC - OTROS: No pago por desconfianza .. se le envia docuemento pagara 1400.. en 2 cuotas ... 15 y 30 de enero.</t>
  </si>
  <si>
    <t xml:space="preserve">Sustento de pago PPC - OTROS: no pago ya que estuvo pagando un seguro que cobra accidentes pero no le cubrio pese al accidente automovilistico que tuvo tt trabaja en la chacra </t>
  </si>
  <si>
    <t>Sustento de pago PPC - OTROS: no pudo por el tiempo ya que trabaja mñn cancela antes del medio dia</t>
  </si>
  <si>
    <t>Sustento de pago PPC - OTROS: no puede conseguir mas</t>
  </si>
  <si>
    <t xml:space="preserve">Sustento de pago PPC - OTROS: no sabia que debia eo  650  abona 100  y 550  el 28 de julio </t>
  </si>
  <si>
    <t xml:space="preserve">Sustento de pago PPC - OTROS: nos brinda numero d ewsp para que le enviemos informacion a su esposa ya que le dejara dinero a ella para que realize pago  978804201 </t>
  </si>
  <si>
    <t>Sustento de pago PPC - OTROS: Nos confirma pago por 220 soles el dia de Mañana dice que no tuvo tiempo por que estudia.  MANDAR INFO POR WHSAP.  / HORARIO DE PAGO: Mañana</t>
  </si>
  <si>
    <t xml:space="preserve">Sustento de pago PPC - OTROS: NOS DICE Q EL TRABAJARA PERO NO HABRA PROBLEMA EN DEPOSITAR LOS 50 EL DIA 20 Y LA FINANCIERA </t>
  </si>
  <si>
    <t xml:space="preserve">Sustento de pago PPC - OTROS: NOS DICE Q LO REALIZARA LA CANCELACION CON AGENTE BCP EN LA MAÑANA </t>
  </si>
  <si>
    <t xml:space="preserve">Sustento de pago PPC - OTROS: NOS DICE Q VA A DISPONER DE SU SUELDO NOS DICE Q PAGARA EN LA TARDE EN EL AGENTE BCP </t>
  </si>
  <si>
    <t>Sustento de pago PPC - OTROS: NOS DICE QUE PORFAVOR PARA EL JUEVES 25</t>
  </si>
  <si>
    <t>Sustento de pago PPC - OTROS: nos indica que pagara en una agente BCP / HORARIO DE PAGO: Tarde</t>
  </si>
  <si>
    <t>Sustento de pago PPC - OTROS: OBTENDRA DE SU TRABAJO EL DINERO</t>
  </si>
  <si>
    <t xml:space="preserve">Sustento de pago PPC - OTROS: obtendra dinero de trabajo </t>
  </si>
  <si>
    <t>Sustento de pago PPC - OTROS: OBTENDRA DINERO PARA CANCELAR EL DIA LUNES</t>
  </si>
  <si>
    <t xml:space="preserve">Sustento de pago PPC - OTROS: obtendra dinero producto de su trabajo automotriz adelanta 100 soles </t>
  </si>
  <si>
    <t xml:space="preserve">Sustento de pago PPC - OTROS: obtendria de sus ahorros que tiene </t>
  </si>
  <si>
    <t>Sustento de pago PPC - OTROS: oficina Andahuaylas  dara adelanto 12 enero / HORARIO DE PAGO: Tarde</t>
  </si>
  <si>
    <t xml:space="preserve">Sustento de pago PPC - OTROS: oscar rondan laura hermano se hace responsable de pago </t>
  </si>
  <si>
    <t>Sustento de pago PPC - OTROS: paga 150  hoy  y  saldo 150 22.04 / HORARIO DE PAGO: Mediodía</t>
  </si>
  <si>
    <t xml:space="preserve">Sustento de pago PPC - OTROS: paga 2 cuota  450 y ultima </t>
  </si>
  <si>
    <t xml:space="preserve">Sustento de pago PPC - OTROS: paga 300 y dif 200 el día 20 </t>
  </si>
  <si>
    <t>Sustento de pago PPC - OTROS: paga 350 el 23.12 y 350 fin de mes</t>
  </si>
  <si>
    <t>Sustento de pago PPC - OTROS: Paga con concepto de excepcion 1500  / HORARIO DE PAGO: Mediodía</t>
  </si>
  <si>
    <t>Sustento de pago PPC - OTROS: paga el miércoles 303 y el lunes 19 de 303</t>
  </si>
  <si>
    <t>Sustento de pago PPC - OTROS: paga semanal 100 soles</t>
  </si>
  <si>
    <t xml:space="preserve">Sustento de pago PPC - OTROS: pagara </t>
  </si>
  <si>
    <t xml:space="preserve">Sustento de pago PPC - OTROS: pagara 100 mañana y 500 soles el 29 de enero. </t>
  </si>
  <si>
    <t>Sustento de pago PPC - OTROS: pagara 100 soles 7 de feb y 260 soles el 22 de feb / HORARIO DE PAGO: Tarde</t>
  </si>
  <si>
    <t>Sustento de pago PPC - OTROS: Pagará 100 soles el dia de mañana 10 de noviembre y 100 soles el 30</t>
  </si>
  <si>
    <t>Sustento de pago PPC - OTROS: PAGARA 1500 EL MARTES 14</t>
  </si>
  <si>
    <t>Sustento de pago PPC - OTROS: pagara 169 soles el dia 09.01 abonara 90 soles y el dia 15 lo restante 79 soles</t>
  </si>
  <si>
    <t>Sustento de pago PPC - OTROS: pagara 20 soles el sabado</t>
  </si>
  <si>
    <t>Sustento de pago PPC - OTROS: pagara 200 y la diferencia el 27 1800 / HORARIO DE PAGO: Tarde</t>
  </si>
  <si>
    <t xml:space="preserve">Sustento de pago PPC - OTROS: Pagará 4pm dibero lo obtendra de pago de trabajo que le efectuan el 28 por la tarde </t>
  </si>
  <si>
    <t>Sustento de pago PPC - OTROS: PAGARA 500 HOY ADELANTA 300 Y COMPLETA LOS 200 EL 31 DE AGOSTO</t>
  </si>
  <si>
    <t xml:space="preserve">Sustento de pago PPC - OTROS: pagara 800 el 16 y diferencia a fines </t>
  </si>
  <si>
    <t>Sustento de pago PPC - OTROS: pagara con su prima que es la aval</t>
  </si>
  <si>
    <t>Sustento de pago PPC - OTROS: PAGARA CON SUS TRABAJOS DE JORNAL QUE REALIZA LE PAGAN SEMANAL Y QUINCENAL</t>
  </si>
  <si>
    <t>Sustento de pago PPC - OTROS: Pagara de dinero que ha podido juntar / HORARIO DE PAGO: Tarde</t>
  </si>
  <si>
    <t>Sustento de pago PPC - OTROS: PAGARA EL 08 DE AGOSTO 100 SOLES Y LA DIFERENCIA DE 160 LO HARA EL 20 DE AGOSTO SE PEDIRA PRESTADO</t>
  </si>
  <si>
    <t xml:space="preserve">Sustento de pago PPC - OTROS: PAGARA EL 19 DE SETIEMBRE NO QUIERE DECIR SUSTENTO </t>
  </si>
  <si>
    <t xml:space="preserve">Sustento de pago PPC - OTROS: PAGARA EL GARANTE JOSE TAITAN EZPIRITU </t>
  </si>
  <si>
    <t>Sustento de pago PPC - OTROS: PAGARÁ EL VIERNES 09 CON 500 SOLES Y A FIN DE MES LA DIFERENCIA 600</t>
  </si>
  <si>
    <t xml:space="preserve">Sustento de pago PPC - OTROS: pagará el viernes 100 y dif 200 el día 30 </t>
  </si>
  <si>
    <t>Sustento de pago PPC - OTROS: pagara en 2 partes dentro del mes ya q tiene trabajos extras pago total 250 soles hasta 3010</t>
  </si>
  <si>
    <t>Sustento de pago PPC - OTROS: PAGARA EN DOS PARTES LUNES 130720 50 Y ANTES DEL 31 07 80</t>
  </si>
  <si>
    <t xml:space="preserve">Sustento de pago PPC - OTROS: Pagara en el agente bcp </t>
  </si>
  <si>
    <t>Sustento de pago PPC - OTROS: PAGARA EN LA AGENCIA PRO POR LA MAÑANA 10 AGENCIA MARISCAL</t>
  </si>
  <si>
    <t>Sustento de pago PPC - OTROS: pagara en la agencia trujillo  / HORARIO DE PAGO: Mañana</t>
  </si>
  <si>
    <t>Sustento de pago PPC - OTROS: pagara en un agente  / HORARIO DE PAGO: Tarde</t>
  </si>
  <si>
    <t>Sustento de pago PPC - OTROS: Pagará entre la 1pm y 3pm. Dinero de trabajo prestamo fue para su tia pero no se quiere hacer responsable tt asumirá pago</t>
  </si>
  <si>
    <t>Sustento de pago PPC - OTROS: PAGARÁ ESTE 11 UN MONTO DE 175 Y EL 25 UN MONTO DE 175</t>
  </si>
  <si>
    <t>Sustento de pago PPC - OTROS: PAGARÁ ESTE VIERNES 18 EL 159 Y EL VIERNES 25 159</t>
  </si>
  <si>
    <t>Sustento de pago PPC - OTROS: PAGARÁ HOY 175 Y EL 25 OTROS 175</t>
  </si>
  <si>
    <t>Sustento de pago PPC - OTROS: pagara la mitad hasta el 23 y diferencia a fines</t>
  </si>
  <si>
    <t xml:space="preserve">Sustento de pago PPC - OTROS: pagara por la tarde coordinara con su esposo </t>
  </si>
  <si>
    <t>Sustento de pago PPC - OTROS: pago 50 soles / HORARIO DE PAGO: Mañana</t>
  </si>
  <si>
    <t>Sustento de pago PPC - OTROS: pago 700 el 30 y pagara 850 el 05</t>
  </si>
  <si>
    <t>Sustento de pago PPC - OTROS: pago con sustento de trabajos independientes esporadicos</t>
  </si>
  <si>
    <t>Sustento de pago PPC - OTROS: PAGO DE AFP</t>
  </si>
  <si>
    <t>Sustento de pago PPC - OTROS: pago de afp  monto de 400  excepcion</t>
  </si>
  <si>
    <t>Sustento de pago PPC - OTROS: pago de algunos trabajos que le deben</t>
  </si>
  <si>
    <t xml:space="preserve">Sustento de pago PPC - OTROS: Pago de Gratificacion </t>
  </si>
  <si>
    <t>Sustento de pago PPC - OTROS: PAGO DE HABERES  PAGARA 15 OCT 350 Y A FIN DE MES 350</t>
  </si>
  <si>
    <t xml:space="preserve">Sustento de pago PPC - OTROS: PAGO DE HABERES ESTA EN UN LUGAR DONDE NO HAY AGENCIAS Y LLEGA A LA CIUDAD LA ULTIMA SEMANA DEL MES </t>
  </si>
  <si>
    <t xml:space="preserve">Sustento de pago PPC - OTROS: pago de liquidacion </t>
  </si>
  <si>
    <t xml:space="preserve">Sustento de pago PPC - OTROS: PAGO DE PLANILLA ACORDANDO QUE EL DIA 15  REALIZARIA UN PRIMER PAGO DE 100 SOLES Y LA DIFERENCOA EL 30 </t>
  </si>
  <si>
    <t xml:space="preserve">Sustento de pago PPC - OTROS: pago de planilla dinero prestado y abonara 50 el día de hoy y dif el 30 de noviembre </t>
  </si>
  <si>
    <t>Sustento de pago PPC - OTROS: PAGO DE PLANILLA EL 15 DE AGOSTO PAGARA LA MITAD DE 165 Y LO RESTANTE PARA EL 31 DE AGOSTO</t>
  </si>
  <si>
    <t xml:space="preserve">Sustento de pago PPC - OTROS: pago de planilla tt indica que no ludo realizar el pago por que tuvo que esperar que le pguen solo cuenta con un monto en su cuenta que esta adelantando y la diferenciaq para el dia 6 </t>
  </si>
  <si>
    <t xml:space="preserve">Sustento de pago PPC - OTROS: pago de servicios </t>
  </si>
  <si>
    <t>Sustento de pago PPC - OTROS: PAGO DE SU AFP  MONTO 550  ESTA EN UN PUEBLO   ENVIAR COMPROMISO DE PAGO EXCEPCION</t>
  </si>
  <si>
    <t xml:space="preserve">Sustento de pago PPC - OTROS: PAGO DE SU SUELDO </t>
  </si>
  <si>
    <t>Sustento de pago PPC - OTROS: PAGO DE SU TRABAJO EVENTUAL</t>
  </si>
  <si>
    <t xml:space="preserve">Sustento de pago PPC - OTROS: pago de su trabajo eventual  monto 900 </t>
  </si>
  <si>
    <t>Sustento de pago PPC - OTROS: pago de su trabajo no es planilla</t>
  </si>
  <si>
    <t xml:space="preserve">Sustento de pago PPC - OTROS: pago de su trabajo se fue ficha </t>
  </si>
  <si>
    <t xml:space="preserve">Sustento de pago PPC - OTROS: PAGO DE SU TRABAJO Y PRESTAMO GRABACION CEL </t>
  </si>
  <si>
    <t>Sustento de pago PPC - OTROS: pago de sus comisiones</t>
  </si>
  <si>
    <t xml:space="preserve">Sustento de pago PPC - OTROS: pago de trabajo </t>
  </si>
  <si>
    <t xml:space="preserve">Sustento de pago PPC - OTROS: PAGO DE TRABAJO  VA IR AMORTIZANDO SEMANAL </t>
  </si>
  <si>
    <t xml:space="preserve">Sustento de pago PPC - OTROS: PAGO DE TRABAJO 220 </t>
  </si>
  <si>
    <t xml:space="preserve">Sustento de pago PPC - OTROS: PAGO DE TRABAJO CAMPAÑA 250 </t>
  </si>
  <si>
    <t xml:space="preserve">Sustento de pago PPC - OTROS: pago de trabajo campaña 450 enviar compromiso de pago va hacer lo posible de pagarlo antes </t>
  </si>
  <si>
    <t xml:space="preserve">Sustento de pago PPC - OTROS: PAGO DE TRABAJO DE CASA EL 21 100 Y EL 31 MONTO DE 500 </t>
  </si>
  <si>
    <t xml:space="preserve">Sustento de pago PPC - OTROS: pago de trabajo el 12 abona 100 y el 25 el restante total 570 </t>
  </si>
  <si>
    <t>Sustento de pago PPC - OTROS: pago de trabajo en mina</t>
  </si>
  <si>
    <t>Sustento de pago PPC - OTROS: Pago de trabajo eventuales</t>
  </si>
  <si>
    <t>Sustento de pago PPC - OTROS: PAGO DE TRABAJO INDEPENDIENTE</t>
  </si>
  <si>
    <t>Sustento de pago PPC - OTROS: PAGO DE TRABAJO REALIZADOS</t>
  </si>
  <si>
    <t xml:space="preserve">Sustento de pago PPC - OTROS: PAGO DE TRABAJO SEMANAL CAMPAÑA 690 </t>
  </si>
  <si>
    <t>Sustento de pago PPC - OTROS: PAGO DE TRABAJOS INDEPENDIENTES</t>
  </si>
  <si>
    <t>Sustento de pago PPC - OTROS: PAGO DE TRABAJOS REALIZADOS</t>
  </si>
  <si>
    <t xml:space="preserve">Sustento de pago PPC - OTROS: pago de ultima cuota </t>
  </si>
  <si>
    <t>Sustento de pago PPC - OTROS: PAGO DE ULTIMA CUOTA 300</t>
  </si>
  <si>
    <t xml:space="preserve">Sustento de pago PPC - OTROS: pago de un trabajo independiente </t>
  </si>
  <si>
    <t>Sustento de pago PPC - OTROS: PAGO DE UTILIDADES / HORARIO DE PAGO: Tarde</t>
  </si>
  <si>
    <t>Sustento de pago PPC - OTROS: PAGO PARA EL 31 MONTO 160 TALVEZ ABONA ANTES CEL 931177150</t>
  </si>
  <si>
    <t>Sustento de pago PPC - OTROS: PAGOS DE TRABAJO</t>
  </si>
  <si>
    <t>Sustento de pago PPC - OTROS: PAGOS DE TRABAJO REALIZADOS</t>
  </si>
  <si>
    <t>Sustento de pago PPC - OTROS: pagos de trabajos finalizados</t>
  </si>
  <si>
    <t>Sustento de pago PPC - OTROS: PAGOS DE TRABAJOS REALIZADOS</t>
  </si>
  <si>
    <t>Sustento de pago PPC - OTROS: PAGOS DE TRABAJOS REALIZADOS AL GOBIERNO</t>
  </si>
  <si>
    <t>Sustento de pago PPC - OTROS: PAGOS DE TRABAJOS REALIZADOS DE LA SEMANA</t>
  </si>
  <si>
    <t>Sustento de pago PPC - OTROS: PAGOS DE TRABAJOS REALIZADOS TITULAR MANDARA DINERO PARA QUE HERMANA LO CANCELE</t>
  </si>
  <si>
    <t>Sustento de pago PPC - OTROS: pagos de trabajos semanales</t>
  </si>
  <si>
    <t>Sustento de pago PPC - OTROS: pagos por servicios</t>
  </si>
  <si>
    <t>Sustento de pago PPC - OTROS: PAPA ABONA AYUDA A HIJA</t>
  </si>
  <si>
    <t xml:space="preserve">Sustento de pago PPC - OTROS: PAPA DE LA TT NOS DICE Q SE HARA RESPONSABLE Y EL PAGARA </t>
  </si>
  <si>
    <t xml:space="preserve">Sustento de pago PPC - OTROS: PAPA DE TT ENCARGADO DANIEL LEIVA GARCIA MENCIONA QUE ESTARIA  CANCELANDO LA TOTALIDAD </t>
  </si>
  <si>
    <t xml:space="preserve">Sustento de pago PPC - OTROS: Papá Marco Ramos se hará responsable de la deuda </t>
  </si>
  <si>
    <t>Sustento de pago PPC - OTROS: para en transc de la mañana se prestara</t>
  </si>
  <si>
    <t xml:space="preserve">Sustento de pago PPC - OTROS: para esa fecha contara con ese dinero </t>
  </si>
  <si>
    <t>Sustento de pago PPC - OTROS: para esa fecha contara con monto  contacto asignado base manual  tacita</t>
  </si>
  <si>
    <t>Sustento de pago PPC - OTROS: PCC 1500 EXCEPCION</t>
  </si>
  <si>
    <t>Sustento de pago PPC - OTROS: pension de papa de hijas</t>
  </si>
  <si>
    <t xml:space="preserve">Sustento de pago PPC - OTROS: perdida de tarjeta de credito   </t>
  </si>
  <si>
    <t xml:space="preserve">Sustento de pago PPC - OTROS: pimera cuota 100 soles en y la diferencia lo pagaara en trans de sus 6 cuotas restantes en agosto paga 200 soles cuota 2  monto total 1400 analizara la posibilidad de cancelar con 950 soles </t>
  </si>
  <si>
    <t>Sustento de pago PPC - OTROS: planilla adelanta el 16 100 soles</t>
  </si>
  <si>
    <t>Sustento de pago PPC - OTROS: por campaña de exc se da min1 que cancelars durante el mes iniciando con una abono de 200 para miercoles 11</t>
  </si>
  <si>
    <t>Sustento de pago PPC - OTROS: POR DESCONFIANZA NOPAGO SE ACRECARA A LA MISMA AGENCIA A PAGAR  / HORARIO DE PAGO: Mañana</t>
  </si>
  <si>
    <t>Sustento de pago PPC - OTROS: por disponibildad no pued hoy paga el 14</t>
  </si>
  <si>
    <t>Sustento de pago PPC - OTROS: POR EXCEPCIÓN  CANCELACION  1000 SOLES PAGO EL 29 / HORARIO DE PAGO: Tarde</t>
  </si>
  <si>
    <t>Sustento de pago PPC - OTROS: POR FALTA DE TIEMPO NO CANCELO IRA A LA CIUDAD FDS Y CANCELARA 12PM</t>
  </si>
  <si>
    <t xml:space="preserve">Sustento de pago PPC - OTROS: por la tarde va generar recien comenzo a laborar </t>
  </si>
  <si>
    <t>Sustento de pago PPC - OTROS: por motivo de viaje imprevisto no pudo pagar manaña lo hara temprano</t>
  </si>
  <si>
    <t>Sustento de pago PPC - OTROS: por motivos de viaje dejo de cancelar solicitara prestamo a la madre. estudia medicina y urge cdn</t>
  </si>
  <si>
    <t>Sustento de pago PPC - OTROS: por salud no pudo pagar reunira el dinero mañana enviar cta ibk</t>
  </si>
  <si>
    <t xml:space="preserve">Sustento de pago PPC - OTROS: por tema de tiempo realiza el pago mañana por banco de la nacion </t>
  </si>
  <si>
    <t xml:space="preserve">Sustento de pago PPC - OTROS: POR TEMAS DE SALUD DE FAMILIAR  NO PODRA EFECTUAR EL PAGO HOY  LO RELIZARA EL DIA LUNES </t>
  </si>
  <si>
    <t>Sustento de pago PPC - OTROS: por temas de salud de familiar tuvo gastos a fines realizara pago</t>
  </si>
  <si>
    <t>Sustento de pago PPC - OTROS: POR TEMAS DE SALUD DE HIJA NO PUDO PAGAR PERO TIENE LA INTENCION DE REUNIR HASTA EL DIA 18 AGOSTO EL MONTO PARA CANCELAR DEUDA</t>
  </si>
  <si>
    <t xml:space="preserve">Sustento de pago PPC - OTROS: PPC  segunda y ultima ccuota de 250 </t>
  </si>
  <si>
    <t xml:space="preserve">Sustento de pago PPC - OTROS: ppc 100 mañana dinero en mano </t>
  </si>
  <si>
    <t>Sustento de pago PPC - OTROS: PPC 1000 SOLES  LUNES 8 ABONA 500 Y 22 DIFERENCIA X AGENTE  BCP X LA TARDES  / HORARIO DE PAGO: Mañana</t>
  </si>
  <si>
    <t>Sustento de pago PPC - OTROS: PPC 1050 X AGENTE  BCP VIERNES  ABONO 500 Y DIFERENCIA LUNES 5  / HORARIO DE PAGO: Mañana</t>
  </si>
  <si>
    <t xml:space="preserve">Sustento de pago PPC - OTROS: ppc 1075 pagara en la misma agencias 12 pm </t>
  </si>
  <si>
    <t>Sustento de pago PPC - OTROS: PPC 110 X  AGENTE LUNES 15 / HORARIO DE PAGO: Mañana</t>
  </si>
  <si>
    <t xml:space="preserve">Sustento de pago PPC - OTROS: PPC 1116 HARA EL ESFUERZO YA QUE ELLA SOLO PUEDE REUNIR 1000 SE PRESTARA EL RESTANTE </t>
  </si>
  <si>
    <t xml:space="preserve">Sustento de pago PPC - OTROS: PPC 1300 </t>
  </si>
  <si>
    <t>Sustento de pago PPC - OTROS: PPC 1500</t>
  </si>
  <si>
    <t xml:space="preserve">Sustento de pago PPC - OTROS: ppc 153 soles cancelacion sms a su numero </t>
  </si>
  <si>
    <t>Sustento de pago PPC - OTROS: ppc 200 sueldo</t>
  </si>
  <si>
    <t xml:space="preserve">Sustento de pago PPC - OTROS: PPC 2008 LE LLEGO SMS </t>
  </si>
  <si>
    <t xml:space="preserve">Sustento de pago PPC - OTROS: ppc 2010 enviar nuevamente el compromiso de cancelacion y numero de cuenta </t>
  </si>
  <si>
    <t>Sustento de pago PPC - OTROS: PPC 216 SOLES  VIERNES 23 DE FEBRERO EN OF  CREDINKA ESPERA SU  PH  / HORARIO DE PAGO: Mañana</t>
  </si>
  <si>
    <t>Sustento de pago PPC - OTROS: PPC 2300 HOY CANCELACION EXCEPCION JULIO</t>
  </si>
  <si>
    <t>Sustento de pago PPC - OTROS: ppc 243 sustento de cachuelos</t>
  </si>
  <si>
    <t>Sustento de pago PPC - OTROS: ppc 280</t>
  </si>
  <si>
    <t>Sustento de pago PPC - OTROS: ppc 290 excepcion</t>
  </si>
  <si>
    <t>Sustento de pago PPC - OTROS: PPC 300</t>
  </si>
  <si>
    <t>Sustento de pago PPC - OTROS: PPC 300 SOLES VIERNES 5 ABRIL X AGENTE  / HORARIO DE PAGO: Mañana</t>
  </si>
  <si>
    <t>Sustento de pago PPC - OTROS: PPC 308 POR AGENTE NACION SABADO 10 ENVIO  VOUCHER OK  / HORARIO DE PAGO: Mañana</t>
  </si>
  <si>
    <t xml:space="preserve">Sustento de pago PPC - OTROS: ppc 350   no cargo search </t>
  </si>
  <si>
    <t xml:space="preserve">Sustento de pago PPC - OTROS: PPC 386 SOLES </t>
  </si>
  <si>
    <t>Sustento de pago PPC - OTROS: PPC 400 SOLES EN OF  CAJAMARCA   X LA  TARDE  / HORARIO DE PAGO: Mañana</t>
  </si>
  <si>
    <t xml:space="preserve">Sustento de pago PPC - OTROS: PPC 436 CLIENTE ES TAXISTA  JUNTARA DINERO DE SU TRABAJO </t>
  </si>
  <si>
    <t>Sustento de pago PPC - OTROS: PPC 500 SOLES  EN  OF  CREDINKA  MARETS 30  / HORARIO DE PAGO: Tarde</t>
  </si>
  <si>
    <t>Sustento de pago PPC - OTROS: PPC 500 SOLES  NO TIENE  PH SOLO TRABAJOS EVENTUALES X AGENTE BCP  / HORARIO DE PAGO: Mañana</t>
  </si>
  <si>
    <t>Sustento de pago PPC - OTROS: ppc 552.00 ind le llego sms se negocia por whasatp pagara a las 10 am.00</t>
  </si>
  <si>
    <t>Sustento de pago PPC - OTROS: PPC 600 ADELANTO DE PAGO 200 SABADO 23 DEL 06</t>
  </si>
  <si>
    <t>Sustento de pago PPC - OTROS: PPC 685 CANCELACION BCP STP 500 EN ANO SE PRESTARA LA DIFERENCIA</t>
  </si>
  <si>
    <t>Sustento de pago PPC - OTROS: ppc 800 excepcion</t>
  </si>
  <si>
    <t>Sustento de pago PPC - OTROS: PPC 950 EXCEP 10.20 AM  APROBADO POR JULIO HIJO . DINERO EN MANO</t>
  </si>
  <si>
    <t xml:space="preserve">Sustento de pago PPC - OTROS: PPC DE 1000 SE PIDE EN LINEA A AUTORIZACION DE MELINA  CLIENTE SE PRESTARA DINERO PARA PAGAR </t>
  </si>
  <si>
    <t xml:space="preserve">Sustento de pago PPC - OTROS: ppc de 150 hasta   se prestara de su hermana </t>
  </si>
  <si>
    <t>Sustento de pago PPC - OTROS: PPC DE 1967 MAMA DE TT SE HACE CARGO DE LA DEUDA  TERESA CAMACHO VALDIVIEZO DNI 03606379</t>
  </si>
  <si>
    <t xml:space="preserve">Sustento de pago PPC - OTROS: PPC DE 250 SE ENVIARA ACUERDO  DE CANCELACION  LE LLEGO MSJ DE DESCUENTO </t>
  </si>
  <si>
    <t xml:space="preserve">Sustento de pago PPC - OTROS: ppc de 300 </t>
  </si>
  <si>
    <t xml:space="preserve">Sustento de pago PPC - OTROS: PPC DE 300   ABONA 100 EL 10 07 Y 200 FIN DE MES SE ENCIARA ACUERDO DE CANCELACION </t>
  </si>
  <si>
    <t xml:space="preserve">Sustento de pago PPC - OTROS: ppc de 327  llamar  agencia machay  paga a las 12 am </t>
  </si>
  <si>
    <t xml:space="preserve">Sustento de pago PPC - OTROS: PPC DE 400  NO PUDO REUNIR  ANTES ESTE MES YA ETAA TRABAJANDO Y HARA SU ESFUERZO PARA PAGAR </t>
  </si>
  <si>
    <t xml:space="preserve">Sustento de pago PPC - OTROS: PPC DE 400 EXCEPCION APROVADA  TT SE ENCONTRABA OCUPADAA  NO SE PUDO TERMINAR CON LA PLANTILLA DE CALIDAD  EN LLAMADA MENCIONO QUE SE LE LLAME A LAS 8  A LO CUAL NO SE PODRA POR EL HORARION DE TRABAJO  PERO CONFIRMA EL PAGO EL 10 </t>
  </si>
  <si>
    <t xml:space="preserve">Sustento de pago PPC - OTROS: PPC DE 4000  SE  ACERCA A LA AGENCIA TT NORMALMENTE NO CONTESTA POR QUE DONDE EL VIVE NO HAY SEÑAL </t>
  </si>
  <si>
    <t xml:space="preserve">Sustento de pago PPC - OTROS: ppc de 410 no se  cumple con plantilla por que tt  pide que le puedna mandar informacion pr mjs  ya que esta ocupada </t>
  </si>
  <si>
    <t>Sustento de pago PPC - OTROS: PPC DE 487</t>
  </si>
  <si>
    <t xml:space="preserve">Sustento de pago PPC - OTROS: ppc de 500  abona el 16  100 soles y retante a fin de mes menciona  tambien  que s esposa tambien tiene deuda y que en diciembre cancela  de su esposa </t>
  </si>
  <si>
    <t xml:space="preserve">Sustento de pago PPC - OTROS: PPC DE 532  MENCION  QUE   IRA ABONANDO ESTA SEMANA 200 Y LA OTRA SEMANA CANCELA </t>
  </si>
  <si>
    <t xml:space="preserve">Sustento de pago PPC - OTROS: PPC DE 700    TT SE PRESTA DINERO Y PAGA MAXIMO ESTE VIERNES </t>
  </si>
  <si>
    <t>Sustento de pago PPC - OTROS: prestamo</t>
  </si>
  <si>
    <t xml:space="preserve">Sustento de pago PPC - OTROS: prestamo d edinero se cierra conversado con mariangela se sube pantallaso de confirmacion esta en un lugar que no tiene señal </t>
  </si>
  <si>
    <t>Sustento de pago PPC - OTROS: prestamo de compartamos</t>
  </si>
  <si>
    <t>Sustento de pago PPC - OTROS: PRÉSTAMO DE FAMILIARES</t>
  </si>
  <si>
    <t>Sustento de pago PPC - OTROS: prestamo que le hara su hija</t>
  </si>
  <si>
    <t>Sustento de pago PPC - OTROS: Prestará dinero</t>
  </si>
  <si>
    <t xml:space="preserve">Sustento de pago PPC - OTROS: PRESTARA DINERO DE FAMILIAR ABONARA 200SOLES 0707  MAS 3000SOLES 2907 </t>
  </si>
  <si>
    <t xml:space="preserve">Sustento de pago PPC - OTROS: PRIMA DE TT ENC DE PAGOS ELIZABETH VILLEGAS CONFIRMA PAGO CON SUELDO EN BANCO DE LA NACION </t>
  </si>
  <si>
    <t>Sustento de pago PPC - OTROS: PRIMA ENCARGADA DEL PAGO  SE PRESTO DINERO PARA CANCELAR</t>
  </si>
  <si>
    <t xml:space="preserve">Sustento de pago PPC - OTROS: primer pago el dia 08.01 monto de 350 </t>
  </si>
  <si>
    <t>Sustento de pago PPC - OTROS: PRIMERA CUOTA 305 EL DIA 14 Y LA DIFERENCIA 28</t>
  </si>
  <si>
    <t>Sustento de pago PPC - OTROS: primero pedira dinero a tercero que le dio credito pero sino ella misma pagara con su planilla</t>
  </si>
  <si>
    <t xml:space="preserve">Sustento de pago PPC - OTROS: PROPUESTA APROBADA 3000 </t>
  </si>
  <si>
    <t>Sustento de pago PPC - OTROS: propuesta aprobada de 400 para el 15 de julio clienta solicita que su carta de no adeudo proceda en 24 horas posterior a su pago</t>
  </si>
  <si>
    <t>Sustento de pago PPC - OTROS: PROPUESTA APROBADA POR 1800 PARA EL VIERNES 19 A LA 11 AM LE FACILITO EL DINERO UN FAMILIAR</t>
  </si>
  <si>
    <t xml:space="preserve">Sustento de pago PPC - OTROS: PROPUESTA APROBADA POR 2000 CANCELARA EL DIA DE MAÑANA JUEVES EN LA TARDE </t>
  </si>
  <si>
    <t>Sustento de pago PPC - OTROS: PROPUESTA APROBADA POR 2000 LO ARA DE 1 A 2 PM</t>
  </si>
  <si>
    <t>Sustento de pago PPC - OTROS: PROPUESTA APROBADA POR 2000 PARA EL LUNES 31 FACILITA SU CORREO josepankahornagmailcom</t>
  </si>
  <si>
    <t>Sustento de pago PPC - OTROS: PROPUESTA APROBADA POR 700 INDICA QUE SE ACERCARA EL LUNES 22</t>
  </si>
  <si>
    <t xml:space="preserve">Sustento de pago PPC - OTROS: PROPUESTA APROBADA POR 700 PARA EL VIERNES 26 CONFIRMAR QUE LO REALIZARA </t>
  </si>
  <si>
    <t>Sustento de pago PPC - OTROS: PROPUESTA ARPOBADA 600 PAGARA EL VIERNES 26</t>
  </si>
  <si>
    <t xml:space="preserve">Sustento de pago PPC - OTROS: PUEDE ASUMIR MONTO DE 60 SOLES PARA LIQUIDAR DEUDA </t>
  </si>
  <si>
    <t>Sustento de pago PPC - OTROS: puede pagar el 23 solo 50 y la difrencia  de 1630 lo paga fin de mes</t>
  </si>
  <si>
    <t xml:space="preserve">Sustento de pago PPC - OTROS: quiere hacercarse primero a la misma agencia oh y luego pagar </t>
  </si>
  <si>
    <t>Sustento de pago PPC - OTROS: rdp sra carmen.pagará por bcp / HORARIO DE PAGO: Tarde</t>
  </si>
  <si>
    <t>Sustento de pago PPC - OTROS: realiza adelanto 1500 en bcp queda pendiente 500 / HORARIO DE PAGO: Tarde</t>
  </si>
  <si>
    <t xml:space="preserve">Sustento de pago PPC - OTROS: REALIZA ADELANTO 18 MONTO DE 50 Y LO RESTANTE A FIN DE MES </t>
  </si>
  <si>
    <t xml:space="preserve">Sustento de pago PPC - OTROS: realiza adelanto el dia lunes de 50 soles ella es estilista trabaja independiente </t>
  </si>
  <si>
    <t xml:space="preserve">Sustento de pago PPC - OTROS: realizara adelanto en quincena y culmina a fin </t>
  </si>
  <si>
    <t>Sustento de pago PPC - OTROS: Realizara canelacion con el importe de 500 soles 250 el dia 13.11 y los 250 restantes el dia 30.11</t>
  </si>
  <si>
    <t>Sustento de pago PPC - OTROS: REALIZARA EL PAGA50 EL 10 Y LA DIFERENCIA EL 28</t>
  </si>
  <si>
    <t>Sustento de pago PPC - OTROS: REALIZARA EL PAGO 2200 ESTUVO DELICADO DE SALUD</t>
  </si>
  <si>
    <t>Sustento de pago PPC - OTROS: realizara el pago el 21 por la tarde</t>
  </si>
  <si>
    <t>Sustento de pago PPC - OTROS: realizara el pago por la tarde</t>
  </si>
  <si>
    <t>Sustento de pago PPC - OTROS: REALIZARA EN 2 CUOTAS DENTRO DEL MES 50 VIERNES Y LA DIFERENCIA A 15</t>
  </si>
  <si>
    <t>Sustento de pago PPC - OTROS: realizara la cancelacion con 770 de la sgte manera 385 el dia 08 de junio y 385 el dia 30 de junio</t>
  </si>
  <si>
    <t>Sustento de pago PPC - OTROS: Realizará pago en agente BCP del grifo que está en la esquina de su trabajo en ESSALUD</t>
  </si>
  <si>
    <t xml:space="preserve">Sustento de pago PPC - OTROS: realizara pago tenia ahorros el dessembolso no fue para ella fue para familiar </t>
  </si>
  <si>
    <t xml:space="preserve">Sustento de pago PPC - OTROS: REALIZARA UN ADELANTO EL DIA 07 DE AGOSTO </t>
  </si>
  <si>
    <t>Sustento de pago PPC - OTROS: REALIZO EL PAGO EN LA MISMA CAJA TRUJILLO / HORARIO DE PAGO: Tarde</t>
  </si>
  <si>
    <t>Sustento de pago PPC - OTROS: realizo pago an la noche bcp / HORARIO DE PAGO: Tarde</t>
  </si>
  <si>
    <t xml:space="preserve">Sustento de pago PPC - OTROS: realizo pago de 500 solo restaria 300 soles extendido el plazo hasta fin de mes </t>
  </si>
  <si>
    <t>Sustento de pago PPC - OTROS: recibe ayuda familiar</t>
  </si>
  <si>
    <t xml:space="preserve">Sustento de pago PPC - OTROS: recibe dinero de su pension </t>
  </si>
  <si>
    <t xml:space="preserve">Sustento de pago PPC - OTROS: recibe dinero sus hermanos </t>
  </si>
  <si>
    <t xml:space="preserve">Sustento de pago PPC - OTROS: recibe el dinero </t>
  </si>
  <si>
    <t>Sustento de pago PPC - OTROS: recibe el dinero de sus trabajos de albañil  min1</t>
  </si>
  <si>
    <t>Sustento de pago PPC - OTROS: recibe el dinero de un familiar</t>
  </si>
  <si>
    <t>Sustento de pago PPC - OTROS: RECIBE EL PAGO DE CHEQUE</t>
  </si>
  <si>
    <t>Sustento de pago PPC - OTROS: recibe junta</t>
  </si>
  <si>
    <t>Sustento de pago PPC - OTROS: recibe pago campaña sms 1862</t>
  </si>
  <si>
    <t xml:space="preserve">Sustento de pago PPC - OTROS: recibe pago d empleo </t>
  </si>
  <si>
    <t xml:space="preserve">Sustento de pago PPC - OTROS: recibe pago d su trabajo </t>
  </si>
  <si>
    <t xml:space="preserve">Sustento de pago PPC - OTROS: recibe pago d un trabajo q realizo </t>
  </si>
  <si>
    <t xml:space="preserve">Sustento de pago PPC - OTROS: recibe pago esposo d tt paga </t>
  </si>
  <si>
    <t>Sustento de pago PPC - OTROS: recibe su pago adelantara 100 soles el viernes y diferencia hasta el 29 enviar nro de cta bcp</t>
  </si>
  <si>
    <t xml:space="preserve">Sustento de pago PPC - OTROS: recibe su pagos de sus servicios el fin de semana </t>
  </si>
  <si>
    <t>Sustento de pago PPC - OTROS: RECIBIERA PROPINA Y CON CANCELARA</t>
  </si>
  <si>
    <t>Sustento de pago PPC - OTROS: RECIBIO SMS DE DESCUENTO CON MIN1 CUENTA CON EL DINERO EN MANO LO REALIZARA EN LA TARDE</t>
  </si>
  <si>
    <t xml:space="preserve">Sustento de pago PPC - OTROS: recibira con seguridad cierto dinero de un deposito </t>
  </si>
  <si>
    <t xml:space="preserve">Sustento de pago PPC - OTROS: RECIBIRA DE SUS HABERES EL DIA VIERNES A ANTES DE LAS 4 DE LA TARDE </t>
  </si>
  <si>
    <t>Sustento de pago PPC - OTROS: RECIBIRA DINERO</t>
  </si>
  <si>
    <t xml:space="preserve">Sustento de pago PPC - OTROS: RECIBIRA DINERO DE UN INGRESO </t>
  </si>
  <si>
    <t xml:space="preserve">Sustento de pago PPC - OTROS: recibira dinero en esa fecha </t>
  </si>
  <si>
    <t>Sustento de pago PPC - OTROS: recibira dinero en esa fecha confirma cancelacion pagara antes de la 1 pm</t>
  </si>
  <si>
    <t>Sustento de pago PPC - OTROS: RECIBIRA EL MIERCOLES UN DINERO DE UN NEGOCIO Q HIZO Y DE SU AFPQ TIENE GUARDADO SU CORREO FECOGESACHOTMAILCOM</t>
  </si>
  <si>
    <t>Sustento de pago PPC - OTROS: RECIBIRA EL PAGO DE UN PRESTAMO</t>
  </si>
  <si>
    <t>Sustento de pago PPC - OTROS: recibirá junta / HORARIO DE PAGO: Mañana</t>
  </si>
  <si>
    <t>Sustento de pago PPC - OTROS: recibira pago</t>
  </si>
  <si>
    <t>Sustento de pago PPC - OTROS: Recibirá pago de trabajo de electricista  independiente hoy 9 de octubre abonara 50 y el dia 30 la diferencia de 270</t>
  </si>
  <si>
    <t>Sustento de pago PPC - OTROS: Recibirá pago de trabajo independiente tt indica que cobra semanal entre hoy miercoles y mañana jueves no puede pagar esta semana porque tiene destinado el dinero para gastos de familia</t>
  </si>
  <si>
    <t>Sustento de pago PPC - OTROS: RECIBIRA PAGO DE UN TRABAJO</t>
  </si>
  <si>
    <t>Sustento de pago PPC - OTROS: recibira su dinero de su pandero.</t>
  </si>
  <si>
    <t xml:space="preserve">Sustento de pago PPC - OTROS: recibira su grati con ello pagara </t>
  </si>
  <si>
    <t xml:space="preserve">Sustento de pago PPC - OTROS: recibira su junta el domingo </t>
  </si>
  <si>
    <t>Sustento de pago PPC - OTROS: RECIBIRA UN DINERO</t>
  </si>
  <si>
    <t xml:space="preserve">Sustento de pago PPC - OTROS: recibira un dinero a medio dia estaria pagando </t>
  </si>
  <si>
    <t xml:space="preserve">Sustento de pago PPC - OTROS: recibira un dinero esa fecha </t>
  </si>
  <si>
    <t>Sustento de pago PPC - OTROS: recibira un dinero que habia prestado</t>
  </si>
  <si>
    <t xml:space="preserve">Sustento de pago PPC - OTROS: RECIBIRA UN DINERO WSP HIJA  926580621 GRABACION EN PARTES </t>
  </si>
  <si>
    <t>Sustento de pago PPC - OTROS: recibira un dinero.</t>
  </si>
  <si>
    <t>Sustento de pago PPC - OTROS: recibira un pago</t>
  </si>
  <si>
    <t>Sustento de pago PPC - OTROS: recibira un pago de su trabajo</t>
  </si>
  <si>
    <t>Sustento de pago PPC - OTROS: recien adquirio trabajo</t>
  </si>
  <si>
    <t>Sustento de pago PPC - OTROS: RECIEN ESTA TRABAJANDO</t>
  </si>
  <si>
    <t xml:space="preserve">Sustento de pago PPC - OTROS: RECIEN HA EMPEZADO A TRABAJAR Y EN LA SIGUIENTE SEMANA HARA UN ABONO DE 100 O 200 Y LO RESTANTE HASTA FIN DE MES </t>
  </si>
  <si>
    <t xml:space="preserve">Sustento de pago PPC - OTROS: recien paso su pago del bcp </t>
  </si>
  <si>
    <t xml:space="preserve">Sustento de pago PPC - OTROS: recien trabajando </t>
  </si>
  <si>
    <t>Sustento de pago PPC - OTROS: REPROGRAMA POR SALUD</t>
  </si>
  <si>
    <t>Sustento de pago PPC - OTROS: REPROGRAMA YA OH DARA RESPUESTA</t>
  </si>
  <si>
    <t xml:space="preserve">Sustento de pago PPC - OTROS: reprogramacion  </t>
  </si>
  <si>
    <t xml:space="preserve">Sustento de pago PPC - OTROS: REPROGRAMACION  pagara el dia lunes 6 de julio 110 soles para la cancelacion  </t>
  </si>
  <si>
    <t xml:space="preserve">Sustento de pago PPC - OTROS: REPROGRAMACION DE LA ULTIMA CUOTA DE 200 </t>
  </si>
  <si>
    <t xml:space="preserve">Sustento de pago PPC - OTROS: reprogramacion por temas de accidentr de su hno </t>
  </si>
  <si>
    <t>Sustento de pago PPC - OTROS: reprogramiento grabacion conversado con Maribel</t>
  </si>
  <si>
    <t>Sustento de pago PPC - OTROS: RESP ESPOSA ANGELICA RAMOS CON DNI 40043101 HOY 01 JULIO PAGA 303 SOLES Y EL 31 JULIO 303 SOLES POR AGENTE INTERBANK</t>
  </si>
  <si>
    <t xml:space="preserve">Sustento de pago PPC - OTROS: RESP LEYDI NAVARRO CON DNI 47016850 TT ESTA DELICADA POR LO TANTO LE LLEGO UN CORREO CON LA CAMPAÑA DE 1041 HOY 30 DE JUNIO LO PAGARA DURANTE EL DIA </t>
  </si>
  <si>
    <t>Sustento de pago PPC - OTROS: RESPONDE SU ESPOSA KATERIN TENORIO CONFIRMA EL PAGO PARA EL LUNES 22 MONTO APROBADO DE 250</t>
  </si>
  <si>
    <t>Sustento de pago PPC - OTROS: RESPONSABLE</t>
  </si>
  <si>
    <t xml:space="preserve">Sustento de pago PPC - OTROS: RESPONSABLE DE PAGO ESPOSO SAMUEL CORTIJO SALAMANCA 922329577 </t>
  </si>
  <si>
    <t xml:space="preserve">Sustento de pago PPC - OTROS: Responsable de pago hermana Elizabeth dni 21461912 pagara la deuda en unos momentos hara el pago </t>
  </si>
  <si>
    <t>Sustento de pago PPC - OTROS: Responsable de pago Julio Bernal Ortega indica que pagara hoy dia el monto de 80 soles en agente bcp</t>
  </si>
  <si>
    <t>Sustento de pago PPC - OTROS: responsable de pagos de la deuda que cancelara la esposa cinthya mercedes berau otiniano</t>
  </si>
  <si>
    <t>Sustento de pago PPC - OTROS: responsable del pago su hija propuso cancelar el monto de 2000 como pago total hoy abonara el monto de 1500 y la diferencia 27 de marzo los 500 haciendo la suma de 2000. / HORARIO DE PAGO: Tarde</t>
  </si>
  <si>
    <t xml:space="preserve">Sustento de pago PPC - OTROS: responsable javier marca indica realizara pago hoy 19 </t>
  </si>
  <si>
    <t>Sustento de pago PPC - OTROS: Responsable Lee Espinoza del pago realizara el deposito del monto total aprobado de 1000 soles para hoy 16. / HORARIO DE PAGO: Tarde</t>
  </si>
  <si>
    <t>Sustento de pago PPC - OTROS: responsable yerno jorge guzman indica que tenia pendientes cobros por esas fechas</t>
  </si>
  <si>
    <t>Sustento de pago PPC - OTROS: RETIRO DE SU CTA DE AHORROS</t>
  </si>
  <si>
    <t>Sustento de pago PPC - OTROS: reunira dinero</t>
  </si>
  <si>
    <t>Sustento de pago PPC - OTROS: reunira dinero para can</t>
  </si>
  <si>
    <t xml:space="preserve">Sustento de pago PPC - OTROS: reunira el dinero </t>
  </si>
  <si>
    <t xml:space="preserve">Sustento de pago PPC - OTROS: reunira el dinero 200 s 15 y diferencia a find mes en base a 821 </t>
  </si>
  <si>
    <t>Sustento de pago PPC - OTROS: REUNIRA EL DINERO 500 AL 13  Y DIRERENCIA FINES</t>
  </si>
  <si>
    <t>Sustento de pago PPC - OTROS: REUNIRA EL DINERO ABONA 300  EL 20 FINES DIFERENCIA</t>
  </si>
  <si>
    <t>Sustento de pago PPC - OTROS: reunira el dinero hasta fin de mes</t>
  </si>
  <si>
    <t>Sustento de pago PPC - OTROS: REUNIRA EL IMPORTE DE CAMPAÑA AL DIA LUNES 14 SEP</t>
  </si>
  <si>
    <t>Sustento de pago PPC - OTROS: reunira le dinero hasta el viernes pagara pm</t>
  </si>
  <si>
    <t>Sustento de pago PPC - OTROS: ROGER SALDAÑA VASQUES GARANTE RESPONSABLE VA PAGAR EL 26 DE JUNIO MONTO 900 PRESTARA DINERO</t>
  </si>
  <si>
    <t>Sustento de pago PPC - OTROS: rssponsable rony diestra arevalo 70466887</t>
  </si>
  <si>
    <t xml:space="preserve">Sustento de pago PPC - OTROS: ruben mejia galvez hermano responsable campaña 200 dinero en mano </t>
  </si>
  <si>
    <t>Sustento de pago PPC - OTROS: sabado 3pm enviar cta bcp</t>
  </si>
  <si>
    <t>Sustento de pago PPC - OTROS: sacado de base tacita</t>
  </si>
  <si>
    <t>Sustento de pago PPC - OTROS: saco el dinero para hermana ella ya contara con el dinero hasta el viernes 28 de agosto</t>
  </si>
  <si>
    <t>Sustento de pago PPC - OTROS: salario de trabajo</t>
  </si>
  <si>
    <t>Sustento de pago PPC - OTROS: sale de campo el 16.04 para que pague los 300 / HORARIO DE PAGO: Mañana</t>
  </si>
  <si>
    <t>Sustento de pago PPC - OTROS: saulmonteromejia0704 hotmail com hijo realizara la cancelacion con el importe de excepcion aprobada se le enviara acuerdo paraa mostrar a tt y pueda estar mas tranquila</t>
  </si>
  <si>
    <t>Sustento de pago PPC - OTROS: se acepta excepción. / HORARIO DE PAGO: Mañana</t>
  </si>
  <si>
    <t>Sustento de pago PPC - OTROS: SE ACERCARA  AGENTE 300 / HORARIO DE PAGO: Mañana</t>
  </si>
  <si>
    <t>Sustento de pago PPC - OTROS: SE ACERCO A FINANCIERA OH Y LE MENCIONARON QUE LA DEUDA ES DE 80</t>
  </si>
  <si>
    <t>Sustento de pago PPC - OTROS: SE acoge a popuesta de cancelacion por 550</t>
  </si>
  <si>
    <t>Sustento de pago PPC - OTROS: se acuerda que el viernes 09 de octubre realizar un primer pago de 200 soles y la diferencia fin de mes</t>
  </si>
  <si>
    <t>Sustento de pago PPC - OTROS: se agenciara efectivo</t>
  </si>
  <si>
    <t>Sustento de pago PPC - OTROS: se agenciara efectivo paga hoy 2408 150 soles y restante hasta el 3108 en misma caja sullana</t>
  </si>
  <si>
    <t xml:space="preserve">Sustento de pago PPC - OTROS: SE BRINDA CAMPAÑA 200 SOLES PRIMER PAGO DE 100 SOLES 24 07 Y LO RESTANTE FIN DE MES </t>
  </si>
  <si>
    <t xml:space="preserve">Sustento de pago PPC - OTROS: se cierra por whatsapp envia audio  manda a familiarea realizar el pago de 500 por mibanco  </t>
  </si>
  <si>
    <t>Sustento de pago PPC - OTROS: se comunica el esposo sr alexander contreas para poder solucionar deuda de tt cuenta con dinero</t>
  </si>
  <si>
    <t xml:space="preserve">Sustento de pago PPC - OTROS: se comunica encargado jorge guzman </t>
  </si>
  <si>
    <t>Sustento de pago PPC - OTROS: se comunica hijo fernando cordova guerra</t>
  </si>
  <si>
    <t xml:space="preserve">Sustento de pago PPC - OTROS: se comunica por msj de tesxto que le llego  hara transferencia por bcp hoy </t>
  </si>
  <si>
    <t xml:space="preserve">Sustento de pago PPC - OTROS: SE COMUNICA POR SMJ PPC DE  997   </t>
  </si>
  <si>
    <t>Sustento de pago PPC - OTROS: se comunica tt a corp 4 menciona que quiere pagar la campña de descuento por 151 tiene dinero en mano se procedio hacer la grabacion de llamada en linea</t>
  </si>
  <si>
    <t>Sustento de pago PPC - OTROS: SE COMUNICAN A COOPORATIVO ENCARGADO DE PAGO DNI 43608606 CARLOS MOROCHO DABAN HIJO DE TT INDICA QUE HOY PAGAN 1000</t>
  </si>
  <si>
    <t xml:space="preserve">Sustento de pago PPC - OTROS: SE COMUNICO AL CORPORATIVO 19 LE LLEGO SMS </t>
  </si>
  <si>
    <t>Sustento de pago PPC - OTROS: SE COMUNICO QUE CANCELARA 750 EL VIERNES 14 TEMPANO YA QUE SUS FAMILIARES LE AYUDARAN JUNTANDO</t>
  </si>
  <si>
    <t xml:space="preserve">Sustento de pago PPC - OTROS: SE CONFIRMA CANCELACION CON EXCEPCION </t>
  </si>
  <si>
    <t xml:space="preserve">Sustento de pago PPC - OTROS: se confirma excepcion anterior  no llegaron a comunicarse para confirmar por eso no pago lo realizara el dia de mañana </t>
  </si>
  <si>
    <t xml:space="preserve">Sustento de pago PPC - OTROS: SE CONFIRMA PAGO CON EXCEPCION </t>
  </si>
  <si>
    <t>Sustento de pago PPC - OTROS: se conseguira</t>
  </si>
  <si>
    <t>Sustento de pago PPC - OTROS: SE CONVERSA CON EL ENCARGADO DE LA DEUDA SE LE INFORMA Q LA PROPUESTA DE PAGO FUE APROBADA BAJO EL MONTO DE 1500 SOLES PARA CANCELAR EL DIA 22.03.2024 / HORARIO DE PAGO: Mañana</t>
  </si>
  <si>
    <t>Sustento de pago PPC - OTROS: SE CONVERSA CON EL TT SE ACOJE A CANCELAR BAJO LA CAMPAÑA DE 360 SOLES CANCELANDO EL DIA 11.01.2024 EL MONTO DE 200 SOLES Y EL DIA 30.01.2024 LA DIFERENCIA  / HORARIO DE PAGO: Mañana</t>
  </si>
  <si>
    <t>Sustento de pago PPC - OTROS: SE CONVERSA CON EL TT SE LE MENCIONA EL PAGO DE SU ULTIMA CUOTA PARA EL DIA 10.01.2023 / HORARIO DE PAGO: Mañana</t>
  </si>
  <si>
    <t>Sustento de pago PPC - OTROS: SE CONVERSA CON EL TT SE LE MENCIONA Q LA PROPUESTA FUE APROBADA PARA CANCELAR EL DIA DE HOY 21.03.2024  / HORARIO DE PAGO: Mañana</t>
  </si>
  <si>
    <t>Sustento de pago PPC - OTROS: SE CONVERSA CON LA TT MENCIONA Q ESTARIA CANCELANDO EL DIA 18.01.2023 YA QUE PARA ESA FECHA BAJA A LA CIUDAD PORQUE TRABAJA EN UNA ZONO DE LATURA DONDE NO TIENE AGENTES  / HORARIO DE PAGO: Mañana</t>
  </si>
  <si>
    <t>Sustento de pago PPC - OTROS: se conversa con la tt se le menciona q se activo la campaña de 300 soles  / HORARIO DE PAGO: Mañana</t>
  </si>
  <si>
    <t>Sustento de pago PPC - OTROS: SE CONVERSO CON JULIO EXCEPCION CLIENTE CANCELARA 700 EN BASE AL PRESTAMO QUE LE HIZO EL HERMANO</t>
  </si>
  <si>
    <t xml:space="preserve">Sustento de pago PPC - OTROS: se dedica al turismo en cuzco </t>
  </si>
  <si>
    <t xml:space="preserve">Sustento de pago PPC - OTROS: SE EFECTUARA EL PAGO HOY POR EXCEPCION APROBADA ASIGNACION </t>
  </si>
  <si>
    <t xml:space="preserve">Sustento de pago PPC - OTROS: se en cuentra a la espera de su cheque un pago pendiente realiza adelanto mañana de 200 soles </t>
  </si>
  <si>
    <t xml:space="preserve">Sustento de pago PPC - OTROS: SE ENCONTRABA EN LA MINA PERO HOY BAJO Y REALIZARA EL PAGO </t>
  </si>
  <si>
    <t>Sustento de pago PPC - OTROS: Se encuentra fuera de Cuso pagará hasta las 12PM</t>
  </si>
  <si>
    <t>Sustento de pago PPC - OTROS: se encuentra laborando menciona que si realizara pago tambien realizara adelanto</t>
  </si>
  <si>
    <t xml:space="preserve">Sustento de pago PPC - OTROS: se fue la ficha sr. es independiente tiene campaña activa hasta el dia lunes </t>
  </si>
  <si>
    <t>Sustento de pago PPC - OTROS: se genera acuerdo por whats</t>
  </si>
  <si>
    <t xml:space="preserve">Sustento de pago PPC - OTROS: se genera compromiso de pago para el dia 03 de junio cliente sacara dinero de esposo </t>
  </si>
  <si>
    <t>Sustento de pago PPC - OTROS: SE GENERA PPC 200 YA Q CLIENTE HIZO PAGO DESDE ESPAÑA EL 31 ENERO Y SE ESTA EN ESPERA DE NRO DE OP  / HORARIO DE PAGO: Mañana</t>
  </si>
  <si>
    <t>Sustento de pago PPC - OTROS: SE HABLA CON EL TT NOS DICE PAGARA POR LA TARDE ESTA EN EL CAMPO Y POR ESO NO PUDO LLEGAR A LA AGENCIA  / HORARIO DE PAGO: Tarde</t>
  </si>
  <si>
    <t xml:space="preserve">Sustento de pago PPC - OTROS: se habla con julio para la aprovacion de descuento en llamada confirma el monto  </t>
  </si>
  <si>
    <t>Sustento de pago PPC - OTROS: SE HACE SEGUIMIENTO TAT PRIMERO NO PUDO PAGAR EN BN LUEGO DE DIRIGIO AUN MI BANCO Y ESTABA CERRADO Y BUSCO UN BANCO DE BCP TAMBIEN ESTABA CERRADO Y AGENTES INIDCIA QUE MAÑANA ESTARIA PAGANDO 324 SOLES</t>
  </si>
  <si>
    <t>Sustento de pago PPC - OTROS: Se informa a tt dscto vigente solo hasta el 29.02 se explica procedimiento de pago detalla cancelará a la cta cte de BBVA / HORARIO DE PAGO: Mediodía</t>
  </si>
  <si>
    <t xml:space="preserve">Sustento de pago PPC - OTROS: SE INGRESA COMPROMISO POR EL MONTO RESTANTE EN BASE  A  550 ESTE MES  CLIENTE ABONO HOY Y LA DIFERENCIA A  FIN DE MES </t>
  </si>
  <si>
    <t>Sustento de pago PPC - OTROS: se ingresa pdp correcto</t>
  </si>
  <si>
    <t xml:space="preserve">Sustento de pago PPC - OTROS: SE LE APROBO MONTO DE S600 PARA QUE CANCELE MAÑANA JUEVES 02 </t>
  </si>
  <si>
    <t>Sustento de pago PPC - OTROS: SE LE APROBO PARA QUE CANCELE CON 600 MAÑANA JUEVES 2</t>
  </si>
  <si>
    <t>Sustento de pago PPC - OTROS: se le brinda monto total de 2300 cancela con 300 el 30</t>
  </si>
  <si>
    <t>Sustento de pago PPC - OTROS: se le brindo 500 para can indica contar con 300 se le habilita 350 10am / HORARIO DE PAGO: Mañana</t>
  </si>
  <si>
    <t>Sustento de pago PPC - OTROS: SE LE EMNCIONA AL TT QUE LA PROPUESTA FUE APROBADA BAJO EL MONTO DE 3000 SOLES PARA CANCELAR HOY 15.02.2024 / HORARIO DE PAGO: Mañana</t>
  </si>
  <si>
    <t xml:space="preserve">Sustento de pago PPC - OTROS: se le genera ppc por que adelanto los 70 soles y cancelaria en base a 170 soles este mes </t>
  </si>
  <si>
    <t>Sustento de pago PPC - OTROS: se le indico por 1800</t>
  </si>
  <si>
    <t>Sustento de pago PPC - OTROS: Se le informa que somos los nuevos acreedores. se le enviara carta de notificacion para que valide la informacion e indica que el pago lo efectuara con seguridad el otro miercoles no define horario / HORARIO DE PAGO: Tarde</t>
  </si>
  <si>
    <t>Sustento de pago PPC - OTROS: SE LE MENCIONA A LA TT QUE LA PROPUESTA DE PAGO EN BASE AL MONTO DE 5500 FUE APROBADA  / HORARIO DE PAGO: Mañana</t>
  </si>
  <si>
    <t>Sustento de pago PPC - OTROS: SE LE MENCIONA AL TT QUE LA PROPUESTA DE PAGO FUE APROBADA BAJO EL MONTO DE 1400 SOLES PARA EL DIA 15.03.2024  / HORARIO DE PAGO: Mañana</t>
  </si>
  <si>
    <t>Sustento de pago PPC - OTROS: SE LE PREGUNTA SUSTENTO PERO NO DETALLA</t>
  </si>
  <si>
    <t xml:space="preserve">Sustento de pago PPC - OTROS: SE LE REACTIVA LA CAMPAÑA POR MOTIVOS DE LARGA DISTANCIA PARA Q VAYA A PAGAR 144 SOLES </t>
  </si>
  <si>
    <t>Sustento de pago PPC - OTROS: se negocia cancelación con el cliente con un monto de 810. DICE QUE NO PUEDE PAGAR LA TOTALIDAD AHORA PERO ADELANTARA 400 Y EL MARTES QUE VIENE TERMINA DE COMPLETAR. / HORARIO DE PAGO: Mañana</t>
  </si>
  <si>
    <t>Sustento de pago PPC - OTROS: se pedira dinero para completar se le dice que adelante los 500 cuando llegue a cuzco</t>
  </si>
  <si>
    <t>Sustento de pago PPC - OTROS: se prestará con un familiar</t>
  </si>
  <si>
    <t>Sustento de pago PPC - OTROS: se prestara de la familia para liquidar se le ofrece camapaña de 1000 mil  / HORARIO DE PAGO: Mañana</t>
  </si>
  <si>
    <t>Sustento de pago PPC - OTROS: se prestará de su hija</t>
  </si>
  <si>
    <t xml:space="preserve">Sustento de pago PPC - OTROS: se prestara dinero </t>
  </si>
  <si>
    <t xml:space="preserve">Sustento de pago PPC - OTROS: SE PRESTARA DINERO DE SUS HIJOS QUIERE DOCUMENTO QUE LO ENVIEN A  HIJO ALAN </t>
  </si>
  <si>
    <t>Sustento de pago PPC - OTROS: SE PRESTARA DINERO DE UN FAMILIAR MONTO DE 2284</t>
  </si>
  <si>
    <t xml:space="preserve">Sustento de pago PPC - OTROS: SE PRESTARA DINERO FAMILIAR </t>
  </si>
  <si>
    <t>Sustento de pago PPC - OTROS: se prestara dinero para cancelar hasta el 20 ya que ella contara con dinero hasta el 25</t>
  </si>
  <si>
    <t>Sustento de pago PPC - OTROS: se prestara dinero pero si no le dan el esta juntando aparte</t>
  </si>
  <si>
    <t xml:space="preserve">Sustento de pago PPC - OTROS: se prestara dinero se fue ficha </t>
  </si>
  <si>
    <t xml:space="preserve">Sustento de pago PPC - OTROS: se prestara dinero se reprograma lcompromiso grabacoion carpeta </t>
  </si>
  <si>
    <t xml:space="preserve">Sustento de pago PPC - OTROS: SE PRESTARA EL DINERO </t>
  </si>
  <si>
    <t>Sustento de pago PPC - OTROS: SE PRESTO EL DINERO</t>
  </si>
  <si>
    <t>Sustento de pago PPC - OTROS: se realia reprogramacion adelanta hoy 200</t>
  </si>
  <si>
    <t xml:space="preserve">Sustento de pago PPC - OTROS: SE REALIZA COMPROMISO DE PAGO REPROGRAMACION YA ADELANTO 52 SOLES </t>
  </si>
  <si>
    <t>Sustento de pago PPC - OTROS: SE REALIZO ADELANTO DE 500 SOLES LA DIFERENCIA SE EFECTUA HASTA EL 27.02  / HORARIO DE PAGO: Mañana</t>
  </si>
  <si>
    <t xml:space="preserve">Sustento de pago PPC - OTROS: se reprograma  por la lluvia no pudo generar el pago el dia de mañana realizara el pago </t>
  </si>
  <si>
    <t xml:space="preserve">Sustento de pago PPC - OTROS: SE REPROGRAMA EL 29 LE PAGARAN EL SUELDO </t>
  </si>
  <si>
    <t xml:space="preserve">Sustento de pago PPC - OTROS: se reprograma por que esta lejos y recien el dia dong llegara </t>
  </si>
  <si>
    <t>Sustento de pago PPC - OTROS: se respeta mensaje de promocion</t>
  </si>
  <si>
    <t>Sustento de pago PPC - OTROS: SE ROMPIO SU PIERNA LO AYUDARAN PARA QUE PAGUE EN HUARAZ SOBRE 300 / HORARIO DE PAGO: Mañana</t>
  </si>
  <si>
    <t>Sustento de pago PPC - OTROS: se sus cachuelos trabajo 150 ppc</t>
  </si>
  <si>
    <t>Sustento de pago PPC - OTROS: seguira trabajando en colectivo para cancelar entre hoy o mas tardar el miercoles no tiene whatssap</t>
  </si>
  <si>
    <t xml:space="preserve">Sustento de pago PPC - OTROS: segun lo conversado con jefatura se autorizo el  monto de  120 soles para condonar. </t>
  </si>
  <si>
    <t>Sustento de pago PPC - OTROS: segun sus posibilidades economicas si es factible pagar el importe 700</t>
  </si>
  <si>
    <t xml:space="preserve">Sustento de pago PPC - OTROS: SEGUN SUS POSIBILIDADES HARA EL PAGO CON LA CAMPAÑA DE DSCTO POR 377 ANTES DE FIN DE MES </t>
  </si>
  <si>
    <t xml:space="preserve">Sustento de pago PPC - OTROS: SEGUN SUS POSIBILIDADES OBTENDRA EL DINERO PARA CANCELAR </t>
  </si>
  <si>
    <t xml:space="preserve">Sustento de pago PPC - OTROS: SEGUN SUS POSIBILIDADES VE FACTIBLE CANCELAR CON ESE IMPORTE </t>
  </si>
  <si>
    <t>Sustento de pago PPC - OTROS: segundo1810gmailcom ppc de 100 15 06</t>
  </si>
  <si>
    <t>Sustento de pago PPC - OTROS: SEÑOR MENCIONA FERNANDO MENCIONA QUE EL DIA MARTES SE ACERCARA ACA A LA OFICINA A REALIZAR LA CONSULTA Y LUEGO IRA A LA OFICINA DE SAN ISIDRO A REALIZAR EL PAGO SE LE MENCIONA EN REITERADAS OPOTUNIDADES QUE SOLO PUEDE PAGAR CON EL IMPORTE DE 4000 SOLES SR MENCIONA QUE SI SE ACERCAR A LA OFICINA. SE LE MENCIONA QUE SE LE ARA LLEGAR ACUERDO DE PAGO.  / HORARIO DE PAGO: Mediodía</t>
  </si>
  <si>
    <t>Sustento de pago PPC - OTROS: SERIA ULTIMA CUOTA DE PAGO DE LOS 1103</t>
  </si>
  <si>
    <t>Sustento de pago PPC - OTROS: SERVICIO DE GASFITERIA</t>
  </si>
  <si>
    <t xml:space="preserve">Sustento de pago PPC - OTROS: si contaria </t>
  </si>
  <si>
    <t xml:space="preserve">Sustento de pago PPC - OTROS: si contaria con el dinero </t>
  </si>
  <si>
    <t xml:space="preserve">Sustento de pago PPC - OTROS: SI CONTARIA CON IMPORTE EXCEPCIONAL ADELANTA 50 SOLES EL DIA DE MAÑANA </t>
  </si>
  <si>
    <t>Sustento de pago PPC - OTROS: SI CUENTA CON DINERO LE DARIAN DE SU TRABAJO</t>
  </si>
  <si>
    <t>Sustento de pago PPC - OTROS: si no paga 270 cam con 1203 / HORARIO DE PAGO: Tarde</t>
  </si>
  <si>
    <t xml:space="preserve">Sustento de pago PPC - OTROS: si puede conseguir ese importe solo que el esta en un lugar alejado de la cuidad </t>
  </si>
  <si>
    <t>Sustento de pago PPC - OTROS: si tiene la economia para asumir deuda en campña por 500</t>
  </si>
  <si>
    <t xml:space="preserve">Sustento de pago PPC - OTROS: SI TRABAJA </t>
  </si>
  <si>
    <t>Sustento de pago PPC - OTROS: sigue en obra indica que el pago lo hara el viernes o mas tardar sabado</t>
  </si>
  <si>
    <t>Sustento de pago PPC - OTROS: sin seach  ppc de 1000</t>
  </si>
  <si>
    <t xml:space="preserve">Sustento de pago PPC - OTROS: SMS </t>
  </si>
  <si>
    <t xml:space="preserve">Sustento de pago PPC - OTROS: sms 167  tiene el dinero </t>
  </si>
  <si>
    <t xml:space="preserve">Sustento de pago PPC - OTROS: SMS CAMPAÑA 113 </t>
  </si>
  <si>
    <t>Sustento de pago PPC - OTROS: sms campaña 413</t>
  </si>
  <si>
    <t xml:space="preserve">Sustento de pago PPC - OTROS: SMS GRABACION </t>
  </si>
  <si>
    <t>Sustento de pago PPC - OTROS: SMS LLMADA AL CEL CORP</t>
  </si>
  <si>
    <t>Sustento de pago PPC - OTROS: SOBRE 2500 EL JUEVES 11.01 ADELANTARA 300 Y HASTA FIN DE MES CANCELARA 2200 / HORARIO DE PAGO: Mañana</t>
  </si>
  <si>
    <t>Sustento de pago PPC - OTROS: sobre 450 hoy depositara 100 y el miercoles 350 / HORARIO DE PAGO: Mañana</t>
  </si>
  <si>
    <t>Sustento de pago PPC - OTROS: SOBRE 464 HOY DARA 100 Y EL VIERNES 19.1 COMPLETARA / HORARIO DE PAGO: Mañana</t>
  </si>
  <si>
    <t>Sustento de pago PPC - OTROS: SOBRE 820 ADELANTARA HOY 50 Y EL 26.01 COMPLETARA LA DIFERENCIA  / HORARIO DE PAGO: Mañana</t>
  </si>
  <si>
    <t>Sustento de pago PPC - OTROS: sobre giro bancario internacional</t>
  </si>
  <si>
    <t>Sustento de pago PPC - OTROS: sobrina encagada de realizar el pago</t>
  </si>
  <si>
    <t xml:space="preserve">Sustento de pago PPC - OTROS: Sobrina encargada de Pagos Evelyn Santana se compromete a pagar el dia de mañana a las 10am el monto de 2500 soles en la misma oficina de qapaq </t>
  </si>
  <si>
    <t>Sustento de pago PPC - OTROS: SOBRINA MARGARITA QUISPE. DNI 02433676. RESP DE CUENTA PAGARA MIN1 EL 21.12</t>
  </si>
  <si>
    <t xml:space="preserve">Sustento de pago PPC - OTROS: solo a podido conseguir 500 para poder cancelar </t>
  </si>
  <si>
    <t>Sustento de pago PPC - OTROS: SP DINERO AHORRADO II SE ENVIARA COMPROMISO DE CANCELACION</t>
  </si>
  <si>
    <t xml:space="preserve">Sustento de pago PPC - OTROS: SP RECIBIRA PAGO UNA DEUDA PENDIENTE EL JUEVES PPC 2100 SI PUEDE ABONARA ANTES LA MITAD SE ENVIARA COMPROMISO DE CANCELACION </t>
  </si>
  <si>
    <t xml:space="preserve">Sustento de pago PPC - OTROS: SR EL DIA DE HOY PAGARA ESTA EN COLAA BCP EL DMER LO PONMDRA SU HERMANO </t>
  </si>
  <si>
    <t>Sustento de pago PPC - OTROS: sr javier cancelara la deuda con 240 el sabado 7 nov</t>
  </si>
  <si>
    <t xml:space="preserve">Sustento de pago PPC - OTROS: SR JUAN CAMPOS MEDINA 42560368  ESPOSO DE TT SE HACE CARGO DE LA DEUDA </t>
  </si>
  <si>
    <t>Sustento de pago PPC - OTROS: SR LUIS ALBERTO ESPOSO PAGARA EL 14 SEP EL MONTO DE 660</t>
  </si>
  <si>
    <t>Sustento de pago PPC - OTROS: SR ROY QUISPE HUAMAN ESPOSO ARA EL PAGO DE 190 HOY MIERCOLES 24</t>
  </si>
  <si>
    <t>Sustento de pago PPC - OTROS: SR. JHOEL MELO DÍAZ. CON DNI 47218526 ENCARGADO PAGARA 3000 SOLES. PRIMER PAGO EL 22.01 DE 1400 Y A FIN DE MES LOS 1600 RESTANTES</t>
  </si>
  <si>
    <t>Sustento de pago PPC - OTROS: sr.victor sarmiento paga en cdk / HORARIO DE PAGO: Tarde</t>
  </si>
  <si>
    <t xml:space="preserve">Sustento de pago PPC - OTROS: SRA GLADYS HERMANA CANCELARA EL 30 CON EL MONTO DE 92 YA QUE LE LLEGO UN MSJ </t>
  </si>
  <si>
    <t>Sustento de pago PPC - OTROS: sra menciona que el prestamo era para su amiga pero ella estara pagando ya que se afectada en el sistema financiero  / HORARIO DE PAGO: Mañana</t>
  </si>
  <si>
    <t xml:space="preserve">Sustento de pago PPC - OTROS: SRa RUTH JIMENEZ GALVEZ DNI 03084132  ENCARGADA DE PAGOS  SE COMUNICA INDICANDO QUE ESTE MES CANCELA LA DEUDA TOTAL DE SU HIJO SR RAUL  SE INGRESA PPC  POR 600  SUMA DE LAS 3 CUOTAS  QUE DEBE </t>
  </si>
  <si>
    <t xml:space="preserve">Sustento de pago PPC - OTROS: Sra SONIA MERCEDES GONZALES ALLCA con DNI 45398117 se hara responsable de pago se comunico para acudir a la obligacion el dia lunes estara pagando ya que tt no se encuentra y le hara el deposito para que lo pueda pagar </t>
  </si>
  <si>
    <t>Sustento de pago PPC - OTROS: stp 1600 ahorros y 200 prestamo</t>
  </si>
  <si>
    <t xml:space="preserve">Sustento de pago PPC - OTROS: STP CUENTA PENDIENTE DE SU TRABAJO ANTERIOR </t>
  </si>
  <si>
    <t xml:space="preserve">Sustento de pago PPC - OTROS: STP DE SU TRABAJO DE COSTURA </t>
  </si>
  <si>
    <t>Sustento de pago PPC - OTROS: stp descuento de planilla  no tengo search</t>
  </si>
  <si>
    <t xml:space="preserve">Sustento de pago PPC - OTROS: stp dinero en mano 965749092 </t>
  </si>
  <si>
    <t xml:space="preserve">Sustento de pago PPC - OTROS: STP JUNTARA 13 06 20 ABONA 100  Y SEMANAL CAMPAÑA 343 </t>
  </si>
  <si>
    <t>Sustento de pago PPC - OTROS: stp planilla whatsap 968638602 compromiso de pago adelanto 50 soles 24 del 09 del 2020</t>
  </si>
  <si>
    <t>Sustento de pago PPC - OTROS: stp trabajos eventuales 100 lunes.18.11</t>
  </si>
  <si>
    <t>Sustento de pago PPC - OTROS: STP. COBRO DE UN DINERO 560 HASTA EL DÍA 30.01 O EN FEBRERO 748 SOLES PPC</t>
  </si>
  <si>
    <t>Sustento de pago PPC - OTROS: stp. su negocio 787 el dia 24.11</t>
  </si>
  <si>
    <t>Sustento de pago PPC - OTROS: su empresa no le habia pagado y en la quincena le paga el sueldo</t>
  </si>
  <si>
    <t>Sustento de pago PPC - OTROS: su esposa ara el deposito de 120 el dia de mañana sabado 7</t>
  </si>
  <si>
    <t>Sustento de pago PPC - OTROS: su esposo la apoyara con el dinero</t>
  </si>
  <si>
    <t xml:space="preserve">Sustento de pago PPC - OTROS: su esposo le ayudara a pagar </t>
  </si>
  <si>
    <t>Sustento de pago PPC - OTROS: su esposo le ayudará con los pagos</t>
  </si>
  <si>
    <t>Sustento de pago PPC - OTROS: su esposo le brindara el dinero el día lunes 14</t>
  </si>
  <si>
    <t xml:space="preserve">Sustento de pago PPC - OTROS: su esposo le dara de su semana y de ahi pagara </t>
  </si>
  <si>
    <t>Sustento de pago PPC - OTROS: su esposo le dara el dinero</t>
  </si>
  <si>
    <t>Sustento de pago PPC - OTROS: SU ESPOSO LE VA APOYAR EN EL PAGO S54800 CON ESE IMPORTE LIQUIDA LA DEUDA SE LE MANDARA LA INFORMACION POR WSP</t>
  </si>
  <si>
    <t xml:space="preserve">Sustento de pago PPC - OTROS: su hermanao llegara de viaje y le prestara dinero </t>
  </si>
  <si>
    <t>Sustento de pago PPC - OTROS: su hermano le agenciara efectivo</t>
  </si>
  <si>
    <t>Sustento de pago PPC - OTROS: su hija le  dara el dinero</t>
  </si>
  <si>
    <t>Sustento de pago PPC - OTROS: su hija le enviara el dinero en esa fecha</t>
  </si>
  <si>
    <t>Sustento de pago PPC - OTROS: su hijo le dara el dinero de su retiro afp</t>
  </si>
  <si>
    <t xml:space="preserve">Sustento de pago PPC - OTROS: su hijo le mandara ya que el iba a pagar </t>
  </si>
  <si>
    <t>Sustento de pago PPC - OTROS: su hijo lo apoyara con pago</t>
  </si>
  <si>
    <t>Sustento de pago PPC - OTROS: su padre la girara un dinero con ello pagara</t>
  </si>
  <si>
    <t xml:space="preserve">Sustento de pago PPC - OTROS: su salario de su trabajo </t>
  </si>
  <si>
    <t>Sustento de pago PPC - OTROS: sueldo y dinero prestado de bono de padre</t>
  </si>
  <si>
    <t>Sustento de pago PPC - OTROS: sus ahorros</t>
  </si>
  <si>
    <t>Sustento de pago PPC - OTROS: sus famialiares estuvieron mal de salud</t>
  </si>
  <si>
    <t>Sustento de pago PPC - OTROS: Sus familiares le juntara dinero para cancelar ya que el sr tiene enfermedad</t>
  </si>
  <si>
    <t xml:space="preserve">Sustento de pago PPC - OTROS: sus hijos le daran el dinero </t>
  </si>
  <si>
    <t>Sustento de pago PPC - OTROS: sustent o de pog de dinero q bva recibir</t>
  </si>
  <si>
    <t xml:space="preserve">Sustento de pago PPC - OTROS: SUSTENTO DE PAGO ES SU ESPOSO EL RECIBE SUELDO EN QUINCENA </t>
  </si>
  <si>
    <t>Sustento de pago PPC - OTROS: sustento de pog famliar le pagara mañana de un trabajo que hizo</t>
  </si>
  <si>
    <t xml:space="preserve">Sustento de pago PPC - OTROS: SUSTENTO DE POG LE DAN SUS HJOS </t>
  </si>
  <si>
    <t xml:space="preserve">Sustento de pago PPC - OTROS: SUSTENTO VENDERA SU GANADO 30 DE OCTUBRE </t>
  </si>
  <si>
    <t xml:space="preserve">Sustento de pago PPC - OTROS: SUSTETNTO DE POG DE UN TRABAJO Q VA HACER </t>
  </si>
  <si>
    <t>Sustento de pago PPC - OTROS: T.EVENTUAL ADELANTARA 100 SOLES MÑN 20 01 Y LA DIFEREBCIA EL 29 01</t>
  </si>
  <si>
    <t>Sustento de pago PPC - OTROS: TACITA DEMORO EN ABRIR SE INDICA SE INFO DE DISCADOR  PPC DE 300</t>
  </si>
  <si>
    <t>Sustento de pago PPC - OTROS: tarde cancel 150  / HORARIO DE PAGO: Tarde</t>
  </si>
  <si>
    <t xml:space="preserve">Sustento de pago PPC - OTROS: TAT CORTANTE. IND QUE EL DIA LUNES PAGARA LOS 241 SOLES </t>
  </si>
  <si>
    <t>Sustento de pago PPC - OTROS: tat habla con Mariangela  solicitud a pagar 77 a espera de aprobacion de pago</t>
  </si>
  <si>
    <t>Sustento de pago PPC - OTROS: tendra el dinero hasta fin de mes por motivo de viaje no pudo pagar antes enviar cta bcp carta por wsp</t>
  </si>
  <si>
    <t xml:space="preserve">Sustento de pago PPC - OTROS: tenia un taller  y tuvo un problema familiar y por eso se retraso  en pagar  y cerro su negocio actualmente   le deben un dinero y co eso cancela su deuda </t>
  </si>
  <si>
    <t xml:space="preserve">Sustento de pago PPC - OTROS: TERMINARA DE CANCELAR CON LOS 500 RESTANTES PARA QUE CANCELE </t>
  </si>
  <si>
    <t>Sustento de pago PPC - OTROS: tgt   dic hiy pagara / HORARIO DE PAGO: Tarde</t>
  </si>
  <si>
    <t>Sustento de pago PPC - OTROS: TIA ROSA CARPIO OVIEDO CANCELARA 400</t>
  </si>
  <si>
    <t>Sustento de pago PPC - OTROS: tiene 150 completa el lunes</t>
  </si>
  <si>
    <t>Sustento de pago PPC - OTROS: tiene 260 a la mano  enviar compromiso de pago  excepcion</t>
  </si>
  <si>
    <t xml:space="preserve">Sustento de pago PPC - OTROS: tiene 3000 en mano  hara lo posible para pagar antes del 28  interesada </t>
  </si>
  <si>
    <t>Sustento de pago PPC - OTROS: TIENE 500 SOLES A LA MANO</t>
  </si>
  <si>
    <t>Sustento de pago PPC - OTROS: tiene 600 en mano y se prestara la diferencia</t>
  </si>
  <si>
    <t xml:space="preserve">Sustento de pago PPC - OTROS: tiene 700  se presta 280 para completar acuerdo </t>
  </si>
  <si>
    <t>Sustento de pago PPC - OTROS: tiene ahorros con ello pagara</t>
  </si>
  <si>
    <t>Sustento de pago PPC - OTROS: tiene ahorros y se prestará la diferencia con familiares</t>
  </si>
  <si>
    <t xml:space="preserve">Sustento de pago PPC - OTROS: TIENE CACHUELOS CON ELLO REUNIRA EL DINERO </t>
  </si>
  <si>
    <t xml:space="preserve">Sustento de pago PPC - OTROS: TIENE CONVENIO DE PAGO EN BASE A 1500 PAGO EN JULIO 750 Y EL 31 DE AGOSTO EFECTUARA LA DIFERENCIA DE 750 </t>
  </si>
  <si>
    <t xml:space="preserve">Sustento de pago PPC - OTROS: tiene dinero a la mano </t>
  </si>
  <si>
    <t>Sustento de pago PPC - OTROS: tiene dinero a la mano cuenta con el importe de 1900 soles campaña excepcional</t>
  </si>
  <si>
    <t>Sustento de pago PPC - OTROS: tiene dinero en efectivo</t>
  </si>
  <si>
    <t>Sustento de pago PPC - OTROS: tiene dinero en mano</t>
  </si>
  <si>
    <t xml:space="preserve">Sustento de pago PPC - OTROS: tiene dinero en mano cancela bajo excepcion </t>
  </si>
  <si>
    <t xml:space="preserve">Sustento de pago PPC - OTROS: tiene dinero en mano cancela con excepcion aprobada </t>
  </si>
  <si>
    <t xml:space="preserve">Sustento de pago PPC - OTROS: tiene dinero en mano cancela la deuda hoy </t>
  </si>
  <si>
    <t xml:space="preserve">Sustento de pago PPC - OTROS: TIENE DINERO EN MANO JUNTO PARA CANCELAR </t>
  </si>
  <si>
    <t>Sustento de pago PPC - OTROS: TIENE DINERO EN MANO PARA CANCELACIÓN DE DEUDA / HORARIO DE PAGO: Tarde</t>
  </si>
  <si>
    <t>Sustento de pago PPC - OTROS: tiene dinero en mano pero no tiene tiempo hoy esta full</t>
  </si>
  <si>
    <t>Sustento de pago PPC - OTROS: tiene dinero en mano pero recien va a viajar el jueves a cusco para pagar</t>
  </si>
  <si>
    <t>Sustento de pago PPC - OTROS: tiene dinero en mano pero sale de trabajar a las 6 y 30 y los dos unicos agentes que tiene cerca estan cerrados dice que el sabado sale temprano</t>
  </si>
  <si>
    <t xml:space="preserve">Sustento de pago PPC - OTROS: tiene dinero en mano se encuentra laborando su esposa brindo el numero de tt </t>
  </si>
  <si>
    <t xml:space="preserve">Sustento de pago PPC - OTROS: TIENE DINERO LE FALTA COMPLETA CAMPAÑA 248 SMS </t>
  </si>
  <si>
    <t xml:space="preserve">Sustento de pago PPC - OTROS: tiene dinero para el dia de mañana tipificacion anteriro error fecha </t>
  </si>
  <si>
    <t>Sustento de pago PPC - OTROS: Tiene dudas inidica que lo realizaria el dia Miercoles se le envia informacion por wsp</t>
  </si>
  <si>
    <t>Sustento de pago PPC - OTROS: TIENE EL DINERO</t>
  </si>
  <si>
    <t>Sustento de pago PPC - OTROS: TIENE EL DINERO 150 A LA MANO RESTO COMPLETA</t>
  </si>
  <si>
    <t>Sustento de pago PPC - OTROS: TIENE EL DINERO 200 EXCEPCION</t>
  </si>
  <si>
    <t>Sustento de pago PPC - OTROS: tiene el dinero 350 se va acercar a huancayo a cumplir el pago mismo credinka  el 23 llega  se me fue la ficha</t>
  </si>
  <si>
    <t>Sustento de pago PPC - OTROS: TIENE EL DINERO 400 TARDE</t>
  </si>
  <si>
    <t>Sustento de pago PPC - OTROS: TIENE EL DINERO 580 SE ENVIARA COMPROMISO DE PAGO BASE MANUAL TACITA</t>
  </si>
  <si>
    <t>Sustento de pago PPC - OTROS: TIENE EL DINERO APLICACION IBK</t>
  </si>
  <si>
    <t xml:space="preserve">Sustento de pago PPC - OTROS: TIENE EL DINERO CERRADO WHATSAPP 328 SMS </t>
  </si>
  <si>
    <t xml:space="preserve">Sustento de pago PPC - OTROS: TIENE EL DINERO DESEA CARTA DE NO ADEUDO </t>
  </si>
  <si>
    <t xml:space="preserve">Sustento de pago PPC - OTROS: tiene el dinero en mano </t>
  </si>
  <si>
    <t>Sustento de pago PPC - OTROS: TIENE EL DINERO EN MANO 300  VA PAGAR POR TRANSFERENCIA BBVA A IBK   EXCEPCION</t>
  </si>
  <si>
    <t xml:space="preserve">Sustento de pago PPC - OTROS: TIENE EL DINERO EN MANO PPC DE 900 EXCEPCION HABILITADA </t>
  </si>
  <si>
    <t>Sustento de pago PPC - OTROS: tiene el dinero enviar acuerdo sa acercara a oh a validar y realizara pago</t>
  </si>
  <si>
    <t>Sustento de pago PPC - OTROS: tiene el dinero no pago por tiempo no viajo agencia</t>
  </si>
  <si>
    <t xml:space="preserve">Sustento de pago PPC - OTROS: tiene el dinero trabja en contruccion </t>
  </si>
  <si>
    <t>Sustento de pago PPC - OTROS: tiene el dinero va mandar su familiar tienes 2 numeros llamada corporativo</t>
  </si>
  <si>
    <t>Sustento de pago PPC - OTROS: TIENE EL DINERO VA PAGAR 233  EXCEPCION    SE ENVIO INFORMACION WHATSAPP</t>
  </si>
  <si>
    <t>Sustento de pago PPC - OTROS: tiene el dinero va pagar por bcp  excepcion</t>
  </si>
  <si>
    <t>Sustento de pago PPC - OTROS: TIENE EL MEDIO ECONOMICO SU HIJA LO APOYARA Y LO REALIZARA EL DIA DE MAÑANA</t>
  </si>
  <si>
    <t>Sustento de pago PPC - OTROS: tiene en mano 160 pero juntara la diferencia</t>
  </si>
  <si>
    <t>Sustento de pago PPC - OTROS: tiene en mano 2000 y mñn completa la diferencia x la tarde</t>
  </si>
  <si>
    <t>Sustento de pago PPC - OTROS: tiene en mano 300 soles 200 soles se prestara para mañana</t>
  </si>
  <si>
    <t>Sustento de pago PPC - OTROS: tiene en mano 550 y se esta prestando 50 para completar</t>
  </si>
  <si>
    <t>Sustento de pago PPC - OTROS: tiene juntadom y se prestara para completar</t>
  </si>
  <si>
    <t>Sustento de pago PPC - OTROS: TIENE LA ECONOMIA PARA CANCELAR CON ESE MONTO EL 20 DE AGOS 200 Y A FIN DE MES 200</t>
  </si>
  <si>
    <t>Sustento de pago PPC - OTROS: TIENE LA MITAD Y LO OTRO SE VA PRESTAR</t>
  </si>
  <si>
    <t xml:space="preserve">Sustento de pago PPC - OTROS: tiene la solvencia economica para asumir el pago el dia viernes </t>
  </si>
  <si>
    <t>Sustento de pago PPC - OTROS: TIENE NEGOCIO</t>
  </si>
  <si>
    <t>Sustento de pago PPC - OTROS: tiene negocio y mñn le pagan sus clientes</t>
  </si>
  <si>
    <t>Sustento de pago PPC - OTROS: tiene taller adelanta 235 el 18 y diferencia el 31</t>
  </si>
  <si>
    <t>Sustento de pago PPC - OTROS: tiene trabajos eventuales con ello reunira el dinero</t>
  </si>
  <si>
    <t>Sustento de pago PPC - OTROS: tiene un negocio el dinero lo tuvo que coger para que tenga movimiento en su tienda</t>
  </si>
  <si>
    <t xml:space="preserve">Sustento de pago PPC - OTROS: tiene un pequeño negocio de libreria mencion aque no cancelo por que no tienen mas dinero asignado de la tacita </t>
  </si>
  <si>
    <t>Sustento de pago PPC - OTROS: tiene un pequeño negocio donde invertido dinero fin de mes contarar con la faiclidad para pode pagar</t>
  </si>
  <si>
    <t>Sustento de pago PPC - OTROS: tiene una cobranzas pendientes</t>
  </si>
  <si>
    <t xml:space="preserve">Sustento de pago PPC - OTROS: tit   dic ese fecha hara pag 4pm </t>
  </si>
  <si>
    <t>Sustento de pago PPC - OTROS: tit  hace pag con eceppcion / HORARIO DE PAGO: Mañana</t>
  </si>
  <si>
    <t>Sustento de pago PPC - OTROS: tit  ya tiene 300 soles para mañana el 20 complta cn 190 soles   entro llamada al cel 7</t>
  </si>
  <si>
    <t>Sustento de pago PPC - OTROS: TIT ABONA HOY 500 DE LE F ALTO DEL MES PASADO Y CUOTA CORREPSONDIENTE AESTE MES LO PAGARA EL 2812</t>
  </si>
  <si>
    <t xml:space="preserve">Sustento de pago PPC - OTROS: TIT CAN </t>
  </si>
  <si>
    <t>Sustento de pago PPC - OTROS: tit can utima cuotas de 160 soles</t>
  </si>
  <si>
    <t>Sustento de pago PPC - OTROS: tit cancela cn venta de ganado y anticipa 100 soles el 21 de oct</t>
  </si>
  <si>
    <t>Sustento de pago PPC - OTROS: TIT HARA PAGO CN SU PENSION</t>
  </si>
  <si>
    <t xml:space="preserve">Sustento de pago PPC - OTROS: TIT HOY CAN CN 1000 SOLES YA SE ACEPTO ECEPCION </t>
  </si>
  <si>
    <t>Sustento de pago PPC - OTROS: tit sustento de pgo sacara diner de su cuenta q tiene cn otra entidad</t>
  </si>
  <si>
    <t>Sustento de pago PPC - OTROS: titi  se acepto ecepicin por 1000 soles</t>
  </si>
  <si>
    <t>Sustento de pago PPC - OTROS: TITULAR ACCEDE A CANCELACION CON 650 SOLES PARA EL LUNES 19.02 POR LA MAÑANA EN CAJA TRUJILLO .NO TIENE WHATSAPP.SE LE INDICO COMO EMPLEAR PAGO EN VENTANILLA DE LA CAJA .INDICA ESTAR A 2 DIAS DE VIAJE A LA CIUDAD.ACOTA TENER GASTOS POR ELO REUNIRA / HORARIO DE PAGO: Mañana</t>
  </si>
  <si>
    <t>Sustento de pago PPC - OTROS: TITULAR ARA EL  PAGO TOTAL DE 205 EL SABADO 20</t>
  </si>
  <si>
    <t>Sustento de pago PPC - OTROS: titular cancela deuda de su campaña monto de 300 / HORARIO DE PAGO: Tarde</t>
  </si>
  <si>
    <t>Sustento de pago PPC - OTROS: titular cancelara 486 el 30 de junio indica que se le envie inf a su correo</t>
  </si>
  <si>
    <t xml:space="preserve">Sustento de pago PPC - OTROS: titular cancelara 510 de la ste manera el miercoles 11 abonara 150 el miercoles 18 abonara 150 y el 30 completara con 210 </t>
  </si>
  <si>
    <t xml:space="preserve">Sustento de pago PPC - OTROS: Titular cancelará con 300 soles dará un adelanto de 100 soles el dia de hoy 19 06 y lo restante a finales de mes </t>
  </si>
  <si>
    <t>Sustento de pago PPC - OTROS: TITULAR CANCELARA EL 15 DE JULIO MONTO DE 1500</t>
  </si>
  <si>
    <t>Sustento de pago PPC - OTROS: titular comenta cancelar con 700 soles el dia 15.03 200 soles y 20.03 400 soles / HORARIO DE PAGO: Mañana</t>
  </si>
  <si>
    <t>Sustento de pago PPC - OTROS: Titular confirma pago de 12000 soles para el jueves 28.02 con apoyo de tercero y hermano y asi definir situacion indica .lo empleara por caja trujillo antes de 12pm.  / HORARIO DE PAGO: Mediodía</t>
  </si>
  <si>
    <t>Sustento de pago PPC - OTROS: Titular confirma pago de 3000 soles para el 27.02 en caja los andes por la mañana se le dice enviarle con documento que presentara en caja y asi tambien este agendada en agencia . / HORARIO DE PAGO: Mañana</t>
  </si>
  <si>
    <t>Sustento de pago PPC - OTROS: TITULAR CONFIRMA PAGO DE 600 PARA EL 15 MONTO PENDIENTE DE 600</t>
  </si>
  <si>
    <t xml:space="preserve">Sustento de pago PPC - OTROS: TITULAR DEPOSITARA EL LUNES 27 Y CANCELARA 300 </t>
  </si>
  <si>
    <t>Sustento de pago PPC - OTROS: TITULAR EN BASE A 1000 PARA EL VIERNES 24 MONTO DE 500 Y EL JUEVES 30 COMPLETARA CON CON LA DIFRENCIA DE 500</t>
  </si>
  <si>
    <t>Sustento de pago PPC - OTROS: TITULAR EN BASE A 1890 PAGARA EL MARTES 14 MONTO DE 500 Y FIN DE MES 1390</t>
  </si>
  <si>
    <t>Sustento de pago PPC - OTROS: TITULAR EN BASE A 1890 PAGARA EL VIERNES 17 MONTO DE 500 Y FIN DE MES LA DIFERENCIA DE 1390</t>
  </si>
  <si>
    <t xml:space="preserve">Sustento de pago PPC - OTROS: titular en base a 8740 estara pagando el 15 de sept 4370 y el 30 sept 4370 </t>
  </si>
  <si>
    <t xml:space="preserve">Sustento de pago PPC - OTROS: titular en la tarde ara la cancelacion de 4000 </t>
  </si>
  <si>
    <t>Sustento de pago PPC - OTROS: Titular indica espera dinero de venta de sus anilmales el pago esta para el Lunes 22.04 antes de 12pm . / HORARIO DE PAGO: Mediodía</t>
  </si>
  <si>
    <t>Sustento de pago PPC - OTROS: titular indica que hara una cancelacion del monto total de 1320 para el dia jueves por la tarde ya que vendio un terreno que tenia y tiene liquides indico que es lo unico que tiene para poder pagar y que esta dispuesta a pagar todo. / HORARIO DE PAGO: Tarde</t>
  </si>
  <si>
    <t>Sustento de pago PPC - OTROS: titular indica que pagara el 15 febrero por motivo de pago en su centro de labor pago de cancelacion 300 soles  / HORARIO DE PAGO: Tarde</t>
  </si>
  <si>
    <t>Sustento de pago PPC - OTROS: titular indica que pagara el dia martes 27 feb y hoy abona 70 soles. motivo cobra fin de mes  / HORARIO DE PAGO: Tarde</t>
  </si>
  <si>
    <t>Sustento de pago PPC - OTROS: TITULAR INDICA QUE POR TIEMPO NO LOGRO REALIZARLO PAGO DE 200 SOLES PARA HOY VIERNES 16.02 EN CAJA LOS ANDES SAN SEBASTIAN A LAS 3PM  / HORARIO DE PAGO: Tarde</t>
  </si>
  <si>
    <t xml:space="preserve">Sustento de pago PPC - OTROS: TITULAR INDICA QUE SU CELULAR SE CAYO AL AGUA Y NO TENIA COMO DEPOSITAR Y QUE EL MIERCOLES 5 DE AGOSTO DEPOSITARA LOS 300 </t>
  </si>
  <si>
    <t xml:space="preserve">Sustento de pago PPC - OTROS: Titular indica que tiene dinero en mano solo le faltan 5 mil que se lo prestaran y el dia 15 estara cancelando la obligacion .  </t>
  </si>
  <si>
    <t>Sustento de pago PPC - OTROS: titular indica que tiene el dinero a la mano del pago de su sueldo indico que hara el deposito en un agente bcp  / HORARIO DE PAGO: Tarde</t>
  </si>
  <si>
    <t>Sustento de pago PPC - OTROS: TITULAR INDICA QUE VALIDO INFORMACION EN EL MISMO CREDINKA Y LE DIERON LA INFORMACION QUE EXPERTIS COMPRO LA DEUDA INDICA QUE PAGARA EL DIA DE MAÑANA VIERNES 31 MONTO DE 800 INDICA QUE SE LE ENVIE CARTA DE COMPROMISO A SU MOVIL</t>
  </si>
  <si>
    <t xml:space="preserve">Sustento de pago PPC - OTROS: TITULAR INDICCA QUE PRIMERO SE LE ENVIE DOCUMENTO QUE LE DE LA SEGURIDAD QUE CON 580 CANCELARA LA DEUDA FACILITA CORREO </t>
  </si>
  <si>
    <t>Sustento de pago PPC - OTROS: Titular realiza adelanto de 100 soles lo restante el miercoles 27.03 de 300 soles por app BCP. / HORARIO DE PAGO: Mañana</t>
  </si>
  <si>
    <t>Sustento de pago PPC - OTROS: Titular realiza el pago de 1700 soles para el 13.02 por caja los andes espera pago por la tarde  / HORARIO DE PAGO: Tarde</t>
  </si>
  <si>
    <t>Sustento de pago PPC - OTROS: titular realiza pago de 350 soles ultima cuota para el martes 30.04 porque aun esta en el campo antes de 12pm en CAJA LOS ANDES. / HORARIO DE PAGO: Mediodía</t>
  </si>
  <si>
    <t>Sustento de pago PPC - OTROS: titular se acoge a a pgo de cancelacion de su deuda total . / HORARIO DE PAGO: Tarde</t>
  </si>
  <si>
    <t>Sustento de pago PPC - OTROS: TITULAR SE ACOGE A CAMPAÑA DE 129 SOLES PARA CANCELAR SU DEUDA REALIZARA EL ABONO EL DIA LUNES 12 / HORARIO DE PAGO: Mañana</t>
  </si>
  <si>
    <t>Sustento de pago PPC - OTROS: TITULAR SE ACOGE A CAMPÑA DE CANCELACION TOTAL DE SU DEUDA EL PAGO LO REALIZARA EL DIA LUNES POR LA TARDE / HORARIO DE PAGO: Tarde</t>
  </si>
  <si>
    <t>Sustento de pago PPC - OTROS: TITULARA SE ACOGE A CAMPAÑA DE CANCELACION DE SU DEUDA POR UN IMPORTE DE 248 SOLES  / HORARIO DE PAGO: Tarde</t>
  </si>
  <si>
    <t xml:space="preserve">Sustento de pago PPC - OTROS: total 1600 dio 900 soles sabado restante 700 soles </t>
  </si>
  <si>
    <t>Sustento de pago PPC - OTROS: trabaj indep confirma cancelacion x 1000</t>
  </si>
  <si>
    <t>Sustento de pago PPC - OTROS: TRABAJA  PERO JUNTARA POR QUE LE PAGAN A INICIOS DE MES</t>
  </si>
  <si>
    <t xml:space="preserve">Sustento de pago PPC - OTROS: TRABAJA ACTIVO MENCIONA QUE NO PUEDE CANCELAR ANTES PERO SI CONTARIA CON IMPORTE DE CANELcion  </t>
  </si>
  <si>
    <t>Sustento de pago PPC - OTROS: TRABAJA COMO OBRERO Y CON SUELDO LIQUIDARA</t>
  </si>
  <si>
    <t>Sustento de pago PPC - OTROS: TRABAJA CON COMPRA Y VENTA DE GOLOSINAS ABONARA 100 PARA EL DIA 18 Y 400 PARA FIN DE MES</t>
  </si>
  <si>
    <t>Sustento de pago PPC - OTROS: trabaja con su moto</t>
  </si>
  <si>
    <t xml:space="preserve">Sustento de pago PPC - OTROS: trabaja cuidando ancianos activacion de campaña el lunes </t>
  </si>
  <si>
    <t>Sustento de pago PPC - OTROS: trabaja en campo indica que su capital era menos aprox 1500 dice que maximo propone 2000 para liquidar su deuda adelanta 1000 el 18 aprobado en linea por jefatura</t>
  </si>
  <si>
    <t>Sustento de pago PPC - OTROS: trabaja en construccion abona 50 soles hasta el 15</t>
  </si>
  <si>
    <t>Sustento de pago PPC - OTROS: trabaja en el campo</t>
  </si>
  <si>
    <t>Sustento de pago PPC - OTROS: trabaja en el campo pagara con dinero de venta de escobas</t>
  </si>
  <si>
    <t xml:space="preserve">Sustento de pago PPC - OTROS: TRABAJA EN LA MUNICIPALIDAD DE LIMPIEZA Y VA A PAGAR EL 12 DE ESTE MES 150 Y LO RESTANTE ESTE FIN </t>
  </si>
  <si>
    <t>Sustento de pago PPC - OTROS: TRABAJA EN MINA CON SUELDO PAGARA DEUDA DE CAMPAÑA</t>
  </si>
  <si>
    <t xml:space="preserve">Sustento de pago PPC - OTROS: trabaja en plainilla adelanto el dia de mañana 50 soles </t>
  </si>
  <si>
    <t xml:space="preserve">Sustento de pago PPC - OTROS: TRABAJA EN RESTAURANTE LE PAGAN EL 15 </t>
  </si>
  <si>
    <t xml:space="preserve">Sustento de pago PPC - OTROS: trabaja en una obra menciona que recien hace un mes </t>
  </si>
  <si>
    <t>Sustento de pago PPC - OTROS: trabaja eventual</t>
  </si>
  <si>
    <t>Sustento de pago PPC - OTROS: trabaja eventualmente</t>
  </si>
  <si>
    <t>Sustento de pago PPC - OTROS: TRABAJA INDEP.</t>
  </si>
  <si>
    <t xml:space="preserve">Sustento de pago PPC - OTROS: trabaja independiente </t>
  </si>
  <si>
    <t>Sustento de pago PPC - OTROS: TRABAJA INDEPENDIENTE  ESTA JUNTANDO DINERO PARA FIN DE MES</t>
  </si>
  <si>
    <t xml:space="preserve">Sustento de pago PPC - OTROS: trabaja independiente 457 ppc </t>
  </si>
  <si>
    <t>Sustento de pago PPC - OTROS: trabaja independiente adelanta 100 el 11</t>
  </si>
  <si>
    <t xml:space="preserve">Sustento de pago PPC - OTROS: trabaja independiente campaña 550 </t>
  </si>
  <si>
    <t xml:space="preserve">Sustento de pago PPC - OTROS: trabaja independiente es albañil realiza el pago al medio dia </t>
  </si>
  <si>
    <t xml:space="preserve">Sustento de pago PPC - OTROS: TRABAJA INDEPENDIENTE ii </t>
  </si>
  <si>
    <t>Sustento de pago PPC - OTROS: trabaja independiente no realizo el pago anterior por motivos personales se fue puso lento el discador se pudo tat de rpp</t>
  </si>
  <si>
    <t>Sustento de pago PPC - OTROS: trabaja independiente pagara 100 el día 10 de sep y diferencia 30 de sept</t>
  </si>
  <si>
    <t xml:space="preserve">Sustento de pago PPC - OTROS: trabaja independiente ppc 250 ind que tenia desc por eso no pago </t>
  </si>
  <si>
    <t>Sustento de pago PPC - OTROS: TRABAJA TAXEANDO Y TIENE UN DINERO AHORRADO COMPLETARA PARA FIN DE MES</t>
  </si>
  <si>
    <t>Sustento de pago PPC - OTROS: trabaja vendiendo frutas</t>
  </si>
  <si>
    <t xml:space="preserve">Sustento de pago PPC - OTROS: trabajar independiente venta productos comestibles fruta </t>
  </si>
  <si>
    <t xml:space="preserve">Sustento de pago PPC - OTROS: trabajara para poder juntar el dinero </t>
  </si>
  <si>
    <t xml:space="preserve">Sustento de pago PPC - OTROS: trabajio independiente tiene seguridad q pagara en la fecha 30 de julio con el importe de 453 soles </t>
  </si>
  <si>
    <t>Sustento de pago PPC - OTROS: trabajo activo</t>
  </si>
  <si>
    <t>Sustento de pago PPC - OTROS: TRABAJO ACTIVO EN OBRAS</t>
  </si>
  <si>
    <t>Sustento de pago PPC - OTROS: trabajo activo ONP</t>
  </si>
  <si>
    <t xml:space="preserve">Sustento de pago PPC - OTROS: TRABAJO ACTIVO SI CONTARIA CON LA TOTALIDAD ADELANTA EL DIA DE MAÑANA </t>
  </si>
  <si>
    <t xml:space="preserve">Sustento de pago PPC - OTROS: trabajo activo tiene dinero en mano tipificacion anterior es erroneo </t>
  </si>
  <si>
    <t xml:space="preserve">Sustento de pago PPC - OTROS: trabajo cambio fecha de pago por que se sentia mal de salud pero si realizara abono </t>
  </si>
  <si>
    <t>Sustento de pago PPC - OTROS: trabajo de campo como jornalera</t>
  </si>
  <si>
    <t>Sustento de pago PPC - OTROS: TRABAJO EVENTUAL</t>
  </si>
  <si>
    <t>Sustento de pago PPC - OTROS: TRABAJO EVENTUAL 300 PPC</t>
  </si>
  <si>
    <t>Sustento de pago PPC - OTROS: TRABAJO EVENTUAL CAMPAÑA 280  PARA EL 30 DE JUNIO    BASE SANDY</t>
  </si>
  <si>
    <t xml:space="preserve">Sustento de pago PPC - OTROS: TRABAJO EVENTUAL EL 13 ADELANTA 100 </t>
  </si>
  <si>
    <t xml:space="preserve">Sustento de pago PPC - OTROS: trabajo eventual monto a pagar 210 soles </t>
  </si>
  <si>
    <t xml:space="preserve">Sustento de pago PPC - OTROS: trabajo idependiente de conductor </t>
  </si>
  <si>
    <t>Sustento de pago PPC - OTROS: trabajo independiente</t>
  </si>
  <si>
    <t>Sustento de pago PPC - OTROS: trabajo independiente informal</t>
  </si>
  <si>
    <t>Sustento de pago PPC - OTROS: Trabajo independiente le pagan semanal los dias sabados</t>
  </si>
  <si>
    <t>Sustento de pago PPC - OTROS: TRABAJO INDEPENDITE</t>
  </si>
  <si>
    <t xml:space="preserve">Sustento de pago PPC - OTROS: trabajo recibo por honorario campaña de 15.12 </t>
  </si>
  <si>
    <t xml:space="preserve">Sustento de pago PPC - OTROS: trabajo tiene dinero pero primero cancela pago de luz adelanto mañana </t>
  </si>
  <si>
    <t>Sustento de pago PPC - OTROS: TRABAJOS  REALIZADOS DE LA SEMANA</t>
  </si>
  <si>
    <t xml:space="preserve">Sustento de pago PPC - OTROS: trabajos 100 soles el dia 20de10 y 200 el dia 31 </t>
  </si>
  <si>
    <t>Sustento de pago PPC - OTROS: trabajos de delivery adelanta el 18 50 soles</t>
  </si>
  <si>
    <t>Sustento de pago PPC - OTROS: TRABAJOS DE PAGOS REALIZADOS</t>
  </si>
  <si>
    <t>Sustento de pago PPC - OTROS: trabajos esporadicos</t>
  </si>
  <si>
    <t>Sustento de pago PPC - OTROS: trabajos eventuales</t>
  </si>
  <si>
    <t xml:space="preserve">Sustento de pago PPC - OTROS: TRABAJOS EVENTUALES 360 </t>
  </si>
  <si>
    <t>Sustento de pago PPC - OTROS: trabajos eventuales hoy adelanta 50</t>
  </si>
  <si>
    <t>Sustento de pago PPC - OTROS: TRABAJOS EVENTUALES SE ENCUENTRA VIAJANDO A CHINCA PARA REALIZAR DEPOSITO</t>
  </si>
  <si>
    <t>Sustento de pago PPC - OTROS: trabajos eventuales tt abono 50 hoy diferencia de 180 paga el 30 total 230 min2</t>
  </si>
  <si>
    <t>Sustento de pago PPC - OTROS: trabajos independientes</t>
  </si>
  <si>
    <t>Sustento de pago PPC - OTROS: trabajos independientes vende comida</t>
  </si>
  <si>
    <t>Sustento de pago PPC - OTROS: trabajos ofrecidos de su negocio</t>
  </si>
  <si>
    <t>Sustento de pago PPC - OTROS: trabajos realizados</t>
  </si>
  <si>
    <t>Sustento de pago PPC - OTROS: trabajos realizados de la semana</t>
  </si>
  <si>
    <t xml:space="preserve">Sustento de pago PPC - OTROS: transfiere x bcp </t>
  </si>
  <si>
    <t>Sustento de pago PPC - OTROS: tratara de hacer pago hoy como esta con gripe sino mañana sin falta / HORARIO DE PAGO: Mañana</t>
  </si>
  <si>
    <t>Sustento de pago PPC - OTROS: tratara de pagar hoy o maximo AM. enviar BCP Carta wsp  / HORARIO DE PAGO: Tarde</t>
  </si>
  <si>
    <t xml:space="preserve">Sustento de pago PPC - OTROS: travaja en la chacra  solo puede  ir el lunes se acerca  agencia </t>
  </si>
  <si>
    <t>Sustento de pago PPC - OTROS: tt   dic pagara fin de mes / HORARIO DE PAGO: Mañana</t>
  </si>
  <si>
    <t xml:space="preserve">Sustento de pago PPC - OTROS: TT  cancela el fin de mes esta en el campo trabajando </t>
  </si>
  <si>
    <t>Sustento de pago PPC - OTROS: tt  indica que ira a ofcina el lunes alñ mediodia a pagar 1400 para cancelar y de se posible darle  ese momento su carta no adeudo / HORARIO DE PAGO: Mediodía</t>
  </si>
  <si>
    <t xml:space="preserve">Sustento de pago PPC - OTROS: tt  llama diciendo que si pago el dia de ayer  pero no manda voucher se  ingresa ppc por la diferencia 1100   </t>
  </si>
  <si>
    <t xml:space="preserve">Sustento de pago PPC - OTROS: TT  MENCIONA QUE  JUNTO EL DINERO DE SU CAPITAL DE 4610 </t>
  </si>
  <si>
    <t xml:space="preserve">Sustento de pago PPC - OTROS: tt  menciona que le llego msj y quiere pagar  su hijo le prestara el dinero    ya que ella esta enferma </t>
  </si>
  <si>
    <t xml:space="preserve">Sustento de pago PPC - OTROS: TT  se compromete pagar 11 enero antes 5pm </t>
  </si>
  <si>
    <t>Sustento de pago PPC - OTROS: tt ab 2k por bcp pendiente 3k para el 16 / HORARIO DE PAGO: Tarde</t>
  </si>
  <si>
    <t>Sustento de pago PPC - OTROS: tt aboa 200 mañana y 500 hasta el 29</t>
  </si>
  <si>
    <t>Sustento de pago PPC - OTROS: tt aboanbara 2913 / HORARIO DE PAGO: Mediodía</t>
  </si>
  <si>
    <t xml:space="preserve">Sustento de pago PPC - OTROS: TT ABONA 100 EL 15 Y 30 1600  CANCELA DEUDA </t>
  </si>
  <si>
    <t>Sustento de pago PPC - OTROS: tt abona 100 el 21 y diferencia a fin de mes</t>
  </si>
  <si>
    <t>Sustento de pago PPC - OTROS: TT ABONA 100 HOY SALDO EL SABADO</t>
  </si>
  <si>
    <t>Sustento de pago PPC - OTROS: tt abona 15 y el 28 cancela</t>
  </si>
  <si>
    <t>Sustento de pago PPC - OTROS: tt abona 200 el lunes 7 y diferencia a fin de mes</t>
  </si>
  <si>
    <t xml:space="preserve">Sustento de pago PPC - OTROS: TT ABONA 250 ESTE VIERNES Y A FIN DE MES 700 </t>
  </si>
  <si>
    <t>Sustento de pago PPC - OTROS: tt abona 270 en 15 yu a fin de mes completa total</t>
  </si>
  <si>
    <t xml:space="preserve">Sustento de pago PPC - OTROS: tt abona 40 soles el día de hoy y el 30 de nov </t>
  </si>
  <si>
    <t xml:space="preserve">Sustento de pago PPC - OTROS: tt abona 430 en 15 y a fin de mes 400 </t>
  </si>
  <si>
    <t>Sustento de pago PPC - OTROS: tt abona 450 a fin de mes</t>
  </si>
  <si>
    <t>Sustento de pago PPC - OTROS: tt abona cancela con 1032 abona el lunes 06 500 y diferencia el 1507</t>
  </si>
  <si>
    <t>Sustento de pago PPC - OTROS: tt abona el 15 la mitad 240 y a fin de mes cancela 240</t>
  </si>
  <si>
    <t>Sustento de pago PPC - OTROS: TT Abona el 18  100 soles y diferencia el 30</t>
  </si>
  <si>
    <t>Sustento de pago PPC - OTROS: tt abona el 20 un parte y a fin de mes cancela</t>
  </si>
  <si>
    <t>Sustento de pago PPC - OTROS: tt abona el 27 gestionado por melina</t>
  </si>
  <si>
    <t>Sustento de pago PPC - OTROS: tt abona el 30 DT 698</t>
  </si>
  <si>
    <t>Sustento de pago PPC - OTROS: tt abona en la tarde</t>
  </si>
  <si>
    <t>Sustento de pago PPC - OTROS: tt abona la mitad en 15 y la diferencia a fin de mes</t>
  </si>
  <si>
    <t>Sustento de pago PPC - OTROS: tt abona par de 100 / HORARIO DE PAGO: Mediodía</t>
  </si>
  <si>
    <t xml:space="preserve">Sustento de pago PPC - OTROS: tt abonara 1500 mañana 13 enero y lo restante 500 el dia viernes 22 </t>
  </si>
  <si>
    <t>Sustento de pago PPC - OTROS: TT ABONARA 1800 20.01  MAS 1000 FDM POR PROBLEMAS FAMILIARES</t>
  </si>
  <si>
    <t>Sustento de pago PPC - OTROS: tt abonara 200 hasta 15 y diferencia a fines</t>
  </si>
  <si>
    <t xml:space="preserve">Sustento de pago PPC - OTROS: tt abonara 200 soles 19 y diferencia fin de mes </t>
  </si>
  <si>
    <t>Sustento de pago PPC - OTROS: tt abonara a las 4 pm es de urubamba  / HORARIO DE PAGO: Tarde</t>
  </si>
  <si>
    <t>Sustento de pago PPC - OTROS: tt abonara hoy 100 soles  y la diferencia en la fecha pactada / HORARIO DE PAGO: Tarde</t>
  </si>
  <si>
    <t>Sustento de pago PPC - OTROS: tt abonara hoy 50 soles 08.01 / HORARIO DE PAGO: Tarde</t>
  </si>
  <si>
    <t>Sustento de pago PPC - OTROS: tt abono 100 ayer el sabado pagara 152 completando lo d sept y a fines su utimo pago de 252</t>
  </si>
  <si>
    <t>Sustento de pago PPC - OTROS: tt abono 800 abonara dif de 1000</t>
  </si>
  <si>
    <t>Sustento de pago PPC - OTROS: tt abono ayer 100 soles en los andes hasta fines abonara el resto 290</t>
  </si>
  <si>
    <t xml:space="preserve">Sustento de pago PPC - OTROS: tt abono e dia 19 de diciembre  200 se le ofrece campaña de 580 se restaria de los 200 que ya abono y paga la diferencia </t>
  </si>
  <si>
    <t>Sustento de pago PPC - OTROS: tt accede a campaña de 410 soles .. en la cual hoy 15.01 adelanta 205 soles en caja de ayacucho y diferencia como maximo hasta el 30.01 / HORARIO DE PAGO: Mañana</t>
  </si>
  <si>
    <t>Sustento de pago PPC - OTROS: TT ACNCEELA CON EL IMPORTE DE 750</t>
  </si>
  <si>
    <t>Sustento de pago PPC - OTROS: tt adelanta 100 el 14 y la diferencia el 25</t>
  </si>
  <si>
    <t>Sustento de pago PPC - OTROS: tt adelanta 100 hoy y la diferencia el 25</t>
  </si>
  <si>
    <t>Sustento de pago PPC - OTROS: tt adelanta 284 restan 216 / HORARIO DE PAGO: Mañana</t>
  </si>
  <si>
    <t xml:space="preserve">Sustento de pago PPC - OTROS: tt adelanta el dia 20 de nov. trabaja en la altura de puno en l emprea FITEL en el area de supervisor </t>
  </si>
  <si>
    <t>Sustento de pago PPC - OTROS: tt adelanta pagar 600 en 9nov y 600 en  16nov</t>
  </si>
  <si>
    <t>Sustento de pago PPC - OTROS: TT ADELANTARA 200 EL 14 DE AGOSTO Y LA DIFERENCIA PAGARA EL 31 DE AGOSTO  GESTIONADO POR MELINA</t>
  </si>
  <si>
    <t>Sustento de pago PPC - OTROS: tt adelantara 300 soles el 8 de abril y completara con 200 el 29 / HORARIO DE PAGO: Tarde</t>
  </si>
  <si>
    <t>Sustento de pago PPC - OTROS: TT ADELANTARA 50 SOLES EL 13 DE AGOSTO Y LA DIFERENCIA DE 300 PAGARA EL 31 DE AGOSTO HACE TRABAJOS EVENTUALES</t>
  </si>
  <si>
    <t xml:space="preserve">Sustento de pago PPC - OTROS: tt adelanto y  pago 310 soles 21 de agosto y completa 108soles el 25 agosto </t>
  </si>
  <si>
    <t>Sustento de pago PPC - OTROS: tt ahorrara ya que su pequeña esta mal de salud</t>
  </si>
  <si>
    <t xml:space="preserve">Sustento de pago PPC - OTROS: TT AHORROS </t>
  </si>
  <si>
    <t>Sustento de pago PPC - OTROS: tt anterior erronea abona 100 no esta laborando pero juntara</t>
  </si>
  <si>
    <t>Sustento de pago PPC - OTROS: tt antivpa ho 50 soles / HORARIO DE PAGO: Mañana</t>
  </si>
  <si>
    <t xml:space="preserve">Sustento de pago PPC - OTROS: tt asegura pago para el 31 le falta completar para los 800  quiere hacer un solo pago cerrado por whatsapp </t>
  </si>
  <si>
    <t>Sustento de pago PPC - OTROS: TT ASEGURA QUE EL DIA LUNAS CONTARA CON LA DISPONIBILIDAD DE DINERO PARA CANCELAR  / HORARIO DE PAGO: Tarde</t>
  </si>
  <si>
    <t xml:space="preserve">Sustento de pago PPC - OTROS: tt baja ala ciudad desde 28 dic y se acercara a pagar </t>
  </si>
  <si>
    <t xml:space="preserve">Sustento de pago PPC - OTROS: tt campaña de 250 </t>
  </si>
  <si>
    <t>Sustento de pago PPC - OTROS: tt can 2500  / HORARIO DE PAGO: Mañana</t>
  </si>
  <si>
    <t>Sustento de pago PPC - OTROS: tt can 300  / HORARIO DE PAGO: Mañana</t>
  </si>
  <si>
    <t>Sustento de pago PPC - OTROS: TT CAN 450  / HORARIO DE PAGO: Mañana</t>
  </si>
  <si>
    <t>Sustento de pago PPC - OTROS: TT CAN CON 100SOLES  BRIND  WSP. 940643155 LE DARA DINERO SU PAREJA / HORARIO DE PAGO: Tarde</t>
  </si>
  <si>
    <t>Sustento de pago PPC - OTROS: TT CAN CON EL IMPORTE DE 3.6K EL DÍA 05.01  / HORARIO DE PAGO: Mañana</t>
  </si>
  <si>
    <t>Sustento de pago PPC - OTROS: TT CANC 2700  MAX 26 DE ENERO SE ENVIA WHATSAP / HORARIO DE PAGO: Tarde</t>
  </si>
  <si>
    <t>Sustento de pago PPC - OTROS: tt canc el total de su deuda con 1500 ab el lunes 22 750 y el 30 750 / HORARIO DE PAGO: Mañana</t>
  </si>
  <si>
    <t>Sustento de pago PPC - OTROS: tt cancela 1000 el 16 y la direncia a fin de mes</t>
  </si>
  <si>
    <t>Sustento de pago PPC - OTROS: tt cancela 150 el 15 / HORARIO DE PAGO: Mañana</t>
  </si>
  <si>
    <t>Sustento de pago PPC - OTROS: tt cancela 250 total enviara a alguien a cancelar ella esta en cuarenta</t>
  </si>
  <si>
    <t>Sustento de pago PPC - OTROS: tt cancela 30 al medio dia</t>
  </si>
  <si>
    <t>Sustento de pago PPC - OTROS: TT cancela 50 el 18 y diferencia el 30</t>
  </si>
  <si>
    <t xml:space="preserve">Sustento de pago PPC - OTROS: tt cancela 580 segun mensaje de texto </t>
  </si>
  <si>
    <t>Sustento de pago PPC - OTROS: TT cancela 650 abona 300 el 20 y saldo a fin de mes</t>
  </si>
  <si>
    <t xml:space="preserve">Sustento de pago PPC - OTROS: tt cancela 800  mañana  13 cancela 700 y el 17 cancela </t>
  </si>
  <si>
    <t>Sustento de pago PPC - OTROS: tt cancela 85 en 15 y diferencia a fin de mes</t>
  </si>
  <si>
    <t>Sustento de pago PPC - OTROS: tt cancela a fin de mes  adelanta 250 el 1608 y termina a fin de mes brinda numero 952089389</t>
  </si>
  <si>
    <t>Sustento de pago PPC - OTROS: tt cancela a fin de mes 402 esta 15 abona 50 y fin de mes cancela</t>
  </si>
  <si>
    <t>Sustento de pago PPC - OTROS: tt cancela a partir de las 2</t>
  </si>
  <si>
    <t>Sustento de pago PPC - OTROS: tt cancela al medio dia</t>
  </si>
  <si>
    <t>Sustento de pago PPC - OTROS: tt cancela antes del 30</t>
  </si>
  <si>
    <t>Sustento de pago PPC - OTROS: tt cancela bajo propuesta aprobada. Se envía datos de pago vía wsp / HORARIO DE PAGO: Tarde</t>
  </si>
  <si>
    <t>Sustento de pago PPC - OTROS: tt cancela bajo propuesta aprobada. Se envía datos vía wsp / HORARIO DE PAGO: Tarde</t>
  </si>
  <si>
    <t xml:space="preserve">Sustento de pago PPC - OTROS: TT cancela con 1200 </t>
  </si>
  <si>
    <t>Sustento de pago PPC - OTROS: tt cancela con 1350</t>
  </si>
  <si>
    <t>Sustento de pago PPC - OTROS: tt cancela con 200 hsta el 20 ab 50 el 11 y dif el 20 en los andes  / HORARIO DE PAGO: Mañana</t>
  </si>
  <si>
    <t>Sustento de pago PPC - OTROS: tt cancela con 600</t>
  </si>
  <si>
    <t>Sustento de pago PPC - OTROS: tt cancela con excepcion</t>
  </si>
  <si>
    <t>Sustento de pago PPC - OTROS: tt cancela con sueldo a fin de mes</t>
  </si>
  <si>
    <t>Sustento de pago PPC - OTROS: tt cancela cuota el 18 le llego mensaje con min 1</t>
  </si>
  <si>
    <t xml:space="preserve">Sustento de pago PPC - OTROS: tt cancela d sus ahorros </t>
  </si>
  <si>
    <t>Sustento de pago PPC - OTROS: TT cancela deuda con 400 segun lo acordado en el mes de agosto</t>
  </si>
  <si>
    <t>Sustento de pago PPC - OTROS: tt cancela deuda. Se envía datos vía wsp / HORARIO DE PAGO: Tarde</t>
  </si>
  <si>
    <t>Sustento de pago PPC - OTROS: TT cancela el 10 en la tard</t>
  </si>
  <si>
    <t xml:space="preserve">Sustento de pago PPC - OTROS: tt cancela el 15 </t>
  </si>
  <si>
    <t>Sustento de pago PPC - OTROS: tt cancela el 15 acaba de empezar de trabajar</t>
  </si>
  <si>
    <t>Sustento de pago PPC - OTROS: tt cancela el 15 dice se encuentra lejos</t>
  </si>
  <si>
    <t xml:space="preserve">Sustento de pago PPC - OTROS: TT cancela el 17 </t>
  </si>
  <si>
    <t xml:space="preserve">Sustento de pago PPC - OTROS: tt cancela el 24 pero hoy 20 abona </t>
  </si>
  <si>
    <t>Sustento de pago PPC - OTROS: tt cancela el 30 total 685 adelanto el 15  300</t>
  </si>
  <si>
    <t>Sustento de pago PPC - OTROS: tt cancela el dia sabado a las 11am</t>
  </si>
  <si>
    <t>Sustento de pago PPC - OTROS: tt cancela en agente de Banco Nación. Se envía datos de pago vía wsp / HORARIO DE PAGO: Tarde</t>
  </si>
  <si>
    <t>Sustento de pago PPC - OTROS: tt cancela en agente. Se envía datos de pago vía wsp / HORARIO DE PAGO: Tarde</t>
  </si>
  <si>
    <t>Sustento de pago PPC - OTROS: tt cancela en agente. Se envía datos vía wsp / HORARIO DE PAGO: Tarde</t>
  </si>
  <si>
    <t>Sustento de pago PPC - OTROS: tt cancela en Caja Trujillo. Se envía datos de pago vía wsp / HORARIO DE PAGO: Tarde</t>
  </si>
  <si>
    <t>Sustento de pago PPC - OTROS: tt cancela hasta el 8 en bcp 250.00 ira haciendo abonos hasta completar  / HORARIO DE PAGO: Mañana</t>
  </si>
  <si>
    <t>Sustento de pago PPC - OTROS: tt cancela hoy 308</t>
  </si>
  <si>
    <t>Sustento de pago PPC - OTROS: TT cancela la prox semana 100 y a fin de mes 1000</t>
  </si>
  <si>
    <t>Sustento de pago PPC - OTROS: tt cancela mañana primero desea envien correo con informacion ya se solicito</t>
  </si>
  <si>
    <t>Sustento de pago PPC - OTROS: TT cancela total 06</t>
  </si>
  <si>
    <t xml:space="preserve">Sustento de pago PPC - OTROS: TT CANCELARA 2780 EL 31 DE AGOSTO VIAJARA HASTA HUANCAYO </t>
  </si>
  <si>
    <t>Sustento de pago PPC - OTROS: TT CANCELARA CON 2350 EL DIA DE HOY 16 DE JULIO 2020</t>
  </si>
  <si>
    <t>Sustento de pago PPC - OTROS: TT CANCELARA CON 300 EL DIA 17 DE JULIO 2020</t>
  </si>
  <si>
    <t xml:space="preserve">Sustento de pago PPC - OTROS: tt cancelara con el importe de 3200 soles indica que solo cuenta con poco dinero ahora abonara el importe de 1000 soles el dia 03 de julio y fin de mes lo restante que seria 2200 soles se enviara </t>
  </si>
  <si>
    <t xml:space="preserve">Sustento de pago PPC - OTROS: tt cancelara con el importe de 390 el dia 07 de julio </t>
  </si>
  <si>
    <t>Sustento de pago PPC - OTROS: TT Cancelara con el importe de 615 soles  el dia 09 dara adelanto 100 soles y el dia 21 pagara lo restante 515 soles</t>
  </si>
  <si>
    <t>Sustento de pago PPC - OTROS: tt cancelara con excepcion 1500 el dia 31 de julio 2020</t>
  </si>
  <si>
    <t>Sustento de pago PPC - OTROS: tt cancelara con excepcion de 500</t>
  </si>
  <si>
    <t xml:space="preserve">Sustento de pago PPC - OTROS: tt cancelara con excepcion de 790 el dia 15 de julio </t>
  </si>
  <si>
    <t>Sustento de pago PPC - OTROS: tt cancelará deuda con 500 / HORARIO DE PAGO: Tarde</t>
  </si>
  <si>
    <t>Sustento de pago PPC - OTROS: tt cancelara deuda de 800 soles en sicuani propuesta aprobado / HORARIO DE PAGO: Mañana</t>
  </si>
  <si>
    <t>Sustento de pago PPC - OTROS: tt cancelara el dia 27 de julio con el importe de 250</t>
  </si>
  <si>
    <t>Sustento de pago PPC - OTROS: tt cancelara en base a campaña del mes de nov 821 adelanto 300 solo restaria 521 el dia de hoy abona ya le cancelaron un oendiente</t>
  </si>
  <si>
    <t>Sustento de pago PPC - OTROS: TT CANCELARA EN DOS PARTES HOY 500 Y EL 15DE ABRIL PAGARÍA  LA DIFF DE 200. DE ESA MANERA CANCELA. / HORARIO DE PAGO: Mañana</t>
  </si>
  <si>
    <t>Sustento de pago PPC - OTROS: TT cancelará en el banco BBVA no confirma hora de pago.  / HORARIO DE PAGO: Mañana</t>
  </si>
  <si>
    <t>Sustento de pago PPC - OTROS: tt cancelara su deuda 170 / HORARIO DE PAGO: Tarde</t>
  </si>
  <si>
    <t>Sustento de pago PPC - OTROS: TT CANCELO  / HORARIO DE PAGO: Mañana</t>
  </si>
  <si>
    <t>Sustento de pago PPC - OTROS: TT canceló deuda.  / HORARIO DE PAGO: Mañana</t>
  </si>
  <si>
    <t>Sustento de pago PPC - OTROS: tt cobra todos los 29 dice el lunes paga</t>
  </si>
  <si>
    <t>Sustento de pago PPC - OTROS: tt coemnta que tiene de sus ahorros</t>
  </si>
  <si>
    <t xml:space="preserve">Sustento de pago PPC - OTROS: tt comenta que se encuentra de viaje conseguridad ña siguiente semana estara retornando se realiza reprogramacion como ultima opcion en base a 1300 </t>
  </si>
  <si>
    <t>Sustento de pago PPC - OTROS: TT COMENTA QUE SI ESTA LABORANDO EN CHACRA</t>
  </si>
  <si>
    <t xml:space="preserve">Sustento de pago PPC - OTROS: tt comenta que si realizaria el pago ya que se le ofrecio campla de 500 soles el menciona ya se encuentra laborando </t>
  </si>
  <si>
    <t xml:space="preserve">Sustento de pago PPC - OTROS: TT COMENTA QUE TENDRA UN COBRO A LA QUINCENA GRABACION GUARDADA EN CARPETA </t>
  </si>
  <si>
    <t>Sustento de pago PPC - OTROS: tt comenta que tiene gastos con su hija solo tiene en mano 400 soles para hoy y a fin de mes los 200</t>
  </si>
  <si>
    <t xml:space="preserve">Sustento de pago PPC - OTROS: tt completa de reunir el dinero que recibira </t>
  </si>
  <si>
    <t xml:space="preserve">Sustento de pago PPC - OTROS: TT comuncia que hablara con su eposa para que le reste dinero y cancele deuda </t>
  </si>
  <si>
    <t xml:space="preserve">Sustento de pago PPC - OTROS: tT con problemas al depositar tiene mucho trabajo y sale tarde dice 07 dia  libre y realizara pago </t>
  </si>
  <si>
    <t>Sustento de pago PPC - OTROS: TT CONFIRMA ABONO DE 200 VIERNES 07 AGOSTO Y RESTANTE  HASTA 24 DE AGOSTO PPC POR 4800</t>
  </si>
  <si>
    <t xml:space="preserve">Sustento de pago PPC - OTROS: tt confirma abono para el dia lunes trabaja en chacra </t>
  </si>
  <si>
    <t>Sustento de pago PPC - OTROS: TT CONFIRMA CANCELAR POR WHATSAPP YA QUE SE ENCUENTRA OCUPADA</t>
  </si>
  <si>
    <t>Sustento de pago PPC - OTROS: tt confirma correccion de pago para el dia 2808 con seguridad pagara con liquidacion de haberes ya le confirmaron fecha</t>
  </si>
  <si>
    <t xml:space="preserve">Sustento de pago PPC - OTROS: tt confirma pagar por whasap </t>
  </si>
  <si>
    <t>Sustento de pago PPC - OTROS: TT CONFIRMA PAGO DE EXCEPCION BASE DE TAZA</t>
  </si>
  <si>
    <t>Sustento de pago PPC - OTROS: tt confirma pago el lunes  19</t>
  </si>
  <si>
    <t>Sustento de pago PPC - OTROS: TT CONFIRMA PAGO PARA HOY 2000</t>
  </si>
  <si>
    <t>Sustento de pago PPC - OTROS: TT CONFIRMA PAGO YA QUE HA IDO A TRABAJAR</t>
  </si>
  <si>
    <t>Sustento de pago PPC - OTROS: TT CONFIRMA PARA EL 20 DE JULIO PAGAR LA DIFERENCIA DE 250 QUE LE RESTA PARA QUE CANCELE</t>
  </si>
  <si>
    <t xml:space="preserve">Sustento de pago PPC - OTROS: tt confirma que consiguio el importe de 180 y estara acercandose a pagar y solicta acuerdo de cancelacion por correo </t>
  </si>
  <si>
    <t>Sustento de pago PPC - OTROS: TT CONFIRMA Y  CUENTA CON DINERO HOY PAGA EL IMPORTE DE 2000 SE LE ENVIO TAMBIEN LA CARTA DE SECION DE DERECHO</t>
  </si>
  <si>
    <t>Sustento de pago PPC - OTROS: tt confirma y asegura pago para el dia de mañana  / HORARIO DE PAGO: Tarde</t>
  </si>
  <si>
    <t>Sustento de pago PPC - OTROS: TT CONFIRMÓ CON SU JEFE QUE LE PAGARÁN EL DIA 25. NO TIENE NADA PARA ABONAR NI HOY NI MAÑANA. LO HARÁ EN SU TOTALIDAD EL 25 / HORARIO DE PAGO: Tarde</t>
  </si>
  <si>
    <t xml:space="preserve">Sustento de pago PPC - OTROS: tt conseguira dinero d su empleo </t>
  </si>
  <si>
    <t>Sustento de pago PPC - OTROS: tt conseguira el dinero si en caso es antes lo realiza</t>
  </si>
  <si>
    <t xml:space="preserve">Sustento de pago PPC - OTROS: TT CONSEGUIRA EL DINERO TALVEZ ABONE MAÑANA SE LE ENFIA DOCUMENTOS SOLICITADOS </t>
  </si>
  <si>
    <t xml:space="preserve">Sustento de pago PPC - OTROS: tt consigue dinero para el 26 monto 179 sms </t>
  </si>
  <si>
    <t>Sustento de pago PPC - OTROS: tt consiguio los 100 que le faltaba  mencio  que mañana realiza su pago ppc de 600</t>
  </si>
  <si>
    <t>Sustento de pago PPC - OTROS: tt contesta wsp pero del numero 943473954 e indica q el pagara los 700 soles el dia 15 de febrero si puede lo pagara antes  se le informo sobre la cna y esta de acuerdo / HORARIO DE PAGO: Tarde</t>
  </si>
  <si>
    <t>Sustento de pago PPC - OTROS: TT CONVERSARA CON SU FAMILIAR. PODRA PAGAR EL MIN1</t>
  </si>
  <si>
    <t>Sustento de pago PPC - OTROS: tt cuenta con 200 los abona hasta el 15 y diferencia hasta el 23</t>
  </si>
  <si>
    <t>Sustento de pago PPC - OTROS: tt cuenta con dinero de ahorros</t>
  </si>
  <si>
    <t>Sustento de pago PPC - OTROS: TT cuenta con dinero en mano 1838 monto le llegó por SMS enviar compromiso de pago por desconfianza del cl al 939841521</t>
  </si>
  <si>
    <t>Sustento de pago PPC - OTROS: tt cuenta con el dinero</t>
  </si>
  <si>
    <t>Sustento de pago PPC - OTROS: tt cuenta con el dinero sin embargo primero validara info de transferencia de cartera y posterior a ello pagara</t>
  </si>
  <si>
    <t>Sustento de pago PPC - OTROS: TT CUENTA CON EL IMPORTE DE 240 SOLES EN MANO HOY MISMO 22 DE JUNIO TIENE UN POCO DE INSEGURIDAD SE MANDARA EL PROCESO DE PAGO Y A CARTA DE RESPALDO</t>
  </si>
  <si>
    <t xml:space="preserve">Sustento de pago PPC - OTROS: tt cuenta con la mitad de la deuda el prestamo fue para su tio y para el completa la diferencia tiene que viajar a la agencia  su tio va hacer el pago </t>
  </si>
  <si>
    <t>Sustento de pago PPC - OTROS: tt cuenta con negocio propio de ropa  realizara el pago de 1025 el dia 16 de julio y la diferencia de 1025 el dia 23 de julio</t>
  </si>
  <si>
    <t>Sustento de pago PPC - OTROS: TT DEBERIA ABONAR MINIMO 100 EL JUEVES 8 / HORARIO DE PAGO: Mañana</t>
  </si>
  <si>
    <t>Sustento de pago PPC - OTROS: tt depositara el restante de los 565 para el 29 ya abono 100 / HORARIO DE PAGO: Mañana</t>
  </si>
  <si>
    <t>Sustento de pago PPC - OTROS: TT DESCONFIA dice que todos los llaman</t>
  </si>
  <si>
    <t xml:space="preserve">Sustento de pago PPC - OTROS: TT DESCONFIADO CONFIRMA CANCELACION PARA 244 BCP POR LA MAÑANA </t>
  </si>
  <si>
    <t>Sustento de pago PPC - OTROS: tt desea cancelar el 15 total dk 499  cancela con 165</t>
  </si>
  <si>
    <t>Sustento de pago PPC - OTROS: tt desea primero el doc de compromiso de pago</t>
  </si>
  <si>
    <t>Sustento de pago PPC - OTROS: tt dice abonar 300 hasta 5 de junio y 1300 para el 18</t>
  </si>
  <si>
    <t xml:space="preserve">Sustento de pago PPC - OTROS: TT dice cancela el 20 estara de viaje regresando pago </t>
  </si>
  <si>
    <t>Sustento de pago PPC - OTROS: tt dice estar a la espera d eun dinero q le pagaran hasta maximo el 28</t>
  </si>
  <si>
    <t>Sustento de pago PPC - OTROS: TT DICE Q CANCELA EL 20 QEU COBRA LOS 400 / HORARIO DE PAGO: Mañana</t>
  </si>
  <si>
    <t>Sustento de pago PPC - OTROS: TT DICE Q EDP NO LE CONTESTA DICE Q ELLA PUEDE PRESTARSE HASTA 300 PARA EL LUNES 19 EN AG JULIACA  / HORARIO DE PAGO: Mediodía</t>
  </si>
  <si>
    <t>Sustento de pago PPC - OTROS: tt dice q este saldo es de una reprogramacion q le hicieron se da 80 soles tt vende fruta ene l mercado es madre soltera de 2 niñas escolares paga en los andes  / HORARIO DE PAGO: Mañana</t>
  </si>
  <si>
    <t>Sustento de pago PPC - OTROS: TT DICE QUE PAGARA EL IMPORTE A ESA FECHA CON SEGURIDAD</t>
  </si>
  <si>
    <t>Sustento de pago PPC - OTROS: tt dice que su hermana le va a prestar 500 para adelantar mñn 02 y el completa con su sueldo el 15 de sept</t>
  </si>
  <si>
    <t>Sustento de pago PPC - OTROS: TT DICE TRABAJa en un campo minero a fueras de puno y recien el prox viernes bajaria a Putina  q tiene dia libre y haria el pago si tiene el dinero solo es q no ha podiod bajar por trabajo  / HORARIO DE PAGO: Mañana</t>
  </si>
  <si>
    <t xml:space="preserve">Sustento de pago PPC - OTROS: tt dinero de una ahorro que reunira con mama </t>
  </si>
  <si>
    <t>Sustento de pago PPC - OTROS: TT EL 25 abona A cuenta y el 30 cancela</t>
  </si>
  <si>
    <t>Sustento de pago PPC - OTROS: TT EL DIA DE MAÑAN REALIZA ADELANTO DE 280 SOLES Y AFIN DE MES LO RESTANTE 300</t>
  </si>
  <si>
    <t xml:space="preserve">Sustento de pago PPC - OTROS: tt el dia miercoles cancela por la tarde excepcion aprobada por Julio </t>
  </si>
  <si>
    <t>Sustento de pago PPC - OTROS: TT ENCARAGRA EL APGO PARA QIUE LO REALICEN EN ILAVE se envia info por wsp / HORARIO DE PAGO: Tarde</t>
  </si>
  <si>
    <t>Sustento de pago PPC - OTROS: TT ENFERMA DICE QUE SI PUEDE PAGARLO PERO LA SGT SEMANA / HORARIO DE PAGO: Tarde</t>
  </si>
  <si>
    <t>Sustento de pago PPC - OTROS: tt es independiente en esa fecha recibira su pago enviar acuerdo por wsp</t>
  </si>
  <si>
    <t xml:space="preserve">Sustento de pago PPC - OTROS: tt especial  dice que no quiere que le envien informacion pero ya dijo que estaria cancelando a fin de mes 480  </t>
  </si>
  <si>
    <t>Sustento de pago PPC - OTROS: tt espera de solicitud de excepcion</t>
  </si>
  <si>
    <t>Sustento de pago PPC - OTROS: TT ESPERA UN PAGO. PAGARA EL 15.01</t>
  </si>
  <si>
    <t>Sustento de pago PPC - OTROS: tt esta buscando e restante para pagar 240 para terminar de pagar su ceunta  / HORARIO DE PAGO: Tarde</t>
  </si>
  <si>
    <t>Sustento de pago PPC - OTROS: TT ESTA EN ECUADOR Y VA A MANDAR EL PAGO A UNA PERSONA DE CONFIANZA  QUIERE PAGAR SE LE MANDARA POR WSP LA INFORMACION DE LA DEUDA</t>
  </si>
  <si>
    <t xml:space="preserve">Sustento de pago PPC - OTROS: tt esta en provincia esta haciendo trabajos eventuales pagara el dia viernes </t>
  </si>
  <si>
    <t xml:space="preserve">Sustento de pago PPC - OTROS: TT ESTA JUNTANDO IMPORTE MENCIONA QUE SI LO CONSIGUE ANTES CANCELA ANTES DE LA FECHA </t>
  </si>
  <si>
    <t>Sustento de pago PPC - OTROS: TT ESTA TRABAJA MANEJANDO PODRA PAGAR EL 20.01 MIN1</t>
  </si>
  <si>
    <t>Sustento de pago PPC - OTROS: tt estara cobrando un dinero</t>
  </si>
  <si>
    <t>Sustento de pago PPC - OTROS: tt estuvo delicada de salud y le robaron abona hoy 250 soles 20 de julio en agente bcp</t>
  </si>
  <si>
    <t>Sustento de pago PPC - OTROS: tt ha podido reunir</t>
  </si>
  <si>
    <t xml:space="preserve">Sustento de pago PPC - OTROS: tt ha tenido percanses economicos confirma pagar mañana </t>
  </si>
  <si>
    <t>Sustento de pago PPC - OTROS: tt hace taxi por ese motivo incumplio pago pero indica que el 4 estara pagando sin falta</t>
  </si>
  <si>
    <t>Sustento de pago PPC - OTROS: tt hara abono de 300 soles el dia de mañana en credinka y restante a fin de mes se negocio por un importe de 5000</t>
  </si>
  <si>
    <t>Sustento de pago PPC - OTROS: tt hará cancelación por 150  / HORARIO DE PAGO: Mañana</t>
  </si>
  <si>
    <t>Sustento de pago PPC - OTROS: tt hara canclcion de lo que falta el miercoles / HORARIO DE PAGO: Mañana</t>
  </si>
  <si>
    <t>Sustento de pago PPC - OTROS: TT HARA EL PAGO DE LA CANCELACION DE SU DEUDA INDICA QUE SE ACOGERA CON 590 SE LE DA PLAZO HASTA EL 19 PERO ENTRE HOY O MAÑANA HARA UN PAGO  / HORARIO DE PAGO: Tarde</t>
  </si>
  <si>
    <t>Sustento de pago PPC - OTROS: tt hara el pago el dia 20 ya que esta fuera de la ciudad trabajo por huancayo pargara el 20 regresando  / HORARIO DE PAGO: Tarde</t>
  </si>
  <si>
    <t>Sustento de pago PPC - OTROS: tt hara el pago el dioa de hoy posiblememte  / HORARIO DE PAGO: Tarde</t>
  </si>
  <si>
    <t>Sustento de pago PPC - OTROS: TT HARA EL PAGOP EL DIA DE MAÑANA PAGARA EN HUANUCAO 200 / HORARIO DE PAGO: Tarde</t>
  </si>
  <si>
    <t>Sustento de pago PPC - OTROS: TT HARA LA CANCELACION DE SU DEUDA CON 790 DINERO DE SU LIQUIDACIUON  / HORARIO DE PAGO: Tarde</t>
  </si>
  <si>
    <t>Sustento de pago PPC - OTROS: TT HARA PAGO 1500 EL DIA 30.01 CREDINKA AYAVIRI    / HORARIO DE PAGO: Mañana</t>
  </si>
  <si>
    <t>Sustento de pago PPC - OTROS: tt hara pago de 350 el dia 20.03 en CAJA TRUJILLO  / HORARIO DE PAGO: Mediodía</t>
  </si>
  <si>
    <t>Sustento de pago PPC - OTROS: tt hara pago de 400 del dia 15.03 en agente bcp  hara un abono de 150 el dia 08.03 y el dia 15.30 monto de 250 soles  / HORARIO DE PAGO: Tarde</t>
  </si>
  <si>
    <t>Sustento de pago PPC - OTROS: tt hara su pago el dia de mañana la cancelacion 500 por la tarde 5 pm  / HORARIO DE PAGO: Tarde</t>
  </si>
  <si>
    <t>Sustento de pago PPC - OTROS: tt haria el pago mañana / HORARIO DE PAGO: Mañana</t>
  </si>
  <si>
    <t xml:space="preserve">Sustento de pago PPC - OTROS: TT HERMANO DE TT LE DARA EL DINERO </t>
  </si>
  <si>
    <t xml:space="preserve">Sustento de pago PPC - OTROS: tt hija wendy se hace responsable de pago julio aprobo excepcion </t>
  </si>
  <si>
    <t>Sustento de pago PPC - OTROS: tt hoy abona 100 soles y a fines la diferencia</t>
  </si>
  <si>
    <t>Sustento de pago PPC - OTROS: tt hoy abona 400 soles y 100 el 29</t>
  </si>
  <si>
    <t xml:space="preserve">Sustento de pago PPC - OTROS: tt icumplio a la fecha de pago por motivo de salud de su madre viajo a lima para realizarle resonancia ahora indica que si realizaria el pago </t>
  </si>
  <si>
    <t>Sustento de pago PPC - OTROS: TT ID QUE NO PUDO PAGAR ANTES POR TEMAS DE TIEMPO Y PORQUE VIAJA MUCHO A LA SIERRA. ID QUE MAÑANA 13.03 IRÁ A CAJA TRUJILLO A REALIZAR EL PAGO. / HORARIO DE PAGO: Mediodía</t>
  </si>
  <si>
    <t xml:space="preserve">Sustento de pago PPC - OTROS: tt ind que no pago ya que esta ala espera de su pago el cual recibira el viernes </t>
  </si>
  <si>
    <t>Sustento de pago PPC - OTROS: TT ind que no recibio su pago el sabado recibira ello enviar Cta BCP Ibk  / HORARIO DE PAGO: Mañana</t>
  </si>
  <si>
    <t>Sustento de pago PPC - OTROS: tt ind que por horario laboral el viernes recien estaria pagando</t>
  </si>
  <si>
    <t>Sustento de pago PPC - OTROS: tt ind que tendra el dinero enviar carta a ccorreo</t>
  </si>
  <si>
    <t xml:space="preserve">Sustento de pago PPC - OTROS: tt ind que tiene trabajo eventual con ello pagara </t>
  </si>
  <si>
    <t>Sustento de pago PPC - OTROS: tt indica  que hara pago de 2000 el dia 14.02  primer pago de 1000 sole hoy 07.02 y otro pago de 1000 soles el dia 14.02 en caja los andes de TUPAC AMARU JULIACA pago se hara entre 02 a 03pm  / HORARIO DE PAGO: Tarde</t>
  </si>
  <si>
    <t>Sustento de pago PPC - OTROS: tt indica  que hoy depocitaria 230 y el 15 el distante</t>
  </si>
  <si>
    <t>Sustento de pago PPC - OTROS: tt indica abona 50 el 16 y a fin de mes 200</t>
  </si>
  <si>
    <t xml:space="preserve">Sustento de pago PPC - OTROS: tt indica abona el 25 cancela total </t>
  </si>
  <si>
    <t xml:space="preserve">Sustento de pago PPC - OTROS: tt indica cancela hasta el 29 puede ser antes </t>
  </si>
  <si>
    <t>Sustento de pago PPC - OTROS: TT INDICA DE VIAJE QUE REGRESARA PARA FECHA 20 DE ENERO A CUMPLIR CON CANCELACION.  / HORARIO DE PAGO: Mañana</t>
  </si>
  <si>
    <t xml:space="preserve">Sustento de pago PPC - OTROS: tt indica esta en mina pero pedira a familia para realizar pago </t>
  </si>
  <si>
    <t>Sustento de pago PPC - OTROS: tt indica lava ropa pagaria el dia 12 el importe 100</t>
  </si>
  <si>
    <t xml:space="preserve">Sustento de pago PPC - OTROS: tt indica paga en 15 </t>
  </si>
  <si>
    <t xml:space="preserve">Sustento de pago PPC - OTROS: TT indica paga hoy o mañana </t>
  </si>
  <si>
    <t xml:space="preserve">Sustento de pago PPC - OTROS: tt indica pagar el 30 ya que ese dia tiene salida de su trabajo  no cuenta con alguien que le ayude a pagar  whatsapp </t>
  </si>
  <si>
    <t>Sustento de pago PPC - OTROS: tt indica q hoy se acercara a canc los 1200 / HORARIO DE PAGO: Mediodía</t>
  </si>
  <si>
    <t>Sustento de pago PPC - OTROS: tt indica que  pagara  / HORARIO DE PAGO: Tarde</t>
  </si>
  <si>
    <t xml:space="preserve">Sustento de pago PPC - OTROS: tt indica que abona el dia 09 de julio el monto de 300 soles y el dia 31 de julio el restante de 300 soles </t>
  </si>
  <si>
    <t xml:space="preserve">Sustento de pago PPC - OTROS: tt indica que anteriormente le llamaban a cobrarle 175 soles se le indica que se genero intereses que el monto que podria ayudarle es como minimo2 </t>
  </si>
  <si>
    <t xml:space="preserve">Sustento de pago PPC - OTROS: TT INDICA QUE CAN EL DIA 07 DE JUNIO EN HORA DE ALMUERZO EL IMPORTE DE 150 SOLES </t>
  </si>
  <si>
    <t>Sustento de pago PPC - OTROS: tt indica que cancelará los 450 el día 29 con adelanto de 100 soles el día 15 a más tardar 16 / HORARIO DE PAGO: Mañana</t>
  </si>
  <si>
    <t>Sustento de pago PPC - OTROS: tt indica que cancelaría lo restante el día 25 pero haria lo posible para que sea antes pagó hoy 200 soles queda restando 2750 / HORARIO DE PAGO: Mediodía</t>
  </si>
  <si>
    <t>Sustento de pago PPC - OTROS: TT INDICA QUE CAYO ENFERMA Y QUE GASTO EN MEDICINA PIDE QUE SE LE APOYE CON DESCUENTO ADICIONAL  / HORARIO DE PAGO: Tarde</t>
  </si>
  <si>
    <t xml:space="preserve">Sustento de pago PPC - OTROS: tt indica que conseguira el dinero </t>
  </si>
  <si>
    <t>Sustento de pago PPC - OTROS: TT INDICA QUE DESEA CANCELAR CON LA CAMPAÑA SUDEUDA  / HORARIO DE PAGO: Tarde</t>
  </si>
  <si>
    <t xml:space="preserve">Sustento de pago PPC - OTROS: TT indica que dinero fue para un tercero ella actualmente está gestando y por ello ha dejado de trabajar recibe apoyo económico de su esposo el Sr Carlos Mendoza quien es taxista. Realizará abonos diarios de 100 soles recibirá tambien junta de 1000 soles el dia 25  </t>
  </si>
  <si>
    <t>Sustento de pago PPC - OTROS: TT INDICA QUE EL DIA 15 PAGARA LOS 350 SOLES DE COAMPÑA  / HORARIO DE PAGO: Tarde</t>
  </si>
  <si>
    <t>Sustento de pago PPC - OTROS: TT INDICA QUE EL DINERO NO PUDO JUNTARLO QUE LLEGA A LIMA LA OTRA SEMANA PARA VENDER SU AUTO Y CON ESO LIQUIDA LA DEUDA  / HORARIO DE PAGO: Mañana</t>
  </si>
  <si>
    <t xml:space="preserve">Sustento de pago PPC - OTROS: Tt indica que es policia y el dia 27 le estan realizando el pago de su sueldo </t>
  </si>
  <si>
    <t xml:space="preserve">Sustento de pago PPC - OTROS: tt indica que esta a la espera del cheque mañana 03 estara pagando el monto 300 soles y la diferencia para la quincena la diferencia 3200 </t>
  </si>
  <si>
    <t xml:space="preserve">Sustento de pago PPC - OTROS: tt indica que esta en la chacra ese dia bajara </t>
  </si>
  <si>
    <t xml:space="preserve">Sustento de pago PPC - OTROS: TT INDICA QUE ESTA EN LA ESPERA DE LA AFP CON ESE DINERO PAGARA </t>
  </si>
  <si>
    <t>Sustento de pago PPC - OTROS: tt indica que esta fuera de cuzco pero mandara a un familiar para que lo pague a mas tardar el 04 sept</t>
  </si>
  <si>
    <t>Sustento de pago PPC - OTROS: tt indica que estara abonando semanalmente y compromete completar al dia 30 diciembre la cuota campaña que se enviaron por sms</t>
  </si>
  <si>
    <t>Sustento de pago PPC - OTROS: tt indica que hara el pago total para el dia 26 de este mes haciendo mencion lo aprobado por gerencia se realizara el pago total de 1000 soles dando un adelanto de 150 para el dia de hoy como compromiso de pago para la cancelacion total para la fecha acordada de la diferencia de 850 segun lo acordado de 1000 como pago total con el cliente. / HORARIO DE PAGO: Tarde</t>
  </si>
  <si>
    <t>Sustento de pago PPC - OTROS: tt indica que hara pago de 200 soles el dia 19.04 en caja trujillo   antes del mediodia  motivo de no pago enfermo por pandemia estuvo UCI en estado de coma trabaja en reparto de deliveri y ese dia le pagan lo que le deben  / HORARIO DE PAGO: Mediodía</t>
  </si>
  <si>
    <t>Sustento de pago PPC - OTROS: tt indica que hara pago de 450 el di a20.02 en caja losaandes de ilave  / HORARIO DE PAGO: Tarde / CANAL ENVIO - LLAMADA</t>
  </si>
  <si>
    <t>Sustento de pago PPC - OTROS: tt indica que labora y va a tener el dinero el dia 27 julio 135 soles  y agosto lo restante en la misma cj sullana</t>
  </si>
  <si>
    <t xml:space="preserve">Sustento de pago PPC - OTROS: tt indica que le atrasaron su pago le pagan el dia 16 enero y confirma su pago caso si pagara antes se comunicara </t>
  </si>
  <si>
    <t>Sustento de pago PPC - OTROS: tt indica que le brindan un dinero aparte de su tienda que tiene</t>
  </si>
  <si>
    <t>Sustento de pago PPC - OTROS: tt indica que le eatrasaron su pago confirma el 28dic</t>
  </si>
  <si>
    <t>Sustento de pago PPC - OTROS: TT INDICA QUE MAÑANA ESTARA RECIBIENDO UN PAGO CON EL CUAL CANCELARA SU DEUDA CON  / HORARIO DE PAGO: Mediodía</t>
  </si>
  <si>
    <t>Sustento de pago PPC - OTROS: TT INDICA QUE MAÑANA SI PUEDE CONSEGUIR 02 DE JUNIO 150 SOLES Y LO RESTANTE EL DIA 15 DE JUNIO 177</t>
  </si>
  <si>
    <t xml:space="preserve">Sustento de pago PPC - OTROS: tt indica que mñn le daran dinero que estaba pendiente no especifica origen </t>
  </si>
  <si>
    <t xml:space="preserve">Sustento de pago PPC - OTROS: tt indica que no pago por falta de tiempo hoy se acerca </t>
  </si>
  <si>
    <t xml:space="preserve">Sustento de pago PPC - OTROS: tt indica que no podra realizar su pago el dia de hoy ya que dinero le daria su hermano y se encuentra delicado de salud solicita que se le reprograme para el lunes 31 ya que asegura que estaria contando con totalidad </t>
  </si>
  <si>
    <t>Sustento de pago PPC - OTROS: tt indica que no pudo pagar por desconfianza ya que al ir a la oficina le indicaron que no pagara y que no sabian nada de la transferencia de cuentas tambien habrer sido estafado pero su reclamo no procedio con BBVA pagara el dia lunes 11 de marz con el importe a liquidar 700 soles   / HORARIO DE PAGO: Mañana</t>
  </si>
  <si>
    <t>Sustento de pago PPC - OTROS: TT INDICA QUE NO PUDO REALIZAR LA CANCELACIÓN Y LE INDICARON QUE EL 15 LE PAGARAN PARA LIQUIDAR CON 850 / HORARIO DE PAGO: Mañana</t>
  </si>
  <si>
    <t>Sustento de pago PPC - OTROS: tt indica que paga 10 de junio 200 y el dia 27 de junio 300</t>
  </si>
  <si>
    <t>Sustento de pago PPC - OTROS: TT indica que pagará 4PM  / HORARIO DE PAGO: Mañana</t>
  </si>
  <si>
    <t>Sustento de pago PPC - OTROS: tt indica que pagará el 25 de Enero por la tarde   / HORARIO DE PAGO: Tarde</t>
  </si>
  <si>
    <t>Sustento de pago PPC - OTROS: tt indica que pagara el importe de 1125 el dia 26 junio sustento tt trabaja y recibira su sueldo</t>
  </si>
  <si>
    <t>Sustento de pago PPC - OTROS: tt indica que pagará el viernes los 257 / HORARIO DE PAGO: Tarde</t>
  </si>
  <si>
    <t>Sustento de pago PPC - OTROS: tt indica que pagará mañana a las 10 am. No pudo pagar porque salió de viaje por motivo de emergencia / HORARIO DE PAGO: Tarde</t>
  </si>
  <si>
    <t xml:space="preserve">Sustento de pago PPC - OTROS: tt indica que pagara por la tarde </t>
  </si>
  <si>
    <t>Sustento de pago PPC - OTROS: tt indica que pagaria  / HORARIO DE PAGO: Tarde</t>
  </si>
  <si>
    <t>Sustento de pago PPC - OTROS: tt indica que pago todo pero si verifica su deuda pagara 50 en estos dias y a fin de mes restante / HORARIO DE PAGO: Tarde</t>
  </si>
  <si>
    <t xml:space="preserve">Sustento de pago PPC - OTROS: tt indica que por demora de pago en su trabajo no pudo realizar el pago en las fechas anteriores que indico se le indico que si en esta fecha no cumple habra una penalidad de por medio  </t>
  </si>
  <si>
    <t>Sustento de pago PPC - OTROS: TT INDICA QUE PUEDE CANCELAR 300 EL DIA DE MAÑANA / HORARIO DE PAGO: Tarde</t>
  </si>
  <si>
    <t xml:space="preserve">Sustento de pago PPC - OTROS: tt indica que puede pagar 50 semanal </t>
  </si>
  <si>
    <t xml:space="preserve">Sustento de pago PPC - OTROS: tt indica que quiere salir de infocorp ya que no quiere estar en rojo quiere cancelar la deuda hara un adelnto de 300 soles el dia sabado 11 de julio y lo restante fin de mes o antes ya que recibira dinero doble y su hermano le dara 5 mil soles ya que dinero fue para los 2 </t>
  </si>
  <si>
    <t>Sustento de pago PPC - OTROS: tt indica que realizara el pago de 210 como pago total para cancelar la deuda se acercara a las oficinas a hacer el deposito por el pago total en la tarde / HORARIO DE PAGO: Mañana</t>
  </si>
  <si>
    <t>Sustento de pago PPC - OTROS: tt indica que realizara el pago de acuerdo al monto acordado campaña de 180  / HORARIO DE PAGO: Mañana</t>
  </si>
  <si>
    <t>Sustento de pago PPC - OTROS: tt indica que realizara la cancelacion con el importe de 780 para el dia 13 de julio</t>
  </si>
  <si>
    <t xml:space="preserve">Sustento de pago PPC - OTROS: tt indica que realizara la cancelacion con el importe de 840 el dia 09 de julio </t>
  </si>
  <si>
    <t xml:space="preserve">Sustento de pago PPC - OTROS: tt indica que realizaría un ahorro para realizar </t>
  </si>
  <si>
    <t>Sustento de pago PPC - OTROS: tt indica que recibe el dinero 25 enero y se acerca a pagar</t>
  </si>
  <si>
    <t>Sustento de pago PPC - OTROS: TT INDICA QUE RECIBE EL DINERO 28 ENERO SI ES ANTES PAGARA</t>
  </si>
  <si>
    <t>Sustento de pago PPC - OTROS: tt indica que recibe el dinero el dia 25 enero y se acercara a pagar a tenido un atraso de pago</t>
  </si>
  <si>
    <t>Sustento de pago PPC - OTROS: tt indica que recien empieza a laborar  el 16 de sept</t>
  </si>
  <si>
    <t xml:space="preserve">Sustento de pago PPC - OTROS: tt indica que recien hoy le salio su cheque para cobrar el lunes de su y no pudo realizar su pago el lunes 14 al medio dia estara realizando su pago </t>
  </si>
  <si>
    <t xml:space="preserve">Sustento de pago PPC - OTROS: tt indica que se acerco a la oficina de chota pero no le dejaron pagar indicna que el dia jueves se acercara a las 10 am </t>
  </si>
  <si>
    <t>Sustento de pago PPC - OTROS: tt indica que se apersono a la financiera a preguntar deuda se le indico importe se acoge a la campaña 60 el dia 04 de junio</t>
  </si>
  <si>
    <t>Sustento de pago PPC - OTROS: TT indica que se encuentra en la mina y tiene el dinero en efectivo el sabado que baje de la mina hará pago</t>
  </si>
  <si>
    <t xml:space="preserve">Sustento de pago PPC - OTROS: tt indica que solio consiguió 400 soles y tratara de conseguir los 200 de diferencia para fin de mes </t>
  </si>
  <si>
    <t>Sustento de pago PPC - OTROS: tt indica que solo cuenta con 388 soles en este momento lo estara realizando el pago antes de las 5pm</t>
  </si>
  <si>
    <t xml:space="preserve">Sustento de pago PPC - OTROS: tt indica que su amigo le prestara el dinero para que pueda pagar pagara hoy a la 6 y media aprox ya que tiene un agente ibk al costado de su trabajo </t>
  </si>
  <si>
    <t>Sustento de pago PPC - OTROS: TT INDICA QUE SU ESPOSA LE AYUDARA A PAGAR. 13.01 PAGARA 50 Y A FIN DE MES LO RESTANTE 300</t>
  </si>
  <si>
    <t>Sustento de pago PPC - OTROS: tt indica que su hermano le gira dinero y realizara el pago de 200 el día sabado 18 de julio y el importe de 600 el día 31 de julio</t>
  </si>
  <si>
    <t xml:space="preserve">Sustento de pago PPC - OTROS: TT INDICA QUE SU MAMA LE VA A DAR EL DINERO PORQUE FUE ELLA LA QUE GASTO EL DIA 30 DE JUNIO CON EL IMPORTE DE 297 SOLES ESTARA PAGANDO </t>
  </si>
  <si>
    <t>Sustento de pago PPC - OTROS: TT INDICA QUE TENDRA TIEMPO PARA CANCELAR EL SABADO</t>
  </si>
  <si>
    <t xml:space="preserve">Sustento de pago PPC - OTROS: tt indica que tiene desconfianza pero se le indica que se le enviara el acuerdo de cancelacion </t>
  </si>
  <si>
    <t xml:space="preserve">Sustento de pago PPC - OTROS: tt indica que tiene el dinero guardado 1010 soles baja ala ciudad y se acerca pagar </t>
  </si>
  <si>
    <t xml:space="preserve">Sustento de pago PPC - OTROS: tt indica que tiene un dinero ahorrado  y mañana recibe el restante de su familia y paga antes del medio dia </t>
  </si>
  <si>
    <t>Sustento de pago PPC - OTROS: TT INDICA QUE TRABAJA EN UNA MINA. VIAJARA A LA CIUDAD EL 15.01 POR LA MAÑANA</t>
  </si>
  <si>
    <t>Sustento de pago PPC - OTROS: TT INDICA TRABAJA PARA EL ESTADO EN SALUD  AHORA PAGARIA EN ICA BBVA 1760 SOLES ANTES DEL MEDIODIA FUE AL BANCO LE DIJERON QUE DEUDA YA HABIA SIDO CANCELADA ESTE VIERNES 05 DE ENERO IRA CONFIRMAR SESION DE DERECHOS Y EN LA FECHA PROGRAMADA PAGARA   / HORARIO DE PAGO: Mañana</t>
  </si>
  <si>
    <t>Sustento de pago PPC - OTROS: TT INDICO QUE PAGARA EL 14 100 Y EL 30 LA DIFERENCIA DE 220</t>
  </si>
  <si>
    <t>Sustento de pago PPC - OTROS: TT INFORMA ABOANARA ENTRE HOY O MAÑANA 50 SOLES Y FIN DE MES RESTANTE 160 / HORARIO DE PAGO: Mediodía</t>
  </si>
  <si>
    <t xml:space="preserve">Sustento de pago PPC - OTROS: tt inidca que a su hijo no le cancelaron el la ayuda a realizar los pagos </t>
  </si>
  <si>
    <t>Sustento de pago PPC - OTROS: tt intento hacer el pago desde interbank app pero no se logro mañana lo realizara del bcp</t>
  </si>
  <si>
    <t xml:space="preserve">Sustento de pago PPC - OTROS: tt Irene mamà ella realizara el pago p0or que el se encuentra de viaje al medio dia realizara el pago </t>
  </si>
  <si>
    <t>Sustento de pago PPC - OTROS: tt juntara el dinero al dia 19 enero en la tarde antes 5 pm se acerca apagar</t>
  </si>
  <si>
    <t>Sustento de pago PPC - OTROS: TT LA ESPERA DE UN PAGO EL IMPORTE DE 290 PARA DIA 30 JUNIO</t>
  </si>
  <si>
    <t>Sustento de pago PPC - OTROS: tt labora es chofer recien comenzo a laborar campaña de 800 dt2200 a fin de mes le abonan</t>
  </si>
  <si>
    <t xml:space="preserve">Sustento de pago PPC - OTROS: tt labora eventualmente </t>
  </si>
  <si>
    <t xml:space="preserve">Sustento de pago PPC - OTROS: tt le cancela su sueldo e fin de mes el dia 31 julio con el importe de 353 soles </t>
  </si>
  <si>
    <t xml:space="preserve">Sustento de pago PPC - OTROS: tt le llego mensaje con descuento </t>
  </si>
  <si>
    <t xml:space="preserve">Sustento de pago PPC - OTROS: tt le llego msj 139  no puede hablar mucho esta trajando paga a las 2pm discador </t>
  </si>
  <si>
    <t>Sustento de pago PPC - OTROS: TT legará de Arequipa</t>
  </si>
  <si>
    <t>Sustento de pago PPC - OTROS: tt liquida con 300 soles el dia de hoy  / HORARIO DE PAGO: Mañana</t>
  </si>
  <si>
    <t>Sustento de pago PPC - OTROS: TT LIQUIDA DEUDA CON 400.00  / HORARIO DE PAGO: Mañana</t>
  </si>
  <si>
    <t>Sustento de pago PPC - OTROS: TT LIQUIDA DEUDA CON IMPORTE DE 450.00 BAJO EXCEPCION  / HORARIO DE PAGO: Tarde</t>
  </si>
  <si>
    <t>Sustento de pago PPC - OTROS: TT LIQUIDARÁ DEUDA CON 100.00 EL 27.03 QUE RECIBE SU SUELDO.... HIZO ADELANTO DE 30.00 HOY 19.03  / HORARIO DE PAGO: Mediodía</t>
  </si>
  <si>
    <t>Sustento de pago PPC - OTROS: TT LIQUIDARÁ DEUDA CON MONTO DE 300.00  / HORARIO DE PAGO: Mañana</t>
  </si>
  <si>
    <t>Sustento de pago PPC - OTROS: tt liquido su deuda con 4 k / HORARIO DE PAGO: Mañana</t>
  </si>
  <si>
    <t>Sustento de pago PPC - OTROS: tt liuida deuda con 400 so el dia juves 4 en misma agencia los andes / HORARIO DE PAGO: Tarde</t>
  </si>
  <si>
    <t>Sustento de pago PPC - OTROS: TT LLAMO CUANDO YA TENIAMOS UN COMPROMISO LE LLEGO UN SMS CON EL IMPORTE DE 183</t>
  </si>
  <si>
    <t>Sustento de pago PPC - OTROS: tt llega de viaje el 13 miercoles y se acerca a pagar</t>
  </si>
  <si>
    <t xml:space="preserve">Sustento de pago PPC - OTROS: tt llego a juntar dinero poco a poco el monto de ppc si tiene exacto tt en seguimiento grbacion guardada en carpeta </t>
  </si>
  <si>
    <t xml:space="preserve">Sustento de pago PPC - OTROS: TT LOGRARA COMPLETAR MIN2 HASTA EL 25.01. </t>
  </si>
  <si>
    <t>Sustento de pago PPC - OTROS: tt mañana llega de viaje y se acercara a pagar</t>
  </si>
  <si>
    <t>Sustento de pago PPC - OTROS: tt me indica que abonara 135 soles hoy 31 de julio y lo restante lo paga antes de la quincena de agosto</t>
  </si>
  <si>
    <t>Sustento de pago PPC - OTROS: tt me indica que estuvo de viaje pero quiere cancelar 250</t>
  </si>
  <si>
    <t>Sustento de pago PPC - OTROS: tt me indica que si lo quiere pagar se le enviara carta de notificacion y compromiso a su correo</t>
  </si>
  <si>
    <t xml:space="preserve">Sustento de pago PPC - OTROS: tt mencina dinero de su trabajo independiente es seguro menciona </t>
  </si>
  <si>
    <t xml:space="preserve">Sustento de pago PPC - OTROS: TT MENCION AQUE ADELANTO EL V O  SAB 14 </t>
  </si>
  <si>
    <t xml:space="preserve">Sustento de pago PPC - OTROS: TT MENCIONA A FIN DE MES POR QUE SU ESPOSO ESTA DE VIAJE LLEGA EL SABADO JUNTARA TODO EL IMPORTE </t>
  </si>
  <si>
    <t xml:space="preserve">Sustento de pago PPC - OTROS: TT menciona adelanto el dia miercoles adelanta 300 por la tarde </t>
  </si>
  <si>
    <t xml:space="preserve">Sustento de pago PPC - OTROS: tt menciona contaria con el importe a fin de mes trabaja independiente </t>
  </si>
  <si>
    <t>Sustento de pago PPC - OTROS: tt menciona incumplio por motivo de tiempo el labora en trabaja Perù es chofer el dia martes por la tarde estara viajando a puno para realizar el pago asigando tasita</t>
  </si>
  <si>
    <t xml:space="preserve">Sustento de pago PPC - OTROS: tt menciona labora independiente por la tarde realizara el pago </t>
  </si>
  <si>
    <t xml:space="preserve">Sustento de pago PPC - OTROS: TT MENCIONA NO HAY TRANSPORTE NI AGENTES PARA HACER EL PAGO EL DIA SABADO IRA A LA CIUDAD </t>
  </si>
  <si>
    <t>Sustento de pago PPC - OTROS: TT MENCIONA Q SE ESTARIA ACOJIENDO A CANCELAR LA DEUDA BAJO EL MONTO DE 350 SOLES  / HORARIO DE PAGO: Mañana</t>
  </si>
  <si>
    <t>Sustento de pago PPC - OTROS: tt menciona que abona por la .tarde</t>
  </si>
  <si>
    <t xml:space="preserve">Sustento de pago PPC - OTROS: TT MENCIONA QUE ABONARA ENTRE 16 O 17 100 Y LO RESTANTE HASTA FIN DE MES </t>
  </si>
  <si>
    <t>Sustento de pago PPC - OTROS: tt menciona que acreditara un pago confirmado el dia jueves 21 para cancelar la cuenta / HORARIO DE PAGO: Mañana</t>
  </si>
  <si>
    <t xml:space="preserve">Sustento de pago PPC - OTROS: TT MENCIONA QUE CANCELARA DEUDA CON 86 MENCIONA QUE RECIEN ESTA TRABAJANDO EVENTUALMENTE </t>
  </si>
  <si>
    <t xml:space="preserve">Sustento de pago PPC - OTROS: TT menciona que contara  con el dinero a mas tardar el dia de mañana por 120 tiene intencion de pago </t>
  </si>
  <si>
    <t xml:space="preserve">Sustento de pago PPC - OTROS: TT menciona que dejo de pagar porque le dio sobreparto tuvo problemas con su exesposo a quien enjuició ahora se encuentra de viaje mañana 05 de enero llega a Lima abonará 300 soles y el día 14 abonará 260 dinero se lo prestará su hermano </t>
  </si>
  <si>
    <t xml:space="preserve">Sustento de pago PPC - OTROS: TT MENCIONA QUE EL DIA 27 LE PAGAN Y EN ESA FECHA ESTARA REALIZANDO EL PAGO ACORDADO EN CREDINKA </t>
  </si>
  <si>
    <t xml:space="preserve">Sustento de pago PPC - OTROS: tt menciona que el dia lunes conseguridad realizara su pago </t>
  </si>
  <si>
    <t>Sustento de pago PPC - OTROS: tt menciona que el mes pasado no le pagaron el dia  lunes abona 1500 y a fin de mes 1700</t>
  </si>
  <si>
    <t>Sustento de pago PPC - OTROS: tt menciona que el por desconfianza no ha podido pagar sr menciona que hasta el 28.02 o antes puede pagar quiere su carta de no adeudo en el mismo instante.  / HORARIO DE PAGO: Mañana</t>
  </si>
  <si>
    <t xml:space="preserve">Sustento de pago PPC - OTROS: TT menciona que es chofer pero cancelaria fin de mes </t>
  </si>
  <si>
    <t xml:space="preserve">Sustento de pago PPC - OTROS: TT menciona que es independiente negocio de agricultura no hizo el pago por que no se encuentraba en la ciudad </t>
  </si>
  <si>
    <t>Sustento de pago PPC - OTROS: tt menciona que es trabajador independiente realizara pago por la tarde</t>
  </si>
  <si>
    <t>Sustento de pago PPC - OTROS: TT MENCIONA QUE ESTA SEMANA SEMANA 250 Y A FIN DE 600</t>
  </si>
  <si>
    <t>Sustento de pago PPC - OTROS: TT menciona que está trabajando fuera de la ciudad y hará viaje para efectuar pago con MIN1 tiene el dinero en mano</t>
  </si>
  <si>
    <t xml:space="preserve">Sustento de pago PPC - OTROS: TT menciona que ha podido reunir para hoy 300 soles y el dia 23 abonaría 211 campaña MIN1 en base a mensaje de texto que le enviaron </t>
  </si>
  <si>
    <t>Sustento de pago PPC - OTROS: tt menciona que hoy l confirmaron que a fin de mes le hacen la transferencia  desde chile a la cuenta que tiene en lima de scotiabank</t>
  </si>
  <si>
    <t xml:space="preserve">Sustento de pago PPC - OTROS: tt menciona que incumplio la fecha de pago por que le fallaron el es albañil recibe pagos semanales abonara este sabado 23.01 monto de 100 soles y a fin de mes lo restante </t>
  </si>
  <si>
    <t xml:space="preserve">Sustento de pago PPC - OTROS: tt menciona que juntara el restante con una venta que tiene en estos dias mas su sueldo </t>
  </si>
  <si>
    <t>Sustento de pago PPC - OTROS: tt menciona que le abonan a fin de mes cancela por la tarde</t>
  </si>
  <si>
    <t xml:space="preserve">Sustento de pago PPC - OTROS: TT menciona que le debe a Banco Falabella 8mil soles y le han brindado una campaña por 400 soles el tt recibirá el dia martes 600 soles e indica darle prioridad a Banco Falabella por ello se negocia MIN2 </t>
  </si>
  <si>
    <t xml:space="preserve">Sustento de pago PPC - OTROS: tt menciona que no complio por motivo de tiempo hoy realiza el pago ultima fecha </t>
  </si>
  <si>
    <t xml:space="preserve">Sustento de pago PPC - OTROS: TT MENCIONA QUE NO PAGO POR QUE TUVO DESCONFIANZA  EL PAGO LO REALIZARA HOY </t>
  </si>
  <si>
    <t xml:space="preserve">Sustento de pago PPC - OTROS: TT MENCIONA QUE NO PUDO EFECTUAR EL PAGO PORQUE AGENTES ESTAN CERRADOS TIENE CUENTA SCOTIANBANK Y LO REALIZARA MEDIANTE UNA TRANFERENCIA INTERBANCARIA EL DIA DE HOY SI O SI </t>
  </si>
  <si>
    <t xml:space="preserve">Sustento de pago PPC - OTROS: TT MENCIONA QUE NO PUDO REALIZAR EL PAGO POR QUE SE COMPLICO POR EL TEMA DE SU HIJITA POR SU OPERACION Y SOLO TIENE LOS 800 SOLES QUE SEPARO SE REALIZA REPROGRAMACION </t>
  </si>
  <si>
    <t xml:space="preserve">Sustento de pago PPC - OTROS: TT MENCIONA QUE NO PUDO SALIR PARA HACER EL PAGO Y EL DIA SABADO CON TOTAL SEGURIDAD ESTARA CANCELANDO LA DEUDA </t>
  </si>
  <si>
    <t xml:space="preserve">Sustento de pago PPC - OTROS: tt menciona que no realice el pago por que no tiene tiempo pero a fin de mes si realizaria el pago </t>
  </si>
  <si>
    <t xml:space="preserve">Sustento de pago PPC - OTROS: tt menciona que no realizo el pago por que esta en la chacra viajara posiblemente lo realizara </t>
  </si>
  <si>
    <t xml:space="preserve">Sustento de pago PPC - OTROS: TT MENCIONA QUE NO REALIZO REPROGRAMACION EN ESTE MES QUE EL PODRIA CANCELAR LA SEMANA QUE VIENE </t>
  </si>
  <si>
    <t xml:space="preserve">Sustento de pago PPC - OTROS: tt menciona que ocurrio invonenientes adelanta hoy 300 y los 750 restantes el dia viernes </t>
  </si>
  <si>
    <t xml:space="preserve">Sustento de pago PPC - OTROS: tt menciona que realizara adelanto el sabado 14  pago de 100 o 200 trabaja independiente </t>
  </si>
  <si>
    <t xml:space="preserve">Sustento de pago PPC - OTROS: tt menciona que realizara el abono la llamada entre cortada se le envia sms </t>
  </si>
  <si>
    <t>Sustento de pago PPC - OTROS: tt menciona que realizara el pago en quincena no realiza adelanto por esa fecha ya tendra el dinero si le dan el dineri antes realizara el pago</t>
  </si>
  <si>
    <t xml:space="preserve">Sustento de pago PPC - OTROS: tt menciona que se le envie el correo se le envio adelanta el dia de mañana como activacion con 100 soles </t>
  </si>
  <si>
    <t xml:space="preserve">Sustento de pago PPC - OTROS: tt menciona que si realizaria  tarbaja traaja venta avicola el pago a fin de mes importe campaña enero 950 por la mañana </t>
  </si>
  <si>
    <t xml:space="preserve">Sustento de pago PPC - OTROS: tt menciona que solo consiguio 1100 soles tratara de juntar 100 soles mas indica que desea el docuemnto excepcion aprobada </t>
  </si>
  <si>
    <t xml:space="preserve">Sustento de pago PPC - OTROS: tt menciona que su hija se encuentra hospitalizada pero si tiene el dinero se realiza reprogramacion ASIGNADO MANUAL </t>
  </si>
  <si>
    <t xml:space="preserve">Sustento de pago PPC - OTROS: tt menciona que su mamà realizara el pago el dia lunes el dinero prestamo de un amigo menciona tiene titulo de propiedad en caja los andes desea solciitarlo </t>
  </si>
  <si>
    <t xml:space="preserve">Sustento de pago PPC - OTROS: tt menciona que tiene dinero en mano pero donde se encuentra no permiten salir por que estan en cuarentena se en Apurimac pero tratara de hacerlo antes de fecha </t>
  </si>
  <si>
    <t xml:space="preserve">Sustento de pago PPC - OTROS: tt menciona que tiene un dinero por cobrar labora indeoendiente venda de equipos de medicina cancela por la tarde </t>
  </si>
  <si>
    <t xml:space="preserve">Sustento de pago PPC - OTROS: tt menciona que tiene un dinero por cobrar y el labora en la mineria si contaria con el dinero hoy adelanta 100 soles </t>
  </si>
  <si>
    <t xml:space="preserve">Sustento de pago PPC - OTROS: tt menciona quedesde el 20 soles estaria cancelando el dinero tendra el dinero por un trabajo </t>
  </si>
  <si>
    <t xml:space="preserve">Sustento de pago PPC - OTROS: tt menciona realiza el pago por la tarde es chofer </t>
  </si>
  <si>
    <t xml:space="preserve">Sustento de pago PPC - OTROS: tt menciona sigue laborando si quiere participar en la campaña apresurado indica si podria cancelar pero en quincena se le envia informacion se fue la ficha </t>
  </si>
  <si>
    <t xml:space="preserve">Sustento de pago PPC - OTROS: tt molesta dice ue paga el dia de hoy   se fue ficha </t>
  </si>
  <si>
    <t>Sustento de pago PPC - OTROS: tt motv tuvo problemas y tiene el dinero para el dia sabado 8 de agosto</t>
  </si>
  <si>
    <t>Sustento de pago PPC - OTROS: TT NO CANCELO POR QU ETENIA DESCONFIANZA MENCIONA RALIZARA PAGO SE LE ENVIA DOCUMENTOS</t>
  </si>
  <si>
    <t>Sustento de pago PPC - OTROS: tt no pago anteriormente por que no conseguia el total de 500 pero el lunes recibe dinero afirma pago / HORARIO DE PAGO: Mediodía</t>
  </si>
  <si>
    <t xml:space="preserve">Sustento de pago PPC - OTROS: tt no pago tuvo prblemas familiares </t>
  </si>
  <si>
    <t>Sustento de pago PPC - OTROS: tt no pudo pagar ya que su hija tuvo un accidente abona 100 16 y diferencia a fines</t>
  </si>
  <si>
    <t>Sustento de pago PPC - OTROS: TT NO TRABAJA PERO A VECES SALE A HACER ALGUNAS VENTAS  CONFIRMACION DE EXCEPCION</t>
  </si>
  <si>
    <t>Sustento de pago PPC - OTROS: tt obtendra de sus ahorros</t>
  </si>
  <si>
    <t>Sustento de pago PPC - OTROS: TT PAGA  500  05.02  SALDO   500  26.02   ENCARGADO PAUL   / HORARIO DE PAGO: Mañana</t>
  </si>
  <si>
    <t>Sustento de pago PPC - OTROS: tt paga 100 02.02.24 y 100 el 29.02 / HORARIO DE PAGO: Tarde</t>
  </si>
  <si>
    <t>Sustento de pago PPC - OTROS: TT paga 100 el 23dic y 150 en 30 dic</t>
  </si>
  <si>
    <t>Sustento de pago PPC - OTROS: tt paga 194  soles y se le envia carta de compromiso</t>
  </si>
  <si>
    <t>Sustento de pago PPC - OTROS: tt paga 23 enero para liquidar su deuda antes del medio dia</t>
  </si>
  <si>
    <t xml:space="preserve">Sustento de pago PPC - OTROS: TT PAGA 50 EL DIA 15 DE JULIO EL DIA 30 PAGA 50 SOLES </t>
  </si>
  <si>
    <t>Sustento de pago PPC - OTROS: tt paga 500 soles en un momento informa en agente pagara / HORARIO DE PAGO: Tarde</t>
  </si>
  <si>
    <t>Sustento de pago PPC - OTROS: tt paga a partir de  1 de la tard</t>
  </si>
  <si>
    <t>Sustento de pago PPC - OTROS: TT PAGA ALAS 4PM EN AGENCIA ATE</t>
  </si>
  <si>
    <t>Sustento de pago PPC - OTROS: TT PAGA DEUDA CN LA VENTA DE ANILAES EXPSXION YA AUTORIZADA / HORARIO DE PAGO: Mañana</t>
  </si>
  <si>
    <t>Sustento de pago PPC - OTROS: tt paga dos cuotas la atrasada del mes de noviembre y la del mes de diciembre haciendo un total de 400 soles hasta el 30 del 12</t>
  </si>
  <si>
    <t>Sustento de pago PPC - OTROS: tt paga el 15 indica enviar informacion por mail</t>
  </si>
  <si>
    <t xml:space="preserve">Sustento de pago PPC - OTROS: tt paga el 15 ya empezo a trabajar </t>
  </si>
  <si>
    <t>Sustento de pago PPC - OTROS: TT PAGA EL 23.01  150 SOLES Y LOS 500 RESTANTES A FIN DE MES EN BCP</t>
  </si>
  <si>
    <t xml:space="preserve">Sustento de pago PPC - OTROS: TT PAGA EL DIA 10 DE JULIO EL IMPORTE DE 200 EL DIA 30 DE JULIO PAGA EL IMPORTE 191 SOLES </t>
  </si>
  <si>
    <t>Sustento de pago PPC - OTROS: tt paga en cdk en puno / HORARIO DE PAGO: Tarde</t>
  </si>
  <si>
    <t>Sustento de pago PPC - OTROS: tt paga en cdk san sebastian / HORARIO DE PAGO: Mediodía</t>
  </si>
  <si>
    <t>Sustento de pago PPC - OTROS: tt paga en of.caja centro / HORARIO DE PAGO: Tarde</t>
  </si>
  <si>
    <t>Sustento de pago PPC - OTROS: tt paga en of.credinka  / HORARIO DE PAGO: Mediodía</t>
  </si>
  <si>
    <t xml:space="preserve">Sustento de pago PPC - OTROS: TT PAGA HOY  MONTO APROBADO </t>
  </si>
  <si>
    <t xml:space="preserve">Sustento de pago PPC - OTROS: tt paga hoy 100 soles y 30 dic paga 120 soles </t>
  </si>
  <si>
    <t>Sustento de pago PPC - OTROS: TT PAGA HOY 210 Y LO RESTANTE A FINES DE MES</t>
  </si>
  <si>
    <t>Sustento de pago PPC - OTROS: tt paga mañana 4 pm / HORARIO DE PAGO: Tarde</t>
  </si>
  <si>
    <t>Sustento de pago PPC - OTROS: tt paga por agente bcp / HORARIO DE PAGO: Tarde</t>
  </si>
  <si>
    <t>Sustento de pago PPC - OTROS: tt paga por bcp / HORARIO DE PAGO: Tarde</t>
  </si>
  <si>
    <t xml:space="preserve">Sustento de pago PPC - OTROS: tt paga su ultima cuota de 200 soles </t>
  </si>
  <si>
    <t>Sustento de pago PPC - OTROS: tt paga última cuota  / HORARIO DE PAGO: Mañana</t>
  </si>
  <si>
    <t xml:space="preserve">Sustento de pago PPC - OTROS: tt paga ultima cuota 600 soles </t>
  </si>
  <si>
    <t xml:space="preserve">Sustento de pago PPC - OTROS: tt paga ultima cuota de acuerdo al convenio </t>
  </si>
  <si>
    <t>Sustento de pago PPC - OTROS: tt pagar 180 / HORARIO DE PAGO: Mañana</t>
  </si>
  <si>
    <t>Sustento de pago PPC - OTROS: TT PAGAR 190 BAJARA A LA CIUDAD / HORARIO DE PAGO: Tarde</t>
  </si>
  <si>
    <t>Sustento de pago PPC - OTROS: tt pagar el dia lunes 11 700 ya sus hijos le daran el dinero ese dia  / HORARIO DE PAGO: Tarde</t>
  </si>
  <si>
    <t>Sustento de pago PPC - OTROS: tt pagar en agencia huancayo 300 su campaña el dia lunes 300 / HORARIO DE PAGO: Mañana</t>
  </si>
  <si>
    <t>Sustento de pago PPC - OTROS: tt pagara  su ultima cuota  / HORARIO DE PAGO: Tarde</t>
  </si>
  <si>
    <t xml:space="preserve">Sustento de pago PPC - OTROS: tt pagara 200 el miercoles 21 y diferencia fin de mes 31 tt ya abono 100 soles </t>
  </si>
  <si>
    <t>Sustento de pago PPC - OTROS: tt pagara 350 22 y 29 cancela la diferencia</t>
  </si>
  <si>
    <t>Sustento de pago PPC - OTROS: TT PAGARA 50 EL 19  Y LE 28 LOS S750  CONFIRMO</t>
  </si>
  <si>
    <t>Sustento de pago PPC - OTROS: tt pagara a fin de mes con sueldo  indica que le llego sms por 122</t>
  </si>
  <si>
    <t>Sustento de pago PPC - OTROS: TT PAGARÁ BAJO EXCEPCIÓN EL IMPORTE DE 500.00 ABONARÁ HOY 19.03 IMPORTE DE 400.00 Y EL LUNES 25.03 EL IMPORTE DE 100 PARA ENVIO DE SU CARTA DE NO ADEUDO  / HORARIO DE PAGO: Mediodía</t>
  </si>
  <si>
    <t xml:space="preserve">Sustento de pago PPC - OTROS: tt pagara el dia de hoy monto excepcion en linea </t>
  </si>
  <si>
    <t>Sustento de pago PPC - OTROS: tt pagara el lunes 1600 en la agencia de abancay de credinka esta en el campo viajara fin de semana  / HORARIO DE PAGO: Mediodía</t>
  </si>
  <si>
    <t>Sustento de pago PPC - OTROS: TT PAGARA EL LUNES. JUNTARA DINERO</t>
  </si>
  <si>
    <t>Sustento de pago PPC - OTROS: TT pagará en el banco  BBVA  / HORARIO DE PAGO: Mañana</t>
  </si>
  <si>
    <t>Sustento de pago PPC - OTROS: TT PAGARA EN HUANCAYO LA DEUIDA  / HORARIO DE PAGO: Tarde</t>
  </si>
  <si>
    <t>Sustento de pago PPC - OTROS: TT PAGARA HOY  / HORARIO DE PAGO: Tarde</t>
  </si>
  <si>
    <t>Sustento de pago PPC - OTROS: TT PAGARA HOY 1000  Y EL 21 DE ESTE MES 4K  DE ESA MANERA CANCELARIA DEUDA. / HORARIO DE PAGO: Mañana</t>
  </si>
  <si>
    <t>Sustento de pago PPC - OTROS: TT PAGARA MAÑANA LOS 500 YA QUE RECIEN A SALIDO DEL HOSPITAL A ESTADO DELICADA DE SALUD  / HORARIO DE PAGO: Tarde</t>
  </si>
  <si>
    <t>Sustento de pago PPC - OTROS: tt pagara por agencia trujillo 300 soles regresando de viaje / HORARIO DE PAGO: Tarde</t>
  </si>
  <si>
    <t>Sustento de pago PPC - OTROS: TT pagará por APP BCP / HORARIO DE PAGO: Mediodía</t>
  </si>
  <si>
    <t>Sustento de pago PPC - OTROS: tt pagara por vajahoy no podra esta lejos / HORARIO DE PAGO: Mediodía</t>
  </si>
  <si>
    <t>Sustento de pago PPC - OTROS: tt pago 200 soles solo falta 197 soles</t>
  </si>
  <si>
    <t xml:space="preserve">Sustento de pago PPC - OTROS: tt pago hoy 100 y  70 soles lo pagara  la otra semana el 11 09 </t>
  </si>
  <si>
    <t>Sustento de pago PPC - OTROS: TT PARA EN AHGENCIA DEBN JULIACA 300 / HORARIO DE PAGO: Tarde</t>
  </si>
  <si>
    <t>Sustento de pago PPC - OTROS: tt pedira adelanto de sueldo</t>
  </si>
  <si>
    <t>Sustento de pago PPC - OTROS: tt por problemas de sueldo hara su pago mañana  / HORARIO DE PAGO: Tarde</t>
  </si>
  <si>
    <t>Sustento de pago PPC - OTROS: TT PP 14.01 MONTO DE 300. LO RESTANTE FIN DE MES 1930 SOLES</t>
  </si>
  <si>
    <t>Sustento de pago PPC - OTROS: TT PP 50 EL 16.01 Y A FIN DE MES LO RESTANTE. MONTO INDICADO 326.00</t>
  </si>
  <si>
    <t>Sustento de pago PPC - OTROS: TT PP HOY 50 SOLES EN BCP. SE DIO MONTO DE 534. LO RESTANTE DE 484 A FIN DE MES</t>
  </si>
  <si>
    <t>Sustento de pago PPC - OTROS: TT PP MAÑANA 50 SOLES Y LO RESTANTE A FIN DE MES. MONTO TOTAL ACORDADO 220</t>
  </si>
  <si>
    <t xml:space="preserve">Sustento de pago PPC - OTROS: TT PP MAÑANA POR LA TARDE MIN1. SOLO TENIA 350. </t>
  </si>
  <si>
    <t>Sustento de pago PPC - OTROS: tt propuesta de sus ahorros</t>
  </si>
  <si>
    <t>Sustento de pago PPC - OTROS: tt realisara el pago de cancelacion con 580 se le enviara la carta de secion derecho  / HORARIO DE PAGO: Tarde</t>
  </si>
  <si>
    <t>Sustento de pago PPC - OTROS: tt realisara hoy su pago  / HORARIO DE PAGO: Tarde</t>
  </si>
  <si>
    <t xml:space="preserve">Sustento de pago PPC - OTROS: tt realiza adelanto el dia de hoy 100 soles y afin de mes ya que recibe pago de s trabajo </t>
  </si>
  <si>
    <t>Sustento de pago PPC - OTROS: tt realizar pago de 1000 soles el 07.03 en caja los andes / HORARIO DE PAGO: Mañana</t>
  </si>
  <si>
    <t>Sustento de pago PPC - OTROS: TT realizara abono de 50 soles hoy 22 de Ene y el 29 abonara el restante de 200 soles</t>
  </si>
  <si>
    <t xml:space="preserve">Sustento de pago PPC - OTROS: tt realizara adelanto adelanto el dia lunes 50 </t>
  </si>
  <si>
    <t xml:space="preserve">Sustento de pago PPC - OTROS: tt realizara adelanto de 200 soles el viernes cancela por la tarde </t>
  </si>
  <si>
    <t>Sustento de pago PPC - OTROS: tt realizara cancelacion con 750 soles 450 soles hoy 03 y los 300 restante el 15 de este mismo mes AGOSTO</t>
  </si>
  <si>
    <t xml:space="preserve">Sustento de pago PPC - OTROS: TT realizara cancelacion con el importe 2400 soles   el dia 03   abonara 1500 soles y el dia 30 abonara los 900 restantes </t>
  </si>
  <si>
    <t>Sustento de pago PPC - OTROS: tt realizara cancelacion con el importe de 1643 soles con un adelato de 50 soles para el dia 24</t>
  </si>
  <si>
    <t>Sustento de pago PPC - OTROS: tt realizara cancelacion con el importe de 260 soles 130 soles  el dia 08 y 130 soles el dia 31 del mismo mes de AGOSTO</t>
  </si>
  <si>
    <t>Sustento de pago PPC - OTROS: tt realizara el dia de hoy un pago de 500 y el restante de 1500 a fin de mes / HORARIO DE PAGO: Tarde</t>
  </si>
  <si>
    <t xml:space="preserve">Sustento de pago PPC - OTROS: tt realizara el pago el sabado antes del medio dia no tiene whatsapp se cordinara </t>
  </si>
  <si>
    <t xml:space="preserve">Sustento de pago PPC - OTROS: TT realizara la cancelacion 450 el dia 24 de julio </t>
  </si>
  <si>
    <t xml:space="preserve">Sustento de pago PPC - OTROS: tt realizara la cancelacion con el importe de 1500 </t>
  </si>
  <si>
    <t>Sustento de pago PPC - OTROS: TT realizara la cancelacion con el importe de 1500 de sgte manera 1000 el dia 05 de junio y 500 el dia 20 de junio se aprobo excepcion</t>
  </si>
  <si>
    <t>Sustento de pago PPC - OTROS: tt realizara la cancelacion con el importe de 250 el dia 15 de junio solicita mensaje</t>
  </si>
  <si>
    <t>Sustento de pago PPC - OTROS: tt realizara la cancelacion con el importe de 2659 de la sgte manera 100 el dia 09 de julio y 2559 el dia 15 de julio</t>
  </si>
  <si>
    <t>Sustento de pago PPC - OTROS: tt realizara la cancelacion con el importe de 340 de la sgte manera 40 el dia 15 de julio y 300 el dia 31 de julio</t>
  </si>
  <si>
    <t xml:space="preserve">Sustento de pago PPC - OTROS: tt realizara la cancelacion con el importe de 340 el dia 19 de junio de 2 a 3 pm </t>
  </si>
  <si>
    <t xml:space="preserve">Sustento de pago PPC - OTROS: tt realizara la cancelacion con el importe de 4500 hoy 22 de junio  por cuenta interbancaria </t>
  </si>
  <si>
    <t>Sustento de pago PPC - OTROS: tt realizara la cancelacion con el importe de 480 el dia 23 de junio excepcion aprobada</t>
  </si>
  <si>
    <t>Sustento de pago PPC - OTROS: TT REALIZARÁ LA CANCELACIÓN EL DÍA 27 CON EL IMPORTE DE 2.8K SE APERSONARÁ A OFICINAS PARA CONFIRMAR  / HORARIO DE PAGO: Mañana</t>
  </si>
  <si>
    <t>Sustento de pago PPC - OTROS: TT REALIZARÁ LA CANCELACIÓN HOY CON EL IMPORTE DE 200  / HORARIO DE PAGO: Mañana</t>
  </si>
  <si>
    <t>Sustento de pago PPC - OTROS: tt realizara pago de la ultima cuota / HORARIO DE PAGO: Mediodía</t>
  </si>
  <si>
    <t>Sustento de pago PPC - OTROS: tt realizara su pago de trabajos independientes que realiza</t>
  </si>
  <si>
    <t>Sustento de pago PPC - OTROS: tt realizo  abono 50 en enero en base excepcion cancelara con el restante 450 tratara de pagar dia 16.2 / HORARIO DE PAGO: Tarde</t>
  </si>
  <si>
    <t xml:space="preserve">Sustento de pago PPC - OTROS: tt realizo abono de 150 soles a fin de mes realizara el otro monto menciona que tenia gastos se reprograma </t>
  </si>
  <si>
    <t>Sustento de pago PPC - OTROS: tt realizo pago de 1200 el dia 10.01 en credinka pampilla  / HORARIO DE PAGO: Tarde</t>
  </si>
  <si>
    <t>Sustento de pago PPC - OTROS: TT realizó pago por APP BBVA.  / HORARIO DE PAGO: Mañana</t>
  </si>
  <si>
    <t>Sustento de pago PPC - OTROS: tt realizo pago sobre una excepción el el importe de 5 mil aprovado por supervisor  / HORARIO DE PAGO: Mañana</t>
  </si>
  <si>
    <t xml:space="preserve">Sustento de pago PPC - OTROS: tt recibe dinero de su remuneracion y se hara un prestamo para cumplir con el pago  si lo reune paga antes del viernes </t>
  </si>
  <si>
    <t xml:space="preserve">Sustento de pago PPC - OTROS: tt recibe dinero su trabajo de part time </t>
  </si>
  <si>
    <t xml:space="preserve">Sustento de pago PPC - OTROS: tt recibe el dinero de su trabajo </t>
  </si>
  <si>
    <t xml:space="preserve">Sustento de pago PPC - OTROS: tt recibe el dinero en 15 enero y paga al medio dia </t>
  </si>
  <si>
    <t>Sustento de pago PPC - OTROS: tt recibe su paga la fecha 12 para asi realizar la cancelacion de su deuda / HORARIO DE PAGO: Tarde</t>
  </si>
  <si>
    <t xml:space="preserve">Sustento de pago PPC - OTROS: tt recibe un pago </t>
  </si>
  <si>
    <t xml:space="preserve">Sustento de pago PPC - OTROS: TT RECIBIRA EL DINERO DE UN PRESTAMO </t>
  </si>
  <si>
    <t>Sustento de pago PPC - OTROS: tt recibira el dinero para pagar</t>
  </si>
  <si>
    <t xml:space="preserve">Sustento de pago PPC - OTROS: tt recibira pago de su negocio </t>
  </si>
  <si>
    <t>Sustento de pago PPC - OTROS: TT RECIBIRA UN DINERO QUE PRESTO ANTERIORMENTE PARA CANCELAR. DEUDA</t>
  </si>
  <si>
    <t>Sustento de pago PPC - OTROS: tt recien comenzo a laborar adelanto el dia miercoles 13</t>
  </si>
  <si>
    <t>Sustento de pago PPC - OTROS: tt recien saldre de su trabajo el viernes pagara 2pm / HORARIO DE PAGO: Tarde</t>
  </si>
  <si>
    <t xml:space="preserve">Sustento de pago PPC - OTROS: TT REFIERE QUE EFECTUARA EL PAGO ESTE FIN DE SEMANA PARA TERMINAR DE LIQUIDAR LA DEUDA </t>
  </si>
  <si>
    <t>Sustento de pago PPC - OTROS: tt relizara cancelacion con ecpeicon aporbada  / HORARIO DE PAGO: Tarde</t>
  </si>
  <si>
    <t xml:space="preserve">Sustento de pago PPC - OTROS: tt reprograma el pago por motivo de salud </t>
  </si>
  <si>
    <t>Sustento de pago PPC - OTROS: tt reune el dinero 240 al dia 30 enero antes del medio dia</t>
  </si>
  <si>
    <t xml:space="preserve">Sustento de pago PPC - OTROS: tt reune el dinero hasta 25 enero </t>
  </si>
  <si>
    <t>Sustento de pago PPC - OTROS: tt reune el dinero hasta el 15 enero antes de las 3pm paga</t>
  </si>
  <si>
    <t>Sustento de pago PPC - OTROS: tt reune el dinero y se acercara a pagar si esposible antes</t>
  </si>
  <si>
    <t>Sustento de pago PPC - OTROS: tt reunio 600 soles confirma reunir al dia 28 dic 900</t>
  </si>
  <si>
    <t xml:space="preserve">Sustento de pago PPC - OTROS: TT REUNIRA EL MONTO DE CAMPAÑA PARA CANCELAR A FIN DE MES </t>
  </si>
  <si>
    <t>Sustento de pago PPC - OTROS: TT SACARA GRATIFICACION</t>
  </si>
  <si>
    <t>Sustento de pago PPC - OTROS: tt se acerca a of cancela hasta fin de mes 500 ira abonando de a pocos / HORARIO DE PAGO: Mañana</t>
  </si>
  <si>
    <t>Sustento de pago PPC - OTROS: tt se acerca a oficina de Huaycán. Solicita compromiso de pago / HORARIO DE PAGO: Tarde</t>
  </si>
  <si>
    <t>Sustento de pago PPC - OTROS: tt se acercara a la ofic expertis el jueves 4.1 a las 4pm a realizar el pago en ese momento monto 400  / HORARIO DE PAGO: Mediodía</t>
  </si>
  <si>
    <t xml:space="preserve">Sustento de pago PPC - OTROS: tt se acercara primero a financiera oh antes de realizar el pago se le envian documentos </t>
  </si>
  <si>
    <t xml:space="preserve">Sustento de pago PPC - OTROS: TT SE ACOGE A LA CAMPAÑA 900 SOLES </t>
  </si>
  <si>
    <t xml:space="preserve">Sustento de pago PPC - OTROS: tt se acoge a la cancelacion de 643 de la sgte manera 43 el dia 17 de julio y 600 el dia 31 de julio  </t>
  </si>
  <si>
    <t>Sustento de pago PPC - OTROS: TT SE ACOJE A CANCELAR LA DEUDA BAJO EL MONTO DE 450 SOLES PARA EL DIA 16.02.2024 / HORARIO DE PAGO: Mañana</t>
  </si>
  <si>
    <t>Sustento de pago PPC - OTROS: TT SE ACOJE A CANCELAR LA DEUDA BAJO LA CAMPAÑA DE 550 SOLES CANCELANDO DE LA MANERA SIGUIENTE LE DIA 12.01.2024 EL MONTO DE 150 SOLES Y LA DIFERENCIA EL DIA 25.01.2024 / HORARIO DE PAGO: Mañana</t>
  </si>
  <si>
    <t>Sustento de pago PPC - OTROS: TT SE ACOJE A CANCELAR LA DEUDA NAJO LA CAMPAÑA DE 1900 SOLES CANCELANDO EL LA AGENCIA DE CREDINKA  / HORARIO DE PAGO: Mañana</t>
  </si>
  <si>
    <t>Sustento de pago PPC - OTROS: tt se acordo por llamada que con 1k cancelara deuda hoy 20.03 con 150 soles de adelanto por bcp  y para 26.03 con 850 restante completa toda deuda con excepcion aprobada se le adjunta todos los documentos a su wasapp  / HORARIO DE PAGO: Mañana</t>
  </si>
  <si>
    <t>Sustento de pago PPC - OTROS: tt se compromete a cancelar  la deuada  / HORARIO DE PAGO: Tarde</t>
  </si>
  <si>
    <t>Sustento de pago PPC - OTROS: tt se compromete a cancelar la deuada  / HORARIO DE PAGO: Tarde</t>
  </si>
  <si>
    <t>Sustento de pago PPC - OTROS: tt se compromete a cancelar la deuda  / HORARIO DE PAGO: Tarde</t>
  </si>
  <si>
    <t>Sustento de pago PPC - OTROS: TT se comunica e indica que el dia viernes estara pagando ya que tuvo inconvenientes aneteriormente</t>
  </si>
  <si>
    <t xml:space="preserve">Sustento de pago PPC - OTROS: TT SE COMUNICA INDICANDO QUE NO PUDO RESPSONDE LLAMADA  CONTRAPROPPNE CANCELAR CON 1300 SE HACE LA CONSULTA EN LLAMADA CON MELINA Y APRUEBA EXCEPCION  SE SUMA LO ABONADO EL DIA DE HOY 440  TOTAL 1740   </t>
  </si>
  <si>
    <t xml:space="preserve">Sustento de pago PPC - OTROS: tt se comunica informa qe no le pagaron por eso no pudo cancelar su deuda se le activa campaña solo por el dia de hoy por 400 ya que si no abona ese monto  hoy  ya no se podra brindar la misma campaña </t>
  </si>
  <si>
    <t>Sustento de pago PPC - OTROS: tt se comunica por sp e indica q le indicaronque el dia lunes por la tarde le estarn abonando por ende indica q con seguridad el dia nmartes 6 pagara / HORARIO DE PAGO: Tarde</t>
  </si>
  <si>
    <t xml:space="preserve">Sustento de pago PPC - OTROS: tt se comunica por whatsaap indicando que hara el pago el  dia de mañana le llego por msj el monto </t>
  </si>
  <si>
    <t xml:space="preserve">Sustento de pago PPC - OTROS: TT SE COMUNICA POR WHATSAP CONFIRMANDO PAGO A FIN DE MES  SE INFORMA A MARIBEL </t>
  </si>
  <si>
    <t>Sustento de pago PPC - OTROS: TT SE COMUNICARA CON UN FAMILIAR PARA QUE CANCELE POR EL. TT ESTA EN PROVINCIA</t>
  </si>
  <si>
    <t xml:space="preserve">Sustento de pago PPC - OTROS: tt se comunico al corporativo desea cancelar con importe de 658 por que le enviaron un sms </t>
  </si>
  <si>
    <t xml:space="preserve">Sustento de pago PPC - OTROS: tt se conseguira de su negocio propio el monto 300 </t>
  </si>
  <si>
    <t>Sustento de pago PPC - OTROS: tt se encuentra lejos de centro de pago dice lo paga mañana o sabado a mas tardar</t>
  </si>
  <si>
    <t xml:space="preserve">Sustento de pago PPC - OTROS: TT se encuentra trabajando como obrero en la mina menciona que donde se encuentra no hay agencias bancarias realizará pago en Sullana </t>
  </si>
  <si>
    <t>Sustento de pago PPC - OTROS: tt se esta adelantando 210  faltan 210 / HORARIO DE PAGO: Tarde</t>
  </si>
  <si>
    <t xml:space="preserve">Sustento de pago PPC - OTROS: tt se le envia documentos se carcara a financiera oh antesde realizar el pago </t>
  </si>
  <si>
    <t>Sustento de pago PPC - OTROS: tt se le hace imposible cumplir el dia de hoy lo estara realizando el lunes 23 a las 3pm</t>
  </si>
  <si>
    <t>Sustento de pago PPC - OTROS: TT SE LE OFRECE MIN1 AUN TIENE GASTOS POR MOTIVO DE SALUD REUNE EL DINERO AL 29 ENERO</t>
  </si>
  <si>
    <t>Sustento de pago PPC - OTROS: TT SE LE OTORGO DT 2000 SOLES NO CUENTA CON ESE IMPORTE SE LE OFRECE CAN 1240 INDICA QUE FIN DE MES VA RECIBIR PAGO DE TRABAJO PARA CANCELAR IMPORTE  / HORARIO DE PAGO: Tarde</t>
  </si>
  <si>
    <t xml:space="preserve">Sustento de pago PPC - OTROS: tt se le reprograma su compromiso de pago debido q su pago reboto </t>
  </si>
  <si>
    <t>Sustento de pago PPC - OTROS: tt se olvido y luego me dijo que mañana can 09 julio</t>
  </si>
  <si>
    <t>Sustento de pago PPC - OTROS: TT SE PRESTARÁ DINERO PARA PAGAR 174. DEPOSITARÁ EL 27.03 150SOLES Y EL SBDO 30 24SOLES  / HORARIO DE PAGO: Mediodía</t>
  </si>
  <si>
    <t xml:space="preserve">Sustento de pago PPC - OTROS: tt se prestara dinero para que pueda pagar </t>
  </si>
  <si>
    <t xml:space="preserve">Sustento de pago PPC - OTROS: tt se realiza compromiso de pago con importe de excepcion solicitada el dia de ayer aprobado por julio </t>
  </si>
  <si>
    <t xml:space="preserve">Sustento de pago PPC - OTROS: TT SI CONTARIA POR QUE LE DEPOSITARAN ANTES DE QUINCENA </t>
  </si>
  <si>
    <t>Sustento de pago PPC - OTROS: tt solicita reprogramacion de su compromiso de pago no logro reunir la totalidad indica que el lunes sin falta lo estara realizando</t>
  </si>
  <si>
    <t xml:space="preserve">Sustento de pago PPC - OTROS: TT SOLO TIENE 100 PARA PAGAR EL DIA DE HOY NO DISPONDE MAS </t>
  </si>
  <si>
    <t xml:space="preserve">Sustento de pago PPC - OTROS: TT TENDRA QUE VIAJAR PARA PAGAR EL VIAJE DEMORA 4 DIAS </t>
  </si>
  <si>
    <t>Sustento de pago PPC - OTROS: TT TENDRA UN COBRO DE UN ENCARGO</t>
  </si>
  <si>
    <t>Sustento de pago PPC - OTROS: tt tendra un dinero para esa fecha piensa cancelar con 1275 soles en la agencia de Tacna.  / HORARIO DE PAGO: Mañana</t>
  </si>
  <si>
    <t>Sustento de pago PPC - OTROS: tt tendra un pequeño trabajo en el cual ahorrara el dinero</t>
  </si>
  <si>
    <t xml:space="preserve">Sustento de pago PPC - OTROS: tt tiene 200 para cancelar el dia de hoy en agente bcp </t>
  </si>
  <si>
    <t>Sustento de pago PPC - OTROS: tt tiene 300 soles en mano y restante le prestara hija</t>
  </si>
  <si>
    <t>Sustento de pago PPC - OTROS: tt tiene dinero ahorrado</t>
  </si>
  <si>
    <t xml:space="preserve">Sustento de pago PPC - OTROS: tt tiene dinero ahorrado  se solicita excepcion y es aprovada en linea con melina   se fue ficha </t>
  </si>
  <si>
    <t>Sustento de pago PPC - OTROS: TT TIENE DINERO EN MANO EXCEPCION APROBADA Y ASIGNADO POR INBOUND SANDY</t>
  </si>
  <si>
    <t>Sustento de pago PPC - OTROS: TT TIENE DINERO POR RETIRO DE AFP ASIGANDO POR MARIANGELA</t>
  </si>
  <si>
    <t xml:space="preserve">Sustento de pago PPC - OTROS: tt tiene el dinero 09 enero de un pago </t>
  </si>
  <si>
    <t>Sustento de pago PPC - OTROS: TT TIENE EL DINERO CONFIRMA MAÑANA REALIZAR EL PAGO. MANDA CAPTURA  / HORARIO DE PAGO: Mediodía</t>
  </si>
  <si>
    <t xml:space="preserve">Sustento de pago PPC - OTROS: TT TIENE EL DINERO EN MANO MONTO 400 EXCEPCION </t>
  </si>
  <si>
    <t>Sustento de pago PPC - OTROS: TT TIENE EL DINERO MONTO 530  ESTA TRABAJANDO SALE A LAS 8PM PARA PAGAR POR AGENTE ULTIMO PLAZO PARA NO COBRAR UN MONTO MAYOR  WHATSAPP</t>
  </si>
  <si>
    <t>Sustento de pago PPC - OTROS: TT TIENE EL DINERO MONTO 800 PARA PAGAR EL 16  EXCEPCION APROBADO  ENVIAR COMPROMISO DE PAGO</t>
  </si>
  <si>
    <t xml:space="preserve">Sustento de pago PPC - OTROS: TT TIENE EN DINERO PARA EL DIA 10 </t>
  </si>
  <si>
    <t>Sustento de pago PPC - OTROS: tt tiene en mano 81 soles para cancelar ahora y 300 el dia sabado  / HORARIO DE PAGO: Tarde</t>
  </si>
  <si>
    <t xml:space="preserve">Sustento de pago PPC - OTROS: tt tiene fraccionamiento en 3 cuotas este mes de octubre cancelara base a su ultima cuota de 278 soles </t>
  </si>
  <si>
    <t xml:space="preserve">Sustento de pago PPC - OTROS: tt tiene trabajo eventuales no relaizo el abono por que su padre se pùso delicado de salud </t>
  </si>
  <si>
    <t>Sustento de pago PPC - OTROS: tt tiene trabajos eventuales abono 100 viernes 20 y diferencia 27</t>
  </si>
  <si>
    <t xml:space="preserve">Sustento de pago PPC - OTROS: tt tiene un ahorro juntado que con eso podra cancelarlo grabacion guardada en carpeta </t>
  </si>
  <si>
    <t>Sustento de pago PPC - OTROS: tt tiene un atraso de su renumeracion  pagara 15 enero</t>
  </si>
  <si>
    <t>Sustento de pago PPC - OTROS: TT Trabaja con muebleria le pagan el viernes</t>
  </si>
  <si>
    <t>Sustento de pago PPC - OTROS: tt trabaja en el campo</t>
  </si>
  <si>
    <t>Sustento de pago PPC - OTROS: TT trabaja en taxi esta juntando para cuota</t>
  </si>
  <si>
    <t xml:space="preserve">Sustento de pago PPC - OTROS: TT trabaja en venta de ropa cancelara por la tarde </t>
  </si>
  <si>
    <t>Sustento de pago PPC - OTROS: tt trabaja en zona alejada enviara a un compañero a pagar</t>
  </si>
  <si>
    <t xml:space="preserve">Sustento de pago PPC - OTROS: TT trabaja para el estado </t>
  </si>
  <si>
    <t>Sustento de pago PPC - OTROS: tt trabaja y de ahi sacara dinero para el dia 26 de junio</t>
  </si>
  <si>
    <t xml:space="preserve">Sustento de pago PPC - OTROS: tt trabaja y estudia incumplimiento por que no tenia la totalidad adelanta hoy 50 soles </t>
  </si>
  <si>
    <t xml:space="preserve">Sustento de pago PPC - OTROS: tt un poco desconfiado indica que pagara pero que le brinden seguridad </t>
  </si>
  <si>
    <t>Sustento de pago PPC - OTROS: TT VA CANCELAR 100K 1502 Y LA DIFERENCIA FIN DE MES  / HORARIO DE PAGO: Mañana</t>
  </si>
  <si>
    <t>Sustento de pago PPC - OTROS: tt va pagar el 05 de abril 200 el 12 de abril 150 y el 19 de abril 150 / HORARIO DE PAGO: Tarde</t>
  </si>
  <si>
    <t xml:space="preserve">Sustento de pago PPC - OTROS: tt va pagar el 21 de agosto monto de 2000 BCP se envia compromiso de pago </t>
  </si>
  <si>
    <t>Sustento de pago PPC - OTROS: TT VA RECIBIR PAGO DE SEMANA DE SU TRABAJO CON EL CUAL CANCELARA IMPORTE ACORDADO DE 200 SOLES NO PUDO PAGARLO EL MES PASADO PORQUE NO LE PAGARON  / HORARIO DE PAGO: Tarde</t>
  </si>
  <si>
    <t xml:space="preserve">Sustento de pago PPC - OTROS: TT VA RECIBIR UN PAGO 398 EL DIA 30 DE JULIO </t>
  </si>
  <si>
    <t>Sustento de pago PPC - OTROS: TT VARADO EN HUELGA 28.12</t>
  </si>
  <si>
    <t>Sustento de pago PPC - OTROS: tt vendera sus lechones con los que cuenta le daran 1500 y su cuñada le brindara 500</t>
  </si>
  <si>
    <t>Sustento de pago PPC - OTROS: tt ya abono 100 soles 16 por bco de la nacion se esta recuperando de COVID reunira el dinero para cancelar completando el min1</t>
  </si>
  <si>
    <t>Sustento de pago PPC - OTROS: tt ya abono 400 soles el viernes pagara 650 con ello cubrira min1</t>
  </si>
  <si>
    <t>Sustento de pago PPC - OTROS: tt ya comenzo a laborar</t>
  </si>
  <si>
    <t>Sustento de pago PPC - OTROS: tt ya hizo la venta de su terreno con documentos en mano a travez del notario indica que el dia sabado se acercara a la oficina de andahuaylas a efectuar la cancelacion entre las 10 am ya que viajara hasta hay  indica que quiere la carta de no adeudo lo mas pronto posible se coordina todo con jefa de operacion de la agencia Sra Jacqueline</t>
  </si>
  <si>
    <t xml:space="preserve">Sustento de pago PPC - OTROS: tt ya pago 100 soles el cubra la totalidad con 400 soles </t>
  </si>
  <si>
    <t>Sustento de pago PPC - OTROS: tt. esta mal de la columna con el robo que a tenido le dieron reposo conversara con la persona que lo ayuda  / HORARIO DE PAGO: Tarde</t>
  </si>
  <si>
    <t>Sustento de pago PPC - OTROS: tt. quiere cancelar deuda ya que esta solicitando prestamo trabaja en hospital General jaen / HORARIO DE PAGO: Tarde / CANAL ENVIO - LLAMADA</t>
  </si>
  <si>
    <t>Sustento de pago PPC - OTROS: TT. se prestara de su esposo ya que es el unico que trabaja tiene hijo de 1 año por eso no puede trabajar / HORARIO DE PAGO: Tarde</t>
  </si>
  <si>
    <t>Sustento de pago PPC - OTROS: tt. tratara de adelantar pago  / HORARIO DE PAGO: Tarde</t>
  </si>
  <si>
    <t>Sustento de pago PPC - OTROS: TTI  HARA CSNCELQCION CN PAGO DE SU CHEQUE</t>
  </si>
  <si>
    <t xml:space="preserve">Sustento de pago PPC - OTROS: tti pahra apgo  de oh </t>
  </si>
  <si>
    <t>Sustento de pago PPC - OTROS: ttitular indica que se prestara de su hijo. se encuentra mal de salud pero hara el esfuerzo para cancelar  / HORARIO DE PAGO: Tarde</t>
  </si>
  <si>
    <t>Sustento de pago PPC - OTROS: TUVO ACUERDO INICAL POR 370 CUMPLIRA CON CONVENIO PENDIENTE 16 DE JUNIO</t>
  </si>
  <si>
    <t>Sustento de pago PPC - OTROS: tuvo desconfianza por ello no pago hoy cancelara se confir x wsp</t>
  </si>
  <si>
    <t>Sustento de pago PPC - OTROS: ultima cuota</t>
  </si>
  <si>
    <t>Sustento de pago PPC - OTROS: ultima cuota  / HORARIO DE PAGO: Mañana</t>
  </si>
  <si>
    <t>Sustento de pago PPC - OTROS: ultima cuota  / HORARIO DE PAGO: Tarde</t>
  </si>
  <si>
    <t>Sustento de pago PPC - OTROS: ultima cuota / HORARIO DE PAGO: Mañana</t>
  </si>
  <si>
    <t>Sustento de pago PPC - OTROS: ultima cuota 130 soles</t>
  </si>
  <si>
    <t>Sustento de pago PPC - OTROS: ULTIMA CUOTA 150 SOLES</t>
  </si>
  <si>
    <t>Sustento de pago PPC - OTROS: ultima cuota 200 soles</t>
  </si>
  <si>
    <t xml:space="preserve">Sustento de pago PPC - OTROS: ULTIMA CUOTA CANCELA </t>
  </si>
  <si>
    <t>Sustento de pago PPC - OTROS: ULTIMA CUOTA CANCELANDO SU DEUDA  EL MONTO DE 300 SOLES  EL 18 DE ABRIL  / HORARIO DE PAGO: Tarde</t>
  </si>
  <si>
    <t>Sustento de pago PPC - OTROS: ultima cuota de 200 soles   cancelando su deuda  / HORARIO DE PAGO: Tarde</t>
  </si>
  <si>
    <t>Sustento de pago PPC - OTROS: Ultima cuota del cronograma de pago.   / HORARIO DE PAGO: Mañana</t>
  </si>
  <si>
    <t>Sustento de pago PPC - OTROS: ULTIMA CUOTA PPM CUMPLIO CON IMPORTE DE 2MIL RESTANTE DE CUOTA NUMERO 1 FEBRERO Y EL DIA 20  DE MARZO REGULARIZA CON 2500 COMPLETANDO CANCELACION DE IMPORTE PROPUESTA DE 5 MIL  / HORARIO DE PAGO: Mañana</t>
  </si>
  <si>
    <t>Sustento de pago PPC - OTROS: ultimo plazo  2 pm</t>
  </si>
  <si>
    <t>Sustento de pago PPC - OTROS: un familiar le prestará</t>
  </si>
  <si>
    <t>Sustento de pago PPC - OTROS: un tercero le devolvera el dinero que ella presto</t>
  </si>
  <si>
    <t xml:space="preserve">Sustento de pago PPC - OTROS: va a juntar y va hacer su cobranza  si en caso no consigue se prestara el dinero </t>
  </si>
  <si>
    <t>Sustento de pago PPC - OTROS: VA A PAGAR LA HIJA RESPONSABLE KAREN ALVA GUERRERO</t>
  </si>
  <si>
    <t xml:space="preserve">Sustento de pago PPC - OTROS: VA A PAGAR LOS 400 POR LA TARDE NOS DICE </t>
  </si>
  <si>
    <t xml:space="preserve">Sustento de pago PPC - OTROS: va a recibir un dinero 105 soles </t>
  </si>
  <si>
    <t>Sustento de pago PPC - OTROS: VA ACONSEGUIR PPC 750 EXCEP</t>
  </si>
  <si>
    <t>Sustento de pago PPC - OTROS: VA ADELANTAR EN LA SIGUIENTE SEMANA 380 Y LA DIFERENCIA EL 26  MONTO 490</t>
  </si>
  <si>
    <t xml:space="preserve">Sustento de pago PPC - OTROS: va cancelar su ex esposo si tiene dinero de la totalidad </t>
  </si>
  <si>
    <t xml:space="preserve">Sustento de pago PPC - OTROS: va conseguir el dinero si puede abona antes </t>
  </si>
  <si>
    <t xml:space="preserve">Sustento de pago PPC - OTROS: VA CONSEGUIR MONTO 140 </t>
  </si>
  <si>
    <t>Sustento de pago PPC - OTROS: va empezar a trabjar con ello cancelara ya se esta recuperando envi cta bcp wsp</t>
  </si>
  <si>
    <t>Sustento de pago PPC - OTROS: va pagar 900 excepcion   trabaja independiente</t>
  </si>
  <si>
    <t>Sustento de pago PPC - OTROS: va pagar hoy 23 de junio  cerrado whatsapp   tiene el dinero</t>
  </si>
  <si>
    <t>Sustento de pago PPC - OTROS: van a realizarle pago con seguridad campaña 345 de sms</t>
  </si>
  <si>
    <t>Sustento de pago PPC - OTROS: vende desayuno para 11.00 am</t>
  </si>
  <si>
    <t>Sustento de pago PPC - OTROS: VENTA DE COSECHA DE PAPAS / HORARIO DE PAGO: Mañana</t>
  </si>
  <si>
    <t xml:space="preserve">Sustento de pago PPC - OTROS: Venta de fajas Contrapropuesta 400 </t>
  </si>
  <si>
    <t xml:space="preserve">Sustento de pago PPC - OTROS: venta de productos  campo </t>
  </si>
  <si>
    <t>Sustento de pago PPC - OTROS: venta de productos menciona que si esta invirtiendo para cancelar ladeuda adelanta el dia lunes 06</t>
  </si>
  <si>
    <t xml:space="preserve">Sustento de pago PPC - OTROS: VENTA DE SU CAFE  PAGO PARA EL 31 </t>
  </si>
  <si>
    <t>Sustento de pago PPC - OTROS: venta de terreno</t>
  </si>
  <si>
    <t>Sustento de pago PPC - OTROS: ventas de productos online</t>
  </si>
  <si>
    <t>Sustento de pago PPC - OTROS: VIVE EN EL CAMPO INDICA TIENE QUE VIAJAR POR ELLO SOLICITA EL PLAZO  / HORARIO DE PAGO: Tarde</t>
  </si>
  <si>
    <t xml:space="preserve">Sustento de pago PPC - OTROS: WHATSAPP CONSEGUIRA EL DINERO MONTO 82 </t>
  </si>
  <si>
    <t>Sustento de pago PPC - OTROS: WHATSAPP PAGO DE TRABAJO CAMPAÑA 1600</t>
  </si>
  <si>
    <t>Sustento de pago PPC - OTROS: WSP 958723073  / HORARIO DE PAGO: Mañana</t>
  </si>
  <si>
    <t>Sustento de pago PPC - OTROS: ya cuenta con dinero ahorrado retirara dinero para cancelar</t>
  </si>
  <si>
    <t>Sustento de pago PPC - OTROS: ya tiene 50 va juntar 50</t>
  </si>
  <si>
    <t xml:space="preserve">Sustento de pago PPC - OTROS: Yerno es transportista pagara la deuda </t>
  </si>
  <si>
    <t>Sustento de pago PPC - OTROS: YOVANA HIJA ENCARGADA CONFIRMA QUE HASTA EL 20 ESTARA PAGANDO LOS 3100 APROBADOS</t>
  </si>
  <si>
    <t>Sustento de pago PPC - OTROS: Zenaido Vargas Alarcon hijo responsable va paga el dia de hoy 16.11 monto de 4000</t>
  </si>
  <si>
    <t>Sustento de pago PPC - Pago de planilla</t>
  </si>
  <si>
    <t>Sustento de pago PPC - Pago de planilla / HORARIO DE PAGO: Mañana</t>
  </si>
  <si>
    <t>Sustento de pago PPC - Pago de planilla / HORARIO DE PAGO: Mañana / CANAL ENVIO - LLAMADA</t>
  </si>
  <si>
    <t xml:space="preserve">Sustento de pago PPC - Pago de planilla / HORARIO DE PAGO: Mañana / NOTA: </t>
  </si>
  <si>
    <t xml:space="preserve">Sustento de pago PPC - Pago de planilla / HORARIO DE PAGO: Mañana / NOTA:  Brenda Asenjo Muñoz dni :  48816664Esposa   paga restante al 30-9 completa la cancelacion </t>
  </si>
  <si>
    <t xml:space="preserve">Sustento de pago PPC - Pago de planilla / HORARIO DE PAGO: Mañana / NOTA:  TT CONFIRMA EL PAGO DE SU ÚLTIMA CUOTA DE 4000 EL 30.10 SEGÚN CRONOGRAMA </t>
  </si>
  <si>
    <t>Sustento de pago PPC - Pago de planilla / HORARIO DE PAGO: Mañana / NOTA: 962 235 697</t>
  </si>
  <si>
    <t>Sustento de pago PPC - Pago de planilla / HORARIO DE PAGO: Mañana / NOTA: acuerd de pago de 1600 para hoy 04/05</t>
  </si>
  <si>
    <t>Sustento de pago PPC - Pago de planilla / HORARIO DE PAGO: Mañana / NOTA: acuerdo de pago por 1300 para hoy</t>
  </si>
  <si>
    <t>Sustento de pago PPC - Pago de planilla / HORARIO DE PAGO: Mañana / NOTA: Adjunta voucher del pago de 3,000.</t>
  </si>
  <si>
    <t>Sustento de pago PPC - Pago de planilla / HORARIO DE PAGO: Mañana / NOTA: CANCELACION DE 5000 SOLES, ADELANTA HOY 2000 SOLES LO RESTANTE PARA EL 30 DE MAYO IMPORTE DE 3000</t>
  </si>
  <si>
    <t xml:space="preserve">Sustento de pago PPC - Pago de planilla / HORARIO DE PAGO: Mañana / NOTA: cliente confirma pago de 400 soles para el 29 de este mes </t>
  </si>
  <si>
    <t>Sustento de pago PPC - Pago de planilla / HORARIO DE PAGO: Mañana / NOTA: cliente indica que cancelará el día 31/05 la campaña de  s/400</t>
  </si>
  <si>
    <t>Sustento de pago PPC - Pago de planilla / HORARIO DE PAGO: Mañana / NOTA: cliente indica que hará cancelacion el dia 15 , indica que no tiene posibilidades de adelantar algo,de su sueldo pagará monto establecido</t>
  </si>
  <si>
    <t xml:space="preserve">Sustento de pago PPC - Pago de planilla / HORARIO DE PAGO: Mañana / NOTA: D.T. S/245.06  SE LE OFRECE DK S/150 SOLES </t>
  </si>
  <si>
    <t xml:space="preserve">PPC S/150 SOLES X AGENTE BCP VIERNES 18/7 X LA TARDE ESPERA SU PH </t>
  </si>
  <si>
    <t>Sustento de pago PPC - Pago de planilla / HORARIO DE PAGO: Mañana / NOTA: D.T. S/4.500 SOLES  DK S/3000 LE LLEGO SMS POR S/ 756 SOLES YA  NO  ESTA  DISPONIBLE AHORA</t>
  </si>
  <si>
    <t xml:space="preserve"> TT PROPONE  CAN  CON S/1500 SOLESCON LA  CONDICION DE UN ABONO ACUENTA  DE  S/500 SOLES HOY VIERNES 4/7 </t>
  </si>
  <si>
    <t xml:space="preserve">EXCEPCION ELEVEADA PREVIAMENTE CONSULTADA CON MAYRA  </t>
  </si>
  <si>
    <t xml:space="preserve">Sustento de pago PPC - Pago de planilla / HORARIO DE PAGO: Mañana / NOTA: DOCENTE. SE ACERCARÁ A CARAZ A PAGAR EL DÍA SÁBADO </t>
  </si>
  <si>
    <t xml:space="preserve">Sustento de pago PPC - Pago de planilla / HORARIO DE PAGO: Mañana / NOTA: DT 572.51 - DK  302.55 - MIN1  215.00 /   PAGA S/.215.00  EL  30/05 VIA AGENTE BCP - PAGO POR LA TARDE </t>
  </si>
  <si>
    <t xml:space="preserve">Sustento de pago PPC - Pago de planilla / HORARIO DE PAGO: Mañana / NOTA: dt s/857.31 dk s/600. </t>
  </si>
  <si>
    <t xml:space="preserve">ppc s/600 soles  en el banco  ibk x la tarde  </t>
  </si>
  <si>
    <t>Sustento de pago PPC - Pago de planilla / HORARIO DE PAGO: Mañana / NOTA: DT: S/.1,347.95 - campaña de 275, cl pide plazo, se le da el plazo de que abone 110 el viernes 27-06 y la dif para el 30-06 ya que el 30 cobra, inidca que si realizara el pago.</t>
  </si>
  <si>
    <t>realizara el pago de su pago de planilla</t>
  </si>
  <si>
    <t>Sustento de pago PPC - Pago de planilla / HORARIO DE PAGO: Mañana / NOTA: Monto negociado: 240</t>
  </si>
  <si>
    <t xml:space="preserve">Sustento: pago de trabajo </t>
  </si>
  <si>
    <t>Fecha: 03/02 y la dif 14/02</t>
  </si>
  <si>
    <t xml:space="preserve">Propuesta: se le brinda campaña de 240 solo x hoy, cl menciona que no sería viable, ya que no cuenta con dinero. Se le pide un adelanto del 50%; CL confirma y que el pago lo realiza mañana y la diferencia hasta el 14, que con seguridad le pagan. Correo de cl: DANIAA_DIAZZ@HOTMAIL.COM  </t>
  </si>
  <si>
    <t>Sustento de pago PPC - Pago de planilla / HORARIO DE PAGO: Mañana / NOTA: MONTO NEGOCIADO: 4603</t>
  </si>
  <si>
    <t>Sustento:TT confirma que ya hizo las validaciones con el banco y reviso su reporte sentinel. Está de acuerdo con el pago para el día 31 de Julio posiblemente para el día 30 pero más seguro el 31. Se le explica nuevamente CDNA en 72hrs, pago por transferencia BCP o como pago de servicios. Deja corres// jessqsqn@gmail.com y nelsonhidalgovasquez@gmail.com</t>
  </si>
  <si>
    <t>Motivo de no pago: TT se encuentra delicada de salud y esposo se hará cargo de la deuda</t>
  </si>
  <si>
    <t>Fecha: 31/07</t>
  </si>
  <si>
    <t xml:space="preserve">Propuesta: Can con min 1 </t>
  </si>
  <si>
    <t>Sustento de pago PPC - Pago de planilla / HORARIO DE PAGO: Mañana / NOTA: MONTO TOTAL NEGOCIADO: SE INGRESA PPM ASIGNADA AL DIA 30-11</t>
  </si>
  <si>
    <t>**NOTA**: TITULAR HARA EL ABONO 29-11</t>
  </si>
  <si>
    <t>FECHA DE PAGO: 29-11-2025</t>
  </si>
  <si>
    <t>MONTO PROPUESTA:CUOTA 2 DE 2 POR S/190</t>
  </si>
  <si>
    <t>MONTO PROPUESTA:CUOTA 2 DE 2 POR S/300.00</t>
  </si>
  <si>
    <t>Sustento de pago PPC - Pago de planilla / HORARIO DE PAGO: Mañana / NOTA: noc contesta el titular. pagara con campaña 1764 el viernes 27. se envia acuerdo de pago al whatsapp</t>
  </si>
  <si>
    <t>Sustento de pago PPC - Pago de planilla / HORARIO DE PAGO: Mañana / NOTA: NOTA: MONTO TOTAL NEGOCIADO: SE NEGOCIA POR DT25,923.34 Y DK 19,870.40  MIN1 8000.00 SE LE PIDE ABONAR UN MONTO CERCANO AL MIN1 NO PUEDE PROPONE 2000 HOY E EFCTIVO SE LE EXPLICA QUE ESTRIA SOLICITANDO UN 7 % ESA PROPUESTA NO ES VIABLE  MEJORA HASTA 3500  MASN NO PODRIA  1 CUOTA TRANSFRENCIA **NOTA**: TITULAR HARA EL ABONO 23-02-2026MOTIVO DE NO PAGO: EL IMPORTE LO UTILIZO SU SOCIO NO LOGRO LLEGAR A UN ACUERDO CON ELSUSTENTO DE PAGO: DINERO EN CUENTAFECHA DE PAGO: 23-02-2026MONTO PROPUESTA: TT PORPONE DOS MIL QUE ES LO QUE TIENE HOY ABONA 2000 Y 1500 A FIN DE MES PARA NO PERDER LA PROPUESTA CNACELAN POR TRANSFERENCIA BCP</t>
  </si>
  <si>
    <t>Sustento de pago PPC - Pago de planilla / HORARIO DE PAGO: Mañana / NOTA: PAGO DE LA ULTIMA CUOTA.</t>
  </si>
  <si>
    <t>Sustento de pago PPC - Pago de planilla / HORARIO DE PAGO: Mañana / NOTA: pago inicial de 200 hasta el 21/06 dif fines</t>
  </si>
  <si>
    <t xml:space="preserve">Sustento de pago PPC - Pago de planilla / HORARIO DE PAGO: Mañana / NOTA: PPC  DE  S/1000. SOLES  ULTIMA CUOTA DE  PPM  ABONA LA  MITAD  EL 15/1 Y DIFERENCIA EL  DIA 30/1 X APP BBVA </t>
  </si>
  <si>
    <t xml:space="preserve">Sustento de pago PPC - Pago de planilla / HORARIO DE PAGO: Mañana / NOTA: ppc  de s/ 700 soles  viernes 8/5  por la  tarde tiene el  dinero </t>
  </si>
  <si>
    <t xml:space="preserve">Sustento de pago PPC - Pago de planilla / HORARIO DE PAGO: Mañana / NOTA: PPC  POR  S/1400 SOLES   - HOY  ABONA  S/250.  soles   y la diferencia  S/1150. soles  el  dia  lunes 16/3 por  app  del  banco de la nación espera su  ph  </t>
  </si>
  <si>
    <t xml:space="preserve">Sustento de pago PPC - Pago de planilla / HORARIO DE PAGO: Mañana / NOTA: PPC  POR  S/2.000 SOLES  VIERNES 29/5 X LA TARDE  EN BCP </t>
  </si>
  <si>
    <t xml:space="preserve">Sustento de pago PPC - Pago de planilla / HORARIO DE PAGO: Mañana / NOTA: PPC  S/205 - JUEVES 16/6 ESPERA  SU PH </t>
  </si>
  <si>
    <t xml:space="preserve">Sustento de pago PPC - Pago de planilla / HORARIO DE PAGO: Mañana / NOTA: PPC 1300 SOLES  27/6 X BBVA </t>
  </si>
  <si>
    <t>Sustento de pago PPC - Pago de planilla / HORARIO DE PAGO: Mañana / NOTA: PPC 152.00 15/08 PAGA CON PAGO DE PLANILLA</t>
  </si>
  <si>
    <t xml:space="preserve">Sustento de pago PPC - Pago de planilla / HORARIO DE PAGO: Mañana / NOTA: PPC 200 SOLES  VIERNES 11/10 </t>
  </si>
  <si>
    <t>Sustento de pago PPC - Pago de planilla / HORARIO DE PAGO: Mañana / NOTA: PPC 410 EN 2 PARTES // 205 EL 12 AGOSTO Y 29 AGOSTO 205</t>
  </si>
  <si>
    <t xml:space="preserve">Sustento de pago PPC - Pago de planilla / HORARIO DE PAGO: Mañana / NOTA: PPC 750  MIERCOLES 30/10 - POR AGENTE  </t>
  </si>
  <si>
    <t xml:space="preserve">Sustento de pago PPC - Pago de planilla / HORARIO DE PAGO: Mañana / NOTA: PPC POR  S/1.200 SOLES  VIERNES 29/5 ESPERA SU  PAGO  DE HABERES X LA TARDE  </t>
  </si>
  <si>
    <t xml:space="preserve">Sustento de pago PPC - Pago de planilla / HORARIO DE PAGO: Mañana / NOTA: PPC por S/200. SOLES  LUNES  18/5  EN  LA MAÑANA  POR  BANCA MOVIL </t>
  </si>
  <si>
    <t xml:space="preserve">Sustento de pago PPC - Pago de planilla / HORARIO DE PAGO: Mañana / NOTA: PPC S/1000 SOLES  CAMPAÑA  ESPECIAL ABONA S/200 SOLES X  AGENTE BCP Y DIFERENCIA FIN DE  MES </t>
  </si>
  <si>
    <t xml:space="preserve">Sustento de pago PPC - Pago de planilla / HORARIO DE PAGO: Mañana / NOTA: PPC S/116 EN CAJA LOS  ANDES MARTES 15/10 </t>
  </si>
  <si>
    <t>Sustento de pago PPC - Pago de planilla / HORARIO DE PAGO: Mañana / NOTA: ppc s/3000 x  agente bcp viernes 11/4</t>
  </si>
  <si>
    <t>Sustento de pago PPC - Pago de planilla / HORARIO DE PAGO: Mañana / NOTA: PPC S/305 ULTIMA  CUOTA  DE  PPM EN  CAJA TRUJILLO VIERNES 28/3</t>
  </si>
  <si>
    <t xml:space="preserve">Sustento de pago PPC - Pago de planilla / HORARIO DE PAGO: Mañana / NOTA: PPC S/350 soles  hoy lunes 16/2  abona s/100 soles y  diferencia fin de  mes  s/250  por agente  </t>
  </si>
  <si>
    <t xml:space="preserve">Sustento de pago PPC - Pago de planilla / HORARIO DE PAGO: Mañana / NOTA: PPC S/350 SOLES EN CAJ TRUJILLO MIERCOLES 21/5 </t>
  </si>
  <si>
    <t>Sustento de pago PPC - Pago de planilla / HORARIO DE PAGO: Mañana / NOTA: PPC S/3550 SOLES  X APP INTERBANK LUNES 26/5</t>
  </si>
  <si>
    <t xml:space="preserve">Sustento de pago PPC - Pago de planilla / HORARIO DE PAGO: Mañana / NOTA: PPC S/600 SOLES  EN  CAJA TRUJILLO HOY ABONA S/400 SOLES Y  DIFERENCIA  FIN DE MES </t>
  </si>
  <si>
    <t xml:space="preserve">Sustento de pago PPC - Pago de planilla / HORARIO DE PAGO: Mañana / NOTA: PPC S/600 SOLES  EN PF  CAJA TRUJILLO  SABADO 18/01 </t>
  </si>
  <si>
    <t xml:space="preserve">Sustento de pago PPC - Pago de planilla / HORARIO DE PAGO: Mañana / NOTA: ppc s/600 soles viernes 8/5 por la tarde  </t>
  </si>
  <si>
    <t xml:space="preserve">Sustento de pago PPC - Pago de planilla / HORARIO DE PAGO: Mañana / NOTA: PPC S/800 SOLES  EN  CAJA TRUJILLO LUNES 31/3 </t>
  </si>
  <si>
    <t>Sustento de pago PPC - Pago de planilla / HORARIO DE PAGO: Mañana / NOTA: PPC// 1214 // 17/06/2024// PAGO PLANILLA// PAGARA POR LA MAÑANA PRIMERA HORA//</t>
  </si>
  <si>
    <t>Sustento de pago PPC - Pago de planilla / HORARIO DE PAGO: Mañana / NOTA: s</t>
  </si>
  <si>
    <t xml:space="preserve">Sustento de pago PPC - Pago de planilla / HORARIO DE PAGO: Mañana / NOTA: Se brinda DT DK a tt Can 11000 menciona que el se encuentra fuera en campo aun estaría llegando hoy menciona tener toda l intensión de pago por los cuales cancelara la totalidad de la deuda , hoy brindaría un adelanto del 50% seria 5500 y el importe restante seria el dia 30 /03 . </t>
  </si>
  <si>
    <t xml:space="preserve">Sustento de pago PPC - Pago de planilla / HORARIO DE PAGO: Mañana / NOTA: SE CONVERSA CON LA TT SE LE HABILITA LA CAMPAÑA DE 388 CANCELANDO EL DIA 24/03/2024  </t>
  </si>
  <si>
    <t xml:space="preserve">Sustento de pago PPC - Pago de planilla / HORARIO DE PAGO: Mañana / NOTA: SE CONVERSA CON LA TT SE LE MENCIONA Q LA PROPUESTA DE PAGO FUEA APROBADA PARA CANCELAR EL MONTO DE 600 SOLES CANCELANDO DE LA MANERA SIGUIENTE EL DIA 05/07/2024 EL IMPORTE DE 100 SOLES COMO CUOTA INICIAL Y LA DOIFERENCIA PARA EL DIA 15/07/2024 </t>
  </si>
  <si>
    <t>Sustento de pago PPC - Pago de planilla / HORARIO DE PAGO: Mañana / NOTA: se informa aprobacion de 300 solo por hoy y en estos momentos, tt hara el pago en linea por app interbank Jaura10@hotmail.com</t>
  </si>
  <si>
    <t>Sustento de pago PPC - Pago de planilla / HORARIO DE PAGO: Mañana / NOTA: SE INFORMA DT 430, CAN SALDO CAPITAL 340, TT INDICA QUE EL 26 DE JUNIO LE PAGAN PLANILLA, ESE DIA CANCELARIA EL IMPORTE DE 340</t>
  </si>
  <si>
    <t>Sustento de pago PPC - Pago de planilla / HORARIO DE PAGO: Mañana / NOTA: se llega a la cancelacion del importe de 356.87 y con eso cancela lo pagara por el APP del bcp .</t>
  </si>
  <si>
    <t xml:space="preserve">Sustento de pago PPC - Pago de planilla / HORARIO DE PAGO: Mañana / NOTA: SEÑORA SHIRLEY, HIJA DE LA TT , INDICA QUE REALIZARA EL PAGO EL DIA JUEVES, ESTO SE REALIZARA CON EL PAGO DE HABERES </t>
  </si>
  <si>
    <t>Sustento de pago PPC - Pago de planilla / HORARIO DE PAGO: Mañana / NOTA: SORTEO</t>
  </si>
  <si>
    <t>Sustento de pago PPC - Pago de planilla / HORARIO DE PAGO: Mañana / NOTA: Sr. contesta se realiza recordatorio de pago de su ultima cuota para fin de mes segun lo acordado, sr confirma y solicita un comprobante de su pago realizado el 13/12, se le indica que el comprobante es su boucher, sr dice que esta bien que a fines del mes se estará realizando el pago</t>
  </si>
  <si>
    <t xml:space="preserve">Sustento de pago PPC - Pago de planilla / HORARIO DE PAGO: Mañana / NOTA: Srta contesta mensaje de wsp se confirma pago indicando que lo tiene presente se le indica programacion para el dia 28 de Ultima cuota </t>
  </si>
  <si>
    <t xml:space="preserve">Sustento de pago PPC - Pago de planilla / HORARIO DE PAGO: Mañana / NOTA: titular hará su adelanto hoy 500 resto para el 27 3999 </t>
  </si>
  <si>
    <t>Sustento de pago PPC - Pago de planilla / HORARIO DE PAGO: Mañana / NOTA: Titular indica realizar la suma de S/1,650.00 soles por transferencia de BCP para el Jueves 22/01/2026 por la mañana.</t>
  </si>
  <si>
    <t xml:space="preserve">Sustento de pago PPC - Pago de planilla / HORARIO DE PAGO: Mañana / NOTA: TITULAR PAGA HOY 1000 Y RESTANTE 9MIL EN PARTES HASTA EL 29-08 </t>
  </si>
  <si>
    <t xml:space="preserve">Sustento de pago PPC - Pago de planilla / HORARIO DE PAGO: Mañana / NOTA: TITULAR PAGARA EL RESTANTE DE SU ACUERDO DE PAGO PARA EL 26/01 SE ESPERA SU VAUCHER DE PAGO </t>
  </si>
  <si>
    <t>Sustento de pago PPC - Pago de planilla / HORARIO DE PAGO: Mañana / NOTA: TITULAR PARA SU RESTANTE ESTE MES DE ACUERDO A SU APROBACION 3000 PAGARA 700 QUE RESTABA EL 17/01</t>
  </si>
  <si>
    <t xml:space="preserve">Sustento de pago PPC - Pago de planilla / HORARIO DE PAGO: Mañana / NOTA: titular realizara pago de 600 el dia 25/06 por yape,  a partir de la s08am  ya que  motivo de no fue por que no le han pagado  pero dice que no pasa de esa fecha </t>
  </si>
  <si>
    <t xml:space="preserve">Sustento de pago PPC - Pago de planilla / HORARIO DE PAGO: Mañana / NOTA: TT ABONA HOY 3K DE ADELANTO Y 2400 EL VIERNES 30 </t>
  </si>
  <si>
    <t>Sustento de pago PPC - Pago de planilla / HORARIO DE PAGO: Mañana / NOTA: TT abono 5000 de su cuota pasada de enero este mes completa los 10M para cumplir con su acuerdo</t>
  </si>
  <si>
    <t xml:space="preserve">Sustento de pago PPC - Pago de planilla / HORARIO DE PAGO: Mañana / NOTA: TT accede a cancelar con el importe de S/3,845.00 de la sgt manera: Hoy 07-05 con el importe de S/500.00 y saldo de S/3,345.00 el día 15-05 con su cts. </t>
  </si>
  <si>
    <t>Sustento de pago PPC - Pago de planilla / HORARIO DE PAGO: Mañana / NOTA: tt accede a pago con min1 para el 24, se solicito adelanto pero dice q no cuenta pero para esa fecha asegura hara la cancelacion</t>
  </si>
  <si>
    <t xml:space="preserve">Sustento de pago PPC - Pago de planilla / HORARIO DE PAGO: Mañana / NOTA: TT ADELANTA 1K VIA BCP HOY 19 DE JUNIO Y 1K EL 27 DE JUNIO </t>
  </si>
  <si>
    <t xml:space="preserve">Sustento de pago PPC - Pago de planilla / HORARIO DE PAGO: Mañana / NOTA: tt adelanta 500 y saldo 2k  a fin de mes </t>
  </si>
  <si>
    <t>Sustento de pago PPC - Pago de planilla / HORARIO DE PAGO: Mañana / NOTA: tt adelante 3k el dia  de hoy y saldo de 12k el 30-12 se envio inform al wsp y a su correo jicastillot16@gmail.com</t>
  </si>
  <si>
    <t xml:space="preserve">Sustento de pago PPC - Pago de planilla / HORARIO DE PAGO: Mañana / NOTA: TT ayer adelanto 600 x app de bbva y resto 400 soles  sera hasta el 31 de octubre por app </t>
  </si>
  <si>
    <t>Sustento de pago PPC - Pago de planilla / HORARIO DE PAGO: Mañana / NOTA: tt bajo averiguar hoy pero no tiene dinero pide una semana q termina su trabajo  lo haria por agente bcp</t>
  </si>
  <si>
    <t>Sustento de pago PPC - Pago de planilla / HORARIO DE PAGO: Mañana / NOTA: tt cancela el jueves 30 ya le confirmaron adelanto de sueldo lo hace en los andes mediodia</t>
  </si>
  <si>
    <t>Sustento de pago PPC - Pago de planilla / HORARIO DE PAGO: Mañana / NOTA: TT CANCELARÁ CON EL IMPORTE DE S/1,545.00 DE LA SGT MANERA: HOY 08-05 CON S/400.00 Y SALDO EL DÍA 15-05.</t>
  </si>
  <si>
    <t xml:space="preserve">Sustento de pago PPC - Pago de planilla / HORARIO DE PAGO: Mañana / NOTA: TT CONFIRMA EL PAGO DE SU ÚLTIMA CUOTA DE 4670 CON EL PAGO DE SU PLANILLA 31.10 </t>
  </si>
  <si>
    <t>Sustento de pago PPC - Pago de planilla / HORARIO DE PAGO: Mañana / NOTA: TT CONFIRMA PAGO DE ULTIMA CUOTA 4900 EL DIA 28 DE FEBRERO</t>
  </si>
  <si>
    <t>Sustento de pago PPC - Pago de planilla / HORARIO DE PAGO: Mañana / NOTA: TT cumplió con adelanto de 15K por APP IBK, sald de 30K para el dia 26/07 con el pago de su planilla que le efectuan el dia 25/07</t>
  </si>
  <si>
    <t>Sustento de pago PPC - Pago de planilla / HORARIO DE PAGO: Mañana / NOTA: TT cumplió con adelanto de S/1,700.00 ayer 20/02 por agente BBVA</t>
  </si>
  <si>
    <t xml:space="preserve">Sustento de pago PPC - Pago de planilla / HORARIO DE PAGO: Mañana / NOTA: TT dice que trabaja en un caserío alejado de la ciudad y le toca bajar el día 22.07 dice que no me cortó la llamada, que se le va la señal, está en una reunión del colegio se su hija por el día del maestro , se explica transferencia de la cuenta a Expertis enviar carta de notificación para que tt valide antes de hacer el pago </t>
  </si>
  <si>
    <t xml:space="preserve">Sustento de pago PPC - Pago de planilla / HORARIO DE PAGO: Mañana / NOTA: TT EFECTUO PAGO DE LOS 4,200 SOLES PERO YA HABIA EFECTUADO SU ADELANTO EL 11/7 POR MONTO DE 600 SOLES, ENVIO COMPROBANTE DE PAGO DE BCP </t>
  </si>
  <si>
    <t>Sustento de pago PPC - Pago de planilla / HORARIO DE PAGO: Mañana / NOTA: TT ES PROFESORA, CANCELARA CON UN TOTAL 6170 SO, MAÑANA 15/05 ABONARA 1000 SO POR LA TARDE Y LOS 5170 SO COMPLETARA PARA FIN 31/05</t>
  </si>
  <si>
    <t xml:space="preserve">Sustento de pago PPC - Pago de planilla / HORARIO DE PAGO: Mañana / NOTA: TT HARÁ LA VALIDACIÓN DE LA DEUDA Y EMITIRÁ PAGO MEDIANTE YAPE EL DÍA DE MAÑANA 12-05  // Se enviará al wsp carta de notf ya que no recuerda su correo. </t>
  </si>
  <si>
    <t xml:space="preserve">Sustento de pago PPC - Pago de planilla / HORARIO DE PAGO: Mañana / NOTA: tt hara su pago hoy </t>
  </si>
  <si>
    <t xml:space="preserve">Sustento de pago PPC - Pago de planilla / HORARIO DE PAGO: Mañana / NOTA: tt indica q el sabdo estara en trujillo para hacer el pago en bbva, se indico importe dt , se explico q cdna se le enviaria lunes </t>
  </si>
  <si>
    <t xml:space="preserve">Sustento de pago PPC - Pago de planilla / HORARIO DE PAGO: Mañana / NOTA: TT INDICA QUE  TIENE UN PRESTAMO QUE CANCELARA ESTE FDS , INDICA QUE ELLA QUIERE CANCELAR LA DEUDA DE S/945 PERO ELLA COBRA DE MANERA SEMANAL  POR ESA RAZON INDICA QUE EL 22.06 DARIA ADELANTO DEL PAGO TOTAL EL MONTO DE S/473 SOLES MEDIANTE AGENTE BCP  Y EL RESTANTE EL 27.06 </t>
  </si>
  <si>
    <t xml:space="preserve">DK 1,300.51 </t>
  </si>
  <si>
    <t>Sustento de pago PPC - Pago de planilla / HORARIO DE PAGO: Mañana / NOTA: TT INDICA QUE PAGARA EN BASE A 1700 :  MAÑANA 300 SOLES Y 25 DEL PRESENTE MES 1700. SE ENVIA INFO PARA QUE EFECTUE EL  PAGO. NRO DE WASS 944600767.</t>
  </si>
  <si>
    <t>Sustento de pago PPC - Pago de planilla / HORARIO DE PAGO: Mañana / NOTA: tt paga hoy 498 y saldo a fdm para cancelar deuda . no pudo pagar en febr porq estaba lejos y no habia como</t>
  </si>
  <si>
    <t xml:space="preserve">Sustento de pago PPC - Pago de planilla / HORARIO DE PAGO: Mañana / NOTA: tt paga s/250 hoy 4/05 por transferencia BBVA, dinero en mano. </t>
  </si>
  <si>
    <t xml:space="preserve">Sustento de pago PPC - Pago de planilla / HORARIO DE PAGO: Mañana / NOTA: TT pagar el monto de 2800 en 2 partes, adelantara hoy el monto de 1700 y 1100 pagara el 26/12 se maneja con supervisora. </t>
  </si>
  <si>
    <t xml:space="preserve">Sustento de pago PPC - Pago de planilla / HORARIO DE PAGO: Mañana / NOTA: tt pagara el 15 su última cuota </t>
  </si>
  <si>
    <t>Sustento de pago PPC - Pago de planilla / HORARIO DE PAGO: Mañana / NOTA: tt pago 100 en bbva diferencia hasta el 24 de 220</t>
  </si>
  <si>
    <t xml:space="preserve">Sustento de pago PPC - Pago de planilla / HORARIO DE PAGO: Mañana / NOTA: TT PAGO ANTICIPO 03.09 - S/300 SALDO RESTANTE A FIN DE MES </t>
  </si>
  <si>
    <t>Sustento de pago PPC - Pago de planilla / HORARIO DE PAGO: Mañana / NOTA: TT procedio a cancelar la deuda con el importe de 11k .</t>
  </si>
  <si>
    <t xml:space="preserve">Sustento de pago PPC - Pago de planilla / HORARIO DE PAGO: Mañana / NOTA: TT REALIZARA EL PAGO DE 439 DE SU ULTIMA CUOTA </t>
  </si>
  <si>
    <t>Sustento de pago PPC - Pago de planilla / HORARIO DE PAGO: Mañana / NOTA: tt realizara el pago total de la deuda en la fecha mencionada .</t>
  </si>
  <si>
    <t>Sustento de pago PPC - Pago de planilla / HORARIO DE PAGO: Mañana / NOTA: tt realizara pago de  196 el dia 16.06  por transferencia de banco , a primera hora ya que le pagan el 15.06 en la noche</t>
  </si>
  <si>
    <t>Sustento de pago PPC - Pago de planilla / HORARIO DE PAGO: Mañana / NOTA: tt realizara pago de 2000 el dia 30.4  en caja los andes</t>
  </si>
  <si>
    <t>Sustento de pago PPC - Pago de planilla / HORARIO DE PAGO: Mañana / NOTA: TT REALIZO PAGO DE 50% DE 750, RESTA 750 PARA COMPLETAR CANCELACION POR 1500 COMO SE ACORDO, INDICA FIN DE MES DIA 31 DE OCTUBRE DEL 2025 GENERA EL PAGO CON SUS HABERES, SE PROGRAMA PPC AL DIA 31/10/2025 POR IMPORTE RESTANTE: 750</t>
  </si>
  <si>
    <t>Sustento de pago PPC - Pago de planilla / HORARIO DE PAGO: Mañana / NOTA: TT regularizará pago de saldo restante sobre DT</t>
  </si>
  <si>
    <t>Sustento de pago PPC - Pago de planilla / HORARIO DE PAGO: Mañana / NOTA: TT solicita envío de acuerdo de pago al correo: amiranietopolino@gmail.com</t>
  </si>
  <si>
    <t xml:space="preserve">Sustento de pago PPC - Pago de planilla / HORARIO DE PAGO: Mañana / NOTA: TT vendrá a oficina 9AM, se envía acuerdo de pago vía WhatsApp, tt traerá el documento firmado. </t>
  </si>
  <si>
    <t xml:space="preserve">Sustento de pago PPC - Pago de planilla / HORARIO DE PAGO: Mañana / NOTA: tt ya hizo la validación de la cuenta, hará pago el día viernes o sábado, indica que a veces le pagan al medio día y aveces por la tarde, no podría especificar horario </t>
  </si>
  <si>
    <t xml:space="preserve">Sustento de pago PPC - Pago de planilla / HORARIO DE PAGO: Mañana / NOTA: ULT CTA PPM  </t>
  </si>
  <si>
    <t xml:space="preserve">Sustento de pago PPC - Pago de planilla / HORARIO DE PAGO: Mañana / NOTA: Última cuota de PPM. </t>
  </si>
  <si>
    <t xml:space="preserve">Sustento de pago PPC - Pago de planilla / HORARIO DE PAGO: Mañana / NOTA: ULTIMA CUOTA PPM - FECHA DE PAGO 20-10 </t>
  </si>
  <si>
    <t xml:space="preserve">Sustento de pago PPC - Pago de planilla / HORARIO DE PAGO: Mañana / NOTA: ULTIMA CUOTA PPM - FECHA DE PAGO 29-10 </t>
  </si>
  <si>
    <t xml:space="preserve">Sustento de pago PPC - Pago de planilla / HORARIO DE PAGO: Mañana / NOTA: UTLIMA CUOTA DE PPM </t>
  </si>
  <si>
    <t xml:space="preserve">PPC DE S/1000. SOLES POR  APP  BBVA VIERNES 31/10 </t>
  </si>
  <si>
    <t xml:space="preserve">Sustento de pago PPC - Pago de planilla / HORARIO DE PAGO: Medioda / NOTA: </t>
  </si>
  <si>
    <t>Sustento de pago PPC - Pago de planilla / HORARIO DE PAGO: Medioda / NOTA: dt dk camp 150 soles tt pagara hoy 21/01 50 soles y el 27/01 100 soles pagara por transferencia bcp antes del medio día indica</t>
  </si>
  <si>
    <t>Sustento de pago PPC - Pago de planilla / HORARIO DE PAGO: Medioda / NOTA: Monto negociado: S/460.22 y Dk S/322</t>
  </si>
  <si>
    <t>Sustento: Sueldo</t>
  </si>
  <si>
    <t>Motivo de no pago: Dice que esta en cusco y tuvo problema que no recordó el tema de tarjeta</t>
  </si>
  <si>
    <t>Monto: S/300.00</t>
  </si>
  <si>
    <t>Fecha: 18/09Medio de pago: App Interbank</t>
  </si>
  <si>
    <t>Hora de pago: por la tarde</t>
  </si>
  <si>
    <t>tt separo el dia 09/09 monto de 150  y lo restante lo completa el día 18/09 el importe de 150</t>
  </si>
  <si>
    <t xml:space="preserve">Sustento de pago PPC - Pago de planilla / HORARIO DE PAGO: Medioda / NOTA: Se brinda dt 1,251.42 dk652.64 hasta min1 450.97 a tt menciona que la deuda era junto con su esposo los cuales le detectaron Leucemia de alguna u otra forma estuvo pagando indica que ya su esposo falleció , ella puede pagar hoy la mitad y el otro importe el fin de  mes se hace consultas super , hoy realizaría el pago de S/225.5 en agente </t>
  </si>
  <si>
    <t xml:space="preserve">Sustento de pago PPC - Pago de planilla / HORARIO DE PAGO: Medioda / NOTA: Se le brinda información de su deuda total  1,664.14 y también deuda capital 1,121.52 , indica que dejo de pagar por el covid , y quedo embarazada , ahorita esta pagando una deuda con interbanck y no cuenta con dinero , se le brinda campaña de min 2 no tiene lo suficiente , pero si desea hacer la cancelación , se negocia con min 1 350 , hoy paga la mitad y el 31 lo que resta , se enviara carta de notificación. </t>
  </si>
  <si>
    <t>Sustento de pago PPC - Pago de planilla / HORARIO DE PAGO: Medioda / NOTA: Titular estaria empleando su pago para el Sabado 09/05/2026 por agencia Interbank, por la suma de S/900 soles por lo que menciona que por una serie de eventualidades dejo de asumir deuda, por lo que menciona que ya hace mas de 1mes esta con trabajo pero si se han demorado en asumir sus pagos, por lo que ya converso y le indicaron que este fin le pagan ,el haria por eso ese sabado, se indica si logra el 08/05 avisar,enviara correo.</t>
  </si>
  <si>
    <t xml:space="preserve">Sustento de pago PPC - Pago de planilla / HORARIO DE PAGO: Medioda / NOTA: tt cancela con S/583 en 2 partes, S/292 21/11 y S/291 28/11  por BCP </t>
  </si>
  <si>
    <t>Sustento de pago PPC - Pago de planilla / HORARIO DE PAGO: Medioda / NOTA: tt pagara 187.5 hoy 01/12 y 375 soles el 30/12, se espera el pago para modificar fecha</t>
  </si>
  <si>
    <t>Sustento de pago PPC - Pago de planilla / HORARIO DE PAGO: Medioda / NOTA: tt pagara primer pago 15-05 S/180 confirma por medio de Bcp</t>
  </si>
  <si>
    <t>Sustento de pago PPC - Pago de planilla / HORARIO DE PAGO: Medioda / NOTA: TT REALIZA PAGO POR BCP 11,256 PARA CANCELACION DE SU CUENTA</t>
  </si>
  <si>
    <t>Sustento de pago PPC - Pago de planilla / HORARIO DE PAGO: Medioda / NOTA: TT realizó cancelación el día 28/02 según lo acordado.</t>
  </si>
  <si>
    <t>Sustento de pago PPC - Pago de planilla / HORARIO DE PAGO: Mediodía</t>
  </si>
  <si>
    <t>Sustento de pago PPC - Pago de planilla / HORARIO DE PAGO: Mediodía / CANAL ENVIO - LLAMADA / NOTA: DT 8,709.27 DK 537.52 CAMP 200 TTI PAGARA DEUDA CN 150 SOLES EL 29/08</t>
  </si>
  <si>
    <t xml:space="preserve">Sustento de pago PPC - Pago de planilla / HORARIO DE PAGO: Mediodía / NOTA: </t>
  </si>
  <si>
    <t>Sustento de pago PPC - Pago de planilla / HORARIO DE PAGO: Mediodía / NOTA: pago de planilla// 12 medio dia // recogerá carta no adeudo // 193.50 // 19/06</t>
  </si>
  <si>
    <t>Sustento de pago PPC - Pago de planilla / HORARIO DE PAGO: Mediodía / NOTA: se conversa con tt menciona que esta de acuerdo con el pago , menciono que puede realizar como 50% 3110 tt que le dea de plazo una se,mana que le pagan su 15na, y la diferencia fin de mes, tt ok se menciona que s enviara docuemnto , se detalla que la cancelacion total son por ambos creditos asi mismo, se explica la entreag de la cdna por campaña 24H, tt ok , pagara por cuenta ibk en l banco expertis.</t>
  </si>
  <si>
    <t>Sustento de pago PPC - Pago de planilla / HORARIO DE PAGO: Mediodía / NOTA: se propone min 350 - dt 1913tt mencioan que esta en el monte  de la ciudad de piura no se ubic a, puede pagarlo pero sale alas 12, ok menciono sobre agentes , tambie se propone que un fa,m lo pague en donde es natural , menciona chiclayo se da la oficina si conoce ok  tt coorinara par que un familiar lo pague por el , , oks e envia campaña por wsp</t>
  </si>
  <si>
    <t xml:space="preserve">Sustento de pago PPC - Pago de planilla / HORARIO DE PAGO: Mediodía / NOTA: Sr. jhony hermano de tt cancelara 315 hasta el viernes informan que estan en piura. su hermano esta delicado de salud lo aran en bcp </t>
  </si>
  <si>
    <t>Sustento de pago PPC - Pago de planilla / HORARIO DE PAGO: Mediodía / NOTA: t   ic pgaria eo lu kunes</t>
  </si>
  <si>
    <t>Sustento de pago PPC - Pago de planilla / HORARIO DE PAGO: Mediodía / NOTA: TITULAR GENERA COMPROMISO DE PAGO IMPORTE s/750 Soles, DIA: 09/07</t>
  </si>
  <si>
    <t>Sustento de pago PPC - Pago de planilla / HORARIO DE PAGO: Mediodía / NOTA: tt   dic viernes porioa pagar</t>
  </si>
  <si>
    <t xml:space="preserve">Sustento de pago PPC - Pago de planilla / HORARIO DE PAGO: Mediodía / NOTA: TT DESEA CANCELAR CON 300, SE ID QUE NO ES POSIBLE, ABONARÁ HOY Y COMPLETARÁ 100 PARA FDM CON SU SUELDO </t>
  </si>
  <si>
    <t>Sustento de pago PPC - Pago de planilla / HORARIO DE PAGO: Tarde</t>
  </si>
  <si>
    <t xml:space="preserve">Sustento de pago PPC - Pago de planilla / HORARIO DE PAGO: Tarde / NOTA: </t>
  </si>
  <si>
    <t xml:space="preserve">Sustento de pago PPC - Pago de planilla / HORARIO DE PAGO: Tarde / NOTA:  Se informa via wsp a tt que su propuesta procedio su propuesta de liquidar con el importe de 400 soles, hoy  200 soles y dia 30/07 importe de 200 soles. solicita que se le envie medio de pago. </t>
  </si>
  <si>
    <t xml:space="preserve">Sustento de pago PPC - Pago de planilla / HORARIO DE PAGO: Tarde / NOTA:  tit indica que  mañana  al medio dia esta cancelando monto :300 </t>
  </si>
  <si>
    <t xml:space="preserve">Sustento de pago PPC - Pago de planilla / HORARIO DE PAGO: Tarde / NOTA: *Monto Negociado: 502 </t>
  </si>
  <si>
    <t>*Sustento:  pago de habres</t>
  </si>
  <si>
    <t>*Motivo de no pago: despido</t>
  </si>
  <si>
    <t>*Propuesta: 502</t>
  </si>
  <si>
    <t>tt indica que pagara el importe de 502</t>
  </si>
  <si>
    <t xml:space="preserve">Sustento de pago PPC - Pago de planilla / HORARIO DE PAGO: Tarde / NOTA: ADELANTA 130 Y EL 17 ABONA 20 SOLES </t>
  </si>
  <si>
    <t>Sustento de pago PPC - Pago de planilla / HORARIO DE PAGO: Tarde / NOTA: adelanta 50 hoy</t>
  </si>
  <si>
    <t>Sustento de pago PPC - Pago de planilla / HORARIO DE PAGO: Tarde / NOTA: adelanta hoy 24/06 la mitad y cancela el día viernes 28/06</t>
  </si>
  <si>
    <t>Sustento de pago PPC - Pago de planilla / HORARIO DE PAGO: Tarde / NOTA: ADELANTO 50 SOLES HOY 08/08, RESTANTES 200 COMO MAXIMO PARA EL 29/08</t>
  </si>
  <si>
    <t xml:space="preserve">Sustento de pago PPC - Pago de planilla / HORARIO DE PAGO: Tarde / NOTA: adelanto de 3.5k y restante 500 el dia 27 </t>
  </si>
  <si>
    <t xml:space="preserve">Sustento de pago PPC - Pago de planilla / HORARIO DE PAGO: Tarde / NOTA: campaña 1,200 soles  // tt abonara hoy 200 soles y la diferencia de los mil soles restante para el lunes 17 de marzo </t>
  </si>
  <si>
    <t xml:space="preserve">Sustento de pago PPC - Pago de planilla / HORARIO DE PAGO: Tarde / NOTA: CAMPAÑA 326 SOLES  // abonara el sabado 100 soles  (08/02) y a fin de mes los 226 soles (28/02) // hora de pago 4 pm </t>
  </si>
  <si>
    <t>Sustento de pago PPC - Pago de planilla / HORARIO DE PAGO: Tarde / NOTA: campaña 400 , cobra  la quincena  , abona 200 el 15 y la diferencia  el 31/10</t>
  </si>
  <si>
    <t xml:space="preserve">Sustento de pago PPC - Pago de planilla / HORARIO DE PAGO: Tarde / NOTA: campaña 600 soles tt indica q se acogera a la campaña pagara 200 soles el 07/03 y 400 soles el 31/03 pagara entre 5 y 6 pm </t>
  </si>
  <si>
    <t>Sustento de pago PPC - Pago de planilla / HORARIO DE PAGO: Tarde / NOTA: campaña 700 soles tt se acoge pagara 100 soles el dia 14/05 y 600 soles el dia 23/05 de enviar el primero pago se ampliaria la fecha al 23 para el segundo pago pagar a las 3pm</t>
  </si>
  <si>
    <t>Sustento de pago PPC - Pago de planilla / HORARIO DE PAGO: Tarde / NOTA: campaña 900 soles  // hoy abonara 100 soles (03/02) y a fines de mes los 800 soles (28/02)</t>
  </si>
  <si>
    <t xml:space="preserve">Sustento de pago PPC - Pago de planilla / HORARIO DE PAGO: Tarde / NOTA: cl cancelara mñna 850 </t>
  </si>
  <si>
    <t xml:space="preserve">Sustento de pago PPC - Pago de planilla / HORARIO DE PAGO: Tarde / NOTA: Cliente cancelará el importe S/ 1900.00 soles, con una inicial de S/ 800.00 soles y la diferencia a fin de mes para la entrega de su Carta de No Adeudo. (Hoy abonará S/.300.00 soles y hasta el viernes 12/06 la diferencia de S/ 500.00 soles.) Indica pago a través del BCP. </t>
  </si>
  <si>
    <t xml:space="preserve">Sustento de pago PPC - Pago de planilla / HORARIO DE PAGO: Tarde / NOTA: cliente pagara el dia 16 el importe 140 y la diferencia a fin </t>
  </si>
  <si>
    <t xml:space="preserve">Sustento de pago PPC - Pago de planilla / HORARIO DE PAGO: Tarde / NOTA: Cliente se le informa campaña S/ 400 soles, se le informa cesión de derechos, se le envía números para validación y documento de cesión. Indica que el 15 recibe su pago, para liquidar deuda, se explica proceso de entrega de carta de no adeudo, indica que realizará transf antes de las 5pm. </t>
  </si>
  <si>
    <t>Sustento de pago PPC - Pago de planilla / HORARIO DE PAGO: Tarde / NOTA: cliente se queda con el adelanto de los 50 y la diferencia lo paga a fin de mes.</t>
  </si>
  <si>
    <t>Sustento de pago PPC - Pago de planilla / HORARIO DE PAGO: Tarde / NOTA: COMPROMISO DE PAGO IMPORTE s/16,850 Soles, DIA: 20/03/26</t>
  </si>
  <si>
    <t xml:space="preserve">Sustento de pago PPC - Pago de planilla / HORARIO DE PAGO: Tarde / NOTA: compromiso interno  700   paga en 2 partes  300 hoy   22 de mayo   y 400 lunes 25 de mayo   </t>
  </si>
  <si>
    <t xml:space="preserve">Sustento de pago PPC - Pago de planilla / HORARIO DE PAGO: Tarde / NOTA: Contesta titular indica que Mornese le llamo por la misma cuenta, se informa que la cuenta fue cedida a expertis, se envía carta de notificación y compromiso de pago a ssu correo, romulotejada@gmail.com.  Importe de campaña 4200 soles. </t>
  </si>
  <si>
    <t>Sustento de pago PPC - Pago de planilla / HORARIO DE PAGO: Tarde / NOTA: DK:  S/485.41</t>
  </si>
  <si>
    <t>DT:  S/714.89</t>
  </si>
  <si>
    <t>CAMPAÑA:  S/350.00</t>
  </si>
  <si>
    <t>OBSERVACION: TT COMENTA QUE NO CUENTA CON EL IMPORTE, PERO PAGARA EL DIA VIERENS YA QUE COBRA, PAGARA POR TRANSFERENCIA Y TAMBIEN VALIDARA LA DEUDA.</t>
  </si>
  <si>
    <t>Sustento de pago PPC - Pago de planilla / HORARIO DE PAGO: Tarde / NOTA: dt 42,184 dk 34768 indica q no puede solucionar con ese importe, se le indica 15000 soles no puede se le indica 12500 soles pero con adelanto nos indica q si puede solucionarlo pero el lunes 16/03 pagara 2500 soles y 10000 soles el día 31/03 , se le indico sobre la cesion le quedo claro pagara a eso de las 2pm en el banco, se espera voucher del primer pago para solicitar la extension de fecha del segundo pago al 31/03</t>
  </si>
  <si>
    <t xml:space="preserve">Sustento de pago PPC - Pago de planilla / HORARIO DE PAGO: Tarde / NOTA: DT: S/. 65,338.70 - según excepción cl paga 4k el 31/01 es su ultima cuota </t>
  </si>
  <si>
    <t xml:space="preserve">Sustento de pago PPC - Pago de planilla / HORARIO DE PAGO: Tarde / NOTA: DT: S/.40,534.44 - Ciente paga su ultima cuota el 23-05, monto a pagar 2000, cl confirma que si pagara. </t>
  </si>
  <si>
    <t xml:space="preserve">Sustento de pago PPC - Pago de planilla / HORARIO DE PAGO: Tarde / NOTA: DT: S/.716.77 campaña de 290 en 2 partes dentro del mes, cl confirma que paga 145 mañana y la diferencia para el 31-12  , cl confirma que sí realiza el pago. </t>
  </si>
  <si>
    <t>Sustento de pago PPC - Pago de planilla / HORARIO DE PAGO: Tarde / NOTA: Hoy abonó S/3,000.00 a la cuenta BBVA en la oficina Camacho</t>
  </si>
  <si>
    <t xml:space="preserve">Sustento de pago PPC - Pago de planilla / HORARIO DE PAGO: Tarde / NOTA: LUNES 17 - ULTIMA CUOTA PPM </t>
  </si>
  <si>
    <t xml:space="preserve">Sustento de pago PPC - Pago de planilla / HORARIO DE PAGO: Tarde / NOTA: MONTO NEGOCIADO:  5K CAMP EXCEPCIONAL </t>
  </si>
  <si>
    <t>*SUSTENTO:  NO ESPECIFICA</t>
  </si>
  <si>
    <t xml:space="preserve">*MOTIVO DE NO PAGO:  SALUD  DE  PADRE ESTA INTERNADO </t>
  </si>
  <si>
    <t xml:space="preserve">*FECHA:  08/ PAGO COMO COMPROMISO </t>
  </si>
  <si>
    <t>*PROPUESTA: 1500 ( DOS ARMADAS HOY 08/07 MONTO DE 1K DIFERENCIA ULTIMO DIA  HABIL)</t>
  </si>
  <si>
    <t>TT envia foto del voucher monto S/1000  resto  con fecha vigente 31/</t>
  </si>
  <si>
    <t>Sustento de pago PPC - Pago de planilla / HORARIO DE PAGO: Tarde / NOTA: Monto negociado: 220</t>
  </si>
  <si>
    <t>Sustento: Dinero en mano + pago de haberes</t>
  </si>
  <si>
    <t>Motivo de no pago: No especifica.</t>
  </si>
  <si>
    <t>Fecha: 09-06 / 31-06</t>
  </si>
  <si>
    <t xml:space="preserve">Propuesta:Se le da campaña de 220, cliente pide que le den un descuento, se le menciona que no es viable ya que ese es su descuento máximo. Cliente menciona que solo tiene 100 a la mano, se le pide que abone los 100 y la dif se le puede esperar hasta fin de mes. Correo de cliente: kenyitony@hotmail.com. </t>
  </si>
  <si>
    <t>Sustento de pago PPC - Pago de planilla / HORARIO DE PAGO: Tarde / NOTA: por interno compromiso  1000   fecha  17 de junio   se le dara el dia de gracia /  envia correo capt24@hotmail.com</t>
  </si>
  <si>
    <t xml:space="preserve">Sustento de pago PPC - Pago de planilla / HORARIO DE PAGO: Tarde / NOTA: PROP. APROBADA TITULAR CANCELARIA EN AGENCIA BBVA MONTO DE 8,000 ADELANTE 1,000 EL DIA 8 Y DIFERENCIA SABADO 9 </t>
  </si>
  <si>
    <t>Sustento de pago PPC - Pago de planilla / HORARIO DE PAGO: Tarde / NOTA: se aprobaro ppt pagara 1300 soles 05/10 y 1300 soles 31/10</t>
  </si>
  <si>
    <t>Sustento de pago PPC - Pago de planilla / HORARIO DE PAGO: Tarde / NOTA: se aprobo ppt pagara 500 18/06 y 2500 19/06 en coordinacion con supervision</t>
  </si>
  <si>
    <t>Sustento de pago PPC - Pago de planilla / HORARIO DE PAGO: Tarde / NOTA: se aprobo ppt por 500 soles, tt indica q pagara hoy 100 soles por tranferencia a las 4pm y la diferencia el 30/12 a la misma hora</t>
  </si>
  <si>
    <t xml:space="preserve">Sustento de pago PPC - Pago de planilla / HORARIO DE PAGO: Tarde / NOTA: se brinda DT 10,538.13 se da can 2.2k , esta en espera del pago de sus haberes que tiene atraso , pero lo haría máximo al 12 feb </t>
  </si>
  <si>
    <t xml:space="preserve">Sustento de pago PPC - Pago de planilla / HORARIO DE PAGO: Tarde / NOTA: Se brinda DT 10,940, DK 4,231 y campaña min 1 S/1,291 al cual tt indica poder acogerse y cancelar el día 30/07. Separa su campaña con S/200 soles hoy por la tarde, pago será realizado por BCP de manera presencial, se enviara documento por whatsapp, la diferencia será cancelado el 30/07 </t>
  </si>
  <si>
    <t xml:space="preserve">Sustento de pago PPC - Pago de planilla / HORARIO DE PAGO: Tarde / NOTA: SE BRINDA DT DK A TT CAN 606 SE LE EXPLICA EL PROCESO , ASIMISMO MENCIONA QUE VA HACER TODO EL ESFUERZO PARA PODER HACER EL PAGO , SE LE EXPLICA QUE SUCEDE EN CASO DE INCUMPLIMIENTO PIDE DOCUMENTACION SE ENVIA MENSAJE MEDIANTE WSP A ESPERA DE SU RESPUESTA tt brinda correo , se envia documento para can </t>
  </si>
  <si>
    <t>Sustento de pago PPC - Pago de planilla / HORARIO DE PAGO: Tarde / NOTA: se conversa con tt menciona que el le estaba dando al nalista todas la cuotas para que lo pague y recien hoy s eentero que tenia deuda por que fue a qapac a prestarse para comoprar una aptop y quiere solucionar el ahora hace practicas , propongo 510 - tt dice que no es posible no llehga a esa cantidad ,  le digo que puedo hacer un ajuste de 405 tt no tiene dinero , consulto cuanto es lo que junto nada por que el paga sus estudios y hace prcticas y sus papas son de la chacra , ok menciono como hariamos , tt cie que el 15 recibe su quincena  300 so , consulto destinara esa cantidad para solucionar si podria  , ok menciono que puedo hacer un descuento con el finde que lo pague y solucione , tt deacuerdo , lunes o martes tendra su paga indico que la carta se brinda al realizar el pago</t>
  </si>
  <si>
    <t>Sustento de pago PPC - Pago de planilla / HORARIO DE PAGO: Tarde / NOTA: SE GENERA PDP POR CONCEPTO DE CUOTA N° 5 Y 6 HASTA EL 30/12.</t>
  </si>
  <si>
    <t>TT ABONO SU CUOTA N°5 EL DIA 01/12 Y LA CUOTA N°6 SE GENERO HASTA EL 30 SEGUN CRONOGRAMA.</t>
  </si>
  <si>
    <t>SE MENCIONO QUE EN CASO LO PUEDA ADELANTAR ADJUNTE FOTO DE COMPROBANTE.</t>
  </si>
  <si>
    <t xml:space="preserve">Sustento de pago PPC - Pago de planilla / HORARIO DE PAGO: Tarde / NOTA: Se informa a titular que su propuesta procedió, para liquidar con el importe de 1750 soles, pagara en la misma entidad. </t>
  </si>
  <si>
    <t>Sustento de pago PPC - Pago de planilla / HORARIO DE PAGO: Tarde / NOTA: Se informa a tt autorización de CAN con S/3,200.00 condicionado al cumplimiento del adelanto de 1K para el día 13-02</t>
  </si>
  <si>
    <t>Sustento de pago PPC - Pago de planilla / HORARIO DE PAGO: Tarde / NOTA: Se informa aprobación, que le envíe a su whats documentación, está ocupado, responderá por whats horario que estaría realizando el pago del adelanto y restantes para el 27/04, se envía cuentas y acuerdo.</t>
  </si>
  <si>
    <t>Sustento de pago PPC - Pago de planilla / HORARIO DE PAGO: Tarde / NOTA: se programa 2da cuota de 2 por el importe de 100 soles se subio la excepcion</t>
  </si>
  <si>
    <t>Sustento de pago PPC - Pago de planilla / HORARIO DE PAGO: Tarde / NOTA: se programa 6ta cuota de 6, se envio excepcion</t>
  </si>
  <si>
    <t>Sustento de pago PPC - Pago de planilla / HORARIO DE PAGO: Tarde / NOTA: se programa cuota 15 de 15 por el importe de 1000 soles oara e dia 29/08</t>
  </si>
  <si>
    <t>Sustento de pago PPC - Pago de planilla / HORARIO DE PAGO: Tarde / NOTA: se propoenpago 400 - tt dice que si peude pero la siguiente smena recien esta trabajado y para sgt semana le pagan , pagara por ofic se envia cuenta convenio por wsp</t>
  </si>
  <si>
    <t>Sustento de pago PPC - Pago de planilla / HORARIO DE PAGO: Tarde / NOTA: se propone can 1k , t mencioan que ahora no tiene ,propongo adelanto del 50% y extension para el 15 o fin de mes , tt diec que para el dia lunes recibe su paga , tt me confirma que contara con los 1000 , s eexplica su dt y dk , tt ok , se menciona que se le llamara para que podamos brindarle las cuentas para tramsnferencia bancaria.</t>
  </si>
  <si>
    <t xml:space="preserve">Sustento de pago PPC - Pago de planilla / HORARIO DE PAGO: Tarde / NOTA: Titular accede a cancelar, indica que lo hará posterior a cobrar su sueldo. Se envía datos vía WhatsApp </t>
  </si>
  <si>
    <t>Sustento de pago PPC - Pago de planilla / HORARIO DE PAGO: Tarde / NOTA: TITULAR CANCELARIA MEDIANTE UN TERCERO YA QUE SE ENCUENTRA EN UNA ZONA ALEJADA, BRINDA CORREO : Gusaba4616@gmail.com SE SOLICITA APOYO A SUPERVISOR PARA EL ENVIO DEL COMPROMISO</t>
  </si>
  <si>
    <t xml:space="preserve">Sustento de pago PPC - Pago de planilla / HORARIO DE PAGO: Tarde / NOTA: TITULAR SE INCOMODA POR PROGRAMACION INDICA TIENE YA DEFINIDO FECHA 27 DE JULIO PARA DAR POR FINALIZADO SU ULTIMA CUOTA PPC 667 SOLES. </t>
  </si>
  <si>
    <t xml:space="preserve">Sustento de pago PPC - Pago de planilla / HORARIO DE PAGO: Tarde / NOTA: TT abona adelanto de 500 y resto hasta el 31 de mayo en app bcp </t>
  </si>
  <si>
    <t>Sustento de pago PPC - Pago de planilla / HORARIO DE PAGO: Tarde / NOTA: TT abonará S/2,250.00 el día 16/12 y la diferencia a fin de mes. Se envía acuerdo de pago vía WhatsApp</t>
  </si>
  <si>
    <t>Sustento de pago PPC - Pago de planilla / HORARIO DE PAGO: Tarde / NOTA: TT accede a la cancelación con el importe de 485, lo pagará en fin de mes, pero indica que si tiene el dinero antes estaría comunicando para poder efectuar el pago, se le solicita correo para enviar el compromiso de pago</t>
  </si>
  <si>
    <t>Sustento de pago PPC - Pago de planilla / HORARIO DE PAGO: Tarde / NOTA: tt acepta penalidad por incumplimeito pagara el dia luns por agencia</t>
  </si>
  <si>
    <t>Sustento de pago PPC - Pago de planilla / HORARIO DE PAGO: Tarde / NOTA: TT ADELANTA 2K EL 26/10 Y 31/10 8K PARA LIQUIDAR SU DEUDA</t>
  </si>
  <si>
    <t xml:space="preserve">Sustento de pago PPC - Pago de planilla / HORARIO DE PAGO: Tarde / NOTA: TT CANCELA CON 595 / 300 ABONA EL 15/12 Y 295 CANCELA EL 20/12 - TT NO CONFIRMA POR QUE BANCO REALIZARA ABONO PERO PIDE NUMEROS DE CUENTA A WSP </t>
  </si>
  <si>
    <t xml:space="preserve">Sustento de pago PPC - Pago de planilla / HORARIO DE PAGO: Tarde / NOTA: tt cancela hoy 9/04 s/ 400 y restante s/ 600 30/04, dinero proviene de haberes. </t>
  </si>
  <si>
    <t xml:space="preserve">Sustento de pago PPC - Pago de planilla / HORARIO DE PAGO: Tarde / NOTA: TT COMPLETARÁ EXCEPCION DE JUNIO // ABONÓ 150 PARA CAN CON 400, ESTE MES ABONA HASTA EL 15 EL IMPORTE DE S/ 250.00 </t>
  </si>
  <si>
    <t xml:space="preserve">Sustento de pago PPC - Pago de planilla / HORARIO DE PAGO: Tarde / NOTA: tt confirma abonar un adelanto de 50 soles el dia lunes 7 y la diferencia el dia 16.04, pago de planilla por la tarde </t>
  </si>
  <si>
    <t xml:space="preserve">Sustento de pago PPC - Pago de planilla / HORARIO DE PAGO: Tarde / NOTA: tt confirma el pago para el 17/03/25 por  380 soles en el banco interbank </t>
  </si>
  <si>
    <t>Sustento de pago PPC - Pago de planilla / HORARIO DE PAGO: Tarde / NOTA: tt confirma pago de 1550 en 2 partes  para el 16/12 puede hacer el pago del 50% es decir 775 y la otra parte de 775 hasta el 29/12 ya que en esas fecha recibira dinero confirma con seguridad que de esa manera puede asumir la deuda</t>
  </si>
  <si>
    <t>Sustento de pago PPC - Pago de planilla / HORARIO DE PAGO: Tarde / NOTA: TT confirma pago para el dia de hoy 2pm, indica que el dia de ayer no llego a cumplir con el acuerdo debido a que no le llegaron a pagar en su trabajo. se informo anteriormente dt: 914.78 , camp: 580.</t>
  </si>
  <si>
    <t>Monto negociado: 580.00</t>
  </si>
  <si>
    <t>Sustento: sueldo</t>
  </si>
  <si>
    <t>Fecha : 01/08</t>
  </si>
  <si>
    <t>Motivo de no pago: problemas economicos</t>
  </si>
  <si>
    <t>Propuesta: 580</t>
  </si>
  <si>
    <t>Sustento de pago PPC - Pago de planilla / HORARIO DE PAGO: Tarde / NOTA: tt confirma pago para el sabado 7 a las 5pm aprox. 566.50 y la diferencia hasta el dia 27.02</t>
  </si>
  <si>
    <t>Sustento de pago PPC - Pago de planilla / HORARIO DE PAGO: Tarde / NOTA: TT CONFIRMA ULTIMA CUOTA DE 400 PARA CAN</t>
  </si>
  <si>
    <t>Sustento de pago PPC - Pago de planilla / HORARIO DE PAGO: Tarde / NOTA: TT confirma via wsp, que se acoge a la cancelacion de la cuenta con la campaña de 752 soles. solicita que se le envie la informacion de pago por el wsp.</t>
  </si>
  <si>
    <t>Sustento de pago PPC - Pago de planilla / HORARIO DE PAGO: Tarde / NOTA: tt cumple con el pago de los 1k el sabado 18.11 y 9k el 30.11</t>
  </si>
  <si>
    <t>Sustento de pago PPC - Pago de planilla / HORARIO DE PAGO: Tarde / NOTA: TT cumplió con adelanto de S/500.00 el dia 22.08 pagará S/500.00 y S/1,000.00 el dia 29.08</t>
  </si>
  <si>
    <t xml:space="preserve">Sustento de pago PPC - Pago de planilla / HORARIO DE PAGO: Tarde / NOTA: tt envia doc del acuerdo , confirma el pago de 3.5k para el 15 de enero - se genera compromiso dado que cliente esta incomoda que se le este llamando reiteradas veces por un acuerdo que ya tiene , se envio sustento a supervisora y se genera compromiso autorizado </t>
  </si>
  <si>
    <t>Sustento de pago PPC - Pago de planilla / HORARIO DE PAGO: Tarde / NOTA: tt hara can 1.7k - hara un anticipo de 600 mañana y diferencia el sabado 30-05</t>
  </si>
  <si>
    <t>Sustento de pago PPC - Pago de planilla / HORARIO DE PAGO: Tarde / NOTA: TT hoy 06.03 abonará a cuenta S/200.00 diferencia lo irá depositando en el transcurso del mes</t>
  </si>
  <si>
    <t>Sustento de pago PPC - Pago de planilla / HORARIO DE PAGO: Tarde / NOTA: TT hoy abonó S/700.00 el día 15/04 abonará S/750.00 y diferencia a fin de mes.</t>
  </si>
  <si>
    <t xml:space="preserve">Sustento de pago PPC - Pago de planilla / HORARIO DE PAGO: Tarde / NOTA: TT ID QUE EL DINERO FUE PARA OTRA PERSONA QUIEN SE DESENTENDIO DE LA DEUDA SE LE INFORMO LA DT, DK, MIN1 POR 340 SOLES TT ID QUE PODRIA PAGARLO EN 2 PARTES A QUINCENA Y A FIN DE MES SE LE ID PLAZO MUY EXTENSO PARA DARLE ESA FACILIDAD DEBE ABONAR 170 SOLES HOY ID QUE PODRIA HACERLO MAÑANA 04/11 170 SOLES Y LOS OTROS 170 SOLES HASTA EL DIA 17/11 SE  REGISTRA PPC CON AUTORIZACION DE SUPERVISOR </t>
  </si>
  <si>
    <t>SUSTENTO: DINERO EN MANO</t>
  </si>
  <si>
    <t>MOTIVO DE NO PAGO: DINERO PARA TERCERO</t>
  </si>
  <si>
    <t>PROPUESTA: 340 SOLES EN 2 PARTES DENTRO DEL MES 170 SOLES 04/11 Y 170 SOLES 17/11</t>
  </si>
  <si>
    <t>FECHA: 170 SOLES 04/11 Y 170 SOLES 17/11</t>
  </si>
  <si>
    <t xml:space="preserve">Sustento de pago PPC - Pago de planilla / HORARIO DE PAGO: Tarde / NOTA: TT ID QUE EL DINERO SE LO DARÁN ENTRE JUEVES O VIERNES - APARTIR DE LAS 2PM </t>
  </si>
  <si>
    <t>Sustento de pago PPC - Pago de planilla / HORARIO DE PAGO: Tarde / NOTA: TT ID QUE NO CUMPLIÓ EL MES PASADO PORQUE SALIÓ ANTES DE SU TRABAJO Y NO LE PAGARON EL MES COMPLETO, SE COMPROMETE A REALIZAR PAGO A FDM, SE SOLICITA ADELANTO, ID QUE VERÁ LA FORMA PERO QUE CON SEGURIDAD LO HARÁ EL 29</t>
  </si>
  <si>
    <t xml:space="preserve">Sustento de pago PPC - Pago de planilla / HORARIO DE PAGO: Tarde / NOTA: tt indica que hoy dia lunes 15 de abril cancelaria su deuda con 298 por agente bcp , se envia la cuenta , se hace envio carta de notificacion y compromiso de pago con el monto negociado, ya que hoy le pagan de su trabajo </t>
  </si>
  <si>
    <t xml:space="preserve">Sustento de pago PPC - Pago de planilla / HORARIO DE PAGO: Tarde / NOTA: TT MENCIONA QUE LE HAN INDICADO QUE 6 PM LE REALIZAN EL PAGO, PERO POSIBLEMENTE TAMBIEN LLEGUE MAÑANA, MENCIONA QUE EL ABONARIA UNA PARTE HOY Y RESTANTE MAÑANA LE PRESTARAN 300 Y MAÑANA 1700, MENCIONA QUE SOLO PODRA DISPONER DE 2K, SE MENCIONA APROBACION 2K </t>
  </si>
  <si>
    <t>MONTO NEGOCIADO:2000</t>
  </si>
  <si>
    <t>Sustento: PAGO DE HABERES</t>
  </si>
  <si>
    <t>Motivo de no pago: ECONOMICOS</t>
  </si>
  <si>
    <t>Fecha: 22/08/2025</t>
  </si>
  <si>
    <t>Propuesta: 2000</t>
  </si>
  <si>
    <t>Sustento de pago PPC - Pago de planilla / HORARIO DE PAGO: Tarde / NOTA: tt mnciona que lo estara realizando el dia viernes 06, se indica que s eenviara info por wsp</t>
  </si>
  <si>
    <t>Sustento de pago PPC - Pago de planilla / HORARIO DE PAGO: Tarde / NOTA: TT paga el 15 octubre su ultima cuota de 500 soles por app bcp - Se info a superv , para modificacion</t>
  </si>
  <si>
    <t>Sustento de pago PPC - Pago de planilla / HORARIO DE PAGO: Tarde / NOTA: tt paga en caja los andes</t>
  </si>
  <si>
    <t>Sustento de pago PPC - Pago de planilla / HORARIO DE PAGO: Tarde / NOTA: tt paga por ibk</t>
  </si>
  <si>
    <t>Sustento de pago PPC - Pago de planilla / HORARIO DE PAGO: Tarde / NOTA: tt pagara 500 soles el día 28/11 correspondiente a su ultima cuota, se subio excepcion</t>
  </si>
  <si>
    <t xml:space="preserve">Sustento de pago PPC - Pago de planilla / HORARIO DE PAGO: Tarde / NOTA: tt pagara a las 6pm </t>
  </si>
  <si>
    <t xml:space="preserve">Sustento de pago PPC - Pago de planilla / HORARIO DE PAGO: Tarde / NOTA: TT PAGARÁ CUOTA 3 DE 3 PARA CAN DEUDA. </t>
  </si>
  <si>
    <t xml:space="preserve">Sustento de pago PPC - Pago de planilla / HORARIO DE PAGO: Tarde / NOTA: TT PAGARÁ EL 27 LA ULTIMA CUOTA DE SU ACUERDO </t>
  </si>
  <si>
    <t xml:space="preserve">Sustento de pago PPC - Pago de planilla / HORARIO DE PAGO: Tarde / NOTA: tt pagara mañana 100 soles el dia 13.06 y la diferencia 150 soles el dia 20.06 </t>
  </si>
  <si>
    <t xml:space="preserve">Sustento de pago PPC - Pago de planilla / HORARIO DE PAGO: Tarde / NOTA: TT pagará S/335.5 el día 15/11 y diferencia a fin de mes. </t>
  </si>
  <si>
    <t xml:space="preserve">Sustento de pago PPC - Pago de planilla / HORARIO DE PAGO: Tarde / NOTA: TT PAGARA SU ULTIMA CUOTA EL DIA 9 POR APP IBK </t>
  </si>
  <si>
    <t>Sustento de pago PPC - Pago de planilla / HORARIO DE PAGO: Tarde / NOTA: tt realiza pago de adelanto 3k, restante de 4k el dia martes 10/12</t>
  </si>
  <si>
    <t xml:space="preserve">Sustento de pago PPC - Pago de planilla / HORARIO DE PAGO: Tarde / NOTA: TT realizara pago con cts </t>
  </si>
  <si>
    <t>Sustento de pago PPC - Pago de planilla / HORARIO DE PAGO: Tarde / NOTA: TT REALIZARA PAGO DE 1000 SOLES EL DIA LUNES 27 COMO ULTIMA CUOTA POR APP IBK</t>
  </si>
  <si>
    <t>Sustento de pago PPC - Pago de planilla / HORARIO DE PAGO: Tarde / NOTA: tt realizara pago de 12144  el  dia 20.4   por agencia de banco o transferencia Interbank ,  realizara adelanto de 2500 hoy 09.04 y  el dia 20.04  monto de 9644   ya que ese dia le pagan. haberes</t>
  </si>
  <si>
    <t>Sustento de pago PPC - Pago de planilla / HORARIO DE PAGO: Tarde / NOTA: TT REALIZARA PAGO DE CANCELACION ULTIMA CUOTA DE 900 PARA ELDIA  20-06  POR APP IBK</t>
  </si>
  <si>
    <t xml:space="preserve">Sustento de pago PPC - Pago de planilla / HORARIO DE PAGO: Tarde / NOTA: TT REALIZO ADELANTO DE 1MIL HOY Y RESTANTE PARA EL 29 DE MAYO </t>
  </si>
  <si>
    <t>Sustento de pago PPC - Pago de planilla / HORARIO DE PAGO: Tarde / NOTA: TT realizó adelanto de S/600.00 por APP SCTBNK, queda saldo pendiente de S/4,400.00</t>
  </si>
  <si>
    <t xml:space="preserve">Sustento de pago PPC - Pago de planilla / HORARIO DE PAGO: Tarde / NOTA: tt realizo adelanto el dia de hoy de 2k, restante de 5k para fines de mes </t>
  </si>
  <si>
    <t>Sustento de pago PPC - Pago de planilla / HORARIO DE PAGO: Tarde / NOTA: TT realizó el depósito como pago de servicios.</t>
  </si>
  <si>
    <t xml:space="preserve">Sustento de pago PPC - Pago de planilla / HORARIO DE PAGO: Tarde / NOTA: TT realizó pago al CCI BBVA de banco de la nación. </t>
  </si>
  <si>
    <t xml:space="preserve">Sustento de pago PPC - Pago de planilla / HORARIO DE PAGO: Tarde / NOTA: TT REALIZO PAGO DE 1MIL SOLES HOY Y RESTANTE EL VIERNES 15 </t>
  </si>
  <si>
    <t xml:space="preserve">Sustento de pago PPC - Pago de planilla / HORARIO DE PAGO: Tarde / NOTA: Tt realizo pago de adelanto hoy 500 soles </t>
  </si>
  <si>
    <t>Sustento de pago PPC - Pago de planilla / HORARIO DE PAGO: Tarde / NOTA: TT realizó pago por APP BBVA</t>
  </si>
  <si>
    <t xml:space="preserve">Sustento de pago PPC - Pago de planilla / HORARIO DE PAGO: Tarde / NOTA: TT se comunica indicando que recien sale de trabajar, hará abono de S/200.00 por agente BCP hoy 202.10, y la diferencia pagará a fin de mes. </t>
  </si>
  <si>
    <t>Sustento de pago PPC - Pago de planilla / HORARIO DE PAGO: Tarde / NOTA: tt se comunica por wsp e indica q no le pudieron prestar los 100 para dar el adelanto pero que el día 29/05 el pagaría los 281 soles sin falta, lo estaría pagando por la tarde en agente una vez que le depositen</t>
  </si>
  <si>
    <t>Sustento de pago PPC - Pago de planilla / HORARIO DE PAGO: Tarde / NOTA: TT SE CONFIRMA CANCELA CON 1500 AL 29-05  DE 2 A 4PM</t>
  </si>
  <si>
    <t>Sustento de pago PPC - Pago de planilla / HORARIO DE PAGO: Tarde / NOTA: tt se da canc con 15k menciona que ella contara con la campaña de enero 13700 , se le indica que se consultara para q se de esa opción dice q a mas tardar el sab podría canc 13700 , tiene dudas de cesión de dd se le da nro de ibk y cesión, se menciona q sea el pago hasta el viernes 13 a mas tardar , confirma q si va a tener dinero hasta esa fecha , se hara por transf , se envia carta campaña</t>
  </si>
  <si>
    <t xml:space="preserve">Sustento de pago PPC - Pago de planilla / HORARIO DE PAGO: Tarde / NOTA: tt se indico dt dk canc  281 indica que demora pago de liquidacion ,se compromete de su sueldo pagar 281 al 15-6  viernes alas 5pm </t>
  </si>
  <si>
    <t xml:space="preserve">Sustento de pago PPC - Pago de planilla / HORARIO DE PAGO: Tarde / NOTA: tt sea coge a campaña para cancelar con 136 soles </t>
  </si>
  <si>
    <t xml:space="preserve">Sustento de pago PPC - Pago de planilla / HORARIO DE PAGO: Tarde / NOTA: tt tratara pagara el dia de hoy el monto de 700 pero si no puede juntar solo abonara 150 hoy y la diferencia de 550 el dia 07 antes de las 3pm , mes pasado fue cumplido y pide el apoyo tiene intencion de pago </t>
  </si>
  <si>
    <t xml:space="preserve">Sustento de pago PPC - Pago de planilla / HORARIO DE PAGO: Tarde / NOTA: tt. abonara ultima cuota de pago  s/100   confirma fin de mes por inconvenientes economicos , agente bcp </t>
  </si>
  <si>
    <t xml:space="preserve">Sustento de pago PPC - Pago de planilla / HORARIO DE PAGO: Tarde / NOTA: TT. confirma pago fecha 15/01   s/720 </t>
  </si>
  <si>
    <t>Sustento de pago PPC - Pago de planilla / HORARIO DE PAGO: Tarde / NOTA: tt. esperando un pago trabaja en constructora , el se comunico  oficina yurimaguas -caja trujillo</t>
  </si>
  <si>
    <t>Sustento de pago PPC - Pago de planilla / HORARIO DE PAGO: Tarde / NOTA: tt. indica que es docente y le pagan las fechas 24/03 se encuentra en la parte sierra de Piura el cual casi no tiene acceso a un agente , se le brindo campaña s/700  a venido realizando abonos mensuales  , se le pidio adelanto el cual s/100  08/03  ,  brindo su correo pintersas@gmail.com     dt s/898.88</t>
  </si>
  <si>
    <t xml:space="preserve">Sustento de pago PPC - Pago de planilla / HORARIO DE PAGO: Tarde / NOTA: ÚLTIMA CUOTA  DE S/1150.00    EL 21/06 </t>
  </si>
  <si>
    <t>Sustento de pago PPC - Se prestará dinero</t>
  </si>
  <si>
    <t>Sustento de pago PPC - Se prestará dinero / HORARIO DE PAGO: Mañana</t>
  </si>
  <si>
    <t>Sustento de pago PPC - Se prestará dinero / HORARIO DE PAGO: Mediodía</t>
  </si>
  <si>
    <t>Sustento de pago PPC - Se prestará dinero / HORARIO DE PAGO: Tarde</t>
  </si>
  <si>
    <t>Sustento de pago PPC - Se prestó dinero / HORARIO DE PAGO: Mañana</t>
  </si>
  <si>
    <t xml:space="preserve">Sustento de pago PPC - Se prestó dinero / HORARIO DE PAGO: Mañana / NOTA: </t>
  </si>
  <si>
    <t>Sustento de pago PPC - Se prestó dinero / HORARIO DE PAGO: Mañana / NOTA:  (TENER EN CUENTA QUE REALIZO UN DEPOSITO DE S/200 )TT NO TIENE TRABAJO ESTABLE. SU AMIGA LE PRESTARA EL DINERO S/800. A LAS 10AM.  TIENE GASTOS ESCOLARES. QUIZAS CONTINUAR PAGANDO S/200. NO PUEDE PAGAR MAS DE ESTE IMPORTE.</t>
  </si>
  <si>
    <t>Sustento de pago PPC - Se prestó dinero / HORARIO DE PAGO: Mañana / NOTA:  TT COBRA SEMANALMENTE. CAMPAÑAS 850. QUIERE PAGAR ENTRE SABADO Y LUNES. SE INDICA QUE VEA LA FORMA DE CONSEGUIR EL DINERO ANTES DE FECHA. NO TIENE EL DINERO A LA MANO. TRATARA DE RECAUDAR.</t>
  </si>
  <si>
    <t xml:space="preserve">Sustento de pago PPC - Se prestó dinero / HORARIO DE PAGO: Mañana / NOTA:  TT envia  foto del voucher  por  BBVA </t>
  </si>
  <si>
    <t>SE INFORMA APROBACION SOLO POR HOY DE 12,400, MENCIONA QUE HOY 08/08/2025 ABONARIA 2K Y 10,400 EL 22 DE AGOSTO</t>
  </si>
  <si>
    <t>MONTO NEGOCIADO: 12,400</t>
  </si>
  <si>
    <t>Sustento: prestamo</t>
  </si>
  <si>
    <t>Fecha: 08/08/2025 Y 22/08/2025</t>
  </si>
  <si>
    <t>Propuesta: 2k hoy y 10,400 el dia 22 de agosto</t>
  </si>
  <si>
    <t>Sustento de pago PPC - Se prestó dinero / HORARIO DE PAGO: Mañana / NOTA: +1 240 795 2711 - tt se contacto gracias a un correo que yo solicite a mi supervisor (tenor con mi numero), y se comunico con mi persona via whatsapp esta en eeuu, se informo su deuda total 84,091, indica que su unica posibilidad es 6,000 su familiar lo apoyaria por bcp hoy lo realiza 29/05</t>
  </si>
  <si>
    <t xml:space="preserve">Sustento de pago PPC - Se prestó dinero / HORARIO DE PAGO: Mañana / NOTA: 4200 ( 1k ara hoy jueves 14/  completando la diferencia  ultimo dia habil)  </t>
  </si>
  <si>
    <t>Sustento de pago PPC - Se prestó dinero / HORARIO DE PAGO: Mañana / NOTA: acuerdo de pago previa consulta por el monto de 6k, la cual adelantara el monto de 1k hoy y diferenia de 5k para el 30/0, pago realizado via bcp</t>
  </si>
  <si>
    <t xml:space="preserve">Sustento de pago PPC - Se prestó dinero / HORARIO DE PAGO: Mañana / NOTA: ADELANTARA HOY 1500 Y CANCELARA POR LA TARDE EL DIA VIERNES CON LOS 500. INDICA QUE HARA UN PAGO POR BCP ANTES DE LAS 5PM, SE LE BRINDO NUMERO DE SUPERVISORA PORQUE TIENE MUCHA DESCONFIANZA, PERO TODO OK CON LA INFORMACION PORQUE LLAMO A LA SBS A CORROBORAR LA INFORMACION. </t>
  </si>
  <si>
    <t>Sustento de pago PPC - Se prestó dinero / HORARIO DE PAGO: Mañana / NOTA: adelanto 200 y lo restante entre esta semana hasta el lunes 18</t>
  </si>
  <si>
    <t>Sustento de pago PPC - Se prestó dinero / HORARIO DE PAGO: Mañana / NOTA: cancelra</t>
  </si>
  <si>
    <t xml:space="preserve">Sustento de pago PPC - Se prestó dinero / HORARIO DE PAGO: Mañana / NOTA: CANTIDAD DEUDAS: 1 MONTO TOTAL DEUDAS: 1600 SUSTENTO DE FONDOS: AHORRO Y PRESTAMO SITUACION ACTUAL: CAMPAÑA 10,960.29.  MOTIVO DE ATRASO : PERDIDA DE TRABAJO. RECIÉN INGRESO A TRABAJAR. REALIZA TRABAJOS ADMINISTRATIVOS. INDICO PODER OBTENER 3K FINES DE DICIEMBRE. SE EXIGIO AHORA. INDICA FIN DE MES. SE SOLICITA EL 50%.. SE SOLICITO MEJORA. INDICA QUE TIENE OTRAS DEUDAS. FAMILIAR LE PRESTO S/1,500 HOY. Y S/1,500 FIN DE MES. </t>
  </si>
  <si>
    <t xml:space="preserve">Sustento de pago PPC - Se prestó dinero / HORARIO DE PAGO: Mañana / NOTA: cl. adelantara el 15 200 soles el 31 restante </t>
  </si>
  <si>
    <t>Sustento de pago PPC - Se prestó dinero / HORARIO DE PAGO: Mañana / NOTA: CLIENTE ABONARA 200 SOLES COMO ADELANTO A SU PAGO Y FIN DE MES O ANTES ABONARA LA DIFERENCIA SE LE ENVIA INFO AL WSP COMPROMISO Y CUENTAS</t>
  </si>
  <si>
    <t xml:space="preserve">Sustento de pago PPC - Se prestó dinero / HORARIO DE PAGO: Mañana / NOTA: Cliente confirma pago S/ 500.00 soles, a través de Yape, mañana en la mañana, se encuentra manejando. </t>
  </si>
  <si>
    <t>Sustento de pago PPC - Se prestó dinero / HORARIO DE PAGO: Mañana / NOTA: cliente hará cancelacion</t>
  </si>
  <si>
    <t xml:space="preserve">Sustento de pago PPC - Se prestó dinero / HORARIO DE PAGO: Mañana / NOTA: cliente indica que realizará pago de 4500, máximo el viernes 22 antes de las 2pm </t>
  </si>
  <si>
    <t>Sustento de pago PPC - Se prestó dinero / HORARIO DE PAGO: Mañana / NOTA: cliente se compromete a pagar en banca movil bcp</t>
  </si>
  <si>
    <t>Sustento de pago PPC - Se prestó dinero / HORARIO DE PAGO: Mañana / NOTA: COMPROMISO DE PAGO EXCEPCION IMPORTE s/2,500 Soles</t>
  </si>
  <si>
    <t xml:space="preserve">Sustento de pago PPC - Se prestó dinero / HORARIO DE PAGO: Mañana / NOTA: CONFIRMA PAGO - 3K EN OFICINA </t>
  </si>
  <si>
    <t>Sustento de pago PPC - Se prestó dinero / HORARIO DE PAGO: Mañana / NOTA: Dinero prestado de familiares, asume la deuda, ya que los beneficiados fueron sus familiares. Acuerdo por 5000 para el día de hoy 14-03</t>
  </si>
  <si>
    <t xml:space="preserve">Sustento de pago PPC - Se prestó dinero / HORARIO DE PAGO: Mañana / NOTA: dt 1,242.05  camp 1105  motivo:esta zona alejada ind hoy  abonar 500  y saldo  605  el martes 13  para completar compromiso   lo hara por app   se le envia canales de pago  </t>
  </si>
  <si>
    <t>Sustento de pago PPC - Se prestó dinero / HORARIO DE PAGO: Mañana / NOTA: DT: S/. 10,223.14, según excepción, cliente paga 1k, confirma que paga antes de las 4 p. m. Correo de cl:   antoniapalominoccoa@gmail.com</t>
  </si>
  <si>
    <t>Sustento de pago PPC - Se prestó dinero / HORARIO DE PAGO: Mañana / NOTA: DT: S/.753.88 campaña de 206 , cl confirma que si quiere pagar y abona 103 el lunes 05-06 y 103 el 30-06</t>
  </si>
  <si>
    <t xml:space="preserve">Sustento de pago PPC - Se prestó dinero / HORARIO DE PAGO: Mañana / NOTA: EL DIA DE HOY ABONARA 300 Y LE DIA 19 CANCELARA 600, SE LE BRINDA DOCUMENTOS VALIDARA LOS DOCUMENTOS Y TODO OK HARA EL PAGO ANTES DE LAS 4 PM POR TRANSFERENCIA IBK. </t>
  </si>
  <si>
    <t xml:space="preserve">Sustento de pago PPC - Se prestó dinero / HORARIO DE PAGO: Mañana / NOTA: ESPOSO PRESTRA EL DINERO PARA REALIZAR EL PAGO EL DIA DE HOY 4 DE FEBRERO </t>
  </si>
  <si>
    <t xml:space="preserve">Sustento de pago PPC - Se prestó dinero / HORARIO DE PAGO: Mañana / NOTA: Ex esposa estará pagando la suma de 6500/ Inicialmente se ofreció pagar con 10Mil, su propuesta fue 4 mil mejora hasta 6500. </t>
  </si>
  <si>
    <t>Sustento de pago PPC - Se prestó dinero / HORARIO DE PAGO: Mañana / NOTA: Excepción Aprobada, tit liquida deuda con S/10.000 paga hoy 03/10 S/2.000 como adelanto y mañana 04/10 liquida la diferencia S/8.000</t>
  </si>
  <si>
    <t>Sustento de pago PPC - Se prestó dinero / HORARIO DE PAGO: Mañana / NOTA: HARA PAGO INTERBANK</t>
  </si>
  <si>
    <t>Sustento de pago PPC - Se prestó dinero / HORARIO DE PAGO: Mañana / NOTA: hdr_64_15@hotmail.com</t>
  </si>
  <si>
    <t>Sustento de pago PPC - Se prestó dinero / HORARIO DE PAGO: Mañana / NOTA: herma july beccera viera dni 42496243 / dnc de pago reañiara cancpeci0n de deua</t>
  </si>
  <si>
    <t xml:space="preserve">Sustento de pago PPC - Se prestó dinero / HORARIO DE PAGO: Mañana / NOTA: hijo de tt pagó el dia de ayer los 7k soles en dos depósitos aprobdos por gerencia. </t>
  </si>
  <si>
    <t xml:space="preserve">Sustento de pago PPC - Se prestó dinero / HORARIO DE PAGO: Mañana / NOTA: importe cancelacion : 18,000 soles </t>
  </si>
  <si>
    <t xml:space="preserve">6,000 soles 24/03 - envió pago </t>
  </si>
  <si>
    <t xml:space="preserve">12,000 soles 25/03 - pago pendiente </t>
  </si>
  <si>
    <t>previa consulta con sup-se solciitó excep</t>
  </si>
  <si>
    <t xml:space="preserve">Sustento de pago PPC - Se prestó dinero / HORARIO DE PAGO: Mañana / NOTA: indica que ira al banco primero a validar y luego pagar </t>
  </si>
  <si>
    <t>Sustento de pago PPC - Se prestó dinero / HORARIO DE PAGO: Mañana / NOTA: INDICAQUE QUE EL DIA DE MAÑANA REALIZARA EL PAGO POR LA TARDE APROX 5PM EN ADELANTE YA QUE SE ENCUENTRA EN EL MONTE Y BAJARA A CIUDAD A ESA HORA</t>
  </si>
  <si>
    <t>Sustento de pago PPC - Se prestó dinero / HORARIO DE PAGO: Mañana / NOTA: JUAN YENDIS REPRESENTANTE CANCELO EL DIA DE AYER ALAS 11:30PM EL IMPORTE DE 10K</t>
  </si>
  <si>
    <t xml:space="preserve">Sustento de pago PPC - Se prestó dinero / HORARIO DE PAGO: Mañana / NOTA: Miriam Janet Bohorquez Melendez NI 44132388  encargada de pagos, indica que recibió información que debe un importe de 6 mil soles. Se le indica total 6,066.42, capital 4,546.07 y campaña de 2450.00 soles, indica que su hermano el titular se encuentra trabajando y llega mañana temprano para realizar el pago, se explica proceso de pago y carta de no adeudo, se indica que puede realizar pago por transferencia para comodidad, indica que el titular prefiere ir directo al banco, pero que realizará el pago antes de 10am. </t>
  </si>
  <si>
    <t xml:space="preserve">Sustento de pago PPC - Se prestó dinero / HORARIO DE PAGO: Mañana / NOTA: Monto acordado a cancelar S/20,000 soles  </t>
  </si>
  <si>
    <t>1,000 soles (14-08)</t>
  </si>
  <si>
    <t>10,000 soles (15-08)</t>
  </si>
  <si>
    <t>9,000 soles (29-08)</t>
  </si>
  <si>
    <t xml:space="preserve">Sustento de pago PPC - Se prestó dinero / HORARIO DE PAGO: Mañana / NOTA: MONTO APROBADO DE 11K TT REALIZO PAGO EN BCP SE ENVIO NUMERO DE CUENTA  </t>
  </si>
  <si>
    <t xml:space="preserve">Sustento de pago PPC - Se prestó dinero / HORARIO DE PAGO: Mañana / NOTA: MONTO APROBADO DE 2K PARA EL DIA DE MAÑANA SE ENVIARA ACUERDO DE PAGO  </t>
  </si>
  <si>
    <t xml:space="preserve">Sustento de pago PPC - Se prestó dinero / HORARIO DE PAGO: Mañana / NOTA: MONTO APROBADO DE 3100 TT CANCELA EL DIA DE MAÑANA 21/05 </t>
  </si>
  <si>
    <t xml:space="preserve">Sustento de pago PPC - Se prestó dinero / HORARIO DE PAGO: Mañana / NOTA: MONTO DE 7K TT SE PRESTO DE SUS FAMILIARES PARA QUE PUEDA LLEGAR AL MONTO, EL PAGO LO REALIZARA EL DIA DE HOY SE ENVIO ACUERDO AL WASAP  HORARIO APROXIMADO  </t>
  </si>
  <si>
    <t>Sustento de pago PPC - Se prestó dinero / HORARIO DE PAGO: Mañana / NOTA: Monto negociado:  8800</t>
  </si>
  <si>
    <t xml:space="preserve">sustento:  prestamo fam _ ahorro </t>
  </si>
  <si>
    <t>Motivo de no pago:   problemas de salud  (columna</t>
  </si>
  <si>
    <t xml:space="preserve">)Fecha:  21/04  Propuesta:  4000 </t>
  </si>
  <si>
    <t>Observación: se menciona  DT 30,983.20 DK  28,446.49 CAMP 8800</t>
  </si>
  <si>
    <t>_ TT menciona  solo logra reunir  los  4k ( hoy  puede realizar pago de 2000 y la  diferencia el dia jueves 30)</t>
  </si>
  <si>
    <t xml:space="preserve">_ TT envia la foto del voucher  monto de 2000 con fecha  de pago ultimo dia  habil </t>
  </si>
  <si>
    <t>Sustento de pago PPC - Se prestó dinero / HORARIO DE PAGO: Mañana / NOTA: Monto negociado:  8900 piso de  superv</t>
  </si>
  <si>
    <t xml:space="preserve">sustento:  prest fam </t>
  </si>
  <si>
    <t>Motivo de no pago:   desempleo _ problemas  economicos</t>
  </si>
  <si>
    <t xml:space="preserve">Propuesta:  5k                                              </t>
  </si>
  <si>
    <t xml:space="preserve">Observación:   tt envia foto del voucher  transferencia  </t>
  </si>
  <si>
    <t>Sustento de pago PPC - Se prestó dinero / HORARIO DE PAGO: Mañana / NOTA: MONTO NEGOCIADO: 11,600</t>
  </si>
  <si>
    <t xml:space="preserve">Sustento: ESTA SOLICITANDO PRESTAMO DE MONTO </t>
  </si>
  <si>
    <t xml:space="preserve">Motivo de no pago:LA OPERARON, CUANDO QUISO SOLUCIONAR NO PUDO, LE ROBARON CELULAR </t>
  </si>
  <si>
    <t>Fecha: 19/05</t>
  </si>
  <si>
    <t xml:space="preserve">Propuesta: 11,600 </t>
  </si>
  <si>
    <t>Sustento de pago PPC - Se prestó dinero / HORARIO DE PAGO: Mañana / NOTA: MONTO NEGOCIADO: S/.15,000</t>
  </si>
  <si>
    <t xml:space="preserve">Sustento: Dispocisión personal + Prestamo de su hermana </t>
  </si>
  <si>
    <t>Motivo de no pago: P.economicos</t>
  </si>
  <si>
    <t>Fecha: 18-07</t>
  </si>
  <si>
    <t>Propuesta: S/.15 ,000</t>
  </si>
  <si>
    <t>S/.2, 000 ( PAGO REALIZADO )</t>
  </si>
  <si>
    <t>S/.13 ,000 SOLES ( PENDIENTE )</t>
  </si>
  <si>
    <t>Sustento de pago PPC - Se prestó dinero / HORARIO DE PAGO: Mañana / NOTA: MOTIVO DE NO PAGO: ESTUVO DELICADO DE SALUD Y NO ESTABA TRABAJANDO</t>
  </si>
  <si>
    <t xml:space="preserve">TT YA VIENE LABORANDO SE DEJO DT, DK Y CANCELACION DE 450 SOLES, IBK LE OFRECIO MENOS, ESTARIA LLEGANDO A UN ACUERDO CON LOS 450 SOLES PERO PRECIBE UN DINERO EL DIA MIERCOLES 20 DE MAYO, SE SOLCITA ADELANTO MAXIMO HASTA EL MIERCOLES 15, DICE QUE SI VA PODER SE ADJUNTA NOTIFICAICON Y COMPROMISO DE PAGO VIA WSP </t>
  </si>
  <si>
    <t xml:space="preserve">Sustento de pago PPC - Se prestó dinero / HORARIO DE PAGO: Mañana / NOTA: Pago se realizó en agencia BBVA </t>
  </si>
  <si>
    <t xml:space="preserve">Sustento de pago PPC - Se prestó dinero / HORARIO DE PAGO: Mañana / NOTA: PPC  120  SOLES  EN  OF  CREDINKA EN TAMBO  LUNES 13/5 X LA TARDE  </t>
  </si>
  <si>
    <t xml:space="preserve">Sustento de pago PPC - Se prestó dinero / HORARIO DE PAGO: Mañana / NOTA: PPC  DE 100  SOLES  EN OF CAJA LOS ANDES  LUNES 23/9 </t>
  </si>
  <si>
    <t xml:space="preserve">Sustento de pago PPC - Se prestó dinero / HORARIO DE PAGO: Mañana / NOTA: PPC  DE S/1000. SOLES X BANACA MOVIL HOY MARTES 23/12 /2025 </t>
  </si>
  <si>
    <t xml:space="preserve">Sustento de pago PPC - Se prestó dinero / HORARIO DE PAGO: Mañana / NOTA: ppc  por  S/1.300 SOLES  JUEVES 14/5  POR LA  TARDE  EN EL MISMO BANCO </t>
  </si>
  <si>
    <t xml:space="preserve">Sustento de pago PPC - Se prestó dinero / HORARIO DE PAGO: Mañana / NOTA: ppc  por  S/300. SOLES   HOY  MIERCOLES  13/5  POR LA TARDE  POR TRANFERENCIA </t>
  </si>
  <si>
    <t xml:space="preserve">Sustento de pago PPC - Se prestó dinero / HORARIO DE PAGO: Mañana / NOTA: ppc  por  s/700 soles  hoy  abona s/500 soles y  diferencia  fin de mes  por  agente  bcp </t>
  </si>
  <si>
    <t xml:space="preserve">Sustento de pago PPC - Se prestó dinero / HORARIO DE PAGO: Mañana / NOTA: PPC  por s/2.500 soles  motivo  de no  pago  por salud de  su papa </t>
  </si>
  <si>
    <t xml:space="preserve">Sustento de pago PPC - Se prestó dinero / HORARIO DE PAGO: Mañana / NOTA: PPC  S/1.700   SE PRESTO  DINERO PAGA POR LA TARDE  X YAPE </t>
  </si>
  <si>
    <t xml:space="preserve">Sustento de pago PPC - Se prestó dinero / HORARIO DE PAGO: Mañana / NOTA: PPC  s/3500 soles  solicito adelanto de sueldo a su  empleador x app interbank </t>
  </si>
  <si>
    <t xml:space="preserve">Sustento de pago PPC - Se prestó dinero / HORARIO DE PAGO: Mañana / NOTA: ppc  S/550 soles hoy abona S/100   soles y  la diferencia  fin de mes  S/450 soles x app de BCP - recien empezo  a laborar </t>
  </si>
  <si>
    <t xml:space="preserve">Sustento de pago PPC - Se prestó dinero / HORARIO DE PAGO: Mañana / NOTA: PPC  X S/3500 SOLES  HOY MARTES 26/5 EN EL BANCO   A LAS 4 PM </t>
  </si>
  <si>
    <t xml:space="preserve">Sustento de pago PPC - Se prestó dinero / HORARIO DE PAGO: Mañana / NOTA: PPC 150 SOLES  LA MITAD  LUNES 13/5 Y  LA  DIFERENCIA FIN DE MES </t>
  </si>
  <si>
    <t xml:space="preserve">Sustento de pago PPC - Se prestó dinero / HORARIO DE PAGO: Mañana / NOTA: PPC 300 SOLES EN CAJA LOS ANDES  MIERCOLES  11/9 </t>
  </si>
  <si>
    <t xml:space="preserve">Sustento de pago PPC - Se prestó dinero / HORARIO DE PAGO: Mañana / NOTA: PPC 400 SOLES  X  AGENTE  BCP FIN DE MES  </t>
  </si>
  <si>
    <t xml:space="preserve">Sustento de pago PPC - Se prestó dinero / HORARIO DE PAGO: Mañana / NOTA: PPC 800 SOLES 15/10 X  AGENTE  BCP </t>
  </si>
  <si>
    <t xml:space="preserve">Sustento de pago PPC - Se prestó dinero / HORARIO DE PAGO: Mañana / NOTA: PPC 8000 SOLES  EN OF  CREDINKA  DE  CHUMBIVILCAS </t>
  </si>
  <si>
    <t xml:space="preserve">Sustento de pago PPC - Se prestó dinero / HORARIO DE PAGO: Mañana / NOTA: PPC 900 SOLES  EN OF  DE  CREDINKA </t>
  </si>
  <si>
    <t xml:space="preserve">Sustento de pago PPC - Se prestó dinero / HORARIO DE PAGO: Mañana / NOTA: PPC POR  S/3000 SOLE  POR  BCP  HOY LUNES 1/12 </t>
  </si>
  <si>
    <t xml:space="preserve">Sustento de pago PPC - Se prestó dinero / HORARIO DE PAGO: Mañana / NOTA: ppc por  s/360 soles hoy  abona la mitad   por  yape y la  diferencia fin de mes </t>
  </si>
  <si>
    <t xml:space="preserve">Sustento de pago PPC - Se prestó dinero / HORARIO DE PAGO: Mañana / NOTA: PPC POR  S/4.000 SOLES  VIERNES 22/5 PO RLA TARDE  EN LE MISMO BANCO </t>
  </si>
  <si>
    <t xml:space="preserve">Sustento de pago PPC - Se prestó dinero / HORARIO DE PAGO: Mañana / NOTA: ppc por  s/600 soles  hoy viernes 29/5 a las  6pm por  yape </t>
  </si>
  <si>
    <t xml:space="preserve">Sustento de pago PPC - Se prestó dinero / HORARIO DE PAGO: Mañana / NOTA: ppc por  s/9000 soles  hoy  abona 7k  x  app y diferencia s/2000 soles  fin de mes </t>
  </si>
  <si>
    <t xml:space="preserve">Sustento de pago PPC - Se prestó dinero / HORARIO DE PAGO: Mañana / NOTA: ppc por s/19.500 soles  por tanferencia interbancaria  lunes 16/2 abona s/1000. soles  y  diferencia  s/18.500 soles para fin de  mes </t>
  </si>
  <si>
    <t xml:space="preserve">Sustento de pago PPC - Se prestó dinero / HORARIO DE PAGO: Mañana / NOTA: ppc por s/20.000 soles   lunes 23/2 abona la mitad  y la diferencia viernes 27/2 ira al mismo banco </t>
  </si>
  <si>
    <t xml:space="preserve">Sustento de pago PPC - Se prestó dinero / HORARIO DE PAGO: Mañana / NOTA: PPC POR S/300. SOLES  CAN LUNES 11/5  POR AGENTE  BCP POR LA TARDE </t>
  </si>
  <si>
    <t>Sustento de pago PPC - Se prestó dinero / HORARIO DE PAGO: Mañana / NOTA: PPC por S/360. viernes 15/5 x la tarde  por transferencia interbancaria .</t>
  </si>
  <si>
    <t xml:space="preserve">Sustento de pago PPC - Se prestó dinero / HORARIO DE PAGO: Mañana / NOTA: PPC S/1000 SOLES  EN CAJA TRUJILLO S/600 SOLES  ABONA Y  DIFERENCIA  FIN DE  MES </t>
  </si>
  <si>
    <t>Sustento de pago PPC - Se prestó dinero / HORARIO DE PAGO: Mañana / NOTA: PPC S/1600 EN OFICINA  DE  CAJA LOS  ANDES  LUNES 18/11/2024</t>
  </si>
  <si>
    <t xml:space="preserve">Sustento de pago PPC - Se prestó dinero / HORARIO DE PAGO: Mañana / NOTA: PPC S/350 SOLES  X AGENTE LUNES 10/3 </t>
  </si>
  <si>
    <t xml:space="preserve">Sustento de pago PPC - Se prestó dinero / HORARIO DE PAGO: Mañana / NOTA: PPC S/360 SOLES  VIERNES 15/5  PRESTAMO  FAMILIAR   Y TRABAJOS  EVENTUALES VA COMPLETAR  DINERO PARA  CAN </t>
  </si>
  <si>
    <t xml:space="preserve">Sustento de pago PPC - Se prestó dinero / HORARIO DE PAGO: Mañana / NOTA: PPC S/400 SOLES  TT MAL DE SALUD PAGARA SEMANAL VIVE EN ZONA ALEJADA  DE SIHUAS  EN CAJA TRUJILLO </t>
  </si>
  <si>
    <t>Sustento de pago PPC - Se prestó dinero / HORARIO DE PAGO: Mañana / NOTA: PPC ULTIMA CUOTA 4.000</t>
  </si>
  <si>
    <t xml:space="preserve">Sustento de pago PPC - Se prestó dinero / HORARIO DE PAGO: Mañana / NOTA: ppc x S/1300 SOLES HOY VIERNES 22/5 X APP </t>
  </si>
  <si>
    <t>Sustento de pago PPC - Se prestó dinero / HORARIO DE PAGO: Mañana / NOTA: PRESTAMO DE DINERO S/350</t>
  </si>
  <si>
    <t>Sustento de pago PPC - Se prestó dinero / HORARIO DE PAGO: Mañana / NOTA: PREVIA CONSULTA -CANCELACIÓN MONTO 2,000 SOLES:</t>
  </si>
  <si>
    <t xml:space="preserve">12-05-2025 : S/.200 soles </t>
  </si>
  <si>
    <t xml:space="preserve">16-05-2025 : S/.1,300 soles </t>
  </si>
  <si>
    <t>30-05-2025 : S/.500soles</t>
  </si>
  <si>
    <t>Sustento de pago PPC - Se prestó dinero / HORARIO DE PAGO: Mañana / NOTA: REALIZO ANTICIPO DE PAGO 100</t>
  </si>
  <si>
    <t>Sustento de pago PPC - Se prestó dinero / HORARIO DE PAGO: Mañana / NOTA: Realizo el adelanto de 10k,resta 5500 soles.</t>
  </si>
  <si>
    <t xml:space="preserve">Sustento de pago PPC - Se prestó dinero / HORARIO DE PAGO: Mañana / NOTA: RESP  PAGO IVAN ROJAS ROJAS  DNI 907261243 -  D.T. S/7,197.66 DK S/4,941.30 MENCIONA Q  ES  DEMASIADO  SE LE OFRECE M2 POR S/3,147.60 MENCIONA QUE  PUEDE  REUNR  S/3000 SOLES </t>
  </si>
  <si>
    <t xml:space="preserve">PPC S/3000 SOLES  MARTES 15/7 YA LE  COMFIRMARON PRESTAMO SU  EMPLEADOR  SOLO  ESTA A LA ESPRA  DEL  DESEMBOLSO PARA CAN </t>
  </si>
  <si>
    <t>Sustento de pago PPC - Se prestó dinero / HORARIO DE PAGO: Mañana / NOTA: SE CONVERSA CON EL TT SE ACOJE A CANCELAR LA DEUDA BAJO EL MONTO DE 500 SOLES CANCELANDO EL DIA 16/10/2024</t>
  </si>
  <si>
    <t>Sustento de pago PPC - Se prestó dinero / HORARIO DE PAGO: Mañana / NOTA: SE CONVERSA CON LA TT SE LE MENCIONA Q LA PROPUESTA DE PAGO FUE APROBADA BAJO EL MONTO DE 750 SOLES PARA CANCELAR EL DIA 28/08/2024</t>
  </si>
  <si>
    <t xml:space="preserve">Sustento de pago PPC - Se prestó dinero / HORARIO DE PAGO: Mañana / NOTA: SE CONVERSO CON LA TT SE LE MENCIONO Q LA PROPUESTA FUE APROBADA BAJO EL MONTO DE 400 SOLES </t>
  </si>
  <si>
    <t>Sustento de pago PPC - Se prestó dinero / HORARIO DE PAGO: Mañana / NOTA: se coordina con tt pago por medio de deposito en banco ibk , se menciona elplazo de pago de 1 hora, tt ok</t>
  </si>
  <si>
    <t xml:space="preserve">Sustento de pago PPC - Se prestó dinero / HORARIO DE PAGO: Mañana / NOTA: se coordina pago por 500 so , via tranf bbva - </t>
  </si>
  <si>
    <t xml:space="preserve">Sustento de pago PPC - Se prestó dinero / HORARIO DE PAGO: Mañana / NOTA: se coordina pago por deposito bcp , 5000 </t>
  </si>
  <si>
    <t>Sustento de pago PPC - Se prestó dinero / HORARIO DE PAGO: Mañana / NOTA: SE INFORMA APROBACION DE PISO DE 8733 HOY 21 DE MAYO, INDICA YA TIENE TODO EL DINERO, HOY LO REALIZA POR BBVA TRANSFERENCIA PARA CANCELAR TODA SU DEUDA</t>
  </si>
  <si>
    <t>Sustento de pago PPC - Se prestó dinero / HORARIO DE PAGO: Mañana / NOTA: se informa aprobación, se aproximará a banco a corroborar sobre la transferencia y que le corrobore para que realice el pago, se envia número de sbs y se orienta que puede consultar área de gerencia y subgerencia, se enviará acuerdo.</t>
  </si>
  <si>
    <t xml:space="preserve">Sustento de pago PPC - Se prestó dinero / HORARIO DE PAGO: Mañana / NOTA: se le brinda C1 152 Dk 318 en negociación con tt se logra conciliar el monto de 200 indica que le prestara el dinero un familiar indica que tiene carga familiar por eso se retraso en su pago el pago lo hará hoy la transferencia vía BCP a las 16:30 </t>
  </si>
  <si>
    <t xml:space="preserve">Sustento de pago PPC - Se prestó dinero / HORARIO DE PAGO: Mañana / NOTA: SE LE BRINDA RESPUESTA DE EXCEPCION 9000 EN DOS PARTES, HARA EL ADELANTO DE 5000 EL DIA DE HOY Y LOS 4000 PARA EL DIA 31, SE LE BRINDA DOCUMENTO Y MEDIOS DE PAGO, TODO OK. </t>
  </si>
  <si>
    <t xml:space="preserve">Sustento de pago PPC - Se prestó dinero / HORARIO DE PAGO: Mañana / NOTA: SE LE BRINDA RESPUESTA PAGARA POR TRANSFERENCIA BCP, TODO OK, SE LE ENVIA DOCUMENTOS A SU CORREO rosmerybraul@hotmail.com SE LE INDICA EL PROCESO Y SE LE EXPLICA TODO LO REFERENTE A LA DEUDA TODO CLARO. HARA EL PAGO ANTES DE LAS 11 AM. PPC 1800 </t>
  </si>
  <si>
    <t>Sustento de pago PPC - Se prestó dinero / HORARIO DE PAGO: Mañana / NOTA: se llamo desde corpo // tt indica que se encuentra en cosecha, a 2h de arequipa - el pedregal / el dia viernes 31-05 estara efectuando la cancelacion con el monto aprobado de 3000 aprox a las 11am en agencia del pedregal / se enviara acta de acuerdo por wsp / se le explica proceso de pago.</t>
  </si>
  <si>
    <t>Sustento de pago PPC - Se prestó dinero / HORARIO DE PAGO: Mañana / NOTA: SE OFRECE CAMP TT NO CUENTA CON EL MONTO  Y PISO DONDE  TT SE ENCUENTRA DE ACUERDO , SIN EMBARGO INDICA QUE PUEDE CONTAR CON EL MONTO PARA EL DIA LUNES 25 SE ACEPTA CON EL ACUERDO QUE CANCELE ANTES DE LAS 11AM /</t>
  </si>
  <si>
    <t>Sustento de pago PPC - Se prestó dinero / HORARIO DE PAGO: Mañana / NOTA: Se realiza propuesta a supervisión indica máximo 2900.00 soles para liquidar deuda, titular se prestará el dinero para cancelar.</t>
  </si>
  <si>
    <t>Sustento de pago PPC - Se prestó dinero / HORARIO DE PAGO: Mañana / NOTA: SUEGRA (MARIBEL) SE COMUNICA CONMIGO PARA DECIRME QUE LE PRESTARÁ EL DINERO, EL DÍA LUNES A LAS 10 DE LA MAÑANA SE ESTÁN ACERCANDO A LA CAJA TRUJILLO PARA CANCELAR SE DEDICAN A LA SIEMBRA DE CAFE</t>
  </si>
  <si>
    <t>Sustento de pago PPC - Se prestó dinero / HORARIO DE PAGO: Mañana / NOTA: Tit acepta la campaña c1 3830 realizara el pago en 2 cuotas, 1ra cuota de S/ 1,000 el 6/1/26 y lo cuota restante por el importe de S/ 2,830.00 para el día 26/01/2026.</t>
  </si>
  <si>
    <t>Sustento de pago: préstamo de familiar</t>
  </si>
  <si>
    <t xml:space="preserve">Medio de pago : Agente </t>
  </si>
  <si>
    <t xml:space="preserve">hora de pago: 4:30pm </t>
  </si>
  <si>
    <t xml:space="preserve">Sustento de pago PPC - Se prestó dinero / HORARIO DE PAGO: Mañana / NOTA: TITULAR PAGARA EL IMPORTE DE S/600 EN 2 CUOTAS DE S/300 EL DIA 20/03/25 Y EL DIA 24/03/25 PAGARA S/300 PAGARA EN LA PROVICIA DE ANTA </t>
  </si>
  <si>
    <t>Sustento de pago PPC - Se prestó dinero / HORARIO DE PAGO: Mañana / NOTA: Titular realiza cancelación con importe APROBADO por el alcance de S/15,000.00 soles para Hoy Miércoles 20/05/2026 por agencia Banco Interbank.</t>
  </si>
  <si>
    <t>Sustento de pago PPC - Se prestó dinero / HORARIO DE PAGO: Mañana / NOTA: Titular realiza pago de S/15,500 soles para Hoy Martes 05/05/2026 por link de pago por tarjeta de crédito.</t>
  </si>
  <si>
    <t>Sustento de pago PPC - Se prestó dinero / HORARIO DE PAGO: Mañana / NOTA: tiutlar pagara importe de s/800 el dia 17/03/25 en la ciudadd de cajamarca en caja arequipa</t>
  </si>
  <si>
    <t>Sustento de pago PPC - Se prestó dinero / HORARIO DE PAGO: Mañana / NOTA: TT  SE ACOJE A CANCELAR BAJO LA DEUDA CON EL MONTO DE 354 SOLES CANCELANDO EL DIA 17/05/2024</t>
  </si>
  <si>
    <t>Sustento de pago PPC - Se prestó dinero / HORARIO DE PAGO: Mañana / NOTA: TT ABONO EL 50% DE ADELANTO POE 2000 EL CUAL CANCELARA EL 30 DE OCTUBRE SU CUENTA TOTAL POR 2000, SE SOLICITA APOYO A LA SUPERVISORA EXTENDER HASTA EL DIA 30</t>
  </si>
  <si>
    <t>Sustento de pago PPC - Se prestó dinero / HORARIO DE PAGO: Mañana / NOTA: TT ADELANTA 1,000 HOY ADJUNTA VOUCHER 100 Y 900 LO GENERO POR AGENTE BCP, LO RESTANTE DE 6800 HASTA EL 30 DE JUNIO, SE ACLARA SI DISPONE ANTES LO GENERARIA</t>
  </si>
  <si>
    <t>Sustento de pago PPC - Se prestó dinero / HORARIO DE PAGO: Mañana / NOTA: TT adelantó hoy S/3,000 el día 19/07 abonará S/3,000 y saldo a fin des</t>
  </si>
  <si>
    <t>Sustento de pago PPC - Se prestó dinero / HORARIO DE PAGO: Mañana / NOTA: TT CANCELA CON S/. 7,000.00 EN AGENCIA | HOY 31/03</t>
  </si>
  <si>
    <t>Sustento de pago PPC - Se prestó dinero / HORARIO DE PAGO: Mañana / NOTA: TT CANCELA HOY 300 SOLES, PRESGTAMO DE FAMILIAR, TT CON DISPOBILIDAD DE DINERO</t>
  </si>
  <si>
    <t>Sustento de pago PPC - Se prestó dinero / HORARIO DE PAGO: Mañana / NOTA: tt cancela s/1000 11/02  a través de BCP, se prestó dinero.</t>
  </si>
  <si>
    <t xml:space="preserve">Sustento de pago PPC - Se prestó dinero / HORARIO DE PAGO: Mañana / NOTA: tt cancela s/4200 máximo el 8/05, su empresa empleadora realizará el pago. De igual manera tt dice que tratará de insistir para que su empleador pague lo antes posible. </t>
  </si>
  <si>
    <t>Sustento de pago PPC - Se prestó dinero / HORARIO DE PAGO: Mañana / NOTA: TT cancelara los 2500 en las siguientes fechas hoy 10/12 S/1500 y S/1000 23/12</t>
  </si>
  <si>
    <t>Sustento de pago PPC - Se prestó dinero / HORARIO DE PAGO: Mañana / NOTA: TT canceló en BBVA</t>
  </si>
  <si>
    <t>Sustento de pago PPC - Se prestó dinero / HORARIO DE PAGO: Mañana / NOTA: TT CONFIRMA POR INTERBANK HARA DEPISITO HOY 3160</t>
  </si>
  <si>
    <t>Sustento de pago PPC - Se prestó dinero / HORARIO DE PAGO: Mañana / NOTA: TT CONFIRMA SU PAGO PARA HOY EL MONTO DE S/300 SOLES POR AGENTE BCP CON EXCEPCION SOLICITADO</t>
  </si>
  <si>
    <t>Sustento de pago PPC - Se prestó dinero / HORARIO DE PAGO: Mañana / NOTA: TT CUMPLIO CON ACUERDO 7,000 PPC PARA LIQUIDAR SU DUEDA EL 31 DE OCTUBRE COMO SE LE INFORMO, ENVIA VOUCHER VIA CORREO POR PAGO DE SERVICIOS BCP</t>
  </si>
  <si>
    <t>Sustento de pago PPC - Se prestó dinero / HORARIO DE PAGO: Mañana / NOTA: tt DELANTO 1500 SOLO RESTA 500 PARA EL 27 COMO MÁXIMO SI LO CONSIGUE ANTES AVISARÁ PERO QUE NO PASARÍA DEL 27</t>
  </si>
  <si>
    <t xml:space="preserve">Sustento de pago PPC - Se prestó dinero / HORARIO DE PAGO: Mañana / NOTA: TT efectua el pago de los 10k soles que propuso. </t>
  </si>
  <si>
    <t>Sustento de pago PPC - Se prestó dinero / HORARIO DE PAGO: Mañana / NOTA: TT EFECTUARA PAGO INICIAL EL DIA DE MAÑANA S/10,000.00 Y RESTANTE A FIN DE MES COMPLETANDO LOS S/12,000.00, PRESTAMO DE SU PAPÁ, TIENE HIJO CON DISCAPACIDAD, Y PROCESO DE JUCIO CON SU EX ESPOSO</t>
  </si>
  <si>
    <t>Sustento de pago PPC - Se prestó dinero / HORARIO DE PAGO: Mañana / NOTA: TT envia correo para la carta -  acuario_mva@hotmail.com  realiza por IBK</t>
  </si>
  <si>
    <t>Sustento de pago PPC - Se prestó dinero / HORARIO DE PAGO: Mañana / NOTA: tt estara pagando a base de 4000 nuevo soles. Hoy paga la suma de 2000 nuevo soles y la diferencia paga el 19 de julio por BCP</t>
  </si>
  <si>
    <t>Sustento de pago PPC - Se prestó dinero / HORARIO DE PAGO: Mañana / NOTA: TT ESTUVO ESPERANDO EL DEPOSITO DE SU AMIGA GENERA POR BCP</t>
  </si>
  <si>
    <t>Sustento de pago PPC - Se prestó dinero / HORARIO DE PAGO: Mañana / NOTA: tt hara su pago con 16200 adelantara 1000 el sabado 11/04 y resto para el 30/04 s/15200</t>
  </si>
  <si>
    <t xml:space="preserve">Sustento de pago PPC - Se prestó dinero / HORARIO DE PAGO: Mañana / NOTA: tt hara su pago el viernes o sábado adelanto de 500 y el resto dentro del mes se hara seguimiento </t>
  </si>
  <si>
    <t>Sustento de pago PPC - Se prestó dinero / HORARIO DE PAGO: Mañana / NOTA: tt hara su pago enviara vaucher  por bn</t>
  </si>
  <si>
    <t xml:space="preserve">Sustento de pago PPC - Se prestó dinero / HORARIO DE PAGO: Mañana / NOTA: tt hara su pago hoy </t>
  </si>
  <si>
    <t>Sustento de pago PPC - Se prestó dinero / HORARIO DE PAGO: Mañana / NOTA: tt hara su pago hoy 1000 y 1100 para el 30/06 agencia bbva</t>
  </si>
  <si>
    <t xml:space="preserve">Sustento de pago PPC - Se prestó dinero / HORARIO DE PAGO: Mañana / NOTA: tt hara su pago mañana 1000 y el 30/04 1000 estante pago lo hara por bbva </t>
  </si>
  <si>
    <t>Sustento de pago PPC - Se prestó dinero / HORARIO DE PAGO: Mañana / NOTA: tt hara un adelanto 1000 hoy y el 30/06 s/1250</t>
  </si>
  <si>
    <t>Sustento de pago PPC - Se prestó dinero / HORARIO DE PAGO: Mañana / NOTA: tt hara un adelanto 15/04 1000 restopara el 30/04 s/1500</t>
  </si>
  <si>
    <t xml:space="preserve">Sustento de pago PPC - Se prestó dinero / HORARIO DE PAGO: Mañana / NOTA: TT INDICA QUE ESTA DE CAMINO HACIA EL BANCO QUE HARA EL PAGO POR IBK. </t>
  </si>
  <si>
    <t>Sustento de pago PPC - Se prestó dinero / HORARIO DE PAGO: Mañana / NOTA: TT INDICA QUE SOLO SE LOGRO PRESTAR 200 SOLES PARA LA LIQUIDACION DE SU DEUDA, INDICA PAGAR POR APP DE BCP</t>
  </si>
  <si>
    <t>Sustento de pago PPC - Se prestó dinero / HORARIO DE PAGO: Mañana / NOTA: TT INDICO SE PRESTO 30 SOLES MAS DE FAMILIAR COMPLETANDO 530 SOLES, INDICA ESTAR A MEDIA HORA DEL BANCO DADO QUE ESTA REALIZANDO UNOS TRAMITES</t>
  </si>
  <si>
    <t xml:space="preserve">Sustento de pago PPC - Se prestó dinero / HORARIO DE PAGO: Mañana / NOTA: TT INFORMA HOY LO REALIZARA, PIDE ACUERDO </t>
  </si>
  <si>
    <t>Sustento de pago PPC - Se prestó dinero / HORARIO DE PAGO: Mañana / NOTA: TT logra mejorar propuesta  con el importe de s/8600 el cual pagara hoy 4000 y  la diff el  31/12 4600. Se envia acuerdo al sgt correo Tancumpaul1485@gmail.com</t>
  </si>
  <si>
    <t>Sustento de pago PPC - Se prestó dinero / HORARIO DE PAGO: Mañana / NOTA: TT MEJORA IMPORTE A 2250 SOLES CANCELA HOY</t>
  </si>
  <si>
    <t>Sustento de pago PPC - Se prestó dinero / HORARIO DE PAGO: Mañana / NOTA: tt paga monto de 10k soles segun el acuerdo el viernes 25.07</t>
  </si>
  <si>
    <t>Sustento de pago PPC - Se prestó dinero / HORARIO DE PAGO: Mañana / NOTA: tt paga por bcp</t>
  </si>
  <si>
    <t xml:space="preserve">Sustento de pago PPC - Se prestó dinero / HORARIO DE PAGO: Mañana / NOTA: tt paga por BCP s/400 hoy 4-06 se prestó dinero. </t>
  </si>
  <si>
    <t>Sustento de pago PPC - Se prestó dinero / HORARIO DE PAGO: Mañana / NOTA: TT pagará excepción de 2500 se aprueba por supp y mayra</t>
  </si>
  <si>
    <t>Sustento de pago PPC - Se prestó dinero / HORARIO DE PAGO: Mañana / NOTA: tt pagarcn  ecdpcion azporbada</t>
  </si>
  <si>
    <t xml:space="preserve">Sustento de pago PPC - Se prestó dinero / HORARIO DE PAGO: Mañana / NOTA: tt realiso su pago </t>
  </si>
  <si>
    <t>Sustento de pago PPC - Se prestó dinero / HORARIO DE PAGO: Mañana / NOTA: tt realiza pago de 400 por yape</t>
  </si>
  <si>
    <t>Sustento de pago PPC - Se prestó dinero / HORARIO DE PAGO: Mañana / NOTA: TT REALIZA PAGO EN MISMO BANCO BBVA, SU UNICA POSIBILIDAD 12,000, ADJUNTA COMPROBANTE</t>
  </si>
  <si>
    <t>Sustento de pago PPC - Se prestó dinero / HORARIO DE PAGO: Mañana / NOTA: tt realiza su pago 1200</t>
  </si>
  <si>
    <t>Sustento de pago PPC - Se prestó dinero / HORARIO DE PAGO: Mañana / NOTA: TT REALIZARA EL PAGO DE 3,116.45 POR VENTANILLA EN BBVA</t>
  </si>
  <si>
    <t>Sustento de pago PPC - Se prestó dinero / HORARIO DE PAGO: Mañana / NOTA: tt realizo pago el dia viernes 15/05 por  BCP /   luis.gutme6@gmail.com</t>
  </si>
  <si>
    <t xml:space="preserve">Sustento de pago PPC - Se prestó dinero / HORARIO DE PAGO: Mañana / NOTA: TT REALIZO PAGO POR BCP </t>
  </si>
  <si>
    <t>Sustento de pago PPC - Se prestó dinero / HORARIO DE PAGO: Mañana / NOTA: tt se acercara a oficina y realizara su pago verificara docuemento</t>
  </si>
  <si>
    <t>Sustento de pago PPC - Se prestó dinero / HORARIO DE PAGO: Mañana / NOTA: TT SE COMPROMETE A CANCELAR CON EL IMPORTE DE  S/ 2,000</t>
  </si>
  <si>
    <t xml:space="preserve">Sustento de pago PPC - Se prestó dinero / HORARIO DE PAGO: Mañana / NOTA: tt se comunica por wsp indicando que paga hoy 04/03 por transferencia BCP 10K y la próxima semana máximo hasta el 13/03 paga 2K , siendo un total de 12000. </t>
  </si>
  <si>
    <t>Sustento de pago PPC - Se prestó dinero / HORARIO DE PAGO: Mañana / NOTA: tt se comunica por wsp se le da informarcion se le brinda C1 414 Dt 1120 tt indica que solo cuenta con 300 para terminar de pagar su deuda indica que tiene carga familiar dinero es parte de un préstamo que le hará un familiar realizara el mediante vio transferencia &gt;BCP</t>
  </si>
  <si>
    <t>Sustento de pago PPC - Se prestó dinero / HORARIO DE PAGO: Mañana / NOTA: TT VALIDO INFORMACION CON EL BANCO BBVA Y ESCRIBE SE COMPROMETE A PAGAR S/695 HASTA EL 30/11.</t>
  </si>
  <si>
    <t>MENCIONA QUE IRA PAGANDO PROGESIVAMENTE HASTA LIQUIDAR CAMPAÑA</t>
  </si>
  <si>
    <t xml:space="preserve">LUNES 25/11 GENERARA ADELANTO NO CONFIRMA MONTO PERO INDICA QUE REALIZARA AMORTIZACION COMPLENTANDO IMPORTE HASTA SU FECHA DE PROGRAMACION. </t>
  </si>
  <si>
    <t>Sustento de pago PPC - Se prestó dinero / HORARIO DE PAGO: Mañana / NOTA: tt ya abonó 10k queda pendiente abono de 10k hasta el día 30 de octubre</t>
  </si>
  <si>
    <t xml:space="preserve">Sustento de pago PPC - Se prestó dinero / HORARIO DE PAGO: Mañana / NOTA: tt. indica realizara pago en oficina Urcos caja los andes </t>
  </si>
  <si>
    <t xml:space="preserve">Sustento de pago PPC - Se prestó dinero / HORARIO DE PAGO: Mañana / NOTA: ULTIMA  CUOTA  DE  PPM 17/5 CAN S/200 SOLES </t>
  </si>
  <si>
    <t xml:space="preserve">Sustento de pago PPC - Se prestó dinero / HORARIO DE PAGO: Medioda / NOTA: Cliente cancelará el día jueves 150.00 soles para liquidar deuda. Mediante Yape. </t>
  </si>
  <si>
    <t>Sustento de pago PPC - Se prestó dinero / HORARIO DE PAGO: Medioda / NOTA: cliente realizará pago hoy de 18 mil soles a través de transferencia BCP.</t>
  </si>
  <si>
    <t>Sustento de pago PPC - Se prestó dinero / HORARIO DE PAGO: Medioda / NOTA: compromiso  6080   fecha 12-05</t>
  </si>
  <si>
    <t>Sustento de pago PPC - Se prestó dinero / HORARIO DE PAGO: Medioda / NOTA: CONFIRMA PAGO PARA EL DIA DE MAÑANA 17/01, indiac que se encuentra en chincha, quiere venir hoy y mañana estara haciendo el pago, menciona que plan de 4 de la tarde estara llegando</t>
  </si>
  <si>
    <t>Sustento de pago PPC - Se prestó dinero / HORARIO DE PAGO: Medioda / NOTA: DT: S/. 55,104.47 - Según excepción, cliente paga hoy S/. 1,000 y la diferencia de S/.4,000 para el 30/01; cliente confirma que sí efectúa el pago. Correo de cliente: oafl23@yahoo.com</t>
  </si>
  <si>
    <t xml:space="preserve">Sustento de pago PPC - Se prestó dinero / HORARIO DE PAGO: Medioda / NOTA: REALIZO PAGO EN INTERBANK </t>
  </si>
  <si>
    <t>Sustento de pago PPC - Se prestó dinero / HORARIO DE PAGO: Medioda / NOTA: se conversa con tt se coordina el pago para el medio día,  ya que el tt toma la movilidad 5m eh ira a la oficina andes de lircay, se confirma cancelación de 1500 hasta el medio, se explica la entrega de cdna 15 dias ok , via wsp</t>
  </si>
  <si>
    <t xml:space="preserve">Sustento de pago PPC - Se prestó dinero / HORARIO DE PAGO: Medioda / NOTA: se le confirma   compromiso  monto  6k  </t>
  </si>
  <si>
    <t>en 2 partes :  correo  m-caycho@hotmail.com</t>
  </si>
  <si>
    <t>4500 fecha 10-11</t>
  </si>
  <si>
    <t xml:space="preserve">1500 fecha 28-11 </t>
  </si>
  <si>
    <t>Sustento de pago PPC - Se prestó dinero / HORARIO DE PAGO: Medioda / NOTA: Se prestó dinero / HORARIO DE PAGO: Medioda / NOTA: tti paraga cn ecpeiocn ap0rbada anticipa 2000 soles y el mates la diferencia 3700 soles en el trasncuerso del dia total 5700</t>
  </si>
  <si>
    <t>Sustento de pago PPC - Se prestó dinero / HORARIO DE PAGO: Medioda / NOTA: TT CANCELARA CON EL MONTO DE S/3300.00 PERO ADELANATARA HOY S/1000.00 EL RESTANTE DE LOS S/2300.00 ABONARA EL 30/04.</t>
  </si>
  <si>
    <t>Sustento de pago PPC - Se prestó dinero / HORARIO DE PAGO: Medioda / NOTA: TT CONFIRMA PRESTAMO DE 6,000 HOY PROCEDE CON EL PAGO VIA APP BCP, ENVIA CORREO PARA ENVIO DE CDNA EN EL PLAZO MENCIONADO Hebmelz@hotmail.com</t>
  </si>
  <si>
    <t>Sustento de pago PPC - Se prestó dinero / HORARIO DE PAGO: Medioda / NOTA: tt indica que realizara el pago el dia de mañana  en el mismo banco s/11,000.00  , se le enviara el documento de compromiso de pago  su correo electrónico marychinita89@hotmail.com</t>
  </si>
  <si>
    <t>Sustento de pago PPC - Se prestó dinero / HORARIO DE PAGO: Medioda / NOTA: tt pagara cn ecedpciomm aprobaqda</t>
  </si>
  <si>
    <t>Sustento de pago PPC - Se prestó dinero / HORARIO DE PAGO: Medioda / NOTA: TT PAGARA EL MONTO DE 12819 POR LINK A TRAVÉS DE TARJETA DE CRÉDITO, ANTES DEL MEDIO DÍA.</t>
  </si>
  <si>
    <t>Sustento de pago PPC - Se prestó dinero / HORARIO DE PAGO: Medioda / NOTA: TT REALIZA PAGO POR EL MISMO BBVA, ENVIA FOTO</t>
  </si>
  <si>
    <t>Sustento de pago PPC - Se prestó dinero / HORARIO DE PAGO: Medioda / NOTA: tt realizara pago por app banco de la nacion a cci bbva, de 8k para hoy cancelar su deuda</t>
  </si>
  <si>
    <t>Sustento de pago PPC - Se prestó dinero / HORARIO DE PAGO: Medioda / NOTA: TTI PAGA CN ECEDPCION AP0ORBQADA</t>
  </si>
  <si>
    <t>Sustento de pago PPC - Se prestó dinero / HORARIO DE PAGO: Mediodía</t>
  </si>
  <si>
    <t>Sustento de pago PPC - Se prestó dinero / HORARIO DE PAGO: Mediodía / CANAL ENVIO - LLAMADA / NOTA: excepción aporbada/ tt pagara el importe de 1,000 el día lunes 9 en oficina de caja trujillo.</t>
  </si>
  <si>
    <t>Sustento de pago PPC - Se prestó dinero / HORARIO DE PAGO: Mediodía / NOTA: ABONA 1500 HOY Y RESTANTE EL DIA 30 DE JULIO S/7018, INDICA QUE ES SU UNICA POSIBILIDAD, ESTA CON MUCHOS TEMAS LABORALES</t>
  </si>
  <si>
    <t>MONTO NEGOCIADO: 13K</t>
  </si>
  <si>
    <t>Sustento: TT INDICA QUE TUVO COMPLICACIONES ECONOMICAS</t>
  </si>
  <si>
    <t>Motivo de no pago: SU ECONOMIA BAJO</t>
  </si>
  <si>
    <t>Fecha: 25 DE JULIO</t>
  </si>
  <si>
    <t xml:space="preserve">Propuesta: TT  8518 HOY 1500 Y FIN DE MES RESTANTE </t>
  </si>
  <si>
    <t>abona hoy 1500 restante el dia 30</t>
  </si>
  <si>
    <t>Sustento de pago PPC - Se prestó dinero / HORARIO DE PAGO: Mediodía / NOTA: COMPROMISO DE PAGO IMPORTE s/5,000 Soles, DIA: 29/11</t>
  </si>
  <si>
    <t>Sustento de pago PPC - Se prestó dinero / HORARIO DE PAGO: Mediodía / NOTA: confirma la cancelacion de los 2000 en trascurso del dia</t>
  </si>
  <si>
    <t>Sustento de pago PPC - Se prestó dinero / HORARIO DE PAGO: Mediodía / NOTA: hermana   yuliana menciona que el tt le comento sobre la deuda por que le ss que lo ayude , hermana mencioanq ue ella pouede asumir con un pago alcontado 1300 para fin de mes 30 de mayo y liquidar su deuda , menciono que le renovaran su credito de 10k con una financiera y con ello puede pagar , ok menbcono que enviare acuerdo por wsp y cuentas</t>
  </si>
  <si>
    <t xml:space="preserve">Sustento de pago PPC - Se prestó dinero / HORARIO DE PAGO: Mediodía / NOTA: PPC/5221.00 // PRESTAMO// </t>
  </si>
  <si>
    <t>Sustento de pago PPC - Se prestó dinero / HORARIO DE PAGO: Mediodía / NOTA: recibe dinero</t>
  </si>
  <si>
    <t>Sustento de pago PPC - Se prestó dinero / HORARIO DE PAGO: Mediodía / NOTA: se onversa con tt se ofrece cancelacion 197 tt peude pagarlo en la ofi de ayacucho para el dia de mañana , ok menciono que le enviare asu numero de wsp</t>
  </si>
  <si>
    <t xml:space="preserve">Sustento de pago PPC - Se prestó dinero / HORARIO DE PAGO: Mediodía / NOTA: Tit cancela deuda con S/4.000 - Excepción aprobada - Adelanta S/300 hoy 18/10, S/1.700 21/10 y S/2.000 el 31/10 </t>
  </si>
  <si>
    <t>Sustento de pago PPC - Se prestó dinero / HORARIO DE PAGO: Mediodía / NOTA: tt agradece lo pagara por agente bcp - caja piura, importe 600 sou ,s eenvia doc de compromiso y metodo de pago</t>
  </si>
  <si>
    <t>Sustento de pago PPC - Se prestó dinero / HORARIO DE PAGO: Mediodía / NOTA: tt agradece menciona que el pago lo hara por cuenta scotiabank -se enviara cuentas ,1556 so</t>
  </si>
  <si>
    <t xml:space="preserve">Sustento de pago PPC - Se prestó dinero / HORARIO DE PAGO: Mediodía / NOTA: tt cancela el día 5/08 el importe de 100 soles en la oficina de caja de trujillo </t>
  </si>
  <si>
    <t xml:space="preserve">Sustento de pago PPC - Se prestó dinero / HORARIO DE PAGO: Mediodía / NOTA: tt confirma el pago de 385 soles por agente BCP AL MEDIO DIA 19.03.25 </t>
  </si>
  <si>
    <t>Sustento de pago PPC - Se prestó dinero / HORARIO DE PAGO: Mediodía / NOTA: tt deacuerdo , pagara por caja arequipa o por cuenta bcp tt confirmara ese mismo dia el medio de pago, se envia cuentas por wsp - cronograma - 685 x2m</t>
  </si>
  <si>
    <t>Sustento de pago PPC - Se prestó dinero / HORARIO DE PAGO: Mediodía / NOTA: tt deacuerdo , se compromete a cenlar el dia jueves almedio si su fam le da el dienro antes lo va apagar en la agencia , pregunta otro medio tbm por agente puede pagarlo , se detalla s eidnca que s enviara carta camp que certifica el apgo total de su deuda por 2000 soles tt de acuerdo</t>
  </si>
  <si>
    <t xml:space="preserve">Sustento de pago PPC - Se prestó dinero / HORARIO DE PAGO: Mediodía / NOTA: TT INGRESA HOY 200 Y PROXIMA SEMANA 800  QUE LE PRESTAN </t>
  </si>
  <si>
    <t xml:space="preserve">Sustento de pago PPC - Se prestó dinero / HORARIO DE PAGO: Mediodía / NOTA: tt paga hoy un adelanto de 100 soles porm trasferencia y el 08.04.25 paga el restante de 380 total a pagar 480 soles </t>
  </si>
  <si>
    <t>Sustento de pago PPC - Se prestó dinero / HORARIO DE PAGO: Mediodía / NOTA: tt paga por bcp</t>
  </si>
  <si>
    <t>Sustento de pago PPC - Se prestó dinero / HORARIO DE PAGO: Mediodía / NOTA: TT realizó pago como transferencia BCP</t>
  </si>
  <si>
    <t>Sustento de pago PPC - Se prestó dinero / HORARIO DE PAGO: Mediodía / NOTA: TT realizó pago en oficina BBVA</t>
  </si>
  <si>
    <t>Sustento de pago PPC - Se prestó dinero / HORARIO DE PAGO: Tarde</t>
  </si>
  <si>
    <t xml:space="preserve">Sustento de pago PPC - Se prestó dinero / HORARIO DE PAGO: Tarde / NOTA: </t>
  </si>
  <si>
    <t xml:space="preserve">Sustento de pago PPC - Se prestó dinero / HORARIO DE PAGO: Tarde / NOTA:  cliente  da numero de whas realiza  pago de 500 como compromiso resto a cierre de mes </t>
  </si>
  <si>
    <t xml:space="preserve">Sustento de pago PPC - Se prestó dinero / HORARIO DE PAGO: Tarde / NOTA:  cliente  pide  plazo ya que tien que  viajar  a  la  ag  la joya  por  la  tarde  realiza  pago </t>
  </si>
  <si>
    <t>Sustento de pago PPC - Se prestó dinero / HORARIO DE PAGO: Tarde / NOTA:  lftorresq@hotmail.com  envia correo para la carta de no adeudo</t>
  </si>
  <si>
    <t>Sustento de pago PPC - Se prestó dinero / HORARIO DE PAGO: Tarde / NOTA:  Monto negociado:  12K</t>
  </si>
  <si>
    <t xml:space="preserve">sustento:  ahorro - prest fam </t>
  </si>
  <si>
    <t xml:space="preserve"> Motivo de no pago:  reclamo con el banco </t>
  </si>
  <si>
    <t>Fecha: 22/01_ 30/01</t>
  </si>
  <si>
    <t>Propuesta:  5500 ( 2200 hoy jueves 22/01 y la diferencia  de 3300 para el dia  30/01)</t>
  </si>
  <si>
    <t xml:space="preserve">Sustento de pago PPC - Se prestó dinero / HORARIO DE PAGO: Tarde / NOTA:  Monto negociado:  19,278.08 </t>
  </si>
  <si>
    <t xml:space="preserve"> sustento: prest familiar </t>
  </si>
  <si>
    <t xml:space="preserve"> Motivo de no pago: fallecimiento de fam, problemas economicos</t>
  </si>
  <si>
    <t xml:space="preserve"> Fecha: 20/10</t>
  </si>
  <si>
    <t xml:space="preserve"> Propuesta:  7400 ( hoy dispone  de 3700  diferencia el dia  20/ l10)</t>
  </si>
  <si>
    <t xml:space="preserve"> Observación:  hoy envio foto del voucher  monto de 3700- diferencia el dia lunes 20</t>
  </si>
  <si>
    <t>Sustento de pago PPC - Se prestó dinero / HORARIO DE PAGO: Tarde / NOTA:  propuesta es 1,800</t>
  </si>
  <si>
    <t>12/06 = 900    envio foto del voucher  BBVA</t>
  </si>
  <si>
    <t>30/06 = 900</t>
  </si>
  <si>
    <t xml:space="preserve">Sustento de pago PPC - Se prestó dinero / HORARIO DE PAGO: Tarde / NOTA:  Se ofrece dk 1,303.74 camp S/650 tt indica no contar con el dinero se consulta con cuanto cuenta y ofrece 300 al cual se pide elevar monto se llega acuerdo de S/350 el cual es validado por sup. tt confirma pago 15-05 por transferencia Bcp en seguimiento </t>
  </si>
  <si>
    <t>Sustento de pago PPC - Se prestó dinero / HORARIO DE PAGO: Tarde / NOTA: *MONTO NEGOCIADO:  9800</t>
  </si>
  <si>
    <t>*SUSTENTO: SE ACERCO AL BANCO Y LE  INDICARON DESCONOCIMIENTO DE DEUDA, SE ENVIO CARTA NOTIF</t>
  </si>
  <si>
    <t>*MOTIVO DE NO PAGO: SE ADJUNTO CARTA NOTIF Y LE  CONFIRMARON  LA  TRANSFERENCIA  DE LA DEUDA.</t>
  </si>
  <si>
    <t xml:space="preserve">*FECHA: 03/ REALIZAR PAGO COMO COMPROMISO </t>
  </si>
  <si>
    <t>*PROPUESTA: 5K( DOS  ARMADAS 03/ MONTO DE 1500  RESTO EL DIA  22/07 )</t>
  </si>
  <si>
    <t xml:space="preserve">Sustento de pago PPC - Se prestó dinero / HORARIO DE PAGO: Tarde / NOTA: Antonio hermano edp abonara 200 soles por bcp o scotiabank  se encuentra en Piura </t>
  </si>
  <si>
    <t xml:space="preserve">Sustento de pago PPC - Se prestó dinero / HORARIO DE PAGO: Tarde / NOTA: campaña  250 soles  , hoy abona  S/50  Y  LA DIFENCIA  S/200  EL 30 DE MAYO , APOYO ECONOMICO DE SU ESPOSO </t>
  </si>
  <si>
    <t xml:space="preserve">Sustento de pago PPC - Se prestó dinero / HORARIO DE PAGO: Tarde / NOTA: campaña 2 mil soles // tt ira a la misma caja a realizar el pago correspondiente de su deuda ya que se esta prestando el dinero </t>
  </si>
  <si>
    <t xml:space="preserve">Sustento de pago PPC - Se prestó dinero / HORARIO DE PAGO: Tarde / NOTA: CAMPAÑA 250  , ABONA  MAÑANA 50 SOLES  Y LA DIFERENCIA  S/200 EL 30  SE ACERCARA  A CAJA TRUJILLO </t>
  </si>
  <si>
    <t xml:space="preserve">Sustento de pago PPC - Se prestó dinero / HORARIO DE PAGO: Tarde / NOTA: campaña 300  paga mañana  por la tarde 5 P.M  ESTA ESPERA QUE RECIBA UN DINERO  </t>
  </si>
  <si>
    <t xml:space="preserve">Sustento de pago PPC - Se prestó dinero / HORARIO DE PAGO: Tarde / NOTA: cliente  envia  foto del voucher  monto de 5k por  transferencia BCP </t>
  </si>
  <si>
    <t xml:space="preserve">Sustento de pago PPC - Se prestó dinero / HORARIO DE PAGO: Tarde / NOTA: CLIENTE COMENTA QUE SI LO LLAMARON HACE AÑOS BRINDANDO UNA CAMPAÑA DE 12K NO RECONOCIA EL MONTO QUE LE COBRABAN  POR ELLO NO PAGO ,  SE BRINDA CAMPAÑA DE S/5,500  NO DISPONE PODRÍA PAGAR EN CUOTAS, SE LE  INDICA SI  HOY PAGA LE AYUDO  CON S/3,700  ABONARÍA HOY 500 SOLES Y LA DIFERENCIA 3,200  EL DÍA MARTES  8 </t>
  </si>
  <si>
    <t>Sustento de pago PPC - Se prestó dinero / HORARIO DE PAGO: Tarde / NOTA: Cliente realizará el pago en ventanilla, se le envía compromiso a su whats y cuentas.</t>
  </si>
  <si>
    <t xml:space="preserve">Sustento de pago PPC - Se prestó dinero / HORARIO DE PAGO: Tarde / NOTA: cliente se prestó dinero 1800.00 soles, realizará pago en su horario de refrigerio. </t>
  </si>
  <si>
    <t xml:space="preserve">Sustento de pago PPC - Se prestó dinero / HORARIO DE PAGO: Tarde / NOTA: cliente tenía 1500, logró conseguir 500, realizará depósito BCP </t>
  </si>
  <si>
    <t xml:space="preserve">Sustento de pago PPC - Se prestó dinero / HORARIO DE PAGO: Tarde / NOTA: compromiso   1k   fecha 05 </t>
  </si>
  <si>
    <t>Sustento de pago PPC - Se prestó dinero / HORARIO DE PAGO: Tarde / NOTA: COMPROMISO 6K   FECHA 26 DE MAYO   SE EXTIENDE HORA 3PM   YA SE ENVIO EL LINK  AL CORREO  mdelosriosc@gmail.com</t>
  </si>
  <si>
    <t>Sustento de pago PPC - Se prestó dinero / HORARIO DE PAGO: Tarde / NOTA: COMPROMISO DE PAGO EXCEPCION IMPORTE s/1,000 Soles, EN 2 PARTES, FECHAS 06/02 - 25/02</t>
  </si>
  <si>
    <t>Sustento de pago PPC - Se prestó dinero / HORARIO DE PAGO: Tarde / NOTA: dic le bana prestan dinero</t>
  </si>
  <si>
    <t>Sustento de pago PPC - Se prestó dinero / HORARIO DE PAGO: Tarde / NOTA: dice que recien le pagaran en la tarde dice sino mañana se prestara se le informa que no pase de la fecha si le pagara pagaria tarde hoy sino mañna se va prestar de alguien hora 3pm si pasa de la fecha ya seria 120</t>
  </si>
  <si>
    <t>Sustento de pago PPC - Se prestó dinero / HORARIO DE PAGO: Tarde / NOTA: DT: S/.1,371.27 segun excepcion cl paga 300 , correo de cl: hroblesvaldez@gmail.com</t>
  </si>
  <si>
    <t xml:space="preserve">Sustento de pago PPC - Se prestó dinero / HORARIO DE PAGO: Tarde / NOTA: DT: S/.29,278.86 , segun excepcion cliente paga 2500 medinte bcp correo de cl: zhevl2514@gmail.com </t>
  </si>
  <si>
    <t xml:space="preserve">Ya abono 1250 , confirma que cancela mañana los 1250 </t>
  </si>
  <si>
    <t>Sustento de pago PPC - Se prestó dinero / HORARIO DE PAGO: Tarde / NOTA: DT: S/.674.19 , cliente paga 300 en 2 partes abona 150 el  08-06 y 150 el 15-06</t>
  </si>
  <si>
    <t>Sustento de pago PPC - Se prestó dinero / HORARIO DE PAGO: Tarde / NOTA: esposa encargada de cuenta   MERCEDES CONSUELO ALVA QUIROZ    brinda correo:  mercedes_alva_quiroz@hotmail.com</t>
  </si>
  <si>
    <t xml:space="preserve">se le confirma compromiso   monto   18k   fecha limite   28-11   </t>
  </si>
  <si>
    <t>- se le hace incapie que si no cumple   pierde beneficio</t>
  </si>
  <si>
    <t>Sustento de pago PPC - Se prestó dinero / HORARIO DE PAGO: Tarde / NOTA: Excepción condicionada a cumplimiento, tt realizó pago por APP BCP el día 24-01</t>
  </si>
  <si>
    <t xml:space="preserve">Sustento de pago PPC - Se prestó dinero / HORARIO DE PAGO: Tarde / NOTA: fam lunes  paga   300 resto con fecha de pago </t>
  </si>
  <si>
    <t>Sustento de pago PPC - Se prestó dinero / HORARIO DE PAGO: Tarde / NOTA: Hermana de la tt sr Marlene indica que hara el pago el dia lunes ya que converso con su hermana manuela la tt y coordinaron tener el importe de cancelacion para el lunes.</t>
  </si>
  <si>
    <t xml:space="preserve">Sustento de pago PPC - Se prestó dinero / HORARIO DE PAGO: Tarde / NOTA: Hija patricia informa que su mama esta en el hospital un accidente que tubo hija le va prestar dinero porque el dinero que tenia a gastado para el tratamiento de su mama solicita unos dias que se va tratar de prestar de su familia en su trabajo le pagan entre 20 a 25 </t>
  </si>
  <si>
    <t>Sustento de pago PPC - Se prestó dinero / HORARIO DE PAGO: Tarde / NOTA: hijo cancela la deuda</t>
  </si>
  <si>
    <t>Sustento de pago PPC - Se prestó dinero / HORARIO DE PAGO: Tarde / NOTA: Hoy abonó a cuenta S/8,000.00 por APP BCP - saldo para fdm.</t>
  </si>
  <si>
    <t>Sustento de pago PPC - Se prestó dinero / HORARIO DE PAGO: Tarde / NOTA: Hoy realiza el adelanto de 2k y lo restante  hasta el dia 30/06.</t>
  </si>
  <si>
    <t xml:space="preserve">Sustento de pago PPC - Se prestó dinero / HORARIO DE PAGO: Tarde / NOTA: INDICA QUE AUN NO SALE DEL TRABJO QUE NO BIEN SALGA VERA COMO REALIZA EL PAGO POR TRASFERENCIA 300 SOLES </t>
  </si>
  <si>
    <t>Sustento de pago PPC - Se prestó dinero / HORARIO DE PAGO: Tarde / NOTA: me contacto con tt , para confirmar su propuesta aceptada por 3000 so, pagara por de posito 2000 hoy martes 19/05 y completa miercoles 20/05</t>
  </si>
  <si>
    <t xml:space="preserve">Sustento de pago PPC - Se prestó dinero / HORARIO DE PAGO: Tarde / NOTA: monto a cancelar 1,100 soles // tt ira a la ciudad para cancelar su deuda en misma caja los andes , hora 4 pm </t>
  </si>
  <si>
    <t xml:space="preserve">Sustento de pago PPC - Se prestó dinero / HORARIO DE PAGO: Tarde / NOTA: MONTO APROBADO DE 3K TT REALIZARA UN ABONO DE 500 EL DIA 12/06 Y LA DIFERENCIA DE 2500 EL DIA 29/06 SE ENVIO ACUERDO AL CORREO joseluisamillan.16@gmail.com  Y WASAP   </t>
  </si>
  <si>
    <t xml:space="preserve">Sustento de pago PPC - Se prestó dinero / HORARIO DE PAGO: Tarde / NOTA: MONTO APROBADO DE 4K FAMILAIR LE PRESTO EL MONTO DE 500 LE REALIZO TRANSFERENCIA POR INTERBANK A BCP ,  TT CANCELA HOY POR BCP  LOS 4K SE LE ENVIARA CONSTANCIA DE NO ADEUDO EL DIA DE MAÑANA    </t>
  </si>
  <si>
    <t xml:space="preserve">Sustento de pago PPC - Se prestó dinero / HORARIO DE PAGO: Tarde / NOTA: MONTO APROBADO DE 500 TT REALIZARA EL PAGO HOY DE 4PM A 5PM  se envia acuerod correo marioortizmadrid86@gmail.com  </t>
  </si>
  <si>
    <t>Sustento de pago PPC - Se prestó dinero / HORARIO DE PAGO: Tarde / NOTA: Monto negociado :  23200</t>
  </si>
  <si>
    <t>sustento:  PRESTAMO</t>
  </si>
  <si>
    <t>Motivo de no pago:   PROBLEMAS DE SALUD</t>
  </si>
  <si>
    <t>Fecha:  06/05</t>
  </si>
  <si>
    <t>propuesta : 16.987</t>
  </si>
  <si>
    <t xml:space="preserve">MIRIAM PALOMiNO DNI 06152251 responsable  de pago </t>
  </si>
  <si>
    <t xml:space="preserve">indica  tt mal de salud fuera del pais daprop mes  de abril, se realiza la consulta, dispone  del dinero </t>
  </si>
  <si>
    <t>facilita correo     mcpt274@gmail.com</t>
  </si>
  <si>
    <t>Sustento de pago PPC - Se prestó dinero / HORARIO DE PAGO: Tarde / NOTA: Monto negociado:   4100</t>
  </si>
  <si>
    <t xml:space="preserve">sustento:  prestamo fam </t>
  </si>
  <si>
    <t>Motivo de no pago:   desempleo</t>
  </si>
  <si>
    <t xml:space="preserve">Fecha:  30/04 Propuesta:    4100 ( hoy realiza  pago de  1000 y  la  diferencia  de  3100 parac el jueves 30/04)                                           Observación:  se facilito DK 38,407.14   PISO DE  SUPERV  7K </t>
  </si>
  <si>
    <t>tt envia  foto del voucher monto de  1000</t>
  </si>
  <si>
    <t>Sustento de pago PPC - Se prestó dinero / HORARIO DE PAGO: Tarde / NOTA: Monto negociado:  10k</t>
  </si>
  <si>
    <t>sustento:  prestamo familiar</t>
  </si>
  <si>
    <t xml:space="preserve">Motivo de no pago:  problemas economicos </t>
  </si>
  <si>
    <t>Fecha:  30/12</t>
  </si>
  <si>
    <t>Propuesta:   4k</t>
  </si>
  <si>
    <t>Observación:  Se da la aprobacion con la vigencia  solop or  hoy, señala por  la  tarde realiza  pago ya  que tiene que viajar para realizar pago, no vive en la ciudad.</t>
  </si>
  <si>
    <t>Sustento de pago PPC - Se prestó dinero / HORARIO DE PAGO: Tarde / NOTA: Monto negociado:  25k</t>
  </si>
  <si>
    <t>sustento:  prestamo fam</t>
  </si>
  <si>
    <t xml:space="preserve"> Motivo de no pago:  problemas de salud</t>
  </si>
  <si>
    <t>Fecha: 31/01</t>
  </si>
  <si>
    <t xml:space="preserve">Propuesta:  12k  </t>
  </si>
  <si>
    <t>Observación: se da la aprobacion de cancelar con 12k , envia  foto del voucher  el dia  sabado 31/01 por BCP / facilita correo   marysanchezferrer@gmail.com</t>
  </si>
  <si>
    <t>Sustento de pago PPC - Se prestó dinero / HORARIO DE PAGO: Tarde / NOTA: MONTO NEGOCIADO:  320</t>
  </si>
  <si>
    <t>Motivo de no pago: salud</t>
  </si>
  <si>
    <t xml:space="preserve">Fecha: 07/11 </t>
  </si>
  <si>
    <t xml:space="preserve">Propuesta: tt cancela con 320 / 160 hoy 07/11 y los otros 160 28/11  - </t>
  </si>
  <si>
    <t>Sustento de pago PPC - Se prestó dinero / HORARIO DE PAGO: Tarde / NOTA: Monto negociado:  6520</t>
  </si>
  <si>
    <t xml:space="preserve">sustento:  prestamo fam _ cobro a fines  de mes </t>
  </si>
  <si>
    <t>Motivo de no pago:  desempleo</t>
  </si>
  <si>
    <t xml:space="preserve">Fecha:  30/04  </t>
  </si>
  <si>
    <t>Propuesta:   2k ( el dia  15/ monto de 700 soles _ diferencia  ultimo dia habil)</t>
  </si>
  <si>
    <t>Observación:  se brinda  DK 19,118.79  CAMP 6520</t>
  </si>
  <si>
    <t>tt envia  foto del voucher  realizo pago de 700 soles diferencia  30/04</t>
  </si>
  <si>
    <t>Sustento de pago PPC - Se prestó dinero / HORARIO DE PAGO: Tarde / NOTA: Monto negociado:  7800</t>
  </si>
  <si>
    <t>Motivo de no pago:  problemas economicos</t>
  </si>
  <si>
    <t>Fecha:   14/05</t>
  </si>
  <si>
    <t xml:space="preserve">Propuesta:   4150                                             </t>
  </si>
  <si>
    <t xml:space="preserve">Observación:  tt envio foto del voucher  BCP </t>
  </si>
  <si>
    <t>Sustento de pago PPC - Se prestó dinero / HORARIO DE PAGO: Tarde / NOTA: Monto negociado: 400</t>
  </si>
  <si>
    <t>Sustento: pretsamo + pago de haberes</t>
  </si>
  <si>
    <t>Fecha: 27/02</t>
  </si>
  <si>
    <t xml:space="preserve">Propuesta: 400 en 3 partes dentro del mes </t>
  </si>
  <si>
    <t xml:space="preserve">Observacion:se le brinda campaña de 400, cl pide pagarlos para fin de mes, sele piede el adelanto del 50%; comenta que no , podria pagarlo en 3 partes 100 hoy 100 el 15 y la dif para fin de mes. Correo de cl: antuanetcarreram@gmail.com , cl confirma que sí realizará el pago.  </t>
  </si>
  <si>
    <t>Sustento de pago PPC - Se prestó dinero / HORARIO DE PAGO: Tarde / NOTA: MONTO NEGOCIADO: 5.000 (DIFERENCIA)</t>
  </si>
  <si>
    <t>*SUSTENTO: PRESTAMO</t>
  </si>
  <si>
    <t>*MOTIVO DE NO PAGO: asume  pagos mes a mes, se encuentra fuera de la ciudad, retorna  el dia  18/</t>
  </si>
  <si>
    <t xml:space="preserve">*FECHA: 18/07  realizar pago como compromiso </t>
  </si>
  <si>
    <t>*PROPUESTA: 5k (dos armadas 2000 el dia 18/ y la diferencia a fines de mes) solicita se le apoye , intencion es cancelar  la deuda / se espera realice pago como compromiso para poder solicitar la  modificacion de la PDP</t>
  </si>
  <si>
    <t>Sustento de pago PPC - Se prestó dinero / HORARIO DE PAGO: Tarde / NOTA: pagara diferencia por transferencia ibk de 3750</t>
  </si>
  <si>
    <t>Sustento de pago PPC - Se prestó dinero / HORARIO DE PAGO: Tarde / NOTA: pagara por app bbva</t>
  </si>
  <si>
    <t>Sustento de pago PPC - Se prestó dinero / HORARIO DE PAGO: Tarde / NOTA: PAGO POR  TRANSF</t>
  </si>
  <si>
    <t xml:space="preserve">Sustento de pago PPC - Se prestó dinero / HORARIO DE PAGO: Tarde / NOTA: PPC  POR  S/12.000 SOLES  HOY JUEVES 18/12/2025 POR  APP POR LA TARDE  </t>
  </si>
  <si>
    <t>Sustento de pago PPC - Se prestó dinero / HORARIO DE PAGO: Tarde / NOTA: realiza a por transferencia</t>
  </si>
  <si>
    <t>Sustento de pago PPC - Se prestó dinero / HORARIO DE PAGO: Tarde / NOTA: realiza por IBK y aplictivo</t>
  </si>
  <si>
    <t xml:space="preserve">Sustento de pago PPC - Se prestó dinero / HORARIO DE PAGO: Tarde / NOTA: REALIZO PAGO AYER SEGUN LO ACORDADO EN BANCO INTERBANK </t>
  </si>
  <si>
    <t>Sustento de pago PPC - Se prestó dinero / HORARIO DE PAGO: Tarde / NOTA: responsable pareja de tt indic que por la tarde se estaria haciendo el pago del adelanto de los 1000 se le envia acuerdo de pago via wsp</t>
  </si>
  <si>
    <t xml:space="preserve">Sustento de pago PPC - Se prestó dinero / HORARIO DE PAGO: Tarde / NOTA: se aporbo ppt </t>
  </si>
  <si>
    <t xml:space="preserve">Sustento de pago PPC - Se prestó dinero / HORARIO DE PAGO: Tarde / NOTA: se aprobo ppt </t>
  </si>
  <si>
    <t>Sustento de pago PPC - Se prestó dinero / HORARIO DE PAGO: Tarde / NOTA: se aprobó ppt pagara 14000 el 05/02 y 10000 el 20/02</t>
  </si>
  <si>
    <t>Sustento de pago PPC - Se prestó dinero / HORARIO DE PAGO: Tarde / NOTA: se aprobo ppt pagara 500 22/08 y 700 29/08</t>
  </si>
  <si>
    <t>Sustento de pago PPC - Se prestó dinero / HORARIO DE PAGO: Tarde / NOTA: se brinda can 400 - dt , dk , tt menciona que para fin de mes puede solucionar se da opción del 50%, para cancelar, tt de acuerdo se envia documento en 2 armadas, por wsp pagar por agencia caja los andes</t>
  </si>
  <si>
    <t>Sustento de pago PPC - Se prestó dinero / HORARIO DE PAGO: Tarde / NOTA: Se brindo hasta piso de 350 , pagara adelanto de 150 y diferencia de 200 hasta el 22/05</t>
  </si>
  <si>
    <t xml:space="preserve">Sustento de pago PPC - Se prestó dinero / HORARIO DE PAGO: Tarde / NOTA: se conversa con tt , sobre propuesta de 2.4k , gerencia aprobo eld escuento con 3k, dando un adelanto de 400 hoy viernes , 2000 sabado y culminar lunes con 600, tt esta de acuerdo pagara por  banco de la nacion </t>
  </si>
  <si>
    <t>Sustento de pago PPC - Se prestó dinero / HORARIO DE PAGO: Tarde / NOTA: se coordina con tt ,pago por agente bcp , por la tarde 3-4pm , 200 so</t>
  </si>
  <si>
    <t>Sustento de pago PPC - Se prestó dinero / HORARIO DE PAGO: Tarde / NOTA: se coordina con tt cancelación , 2800 - manejo interno con supervisor , pago por via ibk o bcp</t>
  </si>
  <si>
    <t>Sustento de pago PPC - Se prestó dinero / HORARIO DE PAGO: Tarde / NOTA: se coordina con tt cancelacion aprobada, 2500 - pago por tranf bcp</t>
  </si>
  <si>
    <t xml:space="preserve">Sustento de pago PPC - Se prestó dinero / HORARIO DE PAGO: Tarde / NOTA: se coordina con tt menciona que despues del medio dia estara libre para acercare a realizar el pago por deposito, agente , 1500 - </t>
  </si>
  <si>
    <t>Sustento de pago PPC - Se prestó dinero / HORARIO DE PAGO: Tarde / NOTA: se coordina con tt pago de 1400  - tt logro conseguir la cancelación de u propuesta. - paga por bcp</t>
  </si>
  <si>
    <t>Sustento de pago PPC - Se prestó dinero / HORARIO DE PAGO: Tarde / NOTA: se coordina con tt pago de la cuenta con 150 - por medio de agencia caja trujillo o por deposito yape</t>
  </si>
  <si>
    <t>Sustento de pago PPC - Se prestó dinero / HORARIO DE PAGO: Tarde / NOTA: se coordina con tt pago por agente 350 - se explica periodo de entrega cdna, tt ok, confirmara el horario por que demora salir de su poueblo a juliaca.</t>
  </si>
  <si>
    <t>Sustento de pago PPC - Se prestó dinero / HORARIO DE PAGO: Tarde / NOTA: se coordina con tt pago por deposito bcp , ya que recibira eldinero en efectivo - 550 - 3-4pm</t>
  </si>
  <si>
    <t xml:space="preserve">Sustento de pago PPC - Se prestó dinero / HORARIO DE PAGO: Tarde / NOTA: -Se da la aprobacion </t>
  </si>
  <si>
    <t>- facilita  correo para envio de  carta compromiso       guzmaryalejos@gmail.com</t>
  </si>
  <si>
    <t>Sustento de pago PPC - Se prestó dinero / HORARIO DE PAGO: Tarde / NOTA: se da la aprobacion a la cancelacion de la  deuda / facilita correo para carta compromiso      amaliabeatriz1988@gmail.com</t>
  </si>
  <si>
    <t>Sustento de pago PPC - Se prestó dinero / HORARIO DE PAGO: Tarde / NOTA: SE DA LA APROBACION, cliente realiza pago 5pm , se facilita para pago en yape</t>
  </si>
  <si>
    <t>Sustento de pago PPC - Se prestó dinero / HORARIO DE PAGO: Tarde / NOTA: se da la conformidad, indica  esta en cita medica, todo por whatsapp</t>
  </si>
  <si>
    <t>Sustento de pago PPC - Se prestó dinero / HORARIO DE PAGO: Tarde / NOTA: se envía acuerdo de pago por wsp</t>
  </si>
  <si>
    <t>Sustento de pago PPC - Se prestó dinero / HORARIO DE PAGO: Tarde / NOTA: se envio medio de pago por wsp</t>
  </si>
  <si>
    <t>Sustento de pago PPC - Se prestó dinero / HORARIO DE PAGO: Tarde / NOTA: Se informa a Titular DT Actual: 2662.09 - C1: 1212.62, Falta de liquidez, su posibilidad ahora es de S/.750.00 (se elevó propuesta). Dinero lo obtuvo de "Préstamo familiar". Cliente en el extranjero, realizará pago a través de un tercero que lo ayudará.</t>
  </si>
  <si>
    <t>Sustento de pago PPC - Se prestó dinero / HORARIO DE PAGO: Tarde / NOTA: Se informa a tt excepción aprobada de S/8,000.00 condicionada a cumplimiento, se envía acuerdo de cancelación vía WhatsApp</t>
  </si>
  <si>
    <t xml:space="preserve">Sustento de pago PPC - Se prestó dinero / HORARIO DE PAGO: Tarde / NOTA: SE LE BRINDA RESPUESTA DE EXCEPCION TODO OK, SE LE ENVIA A SU CORREO LOS DOCUMENTOS TT INDICA QUE HARA EL PAGO POR SCOTIBANK, SE LE FACILITA LAS CUENTAS PARA EL PAGO. RANGO DE PAGO 4PM. </t>
  </si>
  <si>
    <t>Sustento de pago PPC - Se prestó dinero / HORARIO DE PAGO: Tarde / NOTA: se le confirma compromiso   3610   fecha   08 de junio    se le envio   documento de compromiso al correo   correo paloma_e_92@hotmail.com</t>
  </si>
  <si>
    <t>Sustento de pago PPC - Se prestó dinero / HORARIO DE PAGO: Tarde / NOTA: se le enviara compromiso a correo  kjp.nm.17@gmail.com  se le pide urgencia de pago</t>
  </si>
  <si>
    <t>Sustento de pago PPC - Se prestó dinero / HORARIO DE PAGO: Tarde / NOTA: se le indico al cliente dt 987.32 soles, cliente manifiesta que tuvo un acuerdo pero no pudo cumplir porque tuve gastos adicionales con otros bancos. se acoje a campaña de 637 soles, pagara el martes 19/08 por BCP que recibe una junta.</t>
  </si>
  <si>
    <t>Sustento de pago PPC - Se prestó dinero / HORARIO DE PAGO: Tarde / NOTA: se le informa que se aceptó extensión de plazo para el 22/01, adelantó 600, resta 23900, pide documentación por la hora se le informa el dia de mañana se le estará enviando documentación</t>
  </si>
  <si>
    <t>LO CONVERSADO CON EL CLIENTE: se informa dt, dk, can con 24 500, solicitó un préstamo en la empresa que trabaja, pero por falta de una firma de su gerencia no le desembolsaron hoy, pide apoyo para que se le de plazo para el 22/01 que desembolsan el préstamo, solo pudo reunir 600 soles como adelanto para hoy, mañana cancela los 23900MOTIVO DE NO PAGO: Problemas familiaresSUSTENTO DE PAGO: prestamoMONTO DE PROPUESTA: 23900FECHA DE PAGO : 22/01</t>
  </si>
  <si>
    <t>Sustento de pago PPC - Se prestó dinero / HORARIO DE PAGO: Tarde / NOTA: se le informa respuesta de su propuesta, pide se le envíe acuerdo a su whats y correo fberrioh@gmail.com</t>
  </si>
  <si>
    <t xml:space="preserve">Sustento de pago PPC - Se prestó dinero / HORARIO DE PAGO: Tarde / NOTA: se le qe su excepción fie aprobada por el importe de los 5000 solo por hoy tt brinda correo para que se le haga el envió por ese medio compromiso y carta de no adeudo  hara el pago máximo 4 pm de la tarde </t>
  </si>
  <si>
    <t xml:space="preserve">Sustento de pago PPC - Se prestó dinero / HORARIO DE PAGO: Tarde / NOTA: SE OFRECE CAMP EL CUAL TT INFORMA NO CONTAR CON DINERO SE BRINDA FACILIDADES  ( PISO )TT CONFIRMA PAGO HOY 800 Y MAÑANA 22 / EL RESTANTE </t>
  </si>
  <si>
    <t>Sustento de pago PPC - Se prestó dinero / HORARIO DE PAGO: Tarde / NOTA: Se ofrece camp. S/240 tt menciona que hoy puede adelantar 120 y el día 18-05 el restante se aprueba , realizara pago mediante yape</t>
  </si>
  <si>
    <t xml:space="preserve">Sustento de pago PPC - Se prestó dinero / HORARIO DE PAGO: Tarde / NOTA: SE PROGRAMA RESTANTE DE 400 PARA COMPLETAR PPC DE 800 , HASTA EL 30.09.2025 </t>
  </si>
  <si>
    <t>Sustento de pago PPC - Se prestó dinero / HORARIO DE PAGO: Tarde / NOTA: se propone a tt cancelacion como minimo con 500 sou o poder acceder a 150sou x 6m, es la mejor forma de poder accder se menciona las cuentas de pago, tt opta por cancelacion de 500 sou , medio de pagopor confirmar</t>
  </si>
  <si>
    <t xml:space="preserve">Sustento de pago PPC - Se prestó dinero / HORARIO DE PAGO: Tarde / NOTA: SI PUEDE  LO REALIZA  MAÑANA SINO EL DIA LUNES ES FAM QUIEN REALIZARA  PAGO </t>
  </si>
  <si>
    <t>Sustento de pago PPC - Se prestó dinero / HORARIO DE PAGO: Tarde / NOTA: SI PUEDE PAGA EL DÍA SÁBADO</t>
  </si>
  <si>
    <t>Sustento de pago PPC - Se prestó dinero / HORARIO DE PAGO: Tarde / NOTA: tit cancela cn 700 soles</t>
  </si>
  <si>
    <t>Sustento de pago PPC - Se prestó dinero / HORARIO DE PAGO: Tarde / NOTA: TIT CONFIRMA PAGO</t>
  </si>
  <si>
    <t xml:space="preserve">Sustento de pago PPC - Se prestó dinero / HORARIO DE PAGO: Tarde / NOTA: TIT INDICA QUE PAGARA CAMPAÑA / SE ENVIA DOCUMENTOS </t>
  </si>
  <si>
    <t xml:space="preserve">Sustento de pago PPC - Se prestó dinero / HORARIO DE PAGO: Tarde / NOTA: TITULAR CANCELA DEUDA S/3000 EXEPCION APROBADO PARA EL DIA  VIERNES 20/09 SE ENVIARA COMPROMISO </t>
  </si>
  <si>
    <t xml:space="preserve">Sustento de pago PPC - Se prestó dinero / HORARIO DE PAGO: Tarde / NOTA: TITULAR CANCELA SS/1000 30/09 ADELANTA S/500  24/09  4 PM SE ENVIA COMPROMISO DE PAGO </t>
  </si>
  <si>
    <t>Sustento de pago PPC - Se prestó dinero / HORARIO DE PAGO: Tarde / NOTA: Titular realiza cancelación por el importe de S/20,000.00 soles , en 2 fechas dentro del mes de Abril , el Viernes 17/04/2026 de S/1,000.00 soles , y el Jueves 30/04/2026 de S/19,000.00 soles ambos pagos por agencia, y a la 1:00 pm.</t>
  </si>
  <si>
    <t>Sustento de pago PPC - Se prestó dinero / HORARIO DE PAGO: Tarde / NOTA: Titular realizara pago de S/1,000 soles por app bbva ,Hoy Martes 12/05/2026.</t>
  </si>
  <si>
    <t xml:space="preserve">Sustento de pago PPC - Se prestó dinero / HORARIO DE PAGO: Tarde / NOTA: TITULAR SE COMUNICA BRINDA NUMERO DE HIJA POR QUE SU NUMERO CUENTA CON WSP 987181424 </t>
  </si>
  <si>
    <t xml:space="preserve">MONTO TOTAL NEGOCIADO: SE NEGOCIA POR DT Y LUEGO DK S/1700.00 EN DOS PARTES EL 50 % 1 CUOTA 850.00 Y EL DIA 20-12 LOS 850.00 ANTES NO PODRIA SE LE PIDE URGENCIA DE PAGO PERO NO CUENTA SE ENCUENTRA ADEUDA TODO  SU SUELDO SE VA EN PAGOS </t>
  </si>
  <si>
    <t>**NOTA**: TITULAR HARA EL ABONO 10-12 DEL 50 % Y EL SALDO 20-12</t>
  </si>
  <si>
    <t>MOTIVO DE NO PAGO: SOBREENDEDUADA</t>
  </si>
  <si>
    <t>SUSTENTO DE PAGO: HABERES Y PRESTAMO</t>
  </si>
  <si>
    <t>FECHA DE PAGO: 10-12-2025</t>
  </si>
  <si>
    <t>MONTO PROPUESTA: SE NEGOCIA DT Y DK 1700.00 LO CANCELA EN EL BBVA YA QUE DESCONFIA QUIERE CORROBORAR ALAS 4PM ENVIA EL PAGO</t>
  </si>
  <si>
    <t xml:space="preserve">Sustento de pago PPC - Se prestó dinero / HORARIO DE PAGO: Tarde / NOTA: TT  CANCELA 700 PAGA HOY 100 CONSIGUIO ADELANTO Y EL 20 CANCELA 600 EN CAJA </t>
  </si>
  <si>
    <t xml:space="preserve">Sustento de pago PPC - Se prestó dinero / HORARIO DE PAGO: Tarde / NOTA: tt abona hasta el dia lunes 50 soles y resto el dia 17 de mayo estubo mal de salud </t>
  </si>
  <si>
    <t xml:space="preserve">Sustento de pago PPC - Se prestó dinero / HORARIO DE PAGO: Tarde / NOTA: TT ACCEDE  A LA CAMPAÑA   1,140.22  FECHA DE PAGO 20/12    REALIZA EL PAGO EN EL MISMO BANCO BBVA   </t>
  </si>
  <si>
    <t xml:space="preserve">SE ENVIA CARTA CESION DE DERECHOS  </t>
  </si>
  <si>
    <t>Sustento de pago PPC - Se prestó dinero / HORARIO DE PAGO: Tarde / NOTA: TT ADELANTA 1,000 HOY Y RESTANTE DE 1977 PARA EL 17 DE MARZO, POR BCP</t>
  </si>
  <si>
    <t>Sustento de pago PPC - Se prestó dinero / HORARIO DE PAGO: Tarde / NOTA: TT adelanta S/1,000.00 con fecha 23.02 y diferencia de S/4,200.00 será abonado hoy 24/03</t>
  </si>
  <si>
    <t xml:space="preserve">Sustento de pago PPC - Se prestó dinero / HORARIO DE PAGO: Tarde / NOTA: tt adelantara hoy 100 soles y pagara poco a poco hasta el dia 25.01 </t>
  </si>
  <si>
    <t xml:space="preserve">Sustento de pago PPC - Se prestó dinero / HORARIO DE PAGO: Tarde / NOTA: TT ADELANTARA HOY POR LA TARDE MONTO DE S/500 POR CAMP OFRECIDA DE S/1000 </t>
  </si>
  <si>
    <t xml:space="preserve">Sustento de pago PPC - Se prestó dinero / HORARIO DE PAGO: Tarde / NOTA: TT ADELANTO AYER 1MIL SOLES SEGUN LO ACORDADO Y LO RESTANTE 5350 EL DIA 10 ABRIL </t>
  </si>
  <si>
    <t xml:space="preserve">Sustento de pago PPC - Se prestó dinero / HORARIO DE PAGO: Tarde / NOTA: TT canc 250 paga 150 mañana por la mañana y 100 hasta el 27-5 tiene padres enfermos </t>
  </si>
  <si>
    <t xml:space="preserve">Sustento de pago PPC - Se prestó dinero / HORARIO DE PAGO: Tarde / NOTA: TT CANCELA CON 6000 - 3000 HOY 04/12 Y 3000 29/12 / PAGA POR BCP MAX 4 PM </t>
  </si>
  <si>
    <t xml:space="preserve">Sustento de pago PPC - Se prestó dinero / HORARIO DE PAGO: Tarde / NOTA: tt cancelará 200 soles como adelanto del 50% hoy 17/10 y 200 el 30/10 cancelará por BCP confirmado </t>
  </si>
  <si>
    <t xml:space="preserve">Sustento de pago PPC - Se prestó dinero / HORARIO DE PAGO: Tarde / NOTA: TT CANCELARA SU ULTIMA CUOTA PPM  S/ 281 </t>
  </si>
  <si>
    <t xml:space="preserve">Sustento de pago PPC - Se prestó dinero / HORARIO DE PAGO: Tarde / NOTA: tt confirma 7k hoy y pide 1k al dia 30 oct - envio correo electronico roberto_nico02@hotmail.com - su cuñada lo ayudaria a realizar pago por ibk </t>
  </si>
  <si>
    <t xml:space="preserve">Sustento de pago PPC - Se prestó dinero / HORARIO DE PAGO: Tarde / NOTA: tt confirma adelanto de pago ya que su familiar bajara de mina y le sacara el dinero 150 11.06 y 16.06 171 soles y 4k para fines de mes 30.06 para por la tarde </t>
  </si>
  <si>
    <t xml:space="preserve">Sustento de pago PPC - Se prestó dinero / HORARIO DE PAGO: Tarde / NOTA: TT CONFIRMA EL IMPORTE DE CAMPAÑA DE 2736, MENCIONA QUE HOY HARA UN ADELANTO DE 500, NO LOGRO REUNIR MAS, EL DIA 22 HARA UN SEGUNDO PAGO DE 500 MAS Y LOS 1736 LOS PAGARA EL DIA 29, SE LE BRINDO TODA LA INFORMACION, EL MOTIVO DE NO PAGO CON EL BANCO FUE POR SALUD LO QUE COMPLICO CANCELAR SUS OTRAS DEUDAS, QUIERE HONRRAR LA DEUDA DEL BANCO BBVA, METODO DE PAGO TRANSFERENCIA POR EL APP BCP, TODO OK HARA EL PAGO ANTES DE LAS 4PM. </t>
  </si>
  <si>
    <t xml:space="preserve">Sustento de pago PPC - Se prestó dinero / HORARIO DE PAGO: Tarde / NOTA: TT CONFIRMA EL PAGO PARA EL DIA DE HOY POR LA TARDE, SE LE ENVIO LOS DOCUMENTOS A SU CORREO, LLAMARA AL SUPERVISOR PARA CORROBORAR LA INFORMACION, SE LE BRINDA LOS NUMEROS DE TELEFONO, CONFIRMA MONTO DE 10764, TODO OK, HARA EL PAGO EN LA OFICINA DEL BANCO BBVA, RANGO HORARIO PM. </t>
  </si>
  <si>
    <t xml:space="preserve">Sustento de pago PPC - Se prestó dinero / HORARIO DE PAGO: Tarde / NOTA: TT CONFIRMA IMPORTE TODO OK HARA EL PAGO POR TRANSFERENCIA, 6500 EL DIA DE HOY Y 500 PARA EL DIA 30, CONFORME CON LOS DOCUMENTO. </t>
  </si>
  <si>
    <t xml:space="preserve">Sustento de pago PPC - Se prestó dinero / HORARIO DE PAGO: Tarde / NOTA: TT CONFIRMA LA TRANSFERENCIA DE LA DEUDA, SE LE BRINDA DOCUMENTOS, TODO OK, SE LE INDICA MEDIOS DE PAGOS HARA EL PAGO POR TRANSFERENCIA, HARA EL PAGO POR IBK. 3500 </t>
  </si>
  <si>
    <t>Sustento de pago PPC - Se prestó dinero / HORARIO DE PAGO: Tarde / NOTA: tt confirma pago lo realizara alas 5pm que recibe eld eposito , pagara por tarsnferencia bcp - ok se envia cuentas por wsp</t>
  </si>
  <si>
    <t>Sustento de pago PPC - Se prestó dinero / HORARIO DE PAGO: Tarde / NOTA: tt confirma pago para el dia de mañana, vía IBK se adjuntara acuerdo via wsp</t>
  </si>
  <si>
    <t xml:space="preserve">Sustento de pago PPC - Se prestó dinero / HORARIO DE PAGO: Tarde / NOTA: TT CONFIRMA PAGO PARA HOY 2400, TODO OK SE COMUNICA CORROBORA LA INFORMACION HARA EL PAGO ANTES DE LAS 6:30 POR TRANSFERENCIA BBVA. </t>
  </si>
  <si>
    <t>Sustento de pago PPC - Se prestó dinero / HORARIO DE PAGO: Tarde / NOTA: tt confirma x wsp</t>
  </si>
  <si>
    <t xml:space="preserve">TT INDICA QUE Si voy a pagar LA CUOTA DEL MES DE AGOSTO DE 4K </t>
  </si>
  <si>
    <t xml:space="preserve">Sustento de pago PPC - Se prestó dinero / HORARIO DE PAGO: Tarde / NOTA: TT cumple con lo acordado del 50xciento 3500 el dia de hoy pago manda correo,  Brencordio@gmail.com dia  el dia 31 completa la diferencia que le falta </t>
  </si>
  <si>
    <t>Sustento de pago PPC - Se prestó dinero / HORARIO DE PAGO: Tarde / NOTA: TT cumplió con adelanto de S/1,000.00 por APP BCP</t>
  </si>
  <si>
    <t>Sustento de pago PPC - Se prestó dinero / HORARIO DE PAGO: Tarde / NOTA: TT cumplió con adelanto hoy de 3K</t>
  </si>
  <si>
    <t>Sustento de pago PPC - Se prestó dinero / HORARIO DE PAGO: Tarde / NOTA: tt de acuerdo , pagara por agente bcp ,s e envia info de pago por wsp</t>
  </si>
  <si>
    <t>Sustento de pago PPC - Se prestó dinero / HORARIO DE PAGO: Tarde / NOTA: tt de acuerdo con la facilidad, pagara por agencia</t>
  </si>
  <si>
    <t>Sustento de pago PPC - Se prestó dinero / HORARIO DE PAGO: Tarde / NOTA: TT DE ACUERDO EN PAGAR POR DEPOSITO - SE ENVIAN CUENTAS POR WSP - ENVIO DE CDNA CORREO ELECTRONICO</t>
  </si>
  <si>
    <t xml:space="preserve">Sustento de pago PPC - Se prestó dinero / HORARIO DE PAGO: Tarde / NOTA: TT EFECTUO ADELANTO DE 5,500 SOLES HOY SEGUN EL COMPROMISO ENVIADO, PAGARA LOS 10MIL RESTANTES EL DIA 29 DE AGOSTO, REALIZO PAGO POR APP BCP </t>
  </si>
  <si>
    <t xml:space="preserve">Sustento de pago PPC - Se prestó dinero / HORARIO DE PAGO: Tarde / NOTA: tt efectuo adelanto por pago de servicio bcp, envio comprobante por wtsp y correo de supervisora </t>
  </si>
  <si>
    <t xml:space="preserve">Sustento de pago PPC - Se prestó dinero / HORARIO DE PAGO: Tarde / NOTA: tt envia  foto del voucher </t>
  </si>
  <si>
    <t xml:space="preserve">Sustento de pago PPC - Se prestó dinero / HORARIO DE PAGO: Tarde / NOTA: tt envia  foto del voucher  hoy lunes 19/ monto de 200, el dia 23/ monto de 200 y la diferencia  viernes 30/ </t>
  </si>
  <si>
    <t>Sustento de pago PPC - Se prestó dinero / HORARIO DE PAGO: Tarde / NOTA: TT envia  foto del voucher BCP</t>
  </si>
  <si>
    <t xml:space="preserve">Sustento de pago PPC - Se prestó dinero / HORARIO DE PAGO: Tarde / NOTA: tt envia foto del voucher </t>
  </si>
  <si>
    <t>Sustento de pago PPC - Se prestó dinero / HORARIO DE PAGO: Tarde / NOTA: tt envia foto del voucher  por  BBVA</t>
  </si>
  <si>
    <t>- facilita  correo     b.gonzalesruiz@hotmail.com</t>
  </si>
  <si>
    <t>Sustento de pago PPC - Se prestó dinero / HORARIO DE PAGO: Tarde / NOTA: tt envía vaucher de pago de adelanto de 1000 y el resto para el 06 restante de los 14 mil  se le indica si es antes mejor su carta desea recibir por whatsapp</t>
  </si>
  <si>
    <t>Sustento de pago PPC - Se prestó dinero / HORARIO DE PAGO: Tarde / NOTA: tt genera la confirmacion del pago 4172  para el dia lunes 30-03</t>
  </si>
  <si>
    <t>Sustento de pago PPC - Se prestó dinero / HORARIO DE PAGO: Tarde / NOTA: tt hara adelanto de 2k para mañana 23/12</t>
  </si>
  <si>
    <t>3k hasta el 30/12 se le envia compromiso de pago via wsp ya que donde esta no tiene mucha conbertura y numeros de cuenta de la empresa</t>
  </si>
  <si>
    <t xml:space="preserve">Sustento de pago PPC - Se prestó dinero / HORARIO DE PAGO: Tarde / NOTA: TT HARA EL PAGO 1613 EL DIA DE MAÑANA POR BCP  </t>
  </si>
  <si>
    <t xml:space="preserve">Sustento de pago PPC - Se prestó dinero / HORARIO DE PAGO: Tarde / NOTA: tt hara pago de 2 ultimas cuotas en 2 partes  el 05/01 pagara 380 y </t>
  </si>
  <si>
    <t>el 29/01 pagara 380</t>
  </si>
  <si>
    <t xml:space="preserve">Sustento de pago PPC - Se prestó dinero / HORARIO DE PAGO: Tarde / NOTA: tt hara su pago de los 12 mil hoy 6 mil y resto para el 30/05 el resto de los 6 mil </t>
  </si>
  <si>
    <t xml:space="preserve">Sustento de pago PPC - Se prestó dinero / HORARIO DE PAGO: Tarde / NOTA: tt hara su pago hoy </t>
  </si>
  <si>
    <t xml:space="preserve">Sustento de pago PPC - Se prestó dinero / HORARIO DE PAGO: Tarde / NOTA: tt hará su pago por bcp se le envia acuerdo de pago y cuenta bcp </t>
  </si>
  <si>
    <t>Sustento de pago PPC - Se prestó dinero / HORARIO DE PAGO: Tarde / NOTA: tt hara su pago por interbnk</t>
  </si>
  <si>
    <t xml:space="preserve">Sustento de pago PPC - Se prestó dinero / HORARIO DE PAGO: Tarde / NOTA: tt hará su pago y enviara váucher esta en la cola </t>
  </si>
  <si>
    <t>Sustento de pago PPC - Se prestó dinero / HORARIO DE PAGO: Tarde / NOTA: TT HOY REALIZARA ANTICIPO DE PAGO S/500. (DESCONFIADA, QUIERE IR A OFICINA, SE PERSUADE A ENTIDADES BANCARIAS, SE EXPLICA SOBRE LA CARTA DE NO ADEUDO) SALDO RESTANTE EL MIERCOLES 18.12. HOY PAGARA A LAS 4 A 5PM.</t>
  </si>
  <si>
    <t>Sustento de pago PPC - Se prestó dinero / HORARIO DE PAGO: Tarde / NOTA: TT INDICA QUE HARA EL PAGO ANTES DE LAS 3PM, TODO OK, HARA EL PAGO DE LOS 1000 POR SU APP BCP.</t>
  </si>
  <si>
    <t>Sustento de pago PPC - Se prestó dinero / HORARIO DE PAGO: Tarde / NOTA: tt indica que mañana trbaja en la escuela hasta las 12 del medio dia es maestra, indica que cuenta con un agente bbva y interbank indic que haria el pago de 405 el dia de mañana por la tarde entre la 1 pm y 2pm hara el pago atravez de un agente bbva y enviara el pago, se le brind la dt y la campaña de 405 todo ok.</t>
  </si>
  <si>
    <t>Sustento de pago PPC - Se prestó dinero / HORARIO DE PAGO: Tarde / NOTA: tt indica se le complico ya que no le han depositado, indica hoy o a mas tardar mañana</t>
  </si>
  <si>
    <t>Sustento de pago PPC - Se prestó dinero / HORARIO DE PAGO: Tarde / NOTA: tt manifiesta que quiere solucionar se brinda camp 600 - dk 1,098.82 - tt dice que le haga un descuento , le menciono que con 500 es lo que el ssit me permite , tt dcie que lo puede pagar hoy por medio de su hijo como trasn o el dia de mañana por agente ,necesita que le confirmen hoy si le dan el dinero en efectivo , ok se emnciona que s ele llamada 2 -3 pm para confirmar el pago hoy o ya el dia de mañana como ss, se envia metodod e pago por wsp</t>
  </si>
  <si>
    <t>Sustento de pago PPC - Se prestó dinero / HORARIO DE PAGO: Tarde / NOTA: TT MEJORA ANTICIPO DE PAGO S/ 1,000 PAGA HOY VENTANILLA IBK / SALDO RESTANTE FIN DE MES S/3,000</t>
  </si>
  <si>
    <t xml:space="preserve">Sustento de pago PPC - Se prestó dinero / HORARIO DE PAGO: Tarde / NOTA: TT menciona que por motivo de horario no pudo cancelar el monto ofrecido , se menciona que se tratara de solicitar nuevamente para el monto que ofrece de S/700 el cual asegura que pagara s/350 el día sabado y el dia martes 26/5  el restante </t>
  </si>
  <si>
    <t xml:space="preserve">Sustento de pago PPC - Se prestó dinero / HORARIO DE PAGO: Tarde / NOTA: tt paga 750 hoy 6/05 por BCP, se prestó dinero. </t>
  </si>
  <si>
    <t xml:space="preserve">Sustento de pago PPC - Se prestó dinero / HORARIO DE PAGO: Tarde / NOTA: tt paga 800  vía trasferencia bcp </t>
  </si>
  <si>
    <t>Sustento de pago PPC - Se prestó dinero / HORARIO DE PAGO: Tarde / NOTA: tt paga en caja trujillo</t>
  </si>
  <si>
    <t>Sustento de pago PPC - Se prestó dinero / HORARIO DE PAGO: Tarde / NOTA: tt paga en cdk cayma</t>
  </si>
  <si>
    <t>Sustento de pago PPC - Se prestó dinero / HORARIO DE PAGO: Tarde / NOTA: tt paga por bcp</t>
  </si>
  <si>
    <t>Sustento de pago PPC - Se prestó dinero / HORARIO DE PAGO: Tarde / NOTA: tt paga s/7000 hoy 11-05 por BCP</t>
  </si>
  <si>
    <t>Sustento de pago PPC - Se prestó dinero / HORARIO DE PAGO: Tarde / NOTA: tt pagara 350 hoy 13.05 y 350 el sábado 16 // aprobado en linea</t>
  </si>
  <si>
    <t xml:space="preserve">Sustento de pago PPC - Se prestó dinero / HORARIO DE PAGO: Tarde / NOTA: tt pagara 500 soles el día sábado 06 y 500 soles el día sábado 13 se pone pdp hasta el 06 que pague y se modifica hasta el 13 </t>
  </si>
  <si>
    <t>Sustento de pago PPC - Se prestó dinero / HORARIO DE PAGO: Tarde / NOTA: TT PAGARÁ LOS   S/11,000.00 SEGUN LO ACORDADO , YA ABONO HOY 2 MIL SOLES ,9 MIL PAGA EL VIERNES 12 .</t>
  </si>
  <si>
    <t>Sustento de pago PPC - Se prestó dinero / HORARIO DE PAGO: Tarde / NOTA: tt pagara por bcp aplicativo</t>
  </si>
  <si>
    <t xml:space="preserve">Sustento de pago PPC - Se prestó dinero / HORARIO DE PAGO: Tarde / NOTA: TT PAGO ANTICIPO DE S/200  HOY 13.08 SALDO RESTANTE EL 31 ANTES DEL MEDIO. SE INDIC QUE TRATE DE PAGAR ANTES DE FECHA. </t>
  </si>
  <si>
    <t>Sustento de pago PPC - Se prestó dinero / HORARIO DE PAGO: Tarde / NOTA: TT pagó importe 3000 para la cancelación total autorizado por gerencia.</t>
  </si>
  <si>
    <t xml:space="preserve">Sustento de pago PPC - Se prestó dinero / HORARIO DE PAGO: Tarde / NOTA: TT PRESTAMO FAMILIAR. COMPLETO S/200. SOLICITO PERMISO A SU TRABJO PARA VALIDR INFORMACION CON EL BANCO Y LA NOTIFICACION. SU FAMILIAR LE REALIZO EL PRESTAMO . EL VIERNES 13.09. SALIENDO DEL TRABAJO PUEDO  EFECTUAR EL PAGO ATRAVES DEL BCP. 8K. </t>
  </si>
  <si>
    <t>Sustento de pago PPC - Se prestó dinero / HORARIO DE PAGO: Tarde / NOTA: TT PROPONE LIQUIDAR PENDIENTE CON 1700 SOLES,CONFIRMA CONTAR CON EL DINERO PARA FINES DE MES MEDIANTE UN PRESTAMO DE UN FAMILIAR, ABONARA EL DÍA DE MAÑANA EL MONTO DE 100 SOLES PARA QUE PUEDAN EVALUAR SU PROPUESTA.</t>
  </si>
  <si>
    <t>Sustento de pago PPC - Se prestó dinero / HORARIO DE PAGO: Tarde / NOTA: TT QUE NO TIENE ,INSISTO INDICO ACUERDO PASADO REAJUSTE , CONSIGUE 153 CANCELA HASTA EL 29 QUE SE VA PRESTAR , LLAMAR VIERNES POSIBLEMENTE CONSIGA INSISTIR</t>
  </si>
  <si>
    <t xml:space="preserve">Sustento de pago PPC - Se prestó dinero / HORARIO DE PAGO: Tarde / NOTA: Tt realizara adelanto de 1500 y 7500 hasta el 31 de marzo </t>
  </si>
  <si>
    <t>Sustento de pago PPC - Se prestó dinero / HORARIO DE PAGO: Tarde / NOTA: TT REALIZARA PAGO DE 2K POR BBVA, EL OTRO 2K EL 30 DE ABRIL</t>
  </si>
  <si>
    <t xml:space="preserve">Sustento de pago PPC - Se prestó dinero / HORARIO DE PAGO: Tarde / NOTA: TT REALIZARA PAGO EN MISMA ENTIDAD SULLANA </t>
  </si>
  <si>
    <t xml:space="preserve">Sustento de pago PPC - Se prestó dinero / HORARIO DE PAGO: Tarde / NOTA: TT REALIZO ADELANTO DE 1MIL SOLES HOY REALIZARA PAGO RESTANTE HASTA EL 27 DE FEBRERO </t>
  </si>
  <si>
    <t>Sustento de pago PPC - Se prestó dinero / HORARIO DE PAGO: Tarde / NOTA: TT realizó el pago en oficina IBK</t>
  </si>
  <si>
    <t>Sustento de pago PPC - Se prestó dinero / HORARIO DE PAGO: Tarde / NOTA: TT realizó pago a la cuenta 193BCP</t>
  </si>
  <si>
    <t xml:space="preserve">Sustento de pago PPC - Se prestó dinero / HORARIO DE PAGO: Tarde / NOTA: TT realizó pago al CCI BBVA dólares </t>
  </si>
  <si>
    <t xml:space="preserve">Sustento de pago PPC - Se prestó dinero / HORARIO DE PAGO: Tarde / NOTA: Tt realizo pago el dia de ayer a las 2pm </t>
  </si>
  <si>
    <t xml:space="preserve">Sustento de pago PPC - Se prestó dinero / HORARIO DE PAGO: Tarde / NOTA: TT realizó pago en BBVA Huanuco </t>
  </si>
  <si>
    <t>Sustento de pago PPC - Se prestó dinero / HORARIO DE PAGO: Tarde / NOTA: TT realizó pago por APP BCP</t>
  </si>
  <si>
    <t xml:space="preserve">Sustento de pago PPC - Se prestó dinero / HORARIO DE PAGO: Tarde / NOTA: TT realizó pago por APP BCP con fecha 09/07 </t>
  </si>
  <si>
    <t>Sustento de pago PPC - Se prestó dinero / HORARIO DE PAGO: Tarde / NOTA: TT SE COMPROMETE A CANCEAR LA DEUDA CON S/ 250</t>
  </si>
  <si>
    <t xml:space="preserve">Sustento de pago PPC - Se prestó dinero / HORARIO DE PAGO: Tarde / NOTA: tt se compromete a cancelar con el importe de s/ 1,306  primer pago s/ 653 dia 10.12  y el restante s/ 653 dia 20.12 </t>
  </si>
  <si>
    <t xml:space="preserve">Sustento de pago PPC - Se prestó dinero / HORARIO DE PAGO: Tarde / NOTA: TT se compromete a cancelar con el importe de s/ 2,000 día 07/02, se coordino con supervisora que el cliente  primero tiene que cancelar </t>
  </si>
  <si>
    <t>Sustento de pago PPC - Se prestó dinero / HORARIO DE PAGO: Tarde / NOTA: tt se compromete a cancelar con el importe de s/.360</t>
  </si>
  <si>
    <t xml:space="preserve">Sustento de pago PPC - Se prestó dinero / HORARIO DE PAGO: Tarde / NOTA: TT se compromete a cancelar el importe de S/ 1,000  </t>
  </si>
  <si>
    <t xml:space="preserve">Sustento de pago PPC - Se prestó dinero / HORARIO DE PAGO: Tarde / NOTA: TT se compromete a cancelar el monto s/ 2,000  día 07/02  </t>
  </si>
  <si>
    <t xml:space="preserve">Sustento de pago PPC - Se prestó dinero / HORARIO DE PAGO: Tarde / NOTA: tt se compromete a cancelar la deuda con 1 k </t>
  </si>
  <si>
    <t xml:space="preserve">Sustento de pago PPC - Se prestó dinero / HORARIO DE PAGO: Tarde / NOTA: tt se compromete en cancelar con el importe de s/.220   adelantara 100 hoy 19.2  el restante dia 27.2   tratara de prestara  para completar </t>
  </si>
  <si>
    <t>Sustento de pago PPC - Se prestó dinero / HORARIO DE PAGO: Tarde / NOTA: tt se comprpmete a cancelar con el importe de S/ 400  y</t>
  </si>
  <si>
    <t>Sustento de pago PPC - Se prestó dinero / HORARIO DE PAGO: Tarde / NOTA: tt se comunica, informa que el quiere pagar en julio se da dt 1,718.67, indica que quiere la campaña de 600,s e informa se le habilitara solo hasta el viernes 08 de mayo, informa que va a generarlo ese dia, pide acuerdo</t>
  </si>
  <si>
    <t>Sustento de pago PPC - Se prestó dinero / HORARIO DE PAGO: Tarde / NOTA: TT solicita plazo de pago 25/05 - 6PM. Solicita acuerdo al correo: michaelcuba44@gmail.com</t>
  </si>
  <si>
    <t>Sustento de pago PPC - Se prestó dinero / HORARIO DE PAGO: Tarde / NOTA: tt ya pago adelanto de 100 soles resta 400 soles se le envia compromiso de pago ycuentas de expertis via wsp pago lo hara en caja los andes hasta el dia 30/05</t>
  </si>
  <si>
    <t>Sustento de pago PPC - Se prestó dinero / HORARIO DE PAGO: Tarde / NOTA: tt ya tiene el dinero en saldo contable por la tarde realizara el pago ya se le envio compromiso ya hizo adelanto de 500</t>
  </si>
  <si>
    <t>Sustento de pago PPC - Se prestó dinero / HORARIO DE PAGO: Tarde / NOTA: tt. indica se esta prestando de su familiar , menciona Hoy realizara un adelanto s/200 y mañana 07/11  s/800</t>
  </si>
  <si>
    <t>Sustento de pago PPC - Se prestó dinero / HORARIO DE PAGO: Tarde / NOTA: tt. se presto dinero adelantara s/300  hoy  04/12  y  16/12   s/400</t>
  </si>
  <si>
    <t>Sustento de pago PPC - Se prestó dinero / HORARIO DE PAGO: Tarde / NOTA: tt. se presto dinero para poder solucionar menciona que se acercara a oficina BBVA s/3000  24/10  , se la hará envió de compromiso de pago .</t>
  </si>
  <si>
    <t xml:space="preserve">Sustento de pago PPC - Se prestó dinero / HORARIO DE PAGO: Tarde / NOTA: TT.abonara por bcp o scotiabank  se encuentra en Piura </t>
  </si>
  <si>
    <t xml:space="preserve">Sustento de pago PPC - Se prestó dinero / HORARIO DE PAGO: Tarde / NOTA: TT.Adelanto s/300 hoy   08/07    y   s/1700  26/07  app bcp </t>
  </si>
  <si>
    <t xml:space="preserve">Sustento de pago PPC - Se prestó dinero / HORARIO DE PAGO: Tarde / NOTA: tt.realizara pago por bcp  s/250   03/06  </t>
  </si>
  <si>
    <t>Sustento de pago PPC - Se prestó dinero / HORARIO DE PAGO: Tarde / NOTA: tti paga cn excpeicon aprobada</t>
  </si>
  <si>
    <t>Sustento de pago PPC - Se prestó dinero / HORARIO DE PAGO: Tarde / NOTA: ultima cuota</t>
  </si>
  <si>
    <t xml:space="preserve">Sustento de pago PPC - Trabajo eventual / HORARIO DE PAGO: Mañana / NOTA: </t>
  </si>
  <si>
    <t>Sustento de pago PPC - Trabajo eventual / HORARIO DE PAGO: Mañana / NOTA:  realiza pago por bcp  manda correo para la carta :  alerevo19@gmail.com</t>
  </si>
  <si>
    <t>Sustento de pago PPC - Trabajo eventual / HORARIO DE PAGO: Mañana / NOTA: adelanta 200 queda pendiente 300</t>
  </si>
  <si>
    <t xml:space="preserve">Sustento de pago PPC - Trabajo eventual / HORARIO DE PAGO: Mañana / NOTA: adelanta 500 y fin de mes la diferncia 1000 dia 30 </t>
  </si>
  <si>
    <t>Sustento de pago PPC - Trabajo eventual / HORARIO DE PAGO: Mañana / NOTA: adelanto la mitad de la campaña 4500, fin de mes 31 completa la diferencia  se eleva el caso al super</t>
  </si>
  <si>
    <t xml:space="preserve">Sustento de pago PPC - Trabajo eventual / HORARIO DE PAGO: Mañana / NOTA: Cliente indica que realizará pago, propone el importe de 1500.00, con un adelanto de 700 entre hoy o mañana 10 am y 800 el 29 de este mes. </t>
  </si>
  <si>
    <t>Sustento de pago PPC - Trabajo eventual / HORARIO DE PAGO: Mañana / NOTA: Cliente indica que tiene trabajo eventual y que puede juntar poco a poco, se le indica campaña 450.00 soles y total 575.00 soles, pago se realizará por Yape. Se le explico cesión de derechos.</t>
  </si>
  <si>
    <t xml:space="preserve">Sustento de pago PPC - Trabajo eventual / HORARIO DE PAGO: Mañana / NOTA: CLIENTE INFORMA QUE ESTA JUNTANDO EL DINERO, PERO SEGUN QUE AVANZA SU TRABAJO LE ESTAN PAGANDO, EN CASO TENGA ANTES DE LA FECHA CONFIRMARA SINO EN LA MISMA FECHA PAGARA SU IMPORTE DE 3100 SOLES </t>
  </si>
  <si>
    <t>Sustento de pago PPC - Trabajo eventual / HORARIO DE PAGO: Mañana / NOTA: Cliente no pudo pagar por gastos adicionales que tuvo con la universidad de su hija. Se le indica campaña 205.00 soles - 7/5 directo en el banco. Se le envía carta de cesión de derechos.  Tf. 949192682 (no tiene correo esta lleno)</t>
  </si>
  <si>
    <t xml:space="preserve">Sustento de pago PPC - Trabajo eventual / HORARIO DE PAGO: Mañana / NOTA: cliente realizará pago 300 hoy y 1200 fin de mes, por transf bcp </t>
  </si>
  <si>
    <t xml:space="preserve">Sustento de pago PPC - Trabajo eventual / HORARIO DE PAGO: Mañana / NOTA: cliente realizará pago de 1800.00 soles para cancelar depósito directo, hoy 800 soles y a fin de mes 1000 soles. </t>
  </si>
  <si>
    <t>Sustento de pago PPC - Trabajo eventual / HORARIO DE PAGO: Mañana / NOTA: CLIENTE REALIZARA PAGO DE LIQUIDACIÓN POR EL MONTO DE 1250:</t>
  </si>
  <si>
    <t>1 ER PAGO DE 700: 24/04</t>
  </si>
  <si>
    <t>2DO PAGO DE 550: 28/04</t>
  </si>
  <si>
    <t>REALIZARA PAGO POR BANCA MOVIL BCP</t>
  </si>
  <si>
    <t>Sustento de pago PPC - Trabajo eventual / HORARIO DE PAGO: Mañana / NOTA: edp sara dice q no pudo comunicarse con fam para q pague y le haga el favor dice q para el 25 q cobra pagara 800 en los andes</t>
  </si>
  <si>
    <t xml:space="preserve">Sustento de pago PPC - Trabajo eventual / HORARIO DE PAGO: Mañana / NOTA: en la mañana agencia caja andes </t>
  </si>
  <si>
    <t xml:space="preserve">Sustento de pago PPC - Trabajo eventual / HORARIO DE PAGO: Mañana / NOTA: Explica que se atraso por pandemia tenia un negocio de fotografia y se fue a la quiebra, cuenta con 3000 que depositara hoy y 1000 el lunes 17/06 si es antes se comunicara </t>
  </si>
  <si>
    <t xml:space="preserve">Sustento de pago PPC - Trabajo eventual / HORARIO DE PAGO: Mañana / NOTA: familiar DNI 47995737  jerson manzano marcelo   dice qwue recibe dinero fin de mes le estan demorrando en el pago </t>
  </si>
  <si>
    <t>Sustento de pago PPC - Trabajo eventual / HORARIO DE PAGO: Mañana / NOTA: hoy adelanto 10mil el dia 28 completa diferencia 8500  manda correo titoriveragonzales@gmail.com</t>
  </si>
  <si>
    <t xml:space="preserve">Sustento de pago PPC - Trabajo eventual / HORARIO DE PAGO: Mañana / NOTA: indica hacer abono de 50 soles dia 12-06 para activación campaña y paga diferencia en quincena </t>
  </si>
  <si>
    <t>Sustento de pago PPC - Trabajo eventual / HORARIO DE PAGO: Mañana / NOTA: INDICA QUE ESTA MAL DE SALUD PERO CONSEGUIRA SI O SI EL DINERO QUIZAS ANTES</t>
  </si>
  <si>
    <t xml:space="preserve">Sustento de pago PPC - Trabajo eventual / HORARIO DE PAGO: Mañana / NOTA: informa que solo tenia 350 que solo ha reunido con sus hermanos que le apoyaron solo 400 se le dice que mejore propuesta  dice que no puede mas por temas de salud ahora en la actualidd no esta trabajando por sus hijos menores que no trabaja dice que encima tiene que bajar 3 horas para salir porque esta en un lugar que no hay bancos y alli le cobran pasaje para salir y solo tiene para regresar desde hace tiempo informa que no puede pagar porque esta mal </t>
  </si>
  <si>
    <t xml:space="preserve">Sustento de pago PPC - Trabajo eventual / HORARIO DE PAGO: Mañana / NOTA: juanfranciscolazo@gmail.com  </t>
  </si>
  <si>
    <t>Sustento de pago PPC - Trabajo eventual / HORARIO DE PAGO: Mañana / NOTA: lo hara po aplicativo</t>
  </si>
  <si>
    <t xml:space="preserve">Sustento de pago PPC - Trabajo eventual / HORARIO DE PAGO: Mañana / NOTA: MONTO TOTAL DEUDAS: 14600¦SUSTENTO DE FONDOS: DINERO EN MANO¦SITUACIÓN ACTUAL: TT EN EL MES DE FEBRERO SE SOLICITO MEJORA. TIENE DEUDA CON CAJA HUANCAYO. YAPE S/200 Y S/100 PRESTAMO. EL PASADO  GASTOS ESCOLARES. NO TIENE UN TRABAJO ESTABLE. MOTIVO DE ATRASO : SEPELIO DE SU PADRE. </t>
  </si>
  <si>
    <t>Sustento de pago PPC - Trabajo eventual / HORARIO DE PAGO: Mañana / NOTA: NO SABIA SOBRE DEUDA //BUSCA SOLUCIONAR PERO PARA EL SABADO QUE LE PAGAN, TENDRIA LIQUIDEZ PARA ACCEDER A CANCELAR CON 600 SOLES</t>
  </si>
  <si>
    <t>Sustento de pago PPC - Trabajo eventual / HORARIO DE PAGO: Mañana / NOTA: PPC 300.00 07 AGOS</t>
  </si>
  <si>
    <t>Sustento de pago PPC - Trabajo eventual / HORARIO DE PAGO: Mañana / NOTA: quiso cancelar la deuda hace meses pero utilizo la deuda para invertir, se dedica al trasnporte confirma cancelar todo el jueves 25/04</t>
  </si>
  <si>
    <t xml:space="preserve">Sustento de pago PPC - Trabajo eventual / HORARIO DE PAGO: Mañana / NOTA: realiza en el banco </t>
  </si>
  <si>
    <t>Sustento de pago PPC - Trabajo eventual / HORARIO DE PAGO: Mañana / NOTA: realiza pago en bcp</t>
  </si>
  <si>
    <t>Sustento de pago PPC - Trabajo eventual / HORARIO DE PAGO: Mañana / NOTA: realiza pago por aplicativo manda correo para la carta :  capt2407@gmail.com</t>
  </si>
  <si>
    <t>Sustento de pago PPC - Trabajo eventual / HORARIO DE PAGO: Mañana / NOTA: realiza por aplicativo envia correo daniel-huaringa@hotmail.com</t>
  </si>
  <si>
    <t>Sustento de pago PPC - Trabajo eventual / HORARIO DE PAGO: Mañana / NOTA: realiza por bcp</t>
  </si>
  <si>
    <t>Sustento de pago PPC - Trabajo eventual / HORARIO DE PAGO: Mañana / NOTA: realiza x aplicativo adelanta 500</t>
  </si>
  <si>
    <t xml:space="preserve">Sustento de pago PPC - Trabajo eventual / HORARIO DE PAGO: Mañana / NOTA: realizara pago temprano </t>
  </si>
  <si>
    <t>Sustento de pago PPC - Trabajo eventual / HORARIO DE PAGO: Mañana / NOTA: se coordina con tt pago de 500 hoy a las 3pm y completa viernes 29 - 700</t>
  </si>
  <si>
    <t>Sustento de pago PPC - Trabajo eventual / HORARIO DE PAGO: Mañana / NOTA: sobre 350 hoy depositara 100 y fin de mes que cobre terminara de cancelar con 250</t>
  </si>
  <si>
    <t>Sustento de pago PPC - Trabajo eventual / HORARIO DE PAGO: Mañana / NOTA: sobre 500 el lunes 10/06 adelantara 200 y fin de mes la diferencia de 300</t>
  </si>
  <si>
    <t xml:space="preserve">Sustento de pago PPC - Trabajo eventual / HORARIO DE PAGO: Mañana / NOTA: Sr Fredy esposo de la tt sr Antonia, indica que hara el deposito el dia lunes, ya que mañana bajara a juliaca a conversar con su capatas para poder cancelar el adelanto, indico que para el dia 30 de mayo tendra 1220 que es lo restante, indico que le pagan el dia 28 o 29 pero que le toma un dia bajar a la ciudad de julica ya que viven cerca a rinconada de puno. </t>
  </si>
  <si>
    <t xml:space="preserve">Sustento de pago PPC - Trabajo eventual / HORARIO DE PAGO: Mañana / NOTA: SR. EUSEBIO ESPOSO DE TITU. HOY PAGO ANTICIPO DE 1500. POR BANCO DE LA NACION.  SALDO RESTANTE PAGARA 1100 EL LUNES 30.11. </t>
  </si>
  <si>
    <t>Sustento de pago PPC - Trabajo eventual / HORARIO DE PAGO: Mañana / NOTA: sse porponca camp piso 300 - tt mencioan que para la sguiente seman apor que el find e semana le pagan ,hara un esfuerzo de prestarse para realizar el pago el dia miercoles por depoisto tru o deposito banco.</t>
  </si>
  <si>
    <t>Sustento de pago PPC - Trabajo eventual / HORARIO DE PAGO: Mañana / NOTA: tit  pagara cn execpcion aprobada hoy anticipa el 40% temprano</t>
  </si>
  <si>
    <t>Sustento de pago PPC - Trabajo eventual / HORARIO DE PAGO: Mañana / NOTA: TITULAR REALIZARA UN ANTICIPO DE 100 EL LUNES 24.06. Y EL SALDO RESTANTE FIN DE MES. ZONA ALEJADDA. NO TIENE TODO EL DINERO COMPLETO.</t>
  </si>
  <si>
    <t>Sustento de pago PPC - Trabajo eventual / HORARIO DE PAGO: Mañana / NOTA: TT  ACCEDE  A CAMPAÑA 264   MOTIVO  DE  SALUD</t>
  </si>
  <si>
    <t>Sustento de pago PPC - Trabajo eventual / HORARIO DE PAGO: Mañana / NOTA: tt  accede  a campaña de 313   donde  abonara  acuenta  100  y  la  diferencia  el lunes 30/06/2025</t>
  </si>
  <si>
    <t xml:space="preserve">Sustento de pago PPC - Trabajo eventual / HORARIO DE PAGO: Mañana / NOTA: tt  accede  a campaña de 650  en dos partes 200  ahora  y  el 21/07  la  diferencia 450  lo  hara  tranferencia  bcp </t>
  </si>
  <si>
    <t>Sustento de pago PPC - Trabajo eventual / HORARIO DE PAGO: Mañana / NOTA: TT ACCEDE A CANCELAR CON LA CAMPAÑA DE 1027 SOLES, LO HARÁ EN PARTES PERO DENTRO DEL MES, MAÑANA 04/07 COMIENZA CON 200 SOLES A CUENTA DE LA CAMPAÑA</t>
  </si>
  <si>
    <t>Sustento de pago PPC - Trabajo eventual / HORARIO DE PAGO: Mañana / NOTA: tt adelanto 500 diferencia a fin de mes de 1000</t>
  </si>
  <si>
    <t xml:space="preserve">Sustento de pago PPC - Trabajo eventual / HORARIO DE PAGO: Mañana / NOTA: tt adenlanto  adelanto ayer 200 soles firerecia pagara finees </t>
  </si>
  <si>
    <t>Sustento de pago PPC - Trabajo eventual / HORARIO DE PAGO: Mañana / NOTA: tt hoy adelanto 1000 diferncia el día viernes 18</t>
  </si>
  <si>
    <t xml:space="preserve">Sustento de pago PPC - Trabajo eventual / HORARIO DE PAGO: Mañana / NOTA: TT indica que su esposo le esta apoyando </t>
  </si>
  <si>
    <t>Sustento de pago PPC - Trabajo eventual / HORARIO DE PAGO: Mañana / NOTA: TT JUNTARA SALDO DE 460.00 SOLES PARA CANCELAR DT. EL DIA 30/07 Y SI CUENTA ANTES CONFIRMARA.</t>
  </si>
  <si>
    <t xml:space="preserve">Sustento de pago PPC - Trabajo eventual / HORARIO DE PAGO: Mañana / NOTA: TT LIQUIDA CON 300 SOLES </t>
  </si>
  <si>
    <t>Sustento de pago PPC - Trabajo eventual / HORARIO DE PAGO: Mañana / NOTA: TT pagara importe de 1000 para la fecha como máximo del día 20 de Marzo</t>
  </si>
  <si>
    <t>Sustento de pago PPC - Trabajo eventual / HORARIO DE PAGO: Mañana / NOTA: tt pago 100 queda diferencia de 298</t>
  </si>
  <si>
    <t>Sustento de pago PPC - Trabajo eventual / HORARIO DE PAGO: Mañana / NOTA: tt realizara el pago de su última cuota el día 30 se informo a Leonor YA que su CRONOGRAMA DE PAGO ESTA PARA EL 30</t>
  </si>
  <si>
    <t xml:space="preserve">Sustento de pago PPC - Trabajo eventual / HORARIO DE PAGO: Mañana / NOTA: tt se compromete a cancelar con el importe de S/ 300 </t>
  </si>
  <si>
    <t xml:space="preserve">Sustento de pago PPC - Trabajo eventual / HORARIO DE PAGO: Mañana / NOTA: ultim cuota </t>
  </si>
  <si>
    <t>Sustento de pago PPC - Trabajo eventual / HORARIO DE PAGO: Mañana / NOTA: ULTIMA CUOTA</t>
  </si>
  <si>
    <t>Sustento de pago PPC - Trabajo eventual / HORARIO DE PAGO: Medioda / NOTA: dt 250 cmapaña 150 tti puede pagar el viernes ya q es pescdor en el trascuerso del dia</t>
  </si>
  <si>
    <t>Sustento de pago PPC - Trabajo eventual / HORARIO DE PAGO: Medioda / NOTA: realiza por aplicativo</t>
  </si>
  <si>
    <t xml:space="preserve">Sustento de pago PPC - Trabajo eventual / HORARIO DE PAGO: Medioda / NOTA: se propone can 1125 y dt - tt menciona que puede pagarlo en 2 cuotas, menciono que puedo ayudarlo para que pague 562 y 563 fin de mes , tt ok , puede pagarlo el día viernes , menciona que para la primera semana explico que habria una variación de 1300 en 2 cuotas 650 el viernes y la primera semana de mayo 650, le menciono que haga un esfuerzo dentro del mismo mes,  tt ok , lo pagara por transf bcp , ok se menciona que pagara en 2 partes inicial el dia viernes al medio dia. </t>
  </si>
  <si>
    <t>Sustento de pago PPC - Trabajo eventual / HORARIO DE PAGO: Medioda / NOTA: se propone can 150 - tt pagara por agente ahora esta en la chacra y ella bajara el fin de semana y podrá pagarlo por agente, donde se encuentra no hay centro de pagos y no tiene yape - 150 so</t>
  </si>
  <si>
    <t>Sustento de pago PPC - Trabajo eventual / HORARIO DE PAGO: Medioda / NOTA: Titular cancela el Viernes 22/05/2026 de S/200 soles por la mañana .</t>
  </si>
  <si>
    <t>Sustento de pago PPC - Trabajo eventual / HORARIO DE PAGO: Medioda / NOTA: TT CONFIRMA IMPORTE DE 2500 PARA EL DIA DE HOY Y LOS 600 PARA EL DIA 28 DE FEBRERO, SE LE INDICA LOS MEDIOS DE PAGO, INDICA QUE SE APOYARA CON FAMILIAR PARA HACER EL PAGO, SE COORDINA Y HARA EL PAGO ANTES DEL MEDIO.</t>
  </si>
  <si>
    <t xml:space="preserve">Sustento de pago PPC - Trabajo eventual / HORARIO DE PAGO: Medioda / NOTA: TT menciona que estaria pagando el dia 28-11  por la mañana ultima cuota </t>
  </si>
  <si>
    <t>Sustento de pago PPC - Trabajo eventual / HORARIO DE PAGO: Mediodía / CANAL ENVIO - LLAMADA / NOTA: PPC 170.00 // 17/06/2024 // TRABAJO EVENTUAL MOTOTAXI, CHACRA//</t>
  </si>
  <si>
    <t xml:space="preserve">Sustento de pago PPC - Trabajo eventual / HORARIO DE PAGO: Mediodía / NOTA: </t>
  </si>
  <si>
    <t xml:space="preserve">Sustento de pago PPC - Trabajo eventual / HORARIO DE PAGO: Mediodía / NOTA:  MAÑANA TIENE LIBRE. ANTICIPO S/200, SALDO RESTANTE FIN DE MES. QUIZA ANTES. // DEUDAS: 1¦MONTO TOTAL DEUDAS: 43700¦SUSTENTO DE FONDOS: VENTA DE VEHÍCULO¦SITUACIÓN ACTUAL: TT PUEDE RECAUDAR S/800. SE SOLICITO ANTICIPO PARA HOY. INDICA QUE NO PUEDE POR QUE TRABAJA 12HORAS. NO TIENE APP MOVIL. REALIZA TRABAJOS INDEPENDIENTES. TIENE CUENTAS POR REGULARIZAR. SE DEDICA A SU CHACRA Y A VECES VA A REALIZAR TRABAJOS AL HOSPITAL. </t>
  </si>
  <si>
    <t>Sustento de pago PPC - Trabajo eventual / HORARIO DE PAGO: Mediodía / NOTA: COMPROMISO DE PAGO IMPORTE CANCELACION s/3,200 Soles</t>
  </si>
  <si>
    <t>Sustento de pago PPC - Trabajo eventual / HORARIO DE PAGO: Mediodía / NOTA: DT 1,410.66 DK 483.61 CMAP 35 TT SE ACOGE A CAMPAÑA PAGARIA EL 29/08  PERO DARIA ANTICPO HOY DE50 SOLES</t>
  </si>
  <si>
    <t>Sustento de pago PPC - Trabajo eventual / HORARIO DE PAGO: Mediodía / NOTA: DT: S/.935077640 - clinete se acoje a campaña de 560 en 2 partes abona 280 el lunes y la diferencia el 30-09 , si el cl no realiza la cancelacion se le menciono que pierde beneficios totales.</t>
  </si>
  <si>
    <t xml:space="preserve">Sustento de pago PPC - Trabajo eventual / HORARIO DE PAGO: Mediodía / NOTA: PPC/976 // VENTANILLA CAJA TRUJILLO// RECORDATORIO EN LA MAÑANA </t>
  </si>
  <si>
    <t>Sustento de pago PPC - Trabajo eventual / HORARIO DE PAGO: Mediodía / NOTA: tITULAR ADELANTARA PAGO DE 300 SOLES PARA EL SABADO 20/07 POR AGENTE BCP A LAS 11AM  Y LO RESTANTE EL JUEVES 25/07/2024,SE DA ADVERTENCIAS DE INCUMPLIR PAGO .</t>
  </si>
  <si>
    <t>Sustento de pago PPC - Trabajo eventual / HORARIO DE PAGO: Mediodía / NOTA: Titular espera pago de Junio ,accede a pago de cancelacion de 380 soles por agente BCP ANTES de 12PM ,se le indica que vea otro medio para que no incumpla con su compromiso.</t>
  </si>
  <si>
    <t>Sustento de pago PPC - Trabajo eventual / HORARIO DE PAGO: Mediodía / NOTA: tt  hara pago cne cpezpcion</t>
  </si>
  <si>
    <t xml:space="preserve">Sustento de pago PPC - Trabajo eventual / HORARIO DE PAGO: Mediodía / NOTA: tt  hoy anticopa 50 soles </t>
  </si>
  <si>
    <t>Sustento de pago PPC - Trabajo eventual / HORARIO DE PAGO: Mediodía / NOTA: TT CANCELA CON 500 SOLES LUNES LLEGA A AREQUIPA</t>
  </si>
  <si>
    <t>Sustento de pago PPC - Trabajo eventual / HORARIO DE PAGO: Mediodía / NOTA: tt deacuerdo con la cancelacion, de 300 agradece el apoyo , se envia documentacion para su cancelacion</t>
  </si>
  <si>
    <t xml:space="preserve">Sustento de pago PPC - Trabajo eventual / HORARIO DE PAGO: Mediodía / NOTA: Tt va recibir pago de su trabajo y con eso cancelara su deuda dk 700 soles </t>
  </si>
  <si>
    <t xml:space="preserve">Sustento de pago PPC - Trabajo eventual / HORARIO DE PAGO: Tarde / NOTA: </t>
  </si>
  <si>
    <t xml:space="preserve">Sustento de pago PPC - Trabajo eventual / HORARIO DE PAGO: Tarde / NOTA:  tt realizo adelanto s/ 1,000 día 19/09   y la diferencia de s/ 500 cancelara el día 30/09   </t>
  </si>
  <si>
    <t>Sustento de pago PPC - Trabajo eventual / HORARIO DE PAGO: Tarde / NOTA: adelanta 100 caja andes fin de mes completa 150</t>
  </si>
  <si>
    <t xml:space="preserve">Sustento de pago PPC - Trabajo eventual / HORARIO DE PAGO: Tarde / NOTA: caja andes </t>
  </si>
  <si>
    <t xml:space="preserve">Sustento de pago PPC - Trabajo eventual / HORARIO DE PAGO: Tarde / NOTA: CAMPAÑA 550 ABONA MAÑANA 150 Y LA DIFERENCIA  S/400 EL 29/08  , SE ENVIA INFO AL WHATSAPP </t>
  </si>
  <si>
    <t>Sustento de pago PPC - Trabajo eventual / HORARIO DE PAGO: Tarde / NOTA: CLIE TE RECIBIO MENSAJE CON MIN 1 DICE QUE AHORA HASTA EL VIERNES CONSIGUE EL DINERO PIDE QUE SE LE ENVIE INFO AL WSP</t>
  </si>
  <si>
    <t>Sustento de pago PPC - Trabajo eventual / HORARIO DE PAGO: Tarde / NOTA: CLIENTE ADELANTA PAGO DE 190 SOLES HOY Y HASTA EL 17 LA OTRA MITAD DE 190 SE LE ENVIA CUENTA BCP</t>
  </si>
  <si>
    <t>Sustento de pago PPC - Trabajo eventual / HORARIO DE PAGO: Tarde / NOTA: Cliente pagará liquidación 2000.00 soles, hoy abonará 800 y a fin de mes 1200.</t>
  </si>
  <si>
    <t>Sustento de pago PPC - Trabajo eventual / HORARIO DE PAGO: Tarde / NOTA: CLIENTE QUIERE LIQUIDAR LA DEUDA ANTES NO PODIA NO GANA MUCHO SE LE ENVIA INFO AL WSP</t>
  </si>
  <si>
    <t>Sustento de pago PPC - Trabajo eventual / HORARIO DE PAGO: Tarde / NOTA: CLIENTE QUIERE PAGAR SU DEUDA PIDE TIEMPO  PARA JUNTAR  SE LE ENVIA INFO AL WSP DICE QUE CON SEGURIDAD LO HARA ESE DIA</t>
  </si>
  <si>
    <t>Sustento de pago PPC - Trabajo eventual / HORARIO DE PAGO: Tarde / NOTA: Cliente realizará el pago de 240 soles a través del BCP</t>
  </si>
  <si>
    <t xml:space="preserve">Sustento de pago PPC - Trabajo eventual / HORARIO DE PAGO: Tarde / NOTA: Cliente realizará pago de 1500.00 directo en el banco y enviará voucher con los montos mencionados (1000-300-200) </t>
  </si>
  <si>
    <t>Sustento de pago PPC - Trabajo eventual / HORARIO DE PAGO: Tarde / NOTA: CLIENTE RECIBE DINERO EL MISMO 30 SE LE INDICA QUE ES FERIADO PERO NO PUEDE HCAERLO ANTES DE ESE DIA  SE LE ENVIA INFO AL WSP</t>
  </si>
  <si>
    <t>Sustento de pago PPC - Trabajo eventual / HORARIO DE PAGO: Tarde / NOTA: CLIENTE VENDRA A OFICNA QUIERE TENER LA CARTA EN FISICO VIENE DESDE CHOSICA PERO DESCONFIA SE LE ENVIA INFO AL WSP</t>
  </si>
  <si>
    <t>Sustento de pago PPC - Trabajo eventual / HORARIO DE PAGO: Tarde / NOTA: CLIENTE YA PAGO 500 SOLES COMO ADELANTO FALTA 500 PARA EL DIA 29</t>
  </si>
  <si>
    <t>Sustento de pago PPC - Trabajo eventual / HORARIO DE PAGO: Tarde / NOTA: CONFIRMA PAGO PARA EL DIA DE HOY ANTES DE LAS 5PM, POR TRANSFERENCIA, TODO OK VALIDO LA INFORMACION CON EL BANCO. SE LE EMITE DOCUMENTOS CLIENTE TIENE TODO CLARO.  PPC 2200</t>
  </si>
  <si>
    <t>Sustento de pago PPC - Trabajo eventual / HORARIO DE PAGO: Tarde / NOTA: CONSEGUIRA SI O SI EL DINERO JUSTO QUERIA SOLUCIONAR SU DEUDA  SE LE ENVIA TODA LA INFO AL WSP</t>
  </si>
  <si>
    <t>Sustento de pago PPC - Trabajo eventual / HORARIO DE PAGO: Tarde / NOTA: dice que no pago porque le le llegaron a pagar dice dice la otra semana se le solicita anticipo dice que hoy en la tarde puede pagar 100 y sabado o lunes que le pagan puede completar diferencia en bcp</t>
  </si>
  <si>
    <t>Sustento de pago PPC - Trabajo eventual / HORARIO DE PAGO: Tarde / NOTA: dk900.41 tt  dic podra pagar sabado 820 soles yaq ahaora ezsta en zona rural</t>
  </si>
  <si>
    <t>Sustento de pago PPC - Trabajo eventual / HORARIO DE PAGO: Tarde / NOTA: DT  1,144.58  DK  397.68  MIN1 195.00  --  TT PAGA   150 SOL EL 04/06 Y 50 SOL EL 09/06 VIA BCP  POR LA TARDE  --- NO TIENE TRABAJO ESTABLE - SE ENVIA INF VIA WSP</t>
  </si>
  <si>
    <t>Sustento de pago PPC - Trabajo eventual / HORARIO DE PAGO: Tarde / NOTA: dt 5,068.66  / dk3,041.77 /camp 3,559.50 // tt va cancelR DEUDA  CINEXEPCION 1700 SOLES DARA ANTICIPO ANTICPO 200</t>
  </si>
  <si>
    <t>Sustento de pago PPC - Trabajo eventual / HORARIO DE PAGO: Tarde / NOTA: DT: S/.7,169.30 , segun excepcion Hijo: alex sinchi snchez - 71645802   monto a pagar S/.1600  correo: alexzack_ass92@hotmail.com</t>
  </si>
  <si>
    <t xml:space="preserve">Sustento de pago PPC - Trabajo eventual / HORARIO DE PAGO: Tarde / NOTA: el la tarde adelanta 200 y fin de mes la diferencia </t>
  </si>
  <si>
    <t xml:space="preserve">Sustento de pago PPC - Trabajo eventual / HORARIO DE PAGO: Tarde / NOTA: ell dia de hoy realiza por bcp 250 y fin de mes completa diferencia </t>
  </si>
  <si>
    <t xml:space="preserve">Sustento de pago PPC - Trabajo eventual / HORARIO DE PAGO: Tarde / NOTA: en la tarde va tratar de juntar </t>
  </si>
  <si>
    <t xml:space="preserve">Sustento de pago PPC - Trabajo eventual / HORARIO DE PAGO: Tarde / NOTA: esposo pagara ultima cuota 300 </t>
  </si>
  <si>
    <t>Sustento de pago PPC - Trabajo eventual / HORARIO DE PAGO: Tarde / NOTA: INDICA QUE A TENIDO PROBLEMAS PERO ESTE FIN DE MES SI OS I PAGARA SE LE DA ADVERTENCIAS</t>
  </si>
  <si>
    <t>Sustento de pago PPC - Trabajo eventual / HORARIO DE PAGO: Tarde / NOTA: INDICA QUE CANCELARA EN AGENTE</t>
  </si>
  <si>
    <t>Sustento de pago PPC - Trabajo eventual / HORARIO DE PAGO: Tarde / NOTA: INDICA QUE PAGARA EM AGENTE DICE QUE ESE DIA LE PAGAN Y AHORA SI PAGARA TIENE SU ESPOSA UN POCO MAL</t>
  </si>
  <si>
    <t>Sustento de pago PPC - Trabajo eventual / HORARIO DE PAGO: Tarde / NOTA: INDICA QYE AHORA SI PAGARA SE LE ENVIA INFO  POR LA TARDE QUIRE SOLUCIONAR DEUDA</t>
  </si>
  <si>
    <t xml:space="preserve">Sustento de pago PPC - Trabajo eventual / HORARIO DE PAGO: Tarde / NOTA: irá haciendo abonos DENTRO DEL MES hasta completar en importe de 400 soles </t>
  </si>
  <si>
    <t>Sustento de pago PPC - Trabajo eventual / HORARIO DE PAGO: Tarde / NOTA: Jason Mori&lt;jasonmori3078@gmail.com // confirma pago de cancelación del monto de 5k soles para el 5.12</t>
  </si>
  <si>
    <t xml:space="preserve">Sustento de pago PPC - Trabajo eventual / HORARIO DE PAGO: Tarde / NOTA: LIQUIDARA 587//  50.00 EL SABADO 20 Y 537 EL 31 DE JULIO MAXIMO </t>
  </si>
  <si>
    <t xml:space="preserve">Sustento de pago PPC - Trabajo eventual / HORARIO DE PAGO: Tarde / NOTA: monto cancelación  1,427.91  fecha de pago  16/ 01  esta  a la espera de un  pago de su trabajo , se compromete al pago esa fecha de pago   </t>
  </si>
  <si>
    <t xml:space="preserve">Sustento de pago PPC - Trabajo eventual / HORARIO DE PAGO: Tarde / NOTA: paga caja andes </t>
  </si>
  <si>
    <t>Sustento de pago PPC - Trabajo eventual / HORARIO DE PAGO: Tarde / NOTA: Pagara adelanto de 1,250 lunes 11/05 diferencia hasta el 29/05</t>
  </si>
  <si>
    <t>Sustento de pago PPC - Trabajo eventual / HORARIO DE PAGO: Tarde / NOTA: pagara sin falta dice  pide info al wsp sobre como pagar</t>
  </si>
  <si>
    <t>Sustento de pago PPC - Trabajo eventual / HORARIO DE PAGO: Tarde / NOTA: pagara viernes por la tarde 6pm</t>
  </si>
  <si>
    <t>Sustento de pago PPC - Trabajo eventual / HORARIO DE PAGO: Tarde / NOTA: PAGO DE SU ULTIMA CUOTA INDICA QUE QUIZAS PUEDA PAGAR ANTES AVISARA</t>
  </si>
  <si>
    <t xml:space="preserve">Sustento de pago PPC - Trabajo eventual / HORARIO DE PAGO: Tarde / NOTA: por aplicativo </t>
  </si>
  <si>
    <t xml:space="preserve">Sustento de pago PPC - Trabajo eventual / HORARIO DE PAGO: Tarde / NOTA: por la tarde </t>
  </si>
  <si>
    <t xml:space="preserve">Sustento de pago PPC - Trabajo eventual / HORARIO DE PAGO: Tarde / NOTA: queda pendiente 1mil para fin de mes </t>
  </si>
  <si>
    <t xml:space="preserve">Sustento de pago PPC - Trabajo eventual / HORARIO DE PAGO: Tarde / NOTA: Realiza adelanto de 8mil fin de mes 5mil </t>
  </si>
  <si>
    <t>Sustento de pago PPC - Trabajo eventual / HORARIO DE PAGO: Tarde / NOTA: realiza aplicativo bcp</t>
  </si>
  <si>
    <t>Sustento de pago PPC - Trabajo eventual / HORARIO DE PAGO: Tarde / NOTA: realiza en el mismo banco</t>
  </si>
  <si>
    <t>Sustento de pago PPC - Trabajo eventual / HORARIO DE PAGO: Tarde / NOTA: Realiza la banco bcp</t>
  </si>
  <si>
    <t xml:space="preserve">Sustento de pago PPC - Trabajo eventual / HORARIO DE PAGO: Tarde / NOTA: realiza pago bcp 2mil la diferencia fin de mes como se acordó 30 </t>
  </si>
  <si>
    <t>Sustento de pago PPC - Trabajo eventual / HORARIO DE PAGO: Tarde / NOTA: realiza pago por BBVA</t>
  </si>
  <si>
    <t>Sustento de pago PPC - Trabajo eventual / HORARIO DE PAGO: Tarde / NOTA: realiza pago por IBK</t>
  </si>
  <si>
    <t xml:space="preserve">Sustento de pago PPC - Trabajo eventual / HORARIO DE PAGO: Tarde / NOTA: recibe dinero en la tarde 6pm, dice que seria jueves por la mañana antes de medio dia </t>
  </si>
  <si>
    <t>Sustento de pago PPC - Trabajo eventual / HORARIO DE PAGO: Tarde / NOTA: RP hijo GIACOMO GUIZASOLA LANDEO con DNI : 76348130 ind poder apoyar con pago máximo hasta el viernes en caso de poder antes se comunicara, CDN al correo: giacomoguizasolalandeo@gmail.com</t>
  </si>
  <si>
    <t>Sustento de pago PPC - Trabajo eventual / HORARIO DE PAGO: Tarde / NOTA: Se aplico aprobacion para liquidar con 4500 hoy genera pago de  1000 y el 26/06 la diferencia de 3500</t>
  </si>
  <si>
    <t>Sustento: RECIBE UN INGRESO POR EL PAGO DE UN TRABAJO</t>
  </si>
  <si>
    <t>Motivo de no pago:PERDIDA DE SU NEGOCIO</t>
  </si>
  <si>
    <t>Fecha:26/06</t>
  </si>
  <si>
    <t>Propuesta:4500 / tt abona hoy 1000 13/06 y el  26/06 los 3500</t>
  </si>
  <si>
    <t xml:space="preserve">Sustento de pago PPC - Trabajo eventual / HORARIO DE PAGO: Tarde / NOTA: se aprobo excepcion se programa 2da cuota de 2 por 600 soles </t>
  </si>
  <si>
    <t>Sustento de pago PPC - Trabajo eventual / HORARIO DE PAGO: Tarde / NOTA: se aprobo ppt de pago</t>
  </si>
  <si>
    <t>Sustento de pago PPC - Trabajo eventual / HORARIO DE PAGO: Tarde / NOTA: se aucerda con tt cancelar deuda bajo el monto de S/. 450</t>
  </si>
  <si>
    <t>Sustento de pago PPC - Trabajo eventual / HORARIO DE PAGO: Tarde / NOTA: se conversa con tt , menciona que o pagara por la tarde, via deposito menciona que ya tiene las cuentas, ok se envia via wsp</t>
  </si>
  <si>
    <t xml:space="preserve">Sustento de pago PPC - Trabajo eventual / HORARIO DE PAGO: Tarde / NOTA: se da can 400 soles  pide  plazo a  fines de mes  se recalca  pago como compromiso  indica  lunes 100 soles de cumplir  se  cambia  fecha de pago </t>
  </si>
  <si>
    <t>Sustento de pago PPC - Trabajo eventual / HORARIO DE PAGO: Tarde / NOTA: SE INDICA QUE NO PROCEDE EL MONTO DE PROPUESTA 3K. SOLICITA QUE LE MENCIONE IMPORTE A MEJORAR  MIN 1 16,867.98. SE ENVIA REPORTE. INDICA QUE PUEDE MEJORAR S/1,000 MAS PARA FIN DE MES. SE MENCIONA QUE  PUEDE INGRESAR A EVALUACION NUEVAMENTE SIEMPRE Y CUANDO REALICE ANTICIPE DE 3K.</t>
  </si>
  <si>
    <t>Sustento de pago PPC - Trabajo eventual / HORARIO DE PAGO: Tarde / NOTA: Se informa aprobación se le envía documentación a su whatsapp, hoy adelanta 1000 soles y 9k a fin de mes, se envía números de cuenta.</t>
  </si>
  <si>
    <t xml:space="preserve">Sustento de pago PPC - Trabajo eventual / HORARIO DE PAGO: Tarde / NOTA: SE LE BRINDA DT Y CAMPAÑA DE 3820 INDICA QUE EN SU MOMENTO NEGOCIO PARA CANCELAR 2000 EN NOVIEMBRE PERO LLEGO A PAGAR POR QUE ESTABA FUERA DE LA CUIDAD Y SE LE DIFICULTO MUCHO PARA CANCELAR, SE LE SOLICITA MEJORAR E INDICA QUE PODRIA MEJORAR HASTA 2500, SE LE INDICA QUE ESTBA BIEN, AÑADIO QUE TIENE HIPOTECA CON LA SUNARP QUE SE TIENE QUE HACER EL LEVANTAMIENTO DE LA DEUDA BUSCARA SU NUMERO DE EXPEDIENTE ADJUNTA CORREO Gaatovivanco@gmail.com Y INDICA QUE HARA EL PAGO POR EL BCP, POR LA TARDE. PLAN DE 3 - 4 PM. </t>
  </si>
  <si>
    <t xml:space="preserve">Sustento de pago PPC - Trabajo eventual / HORARIO DE PAGO: Tarde / NOTA: SE LE BRINDA DT Y DK, CAMPAÑA DE 3070, COMENTA QUE POR MOTIVOS DE TRABAJO Y SALUD NO LOGRO CANCELAR LA DEUDA A TIEMPO POR ELLO INDICA QUE SE ATRASO CON LOS PAGOS EN EL BANCO, INDICA QUE ELLA YA LLEVA TRABAJANDO HACE 3 MESES Y LE PAGAN TODOS LOS 18, MENCIONA QUE TIENE UN BBVA POR ADUANAS CERCA PARA ACERCARSE A VENTANILLA Y PAGARLO, PIDE QUE SE LE BRINDE EL PLAZO HASTA EL DIA 18 A LAS 3PM PARA IR AL BANCO Y CANCELAR LA DEUDA, YA QUE AHORA MISMO NO CUENTA CON NINGUN IMPORTE PARA DAR UN ADELANTO O PAGAR UNA PARTE, SE GENERA PPC PARA EL DIA 18, SUSTENTO DE PAGO RECIBE PARTE DE SU SUELDO PARA ESE DIA. </t>
  </si>
  <si>
    <t>Sustento de pago PPC - Trabajo eventual / HORARIO DE PAGO: Tarde / NOTA: se le envia compromiso de pago via wsp 1er pago  de 1500  dia 05/12</t>
  </si>
  <si>
    <t>2do pago de 1500  dia 30/12</t>
  </si>
  <si>
    <t xml:space="preserve">Sustento de pago PPC - Trabajo eventual / HORARIO DE PAGO: Tarde / NOTA: se le informa dk. dt camp 18800, dice que podria adelantar 5500, y 3000por la tarde y la diferencia fin de mes </t>
  </si>
  <si>
    <t>Sustento de pago PPC - Trabajo eventual / HORARIO DE PAGO: Tarde / NOTA: se le informa que trate de adelantar y no esperar ultima hora para evitar interes</t>
  </si>
  <si>
    <t>Sustento de pago PPC - Trabajo eventual / HORARIO DE PAGO: Tarde / NOTA: se propone can 200 - tt dice para el dia 15 - propongo adelanto 100 viernes 8 y completa el 15 con 100 tt ok ,pagara por agencia trujillo</t>
  </si>
  <si>
    <t>Sustento de pago PPC - Trabajo eventual / HORARIO DE PAGO: Tarde / NOTA: TIT PAGARÁ CAMPAÑA DE 4K EN 2 PARTES DENTRO DE MARZO</t>
  </si>
  <si>
    <t xml:space="preserve"> 2K HOY POR LA TARDE EN EL BANCO Y 2K EL LUNES 30.03 </t>
  </si>
  <si>
    <t xml:space="preserve">Sustento de pago PPC - Trabajo eventual / HORARIO DE PAGO: Tarde / NOTA: titular pagara el lunes 13350 primer pago y el resto para el 31/12 13350 se le envía cuanta bcp y interbank </t>
  </si>
  <si>
    <t>Sustento de pago PPC - Trabajo eventual / HORARIO DE PAGO: Tarde / NOTA: TODO LO CONVERSADO CON EL CLIENTE se informa dt 25,064.63, dk 22,981.71, can con 6550, indica que ha recibido un pago de haberes  de un trabajo eventual y quiere cancelar, esta a la espera de completar el monto de la campaña, se le solicita que adelante 1000 soles, restante para fin de mes, pide que para el miércoles este realizando el deposito, que se le envíe cuentas y documentación de acuerdo.</t>
  </si>
  <si>
    <t>MOTIVO DE NO PAGO problemas familiares</t>
  </si>
  <si>
    <t>SUSTENTO DE PAGO    trabajo eventual</t>
  </si>
  <si>
    <t>MONTO DE PROPUESTA  6550</t>
  </si>
  <si>
    <t>FECHA DE PGO   18/02</t>
  </si>
  <si>
    <t>Sustento de pago PPC - Trabajo eventual / HORARIO DE PAGO: Tarde / NOTA: TT  envia foto del voucher por transferencia monto de 300 (compromiso de pago) diferencia para el dia sabado 30/ menciona  tiene  intencion de dar solucion, se pide  realice  pago en tiempo y  forma correcta</t>
  </si>
  <si>
    <t>Sustento de pago PPC - Trabajo eventual / HORARIO DE PAGO: Tarde / NOTA: tt adelanta 50 hoy 10.06 y dif.fdm 2pm</t>
  </si>
  <si>
    <t xml:space="preserve">Sustento de pago PPC - Trabajo eventual / HORARIO DE PAGO: Tarde / NOTA: tt adelanto 1k a su compromiso por banco bbva </t>
  </si>
  <si>
    <t xml:space="preserve">Sustento de pago PPC - Trabajo eventual / HORARIO DE PAGO: Tarde / NOTA: tt adelanto s/ 200 día 06/10, el restante de s/ 200  cancelara día 24/10 </t>
  </si>
  <si>
    <t xml:space="preserve">Sustento de pago PPC - Trabajo eventual / HORARIO DE PAGO: Tarde / NOTA: TT ADELANTO S/400 HOY. SALDO RESTANTE S/200 FIN DE MES. </t>
  </si>
  <si>
    <t>Sustento de pago PPC - Trabajo eventual / HORARIO DE PAGO: Tarde / NOTA: tt afirma realizar el pago el viernes 3pm, se envió las cuentas de pago de bancos y Caja Los Andes.</t>
  </si>
  <si>
    <t>Sustento de pago PPC - Trabajo eventual / HORARIO DE PAGO: Tarde / NOTA: TT AGRADECE , SE EMNCIOAN  QUE NO SE APROBARA OTRO MONTO DE CANCELACION,  PAGO LO HACE POT OFICINA CAJA LOS ANDES, SE ENVIA CUENTAS</t>
  </si>
  <si>
    <t xml:space="preserve">Sustento de pago PPC - Trabajo eventual / HORARIO DE PAGO: Tarde / NOTA: TT CANCELA 700 lunes abona 200 al viernes adelanto y lunes  completa </t>
  </si>
  <si>
    <t xml:space="preserve">Sustento de pago PPC - Trabajo eventual / HORARIO DE PAGO: Tarde / NOTA: TT CANCELA CON 274 - 137 HOY 06/12 Y 137 22/12 / PAGA POR BCP ENTRE 4 A 5 PM </t>
  </si>
  <si>
    <t>Sustento de pago PPC - Trabajo eventual / HORARIO DE PAGO: Tarde / NOTA: tt cancela su deuda con 4500</t>
  </si>
  <si>
    <t xml:space="preserve">Sustento de pago PPC - Trabajo eventual / HORARIO DE PAGO: Tarde / NOTA: TT CANCELA SU ULTIMA CUOTA ESTE MES DE 1,000 SOLES </t>
  </si>
  <si>
    <t xml:space="preserve">Sustento de pago PPC - Trabajo eventual / HORARIO DE PAGO: Tarde / NOTA: tt cancelar  su deuda con 500 soles </t>
  </si>
  <si>
    <t>Sustento de pago PPC - Trabajo eventual / HORARIO DE PAGO: Tarde / NOTA: TT CONFIRMA IMPORTE, MENCIONA DE QUE HARA EL PAGO EN EL TRANSCURSO DEL DIA PLAN DE 9 AM A 12 PM, INDICO QUE LO HARA EN LA OFICINA DE IBK</t>
  </si>
  <si>
    <t xml:space="preserve">Sustento de pago PPC - Trabajo eventual / HORARIO DE PAGO: Tarde / NOTA: TT CONFIRMA LOS DOCUMENTOS TODO OK , SE LE ENVIA A SU CORREO alexwhilinton@gmail.com INDICA QUE HARA EL PAGO POR AGENTE BCP, SE LE BRINDA LAS CUENTAS TODO OK HARA EL PAGO ANTES DE LAS 5 PM, SE DA SEGUIMIENTO YA QUE TIENE UN POCO DE DESCONFIANZA TMB SE LE BRINDO NUMEROS DE LA SBS. SE GENERA PPC DE 3700 EN DOS PARTES, HOY HARA EL PAGO DE 2500 Y EL DIA 30 LOS 1200. </t>
  </si>
  <si>
    <t>Sustento de pago PPC - Trabajo eventual / HORARIO DE PAGO: Tarde / NOTA: tt confirma pago en misma fecha en ofocina y carta por oficina</t>
  </si>
  <si>
    <t>Sustento de pago PPC - Trabajo eventual / HORARIO DE PAGO: Tarde / NOTA: tt confirma pago para el dia 30 - via trans. bcp</t>
  </si>
  <si>
    <t>Sustento de pago PPC - Trabajo eventual / HORARIO DE PAGO: Tarde / NOTA: tt confirma pago por agente - enviara foto del voucher hoy</t>
  </si>
  <si>
    <t xml:space="preserve">Sustento de pago PPC - Trabajo eventual / HORARIO DE PAGO: Tarde / NOTA: tt confirma que HOY PAGA 500 SOLES BANCO INTERBANK y a fin de mes 30.07.25 PAGA 1,000 SOLES para completar los 1500 soles aprobados </t>
  </si>
  <si>
    <t xml:space="preserve">Sustento de pago PPC - Trabajo eventual / HORARIO DE PAGO: Tarde / NOTA: TT CONFIRMA TODA LA INFORMACION HARA EL PAGO POR BCP, TODO OK 5500 COMO SE ACORDO, HARA EL PAGO ANTES DE LAS 2 PM. </t>
  </si>
  <si>
    <t>Sustento de pago PPC - Trabajo eventual / HORARIO DE PAGO: Tarde / NOTA: TT CONFIRMA, ESTA EN EL BANCO, HARA EL PAGO EN OFICINA BBVA, TODO OK CON LOS DOCUMENTOS. 1450 ANTES DE LAS 4:30</t>
  </si>
  <si>
    <t>Sustento de pago PPC - Trabajo eventual / HORARIO DE PAGO: Tarde / NOTA: tt hara pago de su deuda monto 492 soles // 15/06 paga 246 soles y el 30/06 paga 246 soles restantes si cumple con el primer pago se modificara ppc</t>
  </si>
  <si>
    <t>Sustento de pago PPC - Trabajo eventual / HORARIO DE PAGO: Tarde / NOTA: tt hoy pagara 380, diferencia a fines de mes. pagara en CDK 5.30pm</t>
  </si>
  <si>
    <t xml:space="preserve">Sustento de pago PPC - Trabajo eventual / HORARIO DE PAGO: Tarde / NOTA: tt indica confirmar el pago de 265 soles para el 24.03.25 en caja trujillo </t>
  </si>
  <si>
    <t xml:space="preserve">Sustento de pago PPC - Trabajo eventual / HORARIO DE PAGO: Tarde / NOTA: TT INDICA ESTA ESPERANDO PAGO, REALIZARA POR AGENTE </t>
  </si>
  <si>
    <t xml:space="preserve">Sustento de pago PPC - Trabajo eventual / HORARIO DE PAGO: Tarde / NOTA: tt indica que el dia sabado liquida su  deuda cin 300 soles </t>
  </si>
  <si>
    <t>Sustento de pago PPC - Trabajo eventual / HORARIO DE PAGO: Tarde / NOTA: TT INDICA QUE REALIZARA HOY ADELANTO DE 400 Y FIN DE MES 150 PERO QUE HOY PAGUE LOS 400 SOLES</t>
  </si>
  <si>
    <t>Sustento de pago PPC - Trabajo eventual / HORARIO DE PAGO: Tarde / NOTA: TT INDICA QUE REVISARA LOS DOCUMENTOS QUE SE LE ENVIO, TODO OK CON LA INFORMACION PAGO DE 4000 PARA EL DIA DE HOY POR LA TARDE PAGA APOR TRANSFERENCIA.  ANTES DE LAS 2PM.</t>
  </si>
  <si>
    <t>Sustento de pago PPC - Trabajo eventual / HORARIO DE PAGO: Tarde / NOTA: tt paga en caja trujillo</t>
  </si>
  <si>
    <t>Sustento de pago PPC - Trabajo eventual / HORARIO DE PAGO: Tarde / NOTA: tt paga por agente bcp</t>
  </si>
  <si>
    <t>Sustento de pago PPC - Trabajo eventual / HORARIO DE PAGO: Tarde / NOTA: tt paga por ibk</t>
  </si>
  <si>
    <t>Sustento de pago PPC - Trabajo eventual / HORARIO DE PAGO: Tarde / NOTA: tt pagara el dia de hoy 5 k y los 2 k el dia 30/12</t>
  </si>
  <si>
    <t xml:space="preserve">Sustento de pago PPC - Trabajo eventual / HORARIO DE PAGO: Tarde / NOTA: tt pagara el dia viernes su deuda con 10  k por la tarde </t>
  </si>
  <si>
    <t>Sustento de pago PPC - Trabajo eventual / HORARIO DE PAGO: Tarde / NOTA: TT PAGARA POR AGENCIA</t>
  </si>
  <si>
    <t>Sustento de pago PPC - Trabajo eventual / HORARIO DE PAGO: Tarde / NOTA: TT pagara por yape el dia de mañana 4pm inicial de 190 y diferencia hasta el sgte martes</t>
  </si>
  <si>
    <t>Sustento de pago PPC - Trabajo eventual / HORARIO DE PAGO: Tarde / NOTA: tt propone cancelar con 400 , s emenciona que fue aprobado s eenvia metodo de pago por wsp</t>
  </si>
  <si>
    <t xml:space="preserve">Sustento de pago PPC - Trabajo eventual / HORARIO DE PAGO: Tarde / NOTA: TT REALIZARA PAGO EN MISMA ENTIDAD COMO EL MES PASADO </t>
  </si>
  <si>
    <t xml:space="preserve">Sustento de pago PPC - Trabajo eventual / HORARIO DE PAGO: Tarde / NOTA: TT realizó adelanto de S/1,000 por APP Scotiabank. </t>
  </si>
  <si>
    <t xml:space="preserve">Sustento de pago PPC - Trabajo eventual / HORARIO DE PAGO: Tarde / NOTA: tt realizo adelanto el dia de hoy de 2.5k </t>
  </si>
  <si>
    <t>Sustento de pago PPC - Trabajo eventual / HORARIO DE PAGO: Tarde / NOTA: TT SE ACOGE A CANCELAR DT. CON EL DESCUENTO DE 270.00 SOLES PARA EL 15/07 SE HARA SEGM</t>
  </si>
  <si>
    <t xml:space="preserve">Sustento de pago PPC - Trabajo eventual / HORARIO DE PAGO: Tarde / NOTA: tt se compromete a  cancelar con el importe s/ 500 </t>
  </si>
  <si>
    <t xml:space="preserve">Sustento de pago PPC - Trabajo eventual / HORARIO DE PAGO: Tarde / NOTA: tt se compromete a cancelar con el importe  s/ 400 </t>
  </si>
  <si>
    <t>Sustento de pago PPC - Trabajo eventual / HORARIO DE PAGO: Tarde / NOTA: tt se compromete a cancelar con elimporte de s/ 2,350  primer pago s/  1,500 hoy 02/07  y s/ 850 dia 30/07</t>
  </si>
  <si>
    <t xml:space="preserve">Sustento de pago PPC - Trabajo eventual / HORARIO DE PAGO: Tarde / NOTA: tt se compromete a cancelar con importe de s/.2800 </t>
  </si>
  <si>
    <t>Sustento de pago PPC - Trabajo eventual / HORARIO DE PAGO: Tarde / NOTA: TT SE COMPROMETE A CANCELAR EL IMPORTE DE S/. 840 DIA 30.4   ADELANTO  S/.100  EL RESTANTE S/.740 COMPLERAR A FIN DE MES DIA 30.4</t>
  </si>
  <si>
    <t xml:space="preserve">Sustento de pago PPC - Trabajo eventual / HORARIO DE PAGO: Tarde / NOTA: tt se compromete a cancelar s/ 110 </t>
  </si>
  <si>
    <t xml:space="preserve">Sustento de pago PPC - Trabajo eventual / HORARIO DE PAGO: Tarde / NOTA: tt se compromete a cancelelar con el importe s/ 185 </t>
  </si>
  <si>
    <t>Sustento de pago PPC - Trabajo eventual / HORARIO DE PAGO: Tarde / NOTA: tt se compromete a pagar ese dia si o si pide que se le de un descuento mejor se le dice que hasta con 255 solo por este mes se le envia info al wsp</t>
  </si>
  <si>
    <t>Sustento de pago PPC - Trabajo eventual / HORARIO DE PAGO: Tarde / NOTA: tt. indica que se encuentra en san Ignacio - cajamarca  esta reuniendo dinero de jornal , quiere que le brinden carta de no adeudo.</t>
  </si>
  <si>
    <t>Sustento de pago PPC - Trabajo eventual / HORARIO DE PAGO: Tarde / NOTA: TT. indica que vendera sus animalitos  y se prestara de familiares ya que quiere solucionar su deuda s/1500</t>
  </si>
  <si>
    <t xml:space="preserve">Sustento de pago PPC - Trabajo eventual / HORARIO DE PAGO: Tarde / NOTA: TT. Trabaja como ayudante de construccion le pagan el dia sabado realizara por agente se le envia las cuentas , cerca a oficina Puno </t>
  </si>
  <si>
    <t xml:space="preserve">Sustento de pago PPC - Trabajo eventual / HORARIO DE PAGO: Tarde / NOTA: TTI PAGARA CN ECPDEI0CJ APROBADA ESA FECHA EN LA TARDE </t>
  </si>
  <si>
    <t>Sustento de pago PPC - Trabajo eventual / HORARIO DE PAGO: Tarde / NOTA: ulima cuota m tt junatara hasta el dia jueves 04 , trabja del dia dia pagara enagnecia como el mes anterior</t>
  </si>
  <si>
    <t>Sustento de pago PPC - Trabajo eventual / HORARIO DE PAGO: Tarde / NOTA: ULTIMA CUOTA</t>
  </si>
  <si>
    <t>Sustento de pago PPC - Trabajo eventual / HORARIO DE PAGO: Tarde / NOTA: va ir adelantando entre el 15 o 16 algo cliente ya pago 200 falta la diferencia fin de mes</t>
  </si>
  <si>
    <t xml:space="preserve">Sustento de pago PPC - Trabajo eventual / HORARIO DE PAGO: Tarde / NOTA: va tratar juntar fin de mes </t>
  </si>
  <si>
    <t>Sustento de pago PPC - Última cuota de PPM</t>
  </si>
  <si>
    <t>Sustento de pago PPC - Última cuota de PPM / HORARIO DE PAGO: Mañana</t>
  </si>
  <si>
    <t xml:space="preserve">Sustento de pago PPC - Última cuota de PPM / HORARIO DE PAGO: Mañana / NOTA: </t>
  </si>
  <si>
    <t>Sustento de pago PPC - Última cuota de PPM / HORARIO DE PAGO: Mañana / NOTA:  CONFIRMA CUOTA  12 DE 12</t>
  </si>
  <si>
    <t xml:space="preserve">Sustento de pago PPC - Última cuota de PPM / HORARIO DE PAGO: Mañana / NOTA: 2 de 2 última cuota   </t>
  </si>
  <si>
    <t>Sustento de pago PPC - Última cuota de PPM / HORARIO DE PAGO: Mañana / NOTA: ACUERDO DE PAGO POR 3K PARA EL 25/06</t>
  </si>
  <si>
    <t xml:space="preserve">Sustento de pago PPC - Última cuota de PPM / HORARIO DE PAGO: Mañana / NOTA: ACUERDO DE PAGO POR 5K PARA HOY </t>
  </si>
  <si>
    <t xml:space="preserve">Sustento de pago PPC - Última cuota de PPM / HORARIO DE PAGO: Mañana / NOTA: Can 11050 soles, ultima cuota. </t>
  </si>
  <si>
    <t>Sustento de pago PPC - Última cuota de PPM / HORARIO DE PAGO: Mañana / NOTA: cancelacion ultima cuota el 15 de junio, importe 1015 soles</t>
  </si>
  <si>
    <t>Sustento de pago PPC - Última cuota de PPM / HORARIO DE PAGO: Mañana / NOTA: cl. paga 5k en quincena de junio y 5k el 30 de junio segun cronograma</t>
  </si>
  <si>
    <t>Sustento de pago PPC - Última cuota de PPM / HORARIO DE PAGO: Mañana / NOTA: cl. paga hoy 4k y sabado 3500</t>
  </si>
  <si>
    <t>Sustento de pago PPC - Última cuota de PPM / HORARIO DE PAGO: Mañana / NOTA: paga el 17 y el 28</t>
  </si>
  <si>
    <t>Sustento de pago PPC - Última cuota de PPM / HORARIO DE PAGO: Mañana / NOTA: pago de ultima cuota 250, lo hará por deposito , por la tarde 3 - 4pm</t>
  </si>
  <si>
    <t>Sustento de pago PPC - Última cuota de PPM / HORARIO DE PAGO: Mañana / NOTA: pago ultima cuota</t>
  </si>
  <si>
    <t>Sustento de pago PPC - Última cuota de PPM / HORARIO DE PAGO: Mañana / NOTA: PROGRAMACIÓN DE CUOTA NRO 3 DE 3</t>
  </si>
  <si>
    <t>Sustento de pago PPC - Última cuota de PPM / HORARIO DE PAGO: Mañana / NOTA: rango 10am a 11am</t>
  </si>
  <si>
    <t>Sustento de pago PPC - Última cuota de PPM / HORARIO DE PAGO: Mañana / NOTA: se programa 2do pago del tt le faltan 300 soles los pagara hoy 04/05</t>
  </si>
  <si>
    <t xml:space="preserve">Sustento de pago PPC - Última cuota de PPM / HORARIO DE PAGO: Mañana / NOTA: SE PROGRAMA CUOTA 2 Y ULTIMA PARA CAN EL 15 DE MAYO </t>
  </si>
  <si>
    <t xml:space="preserve">Sustento de pago PPC - Última cuota de PPM / HORARIO DE PAGO: Mañana / NOTA: Segunda y ultima cuota S/600 para fin de mes. </t>
  </si>
  <si>
    <t>Sustento de pago PPC - Última cuota de PPM / HORARIO DE PAGO: Mañana / NOTA: Sustento de pago PPM - Pago de planilla / HORARIO DE PAGO: Mañana / NOTA: cl. paga hoy 2k, febrero y marzo 2600 y abril 2800 cancela todos los fines de mes 4 de 4</t>
  </si>
  <si>
    <t>Sustento de pago PPC - Última cuota de PPM / HORARIO DE PAGO: Mañana / NOTA: Titular cancela en fecha acordada, solicita recordatorio para pago correspondiente</t>
  </si>
  <si>
    <t xml:space="preserve">Sustento de pago PPC - Última cuota de PPM / HORARIO DE PAGO: Mañana / NOTA: TITULAR CONFIRMA CUOTA 6 DE 6 YA PPC PARA EL DIA 27 DE JUNIO. </t>
  </si>
  <si>
    <t>Sustento de pago PPC - Última cuota de PPM / HORARIO DE PAGO: Mañana / NOTA: TITULAR CONFIRMA PAGO DE ULTIMA CUOTA 6</t>
  </si>
  <si>
    <t xml:space="preserve">PARA EL DIA 09/10/24 </t>
  </si>
  <si>
    <t xml:space="preserve">IMPORTE S/. 356.00  SOLES </t>
  </si>
  <si>
    <t xml:space="preserve">Sustento de pago PPC - Última cuota de PPM / HORARIO DE PAGO: Mañana / NOTA: TITULAR CONFIRMA PAGO DE ULTIMA CUOTA 640 SOLES PARA EL DIA LUNES 16/12/24 </t>
  </si>
  <si>
    <t xml:space="preserve">Sustento de pago PPC - Última cuota de PPM / HORARIO DE PAGO: Mañana / NOTA: TITULAR CONFIRMA PAGO DE ULTIMA CUOTA POR 283 SOLES PARA EL DIA 24/10/24 </t>
  </si>
  <si>
    <t>Sustento de pago PPC - Última cuota de PPM / HORARIO DE PAGO: Mañana / NOTA: Titular realizara ultima cuota de S/790.00 soles ,para el Jueves 26/02/2026 por app del BBVA .</t>
  </si>
  <si>
    <t>Sustento de pago PPC - Última cuota de PPM / HORARIO DE PAGO: Mañana / NOTA: tt abono dos mil soles ahora ,lo 4 mil que queda pendiente lo paga hasta el miércoles, cliente  esta pagando solo lo que queda pendiente del acuerdo del mes pasado que ha tenido ,coordinado con supervisor.</t>
  </si>
  <si>
    <t>Sustento de pago PPC - Última cuota de PPM / HORARIO DE PAGO: Mañana / NOTA: TT cancela  con 600 por transferencia</t>
  </si>
  <si>
    <t>Sustento de pago PPC - Última cuota de PPM / HORARIO DE PAGO: Mañana / NOTA: tt cancela ultima cuota PPM S/1200 29-05</t>
  </si>
  <si>
    <t>N° OP: 01297541 BCP</t>
  </si>
  <si>
    <t>Sustento de pago PPC - Última cuota de PPM / HORARIO DE PAGO: Mañana / NOTA: TT CANCELARA EL MONTO DE LOS S/1100.00 EL DIA 30/06 PARA LA CANCELACION TOTAL DE SU DEUDA.</t>
  </si>
  <si>
    <t>Sustento de pago PPC - Última cuota de PPM / HORARIO DE PAGO: Mañana / NOTA: tt cancelara el ultima cuota 15/15</t>
  </si>
  <si>
    <t>Sustento de pago PPC - Última cuota de PPM / HORARIO DE PAGO: Mañana / NOTA: TT confirma el pago de su última cuota para el día viernes 13-02 con el importe de S/3250</t>
  </si>
  <si>
    <t>Sustento de pago PPC - Última cuota de PPM / HORARIO DE PAGO: Mañana / NOTA: TT CONFIRMA PAGA ULTIMO DIA DE MES 30-6</t>
  </si>
  <si>
    <t>Sustento de pago PPC - Última cuota de PPM / HORARIO DE PAGO: Mañana / NOTA: TT confirma pago de la última cuota para el día 24.12</t>
  </si>
  <si>
    <t xml:space="preserve">Sustento de pago PPC - Última cuota de PPM / HORARIO DE PAGO: Mañana / NOTA: TT confirma pago de ultima cuota S/1350 para fin de mes, cancelación total. </t>
  </si>
  <si>
    <t xml:space="preserve">Sustento de pago PPC - Última cuota de PPM / HORARIO DE PAGO: Mañana / NOTA: tt envió comprobante de pago </t>
  </si>
  <si>
    <t xml:space="preserve">Sustento de pago PPC - Última cuota de PPM / HORARIO DE PAGO: Mañana / NOTA: tt hara su pago de su ultima cuota del mes para su cancelación con los 3500 </t>
  </si>
  <si>
    <t xml:space="preserve">Sustento de pago PPC - Última cuota de PPM / HORARIO DE PAGO: Mañana / NOTA: TT indica que aunque sea feriado él efectuará el pago el mismo 25.12 </t>
  </si>
  <si>
    <t>Sustento de pago PPC - Última cuota de PPM / HORARIO DE PAGO: Mañana / NOTA: tt indica que el diá 26 estaría realizando el pago de la ultima cuota</t>
  </si>
  <si>
    <t>Sustento de pago PPC - Última cuota de PPM / HORARIO DE PAGO: Mañana / NOTA: TT INDICA QUE EL MES PASADO LE FALTO 700 PARA CANCELAR, SE INFORMA CAMPAÑA YA NO ESTA DISPONIBLE, INDICA QUE SE LE BRINDE UNA, SE DA 1266 PARA CAN</t>
  </si>
  <si>
    <t>Sustento de pago PPC - Última cuota de PPM / HORARIO DE PAGO: Mañana / NOTA: TT indica que posiblemente efectué el pago antes, informará</t>
  </si>
  <si>
    <t>Sustento de pago PPC - Última cuota de PPM / HORARIO DE PAGO: Mañana / NOTA: tt paga el 11 de mayo cuota 750</t>
  </si>
  <si>
    <t xml:space="preserve">Sustento de pago PPC - Última cuota de PPM / HORARIO DE PAGO: Mañana / NOTA: tt paga el 15 su ultima cuota de 228 </t>
  </si>
  <si>
    <t>Sustento de pago PPC - Última cuota de PPM / HORARIO DE PAGO: Mañana / NOTA: tt paga el 30 de abril</t>
  </si>
  <si>
    <t>Sustento de pago PPC - Última cuota de PPM / HORARIO DE PAGO: Mañana / NOTA: TT PAGA EL 30 DE ABRIL.</t>
  </si>
  <si>
    <t xml:space="preserve">Sustento de pago PPC - Última cuota de PPM / HORARIO DE PAGO: Mañana / NOTA: tt paga su ultima cuota </t>
  </si>
  <si>
    <t xml:space="preserve">Sustento de pago PPC - Última cuota de PPM / HORARIO DE PAGO: Mañana / NOTA: tt paga su ultima cuota  de 300 </t>
  </si>
  <si>
    <t>Sustento de pago PPC - Última cuota de PPM / HORARIO DE PAGO: Mañana / NOTA: TT PAGARA SU  ULTIMA CUOTA DE ACUERDO.</t>
  </si>
  <si>
    <t>Sustento de pago PPC - Última cuota de PPM / HORARIO DE PAGO: Mañana / NOTA: tt pagara última cuota el 16</t>
  </si>
  <si>
    <t>Sustento de pago PPC - Última cuota de PPM / HORARIO DE PAGO: Mañana / NOTA: tt pga el 30 2415</t>
  </si>
  <si>
    <t>Sustento de pago PPC - Última cuota de PPM / HORARIO DE PAGO: Mañana / NOTA: TT REALIZARÁ EL PAGO DE SU ÚLTIMA CUOTA PARA EL DÍA 20-06 CON EL IMPORTE DE S/1,300.00</t>
  </si>
  <si>
    <t>Sustento de pago PPC - Última cuota de PPM / HORARIO DE PAGO: Mañana / NOTA: ultima cta de 1200</t>
  </si>
  <si>
    <t>Sustento de pago PPC - Última cuota de PPM / HORARIO DE PAGO: Mañana / NOTA: ULTIMA CUOTA (1000 ).</t>
  </si>
  <si>
    <t>Sustento de pago PPC - Última cuota de PPM / HORARIO DE PAGO: Mañana / NOTA: ultima cuota cancelación - 8000</t>
  </si>
  <si>
    <t>Sustento de pago PPC - Última cuota de PPM / HORARIO DE PAGO: Mañana / NOTA: ultima cuota de ppm</t>
  </si>
  <si>
    <t>Sustento de pago PPC - Última cuota de PPM / HORARIO DE PAGO: Mañana / NOTA: ÚLTIMA CUOTA DE PPM</t>
  </si>
  <si>
    <t>Sustento de pago PPC - Última cuota de PPM / HORARIO DE PAGO: Mañana / NOTA: ULTIMA CUOTA DE PPM, SE REPORTARA A SUPER</t>
  </si>
  <si>
    <t>Sustento de pago PPC - Última cuota de PPM / HORARIO DE PAGO: Mañana / NOTA: Última cuota de PPM, tt confirma pago para el día 10/12</t>
  </si>
  <si>
    <t xml:space="preserve">Sustento de pago PPC - Última cuota de PPM / HORARIO DE PAGO: Mañana / NOTA: ULTIMA CUOTA DE PPM. </t>
  </si>
  <si>
    <t>Sustento de pago PPC - Última cuota de PPM / HORARIO DE PAGO: Mañana / NOTA: Última cuota del cronograma otorgado</t>
  </si>
  <si>
    <t>Sustento de pago PPC - Última cuota de PPM / HORARIO DE PAGO: Mañana / NOTA: ULTIMA CUOTA EL DIA 27 DE FEBRERO DE 1,100</t>
  </si>
  <si>
    <t xml:space="preserve">Sustento de pago PPC - Última cuota de PPM / HORARIO DE PAGO: Mañana / NOTA: Ultima cuota paga el dia 30 </t>
  </si>
  <si>
    <t xml:space="preserve">Sustento de pago PPC - Última cuota de PPM / HORARIO DE PAGO: Mañana / NOTA: ULTIMA CUOTA PPM </t>
  </si>
  <si>
    <t xml:space="preserve">Sustento de pago PPC - Última cuota de PPM / HORARIO DE PAGO: Mañana / NOTA: ÚLTIMA CUOTA PPM </t>
  </si>
  <si>
    <t>Sustento de pago PPC - Última cuota de PPM / HORARIO DE PAGO: Mañana / NOTA: ÚLTIMA CUOTA. REALIZO PAGO AYER. ENVIA COMPROBANTE</t>
  </si>
  <si>
    <t>Sustento de pago PPC - Última cuota de PPM / HORARIO DE PAGO: Mañana / NOTA: ultimo pago de cronograma para fin de mes confirma pago para el 30/06</t>
  </si>
  <si>
    <t xml:space="preserve">Sustento de pago PPC - Última cuota de PPM / HORARIO DE PAGO: Medioda / NOTA: </t>
  </si>
  <si>
    <t>Sustento de pago PPC - Última cuota de PPM / HORARIO DE PAGO: Medioda / NOTA: acuerdo de pago de 9100 para el 28/02 pagos previos realizados de manera correcta</t>
  </si>
  <si>
    <t xml:space="preserve">Sustento de pago PPC - Última cuota de PPM / HORARIO DE PAGO: Medioda / NOTA: cuota 3 de 3   ultima cuota </t>
  </si>
  <si>
    <t xml:space="preserve">Sustento de pago PPC - Última cuota de PPM / HORARIO DE PAGO: Medioda / NOTA: pago de ultima cuota </t>
  </si>
  <si>
    <t xml:space="preserve">Sustento de pago PPC - Última cuota de PPM / HORARIO DE PAGO: Medioda / NOTA: Sustento de pago PPM - Liquidación, AFP, ahorros / HORARIO DE PAGO: Mañana / NOTA: tit cancela deuda con el monto de S/1500 , adelanta 900 soles hoy 18/03 y la diferencia S/600 el 18/04, pago de adelanto lo realiza por transferencia en el transcurso de la mañana cuota de 2 ppm asignada </t>
  </si>
  <si>
    <t>Sustento de pago PPC - Última cuota de PPM / HORARIO DE PAGO: Medioda / NOTA: Titular emplea el pago de su ultima cuota por el importe de S/1,000.00 soles para el Jueves 30/04/2026 por APP BBVA.</t>
  </si>
  <si>
    <t xml:space="preserve">Sustento de pago PPC - Última cuota de PPM / HORARIO DE PAGO: Medioda / NOTA: tt genera la confirmacion de ultima cuota de 11.256 para fin de mes </t>
  </si>
  <si>
    <t>Sustento de pago PPC - Última cuota de PPM / HORARIO DE PAGO: Medioda / NOTA: TT PAGA ULTIMA CUOTA 6 DE 6 , PAGO DE 113   16/03</t>
  </si>
  <si>
    <t>Sustento de pago PPC - Última cuota de PPM / HORARIO DE PAGO: Medioda / NOTA: TT PAGA ULTIMA CUOTA AL 15/6 PAGA 2200</t>
  </si>
  <si>
    <t>Sustento de pago PPC - Última cuota de PPM / HORARIO DE PAGO: Medioda / NOTA: TT PAGA ULTIMA CUOTA AL 30-6</t>
  </si>
  <si>
    <t>Sustento de pago PPC - Última cuota de PPM / HORARIO DE PAGO: Medioda / NOTA: tt realizara pago de ultima cuota de 5168  el día 20/03   a las cuentas corrientes autorizadas</t>
  </si>
  <si>
    <t>Sustento de pago PPC - Última cuota de PPM / HORARIO DE PAGO: Medioda / NOTA: ultima cuota de PPM, cl confrima que realiza el pago el 27/02.  pago de 500</t>
  </si>
  <si>
    <t>Sustento de pago PPC - Última cuota de PPM / HORARIO DE PAGO: Mediodía</t>
  </si>
  <si>
    <t xml:space="preserve">Sustento de pago PPC - Última cuota de PPM / HORARIO DE PAGO: Mediodía / NOTA: </t>
  </si>
  <si>
    <t>Sustento de pago PPC - Última cuota de PPM / HORARIO DE PAGO: Mediodía / NOTA: RDP JHON WILFREDO CARDOZA TICONA PAGA EN CAJA LOS ANDES</t>
  </si>
  <si>
    <t>Sustento de pago PPC - Última cuota de PPM / HORARIO DE PAGO: Mediodía / NOTA: TT CANCELA 270 PARA EL 24 AGOSTO, SI CONSIGUE ANTES AVISARA</t>
  </si>
  <si>
    <t>Sustento de pago PPC - Última cuota de PPM / HORARIO DE PAGO: Mediodía / NOTA: TT CANCELARA SALDO DE 750.00 SOLES EL 27/09 SE VLL.</t>
  </si>
  <si>
    <t>Sustento de pago PPC - Última cuota de PPM / HORARIO DE PAGO: Mediodía / NOTA: ULTIMA CUOTA DE LA PPM</t>
  </si>
  <si>
    <t>Sustento de pago PPC - Última cuota de PPM / HORARIO DE PAGO: Tarde</t>
  </si>
  <si>
    <t>Sustento de pago PPC - Última cuota de PPM / HORARIO DE PAGO: Tarde / CANAL ENVIO - LLAMADA / NOTA: SE PROGRAMA LA ÚLTIMA CUOTA DE LA PPM</t>
  </si>
  <si>
    <t xml:space="preserve">Sustento de pago PPC - Última cuota de PPM / HORARIO DE PAGO: Tarde / NOTA: </t>
  </si>
  <si>
    <t>Sustento de pago PPC - Última cuota de PPM / HORARIO DE PAGO: Tarde / NOTA: CANCELA ULTIMO PAGO DE PPC</t>
  </si>
  <si>
    <t>Sustento de pago PPC - Última cuota de PPM / HORARIO DE PAGO: Tarde / NOTA: Cliente realizará el pago de su última cuota por transferencia.</t>
  </si>
  <si>
    <t>Sustento de pago PPC - Última cuota de PPM / HORARIO DE PAGO: Tarde / NOTA: CLIENTE ULTIMA CUOTA DE PPM SE LE PEDIRA ADELANTAR PAGO AL 28</t>
  </si>
  <si>
    <t>Sustento de pago PPC - Última cuota de PPM / HORARIO DE PAGO: Tarde / NOTA: COMPROMISO DE PAGO IMPORTE s/18,500 Soles, ULTIMA CUOTA, DIA: 27/02/26</t>
  </si>
  <si>
    <t>Sustento de pago PPC - Última cuota de PPM / HORARIO DE PAGO: Tarde / NOTA: CUOTA NRO 6 DE 6</t>
  </si>
  <si>
    <t>Sustento de pago PPC - Última cuota de PPM / HORARIO DE PAGO: Tarde / NOTA: Dt: 1,080.51 ; paga su última cuota de ppm 232 para el 27/02.</t>
  </si>
  <si>
    <t xml:space="preserve">Sustento de pago PPC - Última cuota de PPM / HORARIO DE PAGO: Tarde / NOTA: DT: S/.18,699.03 - CLIENTE CONFIRMA SU PAGO PARA EL 30-01 , PAGA POR LA TARDE , ULTIMA CUOTA DE PPM </t>
  </si>
  <si>
    <t>Sustento de pago PPC - Última cuota de PPM / HORARIO DE PAGO: Tarde / NOTA: Encargado de la deuda Sr.Sergio,indica que realizará el pago antes de las 6 p.m.</t>
  </si>
  <si>
    <t>Sustento de pago PPC - Última cuota de PPM / HORARIO DE PAGO: Tarde / NOTA: excepción aprobada</t>
  </si>
  <si>
    <t>cliente realizara el pago de su ultima cuota el 30/04</t>
  </si>
  <si>
    <t>Sustento de pago PPC - Última cuota de PPM / HORARIO DE PAGO: Tarde / NOTA: MONTO NEGOCIADO: 10.000 (DIFERENCIA)</t>
  </si>
  <si>
    <t>*SUSTENTO: PRESTAMO LABORAL</t>
  </si>
  <si>
    <t>*MOTIVO DE NO PAGO: MES DE MAYO ASUMIO 5K ESTE MES LA DIFERENCIA  DE 10K</t>
  </si>
  <si>
    <t>*FECHA: 16/06  QUE RETORNA DE VIAJE</t>
  </si>
  <si>
    <t>*PROPUESTA:10.000 (ULTIMA CUOTA)</t>
  </si>
  <si>
    <t>Sustento de pago PPC - Última cuota de PPM / HORARIO DE PAGO: Tarde / NOTA: Oficina Tingo Maria    s/204</t>
  </si>
  <si>
    <t>Sustento de pago PPC - Última cuota de PPM / HORARIO DE PAGO: Tarde / NOTA: programación de la ultima cuota de PPM</t>
  </si>
  <si>
    <t>Sustento de pago PPC - Última cuota de PPM / HORARIO DE PAGO: Tarde / NOTA: PROGRAMACIÓN DE ULTIMA CUOTA DE PPM</t>
  </si>
  <si>
    <t xml:space="preserve">Sustento de pago PPC - Última cuota de PPM / HORARIO DE PAGO: Tarde / NOTA: Realizara pago el 26 </t>
  </si>
  <si>
    <t xml:space="preserve">Sustento de pago PPC - Última cuota de PPM / HORARIO DE PAGO: Tarde / NOTA: RP SRA ISABEL CONFIRMA PAGO MEDIANTE EL WSP </t>
  </si>
  <si>
    <t xml:space="preserve">Sustento de pago PPC - Última cuota de PPM / HORARIO DE PAGO: Tarde / NOTA: s/100 oficina Tarma </t>
  </si>
  <si>
    <t xml:space="preserve">Sustento de pago PPC - Última cuota de PPM / HORARIO DE PAGO: Tarde / NOTA: s/340   app bcp </t>
  </si>
  <si>
    <t>Sustento de pago PPC - Última cuota de PPM / HORARIO DE PAGO: Tarde / NOTA: se genera ppc en base a confirmacion de cliente con fecha de cancelacion de acuerdo establecido el mes pasado</t>
  </si>
  <si>
    <t>Debera abonar la diferencia hasta el día jueves 22.</t>
  </si>
  <si>
    <t>Sustento de pago PPC - Última cuota de PPM / HORARIO DE PAGO: Tarde / NOTA: se programa 2da cuota de 2 por el importe de 2000 soles, se sube excepción ultima cuota</t>
  </si>
  <si>
    <t xml:space="preserve">Sustento de pago PPC - Última cuota de PPM / HORARIO DE PAGO: Tarde / NOTA: SE PROGRAMA EL PAGO DE LA CUOTA NRO 12 DE 12 </t>
  </si>
  <si>
    <t xml:space="preserve">Sustento de pago PPC - Última cuota de PPM / HORARIO DE PAGO: Tarde / NOTA: SE PROGRAMA ULTIMA CUOTA DE PPM </t>
  </si>
  <si>
    <t>Sustento de pago PPC - Última cuota de PPM / HORARIO DE PAGO: Tarde / NOTA: SE PROGRAMA ULTIMA CUOTA DE PPM 2200 PARA EL 30.04</t>
  </si>
  <si>
    <t>Sustento de pago PPC - Última cuota de PPM / HORARIO DE PAGO: Tarde / NOTA: SE PROGRAMA ÚLTIMA CUOTA DE PPM CUOTA 6 DE 6</t>
  </si>
  <si>
    <t>Sustento de pago PPC - Última cuota de PPM / HORARIO DE PAGO: Tarde / NOTA: SE PROGRAMA ÚLTIMA CUOTA DE PPM, S/1340 + SALDO DE S/180</t>
  </si>
  <si>
    <t>Sustento de pago PPC - Última cuota de PPM / HORARIO DE PAGO: Tarde / NOTA: Sustento de pago PPC - Dinero en Mano / HORARIO DE PAGO: Medio dia / NOTA: Titular cancelar su ultima cuota de s/360.00 6- de 6  se reporta supervisora por el app del bcp cancela todos los meses 25 cancelara</t>
  </si>
  <si>
    <t>Sustento de pago PPC - Última cuota de PPM / HORARIO DE PAGO: Tarde / NOTA: Titular cancela última cuota de su convenio, se envía datos de pago vía WhatsApp</t>
  </si>
  <si>
    <t xml:space="preserve">Sustento de pago PPC - Última cuota de PPM / HORARIO DE PAGO: Tarde / NOTA: Titular comenta que cancela su ultima cuota de s/635.00 1 cuota app bcp </t>
  </si>
  <si>
    <t xml:space="preserve">Sustento de pago PPC - Última cuota de PPM / HORARIO DE PAGO: Tarde / NOTA: TITULAR CONFIRMA PAGO DE ULTIMA CUOTA PARA EL DIA 15 DE AGOSTO SE ELEVO EXCEPCION. </t>
  </si>
  <si>
    <t>Sustento de pago PPC - Última cuota de PPM / HORARIO DE PAGO: Tarde / NOTA: Titular confirma si manejo de su ultima cuota de S/2,132.00 soles para el Martes 30/06/2026 si logra antes confirmara, numero de contacto +1 (954) 258-6166.</t>
  </si>
  <si>
    <t xml:space="preserve">Sustento de pago PPC - Última cuota de PPM / HORARIO DE PAGO: Tarde / NOTA: TITULAR CONFIRMA SU PAGO DE ULTIMA CUOTA 1153 SOLES PARA EL DIA 20 DE AGOSTO. </t>
  </si>
  <si>
    <t>Sustento de pago PPC - Última cuota de PPM / HORARIO DE PAGO: Tarde / NOTA: Titular confirma último pago de fraccionamiento en fecha acordada</t>
  </si>
  <si>
    <t>Sustento de pago PPC - Última cuota de PPM / HORARIO DE PAGO: Tarde / NOTA: titular indica que pagara 500 soles el día 15/05 y 1200 soles el día 29/05</t>
  </si>
  <si>
    <t xml:space="preserve">Sustento de pago PPC - Última cuota de PPM / HORARIO DE PAGO: Tarde / NOTA: Titular paga su ultima cuota importe de 2,000 soles. </t>
  </si>
  <si>
    <t>Sustento de pago PPC - Última cuota de PPM / HORARIO DE PAGO: Tarde / NOTA: Titular realiza pago de ultima cuota de S/1,000 soles por app BCP.</t>
  </si>
  <si>
    <t>Sustento de pago PPC - Última cuota de PPM / HORARIO DE PAGO: Tarde / NOTA: tt  pago el 1de et</t>
  </si>
  <si>
    <t>Sustento de pago PPC - Última cuota de PPM / HORARIO DE PAGO: Tarde / NOTA: tt cancela en Caja Trujillo, se envía datos vía wsp</t>
  </si>
  <si>
    <t>Sustento de pago PPC - Última cuota de PPM / HORARIO DE PAGO: Tarde / NOTA: tt cancela sus dos últimas cuotas restantes de PPM</t>
  </si>
  <si>
    <t>Sustento de pago PPC - Última cuota de PPM / HORARIO DE PAGO: Tarde / NOTA: tt cancela última cuota de fraccionamiento.</t>
  </si>
  <si>
    <t>Sustento de pago PPC - Última cuota de PPM / HORARIO DE PAGO: Tarde / NOTA: tt cancela último pago de su convenio</t>
  </si>
  <si>
    <t xml:space="preserve">Sustento de pago PPC - Última cuota de PPM / HORARIO DE PAGO: Tarde / NOTA: tt cancelara su ultima cuota s/ 400 </t>
  </si>
  <si>
    <t xml:space="preserve">Sustento de pago PPC - Última cuota de PPM / HORARIO DE PAGO: Tarde / NOTA: tt cancelara ultima cuota s/.100 </t>
  </si>
  <si>
    <t>Sustento de pago PPC - Última cuota de PPM / HORARIO DE PAGO: Tarde / NOTA: tt cancelara ultima cuota s/.300</t>
  </si>
  <si>
    <t>Sustento de pago PPC - Última cuota de PPM / HORARIO DE PAGO: Tarde / NOTA: tt confirma pago de su cuota N°3 de 3  la ultima  con el importe de S/270 para la fecha indicada en caso disponga antes avisara.</t>
  </si>
  <si>
    <t>Sustento de pago PPC - Última cuota de PPM / HORARIO DE PAGO: Tarde / NOTA: tt confirma pago de su cuota N°3 de 3 la ultima  con el importe de S/260 en la fecha indicada si en caso disponga antes el confirmara mediante wsp.</t>
  </si>
  <si>
    <t>Sustento de pago PPC - Última cuota de PPM / HORARIO DE PAGO: Tarde / NOTA: tt confirma pago de su cuota N°3 de 3 la ultima con el importe de S/570 en la fecha indicada en caso disponga de antes avisara.</t>
  </si>
  <si>
    <t xml:space="preserve">Sustento de pago PPC - Última cuota de PPM / HORARIO DE PAGO: Tarde / NOTA: tt confirma pago de su segunda y última cuota para el 8/06 s/500, espera pago de haberes. </t>
  </si>
  <si>
    <t>Sustento de pago PPC - Última cuota de PPM / HORARIO DE PAGO: Tarde / NOTA: tt confirma pago indica si ella tiene posibilidad puede ir abonando poco a poco hasta el dia 15.07</t>
  </si>
  <si>
    <t xml:space="preserve">Sustento de pago PPC - Última cuota de PPM / HORARIO DE PAGO: Tarde / NOTA: TT confirma que hará adelanto el día de hoy por la tarde y la diferencia hasta fdm. </t>
  </si>
  <si>
    <t>Sustento de pago PPC - Última cuota de PPM / HORARIO DE PAGO: Tarde / NOTA: TT CUMPLIO CON SU CUOTA EL DIA 22/05 ENVIO SU COMPROBANTE DE PAGO.</t>
  </si>
  <si>
    <t>Sustento de pago PPC - Última cuota de PPM / HORARIO DE PAGO: Tarde / NOTA: TT indica que viene llevando un acuerdo con una asesora, en el cual este mes le corresponde pagar su última cuota de un c3 que realizo por 272, se consulta fecha de pago e indica que el viene abonando los 23 pero que este mes quisiera que se le brinde unos días más hasta el 29 pero que si llega a disponer del dinero antes adjuntará el comprobante de pago. Se fija PDP para el día de hoy y se solicitará a super apoyo con cambio de fecha</t>
  </si>
  <si>
    <t xml:space="preserve">Sustento de pago PPC - Última cuota de PPM / HORARIO DE PAGO: Tarde / NOTA: tt menciona que el pago de su cuota N°2 de 2 la ultima lo estaría realizando en la fecha indicada con el importe de S/14000 , si en caso disponga de antes el avisara </t>
  </si>
  <si>
    <t xml:space="preserve">Sustento de pago PPC - Última cuota de PPM / HORARIO DE PAGO: Tarde / NOTA: tt nonfirma que pagará la última cuota el 28 de febrero, por el monto de 335 soles. </t>
  </si>
  <si>
    <t>Sustento de pago PPC - Última cuota de PPM / HORARIO DE PAGO: Tarde / NOTA: tt paga el martes 1400</t>
  </si>
  <si>
    <t>Sustento de pago PPC - Última cuota de PPM / HORARIO DE PAGO: Tarde / NOTA: tt paga por bcp</t>
  </si>
  <si>
    <t>Sustento de pago PPC - Última cuota de PPM / HORARIO DE PAGO: Tarde / NOTA: tt paga s/ 5,000.00  ahora vía trasferencia bcp.</t>
  </si>
  <si>
    <t xml:space="preserve">Sustento de pago PPC - Última cuota de PPM / HORARIO DE PAGO: Tarde / NOTA: tt pagara  ultima cuota </t>
  </si>
  <si>
    <t xml:space="preserve">Sustento de pago PPC - Última cuota de PPM / HORARIO DE PAGO: Tarde / NOTA: tt pagara la ultima cuota </t>
  </si>
  <si>
    <t xml:space="preserve">Sustento de pago PPC - Última cuota de PPM / HORARIO DE PAGO: Tarde / NOTA: tt pagara la ultima cuota de su cronograma de 6 cuotas </t>
  </si>
  <si>
    <t>Sustento de pago PPC - Última cuota de PPM / HORARIO DE PAGO: Tarde / NOTA: tt pagara ultima cuota</t>
  </si>
  <si>
    <t xml:space="preserve">Sustento de pago PPC - Última cuota de PPM / HORARIO DE PAGO: Tarde / NOTA: TT REALIZA PAGO ULTIMA CUOTA EL 25.02.2026 </t>
  </si>
  <si>
    <t>Sustento de pago PPC - Última cuota de PPM / HORARIO DE PAGO: Tarde / NOTA: TT realizará pago de su última cuota, se explica plazo de entrega de 24 horas una vez envíe el voucher.</t>
  </si>
  <si>
    <t xml:space="preserve">Sustento de pago PPC - Última cuota de PPM / HORARIO DE PAGO: Tarde / NOTA: Tt realizara pago de Ultima cuota de cronograma de pago para 15na de abril </t>
  </si>
  <si>
    <t xml:space="preserve">Sustento de pago PPC - Última cuota de PPM / HORARIO DE PAGO: Tarde / NOTA: TT realizará pago por APP 6PM </t>
  </si>
  <si>
    <t>Sustento de pago PPC - Última cuota de PPM / HORARIO DE PAGO: Tarde / NOTA: tt se compromete a cancelar su ultima cuota  s/ 265 día 19/12</t>
  </si>
  <si>
    <t xml:space="preserve">Sustento de pago PPC - Última cuota de PPM / HORARIO DE PAGO: Tarde / NOTA: TT SE LE BRINDA EL PAGO QUE CORRESPONDE DE ESTE PARA PODER LIQUIDAR LA DEUDA DE SU CONVENIO CON 2500 EL DIA LUNES 15 LO PAGARA POR APP BCP A LAS 3 PM APROX SALIENDO DEL TRABAJO </t>
  </si>
  <si>
    <t>Sustento de pago PPC - Última cuota de PPM / HORARIO DE PAGO: Tarde / NOTA: tt. confirma cancelacion s/6500     28/02</t>
  </si>
  <si>
    <t>Sustento de pago PPC - Última cuota de PPM / HORARIO DE PAGO: Tarde / NOTA: tti paga ultima cuota esa fecha</t>
  </si>
  <si>
    <t>Sustento de pago PPC - Última cuota de PPM / HORARIO DE PAGO: Tarde / NOTA: ultima cuota 1500 - pago por caja arequipa</t>
  </si>
  <si>
    <t>Sustento de pago PPC - Última cuota de PPM / HORARIO DE PAGO: Tarde / NOTA: ULTIMA CUOTA 356 AL DIA 19 DE ENERO SEGUN ACUERDO DE PAGO</t>
  </si>
  <si>
    <t>Sustento de pago PPC - Última cuota de PPM / HORARIO DE PAGO: Tarde / NOTA: ultima cuota de convenio de pago 24.11</t>
  </si>
  <si>
    <t>Sustento de pago PPC - Última cuota de PPM / HORARIO DE PAGO: Tarde / NOTA: ultima cuota de ppm</t>
  </si>
  <si>
    <t>Sustento de pago PPC - Última cuota de PPM / HORARIO DE PAGO: Tarde / NOTA: Última cuota de PPM</t>
  </si>
  <si>
    <t>Sustento de pago PPC - Última cuota de PPM / HORARIO DE PAGO: Tarde / NOTA: Ultima cuota de PPM, segun cronograma.</t>
  </si>
  <si>
    <t xml:space="preserve">Sustento de pago PPC - Última cuota de PPM / HORARIO DE PAGO: Tarde / NOTA: Ultima cuota de PPM, tt realizará el pago el día 10/12 (pago de su sueldo). </t>
  </si>
  <si>
    <t>Sustento de pago PPC - Última cuota de PPM / HORARIO DE PAGO: Tarde / NOTA: ultima cuota de s/300  Oficina  oxapampa</t>
  </si>
  <si>
    <t>Sustento de pago PPC - Última cuota de PPM / HORARIO DE PAGO: Tarde / NOTA: ultima cuota ppm de 1022 para el dia 30</t>
  </si>
  <si>
    <t>Sustento de pago PPC - Un tercero se hará cargo / HORARIO DE PAGO: Mañana / NOTA: pagara</t>
  </si>
  <si>
    <t>Sustento de pago PPC - Un tercero se hará cargo / HORARIO DE PAGO: Medioda / NOTA: Papa el Sr. Cesar Moreno Antonio Abanto DNI: 18168871, realizara el pago para el Lunes 16/03/2026 por agencia Interbank.</t>
  </si>
  <si>
    <t xml:space="preserve">Sustento de pago PPC - Un tercero se hará cargo / HORARIO DE PAGO: Tarde / NOTA: </t>
  </si>
  <si>
    <t xml:space="preserve">Sustento de pago PPC - Un tercero se hará cargo / HORARIO DE PAGO: Tarde / NOTA: Apoderado Wilmer menciona que realizara el pago hoy por agente Interbank el monto de S/500 soles a las 5pm </t>
  </si>
  <si>
    <t>Sustento de pago PPC - Un tercero se hará cargo / HORARIO DE PAGO: Tarde / NOTA: Monto negociado:  6k</t>
  </si>
  <si>
    <t xml:space="preserve">sustento: fam se hace cargo </t>
  </si>
  <si>
    <t>Motivo de no pago:   problemas  de salud</t>
  </si>
  <si>
    <t>Fecha:  27/02</t>
  </si>
  <si>
    <t>Propuesta:   2500</t>
  </si>
  <si>
    <t xml:space="preserve">Observación: DT 20,185.60 DK 15,890.17 CAMP 6K </t>
  </si>
  <si>
    <t>hermano encargado de cuentas  personales  PETTER MEGO REGIFO DNI 41790486,  indica tt  enfremo no esta trabajando, por  ello  asumira  deuda, pero montos  son elelvados</t>
  </si>
  <si>
    <t xml:space="preserve"> _ Da prop de 2500  ( hoy  1k y  la diferencia para  el dia  viernes 27/ que cobra  haberes)</t>
  </si>
  <si>
    <t>_ Solicita  apoyo ya  que tiene  carga fam pero intencion es apoyar  a fam</t>
  </si>
  <si>
    <t>Sustento de pago PPC - Un tercero se hará cargo / HORARIO DE PAGO: Tarde / NOTA: TT ACCEDE A PAGAR EL IMPORTE DE 462.53 SOLES EL DIA DE MAÑANA EFECTUIARA EL PAGO YAQUE RECIBIRA DE UN PAGO DE TRABAJO, SE ENVIA DOCUMENTO VIA WSO Y CORREO ELECTRONICO</t>
  </si>
  <si>
    <t xml:space="preserve">Sustento de pago PPC - Un tercero se hará cargo / HORARIO DE PAGO: Tarde / NOTA: TT HARA PAGO 2000 Y 1500 FIN DE MES </t>
  </si>
  <si>
    <t>Sustento de pago PPC - Un tercero se hará cargo: _ / HORARIO DE PAGO: Mañana</t>
  </si>
  <si>
    <t>Sustento de pago PPC - Un tercero se hará cargo: _ / HORARIO DE PAGO: Tarde</t>
  </si>
  <si>
    <t>Sustento de pago PPC - Un tercero se hará cargo: _ yerno / HORARIO DE PAGO: Tarde</t>
  </si>
  <si>
    <t>Sustento de pago PPC - Un tercero se hará cargo: _esposo / HORARIO DE PAGO: Tarde</t>
  </si>
  <si>
    <t>Sustento de pago PPC - Un tercero se hará cargo: _HERMANA / HORARIO DE PAGO: Mañana</t>
  </si>
  <si>
    <t>Sustento de pago PPC - Un tercero se hará cargo: _hijo / HORARIO DE PAGO: Tarde</t>
  </si>
  <si>
    <t>Sustento de pago PPC - Un tercero se hará cargo: Ana Maria _Mamá / HORARIO DE PAGO: Tarde</t>
  </si>
  <si>
    <t>Sustento de pago PPC - Un tercero se hará cargo: DANTE_PAPÁ / HORARIO DE PAGO: Tarde</t>
  </si>
  <si>
    <t>Sustento de pago PPC - Un tercero se hará cargo: ESPOSO _esposo  / HORARIO DE PAGO: Mañana</t>
  </si>
  <si>
    <t>Sustento de pago PPC - Un tercero se hará cargo: Esteban Caja_Pareja / HORARIO DE PAGO: Tarde</t>
  </si>
  <si>
    <t>Sustento de pago PPC - Un tercero se hará cargo: Jenner_hermano  / HORARIO DE PAGO: Tarde</t>
  </si>
  <si>
    <t>Sustento de pago PPC - Un tercero se hará cargo: lucio_hermano / HORARIO DE PAGO: Mañana</t>
  </si>
  <si>
    <t>Sustento de pago PPC - Un tercero se hará cargo: MARCO ANTONIO_HIJO / HORARIO DE PAGO: Tarde</t>
  </si>
  <si>
    <t>Sustento de pago PPC - Un tercero se hará cargo: Nancy _Hermana  / HORARIO DE PAGO: Mediodía</t>
  </si>
  <si>
    <t>Sustento de pago PPC - Un tercero se hará cargo: nick_esposo / HORARIO DE PAGO: Tarde</t>
  </si>
  <si>
    <t>Sustento de pago PPC - Un tercero se hará cargo: NOEMI PURE_HERMANA / HORARIO DE PAGO: Mañana</t>
  </si>
  <si>
    <t>Sustento de pago PPC - Un tercero se hará cargo: Octavio Huananca Levita_conocido / HORARIO DE PAGO: Tarde</t>
  </si>
  <si>
    <t>Sustento de pago PPC - Un tercero se hará cargo: saul huamani_pareja / HORARIO DE PAGO: Mañana</t>
  </si>
  <si>
    <t>Sustento de pago PPC - Un tercero se hará cargo: Sofia Hurtado_hermana / HORARIO DE PAGO: Tarde</t>
  </si>
  <si>
    <t>Sustento de pago PPC - Un tercero se hará cargo: VICENTE _ESPOSO / HORARIO DE PAGO: Tarde</t>
  </si>
  <si>
    <t>Sustento de pago PPC - Un tercero se hará cargo: villanueva_ / HORARIO DE PAGO: Mañana</t>
  </si>
  <si>
    <t>Sustento de pago PPC - Un tercero se hará cargo: yajaira_hija / HORARIO DE PAGO: Mediodía</t>
  </si>
  <si>
    <t>Sustento de pago PPC - Un tercero se hará cargo: YOMER_HIJO / HORARIO DE PAGO: Tarde</t>
  </si>
  <si>
    <t>Sustento de pago PPC - Venta de inmueble</t>
  </si>
  <si>
    <t>Sustento de pago PPC - Venta de inmueble, productos o bienes / HORARIO DE PAGO: Mañana</t>
  </si>
  <si>
    <t>Sustento de pago PPC - Venta de inmueble, productos o bienes / HORARIO DE PAGO: Mañana / NOTA:  ESPOSA  SRA MARISOL  CAIRA  SUCASAIRE   SE HACE  CARGO  DE LA  DEUDA  PAGARA  A CUENTA  HOY 7/04  200  Y  LA  DIFERENCIA EL 14/04/25</t>
  </si>
  <si>
    <t>Sustento de pago PPC - Venta de inmueble, productos o bienes / HORARIO DE PAGO: Mañana / NOTA: se le brinda informacion de dt:1,900.16 y dk:1,431.13  primero se le brinda la campaña de min 2:532.38 , pero tt menciona que realiza trabajos independientes y no le alcanza ese monto , finalmente acepta la campaña de min1 s/360 , paga el lunes s/ 100 y el viernes s/ 260  pagaria mediante el bcp , es un cliente ya mayor.</t>
  </si>
  <si>
    <t xml:space="preserve">Sustento de pago PPC - Venta de inmueble, productos o bienes / HORARIO DE PAGO: Mañana / NOTA: TT SE ACERCA AL BANCO BBVA SABADO 07/09 A PODER CUMPLIR CON SU PAGO POR EL IMPORTE DE S/1100 </t>
  </si>
  <si>
    <t xml:space="preserve">SUSTENTO: VENTA DE MAIZ. </t>
  </si>
  <si>
    <t>Sustento de pago PPC - Venta de inmueble, productos o bienes / HORARIO DE PAGO: Mediodía</t>
  </si>
  <si>
    <t>Sustento de pago PPC - Venta de inmueble, productos o bienes / HORARIO DE PAGO: Mediodía / NOTA:  titular se acoge a excepcion aprobada de 2300 pagando 1000 hoy y 1300 el 30/06</t>
  </si>
  <si>
    <t>Sustento de pago PPC - Venta de inmueble, productos o bienes / HORARIO DE PAGO: Tarde</t>
  </si>
  <si>
    <t xml:space="preserve">Sustento de pago PPC - Venta de inmueble, productos o bienes / HORARIO DE PAGO: Tarde / NOTA: </t>
  </si>
  <si>
    <t>Sustento de pago PPC - Venta de inmueble, productos o bienes / HORARIO DE PAGO: Tarde / NOTA: 973189811 / / CLIENTE CONFIRMA PAGO PARA EL DÍA 30/07, YA QUE TUVO LA CONFORMIDAD DE SU COMPRADOR. IMPORTE A PAGAR ES MIN1. SE LE ENVIA DOCUMENTO DE CAMPAÑA.</t>
  </si>
  <si>
    <t xml:space="preserve">Sustento de pago PPC - Venta de inmueble, productos o bienes / HORARIO DE PAGO: Tarde / NOTA: CAMPAÑA 1950  HOY ABONA 50 SOLES Y LA DIFE  HASTA  EL 15 DE MAYO </t>
  </si>
  <si>
    <t>Sustento de pago PPC - Venta de inmueble, productos o bienes / HORARIO DE PAGO: Tarde / NOTA: Cliente realizará el primer abono de 1000 soles y la diferencia de 5000 soles a fin de mes</t>
  </si>
  <si>
    <t>Sustento de pago PPC - Venta de inmueble, productos o bienes / HORARIO DE PAGO: Tarde / NOTA: cliente realizará pago de S/.3200.00 soles hasta el 26-06, depósito en BCP.</t>
  </si>
  <si>
    <t>Sustento de pago PPC - Venta de inmueble, productos o bienes / HORARIO DE PAGO: Tarde / NOTA: MIRKO_PEREZ@HOTMAIL.COM                 /solict documento x correo y se confirma el apgo de 5k se eleva la propuesta / se prueba en linea con Mayra Llimpe</t>
  </si>
  <si>
    <t xml:space="preserve">Sustento de pago PPC - Venta de inmueble, productos o bienes / HORARIO DE PAGO: Tarde / NOTA: Monto negociado:   3467   camp especial </t>
  </si>
  <si>
    <t>sustento:  por  cobrar  de una  venta  de producto</t>
  </si>
  <si>
    <t>Fecha:  18/05 monto 1000 _ viernes 29/07 monto de 2,467</t>
  </si>
  <si>
    <t xml:space="preserve">Propuesta:        3467                                        </t>
  </si>
  <si>
    <t>Observación:  facilita correo para envio de carta compromiso        dabasvetsac@gmail.com</t>
  </si>
  <si>
    <t xml:space="preserve">a la espera del voucher para modificar la fecha de pago </t>
  </si>
  <si>
    <t>Sustento de pago PPC - Venta de productos</t>
  </si>
  <si>
    <t>Sustento de pago PPM - Liquidación, AFP, ahorros / HORARIO DE PAGO: Mañana / CANAL ENVIO - LLAMADA / NOTA: programación de cuota nro 3 de 5</t>
  </si>
  <si>
    <t xml:space="preserve">Sustento de pago PPM - Liquidación, AFP, ahorros / HORARIO DE PAGO: Mañana / CANAL ENVIO - LLAMADA / NOTA: tit  confirma que este mes si pagara el monto de 2500 tratar de pagar la totalidad pero confirmara en el transcurso del mes en comunicacion </t>
  </si>
  <si>
    <t xml:space="preserve">Sustento de pago PPM - Liquidación, AFP, ahorros / HORARIO DE PAGO: Mañana / NOTA: </t>
  </si>
  <si>
    <t>Sustento de pago PPM - Liquidación, AFP, ahorros / HORARIO DE PAGO: Mañana / NOTA:  Se realiza programacion de pago cuota 10 de 12</t>
  </si>
  <si>
    <t xml:space="preserve">Sustento de pago PPM - Liquidación, AFP, ahorros / HORARIO DE PAGO: Mañana / NOTA:  se realiza programacion de pago cuota nro 11  de 12 </t>
  </si>
  <si>
    <t xml:space="preserve">Sustento de pago PPM - Liquidación, AFP, ahorros / HORARIO DE PAGO: Mañana / NOTA:  TT REALIZARA EL PAGO DE SU CUOTA 12  DE 12    </t>
  </si>
  <si>
    <t xml:space="preserve">Sustento de pago PPM - Liquidación, AFP, ahorros / HORARIO DE PAGO: Mañana / NOTA:  TT REALIZARA EL PAGO DE SU CUOTA 8  DE 12      </t>
  </si>
  <si>
    <t xml:space="preserve">Sustento de pago PPM - Liquidación, AFP, ahorros / HORARIO DE PAGO: Mañana / NOTA:  TT REALIZARA EL PAGO DE SU CUOTA 9 DE 12    </t>
  </si>
  <si>
    <t>Monto negociado:  1,428 soles en crongorama</t>
  </si>
  <si>
    <t xml:space="preserve">Sustento:sueldo </t>
  </si>
  <si>
    <t>Motivo de no pago:Comenta que estuvo de viaje en el extranjero,por ello perdió el contacto con la entidad en su momento y perdió control de sus pagos</t>
  </si>
  <si>
    <t>Fecha: 25-08</t>
  </si>
  <si>
    <t xml:space="preserve">Propuesta: ppm 6c x 238 </t>
  </si>
  <si>
    <t>Sustento de pago PPM - Liquidación, AFP, ahorros / HORARIO DE PAGO: Mañana / NOTA: 10/10</t>
  </si>
  <si>
    <t>Sustento de pago PPM - Liquidación, AFP, ahorros / HORARIO DE PAGO: Mañana / NOTA: 12 x 376 soles  // cuota de abril es 10/12</t>
  </si>
  <si>
    <t>Sustento de pago PPM - Liquidación, AFP, ahorros / HORARIO DE PAGO: Mañana / NOTA: 2/12     ( 25 de marzo )</t>
  </si>
  <si>
    <t xml:space="preserve">3/12    ( 31 de marzo ) </t>
  </si>
  <si>
    <t xml:space="preserve">Sustento de pago PPM - Liquidación, AFP, ahorros / HORARIO DE PAGO: Mañana / NOTA: 250*6 meses </t>
  </si>
  <si>
    <t>Sustento de pago PPM - Liquidación, AFP, ahorros / HORARIO DE PAGO: Mañana / NOTA: 3/3 ,último importe de 500 soles</t>
  </si>
  <si>
    <t xml:space="preserve">Sustento de pago PPM - Liquidación, AFP, ahorros / HORARIO DE PAGO: Mañana / NOTA: 7 de 12 </t>
  </si>
  <si>
    <t>Sustento de pago PPM - Liquidación, AFP, ahorros / HORARIO DE PAGO: Mañana / NOTA: 9 de 10</t>
  </si>
  <si>
    <t xml:space="preserve">Sustento de pago PPM - Liquidación, AFP, ahorros / HORARIO DE PAGO: Mañana / NOTA: ACUERDO 12CxS/315 // CUOTA CORRESPONDIENTE MES DE ENERO 6/12  </t>
  </si>
  <si>
    <t>Sustento de pago PPM - Liquidación, AFP, ahorros / HORARIO DE PAGO: Mañana / NOTA: AVAL.  JOSE SERAPIO PAREJA QUISPE SE ACOGE A ANCELAR EL IMPORTE DE S/.8000.00 SOLES X12 CUOTAS 667.00, DESEA CANCELAR LA DT. CON 5000 SOLES QUE PUEDE SACAR UN PRESTAMO DE CAJA HUANCAYO.</t>
  </si>
  <si>
    <t xml:space="preserve">Sustento de pago PPM - Liquidación, AFP, ahorros / HORARIO DE PAGO: Mañana / NOTA: Campaña S/6000 en 3 cuotas cliente pagara S/4000 de lo de junio que no pudo cumplir por el retraso de su pago que ya explico y cuota de julio pagara el 31/07 con finaliza su cuenta // se le envia lo coordinado por correo  </t>
  </si>
  <si>
    <t xml:space="preserve">Sustento de pago PPM - Liquidación, AFP, ahorros / HORARIO DE PAGO: Mañana / NOTA: CL CONFIRMA PAGO DE SU 2DA CUOTA / INIDCA QUE SI LE PAGAN COMPLETO CANCELARA LA TOTALIDAD O EN CASO CONTRARIO REALIZARA EL PAGO DE SU CUOTA </t>
  </si>
  <si>
    <t>Sustento de pago PPM - Liquidación, AFP, ahorros / HORARIO DE PAGO: Mañana / NOTA: cl. indica que pagara segunda cuota de cronograma el dia 16 como maximo pero posiblemente sea antes 2 de 4</t>
  </si>
  <si>
    <t>Sustento de pago PPM - Liquidación, AFP, ahorros / HORARIO DE PAGO: Mañana / NOTA: CLIENTE CONFIRMA PAGO DE LA CUOTA NUMERO 12° DEL CRONOGRAMA. SOLO LE FALTA UNA CUOTA MÁS. CLIENTE DE MOMENTO SOLO CONFIRMA EL PAGO DE LA CUOTA DE ESTE MES. DICE QUE EVALUARIA VER SI A MEDIADOS DE MES PUEDA VER SI OPTA POR ALGO ADICIONAL.</t>
  </si>
  <si>
    <t xml:space="preserve">Sustento de pago PPM - Liquidación, AFP, ahorros / HORARIO DE PAGO: Mañana / NOTA: cliente confirma pago de su cuota el 28/02 seria el pago de su 4 ta cuota </t>
  </si>
  <si>
    <t>Sustento de pago PPM - Liquidación, AFP, ahorros / HORARIO DE PAGO: Mañana / NOTA: CLIENTE PAGA CUOTA N°3, CUOTA FINAL</t>
  </si>
  <si>
    <t xml:space="preserve">Sustento de pago PPM - Liquidación, AFP, ahorros / HORARIO DE PAGO: Mañana / NOTA: cliente pagara su cuota 275 la cuarta cuota </t>
  </si>
  <si>
    <t xml:space="preserve">Sustento de pago PPM - Liquidación, AFP, ahorros / HORARIO DE PAGO: Mañana / NOTA: comfirma abono, cuota 5 de 6  </t>
  </si>
  <si>
    <t>Sustento de pago PPM - Liquidación, AFP, ahorros / HORARIO DE PAGO: Mañana / NOTA: CONFIRMA ABONO MENSUAL</t>
  </si>
  <si>
    <t>Sustento de pago PPM - Liquidación, AFP, ahorros / HORARIO DE PAGO: Mañana / NOTA: CONFIRMA PAGO DE CUOTA 05 DE 10 PARA EL 31/07</t>
  </si>
  <si>
    <t>Sustento de pago PPM - Liquidación, AFP, ahorros / HORARIO DE PAGO: Mañana / NOTA: confirma pago para el 28/06 de la cuota 2 de 3</t>
  </si>
  <si>
    <t xml:space="preserve">Sustento de pago PPM - Liquidación, AFP, ahorros / HORARIO DE PAGO: Mañana / NOTA: confirma su cuota numero 5 para fin de mes. </t>
  </si>
  <si>
    <t xml:space="preserve">Sustento de pago PPM - Liquidación, AFP, ahorros / HORARIO DE PAGO: Mañana / NOTA: cta 2 de 3 </t>
  </si>
  <si>
    <t>Sustento de pago PPM - Liquidación, AFP, ahorros / HORARIO DE PAGO: Mañana / NOTA: cta 7 de 12 , paga el 25-08, indica posib de cancelac a fines de este mes o set, porq dice q esta dific continuar con cronogr</t>
  </si>
  <si>
    <t xml:space="preserve">Sustento de pago PPM - Liquidación, AFP, ahorros / HORARIO DE PAGO: Mañana / NOTA: CUOTA  6/12 MES  MAYO </t>
  </si>
  <si>
    <t xml:space="preserve">Sustento de pago PPM - Liquidación, AFP, ahorros / HORARIO DE PAGO: Mañana / NOTA: Cuota 04 de 06 </t>
  </si>
  <si>
    <t>Sustento de pago PPM - Liquidación, AFP, ahorros / HORARIO DE PAGO: Mañana / NOTA: Cuota 04 de 12</t>
  </si>
  <si>
    <t xml:space="preserve">Sustento de pago PPM - Liquidación, AFP, ahorros / HORARIO DE PAGO: Mañana / NOTA: Cuota 05 de 12 </t>
  </si>
  <si>
    <t>Sustento de pago PPM - Liquidación, AFP, ahorros / HORARIO DE PAGO: Mañana / NOTA: Cuota 08 de 12</t>
  </si>
  <si>
    <t>Sustento de pago PPM - Liquidación, AFP, ahorros / HORARIO DE PAGO: Mañana / NOTA: cuota 10 de 12 para el 28-02-2025</t>
  </si>
  <si>
    <t xml:space="preserve">Sustento de pago PPM - Liquidación, AFP, ahorros / HORARIO DE PAGO: Mañana / NOTA: cuota 11 de 12 </t>
  </si>
  <si>
    <t>Sustento de pago PPM - Liquidación, AFP, ahorros / HORARIO DE PAGO: Mañana / NOTA: cuota 12 de 13</t>
  </si>
  <si>
    <t xml:space="preserve">Sustento de pago PPM - Liquidación, AFP, ahorros / HORARIO DE PAGO: Mañana / NOTA: Cuota 15 de 20 </t>
  </si>
  <si>
    <t xml:space="preserve">Sustento de pago PPM - Liquidación, AFP, ahorros / HORARIO DE PAGO: Mañana / NOTA: cuota 2 de 3 </t>
  </si>
  <si>
    <t>Sustento de pago PPM - Liquidación, AFP, ahorros / HORARIO DE PAGO: Mañana / NOTA: cuota 4 de 12 paa el 30/12</t>
  </si>
  <si>
    <t xml:space="preserve">Sustento de pago PPM - Liquidación, AFP, ahorros / HORARIO DE PAGO: Mañana / NOTA: cuota 5 y 6 </t>
  </si>
  <si>
    <t xml:space="preserve">Sustento de pago PPM - Liquidación, AFP, ahorros / HORARIO DE PAGO: Mañana / NOTA: cuota 6 de 19 para fin de mes </t>
  </si>
  <si>
    <t>Sustento de pago PPM - Liquidación, AFP, ahorros / HORARIO DE PAGO: Mañana / NOTA: cuota 6 de 34</t>
  </si>
  <si>
    <t>Sustento de pago PPM - Liquidación, AFP, ahorros / HORARIO DE PAGO: Mañana / NOTA: cuota 7</t>
  </si>
  <si>
    <t xml:space="preserve">Sustento de pago PPM - Liquidación, AFP, ahorros / HORARIO DE PAGO: Mañana / NOTA: CUOTA ENERO 2025 </t>
  </si>
  <si>
    <t xml:space="preserve">Sustento de pago PPM - Liquidación, AFP, ahorros / HORARIO DE PAGO: Mañana / NOTA: CUOTA JUNIO </t>
  </si>
  <si>
    <t xml:space="preserve">ÚLTIMA CUOTA : 6/6 </t>
  </si>
  <si>
    <t xml:space="preserve">Sustento de pago PPM - Liquidación, AFP, ahorros / HORARIO DE PAGO: Mañana / NOTA: cuota mensual de cliente es de 500 soles realizara cuota hoy 03/03 de 800 soles cuota 4 de 6 </t>
  </si>
  <si>
    <t xml:space="preserve">Sustento de pago PPM - Liquidación, AFP, ahorros / HORARIO DE PAGO: Mañana / NOTA: CUOTA MES JUlIO  9/12 </t>
  </si>
  <si>
    <t>Sustento de pago PPM - Liquidación, AFP, ahorros / HORARIO DE PAGO: Mañana / NOTA: CUOTA MES JUNIO  6/18</t>
  </si>
  <si>
    <t>Sustento de pago PPM - Liquidación, AFP, ahorros / HORARIO DE PAGO: Mañana / NOTA: Cuota N° 5 de 10 para el dia 31-01-2025</t>
  </si>
  <si>
    <t xml:space="preserve">Sustento de pago PPM - Liquidación, AFP, ahorros / HORARIO DE PAGO: Mañana / NOTA: CUOTA Nº 6 TARDE </t>
  </si>
  <si>
    <t xml:space="preserve">Sustento de pago PPM - Liquidación, AFP, ahorros / HORARIO DE PAGO: Mañana / NOTA: cuota numero 8 </t>
  </si>
  <si>
    <t>Sustento de pago PPM - Liquidación, AFP, ahorros / HORARIO DE PAGO: Mañana / NOTA: dk 1600 cam 600 tt pagara 2 cuotas de 300</t>
  </si>
  <si>
    <t xml:space="preserve">Sustento de pago PPM - Liquidación, AFP, ahorros / HORARIO DE PAGO: Mañana / NOTA: DT: S/.2,659.90 segun ppm cl paga 212 el 28-02 le faltan 4 cuotas </t>
  </si>
  <si>
    <t xml:space="preserve">Sustento de pago PPM - Liquidación, AFP, ahorros / HORARIO DE PAGO: Mañana / NOTA: encargado de las cuentas personales del joven Sergio : el señor Cristian ALEXANDER  RANGEL mogollon </t>
  </si>
  <si>
    <t xml:space="preserve">44608986 / 990952436 menciona que el se estaría haciendo cargo , se brinda dt dk hasta can 12000 menciona que podría pagarlo en 2 partes se brinda c2 , menciona que el otro importe lo estaría realizando la quincena , confirma hacer pago el día de hoy mediante trasferencia . con el importe de S/6000 Cuota N°1 de 2 . </t>
  </si>
  <si>
    <t>Sustento de pago PPM - Liquidación, AFP, ahorros / HORARIO DE PAGO: Mañana / NOTA: esposo carlos chauca indica que hasta mañana como maximo estaria abonando cuota atrasada de su cronogrma de pagos, evalua posible canc con 1395.00</t>
  </si>
  <si>
    <t>Sustento de pago PPM - Liquidación, AFP, ahorros / HORARIO DE PAGO: Mañana / NOTA: ESPOSO CONFIRMA ON EL PAGO DE LA CUOTA DE FEBRERO EL DIA E HOY, SE CAMBIARA EL IMPORTE Y FECHA CON LA CUOTA DE MARZO, PENUTLIJA CUOTA ES DE FEBRERO</t>
  </si>
  <si>
    <t xml:space="preserve">Sustento de pago PPM - Liquidación, AFP, ahorros / HORARIO DE PAGO: Mañana / NOTA: hara el pago via aplicativo bcp </t>
  </si>
  <si>
    <t>Sustento de pago PPM - Liquidación, AFP, ahorros / HORARIO DE PAGO: Mañana / NOTA: INGRESO DE GESTIÓN MANUAL</t>
  </si>
  <si>
    <t xml:space="preserve">Sustento de pago PPM - Liquidación, AFP, ahorros / HORARIO DE PAGO: Mañana / NOTA: LIENTE PAGARA 5 TA CUOTA </t>
  </si>
  <si>
    <t>Sustento de pago PPM - Liquidación, AFP, ahorros / HORARIO DE PAGO: Mañana / NOTA: Monto negociado: 686</t>
  </si>
  <si>
    <t>Sustento:  sueldo</t>
  </si>
  <si>
    <t>Motivo de no pago: -</t>
  </si>
  <si>
    <t xml:space="preserve">Fecha: 20-06 </t>
  </si>
  <si>
    <t xml:space="preserve">Propuesta:  Titular confirma por wsp programación de cuota n°2 de 12 </t>
  </si>
  <si>
    <t>Sustento de pago PPM - Liquidación, AFP, ahorros / HORARIO DE PAGO: Mañana / NOTA: Monto negociado: 950</t>
  </si>
  <si>
    <t>Fecha: 30-06</t>
  </si>
  <si>
    <t xml:space="preserve">Propuesta:  Confirma pago de cuota n° 11 de 12 </t>
  </si>
  <si>
    <t>Sustento de pago PPM - Liquidación, AFP, ahorros / HORARIO DE PAGO: Mañana / NOTA: MONTO NEGOCIADO: S/870.00</t>
  </si>
  <si>
    <t>SUSTENTO: DINERO EN EFECTIVO</t>
  </si>
  <si>
    <t>MOTIVO: NO LE DEPOSITARON A TIEMPO</t>
  </si>
  <si>
    <t>FECHA: 02/06</t>
  </si>
  <si>
    <t xml:space="preserve">PROPUESTA: TT ESTARA PAGANDO LA CUOTA 11 EL DIA DE HOY DE S/610.00 </t>
  </si>
  <si>
    <t>Sustento de pago PPM - Liquidación, AFP, ahorros / HORARIO DE PAGO: Mañana / NOTA: Monto Negociado: total 709.17</t>
  </si>
  <si>
    <t>Campaña: S/300.00</t>
  </si>
  <si>
    <t>Sustento: Pago de haberes</t>
  </si>
  <si>
    <t>Motivo de no pago:  falta de dinero</t>
  </si>
  <si>
    <t>Fecha: 15/10</t>
  </si>
  <si>
    <t>Medio de pago: app de bcp</t>
  </si>
  <si>
    <t xml:space="preserve">tt indica q esta recibiendo su pago y realizara el pago a las 10am, se le envia por wsp la cesion cliente tiene duda </t>
  </si>
  <si>
    <t xml:space="preserve">Sustento de pago PPM - Liquidación, AFP, ahorros / HORARIO DE PAGO: Mañana / NOTA: PAGO DE ULTIMA CUOTA DIA 14/03 230 SOLES </t>
  </si>
  <si>
    <t>Sustento de pago PPM - Liquidación, AFP, ahorros / HORARIO DE PAGO: Mañana / NOTA: PPC// 350.00 HOY</t>
  </si>
  <si>
    <t xml:space="preserve">Sustento de pago PPM - Liquidación, AFP, ahorros / HORARIO DE PAGO: Mañana / NOTA: responsable de pagos luis indica que hara pagos por aplicativo bcp  </t>
  </si>
  <si>
    <t>Sustento de pago PPM - Liquidación, AFP, ahorros / HORARIO DE PAGO: Mañana / NOTA: Se acuerda pago de 7ma cuota hasta el día 30, no se acuerda fecha exacta porque indica que no sabe que día le pagaran pero que si es antes ella se comunicara o adjuntara comprobante como el mes pasado, se acuerda conversar dentro del mes porque tt indico que esta a la espera de un dinero para ver si se le apoya con una liquidacion</t>
  </si>
  <si>
    <t>Sustento de pago PPM - Liquidación, AFP, ahorros / HORARIO DE PAGO: Mañana / NOTA: SE AGENDA ULTIMA CUOTA DE 5500 SOLE SPARA EL DIA 06-01-2025</t>
  </si>
  <si>
    <t xml:space="preserve">Sustento de pago PPM - Liquidación, AFP, ahorros / HORARIO DE PAGO: Mañana / NOTA: SE CONTINUA EL ACUERDO DE CUOTA DE 800, PERO EL MISMO 16 SI TIENE EL DINERO EN MANO SE GENERARA EL CAMBIO DE PPM A PPC X LOS 6K </t>
  </si>
  <si>
    <t>MONTO NEGOCIADO:  6000</t>
  </si>
  <si>
    <t xml:space="preserve">Sustento: PRESTAMO DE COMPAÑERO </t>
  </si>
  <si>
    <t xml:space="preserve">Motivo de no pago:  TIENE MAS DEUDAS </t>
  </si>
  <si>
    <t xml:space="preserve">Fecha: 16 JUNIO </t>
  </si>
  <si>
    <t xml:space="preserve">Propuesta:  5MIL </t>
  </si>
  <si>
    <t xml:space="preserve">Sustento de pago PPM - Liquidación, AFP, ahorros / HORARIO DE PAGO: Mañana / NOTA: Se realiza programacion de pago cuota 2 de 3 </t>
  </si>
  <si>
    <t xml:space="preserve">Sustento de pago PPM - Liquidación, AFP, ahorros / HORARIO DE PAGO: Mañana / NOTA: Se realiza programacion de pago cuota 9 de 12    </t>
  </si>
  <si>
    <t>Sustento de pago PPM - Liquidación, AFP, ahorros / HORARIO DE PAGO: Mañana / NOTA: Se realiza programacion de pago cuota nro 11 de 12</t>
  </si>
  <si>
    <t>Sustento de pago PPM - Liquidación, AFP, ahorros / HORARIO DE PAGO: Mañana / NOTA: Se realiza programacion de pago cuota nro 2</t>
  </si>
  <si>
    <t xml:space="preserve">marzo 500 31/03 </t>
  </si>
  <si>
    <t>abril 1000 31/04</t>
  </si>
  <si>
    <t>mayo 2000 30/05</t>
  </si>
  <si>
    <t xml:space="preserve">junio 2000 30/06 / NOTA: solicita nueva restructuracion de su cronograma que le ayudaria </t>
  </si>
  <si>
    <t>abril 1000 3004</t>
  </si>
  <si>
    <t>junio 2000 30/06</t>
  </si>
  <si>
    <t xml:space="preserve">Sustento de pago PPM - Liquidación, AFP, ahorros / HORARIO DE PAGO: Mañana / NOTA: Se realiza programacion de pago cuota nro 9  de 12   </t>
  </si>
  <si>
    <t xml:space="preserve">Sustento de pago PPM - Liquidación, AFP, ahorros / HORARIO DE PAGO: Mañana / NOTA: Se realiza recordatorio de pago ultima cuota fecha limite 04/01 </t>
  </si>
  <si>
    <t>Sustento de pago PPM - Liquidación, AFP, ahorros / HORARIO DE PAGO: Mañana / NOTA: SE RESTRUCTURA CRONOGRAMA EN 8 MESES 1250 SOLES, 1ERA CUOTA EL DIA 31 DE MARZO</t>
  </si>
  <si>
    <t>Sustento de pago PPM - Liquidación, AFP, ahorros / HORARIO DE PAGO: Mañana / NOTA: segunda cuota pagara tt en agente bbva</t>
  </si>
  <si>
    <t xml:space="preserve">Sustento de pago PPM - Liquidación, AFP, ahorros / HORARIO DE PAGO: Mañana / NOTA: señor regularizara monto de 1500 soles el dia 20/7 por trasferencia bcp nos confirma tema del pago </t>
  </si>
  <si>
    <t>Sustento de pago PPM - Liquidación, AFP, ahorros / HORARIO DE PAGO: Mañana / NOTA: SEÑOR VA REGULARIZAR EL MONTO DE 200 SOLES SE LE DA UN PLAZO MINIMO HASTA EL DIA 30 CONFIRMA</t>
  </si>
  <si>
    <t>Sustento de pago PPM - Liquidación, AFP, ahorros / HORARIO DE PAGO: Mañana / NOTA: sra dancy confrima  pago de su ppm  para rel dia 30 julio 4ta cuota de 11</t>
  </si>
  <si>
    <t>Sustento de pago PPM - Liquidación, AFP, ahorros / HORARIO DE PAGO: Mañana / NOTA: sra estanecia dice q ya pago el 31 pero esta sin cl con camara esperar q se reconzca el pago a fines pagara ult cuota se espera q se actualice montos para cambiar a ppc</t>
  </si>
  <si>
    <t>Sustento de pago PPM - Liquidación, AFP, ahorros / HORARIO DE PAGO: Mañana / NOTA: tercera cuota para noviembre 16</t>
  </si>
  <si>
    <t>Sustento de pago PPM - Liquidación, AFP, ahorros / HORARIO DE PAGO: Mañana / NOTA: tit indica que ella podra pagar su cuota  a fdm ya que el mes pasado se puso al dia y pago dos cuotas en comuniaccion si paga esta le faltaria 1</t>
  </si>
  <si>
    <t>Sustento de pago PPM - Liquidación, AFP, ahorros / HORARIO DE PAGO: Mañana / NOTA: tit indica que maximo entre el 06 /07 realizara el pagod e su cuota  si le pagan antes se comunicara para realizar el pago ultima cuota monto 200</t>
  </si>
  <si>
    <t xml:space="preserve">Sustento de pago PPM - Liquidación, AFP, ahorros / HORARIO DE PAGO: Mañana / NOTA: tit indica que si realizo pago envio baucher e indica que como maximo lo restante 360 lo pagara el 29/08 en comunicacion ultima cuota </t>
  </si>
  <si>
    <t>Sustento de pago PPM - Liquidación, AFP, ahorros / HORARIO DE PAGO: Mañana / NOTA: tit se le brindo su dt y dk se da cam c2 de 210 cliente acepta el primer opago realizara hoy y el siguiente pago el 04/06</t>
  </si>
  <si>
    <t xml:space="preserve">Sustento de pago PPM - Liquidación, AFP, ahorros / HORARIO DE PAGO: Mañana / NOTA: titular confirma pagar su cuota 12 de 17 monto s/575 </t>
  </si>
  <si>
    <t>Sustento de pago PPM - Liquidación, AFP, ahorros / HORARIO DE PAGO: Mañana / NOTA: TT  PAGARA  SU  2DA  CUOTA DE -3  EL 22/04</t>
  </si>
  <si>
    <t>Sustento de pago PPM - Liquidación, AFP, ahorros / HORARIO DE PAGO: Mañana / NOTA: tt abona hoy cta de abril y la cta de mayo a fines, se espera pago para modfi fecha al 31-05</t>
  </si>
  <si>
    <t xml:space="preserve">Sustento de pago PPM - Liquidación, AFP, ahorros / HORARIO DE PAGO: Mañana / NOTA: TT abonará S/114 el dia 14/08 porque recibe AFP, y cuota de agosto para fdm con su sueldo. </t>
  </si>
  <si>
    <t>Sustento de pago PPM - Liquidación, AFP, ahorros / HORARIO DE PAGO: Mañana / NOTA: tt accede a fraccionar en 12 cuotas de 700 -.-</t>
  </si>
  <si>
    <t xml:space="preserve">Sustento de pago PPM - Liquidación, AFP, ahorros / HORARIO DE PAGO: Mañana / NOTA: tt cancela hoy 5-06 s/300 por transferencia BCP, dinero en mano </t>
  </si>
  <si>
    <t>Sustento de pago PPM - Liquidación, AFP, ahorros / HORARIO DE PAGO: Mañana / NOTA: tt confima para el 12 de diciembre el pago de su 3era cuota de 4</t>
  </si>
  <si>
    <t xml:space="preserve">Sustento de pago PPM - Liquidación, AFP, ahorros / HORARIO DE PAGO: Mañana / NOTA: TT CONFIRMA EL PAGO DE SU CUOTA NRO 6 DE 1000 PARA EL DIA 28 JUNIO  , PERO RECALCA Q TOMEMOS EN CUENTA Q SU CRONOGRAMA ES CADA FIN DE MES </t>
  </si>
  <si>
    <t xml:space="preserve">Sustento de pago PPM - Liquidación, AFP, ahorros / HORARIO DE PAGO: Mañana / NOTA: TT CONFIRMA EL PAGO DE SU CUOTA PARA EL 21/07  DE 1000 </t>
  </si>
  <si>
    <t>Sustento de pago PPM - Liquidación, AFP, ahorros / HORARIO DE PAGO: Mañana / NOTA: TT CONFIRMA PAGO DE CUOTA DE 600 SOLES AL 16/07</t>
  </si>
  <si>
    <t>Sustento de pago PPM - Liquidación, AFP, ahorros / HORARIO DE PAGO: Mañana / NOTA: TT confirma que hará el pago de su cuota numero 05 de 6 cuotas el 15/11 ya que los feriados no afectan en que le puedan cumplir con su pago, la cuota es de 2,634</t>
  </si>
  <si>
    <t>Sustento de pago PPM - Liquidación, AFP, ahorros / HORARIO DE PAGO: Mañana / NOTA: tt confirma realizara pago de s/. 350 correspondiente a 6ta cuota en fecha 29/11 // pago se realizara via agente bcp</t>
  </si>
  <si>
    <t>Sustento de pago PPM - Liquidación, AFP, ahorros / HORARIO DE PAGO: Mañana / NOTA: TT cumplirá con su cuota el día 30/09</t>
  </si>
  <si>
    <t>Sustento de pago PPM - Liquidación, AFP, ahorros / HORARIO DE PAGO: Mañana / NOTA: TT cumplirá hoy con el saldo de la cuota numero 08 y el 31/01 pagará su cuota numero 09 (DE 12 CUOTAS)</t>
  </si>
  <si>
    <t>Sustento de pago PPM - Liquidación, AFP, ahorros / HORARIO DE PAGO: Mañana / NOTA: TT EFECTUA EL PAGO DE LA CUOTA DE JUNIO EL DIA 03-07 UNA VE QUE PAGUE SE SOLICITARA EL APOYO A SUPERVISOR CO LA CUOTA DE JULIO ULTIMA CUOTA</t>
  </si>
  <si>
    <t>Sustento de pago PPM - Liquidación, AFP, ahorros / HORARIO DE PAGO: Mañana / NOTA: TT EL DIA JUEVES ABONO 250- COMPLETO CUOTA DE 350/SALDO JULIO</t>
  </si>
  <si>
    <t xml:space="preserve">Sustento de pago PPM - Liquidación, AFP, ahorros / HORARIO DE PAGO: Mañana / NOTA: TT ESTARA PAGANDO LA CUOTA 05 DE 06  EL DIA 30/07, MONTO DE S/295.00 </t>
  </si>
  <si>
    <t xml:space="preserve">Sustento de pago PPM - Liquidación, AFP, ahorros / HORARIO DE PAGO: Mañana / NOTA: tt hara el pago de su 3ra cuota 320 </t>
  </si>
  <si>
    <t xml:space="preserve">Sustento de pago PPM - Liquidación, AFP, ahorros / HORARIO DE PAGO: Mañana / NOTA: tt hara el pago de su cuota 4,500 fin de mes </t>
  </si>
  <si>
    <t xml:space="preserve">Sustento de pago PPM - Liquidación, AFP, ahorros / HORARIO DE PAGO: Mañana / NOTA: tt hara el pago de su cuota nro 11 de 610 fin de mes </t>
  </si>
  <si>
    <t>Sustento de pago PPM - Liquidación, AFP, ahorros / HORARIO DE PAGO: Mañana / NOTA: tt hara el pago de su cuota nro 5 / 6</t>
  </si>
  <si>
    <t xml:space="preserve">Sustento de pago PPM - Liquidación, AFP, ahorros / HORARIO DE PAGO: Mañana / NOTA: TT HARA PAGO DE 2 MESES PENDIENTES </t>
  </si>
  <si>
    <t xml:space="preserve">Sustento de pago PPM - Liquidación, AFP, ahorros / HORARIO DE PAGO: Mañana / NOTA: TT HARA SU PAGO DE SU CUOTA 22 PARA EL DIA DE 26 COMO TODOS LOE MESES </t>
  </si>
  <si>
    <t>Sustento de pago PPM - Liquidación, AFP, ahorros / HORARIO DE PAGO: Mañana / NOTA: TT HARA SU PAGO EL SABADO 16</t>
  </si>
  <si>
    <t xml:space="preserve">Sustento de pago PPM - Liquidación, AFP, ahorros / HORARIO DE PAGO: Mañana / NOTA: tt hara su pago para el dia 21 los 300 y en junio hara la cancelacion de acuerdo a su acyuerdo de pago con 3100 se le vll a llamar para enl envio del vaucher hara su pago en caja los andes </t>
  </si>
  <si>
    <t xml:space="preserve">Sustento de pago PPM - Liquidación, AFP, ahorros / HORARIO DE PAGO: Mañana / NOTA: TT HIZO ADELANTO DE SU CUOTA DE DIC </t>
  </si>
  <si>
    <t>Sustento de pago PPM - Liquidación, AFP, ahorros / HORARIO DE PAGO: Mañana / NOTA: TT IDNICA QUE CONSEGUIRA PRESTADO EL MONTO E 300 SOLES PARA EL DIA 28/06 PAGARA EN LA TARDE</t>
  </si>
  <si>
    <t xml:space="preserve">Sustento de pago PPM - Liquidación, AFP, ahorros / HORARIO DE PAGO: Mañana / NOTA: TT INDICA PAGARA FIN DE MES SU CUOTA 450 INDICO ULTIMO DIA HABIL 29-08 , SI LLEGA A TENER EN 15NA PAGARA ANTES   CUOTA 10 </t>
  </si>
  <si>
    <t>Sustento de pago PPM - Liquidación, AFP, ahorros / HORARIO DE PAGO: Mañana / NOTA: tt indica que cancelará su cuota el 24</t>
  </si>
  <si>
    <t>Sustento de pago PPM - Liquidación, AFP, ahorros / HORARIO DE PAGO: Mañana / NOTA: TT LIQUIDARA HOY MONTO DE EXCEPCION APROBADA</t>
  </si>
  <si>
    <t>Sustento de pago PPM - Liquidación, AFP, ahorros / HORARIO DE PAGO: Mañana / NOTA: TT MENCIONA Q ESTARI REALIZANDO EL PAGO EN LA FECHA PACTADA EL DIA 30/01/2024</t>
  </si>
  <si>
    <t>Sustento de pago PPM - Liquidación, AFP, ahorros / HORARIO DE PAGO: Mañana / NOTA: tt menciona que intentara realizar el adelanto de 200 soles aun no tiene definido que dia avisara pero hasta el dia 30 completa su cuota 3era cuota de 400 soles.</t>
  </si>
  <si>
    <t xml:space="preserve">Sustento de pago PPM - Liquidación, AFP, ahorros / HORARIO DE PAGO: Mañana / NOTA: TT MENCIONA QUE PODRA REALIZAR LO 28 DE CADA MES SEGUN LO ACORDADO ANTES PERO ESTE MES POR CAER SABADO PAGARA EL 27.06 Se realiza programacion de pago cuota nro 9 de 12 </t>
  </si>
  <si>
    <t>Sustento de pago PPM - Liquidación, AFP, ahorros / HORARIO DE PAGO: Mañana / NOTA: TT PAGA 1 ERA CUOTA DE 6 ES HASTA FIN DE MES</t>
  </si>
  <si>
    <t>Sustento de pago PPM - Liquidación, AFP, ahorros / HORARIO DE PAGO: Mañana / NOTA: TT PAGA CUOTA 12 EL 7-5</t>
  </si>
  <si>
    <t xml:space="preserve">Sustento de pago PPM - Liquidación, AFP, ahorros / HORARIO DE PAGO: Mañana / NOTA: tt paga cuota 8 de plam de 9 cuotas  288 al 20/07 , se dio opc de cancelar con 505 </t>
  </si>
  <si>
    <t>Sustento de pago PPM - Liquidación, AFP, ahorros / HORARIO DE PAGO: Mañana / NOTA: tt paga cuota de abril 202 o propuesta cancelar 338</t>
  </si>
  <si>
    <t>Sustento de pago PPM - Liquidación, AFP, ahorros / HORARIO DE PAGO: Mañana / NOTA: tt paga cuota N° 2 DE 4</t>
  </si>
  <si>
    <t>Sustento de pago PPM - Liquidación, AFP, ahorros / HORARIO DE PAGO: Mañana / NOTA: tt paga cuota N°2 de 3</t>
  </si>
  <si>
    <t>Sustento de pago PPM - Liquidación, AFP, ahorros / HORARIO DE PAGO: Mañana / NOTA: TT PAGA EL 14 CUOTA RESTANTE DE ENERO Y EL 28 DE FEBRERO CUOTA CORRESPONDIENTE</t>
  </si>
  <si>
    <t xml:space="preserve">Sustento de pago PPM - Liquidación, AFP, ahorros / HORARIO DE PAGO: Mañana / NOTA: tt paga su cuota 5 de 12  500 </t>
  </si>
  <si>
    <t>Sustento de pago PPM - Liquidación, AFP, ahorros / HORARIO DE PAGO: Mañana / NOTA: tt paga su cuota de 460 hasta el 19 cuota 13 de 14</t>
  </si>
  <si>
    <t>Sustento de pago PPM - Liquidación, AFP, ahorros / HORARIO DE PAGO: Mañana / NOTA: tt paga su primera cuota de 3 por trsferencia interbank</t>
  </si>
  <si>
    <t>Sustento de pago PPM - Liquidación, AFP, ahorros / HORARIO DE PAGO: Mañana / NOTA: TT PAGA ULTIMA CUOTA 908 AL 15-04  CUOT 3</t>
  </si>
  <si>
    <t>Sustento de pago PPM - Liquidación, AFP, ahorros / HORARIO DE PAGO: Mañana / NOTA: TT PAGARA 3RA CUOTA DE 234 SOLES</t>
  </si>
  <si>
    <t>Sustento de pago PPM - Liquidación, AFP, ahorros / HORARIO DE PAGO: Mañana / NOTA: TT pagara 500 soles x agente bcp informa espera de deposito.</t>
  </si>
  <si>
    <t>Sustento de pago PPM - Liquidación, AFP, ahorros / HORARIO DE PAGO: Mañana / NOTA: tt pagara a fines de mes 2c de 3c por 305</t>
  </si>
  <si>
    <t xml:space="preserve">Sustento de pago PPM - Liquidación, AFP, ahorros / HORARIO DE PAGO: Mañana / NOTA: TT pagará su cta 08 de 16 cts </t>
  </si>
  <si>
    <t>SUSTENTO: Pago de haberes</t>
  </si>
  <si>
    <t xml:space="preserve">MOTIVO DE NO PAGO: TT asume cronograma </t>
  </si>
  <si>
    <t>FECHA: 27/06</t>
  </si>
  <si>
    <t>PROPUESTA: TT asume cronogramas con cts de 500</t>
  </si>
  <si>
    <t>Sustento de pago PPM - Liquidación, AFP, ahorros / HORARIO DE PAGO: Mañana / NOTA: TT PAGO EL DOMINGO 2 CUOTA DE ENERO 1400 SOLES Y EL DIA 28 EL SALDOP RESTANTE ULTIMA CUOTA EN ESTE MES</t>
  </si>
  <si>
    <t xml:space="preserve">Sustento de pago PPM - Liquidación, AFP, ahorros / HORARIO DE PAGO: Mañana / NOTA: TT PROPONE PAGAR CON 700 EN DOS CUOTAS ADELANTARA 400 Y EL 300 EN JULIO ANTES DE LA QUICENCENA </t>
  </si>
  <si>
    <t xml:space="preserve">Sustento de pago PPM - Liquidación, AFP, ahorros / HORARIO DE PAGO: Mañana / NOTA: TT REALIAZARA EL PAGO DE SU 7MA CUOTA EL DIA DE HOY </t>
  </si>
  <si>
    <t xml:space="preserve">Sustento de pago PPM - Liquidación, AFP, ahorros / HORARIO DE PAGO: Mañana / NOTA: TT REALIZARA EL PAGO DE 1,058  EL DIA DE HOY LA PRIMERA CUOTA DE 529 Y LA OTRA CUOTA DE 529 EL 30/05  PARA QUE PUEDA COMPLETAR EL MONTO </t>
  </si>
  <si>
    <t>Sustento de pago PPM - Liquidación, AFP, ahorros / HORARIO DE PAGO: Mañana / NOTA: tt realizara el pago de 3000 en 2 meses, siendo el primer pago de 2500 hoy 18/09 y 500 el 18/10</t>
  </si>
  <si>
    <t xml:space="preserve">Sustento de pago PPM - Liquidación, AFP, ahorros / HORARIO DE PAGO: Mañana / NOTA: TT realizará el pago de cuota numero 11 de 12 cts el día 23//12 con 500 </t>
  </si>
  <si>
    <t xml:space="preserve">Sustento de pago PPM - Liquidación, AFP, ahorros / HORARIO DE PAGO: Mañana / NOTA: TT REALIZARA EL PAGO DE SU CUOTA 11  DE 12    </t>
  </si>
  <si>
    <t xml:space="preserve">Sustento de pago PPM - Liquidación, AFP, ahorros / HORARIO DE PAGO: Mañana / NOTA: TT REALIZARA EL PAGO DE SU CUOTA 12  DE 12    </t>
  </si>
  <si>
    <t xml:space="preserve">Sustento de pago PPM - Liquidación, AFP, ahorros / HORARIO DE PAGO: Mañana / NOTA: TT REALIZARA EL PAGO DE SU CUOTA 6  DE 6    </t>
  </si>
  <si>
    <t xml:space="preserve">Sustento de pago PPM - Liquidación, AFP, ahorros / HORARIO DE PAGO: Mañana / NOTA: TT REALIZARA EL PAGO DE SU CUOTA 8 DE 12 </t>
  </si>
  <si>
    <t>Sustento de pago PPM - Liquidación, AFP, ahorros / HORARIO DE PAGO: Mañana / NOTA: TT realizará el pago de su cuota de S/900 para el día 30/07</t>
  </si>
  <si>
    <t>Sustento de pago PPM - Liquidación, AFP, ahorros / HORARIO DE PAGO: Mañana / NOTA: TT REALIZARA EL PAGO DE SU CUOTA EL 15/07  SEGUN CRONOGRAMA</t>
  </si>
  <si>
    <t xml:space="preserve">Sustento de pago PPM - Liquidación, AFP, ahorros / HORARIO DE PAGO: Mañana / NOTA: TT realizará el pago de su cuota numero 05 de 6 cuotas el día 28/01 con 211 </t>
  </si>
  <si>
    <t>Sustento de pago PPM - Liquidación, AFP, ahorros / HORARIO DE PAGO: Mañana / NOTA: TT realizará el pago de su última cuota el día 31/06</t>
  </si>
  <si>
    <t>Sustento de pago PPM - Liquidación, AFP, ahorros / HORARIO DE PAGO: Mañana / NOTA: TT REALIZARA PAGO DE SU CUOTA</t>
  </si>
  <si>
    <t>Sustento de pago PPM - Liquidación, AFP, ahorros / HORARIO DE PAGO: Mañana / NOTA: TT realizará su pago con el importe de 328 el día 30</t>
  </si>
  <si>
    <t>Sustento de pago PPM - Liquidación, AFP, ahorros / HORARIO DE PAGO: Mañana / NOTA: TT realizará su pago de S/300 el día 26</t>
  </si>
  <si>
    <t xml:space="preserve">Sustento de pago PPM - Liquidación, AFP, ahorros / HORARIO DE PAGO: Mañana / NOTA: TT realizará su pago el día 27/07 con el importe de 1,100 </t>
  </si>
  <si>
    <t>Sustento de pago PPM - Liquidación, AFP, ahorros / HORARIO DE PAGO: Mañana / NOTA: TT realizarrá el pago de su cuota numero 03 de 12 cuotas, el día 30/01 con S/410</t>
  </si>
  <si>
    <t xml:space="preserve">Sustento de pago PPM - Liquidación, AFP, ahorros / HORARIO DE PAGO: Mañana / NOTA: tt se opero de la vesicula y ahora se pondra al dia en su cuota  ya que tuvo gastos </t>
  </si>
  <si>
    <t xml:space="preserve">Sustento de pago PPM - Liquidación, AFP, ahorros / HORARIO DE PAGO: Mañana / NOTA: TT TIENE UNA CUOTA PENDIENTE . TT PAGARA FIN DE MES. </t>
  </si>
  <si>
    <t>Sustento de pago PPM - Liquidación, AFP, ahorros / HORARIO DE PAGO: Mañana / NOTA: tt, pagara se ultima cuota de 215 el 29/12</t>
  </si>
  <si>
    <t xml:space="preserve">Sustento de pago PPM - Liquidación, AFP, ahorros / HORARIO DE PAGO: Mañana / NOTA: ultima  cuota   </t>
  </si>
  <si>
    <t>Sustento de pago PPM - Liquidación, AFP, ahorros / HORARIO DE PAGO: Mañana / NOTA: ultima cuota</t>
  </si>
  <si>
    <t>Sustento de pago PPM - Liquidación, AFP, ahorros / HORARIO DE PAGO: Medioda / NOTA: ADELANTA HOY 3M POR BCP Y LA DIFERENCIA DE 47M A FIN DE MES DE ABRIL. SE ENVIA INFORMACION POR CORREO ELECTRONICO Y POR WSP A LA ABOGADA ROCIO.</t>
  </si>
  <si>
    <t xml:space="preserve">Sustento de pago PPM - Liquidación, AFP, ahorros / HORARIO DE PAGO: Medioda / NOTA: TT se acoge a campaña C1 230, cancelará el viernes 12.06.2026. En el transcurso de la tarde. </t>
  </si>
  <si>
    <t xml:space="preserve">Sustento de pago PPM - Liquidación, AFP, ahorros / HORARIO DE PAGO: Medioda / NOTA: TT se acoge a campaña de C1 S/2,000 donde indica que la cancelará el día 26.05.2026 en el transcurso de la tarde. </t>
  </si>
  <si>
    <t>Sustento de pago PPM - Liquidación, AFP, ahorros / HORARIO DE PAGO: Mediodía / NOTA: 2 CUOTA</t>
  </si>
  <si>
    <t>Sustento de pago PPM - Liquidación, AFP, ahorros / HORARIO DE PAGO: Mediodía / NOTA: cliente realizará pago de 2da cuota</t>
  </si>
  <si>
    <t>Sustento de pago PPM - Liquidación, AFP, ahorros / HORARIO DE PAGO: Mediodía / NOTA: Cuota 05 de 06</t>
  </si>
  <si>
    <t>Sustento de pago PPM - Liquidación, AFP, ahorros / HORARIO DE PAGO: Mediodía / NOTA: Cuota 1 de 3.</t>
  </si>
  <si>
    <t>Sustento de pago PPM - Liquidación, AFP, ahorros / HORARIO DE PAGO: Mediodía / NOTA: dk 3,694.36 camp 2,866.82 tt pagara 2da cuita de 200 soles *18 meses mes pasado abono 400</t>
  </si>
  <si>
    <t>Sustento de pago PPM - Liquidación, AFP, ahorros / HORARIO DE PAGO: Mediodía / NOTA: DT: S/. 4,854.40 - cliente confirma su abono para el 31/05 , menciona que esta viendo el tema de su cancelacion, cuetas restantes 7</t>
  </si>
  <si>
    <t>Sustento de pago PPM - Liquidación, AFP, ahorros / HORARIO DE PAGO: Mediodía / NOTA: pago de ultima cuota por agencia - bcp</t>
  </si>
  <si>
    <t xml:space="preserve">Sustento de pago PPM - Liquidación, AFP, ahorros / HORARIO DE PAGO: Mediodía / NOTA: Se programa la cuota correspondiente al mes de Julio monto de S/200  FECHA DE PAGO 31/07, se brindo DK:9,700.00 </t>
  </si>
  <si>
    <t>Sustento de pago PPM - Liquidación, AFP, ahorros / HORARIO DE PAGO: Mediodía / NOTA: SEGÚN LO CONVERSADO CON EL TT POR LASDIFICULTADES EN SU SALUD ESTARÍA CANCELANDO ESTE MES LAS ÚLTIMAS 2 CUOTAS QUE LE QUEDAN. EL DÍA SÁBADO 5 550 Y EL SÁBADO 12 550 CUMPLIENDO CON LA CANCELACIÓN DE SU DEUDA</t>
  </si>
  <si>
    <t xml:space="preserve">Sustento de pago PPM - Liquidación, AFP, ahorros / HORARIO DE PAGO: Mediodía / NOTA: SEÑOR VA A REGULARIZAR EL MONTO DE 200 SOLES EL DIA DE HOY Y CONFIRMA QUE PAGARA EN BASE A NUEVA EXCEPCIPON </t>
  </si>
  <si>
    <t xml:space="preserve">Sustento de pago PPM - Liquidación, AFP, ahorros / HORARIO DE PAGO: Mediodía / NOTA: TT  indica que realizara pago de 390 cuota 2 de 2  ultima cuota el dia 04.07 en agente de banco . dijo que se envie nuevamente las cuenta corrientes para que pueda pagara </t>
  </si>
  <si>
    <t xml:space="preserve">Sustento de pago PPM - Liquidación, AFP, ahorros / HORARIO DE PAGO: Mediodía / NOTA: TT CONFIRMA PAGA CUOTA DE 1155 AL 7/07  5TA CUOTA , QUEDA 1 DE 1225  AGOSTO </t>
  </si>
  <si>
    <t>Sustento de pago PPM - Liquidación, AFP, ahorros / HORARIO DE PAGO: Mediodía / NOTA: TT LLAMA A CORPORATIVO NO PUDE CONTESTAR POR OTRA LLAMADA</t>
  </si>
  <si>
    <t>ME COMUNICO WSP ,TT CONFIRMA EL PAGO DE LA CUOTA 11 DE 11 LA ULTIMA CUOTA AL DIA 16/07</t>
  </si>
  <si>
    <t xml:space="preserve">Sustento de pago PPM - Liquidación, AFP, ahorros / HORARIO DE PAGO: Tarde / NOTA: </t>
  </si>
  <si>
    <t>Sustento de pago PPM - Liquidación, AFP, ahorros / HORARIO DE PAGO: Tarde / NOTA:  ,se confirma fecha para el dia 489, tt ya sabe como pagarlo de igual se informa que se pagara por los medios de pago</t>
  </si>
  <si>
    <t xml:space="preserve">Sustento de pago PPM - Liquidación, AFP, ahorros / HORARIO DE PAGO: Tarde / NOTA:  DT 4,632.21  MIN2 3,940.75--  </t>
  </si>
  <si>
    <t>TT PAGA  3000 * 12 MESES EN CUOTAS DE S/.250.00  -- PAGA 1RA CUOTA EL 07/07 VIA BCP POR LA TARDE</t>
  </si>
  <si>
    <t xml:space="preserve">Sustento de pago PPM - Liquidación, AFP, ahorros / HORARIO DE PAGO: Tarde / NOTA:  MONTO NEGOCIADO: 9,055.80SUSTENTO: Pago de haberesMOTIVO DE NO PAGO: Perdida familiarFECHA: 28-10PROPUESTA: 1,8KVSE LE BRINDA DT Y CAMPAÑA DK INDICA QUE POR MOTIVOS DE PAGO LAMENTABLEMENTE NO HA PODIDO REALIZAR EL DIA DE AYER LO DESEA REALIZAR HOY ESTANDO VIGENTE LA EXCEPCION ABONARA LOS 900 SOLES EL DIA DE HOY Y EL DIA 28-10 LOS O900 RESTANTES </t>
  </si>
  <si>
    <t>Sustento de pago PPM - Liquidación, AFP, ahorros / HORARIO DE PAGO: Tarde / NOTA:  refinanciamiento de 350 x 6 estamos en la cuota 5 .</t>
  </si>
  <si>
    <t xml:space="preserve">Sustento de pago PPM - Liquidación, AFP, ahorros / HORARIO DE PAGO: Tarde / NOTA: 1 de 3    compromiso de pago en 3 cuotas de 250 soles a la espera de su pago salarial pide cronograma de pagos </t>
  </si>
  <si>
    <t xml:space="preserve">Sustento de pago PPM - Liquidación, AFP, ahorros / HORARIO DE PAGO: Tarde / NOTA: 3 CUOTAS </t>
  </si>
  <si>
    <t>Sustento de pago PPM - Liquidación, AFP, ahorros / HORARIO DE PAGO: Tarde / NOTA: cliente adelanto hoy 6k y 31.12.2024 los 4k restante</t>
  </si>
  <si>
    <t>Sustento de pago PPM - Liquidación, AFP, ahorros / HORARIO DE PAGO: Tarde / NOTA: cliente confirma que realizará pagos de manera mensual quiere trabajar con lo bancos nuevamente</t>
  </si>
  <si>
    <t xml:space="preserve">Sustento de pago PPM - Liquidación, AFP, ahorros / HORARIO DE PAGO: Tarde / NOTA: cliente pagara cuota 17/18 </t>
  </si>
  <si>
    <t>Sustento de pago PPM - Liquidación, AFP, ahorros / HORARIO DE PAGO: Tarde / NOTA: Cuota 04 de 06</t>
  </si>
  <si>
    <t xml:space="preserve">Sustento de pago PPM - Liquidación, AFP, ahorros / HORARIO DE PAGO: Tarde / NOTA: Cuota 09 de 12 </t>
  </si>
  <si>
    <t>Sustento de pago PPM - Liquidación, AFP, ahorros / HORARIO DE PAGO: Tarde / NOTA: Cuota 1 de 3</t>
  </si>
  <si>
    <t>Sustento de pago PPM - Liquidación, AFP, ahorros / HORARIO DE PAGO: Tarde / NOTA: Cuota 11 de 12</t>
  </si>
  <si>
    <t>Sustento de pago PPM - Liquidación, AFP, ahorros / HORARIO DE PAGO: Tarde / NOTA: CUOTA 13  de   21 MESES</t>
  </si>
  <si>
    <t>Sustento de pago PPM - Liquidación, AFP, ahorros / HORARIO DE PAGO: Tarde / NOTA: cuota 2</t>
  </si>
  <si>
    <t xml:space="preserve">Sustento de pago PPM - Liquidación, AFP, ahorros / HORARIO DE PAGO: Tarde / NOTA: CUOTA 2 DE 4 </t>
  </si>
  <si>
    <t>Sustento de pago PPM - Liquidación, AFP, ahorros / HORARIO DE PAGO: Tarde / NOTA: cuota 3</t>
  </si>
  <si>
    <t xml:space="preserve">Sustento de pago PPM - Liquidación, AFP, ahorros / HORARIO DE PAGO: Tarde / NOTA: CUOTA 3 </t>
  </si>
  <si>
    <t xml:space="preserve">TT CONFIRMA PARA EL 30 LOS 411 - SE LE DA LA CAMPAÑA DE 1,1K </t>
  </si>
  <si>
    <t>MONTO NEGOCIADO: PAGARA 411</t>
  </si>
  <si>
    <t xml:space="preserve">Sustento: DICE QUE PAGARA ESTE MES LOS 411 </t>
  </si>
  <si>
    <t>Fecha: 30/07</t>
  </si>
  <si>
    <t xml:space="preserve">Propuesta: TT INDICA QUE PAGARA LOS 411 - SE LE DA CAMPAÑA 1,1K - INDICA QUE SI LOS DISPONE LO CANCELARA </t>
  </si>
  <si>
    <t>Sustento de pago PPM - Liquidación, AFP, ahorros / HORARIO DE PAGO: Tarde / NOTA: cuota 4 a pagar</t>
  </si>
  <si>
    <t>Sustento de pago PPM - Liquidación, AFP, ahorros / HORARIO DE PAGO: Tarde / NOTA: Cuota 4 de 5</t>
  </si>
  <si>
    <t xml:space="preserve">Sustento de pago PPM - Liquidación, AFP, ahorros / HORARIO DE PAGO: Tarde / NOTA: CUOTA ENERO 2025 </t>
  </si>
  <si>
    <t xml:space="preserve">Sustento de pago PPM - Liquidación, AFP, ahorros / HORARIO DE PAGO: Tarde / NOTA: cuota n° 10 de12 cuotas </t>
  </si>
  <si>
    <t>Sustento de pago PPM - Liquidación, AFP, ahorros / HORARIO DE PAGO: Tarde / NOTA: CUOTA NOVIEMBRE</t>
  </si>
  <si>
    <t xml:space="preserve">Sustento de pago PPM - Liquidación, AFP, ahorros / HORARIO DE PAGO: Tarde / NOTA: DT 10000 CAMP 3000 SE PROGRAMA 12 DE CUOTAS DE 300 </t>
  </si>
  <si>
    <t xml:space="preserve">Sustento de pago PPM - Liquidación, AFP, ahorros / HORARIO DE PAGO: Tarde / NOTA: DT 3000 CAMP 1500 SE PROGRAMA 6 CUOTAS DE 230 </t>
  </si>
  <si>
    <t xml:space="preserve">Sustento de pago PPM - Liquidación, AFP, ahorros / HORARIO DE PAGO: Tarde / NOTA: DT: S/. 9,764.93 - segun excepcion cl paga 200 mensuales x  6 meses, confirma que paga a las 4:30 pm las demas cuotas son para cada 16 de cada mes </t>
  </si>
  <si>
    <t>Sustento de pago PPM - Liquidación, AFP, ahorros / HORARIO DE PAGO: Tarde / NOTA: DT: S/.1,620.80/ paga su ultima cuota bajo excepcion monto: 250</t>
  </si>
  <si>
    <t xml:space="preserve">Sustento de pago PPM - Liquidación, AFP, ahorros / HORARIO DE PAGO: Tarde / NOTA: DT: S/.41,562.57 - SEGUN SOLICITUD, PAGA 313 X 7 MESES, CL CONFRIMA SU PAGO PARA ESTE 31/03 MONTO DE 313 </t>
  </si>
  <si>
    <t>Sustento de pago PPM - Liquidación, AFP, ahorros / HORARIO DE PAGO: Tarde / NOTA: HIJO DE TT SR ADOLFO MENDIENTA ES RESPONSABLE DE PAGO, REALIZARA PAGO DE 5TA CUOTA IMPORTE S/. 321 EN FECHA 06/11 // PAGO SE REALIZARA VIA AGENTE BCP</t>
  </si>
  <si>
    <t xml:space="preserve">Sustento de pago PPM - Liquidación, AFP, ahorros / HORARIO DE PAGO: Tarde / NOTA: HOY ABONA 400 EN CAJA TRUJILLO CUTERVO Y 100 FIN DE MES </t>
  </si>
  <si>
    <t>Sustento de pago PPM - Liquidación, AFP, ahorros / HORARIO DE PAGO: Tarde / NOTA: hoy adelanta 150 soles</t>
  </si>
  <si>
    <t xml:space="preserve">Sustento de pago PPM - Liquidación, AFP, ahorros / HORARIO DE PAGO: Tarde / NOTA: REALIZO EL PAGO POR MULTIRED IMPORTE DE 200 SOLES.  </t>
  </si>
  <si>
    <t>Sustento de pago PPM - Liquidación, AFP, ahorros / HORARIO DE PAGO: Tarde / NOTA: refinanciamiento se le indica q estamos cuota 12 con 470 , se le indica por las irregularidades del municipio no quiere tener problemas en DICIEMBRE,se le indica si puede adelantar este mes y asi cancelar el credito ,en base a los 470x 12= 5640</t>
  </si>
  <si>
    <t>Sustento de pago PPM - Liquidación, AFP, ahorros / HORARIO DE PAGO: Tarde / NOTA: RESPONSABLE MIGUEL ANGEL PAGARA EN LA MISMA FECHA PAGO DE ULTIMA CUOTA</t>
  </si>
  <si>
    <t xml:space="preserve">Sustento de pago PPM - Liquidación, AFP, ahorros / HORARIO DE PAGO: Tarde / NOTA: RPP via wpp por el pago pendiente para el 22 del presente mes </t>
  </si>
  <si>
    <t>Sustento de pago PPM - Liquidación, AFP, ahorros / HORARIO DE PAGO: Tarde / NOTA: se comnversa con tt su hermana le confirmo el rpestamo podra pagarlo por la tarde 5pm, por medio de desposito , cancelacion con 3k , se envia documento de cancelacion</t>
  </si>
  <si>
    <t xml:space="preserve">Sustento de pago PPM - Liquidación, AFP, ahorros / HORARIO DE PAGO: Tarde / NOTA: SE CONFIRMA EL PAGO ULTIMA CUOTA,  IMPORTE DE S/.4750 . EL DÍA 15/08 </t>
  </si>
  <si>
    <t>Sustento de pago PPM - Liquidación, AFP, ahorros / HORARIO DE PAGO: Tarde / NOTA: Se genera compromiso de última cuota de S/4591, para el 30/0/2026 pago lo realizará por App BCP transferencia</t>
  </si>
  <si>
    <t>Sustento de pago PPM - Liquidación, AFP, ahorros / HORARIO DE PAGO: Tarde / NOTA: Se le brinda aprobación de excepción por S/1200 en 3 meses, tt indica que se dirigirá al Banco de la Nación a efectuar el pago del primer abono de su cronograma por S/400.</t>
  </si>
  <si>
    <t>Sustento de pago PPM - Liquidación, AFP, ahorros / HORARIO DE PAGO: Tarde / NOTA: Se le ofrece DT,DK,C12 (Productos Tacita), tt accede a fraccionamiento por 12 meses cuota mensual de S/1,171 realizará el pago el día 21/02/25, vía BBVA aplicativo.</t>
  </si>
  <si>
    <t xml:space="preserve">Sustento de pago PPM - Liquidación, AFP, ahorros / HORARIO DE PAGO: Tarde / NOTA: SE LE OFRECE LIQUIDAR CON MIN1 INDICA QUE NO PROQUE ES MAS SEGUIRA PAGANDO SU CUOTA REGULAR SERIA LA 3ERA POR APP BCP A LAS 3 A 4 PM </t>
  </si>
  <si>
    <t xml:space="preserve">Sustento de pago PPM - Liquidación, AFP, ahorros / HORARIO DE PAGO: Tarde / NOTA: SE OFRECE CANCELACION DE 1974  PERO TT INDICA QUE SEGUIRA CUMPLIENDO CON SU CUOTA ASIGNADA DE 282 , SE PROGRAMA CUOTA 6 DE 12 CORRESPONDIENTE AL MES DE JULIO </t>
  </si>
  <si>
    <t xml:space="preserve">Sustento de pago PPM - Liquidación, AFP, ahorros / HORARIO DE PAGO: Tarde / NOTA: SE PROGRAMA CUOTA 5 DE 13 </t>
  </si>
  <si>
    <t>Sustento de pago PPM - Liquidación, AFP, ahorros / HORARIO DE PAGO: Tarde / NOTA: SE PROGRAMA CUOTA 9 DE 12 CORRESPONDIENTE A MAYO POR 592 SOLES</t>
  </si>
  <si>
    <t xml:space="preserve">Sustento de pago PPM - Liquidación, AFP, ahorros / HORARIO DE PAGO: Tarde / NOTA: SE PROGRAMA EL PAGO DE SU 8TAVA CUOTA DE 12 MONTO DE 400 PARA EL DIA 28, PAGO LO REALIZARA POR TRANSFERENCIA DESDE SU APLICATIO IBK POR LA TARDE RANGO HORARIO DE 2 PM A 5 PM, DE IGUAL FORMA INDICO QUE DE SER POSIBLE UNA CANCELACION TOTAL SE ESTAR COMUNICANDO ANTES DE LA FECHA O NO ESTARA INFORMANDO SOBRE EL ADELANTO, NO SE COMPROMETE A NADA PERO SI CON LA CUOTA DE ESTE MES, TODO OK, SE PROGRAMA CUOTA DE FEBRERO. </t>
  </si>
  <si>
    <t>Sustento de pago PPM - Liquidación, AFP, ahorros / HORARIO DE PAGO: Tarde / NOTA: SE PROGRAMA PAGO DES/. 294 COMO ULTIMA CUOTA DE CRONOGRAMA // FECHA DE PAGO 30/10</t>
  </si>
  <si>
    <t xml:space="preserve">Sustento de pago PPM - Liquidación, AFP, ahorros / HORARIO DE PAGO: Tarde / NOTA: señor abonara primera cuota de 1500 soles y diferncia el dia 30 diferencia de 1500 soles en total 3000 se le envia informacion </t>
  </si>
  <si>
    <t xml:space="preserve">Sustento de pago PPM - Liquidación, AFP, ahorros / HORARIO DE PAGO: Tarde / NOTA: señor reagularizzara el monto de 400 soles y diferencia en quincena de 100 soles </t>
  </si>
  <si>
    <t xml:space="preserve">Sustento de pago PPM - Liquidación, AFP, ahorros / HORARIO DE PAGO: Tarde / NOTA: señora comenta que el dia 9 como maximo estaria haciendo el pago de la cancelacion de la cuota </t>
  </si>
  <si>
    <t>Sustento de pago PPM - Liquidación, AFP, ahorros / HORARIO DE PAGO: Tarde / NOTA: tit hoy pzgara</t>
  </si>
  <si>
    <t>Sustento de pago PPM - Liquidación, AFP, ahorros / HORARIO DE PAGO: Tarde / NOTA: TIT PAGARA CN ECEPCION  APORBADA</t>
  </si>
  <si>
    <t>Sustento de pago PPM - Liquidación, AFP, ahorros / HORARIO DE PAGO: Tarde / NOTA: tt ´pagara 215  el dia sabado y completara a fin de mes , se realiza nuevo cronograma 8 cuotas - convenio anterior 215 x 12c - actual  1935 / 8c</t>
  </si>
  <si>
    <t xml:space="preserve">Sustento de pago PPM - Liquidación, AFP, ahorros / HORARIO DE PAGO: Tarde / NOTA: TT CANCELA CON 8000 , PAGA 1000 HOY RESTO 7000 AL 31/03 , SE MODIFICARÁ AL CANCELAR </t>
  </si>
  <si>
    <t>Sustento de pago PPM - Liquidación, AFP, ahorros / HORARIO DE PAGO: Tarde / NOTA: tt cancelara a fin de mes su cuota del mes de agosto y si tiene la posibilidad de liquidar los 1000 soles avisara antes , ok menciono que se programara para esa fecha</t>
  </si>
  <si>
    <t>Sustento de pago PPM - Liquidación, AFP, ahorros / HORARIO DE PAGO: Tarde / NOTA: TT cancelará cuota n.º 2-5 el día 25.06.2026.</t>
  </si>
  <si>
    <t>Sustento de pago PPM - Liquidación, AFP, ahorros / HORARIO DE PAGO: Tarde / NOTA: TT cancelará cuota n.º 3-14 el día 30.05.2026.</t>
  </si>
  <si>
    <t>Sustento de pago PPM - Liquidación, AFP, ahorros / HORARIO DE PAGO: Tarde / NOTA: TT COFIRMA PAGO DE ULTIMACUOTA POR AGETE BCP , NO CONTESTO LLAMADAS POR QUE MUCHOS NUMERO S LE LLAMAN OK</t>
  </si>
  <si>
    <t>Sustento de pago PPM - Liquidación, AFP, ahorros / HORARIO DE PAGO: Tarde / NOTA: TT CONFIRMA EL PAGO DE LA CUOTA 02 PARA EL 30 DE JUNIO</t>
  </si>
  <si>
    <t>Sustento de pago PPM - Liquidación, AFP, ahorros / HORARIO DE PAGO: Tarde / NOTA: TT CONFIRMA PAGO DE S/. 1,000.00 CORRESPONDIENTE A SU ÚLTIMA CUOTA POR LA TARDE | SOLICITA NROS DE CUENTA, SE LE ENVÍA POR WHATSAPP.</t>
  </si>
  <si>
    <t>Sustento de pago PPM - Liquidación, AFP, ahorros / HORARIO DE PAGO: Tarde / NOTA: tt confirma pago según su cronograma, en caso tenga novedades con respecto a la cancelación se contactará, se brindó campaña de 3051 en el mes de mayo. Cuota 9 de 12.</t>
  </si>
  <si>
    <t>Sustento de pago PPM - Liquidación, AFP, ahorros / HORARIO DE PAGO: Tarde / NOTA: tt conforme se acercara ala oficina de puno  -  juliaca  -  400 soles</t>
  </si>
  <si>
    <t xml:space="preserve">Sustento de pago PPM - Liquidación, AFP, ahorros / HORARIO DE PAGO: Tarde / NOTA: tt haran pago de cuota 4 de 4  monto de 400 soles en  agente de banco </t>
  </si>
  <si>
    <t xml:space="preserve">Sustento de pago PPM - Liquidación, AFP, ahorros / HORARIO DE PAGO: Tarde / NOTA: tt indica que el dia 21 realiza su tercera cuota de 230 </t>
  </si>
  <si>
    <t>Sustento de pago PPM - Liquidación, AFP, ahorros / HORARIO DE PAGO: Tarde / NOTA: tt indica que esta realizando el pago a mas tardar el dia lunes a las 3 o 4 pm es su segunda cuota</t>
  </si>
  <si>
    <t>Sustento de pago PPM - Liquidación, AFP, ahorros / HORARIO DE PAGO: Tarde / NOTA: tt indica que su hermana realizara el ultimo pago en agente</t>
  </si>
  <si>
    <t>Sustento de pago PPM - Liquidación, AFP, ahorros / HORARIO DE PAGO: Tarde / NOTA: tt mencioan que el apgo lo hara por oficina el dia 10</t>
  </si>
  <si>
    <t>Sustento de pago PPM - Liquidación, AFP, ahorros / HORARIO DE PAGO: Tarde / NOTA: TT MENCIONA QUE  ABONARA  SU CUOTA EL DIA 16  JULIO S/200</t>
  </si>
  <si>
    <t xml:space="preserve">Sustento de pago PPM - Liquidación, AFP, ahorros / HORARIO DE PAGO: Tarde / NOTA: TT MENCIONAQUE PAGARA EL DIA DE HOY  970 QUE CORRESPONDE A LA 11VA CUOTA Y LA ULTIMA EN MARZO  DE 970 </t>
  </si>
  <si>
    <t xml:space="preserve">Sustento de pago PPM - Liquidación, AFP, ahorros / HORARIO DE PAGO: Tarde / NOTA: tt no cumplio la cuota de octubre , tuvo inconvenientes con su empleador por las lluvias y no le pago completo , este mes regularizara el pago de la cuota 2 y 3 con el importe de s/350.00 cada cuota. que se pagara el dia 14/11 cuota 2 y el 29/11 cuota 3 y ultima. </t>
  </si>
  <si>
    <t>Sustento de pago PPM - Liquidación, AFP, ahorros / HORARIO DE PAGO: Tarde / NOTA: tt paga cuota n°5 de 12 en caja los andes</t>
  </si>
  <si>
    <t xml:space="preserve">Sustento de pago PPM - Liquidación, AFP, ahorros / HORARIO DE PAGO: Tarde / NOTA: tt paga el dia 29 200 soles y lo restante el siguiente mes </t>
  </si>
  <si>
    <t xml:space="preserve">Sustento de pago PPM - Liquidación, AFP, ahorros / HORARIO DE PAGO: Tarde / NOTA: TT PAGA HOY 150 Y PROXIMO MES 175 </t>
  </si>
  <si>
    <t>Sustento de pago PPM - Liquidación, AFP, ahorros / HORARIO DE PAGO: Tarde / NOTA: tt pagara  su 3era  cuota de 650</t>
  </si>
  <si>
    <t xml:space="preserve">Sustento de pago PPM - Liquidación, AFP, ahorros / HORARIO DE PAGO: Tarde / NOTA: tt pagaria hoy 2050 y el 15 enero 950 </t>
  </si>
  <si>
    <t>Sustento de pago PPM - Liquidación, AFP, ahorros / HORARIO DE PAGO: Tarde / NOTA: TT realiza el pago en 2 cuotas de s/405 soles.</t>
  </si>
  <si>
    <t>El día de mañana hará un adelanto de s/200 soles y el monto restante de s/205 el día 15/08.</t>
  </si>
  <si>
    <t xml:space="preserve">Sustento de pago PPM - Liquidación, AFP, ahorros / HORARIO DE PAGO: Tarde / NOTA: tt realiza pago los 30 de cada mes, seria 4 cuota de 6, monto de 203, menciona  de poder realizara monto mayor  como lo ha venido regularizando </t>
  </si>
  <si>
    <t xml:space="preserve">Sustento de pago PPM - Liquidación, AFP, ahorros / HORARIO DE PAGO: Tarde / NOTA: tt realizar pago de cuota convenio de 230 - 6 de 6  por transf bcp, el dia 30.11 , en la tarde le pagan todos los fin de mes </t>
  </si>
  <si>
    <t>Sustento de pago PPM - Liquidación, AFP, ahorros / HORARIO DE PAGO: Tarde / NOTA: tt realizara el pago en cuotas por 6 meses 655 a base el impiorte de 3936 y lo realizara el dia viernes a lss 11 am se acercara</t>
  </si>
  <si>
    <t xml:space="preserve">Sustento de pago PPM - Liquidación, AFP, ahorros / HORARIO DE PAGO: Tarde / NOTA: TT REALIZARA PAGO DE 3RA CUOTA POR APLICATIVO BCP EN UN RANGO HORARIO DE 3 A 5 PM </t>
  </si>
  <si>
    <t>Sustento de pago PPM - Liquidación, AFP, ahorros / HORARIO DE PAGO: Tarde / NOTA: TT REALIZARA PAGO DE S/. 350 CORRESPONDIENTE A 11VA CUOTA EN FECHA 11/11, PAGO SE REALIZARA EN OFICINA CAJA LOS ANDES.</t>
  </si>
  <si>
    <t xml:space="preserve">Sustento de pago PPM - Liquidación, AFP, ahorros / HORARIO DE PAGO: Tarde / NOTA: tt realizara pago de s/200 soles </t>
  </si>
  <si>
    <t xml:space="preserve">Sustento de pago PPM - Liquidación, AFP, ahorros / HORARIO DE PAGO: Tarde / NOTA: tt se acoge a la campaña en cuotas pagara 12 cuotas de 400 soles pagara todos los 22 de cada mes, se le envia los numeros de cuentas y una vez q envie el voucher le enviaremos el cronograma de pago lo pagara antes de las 3pm por agente o banco ya q el dinero lo tiene en efectivo </t>
  </si>
  <si>
    <t xml:space="preserve">Sustento de pago PPM - Liquidación, AFP, ahorros / HORARIO DE PAGO: Tarde / NOTA: tt tuvo gastos imprevisyo por eso no ha podido cumplir . hara pago de su cuota fin de mes 1.1k </t>
  </si>
  <si>
    <t xml:space="preserve">Sustento de pago PPM - Liquidación, AFP, ahorros / HORARIO DE PAGO: Tarde / NOTA: TT va pagar mañana adelanto de 1mil soles de su 1era cuota de 4mil y restante el 30 de junio, se maneja como ppm de 1mil hasta que realice pago </t>
  </si>
  <si>
    <t>Sustento de pago PPM - Liquidación, AFP, ahorros / HORARIO DE PAGO: Tarde / NOTA: ultima cuota</t>
  </si>
  <si>
    <t>Sustento de pago PPM - Liquidación, AFP, ahorros / HORARIO DE PAGO: Tarde / NOTA: últimas 2 cuotas</t>
  </si>
  <si>
    <t xml:space="preserve">Sustento de pago PPM - OTROS:  / ADICIONAL - TTIENE EL DINERO </t>
  </si>
  <si>
    <t>Sustento de pago PPM - OTROS:  / HORARIO DE PAGO: Mañana</t>
  </si>
  <si>
    <t xml:space="preserve">Sustento de pago PPM - OTROS:  / HORARIO DE PAGO: Mañana / ADICIONAL - </t>
  </si>
  <si>
    <t>Sustento de pago PPM - OTROS:  / HORARIO DE PAGO: Mañana / ADICIONAL - 3 X 500 / CANAL ENVIO - LLAMADA</t>
  </si>
  <si>
    <t>Sustento de pago PPM - OTROS:  / HORARIO DE PAGO: Mañana / ADICIONAL - CTA 2 DE 6</t>
  </si>
  <si>
    <t>Sustento de pago PPM - OTROS:  / HORARIO DE PAGO: Mañana / ADICIONAL - cuota 3 de 540</t>
  </si>
  <si>
    <t>Sustento de pago PPM - OTROS:  / HORARIO DE PAGO: Mañana / ADICIONAL - CUOTA 6</t>
  </si>
  <si>
    <t xml:space="preserve">Sustento de pago PPM - OTROS:  / HORARIO DE PAGO: Mañana / ADICIONAL - CUOTA 9 </t>
  </si>
  <si>
    <t>Sustento de pago PPM - OTROS:  / HORARIO DE PAGO: Mañana / ADICIONAL - cuota de 2 de 3</t>
  </si>
  <si>
    <t>Sustento de pago PPM - OTROS:  / HORARIO DE PAGO: Mañana / ADICIONAL - quizas liquide 3300</t>
  </si>
  <si>
    <t>Sustento de pago PPM - OTROS:  / HORARIO DE PAGO: Tarde</t>
  </si>
  <si>
    <t xml:space="preserve">Sustento de pago PPM - OTROS:  / HORARIO DE PAGO: Tarde / ADICIONAL - </t>
  </si>
  <si>
    <t>Sustento de pago PPM - OTROS:  / HORARIO DE PAGO: Tarde / ADICIONAL - PARA FINES  CUOTA</t>
  </si>
  <si>
    <t>Sustento de pago PPM - OTROS:  / HORARIO DE PAGO: Tarde / ADICIONAL - queda pendiente en casncelar</t>
  </si>
  <si>
    <t xml:space="preserve">Sustento de pago PPM - OTROS:  / HORARIO DE PAGO: Tarde / ADICIONAL - tt abonara 2da cuota de 12 </t>
  </si>
  <si>
    <t>Sustento de pago PPM - OTROS:  / HORARIO DE PAGO: Tarde / ADICIONAL - tt francona su deuda en 3 meses cuotas de 646</t>
  </si>
  <si>
    <t>Sustento de pago PPM - OTROS: 1000 X 20 MESES / HORARIO DE PAGO: Mañana / ADICIONAL - 9 DE 20 CUOTAS</t>
  </si>
  <si>
    <t xml:space="preserve">Sustento de pago PPM - OTROS: 1era cuota de 304 soles En la oficina de Juliaca llega en una hora aprox 3y50  / HORARIO DE PAGO: Mañana / ADICIONAL - 1era cuota de 2 </t>
  </si>
  <si>
    <t xml:space="preserve">Sustento de pago PPM - OTROS: 3000 EN 2 CUOTAS . EL 09 MONTO DE 2000 Y EN MARZO 1000 / HORARIO DE PAGO: Mañana / ADICIONAL - </t>
  </si>
  <si>
    <t xml:space="preserve">Sustento de pago PPM - OTROS: 6 CUOTAS 250 TOTAL 1500    MARINA MONZON CRISPIN MAMA RESPONSABLE  / ADICIONAL - </t>
  </si>
  <si>
    <t xml:space="preserve">Sustento de pago PPM - OTROS: Cancelará tres cuotas de 315  en el mes octubre pago una y este mes de noviembre es la cuota 2  / ADICIONAL - </t>
  </si>
  <si>
    <t xml:space="preserve">Sustento de pago PPM - OTROS: confirma abono mensual / HORARIO DE PAGO: Mediodía / ADICIONAL - </t>
  </si>
  <si>
    <t>Sustento de pago PPM - OTROS: Cuota 03 de 12 / HORARIO DE PAGO: Mañana / ADICIONAL - TT tiene cronograma de pagos con fecha 30 d</t>
  </si>
  <si>
    <t>Sustento de pago PPM - OTROS: cuota 7 / HORARIO DE PAGO: Tarde / ADICIONAL - dice apartir del 25 a 27</t>
  </si>
  <si>
    <t xml:space="preserve">Sustento de pago PPM - OTROS: cuota nº 5 de 6 / HORARIO DE PAGO: Mañana / ADICIONAL - </t>
  </si>
  <si>
    <t xml:space="preserve">Sustento de pago PPM - OTROS: en base a 800 el 31 de dic pagara 400 y el 30 de enero 400 / ADICIONAL - </t>
  </si>
  <si>
    <t xml:space="preserve">Sustento de pago PPM - OTROS: esta sin trabajo va ver el tema de pagar todo esta un pco mal de salud y no esta trabjando como antes  / HORARIO DE PAGO: Mañana / ADICIONAL - </t>
  </si>
  <si>
    <t>Sustento de pago PPM - OTROS: Menciona que no tuvo trabajo por eso no puedo cumplir el viernes 12 estara adelanto 100 y el 19 Abona 135  / HORARIO DE PAGO: Mañana / ADICIONAL - 1ERA CUOTA DE 2</t>
  </si>
  <si>
    <t xml:space="preserve">Sustento de pago PPM - OTROS: pafa fines  / HORARIO DE PAGO: Mañana / ADICIONAL - </t>
  </si>
  <si>
    <t xml:space="preserve">Sustento de pago PPM - OTROS: PAGO DE TRABAJOS REALIZADOS / ADICIONAL - </t>
  </si>
  <si>
    <t>Sustento de pago PPM - OTROS: refinanciamiento 6 cuotas de 330</t>
  </si>
  <si>
    <t xml:space="preserve">Sustento de pago PPM - OTROS: RESP  WH  / HORARIO DE PAGO: Mañana / ADICIONAL - PPM 255 SOLES  12 CUOTAS PAGA CUOTA 5 X BCP </t>
  </si>
  <si>
    <t xml:space="preserve">Sustento de pago PPM - OTROS: SE CONVERSA CON TITULAR SE REPROGRAMO SU CUOTA PARA EL 27 DE FEBRERO  / HORARIO DE PAGO: Mañana / ADICIONAL - </t>
  </si>
  <si>
    <t xml:space="preserve">Sustento de pago PPM - OTROS: Se recuerda pago para el 27 por importe de 2m. De tener dinero antes se comunicara. / HORARIO DE PAGO: Tarde / ADICIONAL - CUOTA 2 DE 2  </t>
  </si>
  <si>
    <t>Sustento de pago PPM - OTROS: Titular accede a 1era cuota de 3 cone l importe de 400 soles para el Lunes 22.04 en agencia de PUNO de Av.SOL antes de 12pm .ahora esta ne gastos por ello no puede. / HORARIO DE PAGO: Mediodía</t>
  </si>
  <si>
    <t xml:space="preserve">Sustento de pago PPM - OTROS: TITULAR SE ACOGE A CAMPAÑA DE PAGO DE 200 SOLS PARA MAÑANA 13 DE FEBRERO POR LA TARDE / HORARIO DE PAGO: Tarde / ADICIONAL - </t>
  </si>
  <si>
    <t>Sustento de pago PPM - OTROS: trabajo independiente / ADICIONAL - 484 x 6 cuotas</t>
  </si>
  <si>
    <t xml:space="preserve">Sustento de pago PPM - OTROS: TT cancelara 600 el 05 de feb abonara y el restante 550 el 19 de feb cancelara esta solicitando un prestamo  / HORARIO DE PAGO: Tarde / ADICIONAL - </t>
  </si>
  <si>
    <t xml:space="preserve">Sustento de pago PPM - OTROS: TT CONFIRMA CUOTA PARA EL MES DE ENERO EL DIA 26 POR 662  / HORARIO DE PAGO: Mañana / ADICIONAL - CUOTA 4 DE 6 </t>
  </si>
  <si>
    <t xml:space="preserve">Sustento de pago PPM - OTROS: TT CONFIRMA PAGO DE LA ÚLTIMA CUOTA DE 130 / HORARIO DE PAGO: Mañana / ADICIONAL - </t>
  </si>
  <si>
    <t xml:space="preserve">Sustento de pago PPM - OTROS: tt confirma pago de la ultima cuota de 400 / HORARIO DE PAGO: Mañana / ADICIONAL - </t>
  </si>
  <si>
    <t xml:space="preserve">Sustento de pago PPM - OTROS: tt esta manejando no permite culminar con plantilla pero confirma pago el jueves  / ADICIONAL - 3 cuotas de 272 </t>
  </si>
  <si>
    <t xml:space="preserve">Sustento de pago PPM - OTROS: TT INDICA QUE SU PAGO DE 270 LO REALIZARÁ AL DÍA 30 / HORARIO DE PAGO: Mañana / ADICIONAL - </t>
  </si>
  <si>
    <t>Sustento de pago PPM - OTROS: tt pagara el dia 27 a fin de mes se confirma que se enviara su cronograma de pagos via wsp cuota numero 2 de 12 / HORARIO DE PAGO: Tarde / ADICIONAL - cuota 2 de 12</t>
  </si>
  <si>
    <t xml:space="preserve">Sustento de pago PPM - OTROS: TT REALIZARÁ SU PAGO AL DÍA 25 CON EL IMPORTE DE 550 / HORARIO DE PAGO: Mañana / ADICIONAL - </t>
  </si>
  <si>
    <t xml:space="preserve">Sustento de pago PPM - Pago de planilla / ADICIONAL - </t>
  </si>
  <si>
    <t xml:space="preserve">Sustento de pago PPM - Pago de planilla / ADICIONAL - 1200 dos cuotas </t>
  </si>
  <si>
    <t>Sustento de pago PPM - Pago de planilla / ADICIONAL - 3 CUOTAS DE 410</t>
  </si>
  <si>
    <t>Sustento de pago PPM - Pago de planilla / ADICIONAL - trabajo independiente</t>
  </si>
  <si>
    <t xml:space="preserve">Sustento de pago PPM - Pago de planilla / ADICIONAL - tt cancela con dos cuotas de 125  el 21 </t>
  </si>
  <si>
    <t>Sustento de pago PPM - Pago de planilla / ADICIONAL - tt paga 2000 en 2 ctas hasta el 2701  60</t>
  </si>
  <si>
    <t xml:space="preserve">Sustento de pago PPM - Pago de planilla / ADICIONAL - ultima cuota </t>
  </si>
  <si>
    <t xml:space="preserve">Sustento de pago PPM - Pago de planilla / HORARIO DE PAGO: Mañana / ADICIONAL - </t>
  </si>
  <si>
    <t>Sustento de pago PPM - Pago de planilla / HORARIO DE PAGO: Mañana / ADICIONAL - 2 CTAS PENDIENTES</t>
  </si>
  <si>
    <t>Sustento de pago PPM - Pago de planilla / HORARIO DE PAGO: Mañana / ADICIONAL - cl indica que adelantara 100 soles el dia lunes</t>
  </si>
  <si>
    <t>Sustento de pago PPM - Pago de planilla / HORARIO DE PAGO: Mañana / ADICIONAL - cuota 4</t>
  </si>
  <si>
    <t>Sustento de pago PPM - Pago de planilla / HORARIO DE PAGO: Mañana / ADICIONAL - cuota numero 4 de 6</t>
  </si>
  <si>
    <t>Sustento de pago PPM - Pago de planilla / HORARIO DE PAGO: Mañana / ADICIONAL - dk  380 cam 420    2 cuotas de 210</t>
  </si>
  <si>
    <t>Sustento de pago PPM - Pago de planilla / HORARIO DE PAGO: Mañana / ADICIONAL - tt confirma pago para el día 30 de este mes</t>
  </si>
  <si>
    <t>Sustento de pago PPM - Pago de planilla / HORARIO DE PAGO: Mañana / ADICIONAL - tt hoy cuota 3 de 4 importe 213 y fin de mes ultim</t>
  </si>
  <si>
    <t>Sustento de pago PPM - Pago de planilla / HORARIO DE PAGO: Mañana / ADICIONAL - tt paga 2da cuota de 6 cronograma 16</t>
  </si>
  <si>
    <t xml:space="preserve">Sustento de pago PPM - Pago de planilla / HORARIO DE PAGO: Mañana / ADICIONAL - tt realizara el pago de su ultima cuota de 550 </t>
  </si>
  <si>
    <t xml:space="preserve">Sustento de pago PPM - Pago de planilla / HORARIO DE PAGO: Mañana / CANAL ENVIO - LLAMADA / NOTA: tt accede a convenio de pago de 3 cuota de 257 soles , pagara cuota 1  monto de 257 el dia 07.07 en caja los andes   motivo de no pago , esposo se accidento y tuvo que gastar, sustento de no pago, tiene 4 hijo y le genera gastos,  se le mencion DT 870.04 Y DK 551  Pagara a las 10 am  , ese dia de pagan dice . lo hara en caja los andes </t>
  </si>
  <si>
    <t xml:space="preserve">Sustento de pago PPM - Pago de planilla / HORARIO DE PAGO: Mañana / NOTA: </t>
  </si>
  <si>
    <t xml:space="preserve">Sustento de pago PPM - Pago de planilla / HORARIO DE PAGO: Mañana / NOTA:  TT SE LE BRINDA DT DK C3 C 6  IDICA QUE ENVIARA A SU HERMANA AH PAGR LA PRIMERA CUOTA EL DIA 26/04 PORPONE LLEGAR AL MONTO DE 2MIL SI EN CASO SEA POSIBLE PARA LA CANCELACION TOTAL  SE INFORMA SUPER </t>
  </si>
  <si>
    <t xml:space="preserve">Sustento de pago PPM - Pago de planilla / HORARIO DE PAGO: Mañana / NOTA: 5ta cuota de 10   clienta delicada de salud </t>
  </si>
  <si>
    <t>Sustento de pago PPM - Pago de planilla / HORARIO DE PAGO: Mañana / NOTA: cl. pagara 9600 en tres cuotas, hoy apgara 2500 y 1000 el dia viernes, restante para abril y mayo de 3050</t>
  </si>
  <si>
    <t xml:space="preserve">Sustento de pago PPM - Pago de planilla / HORARIO DE PAGO: Mañana / NOTA: Cuota 02 de 06 // TT tiene cronograma. </t>
  </si>
  <si>
    <t xml:space="preserve">Sustento de pago PPM - Pago de planilla / HORARIO DE PAGO: Mañana / NOTA: Cuota 03 de 05 </t>
  </si>
  <si>
    <t xml:space="preserve">Sustento de pago PPM - Pago de planilla / HORARIO DE PAGO: Mañana / NOTA: Cuota 03 de 12 // TT dice que paga a fin de mes. </t>
  </si>
  <si>
    <t>Sustento de pago PPM - Pago de planilla / HORARIO DE PAGO: Mañana / NOTA: Cuota 04 de 06</t>
  </si>
  <si>
    <t>Sustento de pago PPM - Pago de planilla / HORARIO DE PAGO: Mañana / NOTA: Cuota 04 de 06 , por confirmar fecha de pago de la cuota de "diciembre", tt incumplió porque le robaron ahora está en La Joya, ahí no hay BCP, tiene que viajar y tiene libre el miércoles</t>
  </si>
  <si>
    <t xml:space="preserve">Sustento de pago PPM - Pago de planilla / HORARIO DE PAGO: Mañana / NOTA: Cuota 04 de 09 // TT confirma pago de cuota para el día 31.12 tt menciona que en esa fecha le depositan del pago de un alquiler, se consulta a tt si vió viable cancelar ya que el mes pasado no lo hizo, tt indica que le llegó SMS de BCP por un préstamo pre aprobado (no indica monto), pide que consulte con gerencia bajo que importe se puede manejar la cancelación total se recalcó saldo restante de 30K y tt menciona que ello no le van a prestar, solicita sea un importe menor. </t>
  </si>
  <si>
    <t>Sustento de pago PPM - Pago de planilla / HORARIO DE PAGO: Mañana / NOTA: Cuota 04 de 19</t>
  </si>
  <si>
    <t>Sustento de pago PPM - Pago de planilla / HORARIO DE PAGO: Mañana / NOTA: Cuota 04 de 27</t>
  </si>
  <si>
    <t xml:space="preserve">Sustento de pago PPM - Pago de planilla / HORARIO DE PAGO: Mañana / NOTA: Cuota 05 de 06 </t>
  </si>
  <si>
    <t xml:space="preserve">Sustento de pago PPM - Pago de planilla / HORARIO DE PAGO: Mañana / NOTA: Cuota 06 de 07 , pago por APP </t>
  </si>
  <si>
    <t xml:space="preserve">Sustento de pago PPM - Pago de planilla / HORARIO DE PAGO: Mañana / NOTA: Cuota 07 de 24 </t>
  </si>
  <si>
    <t>Sustento de pago PPM - Pago de planilla / HORARIO DE PAGO: Mañana / NOTA: Cuota 07 de 34</t>
  </si>
  <si>
    <t>Sustento de pago PPM - Pago de planilla / HORARIO DE PAGO: Mañana / NOTA: Cuota 08 de 12</t>
  </si>
  <si>
    <t xml:space="preserve">Sustento de pago PPM - Pago de planilla / HORARIO DE PAGO: Mañana / NOTA: Cuota 10 de 12 </t>
  </si>
  <si>
    <t>Sustento de pago PPM - Pago de planilla / HORARIO DE PAGO: Mañana / NOTA: Cuota 12 de 18</t>
  </si>
  <si>
    <t>Sustento de pago PPM - Pago de planilla / HORARIO DE PAGO: Mañana / NOTA: Cuota 13 de 14</t>
  </si>
  <si>
    <t>Sustento de pago PPM - Pago de planilla / HORARIO DE PAGO: Mañana / NOTA: Cuota 16 de 18</t>
  </si>
  <si>
    <t xml:space="preserve">Sustento de pago PPM - Pago de planilla / HORARIO DE PAGO: Mañana / NOTA: CUOTA 16 DE 20 </t>
  </si>
  <si>
    <t xml:space="preserve">TITULAR CONFIRMA CUOTA 16 POR 1500 SOLES PARA EL DIA 31/05 </t>
  </si>
  <si>
    <t xml:space="preserve">Sustento de pago PPM - Pago de planilla / HORARIO DE PAGO: Mañana / NOTA: CUOTA 2 DE 3 </t>
  </si>
  <si>
    <t>Sustento de pago PPM - Pago de planilla / HORARIO DE PAGO: Mañana / NOTA: Cuota 20 de 21</t>
  </si>
  <si>
    <t>Sustento de pago PPM - Pago de planilla / HORARIO DE PAGO: Mañana / NOTA: CUOTA 21</t>
  </si>
  <si>
    <t xml:space="preserve">Sustento de pago PPM - Pago de planilla / HORARIO DE PAGO: Mañana / NOTA: cuota 5 de 12 </t>
  </si>
  <si>
    <t>Sustento de pago PPM - Pago de planilla / HORARIO DE PAGO: Mañana / NOTA: cuota 7 de 29 para el 26/06</t>
  </si>
  <si>
    <t xml:space="preserve">Sustento de pago PPM - Pago de planilla / HORARIO DE PAGO: Mañana / NOTA: Cuota de 01 de 12 , tt validará la transferencia hoy PM. Se enviará carta de notificación </t>
  </si>
  <si>
    <t>Sustento de pago PPM - Pago de planilla / HORARIO DE PAGO: Mañana / NOTA: ESPOSO DE TT PAGARIA ULTIMA CUOTA PARA LIQUIDAR DEUDA</t>
  </si>
  <si>
    <t xml:space="preserve">Sustento de pago PPM - Pago de planilla / HORARIO DE PAGO: Mañana / NOTA: Nos comunicamos con titular, se le menciona DT y campaña de 4350 indica que todavia esta viendo la manera de pagar pero que quiza pueda pagar mensualmente 800 se le brinda C6X810 indica que podria pagar el 05/06 menciona qu quiza pueda conseguir un dinero y cancelar pero lo más seguro es pagar mensualmente </t>
  </si>
  <si>
    <t xml:space="preserve">Sustento de pago PPM - Pago de planilla / HORARIO DE PAGO: Mañana / NOTA: PPM  500 SOLES  CUOTA 3 EN OF  CREDINKA QUILLABAMBA  20/6 </t>
  </si>
  <si>
    <t xml:space="preserve">Sustento de pago PPM - Pago de planilla / HORARIO DE PAGO: Mañana / NOTA: PPM 6800 SOLES  EN  4  ARMADAS DE  S/1700 SOLES  EN OF CREDINKA HOY ABONA 400 Y  DIFERENCIA DE  CUOTA  FIN DE MES  </t>
  </si>
  <si>
    <t>Sustento de pago PPM - Pago de planilla / HORARIO DE PAGO: Mañana / NOTA: PPM S/ 330 SOLES  CUOTA 4/6 EN CAJA LOS  ANDES  LUNES 10/3</t>
  </si>
  <si>
    <t xml:space="preserve">Sustento de pago PPM - Pago de planilla / HORARIO DE PAGO: Mañana / NOTA: programación de cuota nro 11 de 12 </t>
  </si>
  <si>
    <t>Sustento de pago PPM - Pago de planilla / HORARIO DE PAGO: Mañana / NOTA: se confirma acuerdo de pago para el 31/05 cuota 12 de 35</t>
  </si>
  <si>
    <t xml:space="preserve">Sustento de pago PPM - Pago de planilla / HORARIO DE PAGO: Mañana / NOTA: Se programa cuota 1062 para el dia 20 de marzo </t>
  </si>
  <si>
    <t>Sustento de pago PPM - Pago de planilla / HORARIO DE PAGO: Mañana / NOTA: Se programa cuota 11 de 15 al dia 25 de marzo, monto 200</t>
  </si>
  <si>
    <t xml:space="preserve">Sustento de pago PPM - Pago de planilla / HORARIO DE PAGO: Mañana / NOTA: tit accede a la campaña de 6 cuotas de 205 el día de hoy abonará S/ 103 y fdm el importe restante </t>
  </si>
  <si>
    <t>Sustento de pago PPM - Pago de planilla / HORARIO DE PAGO: Mañana / NOTA: TITULAR CONFIRMA PAGO PARA EL VIERNES 20-05 // MONTO 950 // CUOTA 5 DE 8</t>
  </si>
  <si>
    <t xml:space="preserve">Sustento de pago PPM - Pago de planilla / HORARIO DE PAGO: Mañana / NOTA: TITULAR INDICA SU POSIBILIDAD DE PAGO ES POR S/210 SOLES EN 3 CUOTAS. </t>
  </si>
  <si>
    <t xml:space="preserve">CUOTA 1 DE 3 </t>
  </si>
  <si>
    <t xml:space="preserve">Sustento de pago PPM - Pago de planilla / HORARIO DE PAGO: Mañana / NOTA: tt  indica que realizara cuota convenio 2 de 4 monto de 3000 soles el dia 30.11 en caja los andes </t>
  </si>
  <si>
    <t>Sustento de pago PPM - Pago de planilla / HORARIO DE PAGO: Mañana / NOTA: TT cumplirá con su 9na cuota para el día 30/04 con S/813.00</t>
  </si>
  <si>
    <t>Sustento de pago PPM - Pago de planilla / HORARIO DE PAGO: Mañana / NOTA: TT INDICA QUE LE PAGAN CADA FIN DE MES, INDICA QUE EL DIA 31 REALIZARIA EL PAGO DE SU CUOTA 1383</t>
  </si>
  <si>
    <t>Sustento de pago PPM - Pago de planilla / HORARIO DE PAGO: Mañana / NOTA: tt indica que pagará el 29/03/26 su segunda cuota 320.00 por bcp</t>
  </si>
  <si>
    <t xml:space="preserve">Sustento de pago PPM - Pago de planilla / HORARIO DE PAGO: Mañana / NOTA: TT no reconoce la deuda, no hizo la compra, solo le dijeron que anule la tarjeta le dijeron que no procedía su recamo hace un año , apeló y quedaron en darle una respuesta. Se explica reporte negativo en centrales de riesgo, tt dice que es médico, cuando hicieron la compra ella estaba de turno. Se explica facilidad de pago en 03 cuotas de S/295.00  tt accede al fraccionamiento , se envia carta de notificación por WhatsApp y se explica plazo de envío de crongrama por correo electronico que quedó en enviarlo </t>
  </si>
  <si>
    <t>Sustento de pago PPM - Pago de planilla / HORARIO DE PAGO: Mañana / NOTA: tt pagara 500 N°3 CONVENIO DE PAGO en la misma oficina caja los andes</t>
  </si>
  <si>
    <t xml:space="preserve">Sustento de pago PPM - Pago de planilla / HORARIO DE PAGO: Mañana / NOTA: TT PAGARA FINES DE MES. CUOTA 2. QUIZA PUEDA ADELANTAR 2 CUOTAS CORRESPONDIENTES AL MES. </t>
  </si>
  <si>
    <t xml:space="preserve">Sustento de pago PPM - Pago de planilla / HORARIO DE PAGO: Mañana / NOTA: TT REALIZA PAGO DE SU CUOTA 9 DE 9   </t>
  </si>
  <si>
    <t xml:space="preserve">Sustento de pago PPM - Pago de planilla / HORARIO DE PAGO: Mañana / NOTA: TT REALIZARA EL PAGO DE SU CUOTA 3  DE 3    </t>
  </si>
  <si>
    <t>Sustento de pago PPM - Pago de planilla / HORARIO DE PAGO: Mañana / NOTA: TT realizará el pago de su segunda cuota el día de hoy 23-10 con el importe de S/2,153.00</t>
  </si>
  <si>
    <t>Sustento de pago PPM - Pago de planilla / HORARIO DE PAGO: Mañana / NOTA: TT RECIBE SUELDO DE DOCENTE EL 25 PERO COMO CAE SABADO PAGARIA EL 27  *ULTIMA CUOTA*</t>
  </si>
  <si>
    <t xml:space="preserve">Sustento de pago PPM - Pago de planilla / HORARIO DE PAGO: Mañana / NOTA: TT SE ACOPLARÁ A CRONOGRAMA DE 6C DE 970- ABONARÁ HOY EL 50% Y EL 50% EL VIERNES 29 - ID QUE YA ESTÁ RUMBO A EFECTUAR EL PAGO - SE LE ENVIÓ CRONOGRAMA </t>
  </si>
  <si>
    <t xml:space="preserve">Sustento de pago PPM - Pago de planilla / HORARIO DE PAGO: Medioda / NOTA: DT: S/.9,458.39 - cl menciona que hoy a las 10 am paga su cuota , menciona que está accidentado y por ello se le dificulta pagar, se le ofrece cancelación , cl menciona que no puede y seguirá pagando sus 300 mensuales, cl paga de 10 a 11 su cuota de 300. </t>
  </si>
  <si>
    <t>Sustento de pago PPM - Pago de planilla / HORARIO DE PAGO: Medioda / NOTA: MONTO TOTAL NEGOCIADO: SE NEGOCIA POR DT 17,418.16 Y DK 12,516.04 Y CAMPAÑA DE 7000 NO ACEPTA ES MUCHO SE LE PIDE HASTA 6000.00 PERO SOLICITA 2 CUOTAS 3000 ESTE MES Y 15 DE ENERO LOS 3000 HOY 11-12 1500.00 Y EL DIA 17-12 1500.00  Y LA SIEGUIENTE CUOTA EL 20 DE ENERO</t>
  </si>
  <si>
    <t>**NOTA**: TITULAR HARA EL ABONO 17-12</t>
  </si>
  <si>
    <t xml:space="preserve">MOTIVO DE NO PAGO: FALTA DE PAGOS DE SU NEGOCIO RETRASOS EXTENSOS </t>
  </si>
  <si>
    <t>SUSTENTO DE PAGO: PAGO PENDIENTE Y SALDO EN CUENTA</t>
  </si>
  <si>
    <t>FECHA DE PAGO: 11-12-2025</t>
  </si>
  <si>
    <t xml:space="preserve">MONTO PROPUESTA: TITULAR HARA EL ABONO POR TRANSFERENCIA HOY 1500.00 EL DIA 17 1500.00 LOS 3000 EL DIA 20-01-2026 TRATARA DE HACERLO ANTES </t>
  </si>
  <si>
    <t>Sustento de pago PPM - Pago de planilla / HORARIO DE PAGO: Medioda / NOTA: SE PROGRAMA 15 CUOTAS DE 335 X MES , PRIMERA CUOTA 18.02 Y LAS SIGUIENTES LOS 23 DE CADA MES</t>
  </si>
  <si>
    <t>Sustento de pago PPM - Pago de planilla / HORARIO DE PAGO: Medioda / NOTA: tit hara pago esa fecha por la tarde</t>
  </si>
  <si>
    <t>Sustento de pago PPM - Pago de planilla / HORARIO DE PAGO: Medioda / NOTA: Titular realiza su pago de 2da cuota de 6 // de S/1,300 soles para el Viernes 30/01/2026 antes de 12:00 pm.</t>
  </si>
  <si>
    <t>Sustento de pago PPM - Pago de planilla / HORARIO DE PAGO: Medioda / NOTA: tt  realizar pago de cuota 8 de 18  monto de 600 soles  , por transferencia INTERBANK</t>
  </si>
  <si>
    <t>Sustento de pago PPM - Pago de planilla / HORARIO DE PAGO: Medioda / NOTA: TT SE DA CANC CON 800 SOLES , ABONA HOY 400 Y 400 A FINES DE MES 28/2</t>
  </si>
  <si>
    <t xml:space="preserve">Sustento de pago PPM - Pago de planilla / HORARIO DE PAGO: Mediodía / ADICIONAL - </t>
  </si>
  <si>
    <t xml:space="preserve">Sustento de pago PPM - Pago de planilla / HORARIO DE PAGO: Mediodía / ADICIONAL - paga cuota 1 de 12 </t>
  </si>
  <si>
    <t>Sustento de pago PPM - Pago de planilla / HORARIO DE PAGO: Mediodía / NOTA: Tit cancela deuda S/472 en 2 partes S/236 21/05 y S/236 el 30/05, abona mañana al mediodia la 1era cuota</t>
  </si>
  <si>
    <t>Sustento de pago PPM - Pago de planilla / HORARIO DE PAGO: Mediodía / NOTA: TT paga el 25 de junio por el app de scotiabank N°2</t>
  </si>
  <si>
    <t xml:space="preserve">Sustento de pago PPM - Pago de planilla / HORARIO DE PAGO: Mediodía / NOTA: TT PAGA ULTIMA CUOTA 21-11   CONTACTO TT AL WSP +34642573972 </t>
  </si>
  <si>
    <t>Sustento de pago PPM - Pago de planilla / HORARIO DE PAGO: Mediodía / NOTA: tt pagara este mes el 28 de febrero tiene delicado de salud a un familiar</t>
  </si>
  <si>
    <t>Sustento de pago PPM - Pago de planilla / HORARIO DE PAGO: Mediodía / NOTA: TT solicita reprogramacion de las cuotas pendientes fin de mes 500 N° 1 - cliente indica a tenido una emergencia de gastos por eso no cumplio.</t>
  </si>
  <si>
    <t>Sustento de pago PPM - Pago de planilla / HORARIO DE PAGO: Mediodía / NOTA: wsp - TT dice pagara su cuota el 31 de julio por app del scotiabank - adicional comento que le ofrecieron el mes pasado cancelar con 2900 , pero no tenia el ingreso suficiente , solicitar propuesta por 2300 , tratara de juntar , pero lo mas seguro sera que abone su cuota mensual</t>
  </si>
  <si>
    <t xml:space="preserve">Sustento de pago PPM - Pago de planilla / HORARIO DE PAGO: Tarde / ADICIONAL - </t>
  </si>
  <si>
    <t xml:space="preserve">Sustento de pago PPM - Pago de planilla / HORARIO DE PAGO: Tarde / ADICIONAL - 13VA CUOTA DE 404 DE ACUERDO DE 18 CUOTAS </t>
  </si>
  <si>
    <t>Sustento de pago PPM - Pago de planilla / HORARIO DE PAGO: Tarde / ADICIONAL - 5ta cuota</t>
  </si>
  <si>
    <t>Sustento de pago PPM - Pago de planilla / HORARIO DE PAGO: Tarde / ADICIONAL - 6 de 6</t>
  </si>
  <si>
    <t>Sustento de pago PPM - Pago de planilla / HORARIO DE PAGO: Tarde / ADICIONAL - tt abona el 30 de marzo su segunda cuota de 200 s</t>
  </si>
  <si>
    <t xml:space="preserve">Sustento de pago PPM - Pago de planilla / HORARIO DE PAGO: Tarde / ADICIONAL - tt confirma por wasap pago de su ultima cuota </t>
  </si>
  <si>
    <t>Sustento de pago PPM - Pago de planilla / HORARIO DE PAGO: Tarde / ADICIONAL - TT PAGA 3 C DE 967 MENSUAL</t>
  </si>
  <si>
    <t xml:space="preserve">Sustento de pago PPM - Pago de planilla / HORARIO DE PAGO: Tarde / NOTA: </t>
  </si>
  <si>
    <t>Sustento de pago PPM - Pago de planilla / HORARIO DE PAGO: Tarde / NOTA: cliente confirma pago de su 2da cuota</t>
  </si>
  <si>
    <t>Sustento de pago PPM - Pago de planilla / HORARIO DE PAGO: Tarde / NOTA: CONFIRMA EL PAGO PARA LAS 4PM.</t>
  </si>
  <si>
    <t xml:space="preserve">Sustento de pago PPM - Pago de planilla / HORARIO DE PAGO: Tarde / NOTA: Confirmacion de pago cuota </t>
  </si>
  <si>
    <t xml:space="preserve">Sustento de pago PPM - Pago de planilla / HORARIO DE PAGO: Tarde / NOTA: Cuota 01 de 03 // TT dice que han quedado en pagarle entre viernes o sábado; por ello pide programar pago de cuota N° 01 el dia 10/03 </t>
  </si>
  <si>
    <t>Sustento de pago PPM - Pago de planilla / HORARIO DE PAGO: Tarde / NOTA: Cuota 01 de 12 , tt dice que se acogerá a PPM con el dinero de su planilla (importe dentro de su presupuesto), si le pagan se acogería a la PPC, no confirma porque le vienen incumpliendo.</t>
  </si>
  <si>
    <t xml:space="preserve">Sustento de pago PPM - Pago de planilla / HORARIO DE PAGO: Tarde / NOTA: Cuota 02 de 04 </t>
  </si>
  <si>
    <t xml:space="preserve">Sustento de pago PPM - Pago de planilla / HORARIO DE PAGO: Tarde / NOTA: Cuota 04 de 09 </t>
  </si>
  <si>
    <t>Sustento de pago PPM - Pago de planilla / HORARIO DE PAGO: Tarde / NOTA: Cuota 04 de 12</t>
  </si>
  <si>
    <t>Sustento de pago PPM - Pago de planilla / HORARIO DE PAGO: Tarde / NOTA: Cuota 04 de 40 // TT refiere que continuará con el último cronograma otorgado en octubre (se valida cumplimiento de cuotas), en diciembre no realizó pago porque por motivos de viaje y para no incumplir lo hizo el día 30.11 ya se explicó que pagos deberá realizarlo dentro del mes, tt confirma pago de cuota.</t>
  </si>
  <si>
    <t>Sustento de pago PPM - Pago de planilla / HORARIO DE PAGO: Tarde / NOTA: Cuota 07 de 14</t>
  </si>
  <si>
    <t>Sustento de pago PPM - Pago de planilla / HORARIO DE PAGO: Tarde / NOTA: Cuota 09 de 24 //  TT dice que han quedado en pagarle esta semana si es así se acogería a campaña de 8K (se explica que hay que volver a solicitarlo con supervisora)</t>
  </si>
  <si>
    <t xml:space="preserve">Sustento de pago PPM - Pago de planilla / HORARIO DE PAGO: Tarde / NOTA: Cuota 10 de 12 </t>
  </si>
  <si>
    <t xml:space="preserve">Sustento de pago PPM - Pago de planilla / HORARIO DE PAGO: Tarde / NOTA: Cuota 11 de 12 </t>
  </si>
  <si>
    <t xml:space="preserve">Sustento de pago PPM - Pago de planilla / HORARIO DE PAGO: Tarde / NOTA: CUOTA 11 DE 12 </t>
  </si>
  <si>
    <t>TITULAR CONFIRMA PAGO DE CUOTA 11 POR 515 PARA EL DIA 20/03</t>
  </si>
  <si>
    <t xml:space="preserve">Sustento de pago PPM - Pago de planilla / HORARIO DE PAGO: Tarde / NOTA: Cuota 13 de 18* - Hoy por la tarde s/ 700.00 </t>
  </si>
  <si>
    <t xml:space="preserve">Sustento de pago PPM - Pago de planilla / HORARIO DE PAGO: Tarde / NOTA: CUOTA 2 DE 3 // Titular confirma pago para el día 25 de noviembre que percibe su sueldo </t>
  </si>
  <si>
    <t xml:space="preserve">Sustento de pago PPM - Pago de planilla / HORARIO DE PAGO: Tarde / NOTA: CUOTA 3 DE 10 </t>
  </si>
  <si>
    <t xml:space="preserve">Sustento de pago PPM - Pago de planilla / HORARIO DE PAGO: Tarde / NOTA: CUOTA 4 DE 6 </t>
  </si>
  <si>
    <t xml:space="preserve">INDICA QUE ESTE MES AVISARA EL MISMO DIA SI PUEDE PAGAR AMBAS CUOTAS  Y CANCELAR MENCIONA PAGO PARA EL DIA 09 DE AGOSTO POR S/656 CUOTA 4 </t>
  </si>
  <si>
    <t xml:space="preserve">Sustento de pago PPM - Pago de planilla / HORARIO DE PAGO: Tarde / NOTA: CUOTA 7 DE 24 </t>
  </si>
  <si>
    <t>Sustento de pago PPM - Pago de planilla / HORARIO DE PAGO: Tarde / NOTA: CUOTA 9 DE 12</t>
  </si>
  <si>
    <t xml:space="preserve">TITULAR CONFIRMA PAGO DE CUOTA  S/3900 PARA EL DIA 19 DE MARZO </t>
  </si>
  <si>
    <t xml:space="preserve">Sustento de pago PPM - Pago de planilla / HORARIO DE PAGO: Tarde / NOTA: CUOTA DICIEMBRE - CUOTA 8 DE 12 </t>
  </si>
  <si>
    <t>Sustento de pago PPM - Pago de planilla / HORARIO DE PAGO: Tarde / NOTA: Cuota n° 10</t>
  </si>
  <si>
    <t>Sustento de pago PPM - Pago de planilla / HORARIO DE PAGO: Tarde / NOTA: Cuota n° 6</t>
  </si>
  <si>
    <t>Sustento de pago PPM - Pago de planilla / HORARIO DE PAGO: Tarde / NOTA: CUOTA NUMERO 15 DE 1,500 AL DIA 30 DE ENERO DEL 2026 SEGUN ACUERDO DE PAGO</t>
  </si>
  <si>
    <t xml:space="preserve">Sustento de pago PPM - Pago de planilla / HORARIO DE PAGO: Tarde / NOTA: DT 1,045.95  3CTAS 244  </t>
  </si>
  <si>
    <t xml:space="preserve">tt se compromete   3 ctas de  244    fecha 05-05   2pm </t>
  </si>
  <si>
    <t xml:space="preserve">nota   envia correo    kikiocita@gmail.com  </t>
  </si>
  <si>
    <t xml:space="preserve">solicita cesion de derscho   .y reporte de sentinel    lo pagara por transferencia   </t>
  </si>
  <si>
    <t xml:space="preserve">primeroa cuota hoy   05- mayo   y apartir de segunda cuota fines de mes </t>
  </si>
  <si>
    <t>Sustento de pago PPM - Pago de planilla / HORARIO DE PAGO: Tarde / NOTA: me contacto con tt sobre su cuota oendinte de 6900- menciona que hoy por la tarde estara realizando si lo realiza antes por cuentas bancarai , brinda numero de wsp 999789319</t>
  </si>
  <si>
    <t>Sustento de pago PPM - Pago de planilla / HORARIO DE PAGO: Tarde / NOTA: Nro.4 de 6 ctas. (adelanto cuota nro 3)</t>
  </si>
  <si>
    <t xml:space="preserve">Sustento de pago PPM - Pago de planilla / HORARIO DE PAGO: Tarde / NOTA: Pago de ultima cuota </t>
  </si>
  <si>
    <t>Sustento de pago PPM - Pago de planilla / HORARIO DE PAGO: Tarde / NOTA: PPC 19/07 // PAGARA 406.00 // 50.00 HOY 12/07 Y 356.00 19/07</t>
  </si>
  <si>
    <t>Sustento de pago PPM - Pago de planilla / HORARIO DE PAGO: Tarde / NOTA: SE COMPROMETE A PAGAR 3 CUOTAS DE 328 SOLES SE LE ENVIA INFO AL WSP</t>
  </si>
  <si>
    <t xml:space="preserve">Sustento de pago PPM - Pago de planilla / HORARIO DE PAGO: Tarde / NOTA: se genera la programación del pago de su cuota de S/10,000 para el 31/12 - se incomoda por llamada de recordatorio, q el ya tiene presente las fechas de su pago - cliente asignado </t>
  </si>
  <si>
    <t>Sustento de pago PPM - Pago de planilla / HORARIO DE PAGO: Tarde / NOTA: SE INFORMA DT 2206, TT INDICA QUE ´CUANTAS CUOTAS LE FALTAN SE INDICA 6 CUOTAS DE 291, INDICA QUE VIAJA A IQUITOS EL DIA 11 14 MAXIMO PAGARIA CUOTA</t>
  </si>
  <si>
    <t>Sustento de pago PPM - Pago de planilla / HORARIO DE PAGO: Tarde / NOTA: SE INFORMA DT 2467, DK 2179, C3, C6 Y C12 207, TT INDICA QUE SOLO PUEDE ACCEDER A C12, EL DIA 28 COBRA SU PLANILLA Y EMPEZARIA A PAGAR</t>
  </si>
  <si>
    <t xml:space="preserve">Sustento de pago PPM - Pago de planilla / HORARIO DE PAGO: Tarde / NOTA: Se maneja como ppm pero es ppc, fecha de pago cliente menciona 22 porque 20 cae sabado </t>
  </si>
  <si>
    <t>Sustento de pago PPM - Pago de planilla / HORARIO DE PAGO: Tarde / NOTA: se programa 2da cuota de 3 por 380</t>
  </si>
  <si>
    <t xml:space="preserve">Sustento de pago PPM - Pago de planilla / HORARIO DE PAGO: Tarde / NOTA: se programa 5ta cuota de 8 por 1200 soles </t>
  </si>
  <si>
    <t xml:space="preserve">Sustento de pago PPM - Pago de planilla / HORARIO DE PAGO: Tarde / NOTA: SE PROGRAMA CUOTA 2 DE 3 </t>
  </si>
  <si>
    <t xml:space="preserve">Sustento de pago PPM - Pago de planilla / HORARIO DE PAGO: Tarde / NOTA: SE PROGRAMA CUOTA NRO 4/40 HASTA EL DIA 30 COMO FECHA LIMITE SEGUN CRONOGRAMA DE PAGOS </t>
  </si>
  <si>
    <t xml:space="preserve">Sustento de pago PPM - Pago de planilla / HORARIO DE PAGO: Tarde / NOTA: SE PROGRAMA CUTOA TITULAR CONFIRMA PAGO PAR EL DIA 21 SEGUN CRONOGRAMA </t>
  </si>
  <si>
    <t>Sustento de pago PPM - Pago de planilla / HORARIO DE PAGO: Tarde / NOTA: tit contesta e  indica que el pago lo estara canceland en la fecha pactada monto :2000</t>
  </si>
  <si>
    <t xml:space="preserve">Sustento de pago PPM - Pago de planilla / HORARIO DE PAGO: Tarde / NOTA: TITULAR CONFIRMA EL PAGO DE SU ULTIMA CUOTA POR 1500 PARA EL DIA 31/08/25, COMENTA QUE EN CASO PUEDA HACERLO ANTES LO VA GENERAR, SE SINTIO DESCONFIADO, POR MOTIVO DE QUE LE DIJERON CUOTA 2 Y NO 3, ELLO LE INCOMODO. </t>
  </si>
  <si>
    <t xml:space="preserve">Sustento de pago PPM - Pago de planilla / HORARIO DE PAGO: Tarde / NOTA: Titular confirma pago de su cuota  6  de 12 importe de 310 soles. </t>
  </si>
  <si>
    <t xml:space="preserve">Sustento de pago PPM - Pago de planilla / HORARIO DE PAGO: Tarde / NOTA: Titular confirma vía wsp, fecha de pago de su cuota 10 de 12 importe de 630 soles para día 30/12. </t>
  </si>
  <si>
    <t xml:space="preserve">Sustento de pago PPM - Pago de planilla / HORARIO DE PAGO: Tarde / NOTA: TITULAR ENVIA CORREO ELECTRONICO : Thaliahelguerocelis@gmail.com PAR AEL ENVIO DEL CRONOGRAMA </t>
  </si>
  <si>
    <t>Sustento de pago PPM - Pago de planilla / HORARIO DE PAGO: Tarde / NOTA: TT ABONA 1500 HOY 05.03 Y EL 27.03 EL RESTANTE 5500</t>
  </si>
  <si>
    <t>Sustento de pago PPM - Pago de planilla / HORARIO DE PAGO: Tarde / NOTA: TT ABONA CUOTA DE  230 / FIN DE MES / VIA BBVA</t>
  </si>
  <si>
    <t>Sustento de pago PPM - Pago de planilla / HORARIO DE PAGO: Tarde / NOTA: TT ABONA CUOTA DE  477.5  /  ABONA LA ULTIMA CUOTA  EL 15/05  / VIA BBVA</t>
  </si>
  <si>
    <t xml:space="preserve">Sustento de pago PPM - Pago de planilla / HORARIO DE PAGO: Tarde / NOTA: TT ACCEde a 6 cuotas de 654 soles( monto acordado :   primera cuota  de 654 pagar el dia martes 30.07  confirmara paga , nos indica  tambien  que estaria interesado en solucionar con monto de 2500 soles  motivo de no pago  por pandemia , se dedica a lo pecuario ganaderia crianza y venta de animales ,  se acercaria a AGENCIA DE LOS ANDES DE ACORA.  se le indico que confirme efectivo en mano, esta a 02 horas de oficina de los andes </t>
  </si>
  <si>
    <t xml:space="preserve">Sustento de pago PPM - Pago de planilla / HORARIO DE PAGO: Tarde / NOTA: TT accede a nueva opción de pago en 3 cuotas de S/346. </t>
  </si>
  <si>
    <t>Sustento de pago PPM - Pago de planilla / HORARIO DE PAGO: Tarde / NOTA: TT ACEPTA EN CANCELAR EN DOS CUOTAS DE 1525 QUE PDOAMOS ENVIARLE EL DOCUMENTO DE CANCELACION POR CORREO claudiamomcada@gmail.com LO REALIZARA POR AGENCIA BBVA A LAS 3 PM</t>
  </si>
  <si>
    <t xml:space="preserve">Sustento de pago PPM - Pago de planilla / HORARIO DE PAGO: Tarde / NOTA: TT confirma fecha de pago para el 21 de noviembre </t>
  </si>
  <si>
    <t>Sustento de pago PPM - Pago de planilla / HORARIO DE PAGO: Tarde / NOTA: TT CONFIRMA PAGO DE CUOTA 02 (S/10,000) EL 29/11</t>
  </si>
  <si>
    <t>Sustento de pago PPM - Pago de planilla / HORARIO DE PAGO: Tarde / NOTA: tt confirma pago de cuota numero 2 de 360</t>
  </si>
  <si>
    <t>Sustento de pago PPM - Pago de planilla / HORARIO DE PAGO: Tarde / NOTA: TT CONFIRMA PAGO DE CUOTA NUMERO 2 DE s/2000 PARA EL DIA 31/10</t>
  </si>
  <si>
    <t>Sustento de pago PPM - Pago de planilla / HORARIO DE PAGO: Tarde / NOTA: TT CONFIRMA PAGO DE CUOTA NUMERO 4 DE 330 EL DIA 16 DE SEPTIEMBRE</t>
  </si>
  <si>
    <t>Sustento de pago PPM - Pago de planilla / HORARIO DE PAGO: Tarde / NOTA: tt envia voucher de pago el dia 30 de noviembre indica que su siguiente cuota seria el dia 31 de diciembre S/420</t>
  </si>
  <si>
    <t>Sustento de pago PPM - Pago de planilla / HORARIO DE PAGO: Tarde / NOTA: TT GENERA LA CONFIRMACION DEL PAGO 340 PARA EL DIA 16 ENERO - SIN EMBARGO  SE DA LA OPCION DE LA CANCELACION CON DSCNTO HASTA CON 500 - PIDE Q SE ENVIE INFO  - CUOTA 04/06</t>
  </si>
  <si>
    <t xml:space="preserve">Sustento de pago PPM - Pago de planilla / HORARIO DE PAGO: Tarde / NOTA: TT genera la confirmacion del pago de su cuota 600 para el dia viernes 28 nov </t>
  </si>
  <si>
    <t>Sustento de pago PPM - Pago de planilla / HORARIO DE PAGO: Tarde / NOTA: tt genera la confirmacion del pago de su ultima cuota de 569 para el 31 dic - cliente asignado</t>
  </si>
  <si>
    <t xml:space="preserve">Sustento de pago PPM - Pago de planilla / HORARIO DE PAGO: Tarde / NOTA: TT HARA EL PAGO DE 8VA CUOTA DE 12 DE 399 EL 28 DE FEB </t>
  </si>
  <si>
    <t xml:space="preserve">Sustento de pago PPM - Pago de planilla / HORARIO DE PAGO: Tarde / NOTA: TT HARA EL PAGO DE SU 19/24 DE 637 EL 26 DE FEB </t>
  </si>
  <si>
    <t xml:space="preserve">Sustento de pago PPM - Pago de planilla / HORARIO DE PAGO: Tarde / NOTA: tt hara el pago de su ultima cuota de 2mil el 30 nov </t>
  </si>
  <si>
    <t>Sustento de pago PPM - Pago de planilla / HORARIO DE PAGO: Tarde / NOTA: tt hara el pago por el bcp pagara hoy mil soles y 150 soles el dia de mañana // 1 de 2 cuotas.</t>
  </si>
  <si>
    <t xml:space="preserve">Sustento de pago PPM - Pago de planilla / HORARIO DE PAGO: Tarde / NOTA: tt hara pago de 350 el dia de hoy 13.05 en agente de banco 03pm dijo que dinero fue en forma grupal y las otras personas no quisisieron pagar </t>
  </si>
  <si>
    <t>Sustento de pago PPM - Pago de planilla / HORARIO DE PAGO: Tarde / NOTA: TT hoy pagará S/102 correspondiente a abril y cuota de este mes para fin de mes 30.05 ( se explicó que ese día cerramos pagos del mes)</t>
  </si>
  <si>
    <t xml:space="preserve">Sustento de pago PPM - Pago de planilla / HORARIO DE PAGO: Tarde / NOTA: tt indica que el dia lunes realizada el pago de los 400 soles </t>
  </si>
  <si>
    <t xml:space="preserve">Sustento de pago PPM - Pago de planilla / HORARIO DE PAGO: Tarde / NOTA: TT indica que no puede generar pagos hastas dia 23/06 que va recibir su pago, genera pago de su cuota 2 y 3 de 7, se indica dt: 2,046.64, camp: 1450 soles, confirma dia 23/06 si para fin de mes completa cancealcion. </t>
  </si>
  <si>
    <t>Sustento de pago PPM - Pago de planilla / HORARIO DE PAGO: Tarde / NOTA: TT INFORMA VIERNES LE PAGAN PLANILLA PAGARIA CUOTA 1 DE 567, SE MANEJA BAJO DK, TT INDICA QUE SE LE ADJUNTE CRONOGRAMA Y MEDIOS DE PAGO</t>
  </si>
  <si>
    <t>Sustento de pago PPM - Pago de planilla / HORARIO DE PAGO: Tarde / NOTA: tt menciona que tuvo un atraso, con el pago de su sueldo le dijeron que le estaran agando para find e mes se mencioan que se le cobtrara penalidad de 20 soles adicionales asu acuerdo</t>
  </si>
  <si>
    <t>Sustento de pago PPM - Pago de planilla / HORARIO DE PAGO: Tarde / NOTA: tt paga cuota n° 2 de 3 en caja trujillo</t>
  </si>
  <si>
    <t>Sustento de pago PPM - Pago de planilla / HORARIO DE PAGO: Tarde / NOTA: tt paga cuota n° 4  de 6</t>
  </si>
  <si>
    <t>Sustento de pago PPM - Pago de planilla / HORARIO DE PAGO: Tarde / NOTA: tt paga cuota n° 9 de 10 en caja los andes huanuco</t>
  </si>
  <si>
    <t>Sustento de pago PPM - Pago de planilla / HORARIO DE PAGO: Tarde / NOTA: tt paga cuota n°3 de 6</t>
  </si>
  <si>
    <t>Sustento de pago PPM - Pago de planilla / HORARIO DE PAGO: Tarde / NOTA: tt paga cuota nº14 de 18</t>
  </si>
  <si>
    <t xml:space="preserve">Sustento de pago PPM - Pago de planilla / HORARIO DE PAGO: Tarde / NOTA: TT pagará la primera semana S/228.50 y S/457.00 el dia 25/03 </t>
  </si>
  <si>
    <t>Sustento de pago PPM - Pago de planilla / HORARIO DE PAGO: Tarde / NOTA: TT REALIZA PAGO DE CUOTA N1 2000 EL DIA 05/08</t>
  </si>
  <si>
    <t xml:space="preserve">Sustento de pago PPM - Pago de planilla / HORARIO DE PAGO: Tarde / NOTA: tt realizara pago de cuota de 590 el dia 30.05 agente bcp </t>
  </si>
  <si>
    <t xml:space="preserve">Sustento de pago PPM - Pago de planilla / HORARIO DE PAGO: Tarde / NOTA: Tt se comunica y menciona 17 realizar el pago </t>
  </si>
  <si>
    <t xml:space="preserve">Sustento de pago PPM - Pago de planilla / HORARIO DE PAGO: Tarde / NOTA: TT si confirma respecto acuerdo pero tambien menciona que entiendan que pueden llamar un dia antes para hacer el recordatorio </t>
  </si>
  <si>
    <t>Sustento de pago PPM - Pago de planilla / HORARIO DE PAGO: Tarde / NOTA: TTconfirma via wsp que genera pago de su ultima cuota dia 13/03 importe de 2030.50 .</t>
  </si>
  <si>
    <t xml:space="preserve">Sustento de pago PPM - Pago de planilla / HORARIO DE PAGO: Tarde / NOTA: ultima cuota de su campaña excepcionl, indico 29, se le recalca si puede que lo realice antes </t>
  </si>
  <si>
    <t>Sustento de pago PPM - Pago de planilla / HORARIO DE PAGO: Tarde / NOTA: whatsapp// se programa ultima cuota de 1245 el día marte de 30de julio con ese importe cancela toda la cuenta.</t>
  </si>
  <si>
    <t xml:space="preserve">Sustento de pago PPM - Se prestará dinero / ADICIONAL - </t>
  </si>
  <si>
    <t xml:space="preserve">Sustento de pago PPM - Se prestará dinero / ADICIONAL - tt indica que pagaria los 150 restantes </t>
  </si>
  <si>
    <t>Sustento de pago PPM - Se prestará dinero / HORARIO DE PAGO: Tarde / ADICIONAL - TT ABONARÁ 100 EL 26 DE FEBRERO Y 50 EL 26 DE MARZ</t>
  </si>
  <si>
    <t xml:space="preserve">Sustento de pago PPM - Se prestó dinero / HORARIO DE PAGO: Mañana / NOTA: </t>
  </si>
  <si>
    <t>Sustento de pago PPM - Se prestó dinero / HORARIO DE PAGO: Mañana / NOTA: 9VENA DE 10 MONTO 200</t>
  </si>
  <si>
    <t>Sustento de pago PPM - Se prestó dinero / HORARIO DE PAGO: Mañana / NOTA: ADELANTO MAÑANA 16-04-2026 IMPORTE S/250.00</t>
  </si>
  <si>
    <t>RESTANTE 1ERA CUOTA 25-04-2026 IMPORTE DE S/2,600.00</t>
  </si>
  <si>
    <t>SEGUNDA CUOTA 30-05-2026 MONTO S/2,850.00</t>
  </si>
  <si>
    <t>Sustento de pago PPM - Se prestó dinero / HORARIO DE PAGO: Mañana / NOTA: hara el deposito en la misma caja trujillo en horario pm</t>
  </si>
  <si>
    <t xml:space="preserve">Sustento de pago PPM - Se prestó dinero / HORARIO DE PAGO: Mañana / NOTA: PPM  DE S/810 EN 3  CUOTAS  DE  S/270 SOLES  LUNES 9/2 EN EL MISMO  BANCO 3 PM </t>
  </si>
  <si>
    <t xml:space="preserve">Sustento de pago PPM - Se prestó dinero / HORARIO DE PAGO: Mañana / NOTA: PPM DE  1000 SOLES  EN 2  CUOTAS  DE  500 SOLES X AGENTE BCP </t>
  </si>
  <si>
    <t xml:space="preserve">Sustento de pago PPM - Se prestó dinero / HORARIO DE PAGO: Mañana / NOTA: tt indica pago de 100 soles de campaña </t>
  </si>
  <si>
    <t xml:space="preserve">Sustento de pago PPM - Se prestó dinero / HORARIO DE PAGO: Mediodía / NOTA: </t>
  </si>
  <si>
    <t xml:space="preserve">Sustento de pago PPM - Se prestó dinero / HORARIO DE PAGO: Mediodía / NOTA: ME COMUNICO CON TT, SE LLEGA A LA CONCILIACIÓN Y ESTARA CANCELANDO CON 550 SOLES EL DIA JUEVES 18, EN MISMO CAJA TRUJILLO, PIDE QUE LLAMEMOS JUEVES 18 A LAS 10AM Y ENVIAR EL ACUERDO DE CANCELACIÓN AL WSSP </t>
  </si>
  <si>
    <t>Sustento de pago PPM - Se prestó dinero / HORARIO DE PAGO: Tarde / NOTA: cuota 11</t>
  </si>
  <si>
    <t xml:space="preserve">Sustento de pago PPM - Se prestó dinero / HORARIO DE PAGO: Tarde / NOTA: CUOTA 6 DE 10 </t>
  </si>
  <si>
    <t>Sustento de pago PPM - Se prestó dinero / HORARIO DE PAGO: Tarde / NOTA: ME COMUNICO CON TT, SE LE DA LA OPCION DE CANCELAR CON 1000 SOLES EN 2 PARTES, LA PRIMERA CUOTA DE S/200 LA PAGA EL DIA 25-06 Y EL DIA 15-07 PAGA LA DIFERENCIA DE 800 SOLES.</t>
  </si>
  <si>
    <t>Sustento de pago PPM - Se prestó dinero / HORARIO DE PAGO: Tarde / NOTA: Se informa a tt autorización de fraccionamiento // CUOTA 01 DE 03 , tt solicita cronograma de pagos al correo: pamelahuamanmel@gmail.com</t>
  </si>
  <si>
    <t>Sustento de pago PPM - Se prestó dinero / HORARIO DE PAGO: Tarde / NOTA: Se informa a tt que deberá pagar hoy 10k de inicial, segunda cuota 6k hasta el 15/12 pagara vía IBK o BCP de manera presencial antes de las 5pm.</t>
  </si>
  <si>
    <t xml:space="preserve">Sustento de pago PPM - Se prestó dinero / HORARIO DE PAGO: Tarde / NOTA: se le comfirma compromiso   cronograma : 2700 en 2 cuotas  : hoy  07 de mayo  2k  y 700 en 16 de junio  se le envia cronograma por wtp ya quw al correo no le llega dice  </t>
  </si>
  <si>
    <t>Sustento de pago PPM - Se prestó dinero / HORARIO DE PAGO: Tarde / NOTA: tt realizará pago de 640 soles en 2 cuotas mensuales viernes 03 octubre 320 soles y Lunes 16 noviembre 320 soles.</t>
  </si>
  <si>
    <t xml:space="preserve">Sustento de pago PPM - Se prestó dinero / HORARIO DE PAGO: Tarde / NOTA: tt ya pago  hoy 09-11 cuota 6 de  200 soles , la cuota nunmero  7 de 200 soles pagara el  30-11 </t>
  </si>
  <si>
    <t>Sustento de pago PPM - Se prestó dinero / HORARIO DE PAGO: Tarde / NOTA: tt. indica que abonara 200 soles en banco de la nacion y fin de mes confirmara para que liquide deuda</t>
  </si>
  <si>
    <t xml:space="preserve">Sustento de pago PPM - Trabajo eventual / HORARIO DE PAGO: Mañana / NOTA: </t>
  </si>
  <si>
    <t>TT comunica que su hermana falleció hace unos días por ello hizo gastos, tt pide plazo hasta fin de mes para regularizar cuota de mayo y junio, se observa plazo muy extenso, tt se compromete a pagar S/300.00 el día 13-06 y diferencia de S/700.00 hasta fin de mes</t>
  </si>
  <si>
    <t>SUSTENTO:  TT es trabajador independiente</t>
  </si>
  <si>
    <t>MOTIVO DE NO PAGO: Fallecimiento de su hermana</t>
  </si>
  <si>
    <t>FECHA: 23/06</t>
  </si>
  <si>
    <t>PROPUESTA: Regularización de cuota de mayo y junio S/300 - S/700</t>
  </si>
  <si>
    <t xml:space="preserve">Sustento de pago PPM - Trabajo eventual / HORARIO DE PAGO: Mañana / NOTA: 2 cuota </t>
  </si>
  <si>
    <t xml:space="preserve">Sustento de pago PPM - Trabajo eventual / HORARIO DE PAGO: Mañana / NOTA: cliente informa que paga cuota  enero febrero </t>
  </si>
  <si>
    <t xml:space="preserve">Sustento de pago PPM - Trabajo eventual / HORARIO DE PAGO: Mañana / NOTA: CUOTA 3 DE 18 </t>
  </si>
  <si>
    <t xml:space="preserve">TITULAR CONFIRMA PAGO DE CUOTA 3 POR S/800 PARA EL DIA 31/07 </t>
  </si>
  <si>
    <t>Sustento de pago PPM - Trabajo eventual / HORARIO DE PAGO: Mañana / NOTA: cuota 5</t>
  </si>
  <si>
    <t>Sustento de pago PPM - Trabajo eventual / HORARIO DE PAGO: Mañana / NOTA: cuota 7 de 14</t>
  </si>
  <si>
    <t xml:space="preserve">Sustento de pago PPM - Trabajo eventual / HORARIO DE PAGO: Mañana / NOTA: informa que no pago por la lluvia dice q mañana cumple cuota de febrero y fines de marzo </t>
  </si>
  <si>
    <t xml:space="preserve">Sustento de pago PPM - Trabajo eventual / HORARIO DE PAGO: Mañana / NOTA: realiza pago en caja andes el mes de abril paga otro </t>
  </si>
  <si>
    <t>Sustento de pago PPM - Trabajo eventual / HORARIO DE PAGO: Mañana / NOTA: S/229 FECHA DE PAGO DE CTA 22/06</t>
  </si>
  <si>
    <t xml:space="preserve">Sustento de pago PPM - Trabajo eventual / HORARIO DE PAGO: Mañana / NOTA: SE LE DICE QUE TRATE DE ADELANTAR ALGO NO ESPERAR ULTIMA HORA VA TRATAR DE ADELANTAR JUEVES ALGO Y FINES COMPLETA </t>
  </si>
  <si>
    <t>Sustento de pago PPM - Trabajo eventual / HORARIO DE PAGO: Mañana / NOTA: TODO LO CONVERSADO CON EL CLIENTE responsable de cuentas  Angela Cano Bonilla  con dni 70495610 - cuñada realizará pago, se envía cuentas de pago ,  a primera hora estará realizando el pago .</t>
  </si>
  <si>
    <t>MOTIVO DE NO PAGO  económicos</t>
  </si>
  <si>
    <t>MONTO DE PROPUESTA  250</t>
  </si>
  <si>
    <t>FECHA DE PGO   11/02</t>
  </si>
  <si>
    <t>Sustento de pago PPM - Trabajo eventual / HORARIO DE PAGO: Mañana / NOTA: TT ACCEDE A FRACCIONAR LA DEUDA EN 3 CUOTAS DE 215</t>
  </si>
  <si>
    <t>Sustento de pago PPM - Trabajo eventual / HORARIO DE PAGO: Mañana / NOTA: TT cancelara con S/700.00 indica  QUE PAGARA HOY O MAÑANA 12/02 CON EL IMPORTE DE S/350.00 SU (1ERA CUOTA DE 2) Y EL 16/3 PAGARA lla segunda, se le brinda dk y dt, ara el pago por transferencia.</t>
  </si>
  <si>
    <t>Sustento de pago PPM - Trabajo eventual / HORARIO DE PAGO: Mañana / NOTA: tt paga cuota n° 10 de 16 por bcp</t>
  </si>
  <si>
    <t>Sustento de pago PPM - Trabajo eventual / HORARIO DE PAGO: Mañana / NOTA: TT PAGARA 2DA CUOTA DE 250.00 SOLES EL DIA 30/06</t>
  </si>
  <si>
    <t>Sustento de pago PPM - Trabajo eventual / HORARIO DE PAGO: Mañana / NOTA: TT PAGARA LA 2DA CUOTA DE 150.00 SOLES CON ELLO CANCELA DT.</t>
  </si>
  <si>
    <t>Sustento de pago PPM - Trabajo eventual / HORARIO DE PAGO: Mañana / NOTA: TT PIDE PLAZO 15NA MAYO CANCELAR 190 LE RESTA</t>
  </si>
  <si>
    <t xml:space="preserve">Sustento de pago PPM - Trabajo eventual / HORARIO DE PAGO: Medioda / NOTA: dt 1,671.15  rit pagar este mes ultima cuota de 325 soles  </t>
  </si>
  <si>
    <t>Sustento de pago PPM - Trabajo eventual / HORARIO DE PAGO: Medioda / NOTA: tt confirma pago de ULTIMA CUOTA PPC máximo para el 30 según cronograma, se sugiere realizar antes ya que fines es día no hábil.</t>
  </si>
  <si>
    <t xml:space="preserve">Sustento de pago PPM - Trabajo eventual / HORARIO DE PAGO: Mediodía / NOTA: </t>
  </si>
  <si>
    <t>Sustento de pago PPM - Trabajo eventual / HORARIO DE PAGO: Mediodía / NOTA: 2 CUOTAS</t>
  </si>
  <si>
    <t>Sustento de pago PPM - Trabajo eventual / HORARIO DE PAGO: Mediodía / NOTA: COMPROMISO DE PAGO MENSUAL IMPORTE s/2,500 Soles, DIA: 03/05, CUOTA 2</t>
  </si>
  <si>
    <t>Sustento de pago PPM - Trabajo eventual / HORARIO DE PAGO: Mediodía / NOTA: EN CONSULTA CON SUPERVISOR SE DA CONFORMIDAD DE LIQUIDAR CON s/5,800 Soles, FECHA: 04/10, SE INGRESA PPM PARA POSTERIORMENTE SER MODIFICADO A PPC</t>
  </si>
  <si>
    <t>Sustento de pago PPM - Trabajo eventual / HORARIO DE PAGO: Mediodía / NOTA: tt paga cuota n° 2 de 6 por bcp</t>
  </si>
  <si>
    <t xml:space="preserve">Sustento de pago PPM - Trabajo eventual / HORARIO DE PAGO: Tarde / NOTA: </t>
  </si>
  <si>
    <t xml:space="preserve">Sustento de pago PPM - Trabajo eventual / HORARIO DE PAGO: Tarde / NOTA:  indica  solo a  la espera  de  cobrar  por  trabajo  enventual </t>
  </si>
  <si>
    <t xml:space="preserve">Sustento de pago PPM - Trabajo eventual / HORARIO DE PAGO: Tarde / NOTA: 3 cuota </t>
  </si>
  <si>
    <t>Sustento de pago PPM - Trabajo eventual / HORARIO DE PAGO: Tarde / NOTA: CLIENTE ABONARA 3  CUOTAS DE 452</t>
  </si>
  <si>
    <t>Sustento de pago PPM - Trabajo eventual / HORARIO DE PAGO: Tarde / NOTA: CLIENTE ABONARA ULTIMA CUOTA DE PPM DE 850 SOLES</t>
  </si>
  <si>
    <t>Sustento de pago PPM - Trabajo eventual / HORARIO DE PAGO: Tarde / NOTA: CLIENTE SEGUIRA ABONANDO CUOTA DE 210</t>
  </si>
  <si>
    <t>Sustento de pago PPM - Trabajo eventual / HORARIO DE PAGO: Tarde / NOTA: CONFIRMA PAGO 29/11. TT SE ENCUENTRA OCUPADA. SOLICITA INFORMACIÓN POR WHATSAP.  (ULTIMA CUOTA)</t>
  </si>
  <si>
    <t>Sustento de pago PPM - Trabajo eventual / HORARIO DE PAGO: Tarde / NOTA: Confirma pago de segunda cuota.</t>
  </si>
  <si>
    <t>Sustento de pago PPM - Trabajo eventual / HORARIO DE PAGO: Tarde / NOTA: Cta Nro.2 de 20 cuotas.</t>
  </si>
  <si>
    <t>Sustento de pago PPM - Trabajo eventual / HORARIO DE PAGO: Tarde / NOTA: cuota 11 de 15</t>
  </si>
  <si>
    <t>Sustento de pago PPM - Trabajo eventual / HORARIO DE PAGO: Tarde / NOTA: cuota 7</t>
  </si>
  <si>
    <t>Sustento de pago PPM - Trabajo eventual / HORARIO DE PAGO: Tarde / NOTA: cuota 7 de 12</t>
  </si>
  <si>
    <t xml:space="preserve">Sustento de pago PPM - Trabajo eventual / HORARIO DE PAGO: Tarde / NOTA: cuota de 5 a 6  informa que entre lunes o martes mas tardar porq el otro dia le prestaron </t>
  </si>
  <si>
    <t xml:space="preserve">Sustento de pago PPM - Trabajo eventual / HORARIO DE PAGO: Tarde / NOTA: informa que paara fines pagaria 1mil y en agosto completa 500 eso informo al joven </t>
  </si>
  <si>
    <t xml:space="preserve">Sustento de pago PPM - Trabajo eventual / HORARIO DE PAGO: Tarde / NOTA: mañana adelanta en la oficina  huancane en la tarde </t>
  </si>
  <si>
    <t>Sustento de pago PPM - Trabajo eventual / HORARIO DE PAGO: Tarde / NOTA: PAGO DE ULTIMA CUOTA POR AGENCIA 250 SO</t>
  </si>
  <si>
    <t>Sustento de pago PPM - Trabajo eventual / HORARIO DE PAGO: Tarde / NOTA: se logro comunicacion con tt por llamada wsp ya que reitera tiene bloqueada la recepcion  de llamada por telefono,confirma pago de cuota de saldo anterior 151 de cuota n°1 y hoy cuota n°2 251,pago lo realiza por bcp 5pm</t>
  </si>
  <si>
    <t>Sustento de pago PPM - Trabajo eventual / HORARIO DE PAGO: Tarde / NOTA: SOLICITA QUE ESPEREMOS HASTA FIN DE MES S/ 2168. (QUIZAS PUEDA RECIBIR UN DINERO PARA LIQUIDAR). SI NO CUMPLE AMORTIZAR S/200.</t>
  </si>
  <si>
    <t>Sustento de pago PPM - Trabajo eventual / HORARIO DE PAGO: Tarde / NOTA: Titular indica que hay demora en pago de lo cual la cuota lo realiza el Martes 10/09 del importe de S/300 soles por el app BCP.</t>
  </si>
  <si>
    <t>Sustento de pago PPM - Trabajo eventual / HORARIO DE PAGO: Tarde / NOTA: titular realiza cuota para el jueves 26/09 el importe de 330 soles por agente .</t>
  </si>
  <si>
    <t>Sustento de pago PPM - Trabajo eventual / HORARIO DE PAGO: Tarde / NOTA: TT confirma por wasapt  realizar el pago de 2500 cuota 2 de 2  por transf. BCP, el dia 30.05</t>
  </si>
  <si>
    <t xml:space="preserve">Sustento de pago PPM - Trabajo eventual / HORARIO DE PAGO: Tarde / NOTA: TT CONTINUARA PAGANDO SUS CUOTAS CORRESPONDIENTES S/300. </t>
  </si>
  <si>
    <t xml:space="preserve">Sustento de pago PPM - Trabajo eventual / HORARIO DE PAGO: Tarde / NOTA: TT GENERA LA CONFIRMACION DEL PAGO DE 25 MIL PARA EL 25 DE ENERO </t>
  </si>
  <si>
    <t>Sustento de pago PPM - Trabajo eventual / HORARIO DE PAGO: Tarde / NOTA: tt hara pago de la 1ra cuota de 7k por transferencia ibk  deja correo</t>
  </si>
  <si>
    <t>Renzoaguilarolivari@gmail.com dice que esta menejando y apenas revise el documento hara el pago</t>
  </si>
  <si>
    <t xml:space="preserve">Sustento de pago PPM - Trabajo eventual / HORARIO DE PAGO: Tarde / NOTA: tt indica que si logra conseguir el dinero  adelantara fecha de pago </t>
  </si>
  <si>
    <t xml:space="preserve">Sustento de pago PPM - Trabajo eventual / HORARIO DE PAGO: Tarde / NOTA: TT NO LE CONFIRMARON PAGO EL DIA DE AYER, INDICA QUE HOY MAS TARDAR MAÑANA PAGA LOS 300 DE JULIO </t>
  </si>
  <si>
    <t>Sustento de pago PPM - Trabajo eventual / HORARIO DE PAGO: Tarde / NOTA: tt paga cuota n° 6 de 12 por bcp</t>
  </si>
  <si>
    <t>Sustento de pago PPM - Trabajo eventual / HORARIO DE PAGO: Tarde / NOTA: tt paga cuota n° 7 de 11 en caja los andes</t>
  </si>
  <si>
    <t>Sustento de pago PPM - Trabajo eventual / HORARIO DE PAGO: Tarde / NOTA: tt paga cuota n°4 de 30 bcp</t>
  </si>
  <si>
    <t>Sustento de pago PPM - Trabajo eventual / HORARIO DE PAGO: Tarde / NOTA: tt se compromete  a cancelar el importe s/. 550  en  cuotas s/.275  dia 31.3  y 275 dia  30.4</t>
  </si>
  <si>
    <t xml:space="preserve">Sustento de pago PPM - Trabajo eventual / HORARIO DE PAGO: Tarde / NOTA: tt soicita estado de cuenta </t>
  </si>
  <si>
    <t xml:space="preserve">Sustento de pago PPM - Trabajo eventual / HORARIO DE PAGO: Tarde / NOTA: ultima cuota </t>
  </si>
  <si>
    <t>Sustento de pago PPM - Un tercero se hará cargo: Maria _Mamá / HORARIO DE PAGO: Tarde / NOTA: Maria Faustina mamá edp 3 cuotas de s/375 oficina Tingo Maria 04 :30 pm</t>
  </si>
  <si>
    <t xml:space="preserve">Sustento de pago PPM - Venta de inmueble, productos o bienes / HORARIO DE PAGO: Tarde / NOTA: TT REALIZARA PAGO DE RESTANTE </t>
  </si>
  <si>
    <t>Sustento de pago PPM - Venta de productos / ADICIONAL - CUOTA 18</t>
  </si>
  <si>
    <t>sustento de pago: cuenta con dinero a la mano</t>
  </si>
  <si>
    <t>dt:1387</t>
  </si>
  <si>
    <t>campaña:600</t>
  </si>
  <si>
    <t>SUSTENTO DE PAGO: PRESTAMO DE SU HNA</t>
  </si>
  <si>
    <t>DT: 1777</t>
  </si>
  <si>
    <t>sustento de pago: tiene el dinero a la mano</t>
  </si>
  <si>
    <t>dt: 2,882</t>
  </si>
  <si>
    <t xml:space="preserve">campaña: 651 </t>
  </si>
  <si>
    <t>lito.roca@gmail.com</t>
  </si>
  <si>
    <t>T 1300.27</t>
  </si>
  <si>
    <t>CAMPAÑA:130</t>
  </si>
  <si>
    <t>TT INDICA QUE SEGUIRA ABONANDO 100.00 EL DIA 15/05/2020 , TRATARA DE CONSEGUIR EL IMPORTE DE CAMPAÑA , INDICA QUE SE COMUNICARA.</t>
  </si>
  <si>
    <t>SEARCH: 25 AÑOS, CENTRO LABORAL 20407847564 AUGUST ESCOFFIER S..A..C. , NO TIENE DEUDAS CON OTRAS ENTIDADES NOS DICE Q POR MOTIVO DE LA CUARENTENA NO PUDO CONSEGUIR LA CAMPAÑA Y Q DE IGUAL MANERA QUIERE DAR SOLUCION A LA DEUDA . SE LE INDICA Q SOLO LE FALTARIA 30 PARA CANCELAR .</t>
  </si>
  <si>
    <t>T 1900 DK 928 CAMPAÑA 690</t>
  </si>
  <si>
    <t>TT DICE ESTARA EN CONDICIONES PARA ASUMIR DEUDA CON CAMPAÑA PARA EL DIA 20</t>
  </si>
  <si>
    <t>T 450</t>
  </si>
  <si>
    <t>tt  no podra realizar el pago ,mañana por motivo de que su esposo se opero de emergencia , con seguridad pagara el dia 30 de marzo , reunira el dinero para esa fecha.</t>
  </si>
  <si>
    <t>llamada desde el coorporativo 20</t>
  </si>
  <si>
    <t>t 94000</t>
  </si>
  <si>
    <t>dk 4000</t>
  </si>
  <si>
    <t>campaña: 2900</t>
  </si>
  <si>
    <t xml:space="preserve">señor desea pagar deuda por los beneficios que puede tener con su carta de no adeudo. Asimismo solicita una excepcion con su caso, para que el pueda pagar la cancelacion total con S/1000.00 ,realizara el pago el dia 31/03/20 </t>
  </si>
  <si>
    <t>search:  39 años / tiene un hijo / traba actualmente gana 1700.00 soles mensuales / mantiene deuda con 3 entidades financiera, pero no se encuentran vencidas</t>
  </si>
  <si>
    <t>T INDICA QUE DEJO DE PAGAR POR QUE UNA DE SUS HIJAS SUFRIO ACCIDENTE. EN LA ACTUALIDAD TIENE INTERES SE BRINDA DT: 980  DC: 590 TT PROPONE PAGAR 450, SE ELEVA EXCEPCION SEÑORA  TIENE 29 AÑOS, NO TRABAJA, TIENE 3 HIJOS MENORES, SU ESPOSO SUSTENTA SUS GASTOS , LA TT CUENTA CON EL DINERO PARA PODER PAGARLO EL LUNES YA QUE SU ESPOSO LE PAGAN Y ES FIN DE MES , SE HACE LLAMADA DE DISCADOR , DE LA BASE MANUAL ,</t>
  </si>
  <si>
    <t xml:space="preserve">SE ACEPTO LA EXCEPCION DE 450 SOLES TT LO PAGARA  MAÑANA ANTES DEL MEDIO DIA  ,  GRABACION SE REALIZA DESDE EL DISCADOR </t>
  </si>
  <si>
    <t>SE GENERA NUEVO CONVEMNIO PARA EL DIA DE HOY VVIA BCP , YA QUE NO PUDO PAGARLO POR QUE LA CAJA SULLANA CERRO , SE ENVIA INFROMACIOND E CUENTA POR WSP Y SMS</t>
  </si>
  <si>
    <t xml:space="preserve">T nos mecniona que deo de pagar porqure el pense que pago todo, deuda total 4200 campaña 700 soles. pagara el 31/01 search: 38 años, trabaja en 3K3 S.R.L  tiene duena en financiera uno. el pago lo cara de su sueldo. </t>
  </si>
  <si>
    <t>t. pagara contrapropuesta de 1000 soles, el 17-03-20, hora:</t>
  </si>
  <si>
    <t>aprobado por Julio Higa.llamada se realiza del coop. 17.</t>
  </si>
  <si>
    <t>t:111</t>
  </si>
  <si>
    <t>campaña 70</t>
  </si>
  <si>
    <t>Fecha de pago: 25-04-20</t>
  </si>
  <si>
    <t>motivo de no pago:PERSONALES</t>
  </si>
  <si>
    <t>deudas:1 entidad</t>
  </si>
  <si>
    <t>T:1302</t>
  </si>
  <si>
    <t>CMAPAÑA:650</t>
  </si>
  <si>
    <t>motivo de no pago:vivias lejos dinero fue para tercera persona el dinerO</t>
  </si>
  <si>
    <t>T:657</t>
  </si>
  <si>
    <t>DK:442</t>
  </si>
  <si>
    <t>CMAPAÑA:290</t>
  </si>
  <si>
    <t>fecha de pago:27-04.20</t>
  </si>
  <si>
    <t>sustento de pago: familiar le dara el dinero.</t>
  </si>
  <si>
    <t>DEUDAS : 2 ENTIDADES.</t>
  </si>
  <si>
    <t>TARRILLO OLANO MODESTO</t>
  </si>
  <si>
    <t xml:space="preserve">TT SE DEMORO POR LOS GANADOS SE MURIERON ,EL PRESTAMO FUE PARA EL GANADO  FUE EL PRESTAMO , PERROS MATARON ALAS CRIAS , TIEEN 7 HIJOS , CASADO TRABAJA , EN LA CHACRA LE PAGAN 30 SOLES </t>
  </si>
  <si>
    <t xml:space="preserve">SERCH 61 AÑOS - </t>
  </si>
  <si>
    <t>DT 220</t>
  </si>
  <si>
    <t>DK 210</t>
  </si>
  <si>
    <t>DC 170</t>
  </si>
  <si>
    <t>TAT ABONA 200 HOY / Y 1600 SOLES EL DIA DE 31/01/20 INDICA QUE A EL LE VAN A PAGAR EL DIA 31/01/20 POR ESO NO PUDO ABONAR HOY</t>
  </si>
  <si>
    <t>TAT CANCELA CON EXCEPCION DE 500 SOLES MAÑNA A LA 1.:30 HOY SILIO CON LA HAMBULANCIA ES ENFERMERA EN UN PUEBLO</t>
  </si>
  <si>
    <t>TAT CANCELA LA DEUDA CON 100 SOLES PARA EL DIA 30/01/20</t>
  </si>
  <si>
    <t>TAT CANCELA LA DEUDA CON 450 SOLES HOY ENVIARA BAUCHER</t>
  </si>
  <si>
    <t>TAT CONFIRMA QUE HOY PAGARA LA DEUDA CON 3322 SOLES INDICA (ESPOSA)</t>
  </si>
  <si>
    <t>TAT INDCIA QUE NO PAGO POR QUE RECIEN HOY LE DIERON SU CHEQUE Y MAS TARDE LO ESTARIA COBRANDO SI LO REALIZA HOY EN CASO LE D ETIEMPO O MAS SEGURO PARA MAS TARDE</t>
  </si>
  <si>
    <t xml:space="preserve">TAT INDICA NO PODRE CUMPLIR PERO PERO SI ABONAR 100 Y LA DIFERENCIA FIN DE MES/ COMO NO SE ACABO LA CUARENTENA NO PUEDE SALIR/ </t>
  </si>
  <si>
    <t>AUDIO DE RECORDATORIA DE ADJUNTA A ARCHIVO*</t>
  </si>
  <si>
    <t xml:space="preserve">TAT INDICA QUE EL DIA LUNES CANCELA LA DEUDA/ </t>
  </si>
  <si>
    <t>*SE CORRIGE LA PDP CON UN PPC</t>
  </si>
  <si>
    <t>TAT INDICA QUE HOY IVA A PAGAR PERO NO CONFIA EN EL ACUERDO DE CANCELACION QUE SE LE ENVIO INDICA QUE SE ACERCARA EN LA SEMANA QUE VIENE ANTES DEL FIN D EMES A PAGAR / YA LO A CONSULTADO CON UN ABOGADO (PRIMO)</t>
  </si>
  <si>
    <t xml:space="preserve">TAT INDICA QUE HOY NO PODRA PAGAR LOS 1300 SOLES RESTANTE / INDICA QUE S E LE OTORGE PLAZO MAXIMO HASTA EL DIA 27/12/19 / </t>
  </si>
  <si>
    <t>TAT INDICA QUE LE CERRARON EN UN MERCADERIA QUE DIO POR ESO NO PAGO PERO SE LE INDICA QUE LA CAMPAÑA DE LO 400 SOLES ES POR ESTE MES SOLICITA QUE SE LE DEA DOS SEMANAS COMO PLAZO MAX DE PAGO ** LE INDICO QUE NO SE LE DA PERO HASTA 29*11*19 EN CASO CONTRARIO LE COBRARAN LA DEUDA CON MORA INTERES INCLUIDO INDICA QUE ESTA BIEN HASTA EL DIA 29/11/19 SI PAGA ANTES ENVIARA BAUCHER*</t>
  </si>
  <si>
    <t>TAT INDICA QUE LE DIJERON D ESU JUNTA QUE LE DARIAN EL DIA VIERNES LLEGO VIERNES Y LE DIJIERON AUN PASANDO ESTA SEMAN POR QUE SE ATRAZARON EN EL PAGO ALGUNOS MIEMBROS/ EL INDICA QUE A MAS TARDAR EN FIN DE MES ESTARIA PAGANDO SI ES ANTES NORMAL PAGARA S ELE INDICA QUE ALMENOS MAÑNA ABONE LOS 100 SOLES Y LA DIFERENCIA A FIN DE MES SE LE PUEDE AYUDAR / INDICA QUE SI / MAÑANA PAGA EN LA TARDE.</t>
  </si>
  <si>
    <t>TAT INDICA QUE MEJORA PROPUESTA DE PAGO 1250 SOLES MAS NO PUEDE PAGA EL DIA 30/01/20*</t>
  </si>
  <si>
    <t xml:space="preserve">TAT INDICA QUE NO LE PAGARON COMO TENIA PLANEADO Y QUE EL DIA MIERCOLES ESTARIA PAGANDOLE A LAS 12 D EMEDIO DIA DESPUES SE ACERCARA AL BANCO INTERBANK Y PAGARA 100 SE LE INIDCA QUE NO CUMPLE S ELE COBRAR UNA PENALIDAD DE 30 SOLES </t>
  </si>
  <si>
    <t xml:space="preserve">TAT INDICA QUE NO PAGO AYER POR QUE SU HIJA NO LE DEPOSITO PER AUN PARA FIN D EL MES SE LE INDICA QUE SE LE PUEDE ACEPTAR A FIN D EMES SIEMPRE Y CUANDO ADELANTE EL PAGO CON 300 O MIN 200 SOLES PARA QUE S ELE RESPETE EL ACUERDO/ HOY ABONARA </t>
  </si>
  <si>
    <t xml:space="preserve">TAT INDICA QUE NO PUEDE CONSEGUIR 100 SOLES MAS Y TIENE A LA MANO 2000 SOLES Y LO PAGARA A LAS ANTES DE LAS 12 PM EL DIA DE HOY / </t>
  </si>
  <si>
    <t>TAT INDICA QUE POR TEMAS DEL VELORIO D ESU TIA NO CUMPLIO CON EL PAGO PERO  A FIN D EMES SI PAGARA ENVIA A WHATSAP FOTO QUE DICE LA VERDAD/</t>
  </si>
  <si>
    <t>TAT INDICA QUE SI PAGAR LOS 1500 SOLES EL MES PASADO NO PUDO PAGAR POR QUE SALIO DE VIAJE POR TRABAJO A UN LUGAR LEJOR .. Y INDICA QUE A MAS TADAR EL DIA MIERCOLES PAGAR* INB</t>
  </si>
  <si>
    <t>TAT INDICA QUE VA CANCELAR CON 223 SOLES  QUE SI O SI PAGAA / S ELE ACEPTA LA TASITA ESTABA LENTA / DISCADOR*</t>
  </si>
  <si>
    <t>tat indica que ya para el dia 30 estara reuniendo el dinero para cancelar*/</t>
  </si>
  <si>
    <t>tat le llego un sms pagara 1286 hoy indica</t>
  </si>
  <si>
    <t>TAT PPC CON 20 SOLES SE LE AGENDA POR QUE YA VENCIO SU VLLL A LLAMR</t>
  </si>
  <si>
    <t xml:space="preserve">TATIANA SOBRINA RESPONSABLE . </t>
  </si>
  <si>
    <t>MONTO : 400  PPC EXCEPCION</t>
  </si>
  <si>
    <t>DT: 2784        DK : 1392</t>
  </si>
  <si>
    <t xml:space="preserve">Sustento: tatiana indica que el 30 le estan pagando igual va conseguir antes para ir  abonando en las semanas siguientes . va hacer los pagos en credinka . </t>
  </si>
  <si>
    <t>SEARCH : 73 , SUELDO 1160 DE TT SEPTIEMBRE</t>
  </si>
  <si>
    <t>TAYPE QUISPE JUAN</t>
  </si>
  <si>
    <t>SE ATRAZO POR motivos de salud ,trabaja  maestro albañil EN constructora , EL DINERO LO PAGARA CON SU SUELDO , SE CIERRA DISCADOR , SE CIERRA DISCADOR , PRESENTO LENTITUD EN LAPTOP</t>
  </si>
  <si>
    <t>SERCH SIND EUDOAS EN OTRO BANCO</t>
  </si>
  <si>
    <t>ti mando msj indic  que tenia 3500 y conseguira 400 mas se gasto por enfermedad se llamo dt 50mil dc3900 , se acuerda hacer cancelacion 3900 28/02 ira a caja sullana y luego desea venir a explertis por crata de no deudor ya q el luens viajara tiene 51 años no trabaja , sale una entidad reportada/se reprograma pgo ya q antes no pgo por duda y gasto dineropor enfermedad</t>
  </si>
  <si>
    <t>TIA DE TT ESTA EN CREDINKA CANCELARA CON EL IMPORTE DE 3 MIL SOLES EL DIA DE HOY 20/12. CONFIRMA PAGO QUIERE CARTA DE NO ADEUDO EL DIA LUNES 23/.12.</t>
  </si>
  <si>
    <t xml:space="preserve">TIFICACION ANTERIOR EQUIVOCACION CON LA FECHA DE PAGO </t>
  </si>
  <si>
    <t xml:space="preserve">TITULAR CANCELA CON IMPORTE DE 1467 </t>
  </si>
  <si>
    <t xml:space="preserve">DT11400 </t>
  </si>
  <si>
    <t>DK:7400</t>
  </si>
  <si>
    <t>EN SEARCH :</t>
  </si>
  <si>
    <t>MULTISERVICIOS Y CREACIONES LLACTAS S.A.C.</t>
  </si>
  <si>
    <t>SUELDO:930</t>
  </si>
  <si>
    <t>TIPIFICACION ANTERIOR ERROR EN LA FECHA //</t>
  </si>
  <si>
    <t>TIPIFICACION ANTERIOR SE INGRESÒ POR ERROR/TT HARÀ CANCELACIÒN CON S/.212 PARA EL DIA MIERCOLES 28/08</t>
  </si>
  <si>
    <t>tipificacion de la deuda en la llamada del 23/12/2019. se devolvio la llamada al tt desde el corporativo 938869948, esposo es el que trabaja y se hace cargo de la familia, esposo de la tt indica que puede hacer la cancelacion de la deuda con 480 soles ya que su trabajo como cargador no le alcanza para poder pagar mas, se prestara tambien dinero de su hermano para poder completar monto t asu terminar con esta deuda de su esposa.</t>
  </si>
  <si>
    <t>TIT    DIC HARA CANCELACIO ESA FECHA Y KIERE CRATA DE NO ADEUDO</t>
  </si>
  <si>
    <t xml:space="preserve">TIT   DIC  HARA OGO DE DEUDA ESA FECHA </t>
  </si>
  <si>
    <t>TIT   DIC AMAÑANA HARA CANCELCION CN 120 SOLES ECEPCION APROBADA CN SANDY</t>
  </si>
  <si>
    <t>TIT   DIC HARA CANCELACIO  EL 14/10 350 S</t>
  </si>
  <si>
    <t>tit   dic hara pgo el 21/10</t>
  </si>
  <si>
    <t xml:space="preserve">TIT   DIC HOY DIA CANCELARTA CN 70 SOLES </t>
  </si>
  <si>
    <t xml:space="preserve">TIT   DIC LE BLOQUWARON TARJETA  NO HAY SHER DT 1200 DK 490 DC160 EL DIA 20/01 HARA CNACLWXION 160 SOLES  NOYA SERH POARA VER MAS INFORMACION 1988619060/  SUSTENTO DE PG DEL SU TRABAJO Q LE AGAN DISCADOR </t>
  </si>
  <si>
    <t xml:space="preserve">tit   dic mañana hara pgo ya q su hemanio ni alcano a saar el dineri por atencion es 2pm se prigrma aara el 22/04 7800 soles </t>
  </si>
  <si>
    <t xml:space="preserve">TIT   SWACUERDA PGO DICADOR </t>
  </si>
  <si>
    <t>TIT  DIC EL SABADO 23/02 HARA CANCEALCION D E400 SOLES /TIENW 22 AÑOSO 938408149/NO SALE DEUDA /NO CARGA AFP/ SI SALE TRABAJO/SUSTRTJO ;SEGURO ESE DIA TENDRA DIJO</t>
  </si>
  <si>
    <t>TIT  DIC ELLUENS HARA PGO</t>
  </si>
  <si>
    <t>TIT  DIC HOY DIA  HARA PGO</t>
  </si>
  <si>
    <t>TIT  DIC MAÑANA DURANTE EL FI HARA LA CANCELCION</t>
  </si>
  <si>
    <t>TIT  DIC MÑANS ABONARA 100 Y 500 EL 28/11 DIC ABONARA POR BCP AGENTE</t>
  </si>
  <si>
    <t>tit  dic reliara pgo de deuds total comenta q le lleog msj antes de cancelacion cn desxuento</t>
  </si>
  <si>
    <t>TIT  DT600 DC240 EL MES OASASO NO PUDO CANCELAR OR ESTA RLEJOS DE CUIDAD DI EL 09/01 SI CANCELA POR Q RECIBRA DINERO, NO UEOD POBER DATOS EL SKER POR Q NO HAY SERK EN ETS MOMENTO</t>
  </si>
  <si>
    <t xml:space="preserve">TIT  DT600 DC240 EL SE ACORDO ANTES CANCLAR CN 240 CL SE COMUNICA Y DIC Q SOLO TIENE HOY 210 SOLES PARA CANCELAR YA TIENE DINERO Q JUNTO DIC NO VA TENER MAR DINERO 23 AÑOS 1 ENTIDAD NO SALE TRABAJO ENS HERK HOY DIA HARA PGOS  SE CONSULTO CN MARANGELA Y DIO PERMISO INBAUS </t>
  </si>
  <si>
    <t xml:space="preserve">TIT  HARA CANCELZCION BAJO ESE IMPORTE YA QU LE LLEGO MSJ Y SE PIDIO ECEPCION APRBADA </t>
  </si>
  <si>
    <t xml:space="preserve">TIT  HARA CANCLCION CN ECEPCION APROBADA 1200 , 07/12 ANTICIPA 500 Y SLDO 700 EL 16/12 </t>
  </si>
  <si>
    <t>tit  llamo hara cancelacion cn 1103 soles 13/01 iva a hacer PAR pero consigio dinero para cancelar se pidio ecepcion ya antes e lleno platilla s</t>
  </si>
  <si>
    <t xml:space="preserve">TIT  NO PUDO PAGAR PP QUE ESTUVO TRABAJANDO EN ZONA RURAL SE RESTA REPROEGRANDO OAGO ARA EL 27/01 170 SOLES SE INCLUYO PENALIDAD TALVEZ LO HAGA ANTES </t>
  </si>
  <si>
    <t>tit  se acepta csncelar cm 1000 soels se le mandara acuesi de cancealcion</t>
  </si>
  <si>
    <t xml:space="preserve">TIT  SE ACPTA ECEPCION CN JULIO PARA CANCELACION 250, S ELE PIDE ANTICIPO AUN NO TENR CANCE EL 15/05  </t>
  </si>
  <si>
    <t>TIT  SE COMOROMETE HZCE CANCELSCIONTORAL SE DIJO PENALIDAD  DE DISCADOR</t>
  </si>
  <si>
    <t xml:space="preserve">TIT  SE IND CANCDLAR CANCELAR CN MAS PERO DIC ESE IMPORTE LE INDCARON LLAMP A EL PERSOMAL POTR MSJ </t>
  </si>
  <si>
    <t>TIT  SE LE PROGRMA CANCELACION PARA 31/01 YA Q ANTES NO PDRIA EN CASO LO HAGA ANTES AVISARA</t>
  </si>
  <si>
    <t xml:space="preserve">tit  se proegrama pgo para el dia de mañaba ya q shors no podrs x toque de queda ,220 soles 15/05/ se incomoda por preguntar d e dodne sacara dinero por q ya tiene /y desea acurdo de cancelacion </t>
  </si>
  <si>
    <t xml:space="preserve">TIT  SE REPEROGRSMA PGO ANTES NO PUDO CUMPLIR ABONO POR QUE  VIAJO PARA PRESTASSE DE FAMILIAR DINERO YA QUE HARA CANCELACIN TOTAL CON 3900 DIC LLEGO DESCUENTO ,  SABADO REGRESA Y EL 24/02 HARA PGO </t>
  </si>
  <si>
    <t xml:space="preserve">TIT , SE VOLVIO INGREDA PPC YA Q POR INCIDENCIA DEL APLICATVO SE BORRO , </t>
  </si>
  <si>
    <t>TIT ASEGURA QUE EL LUNES HARA PGO YA QUE KIERE CARTA DE NO ADEUDO</t>
  </si>
  <si>
    <t>TIT AYER ABONO 100 FIN DE MES CANCELARA 200</t>
  </si>
  <si>
    <t xml:space="preserve">TIT CANCELARA CN 900 SOLES HPY DIA LLA MO A TELEFONO FIJO INBAUS </t>
  </si>
  <si>
    <t>TIT CANCLEARA SALDO PENIENDTE</t>
  </si>
  <si>
    <t>tit confirma por whtp monto de 200 soles para liquidar deuda. se activa csmpaña.</t>
  </si>
  <si>
    <t>TIT DIC ABONARA 300EL LUNES 16/9 Y EL 30/09 400 CANCELARA</t>
  </si>
  <si>
    <t>TIT DIC HARA CANCE,ZCION ESA FECHA</t>
  </si>
  <si>
    <t>TIT DIC HARA PAGO EK 15/10 SE LE MANDARA BROD E CUENRA POR Q DIC A TES NO LE ACPETARON PAGO</t>
  </si>
  <si>
    <t>TIT DIC HARA PHG0 ENTR EL 28/9 O 30/9  SE DA PLAZO 30/9 TARTARA DE DAR ANTICIPO DE 1000 HOY</t>
  </si>
  <si>
    <t>TIT DO9C HPY LE LLEGO MSJ CN ESE IMPOIRTE DE CANCELACION , IND Q PARA EL 22/10 ABONARA LA MITAD Y DINDE ,ES EL SLDO</t>
  </si>
  <si>
    <t xml:space="preserve">TIT DT 11000 DC 1500 ,TIT DE MANTIENE ACUERDO DE CANCELACION CN 1500 SOLES PARA EL 30/04 / YA Q POR CUANSRENYENA MES PASADO NO PGO DIC SI NOM ALARGAN MAS LA CURENTRNA  PAGA ESA FECHA  /TIENE 37 AÑOS, DEBE 1 ENTIDAD , NO SALE TRABAJO /SUSTENTO: DE CUANDO VUELVA A TRABAJAR  PROGRAMACION </t>
  </si>
  <si>
    <t xml:space="preserve">TIT DT 11000 DC 1500 ,TIT TIENE ACUERDODE PAGAR CUOTAS MENSULAES DE 500 OLES HOY DIA SE COMUNICO Y SE LLEGA AUN ACUERDO DE CANCELACION CN 1500 SOLES PARA EL 18/03  / PROGRAMACION </t>
  </si>
  <si>
    <t xml:space="preserve">TIT DT 13400, SE LE CONSIDERA ECEPECION DE 3000 SOLES PARA EL 28/01 DIO , YA Q ANTICIPO DE 200 SOLES AYER  Y ANTES ESTUVO ABONANDO 200 MENSUALES YA Q ESTA ALA VENTA DE TERRENITO </t>
  </si>
  <si>
    <t>TIT EFECTUARA PAGO DE 180 SOLES PARA LIQUIDAR DEUDA HOY.</t>
  </si>
  <si>
    <t>TIT ESE DIA HARA CANCELACION , CLIUETE ASIGNADO POR MARIANGELA</t>
  </si>
  <si>
    <t xml:space="preserve">TIT HARA CANCALCION </t>
  </si>
  <si>
    <t>tit hara cancedlaciopn cn ecepcion</t>
  </si>
  <si>
    <t xml:space="preserve">TIT HARA CANCELACION CN ECPECION </t>
  </si>
  <si>
    <t>TIT HARA CANCELAICON HOY INBAUD ASIGNADO</t>
  </si>
  <si>
    <t>TIT HARA EL PGO EL LUNERS 30/9</t>
  </si>
  <si>
    <t>TIT HARA EL PGO EL LUNERS 30/9 SE MODIFOCO FECHA</t>
  </si>
  <si>
    <t>TIT HARA PGO CN ECESPCIOM DE MAYRA</t>
  </si>
  <si>
    <t>tit hara pgo de ultima cuota cn ecpeicon aceptada x producto el 07/05 300 soles</t>
  </si>
  <si>
    <t>TIT HARA PGO TOTAL DIC NO TENER MAS</t>
  </si>
  <si>
    <t>TIT HARA PGP CANCWLACION LLAMO CEL PERSONAL</t>
  </si>
  <si>
    <t xml:space="preserve">TIT HOY ABONARA 100 SOLES Y HASTA EL 25/01 CANCELARA CN 900SOLES  MAS  TOTAL 1000 TIT ERA UN PAR SE LE OFRECE CANCELACION TOTAL </t>
  </si>
  <si>
    <t>tit llama al cel 9 dt2500 dc350 .tti le lleco msj x293 soles se auerda cancalcion n ese impirte hoy 26/05 /sustento de pog ya tiene el dinereoi hara trasferencia interbancaria /40año/una entidad /sisaletrabajo2019/llamada entrante</t>
  </si>
  <si>
    <t>tit pide esperarlo ya que aun no llega a huancavelica, se le da opciones de cancelar en otros bancos se le envia info por whtp y se reprogrma cp al 26-08 por 450 soles.</t>
  </si>
  <si>
    <t>tit se acepta exepcion x julio de 1000 soles /sustento de pgo ya tiene 800 soles y salod de 200 soles se esta preetsndo cancelara 1000 soles 27/05 /datos del sekr en primera llamada</t>
  </si>
  <si>
    <t>tit se acoge a campaña de sms para cancelar deuda con 1109 soles</t>
  </si>
  <si>
    <t>tit se acuerda cancelxion 2600 para 29/02 se pidio exepcion ya que lacl est enfermn del denque mando documento ,plantilla del dia 07/02 / ya vio maribel .</t>
  </si>
  <si>
    <t>TIT SE HIZO COMPORMISO PARA HOY , ES INBAUS ASIGNADO POR MAYRA</t>
  </si>
  <si>
    <t>TIT SE LE ACEPTA CANCELACION BAJO 8500 SOLOPOR HOY A LAS 3PM</t>
  </si>
  <si>
    <t xml:space="preserve">tit se le pide cancelar   antes dic essa fecha podra hacer can  el lunes dara adelanto de 100  ya no poder </t>
  </si>
  <si>
    <t>tit se repoergramooago para mañana ya q hoy no encontro agente 300 soles cancela</t>
  </si>
  <si>
    <t>TIT YA CUMPLIDO CN ANTICIPO DE 1000SOLES Y EL 10/10 3250 Y FINDE MES COMPLETA 4250 TOTAL CANCELARA CON 8500</t>
  </si>
  <si>
    <t>TITULAR CANCELARA MONTO POR EXCEPCION  1295 SOLES  TODA SU DEUDA APROBADO POR MARIANGELA, EL DIA DE HOY 17/09 A LAS 3:30 PM , SE LE ENVIA FORMA DE PAGO POR WS PERSONAL</t>
  </si>
  <si>
    <t xml:space="preserve">Titular confirma pago de s/ 15,200 para el día de hoy 29/05 según lo acordado. Solicita que lo llamemos al medio dia para validarlo. </t>
  </si>
  <si>
    <t xml:space="preserve">titular confirma pago de s/ 1500 para el día de mañana 05/01.   </t>
  </si>
  <si>
    <t xml:space="preserve">titular indica que ha recaudado todo el dinero que tiene y que ha podido conseguir s/ 1200. Se le indica que le podríamos dejar hasta s/ 1210 para cancelar, realizará el pago el día de mañana 18/12. </t>
  </si>
  <si>
    <t>TITULAR INDICA QUE PAGARA EL MONTO DE 1300 EL 13/03, MOTIVO POR EL CUAL NO TRABAJA Y EL PRESTAMO SE REALIZO DE UN FAMILIAR. INDICA TAMBIEN QUE NO CUENTA CON MAS DINERO POR MOTIVO QUE POR SU CASA PASO EL HUAICO Y SE QUEDARON EN LA CALLE.</t>
  </si>
  <si>
    <t xml:space="preserve">titular indica que podría realizar el pago de s/100 para el día lunes 30/03. Se enviará via sms número de cuenta vía whatsapp. </t>
  </si>
  <si>
    <t xml:space="preserve">titular indica que realizará el pago el día de mañana a la 1pm. No pudo realizarlo el día de ayer y hoy porque vive en el campo y por motivos de trabajo se le complicó poder acercarse a la ciudad </t>
  </si>
  <si>
    <t xml:space="preserve">TITULAR MENCIONA QUE LE LLEGO UN CORREO DE DESCUENTO DE 500 SOLES SE LE INDICO CAMPAÑA DE 600 SOLES CANCELA CON SU LIQUIDACION QUE RECIBIRA // SE LE ENVIA SMS </t>
  </si>
  <si>
    <t xml:space="preserve">Titular no recordaba la deuda, indica que fue para un tercero. Se le brinda monto de 1000 para cancelar, accederá para el lunes.   </t>
  </si>
  <si>
    <t xml:space="preserve">Titular realizará cancelación con el importe de s/8000 el día de hoy 18/06. Se envía acuerdo de pago al correo de su abogado odlabogados@outlook.com.   </t>
  </si>
  <si>
    <t xml:space="preserve">Titular realizará cancelación total de la deuda con el importe de s/ 1100. Solicita que enviemos carta de no adeudo a su whatsapp. </t>
  </si>
  <si>
    <t xml:space="preserve">Titular realizará pago </t>
  </si>
  <si>
    <t>titular realizara pago de 113 soles el dia viernes 06/09 por la tarde habilito numero de hija para enviar forma de pago.</t>
  </si>
  <si>
    <t>Titular realizara pago de 1300(Excepcion autorizada) hoy 15/05 por tranferencia bcp</t>
  </si>
  <si>
    <t xml:space="preserve">Titular realizó cancelación total de la deuda con el importe de s/ 2000 el día de ayer 03/11. Enviará voucher. </t>
  </si>
  <si>
    <t xml:space="preserve">Titular se acoge a la cancelación con el importe de s/ 500 para el 16/03. Indica que le pagan de manera quincenal y por ello es probable que realice el pago para el día sábado 14/03. </t>
  </si>
  <si>
    <t xml:space="preserve">Titular se compromete a realiar el pago de s/ 2150 para la cancelación total el día de hoy 05/06. Indica que cancelará a la agencia de mariscal caceres. </t>
  </si>
  <si>
    <t xml:space="preserve">Titular se compromete a realizar cancelación con el importe de s/ 1600 el día martes 17/11. Se solicita acuerdo dee pago. </t>
  </si>
  <si>
    <t xml:space="preserve">Titular se compromete a realizar cancelación con el importe de s/ 7,816 el día de hoy 23/10. </t>
  </si>
  <si>
    <t xml:space="preserve">Titular se compromete a realizar cancelación con el importe de s/ 9000 el día de hoy 30/10. </t>
  </si>
  <si>
    <t xml:space="preserve">Titular se compromete a realizar el pago de s/ 2000 para la cancelación total de la deuda. Indica que lo realizará a las 2pm. </t>
  </si>
  <si>
    <t xml:space="preserve">Titular se compromete a realizar el pago de s/ 3000 para la cancelación total el día lunes 30/11. </t>
  </si>
  <si>
    <t xml:space="preserve">Titular se compromete para cancelar con el importe de s/300 para el día de mañana. Solicita que enviemos el acuerdo de pago al correo dilanrodriguezgomes1A@gmail.com. </t>
  </si>
  <si>
    <t xml:space="preserve">Titular se comunica , indica que su hermana realizará la cancelación el día de hoy 07/01. Solicita que activemos la campaña hasta las 4 pm. </t>
  </si>
  <si>
    <t xml:space="preserve">Titular se comunica e indica que accederá a cancelación para el 14/12. Confirma recepción de acuerdo de pago. </t>
  </si>
  <si>
    <t xml:space="preserve">Titular se comunica indica que con seguridad realizará el pago el día 17/11. Se le explica procedimiento de pago. </t>
  </si>
  <si>
    <t xml:space="preserve">Titular se comunica por whatsapp y confirma cancelación para el día de mañana 30/12. Indica que lo realizará en el transcurso de la tarde ya que viajará a la ciudad de pucallpa para realizar el pago. </t>
  </si>
  <si>
    <t xml:space="preserve">Titular se comunica, acepta realizar cancelación con el importe de s/1200 para el día lunes 13/07. </t>
  </si>
  <si>
    <t xml:space="preserve">Titular se comunica, indica que accederá a la campaña de s/ 3000 para el día de hoy 01/12. </t>
  </si>
  <si>
    <t xml:space="preserve">Titular se comunica, indica que dispone de s/3000 para el día de hoy. Se le indica que se acepta propuesta, lo realizará en 2 hora aprox, se volverá a comunicar brindarnos correo electrónico.  </t>
  </si>
  <si>
    <t xml:space="preserve">TITULAR SE COMUNICA, INDICA QUE HA EVALUADO LAS ALTERNATIVAS DE PAGO Y QUE ACCEDERÁ A LA CANCELACIÓN CON EL IMPORTE DE S/ 3,200.00 EL DÍA DE HOY A LAS 11 AM. BRINDA TELF PERSONAL PARA CONTACTARNOS CON ELLA DE MANERA DIRECTA: 984607239  </t>
  </si>
  <si>
    <t xml:space="preserve">Titular se comunica, indica que podrá acceder a campaña de s/ 1200 para este mes. Realizará adelanto de s/600 el día de hoy y el saldo restante hasta el 31/10. </t>
  </si>
  <si>
    <t xml:space="preserve">Titular se comunica, indica que realizará cancelación con el importe de s/ 500 el día de hoy 05/10. </t>
  </si>
  <si>
    <t xml:space="preserve">Titular se comunica, indica que se está acercando a la financiera para realizar el pago. </t>
  </si>
  <si>
    <t xml:space="preserve">Titular se comunica, se le explica sobre el proceso de demanda , se compromete a realizar el pago de los s/ 5,000.00 para el día lunes 09/03. Se le indica que le brindaremos la carta de no adeudo el mismo día de pago, menciona que realizará el pago en la mañana. </t>
  </si>
  <si>
    <t xml:space="preserve">Titular se comunica, se le indica campaña de s/ 850 para la cancelación total. Indica que lo realizará el día de hoy 07/12. </t>
  </si>
  <si>
    <t xml:space="preserve">titular se le brinda la cancelacion total importe de s/400  </t>
  </si>
  <si>
    <t>DT S/850</t>
  </si>
  <si>
    <t>CPS/ 550</t>
  </si>
  <si>
    <t xml:space="preserve">CANCELACION S/400 </t>
  </si>
  <si>
    <t>JOSE EUGENIO ALDAVE SALVO EDAD 49</t>
  </si>
  <si>
    <t xml:space="preserve">SOLO UNA ENTIDAD SIN HIJOS OBRERO DE CONTRUCION </t>
  </si>
  <si>
    <t>TIYT HARA ANCELACION ESA FECHA SE MANDARA NROD E CUNTA A WASAPT</t>
  </si>
  <si>
    <t>TT   HACE PAGO PARCIAL DE 50 EL 17/10 Y PARA EL 31/10 CANCELAR DEUDA TOTAL CON 550 INBOUD GRISS</t>
  </si>
  <si>
    <t>TT  / PPC  350 SOLES ENVAIRLE LA CUENTA RECAUDADORA</t>
  </si>
  <si>
    <t>TT  CANCELARA CON 900  PPC  // EXCEPCION CON MAYRA  //  AUDIO EN MI CEULAR PERSONAL  .</t>
  </si>
  <si>
    <t xml:space="preserve">TT  CANCELARA ESA FECHA DE DISCADOR </t>
  </si>
  <si>
    <t xml:space="preserve">TT  DIC HOY DIA EN LA TARDE EN AGENTE BCP </t>
  </si>
  <si>
    <t xml:space="preserve">TT  dice que la el prestamo lo saco para otra peronsa. Deuda total 570 kapital: 500 se le menciona camapañ de 490 soles. pagara el 01/01 ( dia de graci) le pagaran el 31 con eso pagara, en mi banco, se le enviara codigo poe whsap. tiene deuda en banco azteca. ( dice que el trabaja y no puede estr con el celular). </t>
  </si>
  <si>
    <t xml:space="preserve">TT  GENERA PPC POR EL IMPORTE DE 340 PARA EL 29/11 DISCADOR </t>
  </si>
  <si>
    <t xml:space="preserve">TT  HACE CANCELACION DE DEUDA TOTAL CON 520  15/10 INBOUD BLANCO </t>
  </si>
  <si>
    <t>TT  HACE CANCELACION DE DEUDA TOTAL CON 87 PARA EL 10/10 INBOUD GRISS</t>
  </si>
  <si>
    <t>tt  indica que  por la  cuarentena  no puede salir a  pagar  pero  asegura  cancelar el  31/03 con  s/. 470</t>
  </si>
  <si>
    <t>TT  INDICA QUE ABONARA 160 EL 09/03 ESE DIA CONFIRMARA EL PAGO  DE  LA DIFERENCIA PARA CANCELAR  500</t>
  </si>
  <si>
    <t>TT  INDICA QUE EL 20  DIC CANCELARA , SU GRATIFICACION LE PAGAN DESPUES DEL 16 , dt 2300 Acuerd 900  953451103</t>
  </si>
  <si>
    <t>TT  INDICA QUE EL 28 -12 RECIBIRA UN DINERO Y QUE EL EL DIA 30-12 CANCELARA CON 865</t>
  </si>
  <si>
    <t xml:space="preserve">TT  INDICA QUE NO LLEGO A RECAUDAR IMPORTE DE  2800 EL MES DE NOV. POR ESO NO REALIZO DEPOSITO, DESEA  CANCELAR SU DEUDA  HOY CON EL IMPORTE DE LOS 2800 PACTADOS. SE GENERA PPC CON EL IMPORTE DE 2800 PARA HOY. LLAMADA HECHA DESDE CEL 17 </t>
  </si>
  <si>
    <t>TT  INDICA QUE TRATARA DE HACER ABONO PARCIAL , PERO FIJO CANCELA DEUDA TOTAL 460 PARA EL 31/10</t>
  </si>
  <si>
    <t>TT  paga 2200 se genera PPC .</t>
  </si>
  <si>
    <t>TT  pagarà lo restante a su PPC  de 500 soles al 7/10 , se solicitarà ahì mismo el documento de no adeudo //</t>
  </si>
  <si>
    <t>tt  realizara la  cancelacion con el importe  de s/. 1000 (excepcion aprobado) el dia 30/03 mas  tardar.</t>
  </si>
  <si>
    <t>tt  realizara la cancelacion  de la deuda  con el importe de s/. 500 con  excepcion  aprobado el dia 23/04</t>
  </si>
  <si>
    <t>TT  REPROGRAMO LA CANCELACION DE S/. 150 PARA EL 14/01 POR QUE  NO ALCANZA  A PAGAR  POR EL HORARIO  DE SU TRABAJO, PAGARA  EN  EL  BANCO  DE  LA  NACION</t>
  </si>
  <si>
    <t xml:space="preserve">TT  se acerca a oficina y realiza compromiso para cancelar campaña de 1400 soles en dia de hoy con fecha 14/01/2020, Nombre del cliente Javie Praxedes Marcos Perez, quiere su carta de no adeudo en fisico, DT 8700, campaña 1400, se valida en el search trabaja en CORPORACION MIYASATO S.A.C gana 2314, 53 años, entidades reportadas (INTERBANK, CREDISCOTIA, FALABELLA, OH),  no se tiene audio, cliente cerrado en oficinas. </t>
  </si>
  <si>
    <t xml:space="preserve">TT  TIENE 45 AÑOS , NO TIENE MAS DEUDAS VERIFICADO EN SEARCH , NO TRABAJA EN PLANILLA , CANCELARA EL 30 DE ENERO MONTO 2257 YA QUE LE LLEGO MENSAJE DE CAMPAÑA CANCELAR 3257 , YA ABONO 1000 SOLES , CANCELARIA CON 2257 , SE LE SACO UN PAR PARA EL 15 /12  200 SOLES Y FIN DE MES RESTANTE . </t>
  </si>
  <si>
    <t xml:space="preserve">TT ABONA  Y CON ELLO CANCELA LA DEUDA. EXCEPCION APROBADA </t>
  </si>
  <si>
    <t>POR CESAR M.</t>
  </si>
  <si>
    <t xml:space="preserve">TT ABONA 50 Y 350 FIN DE MES </t>
  </si>
  <si>
    <t>TT ABONA 860.00 SOLES CON PIEDAD</t>
  </si>
  <si>
    <t xml:space="preserve">TT ABONA MAÑANA LOS 1000 // MENCIONA QUE SE ENCUENTR ANE UNPUEBLO DEL CUSCO A 11 HORAS  DEK CENTRO SALE HOY EN LA NOCHE  LO MENCIONA POR QUE TIENE MIEDO DE NO LLEGAR A LA HORA Y IR AL BANCO , MAÑANA SE LE LLAMARA PARA CONF PAGO </t>
  </si>
  <si>
    <t xml:space="preserve">TT ABONARA 100 Y SALDO RESTANTE EL 23 DE SET CON EL MONTO DE 1000 SOLES </t>
  </si>
  <si>
    <t>TT ABONARA 150 EL SABADO 21/09  A LAS 11AM</t>
  </si>
  <si>
    <t>TT ABONARA 1850 EL DIA DE HOY COMO CANCELACION TOTAL DE LA DEUDA</t>
  </si>
  <si>
    <t>TT ABONARA 200 EL 10/01 Y EL REMANENTE EL 15/01 (INBOUND)</t>
  </si>
  <si>
    <t xml:space="preserve">TT ABONARA 250 22/11 </t>
  </si>
  <si>
    <t xml:space="preserve">TT ABONARA 3500 SOLES POR CREDINKA PARA LA CANCELACION DE SU DEUDA NEGOCIADO POR EXCEPCION </t>
  </si>
  <si>
    <t>TT ABONARA 500 EL 2/10 Y 500 EL 31/10</t>
  </si>
  <si>
    <t xml:space="preserve">tt abonara 950.00 soles. Excepcion aprobada por Nathaly </t>
  </si>
  <si>
    <t xml:space="preserve">tt abonara con excepcion S/1000.00 soles , cancela deuda. </t>
  </si>
  <si>
    <t>TT ABONARA EL DIA DE HOY 1300 SOLES YA QUE FUERON APROBADOS POR UNICA VEZ, SIEMPRE Y CUANDO PAGA HOY /AUTORIZADO POR AMARIANGELA / SE SUBEN LOS AUDIOS CORRESPONDIENTES</t>
  </si>
  <si>
    <t xml:space="preserve">TT ABONARA LA CUOTA 12 / EL DIA MARTES 17/12 // CANCELA EN TOTAL 3300 SOLES // </t>
  </si>
  <si>
    <t xml:space="preserve">TT ABONARA LA CUOTA DE MARZO Y ABRIL </t>
  </si>
  <si>
    <t xml:space="preserve">tt abonara s/550.00 la excepcion se sube el lunes </t>
  </si>
  <si>
    <t>TT abonará su cuota 2/2.</t>
  </si>
  <si>
    <t>TT ABONO HOY 05/02 1000 EN CREDINKA</t>
  </si>
  <si>
    <t xml:space="preserve">PPC 1200 </t>
  </si>
  <si>
    <t xml:space="preserve">tt abono hoy 10-12 1000 soles , ya envio voucher, saldo de 1400 soles a fin de mes </t>
  </si>
  <si>
    <t>TT ABONO LOS 20K POR BCP</t>
  </si>
  <si>
    <t>TT ACCEDE A CAMPAÑA 200 INDICA QUE EL LUNES HACE EL PAGO EN LA MAÑANA POR TRANSFERNCIA. SE LE ENVIA INFO POR WSP</t>
  </si>
  <si>
    <t>TT accede a pagar 500 como inicial y diferencia de 500 hasta el 29/05 bajo piso de 1K,</t>
  </si>
  <si>
    <t>TT acepta cancelar con S/ 200.00. Mañana alrededor de las 11:00 am hará abono parcial  para engancharse a campaña y abono restante lo haría el 20/03 ya que es cuando estaría recibiendo el dinero que un primo le va a prestar.</t>
  </si>
  <si>
    <t>TT acepta cancelar total de deuda con campaña de S/ 1,500. Indica que va a reunir el dinero y que en una semana lo tiene completado para poder pagar. Se acercará a hacer el pago en el banco Interbank o BCP en Piura.</t>
  </si>
  <si>
    <t>DT: 9,300</t>
  </si>
  <si>
    <t>DC: 4,300</t>
  </si>
  <si>
    <t>Campaña: 1,500</t>
  </si>
  <si>
    <t>Motivo de pago: Quiere limpiar su historial crediticio</t>
  </si>
  <si>
    <t xml:space="preserve">Fecha de pago: 19/03/2020 </t>
  </si>
  <si>
    <t xml:space="preserve">TT ACEPTA EL PAGO DE LOS 550 SOLES EN DOS PARTES 225 SOLES EL DIA 15/01 Y EL 31/01 225 SOLES / DESEA QUE SE LE ENVIE ACUERDO DE PAGO / NEGOCIADO POR WHASTAPP CEL NUMERO 02 </t>
  </si>
  <si>
    <t>TT acepta pagar los 900 soles al 31/08 se genera ppc , carta de no adeudo al whatsapp  //</t>
  </si>
  <si>
    <t xml:space="preserve">TT ACUERDO POR 950 , ABONO EL DIA DE HOY 19/09 100 SOLES Y LA DIFERENCIA DE 850 EL DIA 30/09 </t>
  </si>
  <si>
    <t xml:space="preserve">tt adelantara 200 soles este viernes para a campaña de 2200 </t>
  </si>
  <si>
    <t>tt afirma que ahora ya se encuentra laborandoy con ese dinero  desea realizar el pago con la campaña de cancelacion de 2450 su DT 18000y la  DK:12000, nos comunicaremos con el mediante whatsapp para mejor comunicacion,</t>
  </si>
  <si>
    <t>tt afirma que anteriormente le han estado cobrando montos muy altos, desea pagar pero bajo un monto justo,se le informo DT200,DK150,CAMPAÑA:150 para el dia viernes antes de las 5pm; le estaremos enviando un resumen mediante whatsapp</t>
  </si>
  <si>
    <t>tt afirma que no pudo cancelar porque no estaba trabajando, recien esta haciendo trabajos y cancelara cuando le paguen a ella a fin de mes, se le indico que de no pagar se le cobrara una penalidad , se le activo por ultima vez una campaña de cancelacion de S/.500.00 para el 30/12</t>
  </si>
  <si>
    <t xml:space="preserve">tt afirma que no pudo realizar pago porque se le olvido, le brindamos la cmapaña de S/350.00 DT500 DK330; si tiene el dinero lo cancelara el dia viernes 20/12/19 al mediodia, </t>
  </si>
  <si>
    <t xml:space="preserve">TT AFIRMA QUE SE ENCUENTRA EN LA FRONTERA TRABAJANDO, nos confirma que el dia martes 17 realizara la cancelacion/ se acercara a la agencia cuando regrese de viaje </t>
  </si>
  <si>
    <t xml:space="preserve">TT ANTERIORMENTE NO TRABAJO , INIDCA QUE ESTA SIN EMPLEO , TIENE 50 AÑOS , DT 2500 ACURED 1400,  EL DINERO OBTENDRIAN DE SU TRABAJO DE ESPOSA QUE LE PAGAAN EL 10 DE ENERO TIENEN INTENSION DE PAGO , CANCELARAN EL 15 DE ENERO MONTO 1400 SOLES  </t>
  </si>
  <si>
    <t>TT ASEGURA REALIZAR EL PAGO EL LUNES A LAS 2PM//SE ENVIARÀ CTA CTE DEL BCP POR WHATSAPP</t>
  </si>
  <si>
    <t xml:space="preserve">TT ASIGNADO COMO INBOUND , SE NEGOCIO POR MAYRA DT 1600 DK  1000 CAMPAÑA 500 , SE LE ENVIA INFORMACION POR WHATSAAP </t>
  </si>
  <si>
    <t>tt brindo su nro directo 955218039, enviar nro de cta ibk por sms</t>
  </si>
  <si>
    <t>TT CACELA DEUDA TOTAL CON EL IMPORTE DE 300 EL 31/10</t>
  </si>
  <si>
    <t xml:space="preserve">TT CAMBIA PAGO  DE PPM POO PPC DE 3000 YA QUE RECIBIO UN DINERO DEJA CORREO PARA ENVIAR ACUERDO DE CANCELACION franck_1235@gmail.com </t>
  </si>
  <si>
    <t>TT CAMPAÑA 244 EN DOS PARTES 100 EL 20-12 Y 144 27-12</t>
  </si>
  <si>
    <t>TT CAMPAÑA 786.28 22/04 HARA EL PAGO POR TRANSFERENCIA IBK SE LE ENVIARAN LOS DOCUEMNTOS POR WHATSSAP Y CORREO drhonisman@gmail.com</t>
  </si>
  <si>
    <t>tt campaña 790 tt indica cancelara el dia con campaña 790 28/12</t>
  </si>
  <si>
    <t>TT CAMPAÑA DE DESCUENTO 685  SE ENVIARA INFORMACIPON AL CORREO j.g.prada_@hotail Y WHATSSAP</t>
  </si>
  <si>
    <t>TT campaña de descuento 696.26. Por ahora pagara Financiera Oh con el sueldo de su hijo que le prestara el dinero. tambien se le ofrece campaña de IBK aun no pagara.Se le enviara compromiso de pago al whatssap y al correo luzpineda-23@hotmail.com</t>
  </si>
  <si>
    <t>TT campaña de descuento S/596.34</t>
  </si>
  <si>
    <t>TT campaña s/5500 cancela el dia de mañana ya le dieron respuesta de sus vacaciones cancelara mañana</t>
  </si>
  <si>
    <t xml:space="preserve">TT CANCELA </t>
  </si>
  <si>
    <t>TT CANCELA 1000 EL 26/09</t>
  </si>
  <si>
    <t xml:space="preserve">TT CANCELA 250 BCP </t>
  </si>
  <si>
    <t>TT CANCELA 6TA Y ULTIMA CUOTA DE 222 SOLES EN SULLANA</t>
  </si>
  <si>
    <t xml:space="preserve">TT CANCELA 900 // EXCEPC MARIANG </t>
  </si>
  <si>
    <t>ABONARA 300 09/09 + SALDO 600 30/09</t>
  </si>
  <si>
    <t>TT CANCELA A FIN DE MES, NO PUEDE ANTES</t>
  </si>
  <si>
    <t>TT cancela campaña C1 S/130 el 18.05.2026, se le envia informacion wsp</t>
  </si>
  <si>
    <t>TT cancela campaña C1 S/150 el 15.05.2026, se le envia informacion wsp</t>
  </si>
  <si>
    <t>tt cancela cn 2500 hoy</t>
  </si>
  <si>
    <t>TT CANCELA CON 1000</t>
  </si>
  <si>
    <t>TT CANCELA CON 150 HASTA EL 17/10</t>
  </si>
  <si>
    <t>TT CANCELA CON 1950</t>
  </si>
  <si>
    <t>TT CANCELA CON 198</t>
  </si>
  <si>
    <t>TT CANCELA CON 2500 EL 31/10 EXCEPCION APROBADA POR MAYRA</t>
  </si>
  <si>
    <t>TT CANCELA CON 300 //  150  EL 18/10 Y 150 EL 31/10</t>
  </si>
  <si>
    <t>TT CANCELA CON 3200 EL SABADO 5/10 CON EXCEPCION APROBADO POR JULIO, TT PIDE SE LE ENVIE EL COMPROMISO DE CANCELACION</t>
  </si>
  <si>
    <t>TT CANCELA CON 50</t>
  </si>
  <si>
    <t>TT CANCELA CON 500</t>
  </si>
  <si>
    <t>TT CANCELA CON 500 EL 3/10</t>
  </si>
  <si>
    <t>TT CANCELA CON 5500</t>
  </si>
  <si>
    <t>tt cancela con 700 hoy por la tarde, se envia informacion por whatsapp (plantilla 18/05/20 14:33)</t>
  </si>
  <si>
    <t xml:space="preserve">TT CANCELA CON 900 (100 EL 5/09 A LAS 3PM Y 800 EL 25/09) </t>
  </si>
  <si>
    <t xml:space="preserve">TT CANCELA CON CAMPAÑA DE 2700 SOLES A FIN DE MES YA QUE SE ENCUENTRA EN UNA SONA ALEJADA Y REGRESARA A FIN DE MES A CAPITAL </t>
  </si>
  <si>
    <t>TT CANCELA CON CAMPAÑA NAVIDEÑA  EN AREQUIPA</t>
  </si>
  <si>
    <t>TT CANCELA CON CAMPAÑA NAVIDEÑA DE 800 SOLES EN INTERBANK</t>
  </si>
  <si>
    <t>TT CANCELA CON CAMPAÑA NAVIDEÑA, DURANTE EL DIA EN SULLANA, DISCADOR</t>
  </si>
  <si>
    <t xml:space="preserve">tt cancela con excepcion aprobada por el importe de s/2000 soles en credinka o bcp, hasta el dia lunes 16/03 </t>
  </si>
  <si>
    <t xml:space="preserve">TT CANCELA CON EXCEPCION APROBADA POR MARIANGELA Y JULIO, INDICA QUE ABONARA AL MEDIO DIA </t>
  </si>
  <si>
    <t>TT CANCELA CON EXCEPCION APROBADA POR MAYRA</t>
  </si>
  <si>
    <t>TT CANCELA CON EXCEPCION DE 1900 APROBADA POR MARIANGELA</t>
  </si>
  <si>
    <t xml:space="preserve">TT CANCELA CON EXCEPCION DE 600 APROBADO POR MAYRA </t>
  </si>
  <si>
    <t>tt cancela con excepcion de 700 hpy en sullana</t>
  </si>
  <si>
    <t>TT CANCELA CON EXCEPCION EL DIA DE HOY CON 2300</t>
  </si>
  <si>
    <t>TT CANCELA CON IMPORTE DE S/1835</t>
  </si>
  <si>
    <t>tt cancela con S/.2508(inbound). Asignado por Mariangela Pina</t>
  </si>
  <si>
    <t xml:space="preserve">tt cancela con s/1,800 el viernes 20/03 se confirmo pago del celular N°19 </t>
  </si>
  <si>
    <t>TT CANCELA CON S/1000 - ABONARA 500 EL 10/09 Y 500 EL 30/09</t>
  </si>
  <si>
    <t>tt cancela con S/450 el 15/04 S/100 y el 30/04 S/350 via BCP ya se le envio info por whatsapp</t>
  </si>
  <si>
    <t>TT CANCELA DEUCA CON S/4243 SOLES // INBOUND</t>
  </si>
  <si>
    <t>TT CANCELA DEUDA</t>
  </si>
  <si>
    <t>TT CANCELA DEUDA CON 1250 EL DIA DE HOY EN CREDINKA ANTES DEL MEDIO DIA</t>
  </si>
  <si>
    <t>TT CANCELA DEUDA CON 60 EN AGENTE BCP</t>
  </si>
  <si>
    <t>TT CANCELA DEUDA CON 800</t>
  </si>
  <si>
    <t>TT CANCELA DEUDA CON APROBACION DE MAYRA (INBOUND)</t>
  </si>
  <si>
    <t xml:space="preserve">TT CANCELA DEUDA CON EL IMPORTE DE 100SOLES EL DIA 6/01 LLAMADA DESDE CEL 17 </t>
  </si>
  <si>
    <t>TT CANCELA DEUDA CON EL IMPORTE DE 2000 07/10 INBOUD GRISS</t>
  </si>
  <si>
    <t>TT CANCELA DEUDA CON EXCEPCION APROBADA POR MARIANGELA DE 250</t>
  </si>
  <si>
    <t>TT CANCELA DEUDA CON EXCEPCION APROBADA POR MAYRA</t>
  </si>
  <si>
    <t>TT CANCELA DEUDA CON EXCEPCION DE 1000 SOLES EL DIA 22/08</t>
  </si>
  <si>
    <t>TT CANCELA DEUDA CON EXCEPCION SOLICITADA Y APROBADA POR MARIANGELA // CANCELARA EN CREDINKA O BCP, HASTA EL 16/12</t>
  </si>
  <si>
    <t>TT CANCELA DEUDA CON EXCEPION APROBADA</t>
  </si>
  <si>
    <t>tt cancela deuda con S/.200</t>
  </si>
  <si>
    <t>tt cancela deuda con S/200 se confirma ello ya que en esa fecha le pagan , porwhatsapp se le enviara horarios y por que medio realizara pago y banco</t>
  </si>
  <si>
    <t>TT CANCELA DEUDA DE LA MISMA MANERA COMO VIENE ABONANDO, DURANTE EL DIA</t>
  </si>
  <si>
    <t>TT CANCELA DEUDA EN AGENTE BCP HOY 5PM, EXCEPCION APROBADA POR MARIANGELA</t>
  </si>
  <si>
    <t>TT CANCELA DEUDA HASTA EL DIA 20/12</t>
  </si>
  <si>
    <t>TT CANCELA DEUDA TOTAL CON 311 EL 16/09</t>
  </si>
  <si>
    <t xml:space="preserve">TT CANCELA DEUDA TOTAL CON 400 EL 19/08 INBOUD NEGRO EXCEPCION APROBADA POR JULIO </t>
  </si>
  <si>
    <t>TT CANCELA DEUDA TOTAL CON EL IMPORTE DE 1000 ANTES DEL 30/10 EXCEPCION APROB POR MAYRA INBOUD GRISS</t>
  </si>
  <si>
    <t>TT CANCELA DEUDA, EXCEPCION CON JULIO 2,300.00</t>
  </si>
  <si>
    <t>TT CANCELA DT CON 650 EXCEPCION APROB POR MARIANGELA INBOUD GRISS</t>
  </si>
  <si>
    <t>TT CANCELA EL 18/12/19 EN SULLANA CON DESCUENTO POR CAMPAÑA ENVIADA POR SMS</t>
  </si>
  <si>
    <t>TT CANCELA EL 20 POR LA TARDE EL IMPORTE DE 200, ESE DIA LE PAGAN, SI LLEGA A CONSEGUIR DINERO ANTES LO HARA ANTES.</t>
  </si>
  <si>
    <t>tt cancela el dia 20/06 por transferencia bancaria / MANUAL TACITA</t>
  </si>
  <si>
    <t xml:space="preserve">TT CANCELA EL IMPORTE DE 800 SOLES EL DIA DE HOY Y ABONARA 45 SOLES DE LA CARTA DE NO ADEUDO / </t>
  </si>
  <si>
    <t>TT CANCELA EN BCP EL IMPORTE DE 730</t>
  </si>
  <si>
    <t>TT CANCELA EN EL BANCO DE LA NACION</t>
  </si>
  <si>
    <t>tt cancela hoy 275 como ppc</t>
  </si>
  <si>
    <t xml:space="preserve">TT CANCELA HOY 28/01  POR LA TARDE </t>
  </si>
  <si>
    <t>PPC 500 // SE ENTREGARA CARTA DE NO ADEUDA FISICO</t>
  </si>
  <si>
    <t>tt cancela hoy 509.30</t>
  </si>
  <si>
    <t>TT CANCELA HOY CON 200</t>
  </si>
  <si>
    <t>TT CANCELA HOY EN QAPAQ</t>
  </si>
  <si>
    <t>TT CANCELA LA DEUDA</t>
  </si>
  <si>
    <t xml:space="preserve">TT CANCELA LA DEUDA DE 450 POR EL BCP SE LE ENVIO WHASAP POR  CON LA INFORMACION DE LA CANCELACION </t>
  </si>
  <si>
    <t>tt cancela la siguiente semana ya que esta en campo y aun no ah podido viajar, en carro se demora 3 horas de viaje, la proxima semana pagara / manual tacita</t>
  </si>
  <si>
    <t>TT CANCELA LA TOTALIDAD DE DEUDA EN CREDINKA, NO PUEDE ABONAR ANTES YA QUE ELLA NO RECIBE GRATIFICACION</t>
  </si>
  <si>
    <t>TT CANCELA LA ULTIMA CUOTA/ S ELE HIZO CRONOGRAMA DE 6 CUOTAS DE 260 EN BASE A 1560</t>
  </si>
  <si>
    <t>TT CANCELA PENDIENTE</t>
  </si>
  <si>
    <t>TT CANCELA TOTALIDAD DE DEUDA CON CAMPAÑA NAVIDEÑA // ABONA EN CAJA SULLANA</t>
  </si>
  <si>
    <t>TT CANCELA ULTIMA CUOTA DE 3, EN MIBANCO</t>
  </si>
  <si>
    <t>TT CANCELA. EXCEPCION APROBADA POR MARIANGELA // 974935479</t>
  </si>
  <si>
    <t>TT CANCELACION DE DEUDA CON S/200.</t>
  </si>
  <si>
    <t>TT CANCELAR 22 MIL EL 28/07</t>
  </si>
  <si>
    <t>TT cancelará</t>
  </si>
  <si>
    <t>TT CANCELARA   CON EL MONTO DE 1000 SOLES ECEPCION //APROBADO POR MARIANGELA</t>
  </si>
  <si>
    <t>TT CANCELARA 1100 CON EXCECION // IMPORTE LO RECIBIRA DE TRBAJO QUE REALIZA POR RECIBOS POR HONORARIOS // SE ENVIA ACUERO Y Nº DE CUENTA</t>
  </si>
  <si>
    <t>SEARCH NO CARGA</t>
  </si>
  <si>
    <t xml:space="preserve">PPC 1100 </t>
  </si>
  <si>
    <t>TT CANCELARA 1400 CON EXCEPCION APROBADA POR MARIANG //  SE ENVIA CUENTA BCP</t>
  </si>
  <si>
    <t>TT CANCELARA 200 RESTANTES 31/08</t>
  </si>
  <si>
    <t>TT CANCELARA 22000</t>
  </si>
  <si>
    <t>ABONARA 5000 15/10 + SALDO 31/10</t>
  </si>
  <si>
    <t>APROBADO POR MAYRA</t>
  </si>
  <si>
    <t>TT CANCELARÁ 23K</t>
  </si>
  <si>
    <t>TT CANCELARA 2600 CON EXCEPCION // ACABA DE RECIBIR HOY AGUINALDO Y POR LA TARDE ESTA LLEGANDO A OFC. DE CELENDIN DE 3 A 5</t>
  </si>
  <si>
    <t xml:space="preserve">TT CANCELARA 2700 EL 31/08// </t>
  </si>
  <si>
    <t xml:space="preserve">Tt cancelara 3,970.00 en caja Arequipa. </t>
  </si>
  <si>
    <t>TT CANCELARA 300 29/08</t>
  </si>
  <si>
    <t>TT CANCELARA 402</t>
  </si>
  <si>
    <t>ABONARA 150 12/10 + 252 31/10</t>
  </si>
  <si>
    <t>TT CANCELARA 500 //</t>
  </si>
  <si>
    <t>ABONO 250 20/09 + SALDO 27/09</t>
  </si>
  <si>
    <t>TT CANCELARA 500 SOLES EL 11/03 ANTES DEL MEDIO DIA</t>
  </si>
  <si>
    <t>TT CANCELARA 5000 31/08</t>
  </si>
  <si>
    <t xml:space="preserve">TT CANCELARA 5000 SOLES </t>
  </si>
  <si>
    <t xml:space="preserve">TT CANCELARA 531 </t>
  </si>
  <si>
    <t>TT CANCELARA 560</t>
  </si>
  <si>
    <t>TT CANCELARA 560 // ABONARA 100 10/09 + 460 30/09</t>
  </si>
  <si>
    <t>TT CANCELARÁ 5K</t>
  </si>
  <si>
    <t>TT CANCELARA A FIN DE MES IMPORTE DE 120</t>
  </si>
  <si>
    <t xml:space="preserve">TT CANCELARA COMO ADELANTO 100 SOLES Y EL RESTO EL DIA 15 DE SET. CON EL MONTO DE 1400 </t>
  </si>
  <si>
    <t>tt cancelara con 100 soles la deuda el dia sabado 24/08.</t>
  </si>
  <si>
    <t>tt cancelara con 1000</t>
  </si>
  <si>
    <t>TT CANCELARÁ CON 1000</t>
  </si>
  <si>
    <t>TT CANCELARÁ CON 10K</t>
  </si>
  <si>
    <t>tt cancelará con 11k</t>
  </si>
  <si>
    <t>TT CANCELARÁ CON 13500</t>
  </si>
  <si>
    <t>TT CANCELARA CON 15 MIL</t>
  </si>
  <si>
    <t>TT CANCELARÁ CON 16K</t>
  </si>
  <si>
    <t>tt cancelará con 24k</t>
  </si>
  <si>
    <t>TT CANCELARÁ CON 26K</t>
  </si>
  <si>
    <t>tt cancelara con 2mil soles que es lo que tiene en mano y gerencia aprobo para el dia de hoy, cancela en credinka (la plantilla esta con fecha 4/05/20 a las 7:07am)</t>
  </si>
  <si>
    <t>tt cancelará con 3000</t>
  </si>
  <si>
    <t xml:space="preserve">tt cancelara con 5 mil soles el dia de hoy 31/12. </t>
  </si>
  <si>
    <t>tt cancelará con 6000</t>
  </si>
  <si>
    <t>TT CANCELARÁ CON 60K</t>
  </si>
  <si>
    <t>TT CANCELARÁ CON 6K</t>
  </si>
  <si>
    <t>TT cancelará con 7k</t>
  </si>
  <si>
    <t>tt cancelará con 8k</t>
  </si>
  <si>
    <t>TT CANCELARA CON DESCUENTO DE 900 SOLES APROBADO POR MARIANGELA ( 450 EL 16/09 Y 450 EL 30/09)</t>
  </si>
  <si>
    <t>TT CANCELARA CON EL IMPORTE DE 300 SOLES EL 07/03</t>
  </si>
  <si>
    <t>tt cancelara con el importe de 55 soles 17/10.</t>
  </si>
  <si>
    <t xml:space="preserve">TT cancelara con el importe de descuento de campaña indico que tratara de realizarlo antes // </t>
  </si>
  <si>
    <t>TT CANCELARA CON EL MONTO DE 1200 APROBADO POR MAYRA CANCELARA 300 SEMANAL</t>
  </si>
  <si>
    <t>TT CANCELARA CON EL MONTO DE S/550.00 IRA AL MISMO BANCO, ADELANTARA HOY S/350.00Y EL RESTANTE MAÑANA</t>
  </si>
  <si>
    <t>TT CANCELARA CON EXCEP S/500.00 PARA EL 28/02 EN AREQUIPA PRO</t>
  </si>
  <si>
    <t>tt cancelara con excepcion de 1500 hoy 15-1</t>
  </si>
  <si>
    <t>TT cancelará con excepción de S/ 1,000 aprobada por Julio viernes 13/03.</t>
  </si>
  <si>
    <t>Se carga en carpeta "AUDIOS" las capturas de conversación vía WhatsApp donde tt indica estar de acuerdo y fecha en que realizará el pago.</t>
  </si>
  <si>
    <t>DT: 7,410</t>
  </si>
  <si>
    <t>DC: 6,800</t>
  </si>
  <si>
    <t>Campaña: 1,000 (excepción aprobada por Julio)</t>
  </si>
  <si>
    <t>MDI: Sufrió un asalto y su negocio quebró.</t>
  </si>
  <si>
    <t>STP: Quiere limpiar su historial crediticio para volver acceder a créditos.</t>
  </si>
  <si>
    <t>TT CANCELARA CON IMPORTE CAPITAL APROBADO POR ANGEL</t>
  </si>
  <si>
    <t>TT CANCELARA CON IMPORTE DE S/1000, TIENE YA S/500 SOLO SE PRESTARA SALDO PARA LIQUIDAR EL 28/05 EN CREDINKA, SE ENVIA WHATS</t>
  </si>
  <si>
    <t xml:space="preserve">TT CANCELARA CON MONTO DE 300 </t>
  </si>
  <si>
    <t>tt cancelará de deuda el 27/09 con S/.350//se ingresa compromiso</t>
  </si>
  <si>
    <t xml:space="preserve">TT CANCELARÀ DEUDA </t>
  </si>
  <si>
    <t xml:space="preserve">TT CANCELARA DEUDA CON EL IMPORTE DE 900.00 SOLES // EL DIA DE HOY 23/08.. 400 SOLES Y EL DIA 27/08 LOS 500 SOLES RESTANTES// INDICO QUE ESTA CAMINO A DEJAR UNA JOYA Y SE ACERCA A PAGAR . </t>
  </si>
  <si>
    <t>tt cancelará deuda con S/.2600 el 27/09</t>
  </si>
  <si>
    <t>tt cancelarà deuda con S/.300 para el dia 27/08</t>
  </si>
  <si>
    <t>tt cancelarà deuda con S/130. con excepciòn aprobado por Mariangela Piña</t>
  </si>
  <si>
    <t xml:space="preserve">TT CANCELARÀ DEUDA DE S/.104 </t>
  </si>
  <si>
    <t xml:space="preserve">TT CANCELARA DEUDA DURANTE EL DIA </t>
  </si>
  <si>
    <t>tt cancelarà deuda en BCP/ Se envia por mensaje de texto la cta. cte del bcp para realizar el depòsito</t>
  </si>
  <si>
    <t>TT CANCELARA DEUDA POR 319.90//SE ACOGERA A CAMPAÑA QUE SE LE ENVIO POR CORREO</t>
  </si>
  <si>
    <t>tt cancelara deuda por 400 soles, a las 4 pm el dia 16/10.</t>
  </si>
  <si>
    <t xml:space="preserve">Tt cancelará deuda. </t>
  </si>
  <si>
    <t xml:space="preserve">TT CANCELARA EL ADELANTO DE 400 SOLES EL LUNES 30 Y LO RESTANTE TIENE HASTA QUINCENA DE OCTUBRE / APROBADO POR MARIANGELA </t>
  </si>
  <si>
    <t xml:space="preserve">TT CANCELARA EL DIA 21 DE ENERO EXCEPCION APROBADA POR JULIO CON EL MONTO DE 600 SOLES TODA LA NEGOCIACION SE HIZO POR MEDIO DEL WHASAP POR QUE NO RESPONDIA LA LLAMADA </t>
  </si>
  <si>
    <t xml:space="preserve">TT CANCELARA EL DIA 24/01 CON EXCEPCION DE 3MIL SOLES EN EL BANCO INTERBANK, SE ENVIA INFORMACION POR WHATSAPP </t>
  </si>
  <si>
    <t xml:space="preserve">TT CANCELARA EL DIA 31 EL MONTO DE 300 SOLES </t>
  </si>
  <si>
    <t xml:space="preserve">TT CANCELARA EL DIA DE HOY 100 SOLES Y LO RESTO  CON EL MONTO DE 1400 EL DIA 15 DE SETIEMBRE </t>
  </si>
  <si>
    <t>TT cancelará el importe de 9,000 soles por el BCP.</t>
  </si>
  <si>
    <t>TT cancelará el monto de 1,500 soles.</t>
  </si>
  <si>
    <t>TT CANCELARA EL MONTO DE 1150 ADELANTA 500 Y EN QUINCENA DE OCTUBRE 650 POE QUE ESTA EN GASTO</t>
  </si>
  <si>
    <t xml:space="preserve">TT cancelará el monto de 18,000 soles. </t>
  </si>
  <si>
    <t xml:space="preserve">TT cancelará el monto de 27,200 soles, hoy pagará 26,000 soles y el 15 de Junio 1,200 soles </t>
  </si>
  <si>
    <t>tt cancelara el total de 40  soles  el dia 27/11 953179551</t>
  </si>
  <si>
    <t>tt cancelara hoy 31/10</t>
  </si>
  <si>
    <t>tt cancelara hoy con dscto , via bcp se envio nro de cta</t>
  </si>
  <si>
    <t xml:space="preserve">TT CANCELARA HOY DEUDA CON EXCEPCION DE 350 </t>
  </si>
  <si>
    <t xml:space="preserve">TT cancelará la cuota 2/2 </t>
  </si>
  <si>
    <t xml:space="preserve">TT CANCELARA LA DEUDA  //  200  // MDNP : TENIA BASTANTE DESCONFIANZA // NO BRINDA #  </t>
  </si>
  <si>
    <t>TT CANCELARA LA DEUDA CON EL IMORTE DE 1,600.00 SOLES EL DIA 30/11.   MAÑANA SE LLAMARA PARA ADELANTO DE 100 SOLES .</t>
  </si>
  <si>
    <t xml:space="preserve">tt cancelara la deuda con el importe de 1,400 soles bajo excepcion  el dia de hoy a las 5 de la tarde , enviara voucher. </t>
  </si>
  <si>
    <t xml:space="preserve">TT CANCELARA LA DEUDA CON EL IMPORTE DE 900 SOLES EL DIA 31 /08 HASTA LAS 11 AM // SI CUENTA CON EL DINERO HOY 29 LO PAGA HOY. SI NO CON SEGURIDAD EL DIA 31 ESTARA PAGANDO. </t>
  </si>
  <si>
    <t>TT CANCELARA LA DEUDA CON SMS QUE LE LLEGO DE 643 SOLES. (NUMERO PERSONAL)</t>
  </si>
  <si>
    <t xml:space="preserve">TT CANCELARA LA DEUDA EL DIA DE HOY CON EL IMPORTE DE 350 SOLES.. SE LE ENVIO MENSAJE CON EL NUMERO DE TRANSACCION YA QUE PAGARA POR BANCO DE LA NACION. </t>
  </si>
  <si>
    <t>TT CANCELARA LA DEUDA EL DIA VIERNES 29/11 YA QUE RECIBE SU GRATIFICACION.... CAMPAÑA: 780 SOLES</t>
  </si>
  <si>
    <t>TT CANCELARA LA DEUDA MÑN 10 /12  IMPORTE 600  SOLES T¡DT  950  ACUERD 600  974884324</t>
  </si>
  <si>
    <t>TT cancelará la deuda.</t>
  </si>
  <si>
    <t>TT CANCELARA LA TOTALIDAD DE LOS 25MIL HASTA EL 07/06</t>
  </si>
  <si>
    <t>TT CANCELARA LOS 5O SOLES COMO ADELANTO Y LUEGO CANCELARA LOS 450 SEMANALMENTE</t>
  </si>
  <si>
    <t>tt cancelara mañana 13-11 1100 soles en interbank , lo hara 9:00am</t>
  </si>
  <si>
    <t xml:space="preserve">TT CANCELARA MAÑANA LA DEUDA YA QUE SU ESPOSA NO PUEDE REALIZARLO POR VIA BCP YA QUE LE SALE ERROR INDICA QUE EL HOY DIA ESTA DE COMISION EN LA SIERRA Y QUE HOY SALE EN LA TARDE MAÑANA YA ESTA LLEGANDO HACER EL PAGO A PRIMERA HORA / PPC </t>
  </si>
  <si>
    <t>TT CANCELARA POR CAM`PAÑA DE 450 INDICO QUE NO CANCELO ANTERIORMENTE POR PROBLEMAS DE SALUD</t>
  </si>
  <si>
    <t>tt cancelarà S/.200 el jueves 29/08. Autoriza Mariangela Pina</t>
  </si>
  <si>
    <t>tt cancelarà S/.200 el jueves 29/08. Autoriza Mariangela Piña</t>
  </si>
  <si>
    <t>TT CANCELARA S/1200 EL 29/05 EN CREDINKA, SE SOLICITO EXCEPCION</t>
  </si>
  <si>
    <t>TT CANCELARA S/610 CON FECHA MAXIMA EL 30/01 CONS SUELDO QUE RECIBE CADA FIN DE MES</t>
  </si>
  <si>
    <t>SE ENVIA ACUERDO DE CANCELACION A SOLICITUD DE TT</t>
  </si>
  <si>
    <t xml:space="preserve">tt cancelara su deuda con el  monto de 1333 soles </t>
  </si>
  <si>
    <t>TT cancelará su primera cuota</t>
  </si>
  <si>
    <t>TT cancelará.</t>
  </si>
  <si>
    <t xml:space="preserve">TT CANCELO 100 Y EFECTUARA LA CANCELACION TOTAL DE 1300 EL DIA 9 DE SET. </t>
  </si>
  <si>
    <t>tt cancelo con 800 soles</t>
  </si>
  <si>
    <t xml:space="preserve">TT CANCELO DEUDA </t>
  </si>
  <si>
    <t>TT CANCELO DEUDA CON 105 NRO OPERACION 158035 TT DESEA LE ENVIEN CARTA DE NO ADEUDO A SU NUMERO CELULAR 998027350</t>
  </si>
  <si>
    <t xml:space="preserve">tt cancelo el 11-11 400 soles ,se tipifica promesa el dia de hoy ya que se borro la promesa de la semana pasada </t>
  </si>
  <si>
    <t>TT CANCELÓ LOS 5K POR BCP</t>
  </si>
  <si>
    <t>TT canceló.</t>
  </si>
  <si>
    <t xml:space="preserve">tt canelara la deuda el 29/11  monto 710 </t>
  </si>
  <si>
    <t>tt comenta que cancelara la deuda, se brindo la campaña de 255 soles, el pago lo realizara el dia 30-11, solicita que se envie el numero de cuenta por SMS o Whatsapp</t>
  </si>
  <si>
    <t>Tt comenta que esta atendiendo a una clienta. una vez que se desocupa esta saliendo a pagar al banco interbank, [pagará 13-01 a mas tardar al mediodia], se envia sms por whatsapp. [llamada por corp. 18]</t>
  </si>
  <si>
    <t xml:space="preserve">tt comenta que esta en espera de resultado si puede sacar el 25 cinco pòrciento de su AFP QUE SERIA EL 20 DE MAYO, SE LE INDICA QUE REALICE AMORTIZACION O ADELANTO DE 50 SOLES EL DIA 16 AFIRMO SE LE ENVIA SMS SOLICITA ACUERDO DE PAGO </t>
  </si>
  <si>
    <t>CAMPAÑA:450</t>
  </si>
  <si>
    <t xml:space="preserve">SUSTENTO: RETIRO DE AFP </t>
  </si>
  <si>
    <t>tt comenta que tuvo emergencias familiares  y pagara el dia martes 17-12 por muy tardar</t>
  </si>
  <si>
    <t xml:space="preserve">TT COMPLETO EL PAGO DE SUS CUOTAS QUE ERAN 12 CUOTAS DE 300 SOLES // </t>
  </si>
  <si>
    <t xml:space="preserve">tt compromete realizar cancelacion con el monto de 350 soles, pago sera antes del medio dia </t>
  </si>
  <si>
    <t xml:space="preserve">TT CONFIRMA  PAGO DE LOS  1100  APROBADO POR JULIO // MDNP : NO CONTABA CON EL DINERO // SE PRESTARA EL DINERO DE SUS FAMILIARES // NO BRINDA  //  HAY AUDIO  MANUAL  </t>
  </si>
  <si>
    <t xml:space="preserve">TT CONFIRMA ABONO DE 100 SOLES SAB Y LA DIFERENCIA A FIN DE MES DE 526 / INBOUD  </t>
  </si>
  <si>
    <t>TT CONFIRMA CAN CON 650 SOLES, ENVIAR ACUERDO VIA WSP</t>
  </si>
  <si>
    <t>TT CONFIRMA CANCELACION , CON MUCHA SEGURIDAD , DT 1010 ACUERD 300 SOLES  TIENE 32 AÑO</t>
  </si>
  <si>
    <t>TT CONFIRMA CANCELACION 150 SOLES , PARA MAÑNA 03/01</t>
  </si>
  <si>
    <t>TT CONFIRMA CANCELACION CON EL IMPORTE 380 SOLES PARA 13/12</t>
  </si>
  <si>
    <t>TT CONFIRMA CANCELACION CON EL IMPORTE DE 400 SOLES , LLAAMDA DEL COORP 16 , SE LE ENVIO INF AL WSP</t>
  </si>
  <si>
    <t xml:space="preserve">TT CONFIRMA CANCELACION DE 1800 SOLES , EL DINERO SACARA DE UN PANDERO QUE LE BRINDARAN , TRABAJA  EN PLANILLA , TIENE OTRAS DEUDAS VERIFICADO EN SEARCH  , TIENE 43 AÑOS </t>
  </si>
  <si>
    <t>tt confirma cancelacion de 400 soles para hoy, enviar acuerdo via correo: kminovas30@hotmail.com</t>
  </si>
  <si>
    <t xml:space="preserve">TT CONFIRMA CANCELACION DE 500 SOLES PARA HOY 30 /12 </t>
  </si>
  <si>
    <t xml:space="preserve">TT CONFIRMA CANCELACION DE DEUDA PARA EL 31/01 YA QUE PERSONA PARA LA CUAL FUE CREDITO SE HARA CARGO </t>
  </si>
  <si>
    <t xml:space="preserve">PPC 1000 </t>
  </si>
  <si>
    <t>39 AÑOS // ENTEL PERU S.A.</t>
  </si>
  <si>
    <t xml:space="preserve">TT CONFIRMA CANCELACION DE DUEDA TOTAL CON 700 EL 20/09 INBOUD NEGRO  EXCEPCION APROBADA POR MARIANGELA </t>
  </si>
  <si>
    <t xml:space="preserve">tt confirma cancelacion el 29/11  </t>
  </si>
  <si>
    <t>TT CONFIRMA CANCELACION EL DIA 30/04/2020 DE SU ULTIMA CUOTA DE 300.00 (EXCEPCION APROBADA EN ABRIL)</t>
  </si>
  <si>
    <t>TT confirma cancelacion para el 21/10 x 2,642 soles se genera PPC  cl conforme  //</t>
  </si>
  <si>
    <t>TT CONFIRMA CANCELACION PARA EL 30/01 EN CASO DE PODER HACER ABONO ANTES DE LA FECHA LO REALIZARA//GRAB POR DISCADOR//971977999 CAMP 300 DT 2400</t>
  </si>
  <si>
    <t>SEARCH 52AÑOS TRABAJADORA DEPENDIENTE EM 4TM PROMOTORES//DEUDAS CON ENTIDAD FINANCIERA</t>
  </si>
  <si>
    <t>TT CONFIRMA CANCELACION PARA EL DIA 18/01 , CON EL IMPORTE DE CAMPAÑA DE 867 SOLES, SEE LE ESTARA ENVIANDO INF A SU WHATSAPP  ........IMBOUD MAYRA LLIMPE</t>
  </si>
  <si>
    <t xml:space="preserve">TT CONFIRMA CANCELACION PARA EL DIA DE HOY 28/12 MONTO 1126 SOLES </t>
  </si>
  <si>
    <t xml:space="preserve">TT CONFIRMA CANCELACION PARA EL DIA DE HOY MONTO 1300 EXCEPCION APROBADA JULIO HIGA </t>
  </si>
  <si>
    <t xml:space="preserve">TT CONFIRMA CANCELACION PARA EL DIA VIERNES 20 /12  - LEVANTADO POR SANDY LOPEZ </t>
  </si>
  <si>
    <t xml:space="preserve">TT CONFIRMA CANCELACION PARA FIN DE MES 31 /01  EXCEPCION MONTO 2000 SOLES </t>
  </si>
  <si>
    <t xml:space="preserve">TT confirma cancelaciòn para mañana de 190 soles , se genera PPC </t>
  </si>
  <si>
    <t>TT CONFIRMA CON SEGURIDAD CANCELAR PARA FIN DE MES 1400 SOLES CON EXCEPCION.</t>
  </si>
  <si>
    <t xml:space="preserve">TT CONFIRMA HOY CAN DE DEUDA CON 1000 SOLES </t>
  </si>
  <si>
    <t>TT CONFIRMA LA PROPUESTA OFRECIDA , SE GENERA PPC X 400 SOLES AL 31/10 , VERA SI PUEDE HACER ABONOS A MEDIADOS  //</t>
  </si>
  <si>
    <t xml:space="preserve">tt confirma los 600 soles el dia de hoy 06/02 / llamada del cel 2 / se negocio el di de ayer / </t>
  </si>
  <si>
    <t>tt confirma pagar el viernes 20/09 S/.155</t>
  </si>
  <si>
    <t>TT confirma pago de 100 , a mas tardar fin de mes confirmara si le llegaron a depositar lo que le tienen pendiente en su trabajo , faltaria 1,843 , se gener PPC .. escuchar audio ya que posiblemente tenga el dinero antes ..</t>
  </si>
  <si>
    <t>TT CONFIRMA PAGO DE 1300 CON FECHA 22/11</t>
  </si>
  <si>
    <t>TT confirma pago de 16 soles al 12/10 conforme  //</t>
  </si>
  <si>
    <t xml:space="preserve">TT CONFIRMA PAGO DE LA CANCELACION // MDNP : NO CONTABA CON DINERO // FUE POR MANUAL //  HAY AUDIO  </t>
  </si>
  <si>
    <t>TT CONFIRMA PAGO DE LA CANCELACION DE LOS  280 // PARA EL DIA DE MAÑANA YA QUE RECIEN LE PAGARAN // SI LE PAGAN HOY LO CANCELA // MDNP : NO CONTABA CON EL DINERO Y LOS INTERES // NO BRINDA #</t>
  </si>
  <si>
    <t xml:space="preserve">AUDIO DEL CELULAR  12  GRABACION .  </t>
  </si>
  <si>
    <t xml:space="preserve">TT CONFIRMA PAGO DE LA TOTALIDAD // NO BRINDA # MDNP : NO CONTABA CON DINERO // NO BRINDA # </t>
  </si>
  <si>
    <t xml:space="preserve">TT CONFIRMA PAGO DE LOS  1600 APROBADO CON MARIANGELA  PARA LA CANCELACION // NO BRINDA  AUDIOO </t>
  </si>
  <si>
    <t xml:space="preserve">TT CONFIRMA PAGO DE LOS  2600 PARA EL DIA DE HOY HA RECIBIDO UNOS PAGOS DE UN TRABAJO Y PIENSA  CANCELAR  YA LA DEUDA PARA SALIR DE  LA DEUDA.   HAY AUDIO </t>
  </si>
  <si>
    <t xml:space="preserve">TT CONFIRMA PAGO DE LOS  620 /// CANCELACION DE LA DEUDA // MDNP : NO CONTABA CON EL DINERO PERO SE PRESTARA PARA MATAR LA DEUDA // NO BRINDA #  FUE ASIGNADO POR MANUAL // HAY AUDIO  </t>
  </si>
  <si>
    <t xml:space="preserve">TT CONFIRMA PAGO DE LOS  800 // SISTEMA DISCADOR //  PAGARA CON SEGURIDAD  // NO BRINDA  #  </t>
  </si>
  <si>
    <t xml:space="preserve">TT CONFIRMA PAGO DE LOS  870 // MDNP : NO CONTABA CON DINERO // NO BRINDA //  DISCADOR . SISTEMA  </t>
  </si>
  <si>
    <t>tt confirma pago de S/2000.00 (EXCEPCION APROBADA) EL DIA 30/04/2020, SOLICITA POR SEGURIDAD DOCUMENTO DE ACUERDO</t>
  </si>
  <si>
    <t xml:space="preserve">tt confirma pago de última cuota de s/ 290 para el 26/12. ( se verifica que cliente tenia cronograma de 12 cuotas de s/ 290 , excepción aprobada por castigo). </t>
  </si>
  <si>
    <t xml:space="preserve">tt confirma pago del importe de 4100 soles / asignado </t>
  </si>
  <si>
    <t xml:space="preserve">tt confirma pago del monto 220 soles para el dia viernes 29/05 lo realizara en un agente bcp , indica que quiere el acuerdo de cancelacion por whatsapp para que hacer la cancelacion de la deuda / ppc </t>
  </si>
  <si>
    <t>tt confirma pago del monto 700 soles aprobado en linea pagara hoy 200 soles el dia de hoy y 500 el dia lunes 18.05 para la cancelacion de la deuda.</t>
  </si>
  <si>
    <t>tt confirma pago del monto de 500 soles para el dia de hoy ya que esta cerca a credinka indica que la diferencia lo estara pagando el dia 27/05 de los 2 mil soles para la cancelacion de su deuda , indica que le envien el acuerdo de cancelacion a su correo que es cesarsilvestre1231@gmail.com / PPC</t>
  </si>
  <si>
    <t xml:space="preserve">TT CONFIRMA PAGO FIN DE MES//200 SOLES A QUINCENA Y RESTANTE FIN DE MES </t>
  </si>
  <si>
    <t xml:space="preserve">tt confirma pago para el 15-02 de 150 soles en credinka , enviara voucher </t>
  </si>
  <si>
    <t xml:space="preserve">tt confirma pago para el 28-02 de 800 soles , enviara voucher </t>
  </si>
  <si>
    <t xml:space="preserve">tt confirma pago para el 30-11 de 400 soles en cancelacion , se le envia sms para envio de voucher </t>
  </si>
  <si>
    <t xml:space="preserve">TT CONFIRMA PAGO PARA EL DIA DE HOY A LAS  10 AM //   SUS PADRES  Y SU ESPOSA IRAN A PAGAR  YA QUE TT ESTARA TRABAJANDO // NO BRINDA #  APROBADO POR MARIANGELA </t>
  </si>
  <si>
    <t>TT CONFIRMA PAGO PARA EL DIA DE HOY POR 700 SOLES //POR EXCEPCION SOLICITADA ATRAVES DE INTERBANK</t>
  </si>
  <si>
    <t>tt confirma pago para hoy dia por cci bbva excepcion aprobada por Melina / base tacita</t>
  </si>
  <si>
    <t xml:space="preserve">tt confirma pago para hoy.   </t>
  </si>
  <si>
    <t xml:space="preserve">TT CONFIRMA PAGO PARA LUNES 360 YA QUE NO PUDO REALIZAR ANTES </t>
  </si>
  <si>
    <t xml:space="preserve">tt confirma pago para mañana 31/03 con 150 , nos dice que quiere que le envien el doc por whatsapp </t>
  </si>
  <si>
    <t>se llamo del cel N°18</t>
  </si>
  <si>
    <t>TT CONFIRMA PAGO PENDIENTE DE 6 SOLES PARA HOY //ESTA EN LA COLA DEL BANCO DE LA NACION //</t>
  </si>
  <si>
    <t>TT CONFIRMA PAGO PPC 400</t>
  </si>
  <si>
    <t>TT CONFIRMA PAGO PPC DE 200</t>
  </si>
  <si>
    <t>TT CONFIRMA PAGO PPC DE 2000//INDICA QUE POR LA TARDE ESTARA REALIZANDO LA CANCELACION //CUENTA CON LOS MEDIOS ECONOMICOS PARA EFECTUARLO//</t>
  </si>
  <si>
    <t>tt confirma para el dia 27/05 de mayo pagar los 150 no debe no ninguna entidad financiera confirma que lo hara por trasnferencia mobil si no logra bajar a la ciudad / se vnaira cuenta bancaria por sms /</t>
  </si>
  <si>
    <t>tt confirma por whatsapp que segunda y ultima cuota pagarà el 31/10, ya que nùmero no recibe llamadas por encontrarse de viaje de manera constante</t>
  </si>
  <si>
    <t>TT CONFIRMA PPC X500 , INDICA REALIZAR ABONO EN CTA BCP</t>
  </si>
  <si>
    <t>tt confirma que cancelarà deuda hoy con S/.500. Autorizado por Mariangela Piña</t>
  </si>
  <si>
    <t xml:space="preserve">tt confirma que el pago para el dia de mañana, ya tiene el dinero en mano , </t>
  </si>
  <si>
    <t>se le ofrecio campaña de 800 soles,</t>
  </si>
  <si>
    <t xml:space="preserve">31 años </t>
  </si>
  <si>
    <t>MUNICIPALIDAD DISTRITAL HUACULLANI</t>
  </si>
  <si>
    <t xml:space="preserve">sin hijos </t>
  </si>
  <si>
    <t>TT CONFIRMA QUE MAÑANA POR LA MAÑANA REALIZARÀ EL PAGO, YA QUE LE CONFIMARON EL PRÈSTAMO QUE SOLICITÒ//SE MENCIONA QUE DE INCUMPLIR SE LE ESTARÌA HACIENDO EL COBRO DEL 10% DE PENALIDAD DE LA DEUDA TOTAL Y SIN BENEFICIO A FUTURO.</t>
  </si>
  <si>
    <t>DT S/.3246</t>
  </si>
  <si>
    <t>DK S/.1615</t>
  </si>
  <si>
    <t>CAMPAÑA S/.1615</t>
  </si>
  <si>
    <t>TT DICE QUE RECIBIRÀ UN PRESTAMO PARA LA SIGUIENTE SEMANA, SI LE APRUEBAN CANCELA LA DEUDA</t>
  </si>
  <si>
    <t>28 AÑOS//TRABAJA EN CORTE SUPERIOR DE JUSTICIA DE CAJAMARCA//ACTIVO EN ESSALUD//NO TIENE MAS DEUDAS</t>
  </si>
  <si>
    <t xml:space="preserve">TT CONFIRMA QUE PUEDE ABONAR EL SABADO 25/01  SE REPROGRAMA PARA ESA FECHA </t>
  </si>
  <si>
    <t>PPC DE 383</t>
  </si>
  <si>
    <t>TT CONFIRMA QUE SI CANCELARA LOS 310 SOLES FALTANTES PARA SU CANCELACIÒN  //</t>
  </si>
  <si>
    <t>TT CONFIRMA QUE SI HARA EL ABONO DE LOS 1 MIL SOLES / SE LLAMARA A LAS 10 AM</t>
  </si>
  <si>
    <t>TT confirma que ya le confirmaron en su trabajo que si le pagarn  , se solicita excepcion a gerencia  , aprobado por JULIO los 1,743 al 10/10  .</t>
  </si>
  <si>
    <t>TT CONFIRMA REALIZAR EL PAGO EL VIERNES 04/10</t>
  </si>
  <si>
    <t>TT confirma realizar la cancelaciòn y enviarà por whatsapp nùmero para que se le envìe la carta de no adeudo una vez realizado el pago</t>
  </si>
  <si>
    <t>tt confirma realizar pago de cancelaciòn S/.400 en Cedrinka//enviarà voucher al whatsapp</t>
  </si>
  <si>
    <t xml:space="preserve">tt confirma realizar pago el dia de mañana 03/01 el importe de s/.163 por la tarde//terminando de cancelar con ese importe la deuda </t>
  </si>
  <si>
    <t xml:space="preserve">tt confirma recepción de correo, confirma acuerdo para cancelar con el importe de s/4200. Realizará el abono de s/2000 para el día de mañana y el saldo restante de s/ 200 para fin de mes.    </t>
  </si>
  <si>
    <t>TT CONFIRMA SU CANCELACION DE 1700 - EXCEPCION APROBADA POR JULIO HIGA</t>
  </si>
  <si>
    <t xml:space="preserve">TT CONFIRMA SU CANCELACION EL 09/12  MONTO 245 </t>
  </si>
  <si>
    <t>tt confirma su pago , esta trabajando  independientemente , DT 1400 ACUERD 960  , el 16 cancelara 960  927708615</t>
  </si>
  <si>
    <t xml:space="preserve">TT CONFIRMA SU PAGO DE 1000 MIL SOLES PARA EL DIA 11/12 // AUTORIZADO POR JULIO / </t>
  </si>
  <si>
    <t>TT CONFIRMA VIA WHATSAPP LA CANCELACION CON EL IMPORTE DE S/2500.00 EL DIA 13/03/2020 // CORP 16</t>
  </si>
  <si>
    <t>TT CONFIRMAR CANCELACION 31/08</t>
  </si>
  <si>
    <t>tt contesta el corporativo indicando que la persona que le esta prestando el dinero para completar es su hija y que esta muy ocupada en su mudanza indica que sin falta estaria abonando el dia de mañana 14/02/20</t>
  </si>
  <si>
    <t>TT contesta se le indico de la deuda, no se le i¡dio importes ya que indico que estaba a la espera de una respuesta, CONFIRMO CANCELACION CON EL IMPORTE DE 200.00 (excepcion aprobada) HASTA EL DIA 15/05/2020, SOLICITA NUMERO DE CUENTAS.</t>
  </si>
  <si>
    <t>tt contesto la llamada del coorp 18 e indica que el dia de hoy se estaria hacercando a realizar el pago a las 4pm</t>
  </si>
  <si>
    <t>tt cponfirma su cancelacion para mñn monto 250  969509520</t>
  </si>
  <si>
    <t>TT de la 3er edad 53 años  Campaña S/960 se enviara informacion al correo nalvarado_bravo7@hotmail.com. y CCI por que sera tranasferencia de scotiabank</t>
  </si>
  <si>
    <t xml:space="preserve">tt dejo de pagar porque se fue de viaje ( fue cortante en eso) deuda total: 1400 kapital de 1000 campñaña de 950 soles. nos menciona que podra pagar en 2 cuotas de 475 soles cada una . asi llegara al monto de 950 soles. search : 26 años, no tiene deudas, no tiene trabajo bajo planilla, el 13/ 01 abonara la 1era cuota.. </t>
  </si>
  <si>
    <t>TT DIC PAGARA FON DE MES</t>
  </si>
  <si>
    <t>TT DICE ES PESCADOR   SELE INDICA  CAMPAÑA 121 FECHA LIMITE 23/11 T DICE PAGARA EL DIA 23/11</t>
  </si>
  <si>
    <t>tt dice estar con covid no ha podido salir su esposo maximo mañana pagara</t>
  </si>
  <si>
    <t>tt dice no cuenta con trabajo , le ofrecimos la campaña unica de cancelacion de S/.205 asi este libre en el sistema financiero,se comprometio a conseguir el dinero para el 13 de diciembre</t>
  </si>
  <si>
    <t>TT DICE PRESTAMO ERA PARA UNA PRIMA DT 970 CAMPAÑA 650 FECHA LIMITE 15/11  TT DICE PAGARA EL 14/11 2PM</t>
  </si>
  <si>
    <t>TT DICE QUE LE MES PASADO NO/LEPAGARON PERO QUE YA MAÑANA LE PAGAN PIDE PLAZO HASTA EL 18/10  PPC DE 670</t>
  </si>
  <si>
    <t xml:space="preserve">TT DICE QUE MANDO A SU HIJO A CANCELAR  LOS 80  QUE QUEDABA PENDIENTE // NO BRINDA # AUDIO EN MI CELULAR  </t>
  </si>
  <si>
    <t>TT DICE QUE MAÑANA SE ACERCARA A FINANCIERA OH A PREGUNTAR PARA SABER DSI ERXPERTIS TIENE PROPIEDAD DE SU DEUDA Y LUEGO DE ELLO HARA PAGO DE ULTIMA CUOTA DE 154</t>
  </si>
  <si>
    <t>tt dice que no pudo cancelar en la fecha porque al momento no le han pagado pero cancelara hasta el 29/02</t>
  </si>
  <si>
    <t>TT DICE QUE NO TIENE TIEMPO PARA PODER CANCELAR HOY Y LO ESTARIA REALIZANDO HASTA EL MIERCOLES.</t>
  </si>
  <si>
    <t xml:space="preserve">TT DICE QUE PAGARA CON SEGURIDAD SI ES QUE PUEDE HACERLO ANTES LO HARA . CLIENTE EN SEGUIMIENTO // ASIGNADO . MP </t>
  </si>
  <si>
    <t xml:space="preserve">TT DICE QUE PAGARA LA 15/09  Y LA DIFERENCIA A FIN DE MES // SISTEMA </t>
  </si>
  <si>
    <t xml:space="preserve">tt dice que recibira un dinero de un trabajito </t>
  </si>
  <si>
    <t xml:space="preserve">TT DICE QUE RECIBIRA UN PRESETAMO HIPOTECARIO ENTRE EL 17 Y 18 DE DICIENBRE DICE QUE LE DEN DE PLAZO HASTA EL 20-12 PARA CANCELAR CON CAMPAÑA 5310 </t>
  </si>
  <si>
    <t>TT DICE QUE TUVO PROBLEMAS CON SUS PAGOS Y POR ESO NO PUDO CANCELAR. // DICE QUE LE ENVIARON UN MENSAJE DE TEXTO CON EL MONTON DE 220 SOLES PARA CANCELAR.</t>
  </si>
  <si>
    <t>TT DICE QUE VA REALIZAR EL PAGO HASTA EL DIA VIERNES QUE LLEGA DE VIAJE Y ESTARIA CANCELANDO A LAS 2PM POR LOS 1500 CON CAMPAÑA.</t>
  </si>
  <si>
    <t>TT DT 16500 DC2700, TT SE ACEPTA PROPUESTA DE CANCELSCION 2000 SOLES 27/03, SE ELEVO ACEPCION ,ACEPTADA POR MELINA /  TTI ANTES MANDO MSJ AL CEL 9 / SE MANDARA MSJ CN DETALLE DEL COMPROMISO</t>
  </si>
  <si>
    <t>TT DT 1800 CAMPAÑA 599 TT DICE CANCELARA PPC EL 16-12 EN LA TARDE, TT DESEA  CARTA DE NO ADEUDO EN FISICO(NO CARGA BARRA DE TIPIFICACION)</t>
  </si>
  <si>
    <t>TT DT 1800 CAMPAÑA 599 TT DICE CANCELARA PPC EL 16-12 EN LA TARDE, TT DESEA RECOGER CARTA DE NO ADEUDO</t>
  </si>
  <si>
    <t xml:space="preserve">tt dt 2700dc900 tIt cancelara con 700 soles el 30/03  ya antes abono 1 cuotas de 320 fin de mes / 30 años 2 entidades no sales trabajo actual / expecion aprobada cn mariangela </t>
  </si>
  <si>
    <t>TT DT1100 DK500 DC 500 TIT   DIC CANCELA 500 SOLES HAST EL 15/05 ,ANTES NO PODER YA Q ESTA EN PLENO VISJE  LLEGA EL MIRCOLS/33 AÑOS /NO SALE DEUDA/ NO SALE TRABAJO SUSTENTO D9C YA INE DINERO DE SU ESPOSA TIENE DINERO EN CREDINKA /DISCADOR</t>
  </si>
  <si>
    <t>TT DT3300 DK3300 DK 2900 TIENE 71 AÑOS SI YRABAJA , DEBE 4 ENTIDADES ,TIENE ECEPCION APGBADA EL 27/01 MES PASADO ABONO 600 Y ESTE MES CANELSCN CN 600 SOLES MASEL 11/02  // CL ASIGNADO X MARIANGELA</t>
  </si>
  <si>
    <t xml:space="preserve">tt efectuara el pago de 6 soles el dia de hoy no pudo efectuarlo por que no hay bco pero ni banco de la nacion donde hara la cancelacion pendiente </t>
  </si>
  <si>
    <t xml:space="preserve">tt el dia de hoy efectuara el abono de cancelacion con importe de 400 soles se le indico que solo por hoy aprobado por julio </t>
  </si>
  <si>
    <t>TT ENVÌA COMPROBANTE DE PAGO DE SU TERCERA CUOTA Y SE HACE COMPROMISO DE SU ULTUIMA CUOTA PARA CANCELAR DEUDA//CONFIRMA PAGAR A MAS TARDAR EL 20/12</t>
  </si>
  <si>
    <t xml:space="preserve">tt envia foto del ultimo pago que hizo el 31/10/2019 de 150, falta el vouche del primeri abono que realizo de 100 soles el 15/10/2019, a base de la campaña que le ofrecieron de 450 soles, cancelo 250 soles, le restarian 200 para pagar, indica que es el monto que cancelara, 31 años, entidades reportadas en search BCP Y MIBANCO, CLIENTE ASIGNADO POR INBOUND, DT 750, campaña 350, pagara para el 31 a las 5 pm </t>
  </si>
  <si>
    <t>tt envìa por whatsapp sms que le llegò para cancele con S/.1045//enviarà comprobante de pago</t>
  </si>
  <si>
    <t>tt envìa sms que le llegò a su celular y confirma realizar pago</t>
  </si>
  <si>
    <t>TT ENVIARÀ COMPROBANTE DE PAGO AL CORPORATIVO</t>
  </si>
  <si>
    <t>TT ENVIO VOUCHER DE MARZO, ESTE MES PAGARA SU ULTIMA CUOTA, IND QUE DEJO EN GARANTIA DOCUMENTOS DE UN PRECIO CONSULTAR ELLO</t>
  </si>
  <si>
    <t>TT ES PENSIONISTA POR ELLO PODRA PAGAR 26/11 YA QUE NO PERCIBE DE OTRO DINERO PARA CANCELAR, SE VUELVE A INGRESAR PDP POR INCIDENCIA DE LA TACITA. ENVIAR ACUERDO POR WSP</t>
  </si>
  <si>
    <t xml:space="preserve">tt esposa responsable </t>
  </si>
  <si>
    <t>KARLA SOLEDAD APARCANA HUETTE 44205877</t>
  </si>
  <si>
    <t xml:space="preserve">955018090 ** WASAP </t>
  </si>
  <si>
    <t>dt 1780</t>
  </si>
  <si>
    <t>mc 160</t>
  </si>
  <si>
    <t xml:space="preserve">tt internadop desde abril, responsableindica que ella se encargara del pago ya que quincena recibira una junta y cancelara ya que su espsoso esta internado , ella pagara el 15 o antes </t>
  </si>
  <si>
    <t>TT esta camino al banco a buscar su bono para pagar por Agente BCP o al IBK campaña 720</t>
  </si>
  <si>
    <t>TT ESTA DE VIAJE , CANCELARA LA DEUDA  , NO TRABAJA ,SACO EL PRESTAMO PARA SUS SUEGROS  LE QUEDARON MAL  TIENE UN AHORRO CON ESO CANCELARA DEUDA DT  1200 ACUERDO 600  EL JUEVES 19/12 CANCELARA 600 SOLES   956161645</t>
  </si>
  <si>
    <t>TT ESTA EN LA OFICINA QUEBRADA / JUDITH MAMANI GUTIERREZ ASESOR DE CREDINKA EL CLIENTE CANCELA LA DEUDA CON 300 SOLES EL DIA DE HOY</t>
  </si>
  <si>
    <t>tt esta mal de salud mañana abonara 50 soles y a fin de mes los 120 soles restantes</t>
  </si>
  <si>
    <t xml:space="preserve">tt esta trabajando  actualmente , tiene intension de pago se comunicaron anteriormente tubo un inconveniente , DT 160 acuerd 130 , cancelara el 16/12  130 soles   969861798 </t>
  </si>
  <si>
    <t>TT ESTARA HACIENDO EL PAGO DE LOS 1100 PARA LA CANCELACION DE SU DEUDA CON NOSOTROS - EXECCION APROBADA POR MARIANGELA</t>
  </si>
  <si>
    <t xml:space="preserve">tt estara haciendo la cancelacion de la deuda el dia de hoy por el bcp por el monto aprobado por Nathaly por 1200 soles excepcion </t>
  </si>
  <si>
    <t xml:space="preserve">TT ESTARIA ABONANDO EL DIA HOY 600 POR EL BANCO INTERBANK  TODO TRAMITE SE GENERO POR WHASAP POR QUE NO CONTESTABA LAS LLAMADAS </t>
  </si>
  <si>
    <t xml:space="preserve">TT ESTARIA PAGANDO 300 SOLES  EL DIA DE HOY POR PROEMPRESA CON SU DNI - APROBADA LA EXCEPCION - LLAMADA CAIDA POR DISCADOR </t>
  </si>
  <si>
    <t>tt estuvo esperando mañana pagar sn falta con excepcion de julio</t>
  </si>
  <si>
    <t>TT FINALIZARA SU CRONOGRAMA DE PAGO , EL DIA 30 DE ENERO POR 160 SOLES , LO PAGARA EN INTERBANK , SE ENVIA SMS , WSP DE CONFIRMACION DE Pago - ASIGNADO POR MAYRA LLIMPE</t>
  </si>
  <si>
    <t>TT GENERA PPC  CON EL IMPORTE DE 370 PARA EL 28/11</t>
  </si>
  <si>
    <t>TT GENERA PPC  CON EL IMPORTE DE 370 PARA EL 30/11</t>
  </si>
  <si>
    <t xml:space="preserve">TT GENERA PPC CON EL IMPORTE DE 200SOLES HOY 03/12 </t>
  </si>
  <si>
    <t>TT GERARDO INDICA QUE SU PAPA YA VIAJO A CHILE Y QUE AUN EN 1 DE OCT ESTARA ENVIANDO DINERO PARA LA CANCELACION D ELA DEUDA HIJO</t>
  </si>
  <si>
    <t>tt habia propuesto pagar 300 soles pero logro conseguirse 150 soles mas (450 soles) los pagara por el bcp en piura / autorizado por mayra / la plantilla esta en el tat del dia 27/02/2020</t>
  </si>
  <si>
    <t>TT HACE CANCELACION CON 500 EL 19/09 INBOUD AZUL EXCEPCION APROBADA POR MAYRA</t>
  </si>
  <si>
    <t xml:space="preserve">TT HACE CANCELACION DE DEUDA CON EL IMPORTE DE 1400 EL 14/09 INBOUD AZUL </t>
  </si>
  <si>
    <t>TT HACE CANCELACION DE DEUDA PAGANDO LAS 2 CUOTAS RESTANTES DE 760 CADA UNA.</t>
  </si>
  <si>
    <t>TT HACE CANCELACION DE DEUDA TOTAL CON EL IMPORTE DE 980 EL 30/09 YA QUE HIZO SU PAGO PARCIAL DE 100 EL 13/09 INBOUD BLANCO</t>
  </si>
  <si>
    <t xml:space="preserve">TT HACE CANCELACION TOTAL CON 270 EL 23/09 </t>
  </si>
  <si>
    <t>TT HACE PAGO PARCIAL DE 100 EL 23/09</t>
  </si>
  <si>
    <t xml:space="preserve">TT HACE PPC DE 500 PARA EL 28/11 YA QUE PARA ESA FECHA  SU ESPOSO COBRA SU SUELDO. LLAMADA HECHA DESDE EL DISCADOR </t>
  </si>
  <si>
    <t xml:space="preserve">TT HACE PPC EN BASE A MIN2 620 PARA EL 25/11 PARA QUE SE ACTIVE LA CAMPAÑA DE SU CREDITO APROBADO EN CAJA SULLANA DISCADOR </t>
  </si>
  <si>
    <t>TT hará abono parcial de S/ 200.00 el día lunes 09 y diferencia de S/ 690.00 lo hará a más tardar a fin de mes. Va a solicitar que le adelanten el pago de sueldo para realizar estos pagos. 973900102</t>
  </si>
  <si>
    <t>TT HARÀ CANCELACIÒN CON S/.212 PARA EL DIA MIERCOLES 28/08</t>
  </si>
  <si>
    <t xml:space="preserve">TT HARA CANCELACION DE DEUDA TOTAL CON 140 EL 12/09 SE LLAMO POR EL DISCADOR </t>
  </si>
  <si>
    <t>TT HARA DEPOSITO  DE 100 EL DIA 9SET. SOLES Y LUEGO LOS 300 SOLES</t>
  </si>
  <si>
    <t>tt hara el pago dentro de 2 horas aprox.</t>
  </si>
  <si>
    <t xml:space="preserve">TT HARA LA CANCELACION CON EL IMPORTE DE 500 SOLES EL DIA 15/04. </t>
  </si>
  <si>
    <t>(EXCEPCION APROBADA)</t>
  </si>
  <si>
    <t xml:space="preserve">TT HARA LACANCELACIOM DE LA DEUDA CON EL IMPORTE DE 445 SOLES // ABONARA 100 SOLES Y LO RESTANTE EL DIA 20/09. </t>
  </si>
  <si>
    <t>TT HARA PAGO  PPC 500</t>
  </si>
  <si>
    <t>TT HARA PAGO DE 300 LUNES 21/10 Y 290 A FIN DE MES //BRINDO NRO ADICIONAL 936930475</t>
  </si>
  <si>
    <t xml:space="preserve">TT HARA PAGO DE RESTANTE POR 300 SOLES A FIN DE MES </t>
  </si>
  <si>
    <t>TT HARA PAGO LUNES 21/10</t>
  </si>
  <si>
    <t>TT HARA PAGO PAR 75</t>
  </si>
  <si>
    <t xml:space="preserve">tt hara pago por 3200//previo abono de 2000 hoy 18/11 y restante a fin de mes </t>
  </si>
  <si>
    <t>TT HARA PAGO PPC //POR MOTIVOS DE TRANSPORTE NO PUDO EFECTUAR EL PAGO //</t>
  </si>
  <si>
    <t>TT HARA PAGO PPC 100</t>
  </si>
  <si>
    <t xml:space="preserve">TT HARA PAGO PPC 100//DISCADOR </t>
  </si>
  <si>
    <t>TT HARA PAGO PPC 1000</t>
  </si>
  <si>
    <t xml:space="preserve">TT HARA PAGO PPC 1500//DISCADOR </t>
  </si>
  <si>
    <t>TT HARA PAGO PPC 160</t>
  </si>
  <si>
    <t xml:space="preserve">TT HARA PAGO PPC 1769 //DICE QUE PAGARA TOTALIDAD //NO SE ESCUCHA MUY SEGURA </t>
  </si>
  <si>
    <t>TT HARA PAGO PPC 198</t>
  </si>
  <si>
    <t>TT HARA PAGO PPC 250</t>
  </si>
  <si>
    <t>TT HARA PAGO PPC 277</t>
  </si>
  <si>
    <t xml:space="preserve">TT HARA PAGO PPC 279//DISCADOR </t>
  </si>
  <si>
    <t xml:space="preserve">TT HARA PAGO PPC 28/8 POR LA TARDE </t>
  </si>
  <si>
    <t xml:space="preserve">TT HARA PAGO PPC 2800//DISCADOR </t>
  </si>
  <si>
    <t>TT HARA PAGO PPC 29/8</t>
  </si>
  <si>
    <t xml:space="preserve">TT HARA PAGO PPC 300//DISCADOR </t>
  </si>
  <si>
    <t>TT HARA PAGO PPC 300//EN EL MES PASADO NO LE BRINDARON INFORMACION DE DONDE REALIZAR EL PAGO</t>
  </si>
  <si>
    <t>TT HARA PAGO PPC 300//INDICO QUE NO PUDO REALIZARLO TUVO UN ACCIDENTE DISCADOR///</t>
  </si>
  <si>
    <t>TT HARA PAGO PPC 350</t>
  </si>
  <si>
    <t xml:space="preserve">TT HARA PAGO PPC 360//DISCADOR </t>
  </si>
  <si>
    <t>TT HARA PAGO PPC 370</t>
  </si>
  <si>
    <t>TT HARA PAGO PPC 380//DISCADOR</t>
  </si>
  <si>
    <t>TT HARA PAGO PPC 388/</t>
  </si>
  <si>
    <t>TT HARA PAGO PPC 400</t>
  </si>
  <si>
    <t xml:space="preserve">TT HARA PAGO PPC 400//POR MOTIVOS DE TRANSPORTE NO PUDO REALIZAR EL PAGO </t>
  </si>
  <si>
    <t>TT HARA PAGO PPC 416</t>
  </si>
  <si>
    <t xml:space="preserve">TT HARA PAGO PPC 450//DISCADOR </t>
  </si>
  <si>
    <t>TT HARA PAGO PPC 500</t>
  </si>
  <si>
    <t>TT HARA PAGO PPC 500///INBOUND</t>
  </si>
  <si>
    <t xml:space="preserve">TT HARA PAGO PPC 550//DISCADOR </t>
  </si>
  <si>
    <t>TT HARA PAGO PPC 5600///</t>
  </si>
  <si>
    <t>TT HARA PAGO PPC 580</t>
  </si>
  <si>
    <t>TT HARA PAGO PPC 595</t>
  </si>
  <si>
    <t>TT HARA PAGO PPC 690</t>
  </si>
  <si>
    <t xml:space="preserve">TT HARA PAGO PPC 750 </t>
  </si>
  <si>
    <t>TT HARA PAGO PPC 750//</t>
  </si>
  <si>
    <t xml:space="preserve">TT HARA PAGO PPC 770//DISCADOR </t>
  </si>
  <si>
    <t xml:space="preserve">TT HARA PAGO PPC 780//DISCADOR </t>
  </si>
  <si>
    <t>TT HARA PAGO PPC 850</t>
  </si>
  <si>
    <t>TT HARA PAGO PPC 864</t>
  </si>
  <si>
    <t>TT HARA PAGO PPC 900//PREVIO ABONO DE 150 SABADO 16/11</t>
  </si>
  <si>
    <t>TT HARA PAGO PPC 954</t>
  </si>
  <si>
    <t>TT HARA PAGO PPC EL DIA LUNES 30/9</t>
  </si>
  <si>
    <t>TT HARA PAGO PPC SABADO 1000//</t>
  </si>
  <si>
    <t>TT HARA PAGO PPC SEGUN CAMPAÑA DE DESCUENTO 909</t>
  </si>
  <si>
    <t>TT HARA PAGO PPC331//</t>
  </si>
  <si>
    <t>tt hizo abono de 1400///restando 310 para liquidar deuda //aprobado por mayra //</t>
  </si>
  <si>
    <t>TT HIZO EL ABONO DE 1000 SOLES Y A LAS 5:30 ESTARIA EFECTUANDO SU PAGO DE LOS 1600 PARA LA CANCELACION DE SU DEUDA  a.oyala@cajasullana.pe a ese correo desea que se le envie su carta de no adeudo.</t>
  </si>
  <si>
    <t xml:space="preserve">TT HIZO EL ABONO DE LOS 200 SOLES Y EL RESTANTE DE LOS 4800 A FIN DE MES  SE LE ESTA SUBIENDO LOS MISMOS AUDIOS YA QUE YA SE LE GENERO UN COMPROMISO INDICAR QUE ESTARA HACIENDO ABONOS SEMALES O ENTRE SEMANA Y NOS AVISARA </t>
  </si>
  <si>
    <t xml:space="preserve">TT HOY ABONARA 200 SOLES Y EN CASO LOGRA REUNIR MAS CANCELARA O MAXIMO HSTA FIN DE MES LO REALIZARA - </t>
  </si>
  <si>
    <t>tt hoy abonara 210 y la diferencia de 390 soles hasta el 20/12</t>
  </si>
  <si>
    <t>tt hoy pagara s/50 y fin de mes s/130 se le envio numero de cuenta BCP ya quye la persona que le prestara el dinero le dijo que por el momento no le puede prestar todo.</t>
  </si>
  <si>
    <t>cel N°19</t>
  </si>
  <si>
    <t>TT HOY SI HARA PGO</t>
  </si>
  <si>
    <t xml:space="preserve">tt idnica que peude cancelar deuda con el monto 688 soles </t>
  </si>
  <si>
    <t>tt inbound cancela hoy 10-12 1000 soles y mañana 11-12 300 soles en Caja Arequipa</t>
  </si>
  <si>
    <t>TT IND QUE CANCELARA MAXIMO EL JUEVES</t>
  </si>
  <si>
    <t xml:space="preserve">tt ind que como maximo can mañana se detallo que solo tiene este mes para cancelar con capital de lo contrario pagara la totalidad </t>
  </si>
  <si>
    <t>tt ind que esta trabjando hasta fin de mes puede cancelar deuda con dscto enviar carta via wsp</t>
  </si>
  <si>
    <t>dt: 4800</t>
  </si>
  <si>
    <t>campaña: 540</t>
  </si>
  <si>
    <t>tt ind que ind que pagara el lunes sin falta</t>
  </si>
  <si>
    <t>TT IND QUE LE LLEGO ENVIO SMS CON DSCTO DE 2524.30, CAN DEUDA EL LUNES ENVIAR ACUERDO DE CAN VIA WSP, MOVIL CORPORATIVO</t>
  </si>
  <si>
    <t>TT IND QUE LLEGO SMS DE DSCTO 975 SE CONSULTA CON SANDY CONFIRMA, ENVIAR NRO CTA IBK</t>
  </si>
  <si>
    <t xml:space="preserve">ENVIAR CARTA WSP 959 432 181 </t>
  </si>
  <si>
    <t>DT: 1,650</t>
  </si>
  <si>
    <t>CAMPAÑA: 1357</t>
  </si>
  <si>
    <t>DSCTO SMS: 975</t>
  </si>
  <si>
    <t>tt ind que pagara maximo mañana se ind que solo x este mes se le brindara el dscto, se fue la ficha en discador</t>
  </si>
  <si>
    <t>tt ind que recibira su pago maximo el martes, por ello aun no pudo pagar</t>
  </si>
  <si>
    <t>TT INDCIA QUE ALA 1 PM ESTA ACERCANDOCE A PAGAR 300 SOLE S</t>
  </si>
  <si>
    <t>TT INDIC QUE NO PUDO PAGAR //</t>
  </si>
  <si>
    <t>HOY PAGARA 150 Y EL 30 LO RESTANTE .</t>
  </si>
  <si>
    <t>TT INDICA  QUE CANCELARA CAMPAÑA  840 EN DOS PARTES  PAGA HOY 9-12  700 Y LA DIFERENCIA DE 140 EL 13-12</t>
  </si>
  <si>
    <t>TT INDICA  QUE POR MOTIVOS LABORALES AUN NO PUEDE LLEGAR A LA CIUDAD */ LUGAR DONDE SE ENCUENTRA NO HAY AGENTES NI BANCOS</t>
  </si>
  <si>
    <t xml:space="preserve">tt indica cancelacion de la deuda el dia viernes 08/05 por mismo credinka nos envia el voucher por el medio de whasap /excepcion aprobada por Julio </t>
  </si>
  <si>
    <t xml:space="preserve">TT INDICA CANCELACION DE LOS 4000 SOLES POR BCP NOS ENVIARA EL COMPROBANTE COMPROMISO SE GENERO POR CELULAR Y COMUNICACION POR WHASAP </t>
  </si>
  <si>
    <t>TT INDICA CANCELACION POR S/500 Y EL PROXIMO MES HARA CANCEALCION DE OTRA CUENTA PENDIENTE CON ALTERNATIVA</t>
  </si>
  <si>
    <t xml:space="preserve">TT INDICA CANCELAR CON EL MONTO DE CAMPAÑA </t>
  </si>
  <si>
    <t xml:space="preserve">TT INDICA CANCELARA A MAS TARDAR EL DIA 24/01 POR MOTIVOS DE PAGO // </t>
  </si>
  <si>
    <t>SE VUELVE ENVIAR INF A WHATS</t>
  </si>
  <si>
    <t>TT INDICA CANCELARA CON CAMPAÑA 190 FECHA LIMITE 15/11</t>
  </si>
  <si>
    <t xml:space="preserve">TT INDICA CANCELARA DEUDA  CON CAMPAÑA 1160 EL DIA 28-12 </t>
  </si>
  <si>
    <t>TT INDICA CANCELARA DEUDA CON CAMPAÑA 1000 EL DIA 11/11</t>
  </si>
  <si>
    <t>TT INDICA CANCELARA DEUDA CON CAMPAÑA 430 EL DIA 26/11 A LAS 2 PM</t>
  </si>
  <si>
    <t>TT INDICA CANCELARA MAÑANA A LAS 4 PM YA QUE HIJA RECIEN BRINDARA PRESTAMO DE DINERO, VENDRA A OFICINA POR CARTA DE NO ADEUDA, SE INDICA PLAZO DE DOCUMENTO.</t>
  </si>
  <si>
    <t>TT INDICA ESTA DE VIAJE POR MOTIVOS DE TRABAJO Y GENERA ABONO EL SABADO APENAS LLEGUE DE IMPORTE RESTANTE</t>
  </si>
  <si>
    <t>PPC 2500</t>
  </si>
  <si>
    <t>TT INDICA LLEGO MENSAJE DE TEXTO CANCELARA EL DIA DE HOY</t>
  </si>
  <si>
    <t>TT INDICA NO RECIBIO PAGO `POR LOS CUAL GENERA CANCELACION EL 29/10</t>
  </si>
  <si>
    <t>tt indica ppc 190 soles dia 6/12</t>
  </si>
  <si>
    <t xml:space="preserve">tt indica q el 28-12 hara la cancelacion con 4700 soles , se reprograma compromiso , enviara voucher </t>
  </si>
  <si>
    <t xml:space="preserve">tt indica q su comadre no le envio el dinero pero le confirmo que mañana sin falta le esta enviando y lo pagara 3:00pm sin falta , monto de 5000 soles en cancelacion </t>
  </si>
  <si>
    <t xml:space="preserve">tt indica q su tia tuvo inconveniente e indica que mañana 12-12 sin falta pagara los 1200 soles restantes 9:00am en credinka , vll a esa hora pra confirmar </t>
  </si>
  <si>
    <t xml:space="preserve">TT INDICA QU PAGARA SU DEUDA  CON 1100 SOLES ACEPTA CAMPAÑA </t>
  </si>
  <si>
    <t>TT INDICA QU SE ACERCARA EL DIA DE HOY  ALAS 3 PM A PAGAR LOS 300 EL CREDINKA LE INFORMAEON QUE LA CARTA NO DEDOR SE LE HACE LLEGAR INMEDIATO AL TT/ INDICA HOY HABLARA CON EL GERENTE D EL AGENCIA.</t>
  </si>
  <si>
    <t xml:space="preserve">TT INDICA QUE  A ESTADO EN ESPAÑA Y QUE INDICO QUE EN EL SOLO PAGARIA LA CAPITAL POR LO SE LE OTORGO SU DT/23,200.00  Y SE LE DIO EL MINI2 5700 PARA LA CANCELACION NOS INDICA QUE ESTARA ABONANDO EL DIA JUEVES  12 POR MISMO CREDINKA </t>
  </si>
  <si>
    <t>tt indica que  si esta interasada en la cancelacion , le depositaran , DT 700 ACUERD 500 , cancelara el 14 /12 , VLL y SE MANDARA INF VIA MENSAJE 947776718</t>
  </si>
  <si>
    <t xml:space="preserve">TT INDICA QUE A FIN DE MES ESTARIA CANCELANDO LA deuda de  Mini1 460 por la DT/700 SOLES - SE FUE EL DISCADOR </t>
  </si>
  <si>
    <t xml:space="preserve">tt indica que accederá a la campaña de 420 el día 16/04. </t>
  </si>
  <si>
    <t>TT indica que alrededor de la 1:30pm estaría haciendo abono para cancelar.</t>
  </si>
  <si>
    <t>DT: 1,600</t>
  </si>
  <si>
    <t>DC: 2,600</t>
  </si>
  <si>
    <t>tt indica que anteriormente no pago porque habia cancelado pero que no tiene niguna prueba o documento, realizara la cancelacion con el importe de 90,00 hasta el dia 25/05/2020, solicita que se le envien las cuentas</t>
  </si>
  <si>
    <t xml:space="preserve">TT INDICA QUE ANTES DEL 25/10 ESTA PAGANDO LA DEUDA // 950.00 / </t>
  </si>
  <si>
    <t xml:space="preserve">TT INDICA QUE AYER NO ENCONTRO A  LA FINANCIERA A TIEMPO HOY HARA EL PAGO CON SEGURIDAD  . AUDIO MI CELULAR PERSONAL . </t>
  </si>
  <si>
    <t xml:space="preserve">TT INDICA QUE AYER SE LE HIZO TARDE Y NO LOGRO REALIZAR DEPOSITO, HOY GENERA DEPOSITO DE 100SOLES PARA LA CANCELACION TOTAL DE LA DEUDA ENVIARA COMPROBANTE DE PAGO </t>
  </si>
  <si>
    <t>TT INDICA QUE CANCELARA COMO ADELANTO DE 50 SOLES Y EL RESTO EL 27 DE SET.</t>
  </si>
  <si>
    <t>TT INDICA QUE CANCELARA CON CAMPAÑA 650 A MAS TARDAR EL DIA 14-12 PERO EL PAGO LO PODRIA HACER EL 12-12 O EL 13-12 LLAMR EL JUEVES 12-12  9 AM PARA CONFIRMAR</t>
  </si>
  <si>
    <t>TT INDICA QUE CANCELARA CON CAMPAÑA 735 EL DIA 7/12(SE ME FUE LA FICHA)</t>
  </si>
  <si>
    <t xml:space="preserve">TT INDICA QUE CANCELARA CON CAMPAÑA DE 200 SOLES COMO LIQUIDACION // SE ENVIARA SMS </t>
  </si>
  <si>
    <t>TT indica que cancelara con el importe de los 10mil y va camino al banco nos encontramos a la espera de su voucher de pago</t>
  </si>
  <si>
    <t>tt indica que cancelara con excepcion 1800 el dia 26-12 en la tarde</t>
  </si>
  <si>
    <t>TT INDICA QUE CANCELARA CON EXCEPCION DE 250 EL DIA DE MAÑANA 16-1</t>
  </si>
  <si>
    <t xml:space="preserve">TT INDICA QUE CANCELARA DEUDA EL DIA </t>
  </si>
  <si>
    <t>TT INDICA QUE CANCELARA DEUDA EL DIA  18/11 CON EXCEPCION DE 700</t>
  </si>
  <si>
    <t xml:space="preserve">TT INDICA QUE CANCELARA DEUDA SABADO </t>
  </si>
  <si>
    <t>TT INDICA QUE CANCELARA EL 27/01/20 EL IMPORTE DE 1280 SOLES, HIJA SEÑORA PAULA PIDE SE ENVIE DIRECCION DE OFINA MEDIANTE WHATSAPP Y DOCUMENTO DE ACUERDO DE CANCELACION YA QUE TIENE DUDAS, ABONARA EN QAPAQ</t>
  </si>
  <si>
    <t>TT INDICA QUE CANCELARA MAÑANA 170 SOLES ///DEBIDO A QUE NO TENIA EMPLEO NO PUDO CANCELAR //LLAMADA MANUAL</t>
  </si>
  <si>
    <t xml:space="preserve">tt indica que credito fue para oyra persona pero quiere cancelar deuda tt genera ppc con el importe de 310 para el 27/11 discador </t>
  </si>
  <si>
    <t>TT indica que debido a la coyuntura actual (Coronavirus) y el mandato aislamiento social del presidente, recién estaría haciendo el pago para fin de mes o primera semana de abril porque no saldrá a exponerse.</t>
  </si>
  <si>
    <t>Se le ofrece opción a que haga el pago a través de una aplicación y dice que ella tiene el dinero en efectivo.</t>
  </si>
  <si>
    <t>Se reprograma para nueva fecha.</t>
  </si>
  <si>
    <t>TT INDICA QUE DEJO DE PAGAR POR QUE UNA DE SUS HIJAS SUFRIO ACCIDENTE. EN LA ACTUALIDAD TIENE INTERES SE BRINDA DT: 980  DC: 590 TT PROPONE PAGAR 450, SE ELEVA EXCEPCION SEÑORA  TIENE 29 AÑOS, NO TRABAJA, TIENE 3 HIJOS MENORES, SU ESPOSO SUSTENTA SUS GASTOS , LA TT CUENTA CON EL DINERO PARA PODER PAGARLO EL LUNES YA QUE SU ESPOSO LE PAGAN Y ES FIN DE MES , SE HACE LLAMADA DE DISCADOR , DE LA BASE MANUAL ,</t>
  </si>
  <si>
    <t xml:space="preserve">TT INDICA QUE DEJO DE TRABAJAR POR PROBLEMAS Y RECIEN A REGRESADO A LABORAR Y SE LE COMPLICO EL PAGO ..... ASI MISMO INDICO QUE YA TIENE FECHA DE PAGO QUE ES EL DIA 18/09. FECHA DONDE LE PAGARAN DE SU TRABAJO Y ESTARA CON SEGURIDAD CANCELANDO  LA DEUDA // (SE HABLO POR  WSP. </t>
  </si>
  <si>
    <t xml:space="preserve">tt indica que desea cancelar la deuda bajo importe de campaña inbout </t>
  </si>
  <si>
    <t xml:space="preserve">TT INDICA QUE DESEA HACER LA CANCELACION CON EL IMPORTE DEL IN 1: 1790SOLES EL DIA 23/12 YA QUE ESE DIA PODRIA COMUNICARSE CON NOSOTROS PARA CUALQUIER TIPO DE ANOMALIA CON LOS ASESORES DE MI BANCO QUE YA LE HAN DICHO QUE NO TIENE DEUDA.   </t>
  </si>
  <si>
    <t>TT INDICA QUE EL 20 DE DICIEMBRE RECIBE PRESTAMO Y QUE LA CANCELACION CON 900 SOLES LA HARIA EL DIA 23-12</t>
  </si>
  <si>
    <t xml:space="preserve">TT INDICA QUE EL CANCELARA LA DEUDA.. SE LE OFRECE 1,900.00 SOLES CANCELACION// </t>
  </si>
  <si>
    <t xml:space="preserve"> EL DIA MARTES 08/10 ESTARA DANDO ADELANTO DE 500 SOLES Y EL DIA 31/10. LO RESTANTE DE 1,400.00 SOLES. </t>
  </si>
  <si>
    <t>TT INDICA QUE EL DIA 20-12 REALIZARA PAGO DE DIFERENCIA DE S/.140 para cancelar deuda</t>
  </si>
  <si>
    <t>TT INDICA QUE EL DIA DE MAÑANA ESTARA REALIZANDO PAGO DE LOS 8,000.00 MIL SOLES YA QUE HOY SE LE HIZO IMPOSIBE ACERCARSE  LA JOYA .. CONFIRMA PAGO PARA MAÑANA 06-09. POR LA TARDE.</t>
  </si>
  <si>
    <t>TT INDICA QUE EL DIA MIERCOLES 11/12/2019 ESTARIA EFECTUANDOI SU PAGO POR CAJA SULLANA</t>
  </si>
  <si>
    <t xml:space="preserve">TT INDICA QUE EL DIA MRTES ESTARA PAGANDO . </t>
  </si>
  <si>
    <t xml:space="preserve">TT INDICA QUE EL LUNES ESTARIA HACIENDO LA CANCELACION DE LA DEUDA CON 370 SOLES POR CAJA SULLANA  </t>
  </si>
  <si>
    <t>TT INDICA QUE EL SABADO ESTARIA EFECTUANDO EL PAGO MINI1 397 SU CANCELACION DE LA DEUDA 30/11/19 938429943</t>
  </si>
  <si>
    <t>tt indica que el viernes se esta llendo a pagar 0los 300 soles a caja sullana para cancelar.</t>
  </si>
  <si>
    <t xml:space="preserve">TT INDICA QUE EN 1  HORA PUEDE HACER SU CANCELACION DE SU DEUDA DE LOS 385 SOLES </t>
  </si>
  <si>
    <t>tt indica QUE EN DOS SEMNAS ARA SU PPC 300</t>
  </si>
  <si>
    <t>TT INDICA QUE EN FIN DE MES PODRA HACER EL ABONO DE 406 SOLES NO PUDO ABONAR POR QUE TUBO UN PERCANCE QUE SI O SI APROVECHARA LA CAMPAÑA DE CANCELACION EN 406 SOLE PPC</t>
  </si>
  <si>
    <t xml:space="preserve">tt indica que esta en veremos todavia el tema de la cancelacion ya que no esta seguro si a el le pagaran a fines o el dia primero de la cual se le indica que si le pagan el 31 en la mañana me haga una llamada dt 2900 dc 234 / tat  </t>
  </si>
  <si>
    <t xml:space="preserve">tt indica que esta esperando su pago ,  en quincena le pagan y el 14 /12 cancelara su deuda monto 300 </t>
  </si>
  <si>
    <t xml:space="preserve">tt indica que está mal de salud y por ese motivo no ha podido llegar a un acuerdo. Realizará pago de 200 el lunes. </t>
  </si>
  <si>
    <t>TT INDICA QUE ESTA MAL Y QUE LO VAN INTERVENIR ESTA SEMANA POR LO QUE INDICA QUE ESTARA ABONANDO ANTES DE LAS FIESTAS</t>
  </si>
  <si>
    <t>tt indica que esta yendo a hace la cancelacion de la deuda con 1100 en estos momentos</t>
  </si>
  <si>
    <t xml:space="preserve">TT INDICA QUE ESTARA ACERCANDO ABONAR CON LO DE LA VENTA DE AUTOMOVIL QUE ESTA REALIZANDO, INDICA ACERCARSE AL BCP A REALIZAR ABONO </t>
  </si>
  <si>
    <t xml:space="preserve">TT indica que estara pagando los 1300 antes de las 2 de la tarde. </t>
  </si>
  <si>
    <t>La promesa se esta agregando el dia de hoy por motivos de falla del servidor  que se realizo el dia 08/11/2019 - Mariangela lo corregira.</t>
  </si>
  <si>
    <t xml:space="preserve">tt indica que estara realizando cancelacion en base a 5mil soels el dia 20 de noviembre , indica que para esa fecha con total seguridad estara pagando el monto total, ya que trabaja en la mina y en esa fecha esta saliendo </t>
  </si>
  <si>
    <t>TT INDICA QUE ESTARA REALIZANDO PPC *300 CON AGUINALDO</t>
  </si>
  <si>
    <t>TT INDICA QUE ESTARA RELAIZANDO PAGO DE 50 SOLES</t>
  </si>
  <si>
    <t xml:space="preserve">TT INDICA QUE ESTARIA ABONANDO EL DIA DE HOY POR LA TARDE 3 DE LA TARDE QUE NOS COMUNIQUEMOS MEDIA HORA ANTES PARA QUE PUEDA CANCELAR Y ENVIARNOS LOS DOCUMENTOS </t>
  </si>
  <si>
    <t xml:space="preserve">TT INDICA QUE ESTARIA CANCELANDO EL ABONO EL DIA VIERNES DE 150 SOLES MISMA CAJA SULLANA </t>
  </si>
  <si>
    <t xml:space="preserve">TT INDICA QUE ESTARIA HACIENDO ABONO DE 500 SOLES PARA LA CANCELACION DE LA DEUDA  EL DIA DE HOY 10/01/2020 POR LA TARDE EXCEPCION APROBADA LO REALIZARA POR INTERBANK </t>
  </si>
  <si>
    <t>TT INDICA QUE ESTARIA HACIENDO LA CANCELACION DE SU DEUDA CON 75 SOLES  EL DIA 13/12/2019 POR MISMA EPYME ALTERNATIVA 979252633</t>
  </si>
  <si>
    <t>TT INDICA QUE ESTARIA REALIZANDO CANCELACION CON 650SOLES EL 21/12 YA QUE PARA ESE ENTONCES YA TENDRIA EL DINERO QUE LE ESTAN PRESTANDO Y  ESE DIA ESTA LLEGANDO A LA CIUDAD DE CAJAMARCA  POR LA TARDE, REALIZARIA DEPOSITO EN UN AGENTE BCP SE ENVIA MENSAJE DE WSP CON NUMERO DE CUENTA LLAMADA RERALIZADA DESDE CEL 17</t>
  </si>
  <si>
    <t xml:space="preserve">tt indica que estaria relizando el deposito de 2000 soles el dia 28/01 indica que si esposible estariamos agendandole un cita para ese dia para pueda vivitarnos a la oficina pasando las elecciones </t>
  </si>
  <si>
    <t>TT INDICA QUE FAMLIAR LE ESTA DEMORANDO EN ENTREGARLE EL DINERO, POR LO QUE EL DIA DE HOY ESTARA HACIENDO UN DEPOSITO DE S/500 Y LA DIFERNCIA LO ABONARA A FIN DE MES</t>
  </si>
  <si>
    <t xml:space="preserve">tt indica que hara abono de 100 21/10 y lo restante a fin de mes </t>
  </si>
  <si>
    <t>tt indica que hara cancelacion con el importe de 1550 el dia 25/11 se cerro acuerdo pero al parecer por un tema de la bateria de su  telefono ahora esta apagado</t>
  </si>
  <si>
    <t>TT INDICA QUE HARA CANCELACION X S/510 EN MISMA AGENCIA DE MI BANCO</t>
  </si>
  <si>
    <t xml:space="preserve">TT INDICA QUE HARA EL ABONO DE 250 SOLES EL DIA 20/12/19 SE LE GENERO EXCEPCION </t>
  </si>
  <si>
    <t xml:space="preserve">tt indica que hara el abono el dia viernes por que a tenido un problema de la cancelacion de los 390 soles se le indica que no se estara cambiando de fecha a cada rato y que se le cobrara una penalidad de 100 soles si incumple esta vez </t>
  </si>
  <si>
    <t xml:space="preserve">TT INDICA QUE HARA PAGO A FIN DE MES DEBIDO A QUE NO ESTABA LABORANDO , RECIEN HA INGRESADO A TRABAJAR </t>
  </si>
  <si>
    <t xml:space="preserve">TT INDICA QUE HARA PAGO PPC 600//SE LE MENCIONA QUE LO REALICE ANTES DE FIN DE MES //HARA LO POSIBLE INDICA //DISCADOR </t>
  </si>
  <si>
    <t xml:space="preserve">TT INDICA QUE HARA PAGO PPC 640//DISCADOR </t>
  </si>
  <si>
    <t xml:space="preserve">TT INDICA QUE HARA PAGO PPC A FIN DE MES //DISCADOR </t>
  </si>
  <si>
    <t>TT INDICA QUE HARA PPC *600 //GRAB X DISCADOR</t>
  </si>
  <si>
    <t>TT INDICA QUE HERMANO SE HARA CARGO DE LA DEUDA // PPC 700//DISCADOR</t>
  </si>
  <si>
    <t xml:space="preserve">TT INDICA QUE HOY ESTARA CANCELANDO CON 800 </t>
  </si>
  <si>
    <t xml:space="preserve">TT INDICA QUE HOY POR LA TARDE SALE DE SU CAMPAMENTO Y EL DIA DE MAÑANA ESTARA LLEGANDO POR LA NOCHE A LA CIUDAD, ABONARA ESTE FIN DE SEMANA </t>
  </si>
  <si>
    <t xml:space="preserve">TT INDICA QUE LA MUNICIPALIDAD SE DEMORA EN PAGAR PERO ENTRE JUEVES Y VIERNES ESTARIA PAGANDO ... SE LE INDICO QUE SE LE GENERARA EL COMPROMISO PARA EL DIA LUNES 09/09. PERO EL DIA VIERNES RECIBE EL PAGO ESTARA ACERCANDOSE A PAGAR LA DEUDA... </t>
  </si>
  <si>
    <t>TT INDICA QUE LA PERSONA QUE LE IBA A BRINDAR EL DINERO AUN NO LE DA RESPUESTA PARA CANCELAR LA OTRA MITAD DE LA CAMPAÑA ACORDADA DE 1715, INDICA QUE HARA TODO LO POSIBLE PARA PODER ABONAR HASTA EL SABADO 29/02 Y HACER LA CANCELACION</t>
  </si>
  <si>
    <t xml:space="preserve">TT INDICA QUE LA SEMANA PASADA NO PUDO GENERAR EL ABONO PORQUE DECLARARON FERIADO LARGO, EL DIA DE MAÑANA ABONARA </t>
  </si>
  <si>
    <t>tt indica que le descontaron en su trabajo por lo que solo mantiene 1700 en mano, solicito ayuda, se elevo a gerencia y nos aprobo el descuento, abonara hoy en interbank</t>
  </si>
  <si>
    <t>TT INDICA QUE LE ESTAN PAGANDO EL AGUINALDO CON LO QUE REALIZARA EL ABONO EN LA FECHA INDICADA, SE LE OFRECE CAMP 1300 DT 3200</t>
  </si>
  <si>
    <t xml:space="preserve">TT INDICA QUE MAANA ESTAR EN ICA , SE LE INDICA QUE PAGUE HOY .. CNFIRM PAGO SE ENVIARA METODO DE PAGO PR WSP . </t>
  </si>
  <si>
    <t xml:space="preserve">TT INDICA QUE MANDARA A SU HIJA ,  CANCELARA DEUDA EL DIA 10/10. 357 SOLES ... </t>
  </si>
  <si>
    <t xml:space="preserve">TT INDICA QUE MAÑANA SE ACERCARA A PAGAR SI O SI </t>
  </si>
  <si>
    <t>TT INDICA QUE NO A PODIDO PAGAR POR QUE LO SACARON DE LA EMPRESA PERO QUE TIENE TODA LA INTENCION DE CANCELACION POR QUE LE INTERESA LA PROMOCION DT / 1600 MINI1 890 CANCELARA EL DIA 14/12/19</t>
  </si>
  <si>
    <t>TT INDICA QUE NO HABIA PODIDO REALIZAR SU PRIMER ABONO POR TEMA DE LLUVIA Y NO ENTRABA NI LA SEÑAL, INDICAQUE EN SU CRONOGRAMA LE PAGARAN EL DIA 26/02/2020 ESE DIA CANCELARA CON 320.00</t>
  </si>
  <si>
    <t xml:space="preserve">tt indica que no le abonaron su remuneración a tiempo // solicita reprogramacion para el dia lunes ; ya que el dia sábado le regularizarán el pago. </t>
  </si>
  <si>
    <t>TT INDICA QUE NO LE ENTREGARON EL CHEQUE QUE TIENE PENDIENTE Y QUE CON SEGURIDAD REALIZARÁ EL PAGO EL DIA 20/09.</t>
  </si>
  <si>
    <t>TT INDICA QUE NO LLEGO ACUMULAR EL DINERO YA QUE TUVO PERCANSES POR QUE SE REPROGRMA HASTA FIN DE MES, EL 27/01 ESTARA ABONANDO 350 Y EL REMANENTE LO CANCELA EL 31/01</t>
  </si>
  <si>
    <t>tt indica que no pago por tema de tiempo, cancela el dia de hoy</t>
  </si>
  <si>
    <t>TT INDICA QUE NO PUDO GENERAR EL ABONO YA QUE NO SE ENCOENTRABA EN AREQUIPA, PIDE SE LE REACTIVE LA LLAMADA PARA CANCELAR EL 5/09 POR LA TARDE, A LAS 4:30PM EN CREDINKA</t>
  </si>
  <si>
    <t xml:space="preserve">TT INDICA QUE NO PUDO PAGAR  PORQUE NO LE PAGARON SU SUELDO // PAGARA ANTES DE FIN DE MS // NO BRINDA 3 HAY AUDIO  </t>
  </si>
  <si>
    <t>TT INDICA QUE NO PUDO PAGAR EL VIERNES PORQUE NO TUVO RESPUESTA DE PAGO... INDICA QUE EL DIA DE HOY FIRMARAN PARA SU PAGO  Y MAÑANA 10/09.. ESTARA  PAGANDO.  (SE RECUERDA QUE TT ESTA A LA  ESPERA DE PAGO DE SU TRABAJO , DINERO QUE YA LE TUVIERON QUE HABER DADO HACE 1 SEMANA. )</t>
  </si>
  <si>
    <t>TT INDICA QUE NO PUDO REALIZAR ABONO , POR LO QUE EL DIA DE AYER SE ESTARA ACERCANDO POR LA TARDE A CREDINKA A REALIZAR CANCELACION.</t>
  </si>
  <si>
    <t>TT INDICA QUE NO PUDO REALIZAR EL ABONO ANTES YA QUE SU MAMA SE ENFERMO Y ESTA CUIDANDOLA, INDICA QUE ESTA VEZ SIN FALTA REALIZARA EL ABONO EL DIA MIERCOLES A LAS 4PM</t>
  </si>
  <si>
    <t>TT INDICA QUE NO PUDO REALIZAR EL ABONO DEBIDO A QUE SE ENCONTRABA MAL DE SALUD, INDICA QUE SIN FALTA HOY AL MEDIO DIA REALIZARA EL PAGO</t>
  </si>
  <si>
    <t xml:space="preserve">tt indica que no pudo realizar el pago por motivos de viaje // se le reprograma pago para el dia de hoy 21/08. // se envía correo con fecha del dia de hoy. </t>
  </si>
  <si>
    <t>tt indica que no saco el prestamo directamente para el, sino para su sobrino y dejo de pagar;indica que no se encuentra trabajando por el tema que esta cuidando a su señora, pero se puede conseguir 500 soles para poder cancelar la deuda, indica que se prestara dinero de un familiar y el resto cobrarle a su sobrino, se le indica DK 400, DT 800, compromiso generado el dia 11/12</t>
  </si>
  <si>
    <t>tt indica que no tenia trabaja y por eso no pago los compromisos, sigue sin trabajo en la actualidad, saco el prestamo para hacer la curacion a su esposa enferma, se indica DT 300, campaña 110, indica que lo cancelara el 15/01 a las 4 pm, indica se va hacer un prestamo de un familiar ya que no trabaja, 27 años, no reporta entidades con deuda.</t>
  </si>
  <si>
    <t xml:space="preserve">TT INDICA QUE PAGARA 1750 A FIN DE MES </t>
  </si>
  <si>
    <t>TT INDICA QUE PAGARA EL DIA LUNES 30/12-LA CAMPAÑA DE DESCUENTO DE 264//DK 1316</t>
  </si>
  <si>
    <t xml:space="preserve">TT INDICA QUE PAGARA LA DEUDA // MDNP : NO LO HIZO PORQUE TENIA PROBLEMAS FAMILIARES DE NO REALIZAR EL PAGO A FIN DE MES  PIERDE LA CAMPÀÑA  Y PAGARA  MAS DEL MINIMO 2 . AUDIO SISTEMA  </t>
  </si>
  <si>
    <t>tt indica que pagara lunes a mas tardar 28/10</t>
  </si>
  <si>
    <t>tt indica que pagara martes 31/12 con el pago de sus haberes importe de 283 soles //dk 1414//</t>
  </si>
  <si>
    <t xml:space="preserve">tt indica que pagara para el 22 ya que no puede bajar al pueblo x los militares q no los dejan salir una vez que pueda bajar realizara el pago se aplazza fecha </t>
  </si>
  <si>
    <t xml:space="preserve">tt indica que por donde se encuentra no hay bancos y que realizará el pago para fin de mes ; ya que bajará a la ciudad. </t>
  </si>
  <si>
    <t>TT INDICA QUE POR FESTIVIDADES NO HAY AGENCIAS ABIERTAS HASTA EL JUEVES//HARA PAGO PPC 200 //LLAMADA MANUAL</t>
  </si>
  <si>
    <t xml:space="preserve">TT INDICA QUE POR FIESTAS NO PUDO REALIZAR DEPOSITO,,, QUE ESTARIA DEPOSITANDO EL IMPORTE DE 50 SOLES Y CON ESO CANCELAR  SU DEUDA DISCADOR </t>
  </si>
  <si>
    <t>TT INDICA QUE POR MOTIVOS DE DEPOSITO DE SU TRABAJO //HARA EL PAGO 31/8</t>
  </si>
  <si>
    <t>TT INDICA QUE POR MOTIVOS DE TIEMPO NO PUDO CUMPLIR EL ACUERDO ANTERIOR //NO LE ENVIARON NUMEROS DE CUENTA ///ELLA TIENE CERCA AGENCIAS DE INTERBANK//SE PROGRAMA PAGO DE 200 SOLES //21/12///</t>
  </si>
  <si>
    <t xml:space="preserve">TT INDICA QUE POR MOTIVOS DE VIAJE NO PUDO GENERAR CANCELACION </t>
  </si>
  <si>
    <t>TT INDICA QUE POR MOTIVOS PERSONALES NO PUDO CANCELAR //HARA PAGO PPC LUNES 28/10// S/. 285</t>
  </si>
  <si>
    <t>tt indica que puede cancelar 1800 soles en 2 partes , se le exige que por lo menos amortice 100 soles el dia de hoy 01/09 tt de acuerdo.</t>
  </si>
  <si>
    <t xml:space="preserve">tt indica que puede pagar el dia 20/01 ya que tendra efectivo para esa fecha ya que cobrara, por fiesta se quedaron ajustados y si se hubieran comuncado antes ya hubiese arreglado, se indica DK 1700, DT 3800, campaña 540, dejo de pagar porque se quedo sin trabajo fijo por eso dejo pagar en la entidades que debia conincide con los dias de atraso en la 3 entidades en el search (RIPLEY, AZTECA,OH), indica que esta laborando independientemente haciendo tesis para graduarse a universitarios, indica que los bancos nunca le dieron facilidad de pago, 34 años </t>
  </si>
  <si>
    <t>tt indica que quiere cancelar campaña 210, DT 300, DK 207, indico que tuvo una discrepancia con su asesora de MIBANCO, indica que solo le faltaba una cuota al final le indicaron que faltaba otra cuota por eso no quizo pagar porque se molesto, saco para negocio de restaurante, se enfermo y ya no pudo trabajar, no trabaja, se conseguira dinero para cancelar ya que estan cobrandole lo justo, indica que no esta en lima, 34 años. entidades reportadasMIBANCO, AZTECA.</t>
  </si>
  <si>
    <t>TT INDICA QUE QUIERE CANCELAR SU DEUDA EL DIA 17 DE ESTE MES DE 75 SOLES DT/182</t>
  </si>
  <si>
    <t>tt indica que quiere hacer el pago el dia 23/12 a las 9 am, se indica DK 380, DT 1000, campaña 350, quiere ser sujeto a credito de nuevo, tenia negocio donde vendia ropa, tt indica que se fue al fracaso,  quiere pagar porque tiene algunos ahorros , va a empezar a trabajar y no quiere tener deudas, para que no le cause problemas.</t>
  </si>
  <si>
    <t>tt indica que quiero 28/12 a las 10 am, DT 1020, campaña 100, quiere cancelar porque quiere sacar mas adelante otra tarjeta, no pago por motivos personales salud, trabaja y cobra mensual, 41 años, saco por compras de la casa la tarjeta, se le envia numero de cuenta recaudadora por whatssap</t>
  </si>
  <si>
    <t>TT INDICA QUE REALIZARA ABONO CON VENTA DE TERRENO,Y SI NO VENDE EL TERRENO ESTARA PAGANDO CON SUELDO QUE RECIBE(TIENE UN MES EN LA EMPRESA -SIN AGUINALDO)SE LE OFRECE CAM S/900 DT 2300 DK 1300</t>
  </si>
  <si>
    <t>TT INDICA QUE REALIZARA CANCELACION  CON EXCEPCION DE 1000 HOY 10-1</t>
  </si>
  <si>
    <t>TT indica que realizara cancelacion de 2000 soles dando el dia de hoy o mañana 100 soles y 1900 fin de mes</t>
  </si>
  <si>
    <t>TT INDICA QUE REALIZARA CANCELACION DE SU DEUDA CON EL IMPORTE DE 1700 ABONANDO EL 6/12 EL IMPORTE DE 1300SOLES  Y EL RESTANTE 400SOLES EL DIA 16/12 LLAMADA DESDE CEL 17</t>
  </si>
  <si>
    <t>TT INDICA QUE REALIZARA CANCELACION DE SU DEUDA CON EL IMPORTE DE 2000SOLES EL DIA 15/01, SOLICITA QUE LE AGENDEMOS UNA CITA PREVIA AL PAGO, PARA QUE SE CERCIORE DE LA VERACIDAD DE LA EMPRESA ENVIAREMOS DISRECCION E INFORMACION POR WSP PARA QUE NOS CONFIRME EL DIA EXACTO EN EL QUE NOS VISITARA</t>
  </si>
  <si>
    <t xml:space="preserve">tt indica que realizará cancelación el dia miercoles </t>
  </si>
  <si>
    <t xml:space="preserve">tt indica que realizará el pago de los s/ 400 el sab 28/09. </t>
  </si>
  <si>
    <t>tt indica que realizará el pago de s/ 320 para la cancelación total el dia 27/09.</t>
  </si>
  <si>
    <t>tt indica que realizará el pago de s/ 4500 para la cancelacion el dia sábado 28/09.</t>
  </si>
  <si>
    <t>TT INDICA QUE REALIZARA EL PAGO EL DIA VIERNES 29/11</t>
  </si>
  <si>
    <t xml:space="preserve">tt indica que realizará el pago hoy. </t>
  </si>
  <si>
    <t xml:space="preserve">TT INDICA QUE REALIZARA LA CANCELACION DE LA DEUDA CON EL IMPORTE DE 6,502.00 EL DIA 30/10. PERO EL JUEVES ESTARA BAJANDO SI BAJA AL BAJA LO PAGARIA ESE DIA ... YA QUE SOLO LE FALTA 1,500 PARA COMPLETAR . </t>
  </si>
  <si>
    <t xml:space="preserve">tt indica que realizara la cancelacion de su deuda con el importe de 740soles  el 16/12 ya que para esa fecha cobra su sueldo. discador </t>
  </si>
  <si>
    <t xml:space="preserve">tt indica que realizará pago de 2500 hoy. </t>
  </si>
  <si>
    <t xml:space="preserve">tt indica que realizará pago de 600 el jueves. </t>
  </si>
  <si>
    <t>TT INDICA QUE REALIZARA PAGO DE 8 CUOTAS TT REALZARADE PRIMERA CUOTA DE 1700 ENTRE EL DIA 27/11 Y EL DIA 29/11 EN LA TARDE</t>
  </si>
  <si>
    <t xml:space="preserve">tt indica que realizará pago de s/ 2500 el día de hoy 13/12 para la cancelación de la deuda. Se envia sms con número de cuenta. </t>
  </si>
  <si>
    <t>tt indica que realizara pago de s/ 50 para cancelar</t>
  </si>
  <si>
    <t>tt indica que realizará pago de s/ 500 para la cancelación el día 31/08.</t>
  </si>
  <si>
    <t xml:space="preserve">tt indica que realizará pago de s/ 60 el dia de mañana 29/08. (se me fue la ficha). </t>
  </si>
  <si>
    <t>TT INDICA QUE REALIZARA PPC  2594 EL DIA 19-12 (SE ME FUE LA FICHA)</t>
  </si>
  <si>
    <t>TT INDICA QUE REALIZARA PPC *900, INDICA QUE ESTARA REALIZANDO ABONO CON DINERO QUE TIENE AHORRADO, SE LE MENCIONA DT 1500 CAMP 900 //GRAB EN DISCADOR</t>
  </si>
  <si>
    <t>TT INDICA QUE REALIZARA PPC DE 15 SOLES  HOY 24-12 CERCA DE LAS 4 PM EN UN AGENTE BCP (SE FUE LA FICHA)</t>
  </si>
  <si>
    <t>TT INDICA QUE RECIBIRA PRESTAMO EL LUNES 13/01 CON LO CUAL GENERA CANCELACION</t>
  </si>
  <si>
    <t xml:space="preserve">PPC 200 </t>
  </si>
  <si>
    <t>TT INDICA QUE RECIBIRA UN DINERO PASANDO LA QUINCENA POR LO QUE CON ELLO GENERARA PAGO SE LE INFORMO DT1980 CAMP 800//GRAB EN DISCADOR</t>
  </si>
  <si>
    <t xml:space="preserve">TT INDICA QUE SE ATRASO EN SUS CUENTAS POR MOTIVOS DE SALU, SE TUVOQUE IR  PARA LA  TIERRA DE SU MAM HUACHO  PARA TRATARSE TUVO QUE DEJAR A SUS HIJOS EN LIMA  RECIEN A EMPEZADO A TRABAJAR EN UN CHIFA COMO AZAFATA  INDICA QUE PARA EL 20 ESTA COBRANDO Y ESTARIA REALIZANDO CANCELACION DE LA DEUDA CON EL IMPORTE DE 400SOLES PARA EL 20/01 TIENE 27 AÑOS Y DOS HIJOS ES SU UNICA DEUDA LUEGO TIENE CON STYLOS OPERADORES DE TELEFONIA LLAMADA CAYO POR DISCADOR </t>
  </si>
  <si>
    <t>TT INDICA QUE SE ENCONTRABA FUERA DE LA CIUDAD, QUE HACE LA CANCELACION TOTAL DE LA DEUDA CON 140 EL 17/09 INBOUD BLANCO</t>
  </si>
  <si>
    <t xml:space="preserve">tt indica que se encuentra en el cajero en estos momentos y que realizará el pago. Solicita que la llamemos en 15 min. </t>
  </si>
  <si>
    <t>tt indica que se encuentra en un pueblo, que no ha podido realizar el pago ya que no puede salir, se le reprograma la fecha de pago para el dia 31/03/2020 el importe de cancelacion 1300.00 , indica que se le envie el numero de cuenta del banco de la nacion</t>
  </si>
  <si>
    <t xml:space="preserve">* se le indico de la deuda con alternativa e indica que ya cancelo </t>
  </si>
  <si>
    <t xml:space="preserve">TT INDICA QUE SE ENCUENTRA MAL DE SALUD Y SU ESPOSA NO PUEDE VIAJAR Y LO REALIZARA EL LUNES 27/1 // ES UNA REPROGRAMACION,  YA TUVO GESTION ANTERIOR,  </t>
  </si>
  <si>
    <t>TT INDICA QUE SE ESTAR ACERCANDO HACER CANCEALCION X350 SE LE INFORMA DK 350 DT 500</t>
  </si>
  <si>
    <t>TT INDICA QUE SE ESTARA  ACERCANDO A REALIZAR PPC*95 //SE LE INFORMA CAMP S/95 DT S/120//GRAB POR DISCADOR</t>
  </si>
  <si>
    <t>TT INDICA QUE SE ESTARA ACERCANDO A CREDINKA HACER CANCELACION A PRIMERA HORA</t>
  </si>
  <si>
    <t xml:space="preserve">TT INDICA QUE SE ESTARA ACERCANDO A SER CANCELACIONXS/300 </t>
  </si>
  <si>
    <t>TT INDICA QUE SE ESTARA ACERCANDO A UN AGENTE BCP PARA PODER REALIZAR CANCELACION//SE LE INDICA DT 1100 CAMP 250 //943436666</t>
  </si>
  <si>
    <t xml:space="preserve">SEARCH SOLTERA 39 AÑOS//DEUDA </t>
  </si>
  <si>
    <t>Responsabilidad por líneas de crédito revolventes</t>
  </si>
  <si>
    <t>TT INDICA QUE SE ESTARA ACERCANDO HACER CANCELACION DE DEUDA EN EL BANCO INTERBANK//SE LE OFRECIO CAMPAÑA POR S/250 DT 1900 //GRAB POR DISCADOR//927425663</t>
  </si>
  <si>
    <t>SEARCH 35 AÑOS SOLTERA//DEUDA</t>
  </si>
  <si>
    <t>BANCO DE LA NACION</t>
  </si>
  <si>
    <t>Tarjetas de crédito por disponibilidad en efectivo</t>
  </si>
  <si>
    <t>Rendimientos devengados de créditos de consumo</t>
  </si>
  <si>
    <t>(Provisión genérica por sobreendeudamiento)</t>
  </si>
  <si>
    <t>Responsabilidad por líneas de crédito para tarjetas de crédito de consumo</t>
  </si>
  <si>
    <t>Líneas de crédito en tarjetas de crédito de consumo</t>
  </si>
  <si>
    <t>TT INDICA QUE SE ESTARA ACERCANDO HACER CANCELACION X200</t>
  </si>
  <si>
    <t>TT INDICA QUE SE ESTARA ACERCANDO PPC*950</t>
  </si>
  <si>
    <t>TT INDICA QUE SE LE PRESENTO UN PERCANCE POR ESO NO PUDO PAGAR INDICA QUE EL DIA DE HOY HARA EL DEPOSITO 39 11/09 INBOUD GRIS</t>
  </si>
  <si>
    <t xml:space="preserve">tt indica que solo el dia de hoy pagara 500 soles y mañana cancelara 500 soles mas para ya cancelar la deuda se le hace consulta en linea a sandy / ppc </t>
  </si>
  <si>
    <t>tt indica que solo puede reunir monto d 400 soles se le propone qu haga el esfuerzo y reuna 450 para el 30/09, con anticipo de 100 soles para el dia 28/09 y la diferencia para el 30/09, se envia forma de pago por ws</t>
  </si>
  <si>
    <t>TT INDICA QUE SUFRE DE DIABETES Y SE PUSO MAL //</t>
  </si>
  <si>
    <t>INDICA QUE CANCELARA EL 16 A MAS TARDAR</t>
  </si>
  <si>
    <t>TT INDICA QUE TENIA CONVENIO CON FINANCIERA OH POR TRES CUOTAS DE 169, LO QUE REALIZARA CANCELACION EL DIA DEHOY, TIENE EL IMÑORTE EN ESTOS MOMENTOS//INBOUD//</t>
  </si>
  <si>
    <t xml:space="preserve">SEARCH CASADA//39 AÑOS DEUDA </t>
  </si>
  <si>
    <t>PRODUCTOS Y MERCADOS AGRICOLAS DE HUARAL CAJA RURAL DE A Y C</t>
  </si>
  <si>
    <t>tt indica que tiene dinero extra por abono por lo que adelantara cancelacion.</t>
  </si>
  <si>
    <t xml:space="preserve">TT INDICA QUE TIENE SOLO 300 SOLES PARA PODER CANCELAR </t>
  </si>
  <si>
    <t>DINERO LE ESTA HABILITANDO SU HIJA</t>
  </si>
  <si>
    <t>DT 11900, CAMPAÑA 335, ANTIGUEDAD 5 AÑOS, INDICA QUE SACO PRESTAMO PARA TERCERA PERSONA Y FALLARON EN EL PAGO, INDICA QUE QUIZO CONCILIAR PERO LE INDICARON OTRA INFORMACION CUANDO FUE, 59 AÑOS, UNICA ENTIDAD REPORTADA PRO EMPRESA, INDICA QUE SE QUIERE ACERCAR A OFICINAS ANTES DE PAGAR, SE ACERCARA A OFICINAS ANTES DEL MEDIODIA</t>
  </si>
  <si>
    <t>TT INDICA QUE TUVO INCONVENIENTES , REALIZARA EL DIA DE MAÑANA 24/09. 150 SOLES Y EL DIA JUEVES 25/09 LO RESTANTE PARA CANCELAR.</t>
  </si>
  <si>
    <t>TT INDICA QUE UN FAMILIAR FALLECIO, Y ESTA CON RETRAZO DE SUS PAGOS, SE LE INDICA QUE TIENE HASTA EL 30/11 COMO REPROGRAMACION PARA ABONAR EL IMPORTE DE S/550 EN DICIEMBRE EL MINIMO DE CANCELACION SERA DE S/900</t>
  </si>
  <si>
    <t>TT INDICA QUE UN FAMILIAR LE IBA A ENTREGAR EL MONTO PARA CANCELACION PERO POR PROBLEMAS DE DEPOSITO TODAVIA LE VA A ENTREGAR EL DINERO EL DIA DE HOY EN CASO QUE LE ENTREGUE ESTARIA ABONANDO , SI NO A MAS TARDAR EL DIA DE MAÑANA</t>
  </si>
  <si>
    <t xml:space="preserve">TT INDICA QUE YA LE DEPOSITARON PERO HOY NO PUEDE SALIR A SACAR DINERO INDICA QUE MAÑANA HARA EL PAGO YA QUE IBA HACERLO DE LA BANCA MOVIL DEL BCP PERO NO TIENE LA CLAVE TOQUE CONFIRMA PAGO PARA EL DIA DE MAÑANA / PPC </t>
  </si>
  <si>
    <t>tt indica quen por temas de salud  no pudo  salir a  pagar, pero  el  dia de hoy sin  falta esta  cancelando.</t>
  </si>
  <si>
    <t>TT INDICA REALIZARA CANCELACION 57 SOLES  EL DIA 29/11</t>
  </si>
  <si>
    <t>TT INDICA SE APERSONARA A CANCELAR 3007 INDICA QUE EL SABADO HABIA DEMASIADO GENTE Y NO PUDO GENERAR CANCELACION POR ELLO , SE VLL</t>
  </si>
  <si>
    <t>TT INDICA SE ESTARA ACERCANDO HACER  CANCELACION X S/1300, SE LE INDICO DIA MAX EL DIA DE HOY, CON AUTORIZACION DE JULIO HIGA</t>
  </si>
  <si>
    <t>TT INDICA YA CONFIRMO CANCELACION PARA EL 30/01  POR I PORTE DE 600 // MOLESTA POR LLAMADAS Y CORTA SE ENVIARA ACUERDO</t>
  </si>
  <si>
    <t>DT  4778</t>
  </si>
  <si>
    <t>DK 2920</t>
  </si>
  <si>
    <t>CAMPAÑA  600</t>
  </si>
  <si>
    <t xml:space="preserve">Sustento  NO BRINDA INFORMACION </t>
  </si>
  <si>
    <t>Search  39 AÑS// SIN TRABAJO</t>
  </si>
  <si>
    <t>SE ENVIARA ACUERDO</t>
  </si>
  <si>
    <t xml:space="preserve">TT INDICAA QUE NO A PODID ACERCARSE  A PAGAR PORQUE EL TRABAJA FUERA DEL PUEBLO Y HACE MES EN SU TABAJO . SE LE INDICA AGENCIAS DE PAGO ... CNSCELARA CON   1,300.00 ... SE LE ENVIARA PR WSP METODO DE PAGO. </t>
  </si>
  <si>
    <t>TT INDICAR CANCELAR CON 500 SOLES</t>
  </si>
  <si>
    <t xml:space="preserve">tt indico que cancelara la deuda con importe de 2300 brindara adelanto el dia lunes 16 de 500 soles posiblemente 1000 soles mas el dia miercoles y hasta afines lo restante </t>
  </si>
  <si>
    <t>tt indico que cancelara la deuda con importe de 625 soles ya que para esa fecha le cancelaran y tambien se le indico que si incumple no se le ofrecera el mismo monto</t>
  </si>
  <si>
    <t xml:space="preserve">TT INDICO QUE SI DESEA CANCELAR YA QUE ESTA SEMANA RECIBE COSECHA DE PAPA Y ESTA SEMANA E DARAN EL DINERO DE ALQUILER DE TRACTOR PARA QUE ADELANTE CON 1000 SOLES / Y CONCRETAR LA CAMPAÑA  </t>
  </si>
  <si>
    <t xml:space="preserve">TT INFORMA QUE CADA LUNES DEL MES ESTARA REALIZANDO ABONOS DE 100 SOLES Y ULTIMO DIA DEL MES LO RESTANTE </t>
  </si>
  <si>
    <t xml:space="preserve">tt informa que la deuda ya fue cancelada , indica que es error del banco por no reconocer el pago realizado, se le brinda la campaña de 150 soles para que realice la cancelacion y se olvide de la cuenta , acepta realizar el pago para el dia viernes 17 de enero / </t>
  </si>
  <si>
    <t xml:space="preserve">TT INIDCA CANCELAR EL DIA DE HOY </t>
  </si>
  <si>
    <t xml:space="preserve">TT INIDCA QUE REALIZARA PPC CON 141 EL 23/11  GOLPE DE 11AM  </t>
  </si>
  <si>
    <t>TT INIDCA QUE SE ENCUENTRA EN CAMANA DENTRO DE UN PROYECTO EN MINA, INDICA QUE SALE LA PROXIMA SEMANA PARA FIESTAS SE BRINDA DT:1000 Y CAMPAÑA : 505 INDICA QUE  REALIZARA CANCELACION DE 505SOLES EL DIA 20/12 YA QUE PARA ESAS FECHAS ESTARIA EN AREQUIPA. LLAMADA DESDE DISCADOR SE ADJUNTA AUDIO.</t>
  </si>
  <si>
    <t xml:space="preserve">TT LE LLEGA MSJ Y DICE QUE SE ACER EL DIA 9/10 , SE ACERCA A OFICINA </t>
  </si>
  <si>
    <t>tt le paso un accidente , se fracturo, por eso no pudo trabajar ni pagar , saco el prestamo para compras de artefactos , ahora esta trabajando en un taller en provincia conseguira el dinero DT 4800 , acuerdo 1400 , para el 13/12   977116241</t>
  </si>
  <si>
    <t>TT LIQUIDA CON EXCEP 2000 EL SABADO POR LA TARDE A MAS TARDAR// SE ENVIA Nº DE CUENTA</t>
  </si>
  <si>
    <t xml:space="preserve">tt llama a mi cel personal y me indica que desea pagar la deuda pero para el 23 aprx cuando pase la cuarentena </t>
  </si>
  <si>
    <t>tt llama estando en ventanilla para confirmar cancelaciòn de S/.636//envia comprobante por whatsapp</t>
  </si>
  <si>
    <t xml:space="preserve">TT llama para confirmar pago , se genera PPC x 600 soles hoy 18/10 // </t>
  </si>
  <si>
    <t xml:space="preserve">TT LLAMO A MI CELULAR PERSONAL // SE LE DEVOLVIO LA LLAMADA PAGARA ,LA DEUDA TOTAL // EN CUSCO EN LA MISMA FINANCIERA // NOBRINDA ~#  AUDIO MI CELUILAR PERSONAL  . </t>
  </si>
  <si>
    <t xml:space="preserve">tt llamo al cel9 dt1800 dk882 dc300  tti lellego msj x264,se acuerda can cn 265 soles eldia13/05 sustetno :yatiene el dinero ,71 año,nosale deuda ,sisalemtrabajo </t>
  </si>
  <si>
    <t xml:space="preserve">TT LLAMO AL CELULAR NARANJA  PARA CANCELAR // PROPUSO  EXCEPCION //  APROBADO POR MAYRA // CANCELARA A LAS 12 M EL DIA LUNES . </t>
  </si>
  <si>
    <t xml:space="preserve">TT LLAMO AL CELULAR NARANJA //  PIDIO EXCEPCION POR 290 // APROBADO POR MAYRA  //  AUDIO EN EL CELULAR NARANJA // CANCELARA EN LA MISMA FINANCIERA  . </t>
  </si>
  <si>
    <t xml:space="preserve">tt llamo al celular verde indicando que le llego mensaje de descuento con el monto de 483 cancelara el 29 de este mes quiere carta de no adeudo </t>
  </si>
  <si>
    <t xml:space="preserve">tt llamo e indica q pagara el 17-12 1000 soles en cancelacion en credinka por la tarde,enviara voucher </t>
  </si>
  <si>
    <t>TT llega campaña por S/597.92 se le enviara informacion al correo fcopaja1982@hotmail.com y wthassap cleinte llamado desde el 015363860</t>
  </si>
  <si>
    <t>TT madre de 30 años con deuda en 2 entidades financieras adicional a la de nosotros se prestara para condonar la deuda. Campaña s/1200 se le enviara compromiso al correo Wcardenascaller@gmail.com  y al whtssap</t>
  </si>
  <si>
    <t>TT MAÑANA ABONARA 300 SOLES Y LA DIFERENCIA DE 200 SOLES HASTA EL 20/09 POR LA CANCELACION</t>
  </si>
  <si>
    <t>tt mañana hara adelanto de 100 soles, diferencia a fin de mes se indico q es una campaña adicional, no podra pagar en base a 541 no quiere comprometerse en vano, enviar acuerdo via wsp y carta nro de cta bcp</t>
  </si>
  <si>
    <t xml:space="preserve">dt:1352 </t>
  </si>
  <si>
    <t>campaña 360</t>
  </si>
  <si>
    <t xml:space="preserve">TT MEN CIONA QUE E DIA 30/10 ABONARA EL IMPORTE DE LOS 600 SOLES / EXEPCION DE MARIANGELA </t>
  </si>
  <si>
    <t>TT MENCINA QUE EL DIA 28/10 CANCELARA EL IMPORTE DE LOS 854 SOLES / TABAJA EN KALIWARMA COMO TRANSPORTISTA / SOLICITA SU ACUERDO DE CANCELACION</t>
  </si>
  <si>
    <t xml:space="preserve">TT MENCINA QUE HARA EL ABONO DE LOS 6400 SOLES EL DIA 31/10 / EL DINERO CONFIRMA QUE SE LO PRESTARAN / SE GRABO LA AYORIA DEL AUDIO / </t>
  </si>
  <si>
    <t xml:space="preserve">TT MENCINA QUE SOLO CUENTA CON 3 MIL SOLE, SE LE ACTIVA LA CAMAPAÑA SIEMPRE Y CUANDO PAGUE 100 SOLES EL DIA JUEVES 17/10 Y EL MIERCOLES 23/10 PAGARA LA DIFERENCIA / </t>
  </si>
  <si>
    <t xml:space="preserve">Tt mencion que cancelará hoy 100.00 soles </t>
  </si>
  <si>
    <t xml:space="preserve">TT MENCIONA  QUE CANCELARA LA DEUA CON 340 SOLES EL DIA DE MAÑANA / EL PROXIMO MARTES VENDRA A OFICINA A RECOGE SU CARTA DE NO ADEUDO / </t>
  </si>
  <si>
    <t xml:space="preserve">tt menciona menciona que el se encuentra lejos de la ciudad esta a 6 horas donde se encuentra no hay bancos indica que si desa cancelar pero solo tiene en mano 2000 soles que junto de sus ahorros , por que ya esta mortificado que lo llaman </t>
  </si>
  <si>
    <t>menciona que motivo de no pago no le pagaban a tiempo</t>
  </si>
  <si>
    <t xml:space="preserve">no se encuentra laborando - menciona que quiere salir de esa deuda quiere pagar la deuda quiere su carta de no adeudo , menciona que la personas no se pueden movilizar se movilizan en camiones de verduras </t>
  </si>
  <si>
    <t xml:space="preserve">sustento : sus ahorros menciona </t>
  </si>
  <si>
    <t>dt:7500</t>
  </si>
  <si>
    <t>campaña:2600</t>
  </si>
  <si>
    <t>EXCEPCION : 2000</t>
  </si>
  <si>
    <t xml:space="preserve">CLIENTE QUIERE CARATA DE NO ADEUDOR ESE MISMO DIA SE LE MENCIONA QUE SE HARA TODO LO POSIBLE </t>
  </si>
  <si>
    <t xml:space="preserve">TT MENCIONA QUE ABONARA EL IMPORTE DE LOS 950 SOLES PARA EL DIA 16/10 YA ABONO EL IMPORTE DE LOS 50 SOLES </t>
  </si>
  <si>
    <t>TT MENCIONA QUE ABONARA LOS 1 MIL SOLES Y LOS 300 SOLES EL DIA 30/10</t>
  </si>
  <si>
    <t>TT MENCIONA QUE ANTERIORMENTE NO PUDO VIAJAR , YA EL DIA DE MÑN ESTARA LLEGANDO Y REALIZANDO LA CANCELACION MONTO 650 SOLES , SE LE ENVIARA INF DE LO ACORDADO A SU WHATSSAPP</t>
  </si>
  <si>
    <t xml:space="preserve">TT MENCIONA QUE ANTES DEL DIA 29/08 HARA EL PAGO E LOS 1 MIL SOLES MAS Y CON ESO YA CANELA EN BASE A 3 MIL SOLES </t>
  </si>
  <si>
    <t>tt menciona que aùn no baja a la ciudad//se le menciona que serà su ultima reprogramaciòn</t>
  </si>
  <si>
    <t>TT MENCIONA QUE CANCELA CON DEUDA CON 600 SOLES / EL DIA LUNES 16/12 / EXCEPXION /</t>
  </si>
  <si>
    <t>tt menciona que cancelara con los 100 soles ya que le robaron ya habia en la rimera gestion la plantilla</t>
  </si>
  <si>
    <t xml:space="preserve">TT MENCIONA QUE CANCELARA EL DIA 16/09 / SE CORRIGE EL COMPROMISO / </t>
  </si>
  <si>
    <t xml:space="preserve">tt menciona que cancelara la deuda con 8400 soles el dia 29/11 el dinero es de un pago pendiente / mariangela me esta buscando el numero / </t>
  </si>
  <si>
    <t xml:space="preserve">TT MENCIONA QUE CANCELARA LA DEUDA EL DIA VIERNES 06/12 // </t>
  </si>
  <si>
    <t xml:space="preserve">tt menciona que cancelara la deuda en base a 1700 soles soles es un prestamo el dinero / </t>
  </si>
  <si>
    <t xml:space="preserve">TT MENCIONA QUE CAYO DELICADO DE SALUD ES UN PAGO ROTO / SE LE MENCUONA LA CAMPAÑ POR 4700 SOLES LOS HARA EL DIA DE HOY / </t>
  </si>
  <si>
    <t>TT MENCIONA QUE CUANDO SE ACERCÒ A CREDINKA LE INDICARON QUE NO TIENE DEUDA, SE LE EXPLICA QUE DEUDA YA NO ESTA EN CREDINKA//TT  REALIZARÀ PAGO DE DEUDA TOTAL S/.104 HOY 23/08</t>
  </si>
  <si>
    <t>TT MENCIONA QUE DEPOSITAR LOS 680 SOLES YA DEPOSITO 150 SOLES Y 150 SOLES PERO AUN NO ENVIA SU CO PROBANTE DE PAGO</t>
  </si>
  <si>
    <t>TT MENCIONA QUE DEUDA ES DE SU CUÑADA//SE MENCIONA DEUDA DE S/.28995 Y DEUDA CAPITAL DE S/.10500//SE OFRECE CANCLEAR O REFINANCIAR EL CAPITAL//TT OFRECE CANCELAR CON S/.5000 DEBIDO A QUE ELLA NO SE ENCUENTRA EN EL CUSCO Y TRABAJA EN LA EMPRESA GLORIA//SE HABLA NUEVAMENTE CON TITULAR Y MENCIONA QUE PARA EL 20/12 NO PUEDE REALIZAR ALGUN ABONO SINO PARA EL 31/12, YA QUE EN ESA FECHA LLEGA AL CUSCO//TT CONFIRMA QUE DE SU SUELDO Y PRESTAMO COSEGUIRÀ MONTO A CANCELAR DE S/.5000</t>
  </si>
  <si>
    <t>TT MENCIONA QUE EL 25 LE ESTAN PAGANDO Y EL 26 A MAS TARDAR CANCELARIA ,</t>
  </si>
  <si>
    <t xml:space="preserve">TT MENCIONA QUE el dia 10/09 CANCELARA LA DEUDA CON 600 SOLES / EL DINERO ES DE UN SERVICIO QUE PRESTO / ENVIAR ACUERDO mjrodrix@yahoo.com SI LE ENVIAN LO PUEDE HACER HOY MISMO </t>
  </si>
  <si>
    <t xml:space="preserve">TT MENCIONA QUE EL DIA 14/12 HARA EL PAGO DE LA CANCELACION DE LA DEUDA CON 450 SOLES </t>
  </si>
  <si>
    <t xml:space="preserve">TT MENCIONA QUE EL DIA 15/10 ABONARA LA MITAD Y EL DIA 31/10 LA DIFERENCIA / </t>
  </si>
  <si>
    <t xml:space="preserve">TT MENCIONA QUE EL DIA 20/12 HARA LA CANCELACION 5200 SOLES PARA EL DIA 20/12 // EL DIA 16/12 HARA EL ABONO DE LOS 200 SOLES Y LA DIFERENCIA EL DIA 20/12 / EL DINERO ES DE UN PRESTAMO / </t>
  </si>
  <si>
    <t>TT MENCIONA QUE EL DIA 26/09 ABONARA 500 SOLES Y EL 30/09 LOS 900 SOLES / ESTA SOLICITANDO UN PRESTAMO EN LA FONDO MI VIVIENDA POLICIAL / POR ESO LE URGE CANCELAR / YA ABONO 100 SOLES / EL DINRO DEL PAGO ES DE SU SUELDO DE POLICIA</t>
  </si>
  <si>
    <t>TT MENCIONA QUE EL DIA 30/10 ABONARA 3950 SOLES // SE LE HACE LA REPROGRAMACION YA QUE SU FAMILIAR ESTA ENEL HSOPITAL</t>
  </si>
  <si>
    <t xml:space="preserve">tt menciona que el dia de hoy hara el pago de los 163 soles ya que tenia dudas los hara el dia de hoy / </t>
  </si>
  <si>
    <t xml:space="preserve">TT MENCIONA QUE EL DIA DE HOY PAGARA LOS 200 SOLES Y LO RESTANTE A FINES DE MES / </t>
  </si>
  <si>
    <t xml:space="preserve">TT MENCIONA QUE EL DIA DE HOY PAGARA LOS 300 SOLES  // EXCEPCON </t>
  </si>
  <si>
    <t xml:space="preserve">TT MENCIONA QUE EL DIA DE HOY PAGARA LOS 3000 MIL SOLES </t>
  </si>
  <si>
    <t>TT MENCIONA QUE EL DIA DE MAÑANA ESTARA HACIENDO EL PAGO DE LOS 2 MIL SOLES TRAERA SU VOUCHER EL DIA DE MAÑANA /</t>
  </si>
  <si>
    <t>TT MENCIONA QUE EL DIA DE MAÑANA HARAN EL PAGO DE LOS 300 SOLES YA QUE ESTAN FUERA DE LA CIUDAD DE CUZCO /</t>
  </si>
  <si>
    <t xml:space="preserve">TT MENCIONA QUE EL DIA DE MAÑANA PAGARA LOS 170 SOLES </t>
  </si>
  <si>
    <t>TT MENCIONA QUE EL DIA LUNES 23/09 ABONARIAS 100 SOLES Y LA DIFERENCIA EL DIA 520 SOLES EL DIA 30/09</t>
  </si>
  <si>
    <t xml:space="preserve">TT MENCIONA QUE EL DIA LUNES 27/01 HARA EL PAGO DE LOS 2700 SOLES LE MENCIONA LA PENALIDAD QUE SI NO PAGA SE LE ANULA LA EXCEPCION CON LOS PRODUCTOS DEL MES DICIEMBRE / YA HAY NEGOCIACION EN LAA PARTE INFERIOR  / CAMBIO DE FECHA DE PAGO </t>
  </si>
  <si>
    <t xml:space="preserve">tt menciona que el dia martes 29/10 hara el pago de los 4100 oles ya le vambiaron s cheque </t>
  </si>
  <si>
    <t xml:space="preserve">tt menciona que el dia viernes 04/10 / se aprobo excepcion con mayra </t>
  </si>
  <si>
    <t xml:space="preserve">TT MENCIONA QUE EL DIA VIERNES 20/09 PAGARA LOS 180 SOLE A LAS 10 AM </t>
  </si>
  <si>
    <t>TT MENCIONA QUE EL DIA VIERNES 23/08 SI HARA EL PAGO YA QUE NO LE DIERN EL DINERO DE SU JUNTA / SE LE MENCIONA QUE ES LA ULTIMA VEZ QUE SE LE REPROGRAMA</t>
  </si>
  <si>
    <t xml:space="preserve">TT MENCIONA QUE EL DIA VIERNES 27/09 EL IMPORTE DE 180 SOLES NO LOGRO JUNTAR </t>
  </si>
  <si>
    <t xml:space="preserve">TT MENCIONA QUE EL DINERO FUE PARA SU HERMANA PARA QUE VIAJE A CHILE / SE LE DEJA SOLO PARA PAGAR 450 SOLES / LO HARA EL DIA DE MAÑANA / </t>
  </si>
  <si>
    <t>TT MENCIONA QUE EL PAGO LO HARA EL DIA MIERCOLES 13/12 EL DINERO ES UN AHORRO// LLEGA A LA CIUDAD EL DIA MIERCOLES /SE LE APROBO EXCEPCION</t>
  </si>
  <si>
    <t xml:space="preserve">TT MENCIONA QUE EL PAGO QUE TENIAN QUE HACERLE NO LO HICIERON , PERO EL DINERO ES DE OTRO PROYACTO QUE TIENE / SE LE INDICO QUE EL OMONTO ES POR ULTTIMA VEZ SIEMPRE Y CUANDO DEPOSITE 200 SOLES HSTA EL 15/10 Y EL 20 TRMINAR DE CANCELAR / PROBADO POR MAYRA </t>
  </si>
  <si>
    <t xml:space="preserve">TT MENCIONA QUE EL PRESTAMO FUE PARA OTRA PERSONA / PAGARA 225 SOLES EN DOA PARTES DENTRO DEL MES / </t>
  </si>
  <si>
    <t>tt menciona que es conductor y hay retraso en sus pagos de sus facturas y que el dia 15/12 hara el pago de los 8400 / 15 es domingo me olvide mencionar al cliente s eagnda hasta el dia 14/11</t>
  </si>
  <si>
    <t>TT MENCIONA QUE ESTA EN EL HOSPITAL Y QUE SALIENDO ABONARÀS/.100 Y LA DIFERENCIA EL 30/11//ENVIARÀ COMPROBANTE POR WHATSAPP</t>
  </si>
  <si>
    <t>TT MENCIONA QUE ESTA RESTANDO 221 SOLES Y LO HARA EL DIA 31/08 / OTORGADO POR MARIANGELA SE SUBE EL AUDIO</t>
  </si>
  <si>
    <t xml:space="preserve">TT MENCIONA QUE HARA EL ABONO DE LOS 1 MIL SOES YA QYE ANTES NO PAGO PORQUE TIBO UN PROBLEMA JDICIAL CN SU PAREJA / SE LE APRUEBA LA EXCEPCION / </t>
  </si>
  <si>
    <t xml:space="preserve">TT MENCIONA QUE HARA EL DIA DE MAÑANA LOS 3950  SOLES </t>
  </si>
  <si>
    <t xml:space="preserve">TT MENCIONA QUE HARA EL PAGO DE LOS 2450 SOLES EL DIA 31/08 YA QUE ESTA EN COMISION / </t>
  </si>
  <si>
    <t xml:space="preserve">tt menciona que hara la cabcelacion de la deuda el dia lunes 16/12 hya que aun no le pagaran en su trabaja qje gana por recobos por honorarios / </t>
  </si>
  <si>
    <t>TT MENCIONA QUE HARA LA CANCLACION DE LA DEUDA EL DIA SABADO 28/09</t>
  </si>
  <si>
    <t>tt menciona que hoy pagara S/.104</t>
  </si>
  <si>
    <t>tt menciona que hoy ya es muy tarde para cancelar y por desconfianza solo lo quiere hacer por el bcp//pagò lo harà mañana por la tarde. excepciòn aprobada por Mayra Llimpe</t>
  </si>
  <si>
    <t>tt menciona que juntarà dinero de S/491 para cancelar fin de mes//se le informa que de no cancelar pagarà una penalidad y no tendrà opciòn de pago menos a los S/.491</t>
  </si>
  <si>
    <t xml:space="preserve">TT MENCIONA QUE LE DIJERON QUE SI PAGO Y NO HAY PAGO / SE LE MENCIONA 170 SOLES </t>
  </si>
  <si>
    <t>tt menciona que le enviaron mensaje de descuento //se le informa pagar con 200 soles //para obtener CNA</t>
  </si>
  <si>
    <t xml:space="preserve">TT MENCIONA QUE LE OFRECIERON CAMPAÑA DE 600 SOLES / SE LE MECIONA QUE EL MONTO ES DE 390 SOLES CANCELA / </t>
  </si>
  <si>
    <t>tt menciona que le ofrecieron cancelar con S/.500, se le ofrece cancelar con S/.800, excepciòn por Mariangela Piña//tt confirma pagar el 30/09</t>
  </si>
  <si>
    <t xml:space="preserve">TT MENCIONA QUE LLEGO TARDE DE VIAJE Y QUE RFECINE EL DIA DE HOY HARA EL ABONO DE LOS ML SOLES / </t>
  </si>
  <si>
    <t xml:space="preserve">TT MENCIONA QUE NO A TENIDO TIEMPO / DEUDA DE 1300 SOLES / CCANCELA CON 400 SOLES / EN CREDINKA  </t>
  </si>
  <si>
    <t xml:space="preserve">tt menciona que no cancelo por enfermedad dice que menciono a srta. que lo atendia, menciona que puede cancelar pero afines de mes </t>
  </si>
  <si>
    <t>dt:650</t>
  </si>
  <si>
    <t>campaña:300</t>
  </si>
  <si>
    <t xml:space="preserve">sustento de pago : va empesar a laborar conductor  </t>
  </si>
  <si>
    <t>brindara adelanto el dia miercoles 13 de mayo activacion de campaña</t>
  </si>
  <si>
    <t>tt menciona que no està en el CUSCO y que pagarà el martes 10/09 S/.140</t>
  </si>
  <si>
    <t xml:space="preserve">TT MENCIONA QUE NO PDO PAGAR POR FALTA DE TIEMPO/ LO PAGARA EL DIA SABADO 26/10 </t>
  </si>
  <si>
    <t>TT MENCIONA QUE NO PODRA CANCELAR HASTA EL DIA SABADO 18/01POR LA CAMPAÑA DE DESCUENTO //LLAMADA SE REALIZO EN EL CEL CORP 7</t>
  </si>
  <si>
    <t>ACR NO GRABA LLAMADA</t>
  </si>
  <si>
    <t>TT MENCIONA QUE NO PUDO CONSEGUIR MONTO AYER PARA PAGAR Y QUE HOY LO REALIZARÀ POR LA TARDE//ENVIARÀ VOUCHER DE PAGO</t>
  </si>
  <si>
    <t>TT MENCIONA QUE NO PUDO REALIZAR PAGO DE SU ULTIMA CUOTA EL 15/11, MENCIONA QUE EL 30/11 LE PAGARÀ Y ESTARÌA REALIZANDO EL PAGO DE SU ULTIMA CUOTA</t>
  </si>
  <si>
    <t>TT MENCIONA QUE NO PUDO REALIZAR PAGO POR ENCONTRARSE FUERA DE LA CIUDAD//TT CANCELARÀ MAÑANA</t>
  </si>
  <si>
    <t xml:space="preserve">TT MENCIONA QUE NO PUDO SALIR DE LA MINA / CANCEARA LOS 3800 SOLES CANCELARA LA DEUDA  </t>
  </si>
  <si>
    <t xml:space="preserve">TT MENCIONA QUE NO PUEDE CONSEGUIR EL DINERO /  SE OFRECIO 110 SOLES </t>
  </si>
  <si>
    <t>TT MENCIONA QUE NO REALIZÒ ABONO DE S/.200 DEBIDO A QUE EN EL ACUERDO DE CANCELACIÒN APARECE PAGO DE S/.4500 PARA EL 16/12//APROBADO POR MARIANGELA PINA EL INGRESO DE PPC//AUDIO CON AYUDA DE ALESSANDRA ORUNA</t>
  </si>
  <si>
    <t xml:space="preserve">tt menciona que no se encuentra laborando, se le ofrece la campaña, indica que con ese importe si puede realizar su abono con ayuda de su hijo realizra pago se le envia sms </t>
  </si>
  <si>
    <t xml:space="preserve">sustento: va conseguir para cancelar </t>
  </si>
  <si>
    <t xml:space="preserve">tt menciona que no se encuentra trabjanado, era policia retirado comenta que solicito cancelar con importe de los 400 soels su esposa se encuentra delicada de salud </t>
  </si>
  <si>
    <t xml:space="preserve">campaña:800 </t>
  </si>
  <si>
    <t>excepcion campaña:500</t>
  </si>
  <si>
    <t xml:space="preserve">sustento: juntara </t>
  </si>
  <si>
    <t>adelanta el dia de hoy 100 soles como activacion de campaña</t>
  </si>
  <si>
    <t>tt menciona que pagara 200 soles el dia de mañana y los 200 soles a fines de mes / problemas de alargamiento coronavirus / ya abono 800 soles resta 400 soles</t>
  </si>
  <si>
    <t xml:space="preserve">tt menciona que pagara el dia de hoy los 267 soles antes del medio dia / se activa la campaña/ </t>
  </si>
  <si>
    <t xml:space="preserve">TT MENCIONA QUE PAGARA EL IMPORTE DE 180 SOLES / EXCEPCION DE MARIANGELA </t>
  </si>
  <si>
    <t>TT MENCIONA QUE PAGARA EL IMPORTE DE LOS 2800 SOLES YA QUE ABONO LOS 500 SOLES /  RECIBIRA SU CHEQUE</t>
  </si>
  <si>
    <t xml:space="preserve">TT MENCIONA QUE PAGARA EL IMPORTEBDE LOS 3 MIL SOLES LOS HARA EL DIA JUEVES 24/10 EXPECION APROBAD POR MARIANGELA </t>
  </si>
  <si>
    <t>TT MENCIONA QUE PAGARÀ HOY S/.1000 EN EL BCP//SE ENVÌA NUMERO DE CUENTA POR WHATSAPP. APROBADO POR MAYRA LLIMPE</t>
  </si>
  <si>
    <t>TT MENCIONA QUE PAGARÀ SU ULTIMA CUOTA EL 10/12, SI TUVIERA ANTES LO HARÀ Y SOLICITARÀ LA CARTA DE NO ADEUDO</t>
  </si>
  <si>
    <t xml:space="preserve">tt menciona que podra pagar a fin de mes /400 soles </t>
  </si>
  <si>
    <t>tt menciona que por falta de tiempo no pudo pagar y realizará cancelación de la deuda//se envía numero de whatsapp para que envíe voucher</t>
  </si>
  <si>
    <t>tt menciona que prestaera para su pmama y cuando se acercò a cancelar le dijero que era mas de s/.2000//tt va a cancelar en MIBANCO//se brinda numero de cuenta</t>
  </si>
  <si>
    <t xml:space="preserve">TT MENCIONA QUE PRESTAMO FUE CON SU AMIGO A MEDIAS//TT TRABAJA EN CONSTRUCCIÒN Y NO TIENE FECHA DE PAGO//SE OFRECE CANCELAR CON S/.760//TT VA ABONAR S/.100 HOY EN CREDINKA Y LA DIFERENCIA DE S/.750 EL 30/12 </t>
  </si>
  <si>
    <t>TT MENCIONA QUE PRESTAMO FUE PARA SU SUEGRO//SE MENCIONA DEUDA DE S/.1233//SE OFRECE CANCELAR CON S/.650 EN DOS PARTES, EL 20/12 S/.325 Y EL 27/12 S/.325//AUDIO POR DISCADOR</t>
  </si>
  <si>
    <t xml:space="preserve">TT MENCIONA QUE PUEDE CANCELAR 1290 CON EL PAGO DE SUS HABERES /TRABAJA EN MINA //NO PUEDE ENCARGAR EL PAGO DE ABONO ANTES ///SE REITERA QUE EN EL CASO NO CUMPLIR CON EL ACUERDO SE APLICARA EL 10% DE PEPENALIDAD DE LA DT </t>
  </si>
  <si>
    <t>TT MENCIONA QUE SALÌO MUY TARDE//ENVIARÀ COMPROBANTE DE PAGO</t>
  </si>
  <si>
    <t>TT MENCIONA QUE SE ACERCÒ A LA FINANCIERA OH QUE ESTA POR EL OV. HIGUERETA PARA CANCELAR ULTIMA CUOTA Y NO LE ACEPTARON//NO SE BRINDA MONTO DEBIDO A QUE CLIENTE ESTA CON RECLAMO//TT CONFIRMA REALIZAR PAGO DE SU ULTIMA CUOTA MAÑANA 08/01//ASIGNADO POR MAYRA LLIMPE</t>
  </si>
  <si>
    <t xml:space="preserve">TT MENCIONA QUE SE ENCONTRABA DE VIAJE , NO ESTA TRABAJANDO SE ENCUENTRA EN `PROVINCIA EN MOYOBAMABA SE LE MENCIONA LA CAMPAÑA DE DESCUENTO, ALFINALIZAR LLAMADA CONFIRMA ABONO PERO QUIERE Y SOLICITA CARTA ACUERDO DE PAGO CORTA LA LLMADA </t>
  </si>
  <si>
    <t>DT:3100</t>
  </si>
  <si>
    <t>CAMPAÑA:300</t>
  </si>
  <si>
    <t>SUSTENTO:SI TIEN EL DINERO EL SE ENCUENTRA EN SU TRABAJO. SE LE ENVIA SMS PARA ENVIARLE EL ACUERDO TIENE DUDA .</t>
  </si>
  <si>
    <t>TT MENCIONA QUE SE HA ACERCA AL BANCO DEL NACIONA REALIZAR PAGO ANTERIORMENTE Y NO LE ACEPTABAN//CANCELARÀ EL LUNES 09/09</t>
  </si>
  <si>
    <t>TT MENCIONA QUE SE LE LLAME EL DIA VIERNES 04/10 PAGARA EL IMPORTE 3200 SOLES / YA LE DIERON EL CHEQUE PERO HUBO UN RETENCION DE LA SUNAT PARA PODER VERIFICAR DEUDAS ADICIONALES CON EL ESTADO EN 72HORAS LE DARAN RESPUESTA / GRABE LA MITAD DEL AUDIO DEL DISKADOR</t>
  </si>
  <si>
    <t xml:space="preserve">TT MENCIONA QUE SE LE PRESENTO PROBLEMAS EN SU EMBARAZA Y NO PUEDE MOVILIZARSE MANDARA A ALGUIEN A PAGARLOS PERO SOLO 400 SOLES YA QUE TAMBIEN SE GASTO EL DINERO Y LOS 1 MIL RESTANTES EL DIA 31/12 / SE LE MENCIONA DE LA PENALIDAD/ </t>
  </si>
  <si>
    <t>TT MENCIONA QUE SI DESEA CANCELAR LA DEUDA 650 SOLES ABONARA 150 SOLES EL DIA VIERNES 20/09 Y Y LA DIFERENCIA EL DIA 28/09</t>
  </si>
  <si>
    <t>tt menciona que si hara el pago de los 1 mil soles para el dia 31/01/ aprobado por mariangela</t>
  </si>
  <si>
    <t>TT MENCIONA QUE SOLO DEJÒ DE PAGAR UNA CUOTA//SE VERIFICA QUE CUOTAS ERAN DE S/.156.50//SE MENCIONA DEUDA DE S/.312.95 Y MONTO A CANCELAR CON S/.156.50//TT MENCIONA QUE PUEDE CANCELAR PERO A FIN DE MES, YA QUE EN ESA FECHA LE PAGAN//AUDIO POR DISCADOR(10/12)</t>
  </si>
  <si>
    <t>TT MENCIONA QUE SRITA NO SE COMUNICÒ CON ELLA, PERO ACEPTA EL OFRECIMIENTO DE CANCELAR CON S/.2000 PARA EL 30/11 EN CAJA SULLANA//AUDIO POR DISCADOR</t>
  </si>
  <si>
    <t>TT MENCIONA QUE SU HERMANA SUFRIO UN ACCIDENTE Y S ELE MENCIONA QUE CON 2300 SOLES CANCELA LA DEUDA / PERO QUIERE PAGAR EN NOVIEMBRE, SE LE INDICA QUE SI HAY DOCUMENTOS ES PREFERIBLE QUE LOS ENVIE PARA PODER EVALUAR EL CASO</t>
  </si>
  <si>
    <t>TT menciona que tiene la disponibilidad de cancelar la deuda el 31/10 los 285 soles, lo estara realizando en la tarde con el pago que reciba,</t>
  </si>
  <si>
    <t>TT MENCIONA QUE TUVO PROBLEMAS FAMILIARES Y POR ESO DEJÒ DE PAGAR//SE MENCIONA DEUDA TOTAL DE S/.787 Y CAPITAL DE S/.600//SE OFRECE CANCELAR CON S/.570//TT ACEPTA//SE ENVIARÀ POR WHATSAPP NUMERO DE CTA DEL BCP//AUDIO POR DISCADOR</t>
  </si>
  <si>
    <t xml:space="preserve">tt menciona que ya cancelo la deuda peor se le emnciona que no / le llego sms para cancelar con 130.77 los cuales lo haria en el banco interbank / tiene buena clasifoccion financiera / </t>
  </si>
  <si>
    <t xml:space="preserve">TT MENCIONA QUE YA HABIA CANCELADO HACE TIEMPO // PERO SE ENFERMO Y TUVIERON QUE OPERARLA DEL APENDICE Y QUEDO PENDIENTE Y ABONARA 130 SOLES EL DIA 20/12 EL DIA 20/12 </t>
  </si>
  <si>
    <t>tt menciona que ya le llamaron y que el dia lunes 09/12 2 mil soles / indica que ya / el restamo fue para su hermano y no pago si cuenta con el dinero /</t>
  </si>
  <si>
    <t>TT MENCIONA QUE YA NO PUDO ABONAR EL 06/12 CONFIRMA EL ABONO DE 1500 MAÑANA  SE INGRESA COMO PAR Y MAÑANA SE INGRESA PAGO DE RESTANTE</t>
  </si>
  <si>
    <t xml:space="preserve">TT MENCIONA QUE YA RECIBIRA SU CJEQUE PARA EL DIA 18/10 Y QUE EL 121 DE OCTUBRE A MAS TARDAR HARA EL PAGO DE LOS 4100 OLES </t>
  </si>
  <si>
    <t xml:space="preserve">TT MENCIONAQUE ESTA ENVIANDO UNA GUIA REMISION QUE REALIAZO AL MUNICIPIO / CANCELA EL DIA LUNES 14/10 2300 SOLES / </t>
  </si>
  <si>
    <t>TT MENCIONAQUE ESTA ENVIANDO UNA GUIA REMISION QUE REALIAZO AL MUNICIPIO / CANCELA EL DIA LUNES 14/10 2300 SOLES / ENVIO US FACTRAS QUE AUN NO PASO A CONTABILIDAD PERO RECIEN LE HARAN EL DESEMBOLSO</t>
  </si>
  <si>
    <t xml:space="preserve">TT MENCIONO QUE CANCELARA EL DIA 20/12 550 SOLES // CANCELA </t>
  </si>
  <si>
    <t xml:space="preserve">TT MENIONA QUE EL DIA DE HOY ABONARA 100 SOLES EL SABADO 24 300 SOLES Y EL DIA 29/08 LA DIFERENCIA O ANTES YA QUE SU AMIGO NO PUDO DARLE COMPLETO </t>
  </si>
  <si>
    <t xml:space="preserve">TT MODIFICA FECHA DE PAGO POR QUE LE CANCELAN EL DIA DE MAÑANA 29/02 - PLANTILLA EN EL DIA 10/02 </t>
  </si>
  <si>
    <t xml:space="preserve">tt n pudo pagra ya que no recibia su pago d haberes sin falta can mañana con penalidad adicional de 10 soles </t>
  </si>
  <si>
    <t>TT NO CANCELO PORQUE ESTABA FUERA DE PAIS, INTERESADO EN LIQUIDAR</t>
  </si>
  <si>
    <t>PPC 1784</t>
  </si>
  <si>
    <t xml:space="preserve">TT NO PAGO PORQUE TUVO POBLEMAS FAMILIARES, DEUDA TOTAL DE 4200 KAPITAL DE 2200 CAMPÑAÑA 500 SOLES, SEARCH GCZ INGENIEROS S.A. NO TIENE HIJOS. NO TIENE DEUDA. . PAGARA EL 11/01 EN OFICINAS INTERBANK, EL DINERO LO SACARA DE SU SUELDO. TIENE 38 AÑOS. SE LE ENVIA INF POR WHSA. </t>
  </si>
  <si>
    <t>TT NO PUDO CAnCELAR SU ULTIMA CUOTA POR QUE ENFERMO SU ESPOSA , CONFIRMA QUE SE ESTA acercando aun supermercado a realizar el pago via bcp  monto 375 ,</t>
  </si>
  <si>
    <t>llamada cooporativo 20</t>
  </si>
  <si>
    <t xml:space="preserve">tt no pudo cancelarlo por motivo de viaje por salud a  chiclayo , dt 220 , DC 180 , </t>
  </si>
  <si>
    <t>TT PAGARA EL DIA DE HOY EN UN AGENTE BCP , SE BRINDA NUMEROD E CUENTA</t>
  </si>
  <si>
    <t>tt no pudo cancelarlo por motivo de viaje por salud a  chiclayo , dt 220 , deuda a pagar 180 , 988141636</t>
  </si>
  <si>
    <t>SE MODIFICA LA FECHA DE PGO , TT INDIC QUE PAGARA EL DIA 26 POR LA TARDE</t>
  </si>
  <si>
    <t>tt no pudo cancelarlo por motivo de viaje por salud a  chiclayo , dt 220 , deuda a pagar 180 para el dia 23 de diciembre</t>
  </si>
  <si>
    <t xml:space="preserve">TT NO PUDO EFECTUAR ANTERIORMENTE POR INCONVENIENTES , REALIZARA CANCELACION EL DIA 24/01/20 </t>
  </si>
  <si>
    <t>SE REPROGRAMA PARA EL DIA VIERNES YA QUE EL TT NO PUDO VENDER SU GANADO PARA PODER CUBRIR EL PAGO , SE ENVIA INFORMACION DEL PAGO POR WSP</t>
  </si>
  <si>
    <t>TT NO PUDO RECAUDAR EN PPC ANTERIOR POR MONTO DE S/700 EL CUAL PROCEDERA A CANCELAR HOY S/400 Y LUNES 18 S/300</t>
  </si>
  <si>
    <t xml:space="preserve">tt no se encuentra laborando por motivos de salud menciona que le dio cov. menciona que se encuentra en recuperación el motivo de no pago por que queria rebaja y nunca le ofrecieron problema de salud por sus hijos </t>
  </si>
  <si>
    <t>dt:23700</t>
  </si>
  <si>
    <t>campaña:6100</t>
  </si>
  <si>
    <t xml:space="preserve">excepion :3500 </t>
  </si>
  <si>
    <t xml:space="preserve">sustento : trabajo activo </t>
  </si>
  <si>
    <t xml:space="preserve">ACCIONA AGUA S.A SUCURSAL PERUANA </t>
  </si>
  <si>
    <t xml:space="preserve">sueldo:3500 </t>
  </si>
  <si>
    <t>excepcion:3500</t>
  </si>
  <si>
    <t>tt no tiene trabajo, sus familiares la apoyaran con el pado le daran el dinero el 25/05</t>
  </si>
  <si>
    <t>enviar nro de cta bcp via wsp y msj de texto</t>
  </si>
  <si>
    <t>dt:780</t>
  </si>
  <si>
    <t>campaña:110</t>
  </si>
  <si>
    <t xml:space="preserve">tt nos confirma mediante conversacion por whatsapp que puede realizar la cancelacion de su cuenta para el dia 6 </t>
  </si>
  <si>
    <t>tt nos informa que asesora no se volvio a comunicar,despues he haber explkicado su motivo de impago, el dinero no fue para ella ,tercera persona no cancelaron la cuenta ella no tenia conocimiento del impago.Esta con hemorragia,quistes,su abuelo ha fallecido, tiene intencion de pago pero la relaidad es que no tiene no puede ,se le ha complicado demasiado, se pone a llorar.</t>
  </si>
  <si>
    <t>desea pagar apartir de enero , para ella es muy dificil, tiene hijos que mantener, trabaja evenutalmente como manualidad para colegios, es por ciertos tiempos, ultimamente no recibio Trabajos por eso no pudo pagar,</t>
  </si>
  <si>
    <t>se le genera compromiso de pago para fin de mes de S/100</t>
  </si>
  <si>
    <t>DT9800</t>
  </si>
  <si>
    <t>DK6800</t>
  </si>
  <si>
    <t xml:space="preserve">tt nos informo que no pudo realzar pago por problemas , tenia la intencion de ago pero no se pudo, le brindamos la misma campaña de S/.410 para el 14 de enero/ le informamos acerca de las penalidades/ </t>
  </si>
  <si>
    <t>tt nos menciona que dejo de pagar estuivo de viaje, se le dice que ese no es motivo de no pagar, la deuda es por una tarjeta de credito, el dinero con el que pagara es parte de su sueldo, deuda total: 2102 campaña 900 soles. search: 32  años, dice que ya no trabaja en cinermark, tiene una deuda mas en BANCO DE CREDITO DEL PERU. numerp esta en manuel de tacita</t>
  </si>
  <si>
    <t>tt nos menciona que dejo de pagar porque viajo al extranjero, DT: 10.500 DK:6.000 Minimo 4.000 soles. sr nos menciona que si no podia descontar mas, se le pregunta con cuento el dispone y nos dijo que con 2.500 soles. el dinero lo saca de sus ahorros, recien empezo a trabajar en una empresa familiar. tiene 38 años, tiene una deuda en EDPYME MARCIMEX S A dice que dejo de pagar porque su asesor lo dejo de llamar y no sabia como comunicarse con ellos.</t>
  </si>
  <si>
    <t xml:space="preserve">pagara mñana 21/12 los 2.500 . antes del medio dia. se le dice que si no cumple pagara una penalidad por incumpliento, quiere que por whatsapp le envie la cuenta de sullana y el codigo interbancario del bcp ( dice que hara transferencia cci ) si en caso no tiene tiempo </t>
  </si>
  <si>
    <t xml:space="preserve">tt onfirma cancelacion 200 soles el 13/12 </t>
  </si>
  <si>
    <t>TT PAGA 180 SOLES</t>
  </si>
  <si>
    <t>TT paga cuota 2/2 y cancelará.</t>
  </si>
  <si>
    <t>tt paga la deuda con 200 soles el dia 15/10</t>
  </si>
  <si>
    <t>tt paga ppc x 300 hoy</t>
  </si>
  <si>
    <t>tt paga ppc x 300 hoy, pide carta al correo: 160236@unsaac.edu.pe</t>
  </si>
  <si>
    <t>tt paga ppc x 390 27/04, pide carta al correo:chonyretamozo75@gmail.com</t>
  </si>
  <si>
    <t>tt paga ppc x 400 hoy, pide carta al correo:160236@unsaac.edu.pe</t>
  </si>
  <si>
    <t>tt paga ppc x 6500 hoy</t>
  </si>
  <si>
    <t>TT PAGA S/1350 BAJO EXPECION</t>
  </si>
  <si>
    <t xml:space="preserve">TT PAGARA   517 // MDNP : NO CONTABA CON DINERO // NO BRINDA ·  </t>
  </si>
  <si>
    <t xml:space="preserve">TT PAGARA  166  // FUE ASIGNADO // IMBOUND  DE MAYRA // YA PAGO PERO ME ASIGNARON .  </t>
  </si>
  <si>
    <t xml:space="preserve">TT PAGARA  350 // TARDE  // 13/09  // NO BRINDA · SISTEMA  </t>
  </si>
  <si>
    <t xml:space="preserve">TT PAGARA  500 // EXCEPCION APROBADA POR MARIANGELA // NO BRINDA #  AUDIO   // LLAMO AL TELEFONO FIJO DE LA EMPRESA .  </t>
  </si>
  <si>
    <t xml:space="preserve">TT PAGARA  5100 // TARDE // 14/09// MDNP : NO CONTABA CON DINERO // NO BRINDA   FUE EN EL SISTEMA PERO LA FICHA SE FUE .  </t>
  </si>
  <si>
    <t>TT PAGARA  EXCEPCION APROBADO POR MAYRA  //  ENVIAR CARTA DE NO ADEUDO AL CORREO :  JAUREGUI_68@HOTMAIL.COM CON SEGURIDAD  // AUDIO EN EL NARANJA .</t>
  </si>
  <si>
    <t xml:space="preserve">TT PAGARA  LA DEUDA // LLAMO AL CELULAR NARANJA // MDNP : QUE NO PAGO PORQUE SULLANA LE INDICO QUE EXPERTIS NO EXISTE. </t>
  </si>
  <si>
    <t>TT pagara 100 soles el dia 05/03 y los 1500 el 20/03 cancelando deuda</t>
  </si>
  <si>
    <t xml:space="preserve">TT pagara 159 soles al 30/09 se genera PPC </t>
  </si>
  <si>
    <t xml:space="preserve">TT PAGARA 1900  // MDNP : NO CONTABA CON DINERO // NO BRINDA #   AUDIO EN SISTEMA  .  </t>
  </si>
  <si>
    <t>TT PAGARA 193 // MDNP : NO CONTABA CON DINERO // NO BRINDA   GRABACION MI CELULAR</t>
  </si>
  <si>
    <t xml:space="preserve">TT PAGARA 193 // QUE NO PUDO HACER PORQUE ESTA TRABAJANDO FUERA Y SOLO SALE LOS SABADOS // SE LE ESCRIBIO POR WHASAPH Y CERRO EL ACUERDO HAY SCRIPT SHOP . </t>
  </si>
  <si>
    <t xml:space="preserve">tt pagara 200 , se le informo el beneficio del dsct </t>
  </si>
  <si>
    <t xml:space="preserve">TT PAGARA 200 PORQUE QUIERE ACOPLARSE A L BENEFICIO DE LOS 3000 PAGARA LOS 200 Y LOS 2800 A FIN DE MES O EN LOS PEORES CASOS  // 5000  EN CUOTAS DE  500 . SISTEMA  </t>
  </si>
  <si>
    <t xml:space="preserve">TT PAGARA 290  // MDNP : NO CONTABA CON DINERO // NO BRINDA ·  </t>
  </si>
  <si>
    <t xml:space="preserve">TT PAGARA 350 // ESTA MAL DE SALUD PERO SU ESPOSA PAGAR LA DEUDA CON SEGURIDAD // NO BRINDA · AUDIO EN MI CELULAR  </t>
  </si>
  <si>
    <t xml:space="preserve">TT PAGARA 360  // EL VIERNES LA TOTALIDAD DE LA DEUDA  </t>
  </si>
  <si>
    <t xml:space="preserve">TT PAGARA 400  // CANCELARA LA DEUDA // EN LA MISMA FINANCIERA // ME LLAMO A MI CELULAR PERSONAL // NO BRINDA  # </t>
  </si>
  <si>
    <t xml:space="preserve">tt pagara 50 soles hoy jueves 17 - y la diferencia 310 el dia 30 de enero </t>
  </si>
  <si>
    <t>pagara en credinka , con esos cerrara su dedua</t>
  </si>
  <si>
    <t xml:space="preserve">TT PAGARA 844  LA PRIMERA CUOTA EL DIA  12/09  444 Y LO RESTANTE EL DIA JUEVES 19 // ME CAYO POR EL SISTEMA PERO SE CORTO SE LE DEVUELVE LA LLAMADA DE MI CELULAR  GRABACION  </t>
  </si>
  <si>
    <t xml:space="preserve">TT PAGARA 950 //  TARDE MDNP :  NO CONTABA CON DINER PORQUE SE ENFERMO SU FAMILIA // PAGARA CON SEGURIDAD EL DIA LUNES 28/10  AUDIO EN EL NARANJA .  </t>
  </si>
  <si>
    <t xml:space="preserve">TT PAGARA CON SEGURIDAD EL PAGO DE LOS 4100 CON SEGURIDAD. ALAS 11 AM  //  GRABACION MI CELULAR // NO BRINDA ·  </t>
  </si>
  <si>
    <t xml:space="preserve">TT PAGARA CON SEGURIDAD LA DEUDA // NO BRINDA LO PAGARA ENE L MISMMO MIBANCO  </t>
  </si>
  <si>
    <t xml:space="preserve">TT PAGARA DEUDA VIERNES 20/12 IMPORTE 200 SOLES </t>
  </si>
  <si>
    <t xml:space="preserve">tt pagara DT 140 </t>
  </si>
  <si>
    <t xml:space="preserve">tt pagara el 05-12 5000 soles en cancelacion , lo hara en caja sullana </t>
  </si>
  <si>
    <t xml:space="preserve">tt pagara el 06-12 2000 soles en cancelacion  enviara voucher </t>
  </si>
  <si>
    <t>tt pagara el 06-12 250 soles en cancelacion en interbank, lo hara a primera hora</t>
  </si>
  <si>
    <t xml:space="preserve">tt pagara el 09-12 200 soles en cancelacion , enviara voucher </t>
  </si>
  <si>
    <t xml:space="preserve">tt pagara el 10-12 200 soles en cancelacion en BCP , enviara voucher </t>
  </si>
  <si>
    <t xml:space="preserve">tt pagara el 11-12 1400 soles en cancelacion en credinka , lo hara 2:00pm </t>
  </si>
  <si>
    <t xml:space="preserve">tt pagara el 13-12 1600 soles en cancelacion , lo hara en credinka </t>
  </si>
  <si>
    <t>tt pagara el 14-11 1000 soles en cancelacion en BCP</t>
  </si>
  <si>
    <t xml:space="preserve">tt pagara el 14-12 1200 soles en cancelacion , lo hara a primera hora en credinka y enviara voucher </t>
  </si>
  <si>
    <t xml:space="preserve">tt pagara el 16-12 400 soles en cancelacion en caja sullana por la tarde </t>
  </si>
  <si>
    <t xml:space="preserve">tt pagara el 17-12 1500 soles en cancelacion en caja sullana , enviara voucher </t>
  </si>
  <si>
    <t>tt pagara el 18-12 950 soles en cancelacion , lo hara en el BCP  2:00pm , enviara voucher</t>
  </si>
  <si>
    <t>tt pagara el 20-12 1500 soles en cancelacion en qapaq, enviara voucher</t>
  </si>
  <si>
    <t>TT pagara el 21/10 se genera la PPC  pagara en misma oficina de MB.</t>
  </si>
  <si>
    <t xml:space="preserve">tt pagara el 22-11 300 soles en cancelacion , enviara voucher , lo hara 4:00pm </t>
  </si>
  <si>
    <t>tt pagara el 22-11 6000 soles en cancelacion , enviara voucher al correo :sandy09161@gmail.com</t>
  </si>
  <si>
    <t xml:space="preserve">tt pagara el 26-12 4700 soles en cancelacion , enviara voucher </t>
  </si>
  <si>
    <t xml:space="preserve">tt pagara el 27-12 3500 soles en cancelacion , lo hara a primera hora </t>
  </si>
  <si>
    <t xml:space="preserve">tt pagara el 28-11 3800 soles en cancelacion en interbank </t>
  </si>
  <si>
    <t xml:space="preserve">tt pagara el 28-11 550 soles en cancelacion , enviara voucher </t>
  </si>
  <si>
    <t>tt pagara el 29-11 800 soles en cancelacion en credinka</t>
  </si>
  <si>
    <t xml:space="preserve">tt pagara el 30-11 180 soles en cancelacion </t>
  </si>
  <si>
    <t xml:space="preserve">tt pagara el 30-11 180 soles en cancelacion, vll </t>
  </si>
  <si>
    <t>tt pagara el 30-11 4700 soles en cancelacion , enviara voucher</t>
  </si>
  <si>
    <t>TT pagará el importe 8,200 según lo conversado.</t>
  </si>
  <si>
    <t>tt pagara el lunes ( josue me ayudo a cerrar cliente ) /grabacion celular naranja</t>
  </si>
  <si>
    <t xml:space="preserve">tt pagara el lunes 09-12 250 soles en cancelacion , indica q esta en la mina y por eso no hay donde pagar </t>
  </si>
  <si>
    <t xml:space="preserve">tt pagara el lunes 25-11 3000 soles en cancelacion , lo hara 3:00pm </t>
  </si>
  <si>
    <t xml:space="preserve">TT pagará el monto de 13,100 soles. </t>
  </si>
  <si>
    <t>TT pagará el monto de 22,000 soles para su cancelación en el mismo banco BBVA.</t>
  </si>
  <si>
    <t xml:space="preserve">tt pagara el monto de 300 </t>
  </si>
  <si>
    <t>TT pagará el monto de 35,000 soles en 2 cuotas la primera hoy de 10,000 soles y lo restante de 25,000 a fines de mes.</t>
  </si>
  <si>
    <t xml:space="preserve">TT PAGARA EN UN AGENTE  BCP // PORQUE LLEGA DE LA CHACRA  ME LLAMO AL CELULAR NARANJA // SE CORTO SE LE LLAMARA DE MI CELULAR  AUDIO EN MI CELULAR  </t>
  </si>
  <si>
    <t xml:space="preserve">tt pagara hoy 02-12 250 soles en cancelacion , lo hara 10:00am, enviara voucher </t>
  </si>
  <si>
    <t xml:space="preserve">tt pagara hoy 03-12 200 soles en cancelacion , lo gara 4:00pm , enviara voucher </t>
  </si>
  <si>
    <t xml:space="preserve">tt pagara hoy 03-12 500 soles en cancelacion , enviara voucher , lo hara 5:00pm </t>
  </si>
  <si>
    <t xml:space="preserve">tt pagara hoy 06/12 1000 soles en cancelacion , enviara voucher </t>
  </si>
  <si>
    <t>tt pagara hoy 10-12 250 soles en cancelacion , lo hara 9:00am</t>
  </si>
  <si>
    <t xml:space="preserve">tt pagara hoy 13-12 564 soles en cancelacion, vll 3:00pm , indica q enviara a un tercero </t>
  </si>
  <si>
    <t xml:space="preserve">tt pagara hoy 23-11 180 soles en cancelacion , enviara voucher </t>
  </si>
  <si>
    <t>tt pagara hoy 26-11 3000 soles en cancelacion por credinka , enviara voucher</t>
  </si>
  <si>
    <t xml:space="preserve">tt pagara hoy 28-11 2000 soles en cancelacion ,excepcion </t>
  </si>
  <si>
    <t>TT pagará hoy el monto de 11,000 soles en el BBVA,</t>
  </si>
  <si>
    <t xml:space="preserve">TT PAGARA LA DEUDA  // PORQUE  QUIERE SALIR DE LA DEUDA // NO BRINDA // SISTEMA // .  </t>
  </si>
  <si>
    <t xml:space="preserve">TT PAGARA LA DEUDA  AUDIO NARANJA  // APROBADO POR MAYRA </t>
  </si>
  <si>
    <t xml:space="preserve">TT PAGARA LA DEUDA  CON EXCEPCION DE MARIANGELA PAGARALA DEUDA //  NO BRINDA #  </t>
  </si>
  <si>
    <t xml:space="preserve">TT PAGARA LA DEUDA APROBADO POR MAYRA   //  AUDIOS EN MI CELULAR PRIVADO .  </t>
  </si>
  <si>
    <t xml:space="preserve">TT PAGARA LA DEUDA CON TODA SEGURIDAD PORQUE QUIERE SALIR DE LA DEUDA //   SU NUMERO  NO ES EQUIVOCADO SINO QUE AGARRAR SU CELULAR PERO AHORA TENDRA SU TELEFONO .  SISTEMA. </t>
  </si>
  <si>
    <t xml:space="preserve">TT PAGARA LA DEUDA EL DIA SABADO // 31/08 ME CAYO POR EL SISTEMA PERO SE FUE LA FICHA . // NO BRINDA ·  LA LLAMADA FUE ECHA  7:15 // AUTORIZACION DE MARIA ANGELA  </t>
  </si>
  <si>
    <t xml:space="preserve">TT pagara la deuda el fin de mes pero a la vez comenta que pagara aportaciones libre dentro del mes de enero (respeta compromiso), solicita que la carta de no adeudo se envie por Whatsapp, </t>
  </si>
  <si>
    <t xml:space="preserve">TT PAGARA LA DEUDA EN LA TOTALIDAD //   APROBADO POR MARIANGELA // NO BRINDA · </t>
  </si>
  <si>
    <t>TT PAGARA LA ULTIMA CUOTA DE 200 SOLES AL 30/09</t>
  </si>
  <si>
    <t xml:space="preserve">TT PAGARA LA ULTIMA CUOTA DE 420 SOLES EL DIA 31/12 / VINO PAGANDO 11 CUOTAS ESTA ES LA ULTIMA CUOTA CON LA QUE CANCELARIA/ SE PIDE AUTORIZACION YA QUE CLIENTE NO LE GUSTA QUE LE HAGAN RECORDATORIO DE PAGO YA QUE PAGA PUNTUAL SUS CUOTAS </t>
  </si>
  <si>
    <t>TT PAGARA LOS 400 APROBADO  POR MARIANGELA  ALAS 4 PM PAGARA</t>
  </si>
  <si>
    <t>tt pagara mañana 03-12 1000 soles en cancelacion , lo hara en caja sullana 10:00am , enviara voucher , correo : janina1627@hotmail.com</t>
  </si>
  <si>
    <t xml:space="preserve">tt pagara mañana 12-12 3000 soles en cancelacion , excepcion </t>
  </si>
  <si>
    <t xml:space="preserve">tt pagara mañana 15-11 3000 soles por excepcion en credinka , enviara voucher </t>
  </si>
  <si>
    <t xml:space="preserve">tt pagara mañana 22-11 3000 soles en cancelacion , lo hara 3:00pm sin falta </t>
  </si>
  <si>
    <t xml:space="preserve">tt pagara mañana 26-11 450 soles en cancelacion por la tarde , enviara voucher </t>
  </si>
  <si>
    <t xml:space="preserve">tt pagara mañana 30-11 3007 soles en cancelacion </t>
  </si>
  <si>
    <t xml:space="preserve">tt pagara mañana 31-12 4700 soles en cancelacion , lo hara en credinka a primera hora  </t>
  </si>
  <si>
    <t>tt pagara sabado MIN1</t>
  </si>
  <si>
    <t xml:space="preserve">tt pago 500 soles el dia 26/12 a base de campaña de 1400 ofrecida ya que quiere pagarlo en 2 partes, se devolvio llamada desde el discador, tt indico completar el pago de la siguiente manera el 10/01 abonar 500 y el restante de 400 a fin de mes 31/01 ya que no puede obtener el dinero en un solo monto se le complica </t>
  </si>
  <si>
    <t xml:space="preserve">TT PAGO CON SEGURIDAD // SE REGISTRO EN LA TASITA ANTERIOR Y NO SE REGISTRO // AUTORIZACION DE MARIA ANGELA // GRABACION  MI CELULAR  </t>
  </si>
  <si>
    <t>TT pagó el día 30 de JUNIO monto de 6,500</t>
  </si>
  <si>
    <t>TT PAGO EL IMPORTE DE 1400 SOLES EL DIA DE HOY EN CREDINKA DE CUZCO //</t>
  </si>
  <si>
    <t>TT pagó el importe del compromiso de pago S/.19,896 por app BCP.</t>
  </si>
  <si>
    <t>tt pago hoy 02-01 100 soles , enviara voucher, y el saldo de 750 soles para el 15-01 en credinka</t>
  </si>
  <si>
    <t xml:space="preserve">tt pago hoy 14-11 400 soles en credinka  , saldo restante de 400 soles para el 30-11 </t>
  </si>
  <si>
    <t>TT PAGO LA ULTIMA CUOTA EL DIA DE HOY / E VALIDO INFORMAICON CON OH SOBRE EL PAGO DE LA PRIMERA CUOTA / COMELTO LOS 5 CUOTAS DE 136</t>
  </si>
  <si>
    <t>TT PAGO PPC 450</t>
  </si>
  <si>
    <t>TT PAHARA MAÑANA VIERNS , NO CANCELO EL DIA 8 , POR UN PROBLEMA CON EL CARRO DE SU HIJA NO PUDO ACERCARSE ALA CIUDAD  TT SE COMUNICARA CON MIGO PARA PODER AYUDARLO EN EL PAGO , SE ENVIA SMS CON NUMERO COOPORATIVO 20</t>
  </si>
  <si>
    <t xml:space="preserve">tt pdp 21-11 3000 soles en cancelacion </t>
  </si>
  <si>
    <t>TT PIDE POR FAVOR QUE ES LE REPROGRAME EL PAGO/</t>
  </si>
  <si>
    <t>TT PIDE SE LE ENVIE CRONOGRAMA DE PAGO JUNTO A LOS MEDIOS DE PAGO A CORREO JWMONTENEGROGARCIA@GMAIL.COM</t>
  </si>
  <si>
    <t>TT POR ENFERMDAD DE SU PADRE NO PUDO PAGAR ANTES MALANA CANCELARA TIENE EL DINERO</t>
  </si>
  <si>
    <t>DT:350</t>
  </si>
  <si>
    <t>CAMPAÑA: 110</t>
  </si>
  <si>
    <t>TT PPC 1890 PARA CANCELARLO EN DOS PARTES 900 EL DIA 20-12 Y DIFERENCIA DE 990 HASTA  EL DIA 30-12</t>
  </si>
  <si>
    <t>TT pudo consequir dinero prestado por un tercero. Cancelara hoy mas tardar mañana . Excepcion aprobada por Mariangela Piña ( Campaña Coronavirus).No tiene deudas reportadas , no firuda sueldo y tiene 29 años</t>
  </si>
  <si>
    <t>LEVANTAMIENTO BASE ASIGNADA 25/03/2020</t>
  </si>
  <si>
    <t>tt que quiere indica que no labora en estos momentos, que se realiza trabajos temporales y gana menor que el minimo, semanal 150 o 180, de eso paga cuarto y apoya a familia con gastos, se puede conseguir el lunes 16/12 500 soles se prestara de algun familiar o de su jefe a las 9:30 am, indica que mato hace 10 dias su deuda con caja arequipa con 300 soles una deuda de 1300, se le indica DT 1880, DK 950, min1 1100, min2 950, compromiso realizado el 11/12</t>
  </si>
  <si>
    <t>tt quiere realizar hacer cancelacion de la deuda con el monto de 450 soles</t>
  </si>
  <si>
    <t>TT RALIZRA CANCELACION CON EL IMPORTE DE 5,100.00 SOLES EL DIA 15/12. REALIZANDO UN PAR DE 200 EL DIA 06/12</t>
  </si>
  <si>
    <t xml:space="preserve">tt rdm :  confunsion , pago de manera adelantado - cambio de analista // no le dieron info  dt s/350.00 - dk s/200.00 - campaña s/160.00 - sdp : bajara a cusco - ppp s/160.00 22/10/19  sdp : cuenta con efectivo --- medio 12 pm - confirmar pago </t>
  </si>
  <si>
    <t xml:space="preserve">tt rdm : desconocia deuda, ya que mi banco --  s/250.00 -  21/10 s/100.00 , y s/150.00 fin de mes , se enviara cp  a  correo :  eduking3000@hotmail.com y formato de pago // tiene actual credito vehicular - sdp : otro </t>
  </si>
  <si>
    <t>tt realazara cacnelacion con 200soles para el 30/12  llamada desde cel 17</t>
  </si>
  <si>
    <t xml:space="preserve">TT REALIARA CANCELACION  DE LA DEUDA CON EL IMPORTE DE 1210 SOLES PARA EL 31/01 LLAMADA REALIZADA DESDE CEL 17 </t>
  </si>
  <si>
    <t>tt realiza cancelación de la deuda de S/.305</t>
  </si>
  <si>
    <t>TT REALIZA PAGO POR 632 SOLES, EL DIA DE HOY 18/09 ASIGNADO POR MARIANGELA// MAYRA</t>
  </si>
  <si>
    <t>TT REALIZARA  LA  CANCELACION  DE  LA DEUDA  CON S/. 1100 ENVIAR  CUENTA.</t>
  </si>
  <si>
    <t>TT REALIZARA  LA  CANCELACION  DE LA  DEUDA CON  EL IMPORTE DE S/. 150 EL DIA 04/03 AL MEDIODIA. (EXCEPCION APROBADO).</t>
  </si>
  <si>
    <t>tt realizara  la  cancelacion  de la  deuda el dia  viernes 13/03 con  s/. 150 co n excepcion aprobado</t>
  </si>
  <si>
    <t>tt realizara  la  cancelacion de  la deuda  con  el importe  de  s/. 400 el dia 13/03,  enviar la  cuenta  bcp</t>
  </si>
  <si>
    <t xml:space="preserve">tt realizara  la cancelacion  de  la  deuda  con  el imprte  de  s/. 300 el dia 05/03. </t>
  </si>
  <si>
    <t>tt realizara  la cancelacion  el dia de  hoy con s/. 150 se envia  cuenta  BCP</t>
  </si>
  <si>
    <t>TT realizará abono de 5,000 para cancelar.</t>
  </si>
  <si>
    <t xml:space="preserve">TT REALIZARA CANCELACIO DE LA DEUDA EL DIA LUNES 25/11. </t>
  </si>
  <si>
    <t xml:space="preserve">TT REALIZARA CANCELACION : 290.00 SOLES EL DIA LUNES. </t>
  </si>
  <si>
    <t xml:space="preserve">TT REALIZARA CANCELACION CON 500 SOLES POR BCP // IMBOUND </t>
  </si>
  <si>
    <t>tt realizara cancelacion con el importe de 1000.00 el dia 15/04/2020, ya que recibira su AFP y le estara dando prioridad</t>
  </si>
  <si>
    <t>tt realizara cancelacion con el importe de 1000.00 el dia 16/03/2020 // solicita documento de cancelacion // corp 16</t>
  </si>
  <si>
    <t xml:space="preserve">TT REALIZARA CANCELACION CON EL IMPORTE DE 1200 PARA EL 28/12 SE ENVIARA ACUERDO DE CANCELACION  LLAMADA REALIZADA DESDE CEL 17 </t>
  </si>
  <si>
    <t>TT REALIZARA CANCELACION CON EL IMPORTE DE 2,279.00 SOLES EL DIA 16/09. YA QUE CONTARA CON ESA CANTIDAD PARA ESA FECHA EN TODO CASO ... LO REALIZARA ANTES ... (APROBADO POR MARIANGELA) (SMS)</t>
  </si>
  <si>
    <t xml:space="preserve">TT REALIZARA CANCELACION CON EL IMPORTE DE 426.00 SOLES EL DIA LUNES 26/08. </t>
  </si>
  <si>
    <t>TT REALIZARA CANCELACION CON EL IMPORTE DE 430.00 SOLES EL DIA DE HOY 02-09-2019</t>
  </si>
  <si>
    <t xml:space="preserve">tt realizara cancelacion con el importe de 520 soles (aprobado por mariangela ) llamada fue de telefono fijo ... ya que clienta se volvio a comunicar por respuesta de excepcion, se le indica todos los detalles pero celular se le apago porque mantenia bateria baja.. se logro dictar numero de cuenta y modo de pago. </t>
  </si>
  <si>
    <t xml:space="preserve">TT REALIZARA CANCELACION CON EL IMPORTE DE 85 SOLES .. SE ENVIA SMS. </t>
  </si>
  <si>
    <t xml:space="preserve">TT REALIZARÁ CANCELACIÓN CON EL IMPORTE DE S/ 220 DE LA SIGUIENTE MANERA: S/ 200 PARA HOY 21/11 Y S/ 20 PARA MAÑANA 22/11. SE ENVIARÁ SMS CON CUENTA DEL BCP </t>
  </si>
  <si>
    <t xml:space="preserve">tt realizará cancelación con el importe de s/ 500 para el día lunes 09/09 Indica que lo realizará en el rango de 3:30 a 4:30 pm. </t>
  </si>
  <si>
    <t>tt realizara cancelacion de 1600 soles el 22/04</t>
  </si>
  <si>
    <t>tt realizara cancelacion de 250 el 02/04</t>
  </si>
  <si>
    <t>tt realizara cancelacion de deuda el dia 13/03 con el importe de 220</t>
  </si>
  <si>
    <t xml:space="preserve">TT REALIZARA CANCELACION DE LA DEUDA CON EL IMPORTE DE 1000 SOLES // REQUIERE CARTA DE NO ADEUDO. </t>
  </si>
  <si>
    <t>TT REALIZARA CANCELACION DE LA DEUDA CON EL IMPORTE DE 850 SOLES EL DIA 02/10.</t>
  </si>
  <si>
    <t xml:space="preserve">TT REALIZARÁ CANCELACIÓN DE S/ 950 PARA EL DÍA MARTES 27/08. ( EXCEPCIÓN APROBADA POR MARIANGELA). </t>
  </si>
  <si>
    <t xml:space="preserve">TT REALIZARA CANCELACION DE SU DEUDA CON EL IMPORTE DE 275 PARA EL 30/12, PERTENECIENTE A LA 3RA CUOTA DE 3 LLAMADA DESDE CEL 17 </t>
  </si>
  <si>
    <t xml:space="preserve">tt realizara cancelacion el 31/03 dvll </t>
  </si>
  <si>
    <t xml:space="preserve">tt realizará cancelación el dia de mañana 20/09. </t>
  </si>
  <si>
    <t xml:space="preserve">TT REALIZARA CANCELACIONA DE SU DEUDA CON EL IMPORTE DE 450SOLES EL DIA 28/12 YA QUE POARA ESE DIA LE PAGAN SU SUELDO LLAMADA DESDE CEL 17 </t>
  </si>
  <si>
    <t xml:space="preserve">TT REALIZARA CANCELCION CON EL IMPORTE DE 4,200.00 SOLES EL DIA 30/11 PERO EL DIA 22/11. REALIZRA UN ADELANTO DE 300 SOLES COMO ADELANTO .. CLIENTE SE NEGOCIO POR WSP . </t>
  </si>
  <si>
    <t xml:space="preserve">TT realizará el pago de 11,500 soles el día de hoy. </t>
  </si>
  <si>
    <t xml:space="preserve">tt realizará el pago de s/ 460 para la cancelaci¨ón el dia sab 28/09. </t>
  </si>
  <si>
    <t>tt realizara el pago en Bcp, por el monto de S/.390.00</t>
  </si>
  <si>
    <t>TT REALIZARA LA CANCELACION  CON EL IMPORTE DE 2,010 SOLES ... YA QUE SE ACERCARA A CREDINKA ...</t>
  </si>
  <si>
    <t>tt realizará la cancelación con 682 el dia de hoy 17/09. ( se realiza compromiso desde telf fijo).</t>
  </si>
  <si>
    <t>TT REALIZARA LA CANCELACION CON EL IMPORTE DE 1,088.00 SOLES EL DIA JUEVES 17/10. REALIZARA ABONO CON EL IMPORTE DE 200 SOLES Y LO RESTANTE DE 888 SOLES  EL DIA 30/10.</t>
  </si>
  <si>
    <t>TT REALIZARA LA CANCELACION CON EL IMPORTE DE 1,500 . 00 SOLES EL DIA SABADO 26/10. ( INBOUND )</t>
  </si>
  <si>
    <t>TT REALIZARA LA CANCELACION CON EL IMPORTE DE 1500.00 EL DIA 15/02/2020, INDICA QUE TRATARA DE HACER EL PAGO EL DIA 14/02/2020 O CON MAS SEGURIDAD EL DIA 15/02/2020 A LAS 10:00 AM // EXCEPCION APROBADA POR JULIO // LLAMADA DEL CORPORATIVO 16</t>
  </si>
  <si>
    <t xml:space="preserve">TT REALIZARA LA CANCELACION CON EL IMPORTE DE 344.00 SOLES // 23/10. </t>
  </si>
  <si>
    <t>tt realizara la cancelacion con el importe de 880.00 de la sgte manera: S/180.00 EL DIA 15/05/2020 Y 700.00 EL DIA 29/05/2020, EL PAGO LO REALIZARA CON SU AFP, LLAMADA DEL DISCADOR</t>
  </si>
  <si>
    <t xml:space="preserve">TT REALIZARA LA CANCELACION CON EL IMPORTE DE S/1500.00 EL DIA 21/02/2020 // TT ESTARA EN OFICIANA A LAS 2:30 PM </t>
  </si>
  <si>
    <t>tt realizara la cancelacion con el importe de S/200.00 el dia 03/04/2020, cancela ya que quiere solicitar prestamo en el banco de la nacion, TT DESCONFIADO(EXCEPCION APROBADA)</t>
  </si>
  <si>
    <t>TT REALIZARA LA CANCELACION CON EL IMPORTE DE S/2000.00 EL DIA 12/05/2020, SE LE BRINDO NUMERO DE CUENTA, SE LE INDICO LA CARTA DE NO ADEUDO, SE LE ENVIARA ACUERDO. TT REALIZARA PAGO AL MEDIO DIA. (EXCEPCION APROBADA)</t>
  </si>
  <si>
    <t>TT REALIZARA LA CANCELACION CON EL IMPORTE DE S/350.00 EL DIA 18/02/2020 // EXCEPCION APROBADA POR JULIO // CELULAR CORPORATIVO 16</t>
  </si>
  <si>
    <t>tt realizara la cancelacion con el importe de S/700.00 (excepcion aprobada) de la sgte manera: 300.00 el dia 15/05/2020 y 400.00 el dia 29/05/2020</t>
  </si>
  <si>
    <t>TT REALIZARA LA CANCELACION DE LA DEUDA CON EL IMPORTE DE700 SOLES EL DIA DE HOY 18/10.  (EXCEPCION APROBADO POR MAYRA )</t>
  </si>
  <si>
    <t>tt realizara la cancelacion el dia 26/05/2020 el importe de 250.00</t>
  </si>
  <si>
    <t xml:space="preserve">TT REALIZARA PAGO DE 200 EL DIA DE HOY A LAS 5 DE LA TARDE QUE SALE DE TRABAJAR. </t>
  </si>
  <si>
    <t xml:space="preserve">TT REALIZARA PAGO DE 7,000.00 SOLES EN 2 PARTES EL DIA VIERNES06-09. 3,500.00 SOLES Y EL DIA 27-09.. 3,500.00 RESTANTES </t>
  </si>
  <si>
    <t>(SE LE GENERO PPC EL DIA 02-09 Y NO APARECE)</t>
  </si>
  <si>
    <t>TT realizará pago de 9,000 soles en 2 partes, 4500 soles hoy y lo restante a fines de mes.</t>
  </si>
  <si>
    <t>tt realizarà pago de cancelaciòn de S/.108 el miercoles 28/08</t>
  </si>
  <si>
    <t xml:space="preserve">tt realizará pago de la segunda cuota de s/ 2500 para la cancelación total el día 31/01. </t>
  </si>
  <si>
    <t xml:space="preserve">tt realizará pago de s/ 100 en 02 armadas s/ 500 para el dia de mañana 27/09 y el saldo restante para el lunes 30/09. </t>
  </si>
  <si>
    <t>tt realizará pago de s/ 1200 para la cancelación. Indica que esta semana brindará adelanto. Se dvll para confirmar. ( excepción aprobada por mariangela).</t>
  </si>
  <si>
    <t xml:space="preserve">tt realizará pago de s/ 200 el día de mañana 22/08 . Solicita que enviemos numero de cuenta via sms. ( se me fue la ficha): </t>
  </si>
  <si>
    <t>tt realizará pago de s/ 200 el viernes 06/009.</t>
  </si>
  <si>
    <t>tt realizará pago de s/ 200 el viernes 06/009. (se me fue la ficha).</t>
  </si>
  <si>
    <t>tt realizará pago de s/ 2100 para el 30/09. ( realizará abonos semanales , tt no cuenta con telf personal indica que se comunicará cada vez que realice los abonos).</t>
  </si>
  <si>
    <t xml:space="preserve">tt realizará pago de s/ 570 el 29/08. Solicita que enviemos num de cuenta via sms. ( se me fue la ficha). </t>
  </si>
  <si>
    <t xml:space="preserve">tt realizará pago de s/ 6800 para la cancelació total de la siguiente manera: s/ 3000 para el sábado 07/12 y el saldo restante como plazo máximo hasta el 31/12. Indica que probablemente realice la cancelación el 27/12. </t>
  </si>
  <si>
    <t>TT REALIZARÀ PAGO DE S/.1500 EL 07/12 Y EL 20/12 PAGARÀ S/.500 SIENDO LA SUMA TOTAL DE S/.2000//NEGOCIACIÒN CON AYUDA DE MARIBEL CCARHUAS//EXCEPCIÒN APROBADO POR JULIO HIGA</t>
  </si>
  <si>
    <t xml:space="preserve">tt realizara pago el dia de hoy </t>
  </si>
  <si>
    <t>TT realizara pago inicial de 2k si en caso puede 5k, diferencia de 20k hasta el 27/05</t>
  </si>
  <si>
    <t>tt realizará pago para la cancelación con el importe de s/ 500</t>
  </si>
  <si>
    <t>tt realizó cancelación con S/.1674</t>
  </si>
  <si>
    <t>tt realizo cancelacion de deuda por 600 soles el dia 26/03</t>
  </si>
  <si>
    <t xml:space="preserve">tt realizo llamada a corporativo e indica que abonara el dia de hoy 300 soles y el dia 31 lo restante (650.00)//esta cerca a credinka para abonar </t>
  </si>
  <si>
    <t xml:space="preserve">tt realizo un pago de 2000 soles el 18/12 hoy abonara 1000 soles cancelando la totalidad, </t>
  </si>
  <si>
    <t xml:space="preserve">tt refiere que abonara el dia sabado 14/03 100 soles y el dia 31/03 los 480 soles restantes </t>
  </si>
  <si>
    <t>tt refiere que cancelara con 300 soles su deuda depende de que llegue el esposo el dia lunes se enviara compromiso por whatsapp</t>
  </si>
  <si>
    <t>TT REFIERE QUE EL DIA DE HOY ABONARA 100 SOLES Y EL DIA 12/03 600 SOLES CANCELANDO ASI SU DEUDA APROBADA POR EXCEPCION</t>
  </si>
  <si>
    <t xml:space="preserve">TT refiere que tiene dicho importe para poder cancelar se contacto desde discador </t>
  </si>
  <si>
    <t xml:space="preserve">TT REPROGRAMA PAGO PARA EL DIA LUNES 23/09. TUVO UN RETRASO CON SU PAGO POR ESO NO PUDO EFECTUAR EL PAGO. </t>
  </si>
  <si>
    <t>tt reprogramo indica que  con  seguridad abonara  el lunes s/.460 ya que esta esperando un deposito</t>
  </si>
  <si>
    <t>TT RUFO ABONARA ESTE DOMINGO 6/ 100 SOLES  Y CADA FIN D EMES ABONARA HASTA HACER LA CANCELACION D ESU DEUDA SE LE INFORMA DE UN POSIBLE EMBARGO SI NO PAGA  / Y EL MES QUE VIENE LE COBRARAN EN BASE A LOS 1000 SOLES/</t>
  </si>
  <si>
    <t xml:space="preserve">TT SACO EL DINERO DESU CHACRA , CONFIRMA CANCELACION PARA EL DIA 10 ENERO MONTO 1300 SOLES </t>
  </si>
  <si>
    <t xml:space="preserve">TT SE ACEPTA CANCLELCON DE 2900 SOLES ,COMFIRMA QUE PAPA LE ESTA PRETSNDO DINERO ,PARA HOY CANCELAR 26/05/DESEA ACUERDO DE CANCLCION AHORA ,LOS DEMAS INF EN LA 1RA GESTION </t>
  </si>
  <si>
    <t>TT SE ACERCARA  A REALIZAR LA CANCELACION POR S/1400 ESPERA DE EXCEPCION DE MARIANGELA</t>
  </si>
  <si>
    <t>tt se acercarà el 26/09 a cancelar la deuda con S/300 siendo esto su ultima cuota del acuerdo de pago</t>
  </si>
  <si>
    <t>tt se acercara hoy a agencia sullana de sjl a solicitar los documentos que dejo en garantian una vez le confirmen ello pagara maximo mañana se detallo que expertis se encargada de entregarle la Carta de noadeudo</t>
  </si>
  <si>
    <t xml:space="preserve">tt se acoce a cancelacion con el importe de s/ 350 para el 16/08. Indica que realizará cobranza de dinero que le deben . </t>
  </si>
  <si>
    <t>TT SE ACOGE A CAMPAÑA MONTO DE 402 SOLES, ABONARA LA MITAD EL DIA 23/10 Y LA DIFERENCIA A FIN DE MES.</t>
  </si>
  <si>
    <t>tt se acoge a campaña, cancela con 300 el 15/05 en agente bcp. (plantilla 4/05 12:16)</t>
  </si>
  <si>
    <t xml:space="preserve">tt se acoge a cancelacion con el importe de s/ 130 para el 30/09.  </t>
  </si>
  <si>
    <t xml:space="preserve">tt se acoge a cancelación con el importe de s/ 1400 como plazo máximo hasta el viernes 13/09. Indica poder disponer con el dinero para el día lunes, se dvll para confirmar. </t>
  </si>
  <si>
    <t xml:space="preserve">tt se acoge a cancelación con el importe de s/ 200 // s/ 100 para el 16/09 y s/ 100 para el 30/09. </t>
  </si>
  <si>
    <t>TT SE ACOGE A CANCELACIÓN CON EL IMPORTE DE S/ 400 PARA EL 28/08.</t>
  </si>
  <si>
    <t>tt se acoge a cancelación con el importe de s/ 500 , brindará ad de s/ 100 el viernes y el saldo restante para fin de mes. ( se me fue la ficha).</t>
  </si>
  <si>
    <t xml:space="preserve">tt se acoge a cancelación con el importe de s/ 500 // Solicita que enviemos acuerdo de cancelación via whatsapp. </t>
  </si>
  <si>
    <t xml:space="preserve">tt se acoge a cancelación con el importe de s/ 500 para el 16/09. ( SE ME FUE LA FICHA). </t>
  </si>
  <si>
    <t xml:space="preserve">tt se acoge a cancelación con el importe de s/ 700 // s/ 300 el jueves o viernes y el saldo restante para fin de mes. ( se me fue la ficha). </t>
  </si>
  <si>
    <t xml:space="preserve">tt se acoge a cancelación con el importe de s/ 720 para el lunes 16/09 como máximo. Indica que posiblemente lo realice el 14/09 ( SE ME FUE LA FICHA). </t>
  </si>
  <si>
    <t xml:space="preserve">tt se acoge a cancelación con el importe de s/4054 para el día de hoy 29/08. ( excepción aprobada por mariangela). </t>
  </si>
  <si>
    <t>TT SE ACOGE A CANCELACIÓN POR EL IMPORTE DE S/ 350 CON PLAZO MÁXIMO HASTA EL MARTES 27/08. ( EXCEPCIÓN APROBADA POR MARIANGELA).</t>
  </si>
  <si>
    <t>tt se acoge a cancelación por el importe de s/ 461 para el viernes 06/09.</t>
  </si>
  <si>
    <t xml:space="preserve">tt se acoge a cancelación por el importe de s/ 600 , indica que abonará de manera semanal ( realizará abono el dia de mañana 05/09 , se dvll en la mañana). </t>
  </si>
  <si>
    <t>tt se acoge a la cancelacion con el importe de 100,00 el dia 27/05/2020</t>
  </si>
  <si>
    <t>motivo de atraso cliente no le depositaron en su centro laboral</t>
  </si>
  <si>
    <t>suetento de pago le abonaran entre 25 o 26 de mayo</t>
  </si>
  <si>
    <t>cliente ya venia con una previa negociacion, donde solo se estaba a la confirmacion del pago</t>
  </si>
  <si>
    <t>BASE MANUAL DE LA TACIA</t>
  </si>
  <si>
    <t>TT SE ACOGE A LA CANCELACION CON EL IMPORTE DE 300.00 EL DIA 21/02/2020 , SOLICITA CUENTA BCP POR WHATSAPP // CEL CORPORATIVO 16</t>
  </si>
  <si>
    <t xml:space="preserve">tt se acogerá a la cancelación, realizará adelanto de 300.    </t>
  </si>
  <si>
    <t xml:space="preserve">tt se apersona a credinka indica que realizará cancelación con el importe de s/ 12,100.00 el día de hoy 25/11. </t>
  </si>
  <si>
    <t xml:space="preserve">TT SE APERSONA A LA AGENCIA YA QUE CONSIGUIÓ EL IMPORTE DE  S/ 2000 PARA REALIZAR LA CANCELACIÓN. SE APRUEBA LA SOLICITUD SOLO POR EL DÍA DE HOY 18/02. </t>
  </si>
  <si>
    <t xml:space="preserve">tt se apersona a oficinas indica, se compromete a realizar cancelación con el importe de s/ 50,000.00 hasta el 30/11. Indica que probablemente lo realice el día 28/11. </t>
  </si>
  <si>
    <t xml:space="preserve">tt se apersona a oficinas, indica que realizará el pago de s/ 5000 el día de hoy. Se le envía la cuenta del bcp. </t>
  </si>
  <si>
    <t xml:space="preserve">tt se apersona a oficinas, se compromete a realizar cancelación con el importe de s/ 12,000.00 el día de hoy 17/12. </t>
  </si>
  <si>
    <t>TT SE COMNICO AL COORP 18 INDICA QUE TUVO UN INCONVENIENTE Y LO PODRA CANCELAR HASTA EL MARTES 18</t>
  </si>
  <si>
    <t xml:space="preserve">tt se compromete a cancelar deuda con el monto de 1700 , pago lo estraa realziando 19/10 a horass 9 -10 am , </t>
  </si>
  <si>
    <t xml:space="preserve">tt se compromete a realizar cancelación con el importe de s/ 1200 para el día de hoy. </t>
  </si>
  <si>
    <t xml:space="preserve">tt se compromete a realizar la cancelación con el importe de s/ 5100 el día de hoy 23/08. </t>
  </si>
  <si>
    <t xml:space="preserve">tt se compromete a realizar pago de s/ 14,000.00 para la cancelación totalel día 20/11 ; ya que ese día podrá realizar el cobro de su cheque. </t>
  </si>
  <si>
    <t>tt se compromete a realizar pago de s/ 400 para la cancelación el 30/01 segú lo acordado , cuota 7/7.</t>
  </si>
  <si>
    <t>TT SE COMPROMETE EN EFECTUAR DEPOSITO DE 3710 PARA LA CANCELACION DE LA DEUDA. 31/10</t>
  </si>
  <si>
    <t>tt se compromete realizar cancelar deuda, con el monto de 600 solesel di a28/11</t>
  </si>
  <si>
    <t xml:space="preserve">tt se comunica , indica que realizará pago en estos momentos mediante el app . </t>
  </si>
  <si>
    <t>TT SE COMUNICA A CEL 11 X MSJ DT4000 DK 1800 DC 1400TIENE 29 AÑOS DEBE 1 ENTIDAD REPOERTADA CN PROEMPESA  SI TRABAJA , SUSTENTO DE POG LO SACA DE SUELDO TIT MANDARA MAÑAN A SU NOVIO A CANCELAR DEUDA CN 1400 13/02 /  TIT LLAMO CEL 11</t>
  </si>
  <si>
    <t xml:space="preserve">TT SE COMUNICA A COORPORATIVO POR MSJ QUE LE LLEGO PPC DE 948 PAGA HOY A LAS 10 AM </t>
  </si>
  <si>
    <t>TT SE COMUNICA A CORORATIVO .. INDICA QUE TUVO PROBLEMAS DE PAGO EL MES PASADO POR VIAJE QUE HIZO ... Y EL DIA VIERNES SE ACERCARA A PAGAR SIN FALTA .  PPCC: 3,700.00</t>
  </si>
  <si>
    <t>TT SE COMUNICA A CORPORATIVO 7 INFORMANDO QUE LE ENVIARON UN SMS CON DESCUENTO ///MONTO 1170//CANCELARA EL DIA LUNES 24/2 CON LA VENTA DE SUS ANIMALES QUE CRIA //</t>
  </si>
  <si>
    <t xml:space="preserve">43 AÑOS /3 HERMANOS//NO REGISTRA DEUDA </t>
  </si>
  <si>
    <t xml:space="preserve">TT SE COMUNICA AL CEL 11 LE LLEOG MSJ X 955 SE IND DT 2555, DC1000 TIENE 61 AÑOS DEBE UNA ENTIDAD , SI LABORA /TIT PAGARA EL 24/02 955 SOLES </t>
  </si>
  <si>
    <t xml:space="preserve">TT SE COMUNICA AL CEL NEGRO Y MENCIONA QUE POR DDA NO ABONO PERO LO HARA EL DIA MENCIONA QUE EL DIA DE MAÑANA AL MEDIO DIA 484 SOLES </t>
  </si>
  <si>
    <t>tt se comunica al celular corporativo debido a una llamada perdida//se menciona deuda total de s/.1300 y por campaña de diciembre puede cancelarcon s/.920//tt menciona que estarà pagando el 17/12//se enviò por sms numero de cuenta del BCP, debido a que cliente esta en la selva y solo cuenta con el BCP para pagar</t>
  </si>
  <si>
    <t>tt se comunica al celular rosado porque le llegò un link para que se comunique por la deuda con CAJA SULLANA//Le ofrecieron cancelar con S/.500 hace una semana//tt se acercarà a cancelar deuda con S/.500 y enviarà comprobante de pago</t>
  </si>
  <si>
    <t>tt se comunica al celular rosado, menciona que le llegò sms para cancelar S/2443 para cancelar deuda y tener carta de no adeudo, pagarà el 30/09</t>
  </si>
  <si>
    <t>TT SE COMUNICA AL CORP 14</t>
  </si>
  <si>
    <t>DT 573.09</t>
  </si>
  <si>
    <t>DK 301.5</t>
  </si>
  <si>
    <t>MDI: NO LE ABONAR SU SUELDO POR ESO NO PAGO EL MES PASADO</t>
  </si>
  <si>
    <t>CAMPAÑA: 221</t>
  </si>
  <si>
    <t>STP: TIENE 150 EN LA TARJETA SE CON SEGUIRA EL RESTANTE</t>
  </si>
  <si>
    <t>OBJECION: TT QUERIA CANCELAR CON 150, SE LE INDICA QUE SE PUEDE CON 221</t>
  </si>
  <si>
    <t>TT SE COMUNICA AL CORPORATIVO 19 MENCIONA QUE L ELLEGO SMS CON CAMPAÑA DE 2352 SOLES  MENCIONA QUE SI SE ENCUENTRA LABORANDO</t>
  </si>
  <si>
    <t>SUSTENTO: TRABAJO</t>
  </si>
  <si>
    <t xml:space="preserve">TIENE DINERO A LA MANO HOY REALIZA EL PAGO </t>
  </si>
  <si>
    <t>DT:6600</t>
  </si>
  <si>
    <t>CAMPAÑA:2352</t>
  </si>
  <si>
    <t>tt se comunica al corporativo 19, DT 1400, indica que le llego la campaña de 405 para poder cancelar su deuda, indica que quiere cancelar el dia viernes 31/01 en la tarde, no pago ya que quebro en un negocio que quizo abrir, por tal motivo del negocio saco el prestamo, no trabaja, tiene un ahorro para poder ccancelar deuda, CALIFICACION DE MIBANCO EN NORMAL, 26 años</t>
  </si>
  <si>
    <t>TT se comunica al corporativo 19, DT 2624, campaña 735, antiguedad 2 años, indica que le llego campaña por sms, indica que quiere pagar porque ya no quiere tener deudas, saco prestamo para comprar una moto, no pago porque le robaron la moto, tiene el dinero a mano, trabaja en la tienda de su primo apoyandolo, 25 años, entidades reportadas CMAC TRUJILLO Y QAPAQ</t>
  </si>
  <si>
    <t>Tt se comunica al corporativo 19, indica que le llego un mensaje de promocio de 202.40 para la cancelacion de la deuda, indica que no pudo pagar porque no tenia el dinero para pagar, quiere cancelar entre las 6 a 7 pm, indica que trabajaba pero ya renuncio y esta llevando sus gastos con su liquidacion cobrada, indica que sacara prestamo de un familiar para cancelar, solo Oh coo entidad reportada, 36 años.</t>
  </si>
  <si>
    <t>tt se comunica al corporativo 19, indica que no le han podido pagar, indica que podra terminar de realizar la cancelacion de la deuda el 24/02, realizo el abono de 450 soles el dia de ayer 11/02 a la espera del voucher ya que se cayo, indica que el siguiente abono de 450 soles sera el 17/02 y el monto restante el 24/02</t>
  </si>
  <si>
    <t>tt se comunica al inbound y confirma cancelar hoy S/.1000//enviarà comprobante de pago al whatsapp</t>
  </si>
  <si>
    <t>TT SE COMUNICA AL WHATSAPP DEL CORP 14</t>
  </si>
  <si>
    <t>DT 2279</t>
  </si>
  <si>
    <t>DK 1023</t>
  </si>
  <si>
    <t>MDI: SE FUE DE VIAJE Y NO PAGO LA CUENTA</t>
  </si>
  <si>
    <t>CAMPAÑA: 204.50</t>
  </si>
  <si>
    <t>STP: HA REGRESADO DE VIAJE DE OTRO PAIS Y TIENE DINERO A MANO</t>
  </si>
  <si>
    <t>OBSERVACION: DESEA ACUERDO DE CANCELACION YA QUE NO SE LE SIENTE CON SEGURIDAD</t>
  </si>
  <si>
    <t xml:space="preserve">TT SE COMUNICA CANCELARÁ s/ 400.00 , se debe de cancelar deuda. </t>
  </si>
  <si>
    <t xml:space="preserve">tt se comunica con nosotros nos indica q hoy estaria realizando el pago a las 3:00 de la tarde o el lunes a primera hora , quiere llegar a una conciliacion a la totalidad porq necesita su carta de no adeudor. </t>
  </si>
  <si>
    <t>tt se comunica confirma que hoy cancelara la totalidad de su deuda enviara a su hija Vannesa Evelyn a realizar el pago</t>
  </si>
  <si>
    <t xml:space="preserve">TT SE COMUNICA DE NUMERO NUMERO 980402228 // ES COPORATIVO DE SU EMPRESA... INDICA QUE NO SE COMUNQUEN ... NOS BRINDA NUMERO DE SU CASA  CUZCO   084-588139 - // CANCELARA HOY CON 359 SOLES .. </t>
  </si>
  <si>
    <t xml:space="preserve">TT SE COMUNICA DE OTRO NUMERO INDICA QUE AUN NO RECIBE EL PAGO QUE ESPERABA //ESTARA REALIZANDO EL PAGO SABADO A MAS TARDAR </t>
  </si>
  <si>
    <t>tt se comunica dt 1400 dc764 dic le llego msj x 582 soles , ind pretamo era era para otra persona can cn 582 sols el 11/03 / 41 años no reditra deuda , tampoco trabajo, sustento de pgoya tiene dinero manada giro para pagar/ tt llamo al cel 9</t>
  </si>
  <si>
    <t>TT SE COMUNICA DT3000 C1200 DC400 DIC LE LLEOG MSJ X 355 SE ACUERDA CANCWLAR HOY DIA YA Q TIENE PLATA EN MANO LLAMO CEL11 48AÑOS NO SALE TRABAJO 3 ENTIDADES</t>
  </si>
  <si>
    <t>tt se comunica el tt y menciona que el dia miercoles 28/08 hara el pago de la deuda en base a 2450 soles / cel personal</t>
  </si>
  <si>
    <t xml:space="preserve">tt se comunica indica conseguir los s/ 5000 , se acepta propuesta, pago para el 09/10. </t>
  </si>
  <si>
    <t>TT SE COMUNICA INDICA QUE ESTA EN LA POSIBILIDAD DE PAGAR MIN 1//4785 DIA SABADO 07/12///SE DEDICA AL COMERCIO (ALIMENTOS )//</t>
  </si>
  <si>
    <t>TT SE COMUNICA INDICA QUE QUIERE HACER LA CANCELACION DE LA DEUDA</t>
  </si>
  <si>
    <t>TIENE ACUERDO DE EXCEPCION DE 3267 EN 11 CUOTAS</t>
  </si>
  <si>
    <t>10 DE 312</t>
  </si>
  <si>
    <t>1 DE 147</t>
  </si>
  <si>
    <t>PAGO 4 CUOTAS(320+315+315+315=1265)</t>
  </si>
  <si>
    <t>RESTARIA 2002</t>
  </si>
  <si>
    <t>TT INDICA QUE TIENE A MANO 1800 PARA CANCELAR LA DEUDA DEL RESTANTE</t>
  </si>
  <si>
    <t xml:space="preserve">OBERVACION: CONVERSADO CON MARIANGELA </t>
  </si>
  <si>
    <t xml:space="preserve">APROBADO POR MARIANGELA Y JULIO </t>
  </si>
  <si>
    <t xml:space="preserve">tt se comunica indicando que se está dirigiendo al banco, realizará la cancelación con el importe de s/750 el día de hoy 16/05. </t>
  </si>
  <si>
    <t xml:space="preserve">tt se comunica indicando que ya consiguió el importe total. Se compromete a realizar cancelación con el importe de s/ 1200 el día de mañana 08/12. Solicita que enviemos núm de cuenta vía whatsapp. </t>
  </si>
  <si>
    <t xml:space="preserve">TT se comunica para conciliar , se informa DT:2383.22 DES: 1,650 , </t>
  </si>
  <si>
    <t>se activa campaña hoy como PPC ,menciona que su familiar le prestarà el dinero para regularizar + su aguinaldo.</t>
  </si>
  <si>
    <t xml:space="preserve">TT SE COMUNICA PARA SABER SU DEUDA, SE MENCIONA LOS MISMO MONTOS DEL SISTEMA .Oferta 2,000.00 soles </t>
  </si>
  <si>
    <t>TT SE COMUNICA POR MEDIO DE WHATSAPP //CONFIRMA PAGO DE 1200 SOLES //PARA LA CANCELACION DE LA DEUDA //EFECTUARA EL PAGO A FIN DE MES (31/01/2020)</t>
  </si>
  <si>
    <t>TT SE COMUNICA POR MSJ DE TEXTO</t>
  </si>
  <si>
    <t xml:space="preserve"> DT 1404 CAMPAÑA 144</t>
  </si>
  <si>
    <t xml:space="preserve">MENCIONA QUE ESTA EN AREQUIPA PERO ESTA INTEREZADO EN PAGAR SU DEUDA , SE ACERCA MAÑANA A AGENCIA </t>
  </si>
  <si>
    <t>NO SE USO SEARCH : YA QUE TT TIENE INTENCION DE PAGO LLAMA PARA HACERLO</t>
  </si>
  <si>
    <t>TT SE COMUNICA POR QUE LE LLEGO UN SMS INDICA QUE EL DIA 20/04 PAGARA EL MONTO DE 385 SOLES QUE CANCELARA LA DEUDA INDICA QUE EL TRABAJA EN PRODUCCION DE LA CUAL SIGUE TRABAJANDO EN NORMALIDAD SE COMPROMETE PARA ESA FECHA YA QUE AHORA NO TIENE / PPC</t>
  </si>
  <si>
    <t xml:space="preserve">TT SE COMUNICA POR WHASTAPP Y DESEA LLEGAR ACUERDO DE PAGO SE LE MENCIONA DT POR 8400 SOLES / CAPITAL 5200 SOELS CAMPAÑA 2300 SOLES / DICE QUE NO PAGO POR UN DAÑO QUE LE HIZO EL IBK / SE CONSULTA CON MAYRA EL PAGO CON DESCVUENTO EN 1900 SOLES PERO SI LO PAGA HOY 28/12 Y SI PAGA EL 30/12 / 2 MIL SOLES NO MENOS / TIENE 34 AÑOS / SE VEROFICA ELS EARCH Y TIENE UN BUEN RECORD CREDITIICO SIN DEUDA PENDIENTE / SEGUN EL TT SOLO TRABAJA COMO ASESOR / NO BRINDA MAYOR INFORMACION SE VERIFICA EN TAZA QUE ES UN CLIENTE RENUENTE / </t>
  </si>
  <si>
    <t xml:space="preserve">tt se comunica por whatsapp y nos envie un doc donde indican que su remuneracion lo realizan el 27/04 y que ahora se le hace dificil que lunes esta cancelando es enfermera , se le pide abono pero no puede que el lunes ya dispondria de dinero </t>
  </si>
  <si>
    <t xml:space="preserve">TT SE COMUNICA REALIZARÁ PAGO DE S/ 800 EL DIA DE HOY 19/11 PARA LA CANCELACIÓN  </t>
  </si>
  <si>
    <t>TT SE COMUNICA SE LE BRINDA DT &gt; MIL SOLES //  INDICA QUE ELLA YA HABIA CANCELADO LA DEUDA ... SE LE BRINDA CAMPAÑA 350 SOLES   // PAGARA EL DIA LUNES 13 POR LA TARDE . / INBOUD FIJO</t>
  </si>
  <si>
    <t>TT SE COMUNICA Y ESTA DE ACUERDO EN CANCELAR LA DEUDA CON 810 SOLES EL DIA 28/09 YA QUE RECIEN SALE PARA EL DIA 27/09</t>
  </si>
  <si>
    <t xml:space="preserve">TT SE COMUNICA Y MENCINA QUE SOLO TIENE 3300 SOLES PARA CANCELAR LA DEUDA / ESTARA EN OFICINA A LAS 10 AM PARA QUE HAGA LA CANCELACION / </t>
  </si>
  <si>
    <t xml:space="preserve">tt se comunica y menciona que canleca el dia de hoy solo junto 300 y se le menciona 400 no menos / quiere que le tramite la carta y se le indico que no que demora / </t>
  </si>
  <si>
    <t xml:space="preserve">tt se comunica y se quedo acuerdo 1200 imbound Nataly </t>
  </si>
  <si>
    <t>tt se comunica ya que le llego un sms para cancelar con 636 soles el dia de hoy / se acercara al interbank se brinda numero de cuenta / no logro mencionarle otro monto ya que no cargaba el sistema</t>
  </si>
  <si>
    <t xml:space="preserve">tt se comunica, indica que le llego un correo indicado el importe campaña de s/ 213. Realizará el pago el día de hoy , se le envia num de cuenta del bcp. </t>
  </si>
  <si>
    <t xml:space="preserve">tt se comunica, indica que realizará el pago de los s/ 200 restantes el día de hoy 19/11.  </t>
  </si>
  <si>
    <t>tt se comunica, indica que solo cuenta con s/1000.00 ya que su esposa tuvo que coger algo de dinero, se le acepta e indica que lo realizara a las 11:00 am</t>
  </si>
  <si>
    <t xml:space="preserve">tt se comunica, realizará pago de s/ 250.   </t>
  </si>
  <si>
    <t xml:space="preserve">tt se comunica, se acoge a cancelación por el importe de s/ 1640 </t>
  </si>
  <si>
    <t>TT SE COMUNICO A CORPORATIVO (VERDE) CANCELARA EL DIA VIERNES 196 SOLES .</t>
  </si>
  <si>
    <t>TT SE COMUNICO A CORPORATIVO (VERDE) CANCELARA EL DIA VIERNES 20/09 - 196 SOLES .</t>
  </si>
  <si>
    <t xml:space="preserve">TT SE COMUNICO AL CELULAR NEGRITO Y SE LE GENERO UNA CANCELACION DE 580 SOLES ENVIARA COMPROBANTE LE LLEGO MENSAJE DE TEXTO COMO PROMOCION </t>
  </si>
  <si>
    <t xml:space="preserve">TT se comunico al corporativo 19, indica que iba a realizar el abono para la cancelacion de la deuda, indica que se le apago el movil y no pudo sacar la cuenta brindada, vive en ANCON  y tiene que bajar hasta PUENTE PIEDRA para poder pagar, indica que hoy esta realizando el abono. </t>
  </si>
  <si>
    <t xml:space="preserve">tt se comunico al corporativo 938869948, se le indica DT 3300, campaña 1800, indica que quiere cancelar una deuda que le llego un mensaje desde este numero, quiere liquidar la deuda con 1300 el dia de mañana antes del medio dia hora exacta 11 am, indica que no pudo pagar antes porque tuvo un problema de salud, saco el prestamo porque quizo abrir un negocio y este fue a la quiebra por tal motivo dejo de pagar, se prestara dinero de sus padres, quiere hacer la cancelacion mañana mismo ya que tendra el dinero a mano, 34 años, deuda enbanco de la nacion y caja municipal tacna sin dias de atraso. </t>
  </si>
  <si>
    <t>tt se comunico al whatssap del corporativo debido al compromiso acordado, indicando que ya tiene el dinero a mano y realizara el abono antes del medio dia</t>
  </si>
  <si>
    <t>tt se comunico al whatssap, indico que la mama se puso mal y tuvo que utiizar el abono de 200 soles que iba a realizar, se le devolvio la llamada para refutar el tema de los compromisos no cumplidos, indica que recien empezo a trabajar como indico en tipificacion de dicembre y cobrara a fines de mes, al igua que su esposo la ayudara a completar el monto de campaña, indica que esposo tiene un camionsito donde vende agua y juntaran el dinero que reciben para pagar a fin de mes el monto total.</t>
  </si>
  <si>
    <t>TT SE COMUNICO DT1400,DK690DC690 DIC LE LLEGO MSJ X 502 Y DIC YA TENER DINERO A LA MANO ESO ES SUSSTENTO DE PGO 42 AÑOS SI TRANAJA MINUCIPLIDAD DEBE 2 ENTIDADESI / PARA HOY DIA AHAST ALS 4PM //LLAMO CEL11</t>
  </si>
  <si>
    <t>tt se comunico el dia de ayer en la noche indicando que cancelara hoy la ultima cuota de su deuda/ se menciona que hoy nos comunicariamos para confirmar el acuerdo de pago/tt confirma y se hace mencion del horario de atencion</t>
  </si>
  <si>
    <t>DT 823</t>
  </si>
  <si>
    <t>CANCELARA 194</t>
  </si>
  <si>
    <t>FECHA 01/04/2020</t>
  </si>
  <si>
    <t>SEARCH NO FUE NECESARIO YA QUE SI TIENE INTENCION DE PAGO</t>
  </si>
  <si>
    <t xml:space="preserve">TT SE COMUNICO PARA INDICARNOS QUE ESTARIA ABONANDO POR BANCO INTERBANK AL MEDIO DIA EL DIA DE HOY EL MONTO DE 650 SOLES </t>
  </si>
  <si>
    <t xml:space="preserve">tt se conversa con cliente menciona que no cancelo porque se encuentra en un pueblo trabajando pero por tema de cuarentena no lo dejan salir tratara de hacer el pago </t>
  </si>
  <si>
    <t>dt:1900</t>
  </si>
  <si>
    <t>sustento : trabajo</t>
  </si>
  <si>
    <t xml:space="preserve">tt se conversa con cliente menciona que no se levanto la cuarenten apero si lo esperamos hasta fin d mes si puede juntar ese importe </t>
  </si>
  <si>
    <t>dt:600</t>
  </si>
  <si>
    <t xml:space="preserve">sustento: juntara dinero </t>
  </si>
  <si>
    <t xml:space="preserve">tt se conversa con tt se le indcio que se genero una penalidad por incumpliemiento a la fecha indicada / indico que no pudo realizar el abono por que le comunicaron en su trabajo que l dia martes le cancelan el dia de hoy abona 110 y lo rstante el dia estipulado </t>
  </si>
  <si>
    <t xml:space="preserve">TT Se converso con tt y se aprobo el importe de cancelacion cojn 2000 soles bajo aprobacion de mariangela se le indico adelkanto minimo de 200  soles para el dia de mañana </t>
  </si>
  <si>
    <t xml:space="preserve">TT SE DICE DT1050 DK460DC150  DIC EL 17/01 PODRA CANCLARSUSTENTO DE PGO ESE DIA TNDRA DINERO DIJO 70 AÑOS 2 ENTIDADS NO SALE TRABAJO DIC HOY PGO OTRA DEUDA POR ESO  AGARA EL 17/01 /ASIGNADO POR MAYRA </t>
  </si>
  <si>
    <t>TT SE DIJ DT 4500 DK2010 DC 1470  DIC ELLA L DIJEORN ASESOR ANTERIOR SALDO ES DE 1100 SE LE OFRECIO CANCELCION PIDIENDO ECEPCION DIC NO SABE AUN PERO DIC Q ABONA 500 SOLES EL 20/01 EN CASO CONGUSA DINERO AVISARA , 50 AÑOS NO SALE TRABAJO NI DEUDA  EN SHERK DIC CONSIGUIRA DINERO DE TRABAJO , TAMBIEN COMENTA Q HACE MESES LE ROBARON  / SE COPIA GESTION Y AUDIO DE ASESOR ANTERIOR ASIGNADO POR MARIANGELA</t>
  </si>
  <si>
    <t>TT SE ENCUENTRA EN EL CAMPO TRABAJANDO, MENCIONA QUE EL 30/09 CANCELARÌA DEUDA CON S/.850</t>
  </si>
  <si>
    <t>TT SE ESTARA ACERCANDO HACER LA CANCELACION</t>
  </si>
  <si>
    <t>TT SE LE BRINDA CAMPAÑA 850 30/11 INDICA CANCELERA EL DIA 30/11 ANTES QIUERE PREGUNTSR EN CREDINKA QUIEN ES DUEÑO DE SU DEUDA</t>
  </si>
  <si>
    <t xml:space="preserve">TT se le cometa campañpa de descuento para cancelar su deuda y indica si lo realizara pero la llame para ayudarla a que cancele la deuda </t>
  </si>
  <si>
    <t xml:space="preserve">TT SE LE CONFIRMA CANCELACION POR MISMO CAJA SULLANA EL 21/02/20 POR LOS 3000 SOLES // EXCEPCION APROBADA POR JULIO </t>
  </si>
  <si>
    <t>TT SE LE DESCUENTA POR PLANILLA , 31/12  MONTO 156, INDICA QUE VA VER CUANTO LE DESCONTARON PARA  GENERAR CANCELACION , *</t>
  </si>
  <si>
    <t xml:space="preserve">TT se le indica el beneficio DT/ 1600 MIN1 700 INDICA QUE SI PUEDE HACER SU PAGO POR EL BANCO BCP  POR LO CUAL ESTARIA HACIENDO EL ABONO EL 30 DE NOVIEMBRE </t>
  </si>
  <si>
    <t>TT SE LE OFRECE 960 POR UNICA VEZ PARA EL DIA 30/09/19</t>
  </si>
  <si>
    <t xml:space="preserve">TT SE LE OFRECE PPC PARA EL DIA 28/09/19 INIDICA QUE SI PUEDE PAGARA ANTES </t>
  </si>
  <si>
    <t xml:space="preserve">TT se le ofrecio campáña de descuento indico que si puede cancelar si no consigue abona los 200 como amortizacion </t>
  </si>
  <si>
    <t>tt se le realiza el recordatorio de pago pero indica tener el dinero de campaña en mano se le brinda campaña de 810 cancelara hoy</t>
  </si>
  <si>
    <t xml:space="preserve">TT SOLICITA DOCUMENTO DE CANCELACION , CONFIRMA PAGO DE LA TOTALIDAD EL DIA DE HOY 30/09. </t>
  </si>
  <si>
    <t xml:space="preserve">TT SOLICITA LA CANCELACION DE LA DEUDA POR 600 SOLES FUE GENERADO POR INBOUND SE LE LLAMA A LA TT Y NO CONTESTA SE LE ESCRIBE POR WHASAP Y CONTESTA CORTANTE INDICA SE LE ENVIE SU ACUERDO Y QUE CANCELARA EN EL MOMENTO </t>
  </si>
  <si>
    <t>TT TIENE ACUERDO DE SEP POR 950 SOLESM ABONO 100 SOLES Y EL DIA 30/09 INDICO QUE SOLO REUNIO 500 SOLES MAS, SE LE CONSULTA A MAYRA Y SI ES POSIBLE QUE PAGUE LA DIF DE 350 EN DIA 15/10. TT DE ACUERDO</t>
  </si>
  <si>
    <t xml:space="preserve">TT TIENE RETRASO EN SUS PAGOS Y PAGARA SU ULTIMA CUOTA EL DIA VIERNES 13/12 / </t>
  </si>
  <si>
    <t xml:space="preserve">tt tuvo accidente muy grave  se le da campaña 350 pagara el dia 23/11 </t>
  </si>
  <si>
    <t xml:space="preserve">tt tuvo accidente muy grave primero se le da campaña 576 luego  se le da campaña 350 tt  pagara 350  el dia 23/11 </t>
  </si>
  <si>
    <t>TT TUVO GASTOS POR LO QUE SOLO REALIZO ADELANTO DE S/600 CONFIRMA QUE LA DIFERENCIA ESTARA CANCELANDO  A FIN DE MES EN CASO DE REUNIR ANTES EL IMPORTE HARA EL ABONO</t>
  </si>
  <si>
    <t>tt va a cancelar con 800 soles en Credinka, autorizado por Mayra Llimpe</t>
  </si>
  <si>
    <t>tt va a cancelar deuda con S/.1674. Acuerdo por Mayra Llimpe</t>
  </si>
  <si>
    <t>tt va a cancelar los 320 restantes</t>
  </si>
  <si>
    <t>TT VA PAGAR EL  10/09 = 1000 , 17/09 = 1000 ,  MONTO TOTAL = 2000 .PPC . EXCEPCION MARIANGELA</t>
  </si>
  <si>
    <t xml:space="preserve">TT VA PAGAR EL 02/12 MONTO 650 PPC . INDICA QUE HOY ESTA EN LA CIUDAD , 12PM HARA EL PAGO . . ASEGURA QUE CUENTA CON EL DINERO </t>
  </si>
  <si>
    <t xml:space="preserve">TT VA PAGAR EL 09/07 MONTO 500 PPC . </t>
  </si>
  <si>
    <t xml:space="preserve">TT VA PAGAR EL 11/12 MONTO 129 PPC , YA CUENTA CON EL DINERO , ANTERIORMENTE NO CONTABA CON EL DINERO .  ASEGURA DEPOSITO , AUDIO DISCADOR </t>
  </si>
  <si>
    <t xml:space="preserve">TT VA PAGAR EL 13/09 MONTO 100 PPC  SINO HACE EL PAGO MONTO 170 </t>
  </si>
  <si>
    <t xml:space="preserve">TT VA PAGAR EL 13/09 MONTO 600 PPC ASEGURA PAGO . SE LE INDICA ULTIMO PLAZO SINO SE LE VA COBRAR 1200 CAPITAL , </t>
  </si>
  <si>
    <t xml:space="preserve">TT VA PAGAR EL 15/09 = 300 , 30/09 = 300 , TOTAL 600 PPC </t>
  </si>
  <si>
    <t xml:space="preserve">TT VA PAGAR EL 15/11 MONTO 250 PPC , EXCEPCION MARIANGELA </t>
  </si>
  <si>
    <t xml:space="preserve">TT VA PAGAR EL 16/09 = 400 , 30/09 = 400 , TOTAL 800 PPC </t>
  </si>
  <si>
    <t>TT VA PAGAR EL 17/09 MONTO 300 PPC . ULTIMO PLAZO . SE  LE INDICO QUE SINO HACE EL PAGO SE LE VA COBRAR CAPITAL 480 ..  // HIJO ENFERMO , GASTOS EN MEDICAMENTOS YA QUE NO ESTA ASEGURADO</t>
  </si>
  <si>
    <t xml:space="preserve">TT VA PAGAR EL 18/09 MONTO 100 PPC . ULTIMO PLAZO . SINO SE LE VA COBRAR 150 </t>
  </si>
  <si>
    <t>TT VA PAGAR EL 18/09 MONTO 220 PPC . BCP SE ENVIO CODIGO PARA AGENTE  // FALTA DE TIEMPO   . ULTIMO PLAZO</t>
  </si>
  <si>
    <t xml:space="preserve">TT VA PAGAR EL 18/11 MONTO 1430 PPC , SE COMUNICO CONMIGO , CUENTA CON EL DINERO , EXCEPCION APROBADA MARIANGELA </t>
  </si>
  <si>
    <t>TT VA PAGAR EL 20/09 MONTO 1500 PPC EXCEPCION APROBADA POR JILIO .   ASEGURA DEPOSITO</t>
  </si>
  <si>
    <t xml:space="preserve">TT VA PAGAR EL 20/09 MONTO 341 PPC . INBOUND ASIGNADO POR MARIANGELA . CLIENTE LE PAGAN EL JUEVES  SU SUELDO </t>
  </si>
  <si>
    <t xml:space="preserve">TT VA PAGAR EL 21/08 = 100 , 29/08 = 100 PPC TOTAL 200 . ENVIAR SMS // LLAMADA EN DISCADOR  </t>
  </si>
  <si>
    <t xml:space="preserve">TT VA PAGAR EL 21/09 MONTO 100 PPC ,  MANDO A PAGAR Y LA SRA SE LE PERDIO 100 Y DISE QUE LE VA REPONER EL SABADO SINO LE CUMPLE DEPOSITA DE SU PAGO . </t>
  </si>
  <si>
    <t xml:space="preserve">TT VA PAGAR EL 21/11 MONTO 2271 PPC   , LE LLEGO MENSAJE  , YA CUENTA CON 2200 LE FALTA 71 , A LAS 4 PM HACE EL PAGO </t>
  </si>
  <si>
    <t>TT VA PAGAR EL 22/08 MONTO 3000 PPC , EXCEPCION MARIANGELA AUTORIZADO</t>
  </si>
  <si>
    <t xml:space="preserve">TT VA PAGAR EL 22/09 MONTO 400 PPC   INTERBANK PLAZA VEA . </t>
  </si>
  <si>
    <t xml:space="preserve">TT VA PAGAR EL 22/11 MONTO 700 PPC  . SE VA ACERCAR A CREDINKA , YA TIENE EL DINERO </t>
  </si>
  <si>
    <t xml:space="preserve">TT VA PAGAR EL 23/11 MONTO 1000  PPC , EXCEPCION MARIANGELA // INDECISO ANTERIORMENTE CON EL TEMA DE PAGO , AHORA SE ENCUENTRA EN LAGO Y SALE HOY EN LA TARDE PARA ESTAR EN TIERRA EL 23/11 . PAGAR ANTES DE LAS 11AM </t>
  </si>
  <si>
    <t xml:space="preserve">TT VA PAGAR EL 24/08 = 230 , 29/08 = 230 , TOTAL 460 PPC  NUEVO NUMERO </t>
  </si>
  <si>
    <t>TT VA PAGAR EL 25/09 MONTO 10479 PPC  // MONTO SMS  . YA TIENE TODO EL DINERO ESTA EN PIURA EN VIAJE , POR ESO ESQUE NO PUEDE PAGAR ANTES . SE ENVIARA ACUERDO DE CANCELACION</t>
  </si>
  <si>
    <t xml:space="preserve">TT VA PAGAR EL 25/11 MONTO 270 PPC .// MANDO A PAGAR PERO NO LO HICIERON SE VA ACERCAR EL MISMO ESTA DE VIAJE . </t>
  </si>
  <si>
    <t xml:space="preserve">TT VA PAGAR EL 25/11 MONTO 650 PPC . ENVIAR INFORMACION . ASEGURA PAGO . </t>
  </si>
  <si>
    <t xml:space="preserve">TT VA PAGAR EL 26/09 MONTO 410 PPC , EXCEPCION MARIANGELA . VA MANDAR A FAMILIAR . CERRADO POR WHATSAPP , TENGO CAPTURA DE PANTALLA . ULTIMA PLAZO  .  SINO COBRAR MAS </t>
  </si>
  <si>
    <t>TT VA PAGAR EL 27/02 MONTO  1200 PPC , EXCEPCION . // TIENE EL DINERO EN MANO SE VA ACERCAR ENTRE LAS 4 - 6 PM SE NVIO CUENTA IBK</t>
  </si>
  <si>
    <t xml:space="preserve">TT VA PAGAR EL 27/09 MONTO 250 PPC . LLAMAR MEDIODIA </t>
  </si>
  <si>
    <t xml:space="preserve">TT VA PAGAR EL 27/09 MONTO 400 PPC </t>
  </si>
  <si>
    <t xml:space="preserve">TT VA PAGAR EL 27/09 MONTO 751 PPC .  VA RECOGER SU CARTA EN EXPERTIS </t>
  </si>
  <si>
    <t xml:space="preserve">TT VA PAGAR EL 28/09 MONTO 200 PPC </t>
  </si>
  <si>
    <t xml:space="preserve">TT VA PAGAR EL 28/09 MONTO 200 PPC ,  INDICA QUE EL LUNES 24 VA ABONAR 100 .   TALVEZ MANDA PAGAR A SU MAMA </t>
  </si>
  <si>
    <t>TT VA PAGAR EL 29/08 MONTO 1764 SMS CAMPAÑA DESCUENTO ,// NO REALIZO PAGO PORQUE NO LE PRESTARON . ASEGURA EL 29 QUIERE CANCELAR UN SOLO DEPOSITO PARA QUE NO LE COBREN MAS . LE INDIQUE SI NO CUMPLE SE LE VA COBRAR 3200 .</t>
  </si>
  <si>
    <t xml:space="preserve">TT VA PAGAR EL 29/08 MONTO 2432 PPC SMS CAMPAÑA DESCUENTO , BCP </t>
  </si>
  <si>
    <t>TT VA PAGAR EL 29/08 MONTO 750 PPC SMS CAMPAÑA . AUTORIZADO</t>
  </si>
  <si>
    <t xml:space="preserve"> MARIANGELA . AVAL VA GENERAR EL DEPOSITO . EN BCP </t>
  </si>
  <si>
    <t>TT VA PAGAR EL 30/09 MONTO 400 PPC  ASEGURA PAGO</t>
  </si>
  <si>
    <t xml:space="preserve">TT VA PAGAR EL 30/11 MONTO 650 PPC . ESTA EN UN LUGAR QUE NO HAY BANCO VIAJA EL VIERNES PARA REALIZARLO EL SABADO . </t>
  </si>
  <si>
    <t xml:space="preserve">TT VA PAGAR EL 30/12 MONTO 250 PPC . ULTIMO PAGO , SI PUEDE LO PAGA ANTES . </t>
  </si>
  <si>
    <t xml:space="preserve">TT VA PAGAR EL 30/12 MONTO 500 PPC . SI PUEDE HARA EL PAGO ANTES .   ULTIMO PAGO </t>
  </si>
  <si>
    <t>TT VA PAGAR EL 31/08 MONTO 220 PPC  . ENVIAR CODIGO 16046 . BCP</t>
  </si>
  <si>
    <t>TT VA PAGAR EL 31/08 MONTO 700 PPC  .  NO PAGO PORQUE NO LE PAGARON SU COBRANZA , EL 29/08 EN LA NOCHE LE PAGAN DE SU SUELDO</t>
  </si>
  <si>
    <t>TT VA PAGAR EL 31/12 MONTO 600 PPC . CLIENTE CON EXCEPCION . PAGO EL 10/12 MONTO 100 BCP OP: 719807 . // SI PUEDE REALIZA ANTES LA CANCELACION O IRA ABONANDO ANTES DE LA FECHA PACTADA</t>
  </si>
  <si>
    <t>TT VA PAGAR HOY 25/11 MONTO 800 PPC , EXCEPCION MARIANGELA , SE ENVIA ACUERDO DE CANCELACION .  SE LE INDICA CUENTA BCP  , SE ENVIO POR CORREO</t>
  </si>
  <si>
    <t xml:space="preserve">TT VA PAGAR HOY 27/11 MONTO 3129 PPC , MONTO SMS , YA TIENE EL DINERO , CELULAR AZUL  . </t>
  </si>
  <si>
    <t xml:space="preserve">TT VA PAGAR HOY 30/11 MONTO 350 PPC . INBOUND ASIGNADO MARIANGELA </t>
  </si>
  <si>
    <t>TT VA PAGAR HOY 30/11 MONTO 710 PPC . ASEGURA PAGO SE ENVIARA INFORMACION   .   PROMESA AUTORIZADA</t>
  </si>
  <si>
    <t>TT VINO A OFICINA A NEGOCIAR IMPORTE DE DEUDA ///SE ACEPTA IMPORTE DE 1000 SOLES POR MARIANGELA//PAGARA EL DIA 14/02 EN QAPAQ</t>
  </si>
  <si>
    <t>LLAMADA DE CONFIRMACION HECHA POR CORP 7//</t>
  </si>
  <si>
    <t xml:space="preserve">TT VINO A OFICINA HIZO UNA CANCELACION POR 9900 POR MISMO CAJA SULLANA EL DIA 31/12/2019 DT/63500 MIN2/9900 </t>
  </si>
  <si>
    <t xml:space="preserve">tt ya abono 100 soles el 07-11 , saldo restante 150 soles el 15-11 y 200 soles para el 30-11 para cancelacion, en base a 450 soles </t>
  </si>
  <si>
    <t xml:space="preserve">TT YA ABONO 242 SOLES EL DIA DE HOY 04/12 // ABONARA LA DIFERENCIA EL DIA 30/12 DE 242 SOLES / </t>
  </si>
  <si>
    <t xml:space="preserve">tt ya abono hoy 18-11 200 soles , el saldo de 1300 soles el 22-11 , y el 30-11 1300 soles restantes </t>
  </si>
  <si>
    <t xml:space="preserve">TT YA ABONO LOS 100 SOLES EL DIA DE HOY POR MISMO CREDINKA/ SE NEGOCIO EN BASE A 1800 BAJO EXCEPCION APROBADO Y LOS 1700 RESTANTES LOS ABONARA EL DIA 31/12 // EL ESPOSO ES QUIEN ESTA PAGANDO / </t>
  </si>
  <si>
    <t>TT YA ABONO VIA BCP 200 SOLES, EL 17/12 ABONARA 200 Y HASTA EL 30 COMPLETARA LA DIFERENCIA POR LA CANCELACION</t>
  </si>
  <si>
    <t xml:space="preserve">TT YA DEPOSITO LOS 3 MIL SOLES EL DIA DE HOY / RESTA EL IMPORTE DE 1800 SOLES PARA EL DIA 31/2 O ANTES / </t>
  </si>
  <si>
    <t xml:space="preserve">TT YA HIZO EL CAMBIO DE CHEQUE ERRADO // FECHA DE COBRO ES EL DIA 16/09  // PAGARA PARA APROVECHAR // NO BRINDA · JOSUE  GRABACION MI CELULAR  </t>
  </si>
  <si>
    <t xml:space="preserve">tt ya pago el 17-01 100 soles en credinka , saldo de 650 soles para el 30-01 , indica que si tiene en la semana algo mas lo abonara , envio voucher </t>
  </si>
  <si>
    <t>TT YA PAGÒ EL IMPORTE ACORDADO DE S/.205 Y CONFIRMÒ QUE EL 15/01 REALIZARÀ PAGO DE S/.1000//CANCELANDO EN SU TOTALIDAD EL IMPORTE DE S/.1205 LA DEUDA Y LUEGO TRAMITANDO SU CARTA DE NO ADEUDO</t>
  </si>
  <si>
    <t xml:space="preserve">tt ya pago hoy 14-11 100 soles , saldo de 450 soles lo pagara el 30-11 para la cancelacion , lo hara en BCP </t>
  </si>
  <si>
    <t>tt, confirma que estara acogiendose a la campaña de 1150, quedando que realizara un primer abono de 100 soles , 06-05-20, y la diferencia el 25-05-20.</t>
  </si>
  <si>
    <t>llamada se realiza del corp. 17.</t>
  </si>
  <si>
    <t>tt, confirma que realizara el pago de 1500 soles el dia 25.05-20 soliict que se le envie compromiso de pago a su whatsaap.</t>
  </si>
  <si>
    <t>tt, confirma que realizara su pago cncelacion total con 500 soles el dia miercoles 27-05. excepcion aprobado por julio HIGA.</t>
  </si>
  <si>
    <t>tt, indica que hoy estara realizando un deposito de 200 soles y la diferencia el martes 12 por que no logro completar.llamada se realizo del corp.17</t>
  </si>
  <si>
    <t>tt, inidca que no pudo realizar su pago en la fehc aindicada estar realizando hoy dentro de media hora.</t>
  </si>
  <si>
    <t>tt, realizara su pago con excepcion de 250 soles el 30-05,aprobado por Julio Higa, llamada se realiza del corp. 17</t>
  </si>
  <si>
    <t>tt, realizara su pago de 440 soles, el 30-04-20, excepcion aprobado POR Julio Higa.</t>
  </si>
  <si>
    <t>TT, SE ACERCARA A CANCELAR EL LUNES 13-04-20, MONTO DE 50 SOLES, INDICA QUE NO SABIA QUE TENIA SALDO PENDIENTE.</t>
  </si>
  <si>
    <t>tt. cancela su deuda total con excepcion de 150 soles, mañana 29-02-20 a las 10am, aprobado por Julio Higa.</t>
  </si>
  <si>
    <t>tt. confirma que realiza pago con excepcion de 300 soles el lunes 16-03-20, aprobado por Julio Higa, llamada se realiza del discador.</t>
  </si>
  <si>
    <t>tt. confirma que realizara su cancelacion de con 4500 soles, quedando que realiza el dia de hoy 16-03-20, de 200 soles y la diferencia de 4300 el 30-03-20.</t>
  </si>
  <si>
    <t>llamada se realiza del discador excepcion aprobado por julio higa).</t>
  </si>
  <si>
    <t>tt.cancelara deuda total con 800 soles, con excepcion aprobado por jULIO Higa.</t>
  </si>
  <si>
    <t>llamada se realiza del discador.</t>
  </si>
  <si>
    <t xml:space="preserve">TTCANCELARA DEUDA CON EL IMPORTE DE 1,890.00  EL DIA </t>
  </si>
  <si>
    <t>VIERNES  132-09 /POR LA  LATARDE ... SE LE ENVIA INFO POR  WSP- Y MODO DE PAGO</t>
  </si>
  <si>
    <t xml:space="preserve">TTI   DIC PSGARA DEUD CN MSJ  LE LLEGO HOY </t>
  </si>
  <si>
    <t xml:space="preserve">TTI   SE IND POR Q NO CNCELO ANTES LO ACORDADO Y DIC NO OUDO RECAUDAR Y QUE PUEDE HOY DIA CAN CN 1000 SOLES DIC MS NO TENER  ANTES EE CORTO LLAMADA Y SE VLM LLMAR Y CINETTO LA EPOSA DIC Q PAGARA SE DIONRO E CUENTA Y PASO LLAMADA A  TT PRA CNFIRMA R ACURDO PAR HOY DIA </t>
  </si>
  <si>
    <t>TTI  DIC NO ESTABA TRABAJANDI Y YA DIJO SU MOTIVO  TIT DIC NO DEBIA DK890 SOLES SOLO UNA LETRA DT1700 DC200  SUSTENTO DIC YA TIENE DINERO MAÑANA CANCALC 200 SOLES /41 AÑOS SI SALE TRABAJO/NO DEBE</t>
  </si>
  <si>
    <t>tti  hara cancelcion esa fecha</t>
  </si>
  <si>
    <t>TTI CANCELA DEUDA TOTAL .ASIGNADO POR MARIANGELA</t>
  </si>
  <si>
    <t>tti dc1700 dc200 tti can 200 soles 20/05 /tit 36 años /2entidades/si trabaja  sustrnto va conseguir /el 15/05 dara antivipo</t>
  </si>
  <si>
    <t>TTI SE ACEPTA YA CONSULTANDO ANTES IMPORTE DE MSJ 993 PARA EL 25/05 TT YA TIENE 400 SOLES LA DIFERENCIA SE TA PRETANDO LUNES  3PM MAXIMO /TT LLAMO A L CEL 9 X MSJ DE TEXTO CON OMPORTE MINIMO SE CINSULTO A MARIBEL</t>
  </si>
  <si>
    <t>TTI SE ACUERDA CANCELACION CN 400 SOLES HOY 23/04 ECEPCION ACEPTADA POR JULIO/DESEA ACUERDO DE CANCELION</t>
  </si>
  <si>
    <t>TTI SE LE RPROGAMADO PARA EL 28/02 ANTES NO PUDO SE LE MANDA X WAPSAT EL NRO DECUENTA</t>
  </si>
  <si>
    <t>tti tuvo p0rblema cn esposo por eso no pago hoy hara pago a escndidas de tiene para cancalacnon 900 soles 30/04 ya con ecpcion aporbrada por julio /sustento de pog tiene dinero en mano</t>
  </si>
  <si>
    <t>TTMENCIONA QUE EL DIA 27/09 HARA EL PGO DE LOS 6760 SE LE MENCIONO QUE EL IMPORTE DE LOS 6336 NO ESTAN VIGENTES YA QUE LAS CAMPAÑAS NO SON DIARIAS / YA VENDIO EL TERRENO EL CLIENTE Y EL DINERO LE CONFIRMARON PARA EL DIA 25 HASTA EL 27/ SE LE MENCIONA QUE LA FECHA LIMITE ES 27/09 / S ERELIZA LA CORRECCION DE LA FECHA / SE AVISA  A MARIANGELA PARA PODER SUBIR EL COMPROMISO</t>
  </si>
  <si>
    <t xml:space="preserve">TTMENCIONA QUE SOLO DISPONE DE 1400 SOLES PAFRA CANCELAR LA DEUDA LO APROBO JULIO HIGA YA QUE NO PUDO CONSEGUIRSE LOS 1700 SOLES </t>
  </si>
  <si>
    <t xml:space="preserve">ttse dice dt 11.900 ,dc 3500 , tit pide canclear cn 2500 por motivos econimicos no seguira cn cuotas mensuales se eleva exepcion aceptada por 2500 soles para el 09/03 / 46 años / no registra deuda / no registra trabajo actual / sustento de pog : hermano le pretara dinero/ porgrmacion </t>
  </si>
  <si>
    <t>TYIOTY HARA PAGO ESA FECHA</t>
  </si>
  <si>
    <t>ULTIMA CUOTA : PPC : 235 SOLES  24/02.</t>
  </si>
  <si>
    <t>DT: 3 MIL SOLES</t>
  </si>
  <si>
    <t xml:space="preserve">CAMPAÑA : 2,900 SOLES </t>
  </si>
  <si>
    <t xml:space="preserve">tt tiene cronograma de pago le quedan pendiente 2 cuotas de 234.70  soles </t>
  </si>
  <si>
    <t>paga cada 27 de cada mes //</t>
  </si>
  <si>
    <t xml:space="preserve">SEARCH:  </t>
  </si>
  <si>
    <t>edad 47 años</t>
  </si>
  <si>
    <t>vehiculo : 1 - MARCA: DODGE</t>
  </si>
  <si>
    <t>ULTIMA CUOTA S/.300</t>
  </si>
  <si>
    <t>TT YA TIENE UN ACUERDO Y ESTE MES ES SU ULTIMA CUOTA//MENCIONA QUE ADELANTARÀ S/.50 EL 15/02 Y S/.250 EL 28/01, YA QUE A FIN DE MES LE PAGAN EN SU TRABAJO//SE MENCIONA PENALIDAD//LEVANTAMIENTO DE GESTIONES V8</t>
  </si>
  <si>
    <t>36 AÑOS//NO TRABAJA EN PLANILLA//SIN DEUDA CON OTRA ENTIDAD</t>
  </si>
  <si>
    <t>ULTIMA CUOTA: S/.162</t>
  </si>
  <si>
    <t>FECHA DE PAGO: 31/03/20</t>
  </si>
  <si>
    <t>TT MENCIONA QUE PAGARÀ COMO LO HA HECHO ANTES, S/.62 EL 13/03 Y S/.100 A MAS TARDAR EL 31/03, COMPLETANDO DE ESA MANERA SU ULTIMA CUOTA</t>
  </si>
  <si>
    <t>ULTIMA CUOTA: S/.1950</t>
  </si>
  <si>
    <t>FECHA DE PAGO: 26/03/20</t>
  </si>
  <si>
    <t>TT CONFIRMA REALIZAR EL PAGO DE LA ULTIMA CUOTA, DESEA SABER SI PUEDE REALIZAR ABONOS HASTA COMPLETAR EL TOTAL ACORDADO, SE CONFIRMA QUE ENVÌE LOS VOUCHER DE PAGO PARA REGISTRARLO EN EL SISTEMA, DE CANCELAR LA DEUDA ANTES COMUNICARSE PARA TRAMITAR LA CARTA DE NO ADEUDO</t>
  </si>
  <si>
    <t>50 AÑOS//CREDITO CON FINCA PERU Y C.A.C. SAN CRISTOBAL DE HUAMANGA//NO TRABAJA EN PLANILLA</t>
  </si>
  <si>
    <t>ULTIMA CUOTA: S/.266</t>
  </si>
  <si>
    <t>FECHA DE PAGO: 30/03/20</t>
  </si>
  <si>
    <t>TT BRINDA NUMERO DE TRANSACCION DE QAPAQ 1954829090402411, PAGO QUE REALIZÒ EL 29/02//CONFIRMA EL PAGO PARA FIN DE MES, DE HACERLO ANTES SE COMUNICARÀ CON MI PERSONA</t>
  </si>
  <si>
    <t>30 AÑOS//DEUDA CON 2 ENTIDADES//NO TRABAJA EN PLANILLA</t>
  </si>
  <si>
    <t>ULTIMA CUOTA: S/.300</t>
  </si>
  <si>
    <t>TT CONFIRMA PAGO DE SU ULTIMA CUOTA//CLIENTE ESPECIAL, NO LE GUSTA QUE LE LLAMEN(GRABACIÒN FUE MUY BREVE</t>
  </si>
  <si>
    <t>46 AÑOS//TRABAJA EN GOBIERNO REGIONAL DE AREQUIPA//NO FIGURA DEUDAS CON OTRA ENTIDAD</t>
  </si>
  <si>
    <t>ULTIMA CUOTA: S/.324</t>
  </si>
  <si>
    <t>SDP: TT CONFIRMA REALIZAR PAGO A MAS TARDAR MAÑANA 05/04//TT HA VENIDO JUNTANDO EL DINERO Y YA CUENTA CON EL IMPORTE//SE EVIARÀ POR MSJ NUMERO DE CTA DE INTERBANK</t>
  </si>
  <si>
    <t>SE ELEVÒ EXCEPCION Y FUE APROBADA POR JULIO HIGA</t>
  </si>
  <si>
    <t>ULTIMA CUOTA: S/.425</t>
  </si>
  <si>
    <t>TT MENCIONA QUE A MAS TARDAR PAGARÀ EL 25/03, SIENDO ULTIMA CUOTA</t>
  </si>
  <si>
    <t>28 AÑOS//NO TRABAJA EN PLANILLA//DEUDA CON BANCO AZTECA</t>
  </si>
  <si>
    <t xml:space="preserve">vcriskelly@gmail.com // Nos comunicamos con titular, indica que accederá a la campañana el 14. Solicita que enviemos compromiso al correo de su familiar.   </t>
  </si>
  <si>
    <t>VIA WHASAP / PAGO 30-04 ULTIMA CUOTA DE 300 SOLES.</t>
  </si>
  <si>
    <t xml:space="preserve">DEUDA TOTAL: 3200 KAPITAL:1600 CAMPAÑA: REFINANCIAR 3 CUOTAS DE 300 SOLES. </t>
  </si>
  <si>
    <t>SEGUN LO MENCIONADO ANTERIORMENTE EL DINERO LO SACA DE SUS AHORROS.</t>
  </si>
  <si>
    <t xml:space="preserve"> SEARCH NO SE MENCIONA </t>
  </si>
  <si>
    <t>VICTOR RAUL ESPOSO DE TT, CANCELA CON 1500 EL 20/09 ANTES DE LA 1PM, EXCEPCION APROBADA POR MARIANGELA</t>
  </si>
  <si>
    <t>YA ME REALIZO EL PRIMERO PAGO DE LOS 500 SOLO LE FALTA 500 MAS Y CANCELA Y COMO AYER LE PAGARON VA A CANCELAR HOY PERO LO HARA SU HIJA SONIA TENIA SU NUMERO DE ELLA, 968515527 SONIA HIJA DEL TT.</t>
  </si>
  <si>
    <t>YA Q ESTE MES YA DEBERIA CARGAR .</t>
  </si>
  <si>
    <t xml:space="preserve">Yerno de TT se comunico para cancelar la deuda, se le oferta 5,000.00 soles. </t>
  </si>
  <si>
    <t xml:space="preserve">Yerno de TT se comunico para cancelar la deuda, se le oferta 5,000.00 soles. // </t>
  </si>
  <si>
    <t>YERNO DEL TT (SR ROLANDO) SOLICITO REALIZAR CANCELACION PORS/1300 YA QUE FAMILIARES DEL TT REUNIERON S/700 POR UNA ACTIVIDAD  Y EL ESTARA COMPLETANDO EL IMPORTE//YA QUE SE A HECHO CARGO DE LA CANCELACION//EXCEPCION AUTORIZADO POR JULIO HIGA</t>
  </si>
  <si>
    <t xml:space="preserve">YERNO ROGER CONFIRMA PAGO DEL MONTO DE 800 SOLES COMO EXCEPCION DE JULIO YA QUE EL DIA DE MAÑANA 08/01 PAGARA EL MONTO DE 600 SOLES Y PARA FIN DE MES PAGARA LO RESTANTE QUE SERIA 200 SOLES YA QUE NO TIENE TODO PARA PAGAR YA QUE ESTA UN POCO INCOMODO PORQUE A TENIDO DISCUCION CON SU PAREJA POR TODO ESTE TEMA YA QUE EL SOLO ESTA APOYANDO A LA SUEGRA YA QUE LA TT SE ENCUENTRA DELICADA DE SALUD / PPC </t>
  </si>
  <si>
    <t>YERNO SR ROJAS DE TT MENCIONA QUE POR PROBLEMAS DE INGRESOS EL DIA DE HOY DE POSITA 300 SOLES Y LA DIFERENCIA 2200 CON PENALIDAD DE 50 SOLES LOS ABONA EL DIA 28/09 / / SE DEA EN CLARO QUE DE NO ABONAR SE ANULA TODO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</si>
</sst>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8" formatCode="&quot;S/&quot;\ #,##0.00;[Red]\-&quot;S/&quot;\ #,##0.00"/>
    <numFmt numFmtId="43" formatCode="_-* #,##0.00_-;\-* #,##0.00_-;_-* &quot;-&quot;??_-;_-@_-"/>
    <numFmt numFmtId="164" formatCode="[$-F400]h:mm:ss\ AM/PM"/>
    <numFmt numFmtId="165" formatCode="0.000000000000000000"/>
    <numFmt numFmtId="166" formatCode="_-* #,##0_-;\-* #,##0_-;_-* &quot;-&quot;??_-;_-@_-"/>
  </numFmts>
  <fonts count="12" x14ac:knownFonts="1">
    <font>
      <sz val="11"/>
      <color theme="1"/>
      <name val="Aptos Narrow"/>
      <family val="2"/>
      <scheme val="minor"/>
    </font>
    <font>
      <b/>
      <sz val="11"/>
      <color theme="0"/>
      <name val="Aptos Narrow"/>
      <family val="2"/>
      <scheme val="minor"/>
    </font>
    <font>
      <sz val="8"/>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sz val="11"/>
      <name val="Aptos Narrow"/>
      <family val="2"/>
      <scheme val="minor"/>
    </font>
    <font>
      <sz val="22"/>
      <color theme="1"/>
      <name val="Aptos Narrow"/>
      <family val="2"/>
      <scheme val="minor"/>
    </font>
    <font>
      <sz val="11"/>
      <color rgb="FF266298"/>
      <name val="Aptos Narrow"/>
      <family val="2"/>
      <scheme val="minor"/>
    </font>
    <font>
      <sz val="10"/>
      <color rgb="FF266298"/>
      <name val="Segoe UI"/>
      <family val="2"/>
    </font>
    <font>
      <sz val="11"/>
      <color theme="2"/>
      <name val="Aptos Narrow"/>
      <family val="2"/>
      <scheme val="minor"/>
    </font>
  </fonts>
  <fills count="20">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0" tint="-0.14999847407452621"/>
        <bgColor theme="0" tint="-0.14999847407452621"/>
      </patternFill>
    </fill>
    <fill>
      <patternFill patternType="solid">
        <fgColor theme="4" tint="-0.499984740745262"/>
        <bgColor indexed="64"/>
      </patternFill>
    </fill>
    <fill>
      <patternFill patternType="solid">
        <fgColor theme="3" tint="0.499984740745262"/>
        <bgColor indexed="64"/>
      </patternFill>
    </fill>
    <fill>
      <patternFill patternType="solid">
        <fgColor theme="3" tint="0.499984740745262"/>
        <bgColor theme="4"/>
      </patternFill>
    </fill>
    <fill>
      <patternFill patternType="solid">
        <fgColor rgb="FF700000"/>
        <bgColor indexed="64"/>
      </patternFill>
    </fill>
    <fill>
      <patternFill patternType="solid">
        <fgColor theme="5" tint="-0.249977111117893"/>
        <bgColor indexed="64"/>
      </patternFill>
    </fill>
    <fill>
      <patternFill patternType="solid">
        <fgColor theme="3" tint="0.249977111117893"/>
        <bgColor indexed="64"/>
      </patternFill>
    </fill>
    <fill>
      <patternFill patternType="solid">
        <fgColor rgb="FF990000"/>
        <bgColor indexed="64"/>
      </patternFill>
    </fill>
    <fill>
      <patternFill patternType="solid">
        <fgColor theme="4" tint="0.79998168889431442"/>
        <bgColor theme="4" tint="0.79998168889431442"/>
      </patternFill>
    </fill>
    <fill>
      <patternFill patternType="solid">
        <fgColor rgb="FFFFFD0F"/>
        <bgColor indexed="64"/>
      </patternFill>
    </fill>
    <fill>
      <patternFill patternType="solid">
        <fgColor rgb="FFFFFF00"/>
        <bgColor indexed="64"/>
      </patternFill>
    </fill>
    <fill>
      <patternFill patternType="solid">
        <fgColor theme="8"/>
        <bgColor theme="8"/>
      </patternFill>
    </fill>
    <fill>
      <patternFill patternType="solid">
        <fgColor rgb="FF00B0F0"/>
        <bgColor indexed="64"/>
      </patternFill>
    </fill>
    <fill>
      <patternFill patternType="solid">
        <fgColor rgb="FF0070C0"/>
        <bgColor indexed="64"/>
      </patternFill>
    </fill>
    <fill>
      <patternFill patternType="solid">
        <fgColor rgb="FF00CC99"/>
        <bgColor indexed="64"/>
      </patternFill>
    </fill>
    <fill>
      <patternFill patternType="solid">
        <fgColor theme="9"/>
        <bgColor indexed="64"/>
      </patternFill>
    </fill>
  </fills>
  <borders count="24">
    <border>
      <left/>
      <right/>
      <top/>
      <bottom/>
      <diagonal/>
    </border>
    <border>
      <left style="thin">
        <color indexed="64"/>
      </left>
      <right style="thin">
        <color indexed="64"/>
      </right>
      <top/>
      <bottom style="thin">
        <color indexed="64"/>
      </bottom>
      <diagonal/>
    </border>
    <border>
      <left/>
      <right/>
      <top/>
      <bottom style="thin">
        <color indexed="64"/>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style="thin">
        <color theme="1"/>
      </top>
      <bottom style="thin">
        <color theme="1"/>
      </bottom>
      <diagonal/>
    </border>
    <border>
      <left/>
      <right/>
      <top style="thin">
        <color theme="1"/>
      </top>
      <bottom/>
      <diagonal/>
    </border>
    <border>
      <left/>
      <right/>
      <top style="thin">
        <color indexed="64"/>
      </top>
      <bottom style="thin">
        <color indexed="64"/>
      </bottom>
      <diagonal/>
    </border>
    <border>
      <left style="thin">
        <color theme="1"/>
      </left>
      <right style="thin">
        <color indexed="64"/>
      </right>
      <top style="thin">
        <color indexed="64"/>
      </top>
      <bottom style="thin">
        <color indexed="64"/>
      </bottom>
      <diagonal/>
    </border>
    <border>
      <left/>
      <right/>
      <top style="thin">
        <color indexed="64"/>
      </top>
      <bottom/>
      <diagonal/>
    </border>
    <border>
      <left/>
      <right/>
      <top/>
      <bottom style="thin">
        <color theme="4" tint="0.39997558519241921"/>
      </bottom>
      <diagonal/>
    </border>
    <border>
      <left/>
      <right/>
      <top style="thin">
        <color theme="4" tint="0.39997558519241921"/>
      </top>
      <bottom/>
      <diagonal/>
    </border>
    <border>
      <left/>
      <right/>
      <top/>
      <bottom style="thin">
        <color theme="1"/>
      </bottom>
      <diagonal/>
    </border>
    <border>
      <left/>
      <right/>
      <top/>
      <bottom style="medium">
        <color theme="1"/>
      </bottom>
      <diagonal/>
    </border>
    <border>
      <left style="thin">
        <color theme="8"/>
      </left>
      <right/>
      <top/>
      <bottom style="medium">
        <color theme="1"/>
      </bottom>
      <diagonal/>
    </border>
    <border>
      <left/>
      <right style="thin">
        <color theme="8"/>
      </right>
      <top/>
      <bottom style="medium">
        <color theme="1"/>
      </bottom>
      <diagonal/>
    </border>
    <border>
      <left style="thin">
        <color rgb="FF266298"/>
      </left>
      <right style="thin">
        <color rgb="FF266298"/>
      </right>
      <top style="thin">
        <color rgb="FF266298"/>
      </top>
      <bottom style="thin">
        <color rgb="FF266298"/>
      </bottom>
      <diagonal/>
    </border>
    <border>
      <left style="thin">
        <color theme="0"/>
      </left>
      <right style="thin">
        <color theme="0"/>
      </right>
      <top/>
      <bottom style="thin">
        <color rgb="FF266298"/>
      </bottom>
      <diagonal/>
    </border>
    <border>
      <left style="thin">
        <color rgb="FF266298"/>
      </left>
      <right style="thin">
        <color rgb="FF266298"/>
      </right>
      <top style="thin">
        <color rgb="FF266298"/>
      </top>
      <bottom/>
      <diagonal/>
    </border>
  </borders>
  <cellStyleXfs count="4">
    <xf numFmtId="0" fontId="0" fillId="0" borderId="0"/>
    <xf numFmtId="9"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cellStyleXfs>
  <cellXfs count="113">
    <xf numFmtId="0" fontId="0" fillId="0" borderId="0" xfId="0"/>
    <xf numFmtId="10" fontId="0" fillId="0" borderId="0" xfId="0" applyNumberFormat="1"/>
    <xf numFmtId="0" fontId="0" fillId="0" borderId="3" xfId="0" applyBorder="1"/>
    <xf numFmtId="8" fontId="0" fillId="0" borderId="0" xfId="0" applyNumberFormat="1"/>
    <xf numFmtId="16" fontId="0" fillId="0" borderId="0" xfId="0" applyNumberFormat="1"/>
    <xf numFmtId="0" fontId="0" fillId="0" borderId="0" xfId="0" applyAlignment="1">
      <alignment horizontal="center"/>
    </xf>
    <xf numFmtId="0" fontId="0" fillId="0" borderId="0" xfId="0" applyAlignment="1">
      <alignment horizontal="right"/>
    </xf>
    <xf numFmtId="10" fontId="0" fillId="0" borderId="0" xfId="1" applyNumberFormat="1" applyFont="1"/>
    <xf numFmtId="0" fontId="5" fillId="3" borderId="0" xfId="0" applyFont="1" applyFill="1"/>
    <xf numFmtId="3" fontId="0" fillId="0" borderId="4" xfId="0" applyNumberFormat="1" applyBorder="1" applyAlignment="1">
      <alignment horizontal="center"/>
    </xf>
    <xf numFmtId="0" fontId="0" fillId="4" borderId="10" xfId="0" applyFill="1" applyBorder="1"/>
    <xf numFmtId="0" fontId="0" fillId="0" borderId="10" xfId="0" applyBorder="1"/>
    <xf numFmtId="0" fontId="0" fillId="0" borderId="4" xfId="0" applyBorder="1" applyAlignment="1">
      <alignment horizontal="center"/>
    </xf>
    <xf numFmtId="0" fontId="0" fillId="5" borderId="2" xfId="0" applyFill="1" applyBorder="1"/>
    <xf numFmtId="0" fontId="0" fillId="6" borderId="2" xfId="0" applyFill="1" applyBorder="1"/>
    <xf numFmtId="0" fontId="1" fillId="7" borderId="1" xfId="0" applyFont="1" applyFill="1" applyBorder="1" applyAlignment="1">
      <alignment horizontal="center"/>
    </xf>
    <xf numFmtId="10" fontId="0" fillId="4" borderId="10" xfId="0" applyNumberFormat="1" applyFill="1" applyBorder="1"/>
    <xf numFmtId="10" fontId="0" fillId="0" borderId="10" xfId="0" applyNumberFormat="1" applyBorder="1"/>
    <xf numFmtId="0" fontId="1" fillId="2" borderId="2" xfId="0" applyFont="1" applyFill="1" applyBorder="1"/>
    <xf numFmtId="0" fontId="1" fillId="8" borderId="2" xfId="0" applyFont="1" applyFill="1" applyBorder="1"/>
    <xf numFmtId="0" fontId="4" fillId="9" borderId="6" xfId="0" applyFont="1" applyFill="1" applyBorder="1" applyAlignment="1">
      <alignment horizontal="center"/>
    </xf>
    <xf numFmtId="0" fontId="4" fillId="9" borderId="1" xfId="0" applyFont="1" applyFill="1" applyBorder="1" applyAlignment="1">
      <alignment horizontal="center"/>
    </xf>
    <xf numFmtId="0" fontId="4" fillId="0" borderId="1" xfId="0" applyFont="1" applyBorder="1" applyAlignment="1">
      <alignment horizontal="center"/>
    </xf>
    <xf numFmtId="3" fontId="4" fillId="0" borderId="1" xfId="0" applyNumberFormat="1" applyFont="1" applyBorder="1" applyAlignment="1">
      <alignment horizontal="center"/>
    </xf>
    <xf numFmtId="3" fontId="4" fillId="0" borderId="7" xfId="0" applyNumberFormat="1" applyFont="1" applyBorder="1" applyAlignment="1">
      <alignment horizontal="center"/>
    </xf>
    <xf numFmtId="14" fontId="0" fillId="0" borderId="5" xfId="0" applyNumberFormat="1" applyBorder="1" applyAlignment="1">
      <alignment horizontal="center"/>
    </xf>
    <xf numFmtId="14" fontId="0" fillId="0" borderId="4" xfId="0" applyNumberFormat="1" applyBorder="1" applyAlignment="1">
      <alignment horizontal="center"/>
    </xf>
    <xf numFmtId="14" fontId="0" fillId="0" borderId="9"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14" fontId="0" fillId="0" borderId="6" xfId="0" applyNumberFormat="1" applyBorder="1" applyAlignment="1">
      <alignment horizontal="center"/>
    </xf>
    <xf numFmtId="10" fontId="5" fillId="3" borderId="0" xfId="0" applyNumberFormat="1" applyFont="1" applyFill="1"/>
    <xf numFmtId="0" fontId="0" fillId="2" borderId="4" xfId="0" applyFill="1" applyBorder="1" applyAlignment="1">
      <alignment horizontal="center"/>
    </xf>
    <xf numFmtId="0" fontId="6" fillId="0" borderId="4" xfId="0" applyFont="1" applyBorder="1" applyAlignment="1">
      <alignment horizontal="center"/>
    </xf>
    <xf numFmtId="0" fontId="7" fillId="0" borderId="0" xfId="0" applyFont="1"/>
    <xf numFmtId="10" fontId="7" fillId="0" borderId="0" xfId="0" applyNumberFormat="1" applyFont="1"/>
    <xf numFmtId="8" fontId="7" fillId="0" borderId="0" xfId="0" applyNumberFormat="1" applyFont="1"/>
    <xf numFmtId="0" fontId="5" fillId="10" borderId="0" xfId="0" applyFont="1" applyFill="1"/>
    <xf numFmtId="10" fontId="1" fillId="7" borderId="6" xfId="0" applyNumberFormat="1" applyFont="1" applyFill="1" applyBorder="1" applyAlignment="1">
      <alignment horizontal="center"/>
    </xf>
    <xf numFmtId="0" fontId="0" fillId="0" borderId="4" xfId="0" applyBorder="1"/>
    <xf numFmtId="0" fontId="1" fillId="11" borderId="2" xfId="0" applyFont="1" applyFill="1" applyBorder="1"/>
    <xf numFmtId="10" fontId="1" fillId="7" borderId="13" xfId="0" applyNumberFormat="1" applyFont="1" applyFill="1" applyBorder="1" applyAlignment="1">
      <alignment horizontal="center"/>
    </xf>
    <xf numFmtId="0" fontId="1" fillId="7" borderId="4" xfId="0" applyFont="1" applyFill="1" applyBorder="1" applyAlignment="1">
      <alignment horizontal="center"/>
    </xf>
    <xf numFmtId="0" fontId="1" fillId="6" borderId="12" xfId="0" applyFont="1" applyFill="1" applyBorder="1"/>
    <xf numFmtId="0" fontId="1" fillId="5" borderId="12" xfId="0" applyFont="1" applyFill="1" applyBorder="1"/>
    <xf numFmtId="3" fontId="0" fillId="0" borderId="0" xfId="0" applyNumberFormat="1"/>
    <xf numFmtId="3" fontId="0" fillId="0" borderId="11" xfId="0" applyNumberFormat="1" applyBorder="1"/>
    <xf numFmtId="4" fontId="0" fillId="0" borderId="0" xfId="0" applyNumberFormat="1"/>
    <xf numFmtId="0" fontId="0" fillId="0" borderId="5" xfId="0" applyBorder="1" applyAlignment="1">
      <alignment horizontal="center"/>
    </xf>
    <xf numFmtId="0" fontId="0" fillId="0" borderId="8" xfId="0" applyBorder="1" applyAlignment="1">
      <alignment horizontal="center"/>
    </xf>
    <xf numFmtId="14" fontId="0" fillId="0" borderId="8" xfId="0" applyNumberFormat="1" applyBorder="1" applyAlignment="1">
      <alignment horizontal="center"/>
    </xf>
    <xf numFmtId="14" fontId="0" fillId="0" borderId="12" xfId="0" applyNumberFormat="1" applyBorder="1" applyAlignment="1">
      <alignment horizontal="center"/>
    </xf>
    <xf numFmtId="14" fontId="0" fillId="0" borderId="14" xfId="0" applyNumberFormat="1" applyBorder="1" applyAlignment="1">
      <alignment horizontal="center"/>
    </xf>
    <xf numFmtId="0" fontId="0" fillId="0" borderId="9" xfId="0" applyBorder="1"/>
    <xf numFmtId="0" fontId="0" fillId="0" borderId="0" xfId="0" applyAlignment="1">
      <alignment horizontal="left"/>
    </xf>
    <xf numFmtId="14" fontId="0" fillId="0" borderId="0" xfId="0" applyNumberFormat="1"/>
    <xf numFmtId="0" fontId="5" fillId="0" borderId="15" xfId="0" applyFont="1" applyBorder="1"/>
    <xf numFmtId="0" fontId="5" fillId="3" borderId="15" xfId="0" applyFont="1" applyFill="1" applyBorder="1"/>
    <xf numFmtId="14" fontId="5" fillId="0" borderId="0" xfId="0" applyNumberFormat="1" applyFont="1"/>
    <xf numFmtId="14" fontId="5" fillId="0" borderId="15" xfId="0" applyNumberFormat="1" applyFont="1" applyBorder="1"/>
    <xf numFmtId="14" fontId="7" fillId="0" borderId="0" xfId="0" applyNumberFormat="1" applyFont="1"/>
    <xf numFmtId="0" fontId="7" fillId="13" borderId="0" xfId="0" applyFont="1" applyFill="1"/>
    <xf numFmtId="10" fontId="7" fillId="13" borderId="0" xfId="0" applyNumberFormat="1" applyFont="1" applyFill="1"/>
    <xf numFmtId="14" fontId="7" fillId="13" borderId="0" xfId="0" applyNumberFormat="1" applyFont="1" applyFill="1"/>
    <xf numFmtId="0" fontId="1" fillId="6" borderId="2" xfId="0" applyFont="1" applyFill="1" applyBorder="1"/>
    <xf numFmtId="0" fontId="7" fillId="14" borderId="0" xfId="0" applyFont="1" applyFill="1"/>
    <xf numFmtId="10" fontId="7" fillId="14" borderId="0" xfId="0" applyNumberFormat="1" applyFont="1" applyFill="1"/>
    <xf numFmtId="14" fontId="7" fillId="14" borderId="0" xfId="0" applyNumberFormat="1" applyFont="1" applyFill="1"/>
    <xf numFmtId="14" fontId="5" fillId="3" borderId="0" xfId="0" applyNumberFormat="1" applyFont="1" applyFill="1"/>
    <xf numFmtId="14" fontId="5" fillId="3" borderId="15" xfId="0" applyNumberFormat="1" applyFont="1" applyFill="1" applyBorder="1"/>
    <xf numFmtId="0" fontId="1" fillId="5" borderId="2" xfId="0" applyFont="1" applyFill="1" applyBorder="1"/>
    <xf numFmtId="0" fontId="0" fillId="0" borderId="16" xfId="0" applyBorder="1"/>
    <xf numFmtId="8" fontId="7" fillId="14" borderId="0" xfId="0" applyNumberFormat="1" applyFont="1" applyFill="1"/>
    <xf numFmtId="0" fontId="5" fillId="0" borderId="0" xfId="0" applyFont="1"/>
    <xf numFmtId="0" fontId="0" fillId="12" borderId="4" xfId="0" applyFill="1" applyBorder="1" applyAlignment="1">
      <alignment horizontal="center"/>
    </xf>
    <xf numFmtId="0" fontId="0" fillId="12" borderId="9" xfId="0" applyFill="1" applyBorder="1" applyAlignment="1">
      <alignment horizontal="center"/>
    </xf>
    <xf numFmtId="3" fontId="0" fillId="0" borderId="0" xfId="0" applyNumberFormat="1" applyAlignment="1">
      <alignment horizontal="right"/>
    </xf>
    <xf numFmtId="0" fontId="1" fillId="0" borderId="0" xfId="0" applyFont="1"/>
    <xf numFmtId="8" fontId="7" fillId="13" borderId="0" xfId="0" applyNumberFormat="1" applyFont="1" applyFill="1"/>
    <xf numFmtId="3" fontId="0" fillId="0" borderId="17" xfId="0" applyNumberFormat="1" applyBorder="1"/>
    <xf numFmtId="0" fontId="0" fillId="0" borderId="17" xfId="0" applyBorder="1"/>
    <xf numFmtId="3" fontId="0" fillId="0" borderId="10" xfId="0" applyNumberFormat="1" applyBorder="1"/>
    <xf numFmtId="0" fontId="0" fillId="0" borderId="11" xfId="0" applyBorder="1"/>
    <xf numFmtId="0" fontId="8" fillId="0" borderId="0" xfId="0" applyFont="1"/>
    <xf numFmtId="0" fontId="1" fillId="15" borderId="18" xfId="0" applyFont="1" applyFill="1" applyBorder="1"/>
    <xf numFmtId="0" fontId="1" fillId="15" borderId="19" xfId="0" applyFont="1" applyFill="1" applyBorder="1"/>
    <xf numFmtId="0" fontId="1" fillId="15" borderId="20" xfId="0" applyFont="1" applyFill="1" applyBorder="1"/>
    <xf numFmtId="0" fontId="0" fillId="16" borderId="0" xfId="0" applyFill="1"/>
    <xf numFmtId="0" fontId="0" fillId="17" borderId="0" xfId="0" applyFill="1"/>
    <xf numFmtId="0" fontId="0" fillId="18" borderId="0" xfId="0" applyFill="1"/>
    <xf numFmtId="0" fontId="8" fillId="18" borderId="0" xfId="0" applyFont="1" applyFill="1"/>
    <xf numFmtId="164" fontId="0" fillId="0" borderId="0" xfId="0" applyNumberFormat="1"/>
    <xf numFmtId="9" fontId="0" fillId="0" borderId="0" xfId="0" applyNumberFormat="1"/>
    <xf numFmtId="165" fontId="0" fillId="0" borderId="0" xfId="0" applyNumberFormat="1"/>
    <xf numFmtId="0" fontId="0" fillId="19" borderId="0" xfId="0" applyFill="1"/>
    <xf numFmtId="14" fontId="9" fillId="0" borderId="21" xfId="0" applyNumberFormat="1" applyFont="1" applyBorder="1" applyAlignment="1">
      <alignment horizontal="left" vertical="center" wrapText="1" indent="1"/>
    </xf>
    <xf numFmtId="0" fontId="9" fillId="0" borderId="21" xfId="0" applyFont="1" applyBorder="1" applyAlignment="1">
      <alignment horizontal="left" vertical="center" wrapText="1" indent="1"/>
    </xf>
    <xf numFmtId="166" fontId="9" fillId="0" borderId="21" xfId="2" applyNumberFormat="1" applyFont="1" applyFill="1" applyBorder="1" applyAlignment="1">
      <alignment horizontal="left" vertical="center" wrapText="1" indent="1"/>
    </xf>
    <xf numFmtId="166" fontId="10" fillId="0" borderId="21" xfId="3" applyNumberFormat="1" applyFont="1" applyFill="1" applyBorder="1" applyAlignment="1">
      <alignment horizontal="left" vertical="center" wrapText="1" indent="1"/>
    </xf>
    <xf numFmtId="14" fontId="11" fillId="0" borderId="22" xfId="0" applyNumberFormat="1" applyFont="1" applyBorder="1" applyAlignment="1">
      <alignment horizontal="center" vertical="center" wrapText="1"/>
    </xf>
    <xf numFmtId="49" fontId="11" fillId="0" borderId="22" xfId="0" applyNumberFormat="1" applyFont="1" applyBorder="1" applyAlignment="1">
      <alignment horizontal="center" vertical="center" wrapText="1"/>
    </xf>
    <xf numFmtId="14" fontId="9" fillId="0" borderId="23" xfId="0" applyNumberFormat="1" applyFont="1" applyBorder="1" applyAlignment="1">
      <alignment horizontal="left" vertical="center" wrapText="1" indent="1"/>
    </xf>
    <xf numFmtId="0" fontId="9" fillId="0" borderId="23" xfId="0" applyFont="1" applyBorder="1" applyAlignment="1">
      <alignment horizontal="left" vertical="center" wrapText="1" indent="1"/>
    </xf>
    <xf numFmtId="166" fontId="10" fillId="0" borderId="23" xfId="3" applyNumberFormat="1" applyFont="1" applyFill="1" applyBorder="1" applyAlignment="1">
      <alignment horizontal="left" vertical="center" wrapText="1" indent="1"/>
    </xf>
    <xf numFmtId="0" fontId="0" fillId="13" borderId="0" xfId="0" applyFill="1"/>
    <xf numFmtId="0" fontId="0" fillId="2" borderId="0" xfId="0" applyFill="1"/>
    <xf numFmtId="13" fontId="0" fillId="0" borderId="0" xfId="0" applyNumberFormat="1"/>
    <xf numFmtId="0" fontId="7" fillId="0" borderId="0" xfId="0" applyNumberFormat="1" applyFont="1" applyFill="1"/>
    <xf numFmtId="10" fontId="7" fillId="0" borderId="0" xfId="0" applyNumberFormat="1" applyFont="1" applyFill="1"/>
    <xf numFmtId="0" fontId="0" fillId="0" borderId="0" xfId="0" applyNumberFormat="1"/>
    <xf numFmtId="0" fontId="0" fillId="0" borderId="0" xfId="0" applyNumberFormat="1" applyAlignment="1">
      <alignment horizontal="center"/>
    </xf>
    <xf numFmtId="0" fontId="0" fillId="0" borderId="0" xfId="0" applyNumberFormat="1" applyAlignment="1">
      <alignment horizontal="left"/>
    </xf>
    <xf numFmtId="0" fontId="0" fillId="0" borderId="0" xfId="0" applyNumberFormat="1" applyAlignment="1">
      <alignment horizontal="right"/>
    </xf>
  </cellXfs>
  <cellStyles count="4">
    <cellStyle name="Millares" xfId="2" builtinId="3"/>
    <cellStyle name="Millares 2" xfId="3" xr:uid="{CCBF90F3-DA13-4DE0-995E-7426631BFFF9}"/>
    <cellStyle name="Normal" xfId="0" builtinId="0"/>
    <cellStyle name="Porcentaje" xfId="1" builtinId="5"/>
  </cellStyles>
  <dxfs count="15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266298"/>
        <name val="Segoe UI"/>
        <family val="2"/>
        <scheme val="none"/>
      </font>
      <numFmt numFmtId="166" formatCode="_-* #,##0_-;\-* #,##0_-;_-* &quot;-&quot;??_-;_-@_-"/>
      <fill>
        <patternFill patternType="none">
          <fgColor indexed="64"/>
          <bgColor indexed="65"/>
        </patternFill>
      </fill>
      <alignment horizontal="left" vertical="center" textRotation="0" wrapText="1" indent="1" justifyLastLine="0" shrinkToFit="0" readingOrder="0"/>
      <border diagonalUp="0" diagonalDown="0">
        <left style="thin">
          <color rgb="FF266298"/>
        </left>
        <right style="thin">
          <color rgb="FF266298"/>
        </right>
        <top style="thin">
          <color rgb="FF266298"/>
        </top>
        <bottom style="thin">
          <color rgb="FF266298"/>
        </bottom>
        <vertical/>
        <horizontal/>
      </border>
    </dxf>
    <dxf>
      <font>
        <b val="0"/>
        <i val="0"/>
        <strike val="0"/>
        <condense val="0"/>
        <extend val="0"/>
        <outline val="0"/>
        <shadow val="0"/>
        <u val="none"/>
        <vertAlign val="baseline"/>
        <sz val="11"/>
        <color rgb="FF266298"/>
        <name val="Aptos Narrow"/>
        <family val="2"/>
        <scheme val="minor"/>
      </font>
      <fill>
        <patternFill patternType="none">
          <fgColor indexed="64"/>
          <bgColor indexed="65"/>
        </patternFill>
      </fill>
      <alignment horizontal="left" vertical="center" textRotation="0" wrapText="1" indent="1" justifyLastLine="0" shrinkToFit="0" readingOrder="0"/>
      <border diagonalUp="0" diagonalDown="0">
        <left style="thin">
          <color rgb="FF266298"/>
        </left>
        <right style="thin">
          <color rgb="FF266298"/>
        </right>
        <top style="thin">
          <color rgb="FF266298"/>
        </top>
        <bottom style="thin">
          <color rgb="FF266298"/>
        </bottom>
        <vertical/>
        <horizontal/>
      </border>
    </dxf>
    <dxf>
      <font>
        <b val="0"/>
        <i val="0"/>
        <strike val="0"/>
        <condense val="0"/>
        <extend val="0"/>
        <outline val="0"/>
        <shadow val="0"/>
        <u val="none"/>
        <vertAlign val="baseline"/>
        <sz val="11"/>
        <color rgb="FF266298"/>
        <name val="Aptos Narrow"/>
        <family val="2"/>
        <scheme val="minor"/>
      </font>
      <numFmt numFmtId="19" formatCode="d/mm/yyyy"/>
      <fill>
        <patternFill patternType="none">
          <fgColor indexed="64"/>
          <bgColor indexed="65"/>
        </patternFill>
      </fill>
      <alignment horizontal="left" vertical="center" textRotation="0" wrapText="1" indent="1" justifyLastLine="0" shrinkToFit="0" readingOrder="0"/>
      <border diagonalUp="0" diagonalDown="0">
        <left style="thin">
          <color rgb="FF266298"/>
        </left>
        <right style="thin">
          <color rgb="FF266298"/>
        </right>
        <top style="thin">
          <color rgb="FF266298"/>
        </top>
        <bottom style="thin">
          <color rgb="FF266298"/>
        </bottom>
        <vertical/>
        <horizontal/>
      </border>
    </dxf>
    <dxf>
      <border outline="0">
        <top style="thin">
          <color rgb="FF266298"/>
        </top>
      </border>
    </dxf>
    <dxf>
      <border outline="0">
        <top style="thin">
          <color rgb="FF266298"/>
        </top>
        <bottom style="thin">
          <color rgb="FF266298"/>
        </bottom>
      </border>
    </dxf>
    <dxf>
      <border outline="0">
        <bottom style="thin">
          <color rgb="FF266298"/>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numFmt numFmtId="19" formatCode="d/mm/yyyy"/>
      <alignment horizontal="center" vertical="bottom" textRotation="0" wrapText="0" indent="0" justifyLastLine="0" shrinkToFit="0" readingOrder="0"/>
      <border diagonalUp="0" diagonalDown="0" outline="0">
        <left/>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19" formatCode="d/mm/yyyy"/>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0" formatCode="General"/>
    </dxf>
    <dxf>
      <numFmt numFmtId="0" formatCode="General"/>
    </dxf>
    <dxf>
      <numFmt numFmtId="14" formatCode="0.00%"/>
    </dxf>
    <dxf>
      <numFmt numFmtId="14" formatCode="0.00%"/>
    </dxf>
    <dxf>
      <numFmt numFmtId="14" formatCode="0.00%"/>
    </dxf>
    <dxf>
      <numFmt numFmtId="165" formatCode="0.000000000000000000"/>
    </dxf>
    <dxf>
      <numFmt numFmtId="14" formatCode="0.00%"/>
    </dxf>
    <dxf>
      <numFmt numFmtId="19" formatCode="d/mm/yyyy"/>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border outline="0">
        <top style="medium">
          <color theme="1"/>
        </top>
      </border>
    </dxf>
    <dxf>
      <border outline="0">
        <bottom style="medium">
          <color theme="1"/>
        </bottom>
      </border>
    </dxf>
    <dxf>
      <font>
        <b/>
        <i val="0"/>
        <strike val="0"/>
        <condense val="0"/>
        <extend val="0"/>
        <outline val="0"/>
        <shadow val="0"/>
        <u val="none"/>
        <vertAlign val="baseline"/>
        <sz val="11"/>
        <color theme="0"/>
        <name val="Aptos Narrow"/>
        <family val="2"/>
        <scheme val="minor"/>
      </font>
      <fill>
        <patternFill patternType="solid">
          <fgColor theme="8"/>
          <bgColor theme="8"/>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alignment horizontal="left" vertical="bottom" textRotation="0" wrapText="0" indent="0" justifyLastLine="0" shrinkToFit="0" readingOrder="0"/>
    </dxf>
    <dxf>
      <numFmt numFmtId="0" formatCode="General"/>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14"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border outline="0">
        <top style="medium">
          <color theme="1"/>
        </top>
      </border>
    </dxf>
    <dxf>
      <border outline="0">
        <bottom style="medium">
          <color theme="1"/>
        </bottom>
      </border>
    </dxf>
    <dxf>
      <font>
        <b/>
        <i val="0"/>
        <strike val="0"/>
        <condense val="0"/>
        <extend val="0"/>
        <outline val="0"/>
        <shadow val="0"/>
        <u val="none"/>
        <vertAlign val="baseline"/>
        <sz val="11"/>
        <color theme="0"/>
        <name val="Aptos Narrow"/>
        <family val="2"/>
        <scheme val="minor"/>
      </font>
      <fill>
        <patternFill patternType="solid">
          <fgColor theme="8"/>
          <bgColor theme="8"/>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alignment horizontal="left" vertical="bottom" textRotation="0" wrapText="0" indent="0" justifyLastLine="0" shrinkToFit="0" readingOrder="0"/>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border outline="0">
        <top style="medium">
          <color theme="1"/>
        </top>
      </border>
    </dxf>
    <dxf>
      <border outline="0">
        <bottom style="medium">
          <color theme="1"/>
        </bottom>
      </border>
    </dxf>
    <dxf>
      <font>
        <b/>
        <i val="0"/>
        <strike val="0"/>
        <condense val="0"/>
        <extend val="0"/>
        <outline val="0"/>
        <shadow val="0"/>
        <u val="none"/>
        <vertAlign val="baseline"/>
        <sz val="11"/>
        <color theme="0"/>
        <name val="Aptos Narrow"/>
        <family val="2"/>
        <scheme val="minor"/>
      </font>
      <fill>
        <patternFill patternType="solid">
          <fgColor theme="8"/>
          <bgColor theme="8"/>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border diagonalUp="0" diagonalDown="0" outline="0">
        <left/>
        <right/>
        <top style="thin">
          <color theme="1"/>
        </top>
        <bottom style="thin">
          <color theme="1"/>
        </bottom>
      </border>
    </dxf>
    <dxf>
      <numFmt numFmtId="3" formatCode="#,##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alignment horizontal="left" vertical="bottom" textRotation="0" wrapText="0" indent="0" justifyLastLine="0" shrinkToFit="0" readingOrder="0"/>
    </dxf>
    <dxf>
      <numFmt numFmtId="0" formatCode="General"/>
    </dxf>
    <dxf>
      <numFmt numFmtId="0" formatCode="General"/>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border outline="0">
        <top style="medium">
          <color theme="1"/>
        </top>
      </border>
    </dxf>
    <dxf>
      <border outline="0">
        <bottom style="medium">
          <color theme="1"/>
        </bottom>
      </border>
    </dxf>
    <dxf>
      <font>
        <b/>
        <i val="0"/>
        <strike val="0"/>
        <condense val="0"/>
        <extend val="0"/>
        <outline val="0"/>
        <shadow val="0"/>
        <u val="none"/>
        <vertAlign val="baseline"/>
        <sz val="11"/>
        <color theme="0"/>
        <name val="Aptos Narrow"/>
        <family val="2"/>
        <scheme val="minor"/>
      </font>
      <fill>
        <patternFill patternType="solid">
          <fgColor theme="8"/>
          <bgColor theme="8"/>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12" formatCode="&quot;S/&quot;\ #,##0.00;[Red]\-&quot;S/&quot;\ #,##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14" formatCode="0.00%"/>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theme="0" tint="-0.14999847407452621"/>
          <bgColor theme="0" tint="-0.14999847407452621"/>
        </patternFill>
      </fill>
      <border diagonalUp="0" diagonalDown="0">
        <left/>
        <right/>
        <top style="thin">
          <color theme="1"/>
        </top>
        <bottom style="thin">
          <color theme="1"/>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fill>
        <patternFill patternType="none">
          <fgColor indexed="64"/>
          <bgColor indexed="65"/>
        </patternFill>
      </fill>
      <border diagonalUp="0" diagonalDown="0">
        <left/>
        <right/>
        <top style="thin">
          <color theme="1"/>
        </top>
        <bottom style="thin">
          <color theme="1"/>
        </bottom>
        <vertical/>
        <horizontal/>
      </border>
    </dxf>
    <dxf>
      <numFmt numFmtId="14" formatCode="0.00%"/>
      <fill>
        <patternFill patternType="none">
          <fgColor indexed="64"/>
          <bgColor indexed="65"/>
        </patternFill>
      </fill>
      <border diagonalUp="0" diagonalDown="0">
        <left/>
        <right/>
        <top style="thin">
          <color theme="1"/>
        </top>
        <bottom style="thin">
          <color theme="1"/>
        </bottom>
        <vertical/>
        <horizontal/>
      </border>
    </dxf>
    <dxf>
      <fill>
        <patternFill patternType="none">
          <fgColor indexed="64"/>
          <bgColor indexed="65"/>
        </patternFill>
      </fill>
      <border diagonalUp="0" diagonalDown="0">
        <left/>
        <right/>
        <top style="thin">
          <color theme="1"/>
        </top>
        <bottom style="thin">
          <color theme="1"/>
        </bottom>
        <vertical/>
        <horizontal/>
      </border>
    </dxf>
    <dxf>
      <fill>
        <patternFill patternType="none">
          <fgColor indexed="64"/>
          <bgColor indexed="65"/>
        </patternFill>
      </fill>
      <border diagonalUp="0" diagonalDown="0">
        <left/>
        <right/>
        <top style="thin">
          <color theme="1"/>
        </top>
        <bottom style="thin">
          <color theme="1"/>
        </bottom>
        <vertical/>
        <horizontal/>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700000"/>
        </patternFill>
      </fil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border outline="0">
        <bottom style="thin">
          <color indexed="64"/>
        </bottom>
      </border>
    </dxf>
    <dxf>
      <fill>
        <patternFill patternType="solid">
          <fgColor indexed="64"/>
          <bgColor theme="4" tint="-0.499984740745262"/>
        </patternFill>
      </fill>
    </dxf>
    <dxf>
      <numFmt numFmtId="19" formatCode="d/mm/yyyy"/>
    </dxf>
    <dxf>
      <numFmt numFmtId="19" formatCode="d/mm/yyyy"/>
    </dxf>
    <dxf>
      <numFmt numFmtId="19" formatCode="d/mm/yyyy"/>
    </dxf>
    <dxf>
      <fill>
        <patternFill patternType="none">
          <fgColor indexed="64"/>
          <bgColor auto="1"/>
        </patternFill>
      </fil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2" formatCode="&quot;S/&quot;\ #,##0.00;[Red]\-&quot;S/&quot;\ #,##0.00"/>
    </dxf>
    <dxf>
      <font>
        <b val="0"/>
        <i val="0"/>
        <strike val="0"/>
        <condense val="0"/>
        <extend val="0"/>
        <outline val="0"/>
        <shadow val="0"/>
        <u val="none"/>
        <vertAlign val="baseline"/>
        <sz val="11"/>
        <color auto="1"/>
        <name val="Aptos Narrow"/>
        <family val="2"/>
        <scheme val="minor"/>
      </font>
    </dxf>
    <dxf>
      <font>
        <b val="0"/>
        <i val="0"/>
        <strike val="0"/>
        <condense val="0"/>
        <extend val="0"/>
        <outline val="0"/>
        <shadow val="0"/>
        <u val="none"/>
        <vertAlign val="baseline"/>
        <sz val="11"/>
        <color auto="1"/>
        <name val="Aptos Narrow"/>
        <family val="2"/>
        <scheme val="minor"/>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12" formatCode="&quot;S/&quot;\ #,##0.00;[Red]\-&quot;S/&quot;\ #,##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0" formatCode="General"/>
    </dxf>
    <dxf>
      <numFmt numFmtId="0" formatCode="General"/>
    </dxf>
    <dxf>
      <border outline="0">
        <top style="thin">
          <color indexed="64"/>
        </top>
      </border>
    </dxf>
    <dxf>
      <border outline="0">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bgColor auto="1"/>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dxf>
    <dxf>
      <fill>
        <patternFill patternType="none">
          <bgColor auto="1"/>
        </patternFill>
      </fill>
    </dxf>
    <dxf>
      <font>
        <b/>
        <i val="0"/>
        <strike val="0"/>
        <condense val="0"/>
        <extend val="0"/>
        <outline val="0"/>
        <shadow val="0"/>
        <u val="none"/>
        <vertAlign val="baseline"/>
        <sz val="11"/>
        <color theme="0"/>
        <name val="Aptos Narrow"/>
        <family val="2"/>
        <scheme val="minor"/>
      </font>
      <fill>
        <patternFill patternType="none">
          <fgColor theme="1"/>
          <bgColor auto="1"/>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14" formatCode="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14" formatCode="0.00%"/>
    </dxf>
    <dxf>
      <border outline="0">
        <top style="thin">
          <color indexed="64"/>
        </top>
      </border>
    </dxf>
    <dxf>
      <border outline="0">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numFmt numFmtId="19" formatCode="d/mm/yyyy"/>
    </dxf>
    <dxf>
      <numFmt numFmtId="19" formatCode="d/mm/yyyy"/>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19" formatCode="d/mm/yyyy"/>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dxf>
    <dxf>
      <font>
        <b val="0"/>
        <i val="0"/>
        <strike val="0"/>
        <condense val="0"/>
        <extend val="0"/>
        <outline val="0"/>
        <shadow val="0"/>
        <u val="none"/>
        <vertAlign val="baseline"/>
        <sz val="11"/>
        <color theme="1"/>
        <name val="Aptos Narrow"/>
        <family val="2"/>
        <scheme val="minor"/>
      </font>
      <numFmt numFmtId="0" formatCode="General"/>
      <fill>
        <patternFill patternType="none">
          <fgColor theme="4" tint="0.79998168889431442"/>
          <bgColor auto="1"/>
        </patternFill>
      </fill>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border outline="0">
        <left style="thin">
          <color theme="4" tint="0.39997558519241921"/>
        </left>
        <top style="thin">
          <color theme="4" tint="0.39997558519241921"/>
        </top>
      </border>
    </dxf>
    <dxf>
      <fill>
        <patternFill patternType="none">
          <bgColor auto="1"/>
        </patternFill>
      </fill>
    </dxf>
    <dxf>
      <border outline="0">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fill>
        <patternFill patternType="none">
          <bgColor auto="1"/>
        </patternFill>
      </fill>
    </dxf>
    <dxf>
      <numFmt numFmtId="0" formatCode="General"/>
      <fill>
        <patternFill patternType="none">
          <bgColor auto="1"/>
        </patternFill>
      </fill>
    </dxf>
    <dxf>
      <numFmt numFmtId="19" formatCode="d/mm/yyyy"/>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dxf>
    <dxf>
      <font>
        <b val="0"/>
        <i val="0"/>
        <strike val="0"/>
        <condense val="0"/>
        <extend val="0"/>
        <outline val="0"/>
        <shadow val="0"/>
        <u val="none"/>
        <vertAlign val="baseline"/>
        <sz val="11"/>
        <color theme="1"/>
        <name val="Aptos Narrow"/>
        <family val="2"/>
        <scheme val="minor"/>
      </font>
      <numFmt numFmtId="0" formatCode="General"/>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border outline="0">
        <left style="thin">
          <color theme="4" tint="0.39997558519241921"/>
        </left>
        <top style="thin">
          <color theme="4" tint="0.39997558519241921"/>
        </top>
      </border>
    </dxf>
    <dxf>
      <fill>
        <patternFill patternType="none">
          <bgColor auto="1"/>
        </patternFill>
      </fill>
    </dxf>
    <dxf>
      <border outline="0">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fill>
        <patternFill patternType="none">
          <bgColor auto="1"/>
        </patternFill>
      </fill>
    </dxf>
    <dxf>
      <numFmt numFmtId="0" formatCode="General"/>
      <fill>
        <patternFill patternType="none">
          <bgColor auto="1"/>
        </patternFill>
      </fill>
    </dxf>
    <dxf>
      <numFmt numFmtId="19" formatCode="d/mm/yyyy"/>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dxf>
    <dxf>
      <font>
        <b val="0"/>
        <i val="0"/>
        <strike val="0"/>
        <condense val="0"/>
        <extend val="0"/>
        <outline val="0"/>
        <shadow val="0"/>
        <u val="none"/>
        <vertAlign val="baseline"/>
        <sz val="11"/>
        <color theme="1"/>
        <name val="Aptos Narrow"/>
        <family val="2"/>
        <scheme val="minor"/>
      </font>
      <numFmt numFmtId="0" formatCode="General"/>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border outline="0">
        <left style="thin">
          <color theme="4" tint="0.39997558519241921"/>
        </left>
        <top style="thin">
          <color theme="4" tint="0.39997558519241921"/>
        </top>
      </border>
    </dxf>
    <dxf>
      <fill>
        <patternFill patternType="none">
          <bgColor auto="1"/>
        </patternFill>
      </fill>
    </dxf>
    <dxf>
      <border outline="0">
        <bottom style="thin">
          <color theme="4" tint="0.39997558519241921"/>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19" formatCode="d/mm/yyyy"/>
    </dxf>
    <dxf>
      <numFmt numFmtId="19" formatCode="d/mm/yyyy"/>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12" formatCode="&quot;S/&quot;\ #,##0.00;[Red]\-&quot;S/&quot;\ #,##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0" formatCode="General"/>
    </dxf>
    <dxf>
      <numFmt numFmtId="0" formatCode="General"/>
    </dxf>
    <dxf>
      <border outline="0">
        <top style="thin">
          <color indexed="64"/>
        </top>
      </border>
    </dxf>
    <dxf>
      <border outline="0">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12" formatCode="&quot;S/&quot;\ #,##0.00;[Red]\-&quot;S/&quot;\ #,##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0" formatCode="General"/>
    </dxf>
    <dxf>
      <numFmt numFmtId="0" formatCode="General"/>
    </dxf>
    <dxf>
      <border outline="0">
        <top style="thin">
          <color indexed="64"/>
        </top>
      </border>
    </dxf>
    <dxf>
      <border outline="0">
        <bottom style="thin">
          <color indexed="64"/>
        </bottom>
      </border>
    </dxf>
    <dxf>
      <fill>
        <patternFill>
          <bgColor rgb="FFFFFF99"/>
        </patternFill>
      </fill>
    </dxf>
    <dxf>
      <fill>
        <patternFill>
          <bgColor rgb="FFFFE79B"/>
        </patternFill>
      </fill>
    </dxf>
    <dxf>
      <fill>
        <patternFill>
          <bgColor rgb="FFFF7C80"/>
        </patternFill>
      </fill>
    </dxf>
  </dxfs>
  <tableStyles count="3" defaultTableStyle="TableStyleMedium2" defaultPivotStyle="PivotStyleLight16">
    <tableStyle name="Estilo de tabla dinámica 1" table="0" count="1" xr9:uid="{8E76D93B-B630-4851-99ED-6F342445E5BF}">
      <tableStyleElement type="headerRow" dxfId="1512"/>
    </tableStyle>
    <tableStyle name="Estilo de tabla dinámica 2" table="0" count="1" xr9:uid="{9E60CF16-845A-4669-9AA4-E5ACD7B8B1A8}">
      <tableStyleElement type="headerRow" dxfId="1511"/>
    </tableStyle>
    <tableStyle name="Estilo de tabla dinámica 3" table="0" count="1" xr9:uid="{A9F08836-5681-4078-A387-711930301837}">
      <tableStyleElement type="headerRow" dxfId="1510"/>
    </tableStyle>
  </tableStyles>
  <colors>
    <mruColors>
      <color rgb="FFFFFD0F"/>
      <color rgb="FF00CC99"/>
      <color rgb="FF00FF99"/>
      <color rgb="FF99FFCC"/>
      <color rgb="FF990000"/>
      <color rgb="FF700000"/>
      <color rgb="FFFCCF10"/>
      <color rgb="FFFEF6D2"/>
      <color rgb="FFFAE912"/>
      <color rgb="FFB71C1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aredStrings" Target="sharedStrings.xml"/><Relationship Id="rId8" Type="http://schemas.openxmlformats.org/officeDocument/2006/relationships/worksheet" Target="worksheets/sheet8.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2" xr16:uid="{2C1CC3E8-9A45-468B-825D-12FB9BC61D7F}" autoFormatId="16" applyNumberFormats="0" applyBorderFormats="0" applyFontFormats="0" applyPatternFormats="0" applyAlignmentFormats="0" applyWidthHeightFormats="0">
  <queryTableRefresh nextId="12" unboundColumnsRight="2">
    <queryTableFields count="7">
      <queryTableField id="1" name="ALIAS" tableColumnId="1"/>
      <queryTableField id="10" name="PUESTO REAL" tableColumnId="2"/>
      <queryTableField id="3" name="FEC_NAC" tableColumnId="3"/>
      <queryTableField id="4" name="NOMBRE" tableColumnId="4"/>
      <queryTableField id="8" name="PUESTO" tableColumnId="8"/>
      <queryTableField id="7" dataBound="0" tableColumnId="7"/>
      <queryTableField id="9" dataBound="0"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3" xr16:uid="{62DCD030-5BD6-439B-A866-2052AFBCF4D0}" autoFormatId="16" applyNumberFormats="0" applyBorderFormats="0" applyFontFormats="0" applyPatternFormats="0" applyAlignmentFormats="0" applyWidthHeightFormats="0">
  <queryTableRefresh nextId="11">
    <queryTableFields count="10">
      <queryTableField id="1" name="FECHA" tableColumnId="1"/>
      <queryTableField id="2" name="ASESOR" tableColumnId="2"/>
      <queryTableField id="3" name="DNI" tableColumnId="3"/>
      <queryTableField id="4" name="EQUIPO" tableColumnId="4"/>
      <queryTableField id="5" name="CONDICION" tableColumnId="5"/>
      <queryTableField id="6" name="TIPO" tableColumnId="6"/>
      <queryTableField id="7" name="FECHA DE INGRESO" tableColumnId="7"/>
      <queryTableField id="8" name="MESES ANTIGÜEDAD" tableColumnId="8"/>
      <queryTableField id="9" name="SEGMENTO" tableColumnId="9"/>
      <queryTableField id="10" name="FECHA DE CESE" tableColumnId="10"/>
    </queryTableFields>
  </queryTableRefresh>
</queryTable>
</file>

<file path=xl/tables/_rels/table8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86.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6DEFD4D9-E9B1-416F-8AE5-C9600610600C}" name="DATA_NOVIEMBRE_2024" displayName="DATA_NOVIEMBRE_2024" ref="M8:AX78" totalsRowShown="0" headerRowBorderDxfId="1509" tableBorderDxfId="1508">
  <autoFilter ref="M8:AX78" xr:uid="{6DEFD4D9-E9B1-416F-8AE5-C9600610600C}"/>
  <sortState xmlns:xlrd2="http://schemas.microsoft.com/office/spreadsheetml/2017/richdata2" ref="M9:AX58">
    <sortCondition ref="R8:R58"/>
  </sortState>
  <tableColumns count="38">
    <tableColumn id="5" xr3:uid="{2F04F0FC-5AE4-4C07-A721-BFFAE7B5578A}" name="AL_AC" dataDxfId="1507">
      <calculatedColumnFormula>DATA_NOVIEMBRE_2024[[#This Row],[RECUPERO]]/DATA_NOVIEMBRE_2024[[#This Row],[META]]</calculatedColumnFormula>
    </tableColumn>
    <tableColumn id="2" xr3:uid="{8B46A38D-7233-499F-B1DE-FB511E519FF9}" name="Q_ALC" dataDxfId="1506">
      <calculatedColumnFormula>6-ROUNDUP(_xlfn.RANK.EQ(DATA_NOVIEMBRE_2024[[#This Row],[AL_AC]],DATA_NOVIEMBRE_2024[AL_AC],0)/(COUNTA(DATA_NOVIEMBRE_2024[AL_AC])/5),0)</calculatedColumnFormula>
    </tableColumn>
    <tableColumn id="3" xr3:uid="{6B4E6DA2-6669-439A-9331-BCFE88249AC1}" name="SUPERVISOR" dataDxfId="1505"/>
    <tableColumn id="1" xr3:uid="{6BE1DCAD-FFC1-41E5-BE9A-DDFCB075F86E}" name="RECUPERO" dataDxfId="1504">
      <calculatedColumnFormula>SUM(DATA_NOVIEMBRE_2024[[#This Row],[1]:[31]])</calculatedColumnFormula>
    </tableColumn>
    <tableColumn id="6" xr3:uid="{9DC6CD9E-A550-4452-954F-6EA70609499E}" name="META" dataDxfId="1503"/>
    <tableColumn id="7" xr3:uid="{253195A7-7D47-486A-80F6-796ADB20EC53}" name="ASER_" dataDxfId="1502"/>
    <tableColumn id="4" xr3:uid="{202FFDF7-B7CF-4672-95EA-680792362409}" name="1" dataDxfId="1501"/>
    <tableColumn id="8" xr3:uid="{72687A8D-B0F6-4DDB-88CE-1067530F054A}" name="2" dataDxfId="1500"/>
    <tableColumn id="9" xr3:uid="{F4E2F670-BFF9-4FD3-A0D4-C9CAB825BC0C}" name="3" dataDxfId="1499"/>
    <tableColumn id="10" xr3:uid="{DBA3AC26-F584-4CBE-8D86-75C4463192B1}" name="4" dataDxfId="1498"/>
    <tableColumn id="11" xr3:uid="{219202FB-F58A-440D-8D19-01059AA56BAB}" name="5" dataDxfId="1497"/>
    <tableColumn id="12" xr3:uid="{2AF7B6E4-01F3-401E-BF95-3CFAB27577BC}" name="6" dataDxfId="1496"/>
    <tableColumn id="13" xr3:uid="{24CA335A-580E-4429-A4F8-DFAB61DD23F8}" name="7" dataDxfId="1495"/>
    <tableColumn id="14" xr3:uid="{4A96EC6B-C7D3-4A7F-8B4B-F3D8AF9FE594}" name="8" dataDxfId="1494"/>
    <tableColumn id="15" xr3:uid="{BA9F52F9-841F-49D0-AFFC-4D571D566DE4}" name="9" dataDxfId="1493"/>
    <tableColumn id="16" xr3:uid="{409BE12D-B77E-48C5-951D-B87CB101AD44}" name="10" dataDxfId="1492"/>
    <tableColumn id="36" xr3:uid="{EABD928B-5CEF-43E4-86B7-780838874C4C}" name="11"/>
    <tableColumn id="37" xr3:uid="{792F0026-69D5-45F8-A134-C07C95C13B09}" name="12"/>
    <tableColumn id="39" xr3:uid="{8AC6F340-2578-4E30-8348-E581E9BA2051}" name="13"/>
    <tableColumn id="32" xr3:uid="{3A3CF7B0-AF9E-427E-A74E-6B1338B44A7F}" name="14"/>
    <tableColumn id="33" xr3:uid="{474235E5-8AD2-4609-B097-DBD1E10E18D8}" name="15"/>
    <tableColumn id="34" xr3:uid="{78B77D2F-DDE2-41BD-99C6-8F040550E89A}" name="16"/>
    <tableColumn id="35" xr3:uid="{BC30524A-F67E-4642-8D30-AA4D2439ADB4}" name="17"/>
    <tableColumn id="28" xr3:uid="{39B9F939-30E9-4D97-B646-C2ACFBF84401}" name="18"/>
    <tableColumn id="29" xr3:uid="{572C68FB-24D7-4929-9D32-4D04B23056AB}" name="19"/>
    <tableColumn id="30" xr3:uid="{15241488-983E-4254-A297-20CF267E987A}" name="20"/>
    <tableColumn id="31" xr3:uid="{AC9DFD54-00B5-43E7-8E2C-D7195BD54DFF}" name="21"/>
    <tableColumn id="17" xr3:uid="{A1ADEFC1-AF5C-40DA-BD9B-35022442F4FF}" name="22" dataDxfId="1491"/>
    <tableColumn id="18" xr3:uid="{517449FB-ABB0-4312-822F-083501FE4456}" name="23" dataDxfId="1490"/>
    <tableColumn id="19" xr3:uid="{F22CE4E7-E04E-47AF-97E3-BEAFF6BC2F5E}" name="24" dataDxfId="1489"/>
    <tableColumn id="20" xr3:uid="{FE9C6881-7986-46E5-B896-D446A4BEF596}" name="25" dataDxfId="1488"/>
    <tableColumn id="21" xr3:uid="{32A09EFC-675D-4983-B360-4DBEAB2EE4FA}" name="26" dataDxfId="1487"/>
    <tableColumn id="22" xr3:uid="{02F89659-315D-4DE1-BE9C-A8C4FBB65511}" name="27" dataDxfId="1486"/>
    <tableColumn id="23" xr3:uid="{E556EC76-1435-4562-B8FF-767920C873C4}" name="28" dataDxfId="1485"/>
    <tableColumn id="24" xr3:uid="{E42123DE-6B43-4653-BF5B-323243D5FCAD}" name="29" dataDxfId="1484"/>
    <tableColumn id="25" xr3:uid="{71D65AF5-510E-457D-B0E2-F9582E783D67}" name="30" dataDxfId="1483"/>
    <tableColumn id="26" xr3:uid="{3E966EE9-5B51-4732-8107-B252301503A4}" name="31" dataDxfId="1482"/>
    <tableColumn id="27" xr3:uid="{6F804D29-D57D-4925-9B25-DD58FD9CD4C1}" name="CARTERA ASESOR" dataDxfId="1481"/>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EA51657-9DFD-4518-856A-D830285E4602}" name="D1_NOVIEMBRE_2024" displayName="D1_NOVIEMBRE_2024" ref="A2:K72" totalsRowShown="0" headerRowDxfId="1480">
  <autoFilter ref="A2:K72" xr:uid="{AEA51657-9DFD-4518-856A-D830285E4602}"/>
  <tableColumns count="11">
    <tableColumn id="1" xr3:uid="{471651EC-762A-4439-9E09-36CE7484C7DB}" name="SUPER" dataDxfId="1479"/>
    <tableColumn id="2" xr3:uid="{85C17B1E-7CF3-4112-8B36-78A801EE3005}" name="ASESOR_CRR" dataDxfId="1478">
      <calculatedColumnFormula>D1_NOVIEMBRE_2024[[#This Row],[ASESOR]]</calculatedColumnFormula>
    </tableColumn>
    <tableColumn id="5" xr3:uid="{0BDBF623-DEA9-4A29-8D28-4030A786FE51}" name="META" dataDxfId="1477">
      <calculatedColumnFormula>VLOOKUP(D1_NOVIEMBRE_2024[[#This Row],[SUPER]],DATA_NOVIEMBRE_2024[[SUPERVISOR]:[META]],3,0)</calculatedColumnFormula>
    </tableColumn>
    <tableColumn id="6" xr3:uid="{C702AF9F-4896-48CF-895F-224FB32B617C}" name="ALCANCE" dataDxfId="1476">
      <calculatedColumnFormula>D1_NOVIEMBRE_2024[[#This Row],[RECUPERO]]/D1_NOVIEMBRE_2024[[#This Row],[META]]</calculatedColumnFormula>
    </tableColumn>
    <tableColumn id="7" xr3:uid="{D7917A8B-F33C-40CB-980B-776F1F99832F}" name="SUPER2" dataDxfId="1475">
      <calculatedColumnFormula>D1_NOVIEMBRE_2024[[#This Row],[SUPER]]</calculatedColumnFormula>
    </tableColumn>
    <tableColumn id="3" xr3:uid="{D3DEEA0E-2C42-46FD-8654-903457BA8890}" name="ASESOR"/>
    <tableColumn id="4" xr3:uid="{C5AD85C6-8FB5-44A3-B923-6D77349ABA85}" name="RECUPERO" dataDxfId="1474"/>
    <tableColumn id="8" xr3:uid="{C288ADF8-0B7D-46E8-A515-7A398BFBAFF5}" name="DNI" dataDxfId="1473"/>
    <tableColumn id="9" xr3:uid="{9816B6C7-AE6F-49DA-A0C6-21A173A63635}" name="FECHA DE INICIO" dataDxfId="1472"/>
    <tableColumn id="10" xr3:uid="{342ACA45-E672-4A50-BD93-4F29AC6175A9}" name="ESTADO" dataDxfId="1471"/>
    <tableColumn id="11" xr3:uid="{780F777E-150C-4520-B1D0-54D7AB4CE197}" name="SEGMENT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4116E31-8B46-42C0-A242-8296F27A022F}" name="DITE_NOVIEMBRE_2024" displayName="DITE_NOVIEMBRE_2024" ref="AZ8:CI15" totalsRowShown="0" headerRowDxfId="1470" dataDxfId="1468" headerRowBorderDxfId="1469" tableBorderDxfId="1467" totalsRowBorderDxfId="1466">
  <autoFilter ref="AZ8:CI15" xr:uid="{04116E31-8B46-42C0-A242-8296F27A022F}"/>
  <sortState xmlns:xlrd2="http://schemas.microsoft.com/office/spreadsheetml/2017/richdata2" ref="AZ9:CI13">
    <sortCondition ref="BC8:BC13"/>
  </sortState>
  <tableColumns count="36">
    <tableColumn id="2" xr3:uid="{EDDACE3E-50F5-4673-9A33-0C2E8A48D18E}" name="META SUPER" dataDxfId="1465"/>
    <tableColumn id="3" xr3:uid="{734C6C88-3899-4B11-A8BB-68F60FEB745F}" name="RECUPERO SUPERVISOR" dataDxfId="1464">
      <calculatedColumnFormula>MAX(DITE_NOVIEMBRE_2024[[#This Row],[1]:[31]])</calculatedColumnFormula>
    </tableColumn>
    <tableColumn id="4" xr3:uid="{ECE5B99F-FD83-4520-9BD0-C6F22F1D89DE}" name="ALCANCE SUPERVISOR" dataDxfId="1463">
      <calculatedColumnFormula>DITE_NOVIEMBRE_2024[[#This Row],[RECUPERO SUPERVISOR]]/AZ9</calculatedColumnFormula>
    </tableColumn>
    <tableColumn id="1" xr3:uid="{3C6266ED-8A4A-4ABB-A9C5-F6D7C3A28E1C}" name="SUPER" dataDxfId="1462"/>
    <tableColumn id="6" xr3:uid="{8E1962E6-B227-403D-959C-EC0A84512E7F}" name="1" dataDxfId="1461"/>
    <tableColumn id="7" xr3:uid="{82013CDA-2013-412E-8FF7-7857EB3BAAEB}" name="2" dataDxfId="1460"/>
    <tableColumn id="36" xr3:uid="{F80449E7-9C09-4D54-AD2B-6D30BBE4BFFD}" name="3" dataDxfId="1459"/>
    <tableColumn id="8" xr3:uid="{6BAF72DE-4BC7-441F-A85E-9041EF3899D9}" name="4" dataDxfId="1458"/>
    <tableColumn id="9" xr3:uid="{3D9FCE7A-2F3D-4CC9-8A91-10BD16A7E640}" name="5" dataDxfId="1457"/>
    <tableColumn id="10" xr3:uid="{BEDD9763-065B-45CB-AE2B-710FA8B66ADE}" name="6" dataDxfId="1456"/>
    <tableColumn id="11" xr3:uid="{BC3C528B-42C9-4B2F-9619-B254969267D0}" name="7" dataDxfId="1455"/>
    <tableColumn id="12" xr3:uid="{0A48E3CB-F739-4C32-945D-648E7EB8070E}" name="8" dataDxfId="1454"/>
    <tableColumn id="13" xr3:uid="{B96192EF-9446-4291-B1F2-DB704B1D3A04}" name="9" dataDxfId="1453"/>
    <tableColumn id="14" xr3:uid="{604B61A4-751B-4BF0-9D80-954CAB1D08B0}" name="10" dataDxfId="1452"/>
    <tableColumn id="15" xr3:uid="{9BAD68A4-5571-4BDA-97CB-9067D42459EC}" name="11" dataDxfId="1451"/>
    <tableColumn id="32" xr3:uid="{D6886672-9386-4ADF-AED9-8A33D204EF56}" name="12" dataDxfId="1450"/>
    <tableColumn id="33" xr3:uid="{3D371433-AC3E-4391-8C88-2354E3462A27}" name="13" dataDxfId="1449"/>
    <tableColumn id="35" xr3:uid="{58EC2E80-FD81-492B-8002-FCEB99DCCCA5}" name="14" dataDxfId="1448"/>
    <tableColumn id="34" xr3:uid="{BBD59636-2F98-4BBE-8F44-00F7C13015FB}" name="15" dataDxfId="1447"/>
    <tableColumn id="29" xr3:uid="{DD6F0447-F620-4F38-AAE2-F94C7BD1301A}" name="16" dataDxfId="1446"/>
    <tableColumn id="30" xr3:uid="{AEA6202E-0E43-491B-9DE9-B12618DFE3C3}" name="17" dataDxfId="1445"/>
    <tableColumn id="31" xr3:uid="{7F0C4991-2DDA-47D6-8952-EF0420833FE2}" name="18" dataDxfId="1444"/>
    <tableColumn id="26" xr3:uid="{63319244-ED6C-4CB6-91C9-FD0B33FFFA44}" name="19" dataDxfId="1443"/>
    <tableColumn id="27" xr3:uid="{3ED47FDF-F24A-4EC8-9029-689369682758}" name="20" dataDxfId="1442"/>
    <tableColumn id="28" xr3:uid="{B5758593-5927-4B15-9EF3-08A6AA13FEE5}" name="21" dataDxfId="1441"/>
    <tableColumn id="16" xr3:uid="{A79A9DD4-74CF-4F17-A260-30A614552C96}" name="22" dataDxfId="1440"/>
    <tableColumn id="17" xr3:uid="{A3AD1A97-629C-494C-8C66-6BA86E905D7F}" name="23" dataDxfId="1439"/>
    <tableColumn id="18" xr3:uid="{BF0972B0-617B-4546-9271-F4E0D9F96151}" name="24" dataDxfId="1438"/>
    <tableColumn id="19" xr3:uid="{A9D6B970-56DB-403D-9EC5-9A1114D18DD8}" name="25" dataDxfId="1437"/>
    <tableColumn id="20" xr3:uid="{87CB9ADC-EDEB-4C07-8A41-D10A3E379763}" name="26" dataDxfId="1436"/>
    <tableColumn id="21" xr3:uid="{4E36C293-1144-4926-8E91-3475130D3D19}" name="27" dataDxfId="1435"/>
    <tableColumn id="22" xr3:uid="{ACDA0744-1D85-4327-BD2E-0D10C5E5827D}" name="28" dataDxfId="1434"/>
    <tableColumn id="23" xr3:uid="{A55279AC-F17C-48C7-B6F4-AFD7642F257E}" name="29" dataDxfId="1433"/>
    <tableColumn id="24" xr3:uid="{B30A56B6-4B82-41A1-BE7F-1D370BF48A8B}" name="30" dataDxfId="1432"/>
    <tableColumn id="25" xr3:uid="{2121F136-11EF-4DC1-9A0A-C968CE5BD71B}" name="31" dataDxfId="1431"/>
    <tableColumn id="5" xr3:uid="{9A6ECD1E-A39C-4D33-BBF6-B37C7AF2A67C}" name="CARTERA" dataDxfId="1430"/>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BCDF1B0E-B565-40AD-B13D-954F56FEF342}" name="Tabla616566676870717273747563646976777879" displayName="Tabla616566676870717273747563646976777879" ref="CK8:CO15" totalsRowShown="0" headerRowDxfId="1429" dataDxfId="1428">
  <autoFilter ref="CK8:CO15" xr:uid="{BCDF1B0E-B565-40AD-B13D-954F56FEF342}"/>
  <tableColumns count="5">
    <tableColumn id="1" xr3:uid="{56A1DC4D-61B8-4DE5-8EBA-E8B6AF7E3173}" name="VISTA" dataDxfId="1427"/>
    <tableColumn id="2" xr3:uid="{61FB4102-E339-41D7-BB34-D69D937B8B44}" name="1" dataDxfId="1426"/>
    <tableColumn id="3" xr3:uid="{04DCF14E-F9BC-460D-B838-0AB55D9CDC21}" name="2" dataDxfId="1425"/>
    <tableColumn id="4" xr3:uid="{ADD5C1AF-2CF8-4EB7-AC07-FF2C676A2BED}" name="3" dataDxfId="1424"/>
    <tableColumn id="14" xr3:uid="{85D71B1A-9AFC-40D3-83DD-5F2A02A038A3}" name="4" dataDxfId="1423"/>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9DC05AB-19B0-44DA-B31E-46CEA40B1B02}" name="DATA_DICIEMBRE_2024" displayName="DATA_DICIEMBRE_2024" ref="M8:AX82" totalsRowShown="0" headerRowBorderDxfId="1422" tableBorderDxfId="1421">
  <autoFilter ref="M8:AX82" xr:uid="{A9DC05AB-19B0-44DA-B31E-46CEA40B1B02}"/>
  <sortState xmlns:xlrd2="http://schemas.microsoft.com/office/spreadsheetml/2017/richdata2" ref="M9:AX58">
    <sortCondition ref="R8:R58"/>
  </sortState>
  <tableColumns count="38">
    <tableColumn id="5" xr3:uid="{A8F94EB0-3D0D-4A92-97E3-00F6AAA875B2}" name="AL_AC" dataDxfId="1420">
      <calculatedColumnFormula>DATA_DICIEMBRE_2024[[#This Row],[RECUPERO]]/DATA_DICIEMBRE_2024[[#This Row],[META]]</calculatedColumnFormula>
    </tableColumn>
    <tableColumn id="2" xr3:uid="{AE497F25-36CD-42FB-B18F-59D419263CBC}" name="Q_ALC" dataDxfId="1419">
      <calculatedColumnFormula>6-ROUNDUP(_xlfn.RANK.EQ(DATA_DICIEMBRE_2024[[#This Row],[AL_AC]],DATA_DICIEMBRE_2024[AL_AC],0)/(COUNTA(DATA_DICIEMBRE_2024[AL_AC])/5),0)</calculatedColumnFormula>
    </tableColumn>
    <tableColumn id="3" xr3:uid="{D8644E75-DDC6-43D6-BF20-331E714526D7}" name="SUPERVISOR" dataDxfId="1418"/>
    <tableColumn id="1" xr3:uid="{ACC31C15-573E-4606-A6FB-ECDC2B30F8A4}" name="RECUPERO" dataDxfId="1417">
      <calculatedColumnFormula>SUM(DATA_DICIEMBRE_2024[[#This Row],[1]:[31]])</calculatedColumnFormula>
    </tableColumn>
    <tableColumn id="6" xr3:uid="{0A0FD23F-3FE0-43BD-93B2-D5A21E0A8419}" name="META" dataDxfId="1416"/>
    <tableColumn id="7" xr3:uid="{BAAC5683-E69F-4D8D-9823-6A62CD920015}" name="ASER_" dataDxfId="1415"/>
    <tableColumn id="4" xr3:uid="{E80ABAB5-F841-47AC-9407-E06974270343}" name="1" dataDxfId="1414"/>
    <tableColumn id="8" xr3:uid="{38214265-844B-4AAB-9AAF-66AE68E1B01F}" name="2" dataDxfId="1413"/>
    <tableColumn id="9" xr3:uid="{9DE83FFA-F0EB-48A8-9B9B-94D3A5F4EA89}" name="3" dataDxfId="1412"/>
    <tableColumn id="10" xr3:uid="{F01FCEA0-C6B5-45DC-BF35-2E20D08D1987}" name="4" dataDxfId="1411"/>
    <tableColumn id="11" xr3:uid="{486A6BCD-590A-4F51-95FC-FF8E80EED672}" name="5" dataDxfId="1410"/>
    <tableColumn id="12" xr3:uid="{6A13993E-4132-4D1F-8103-9B935139982B}" name="6" dataDxfId="1409"/>
    <tableColumn id="13" xr3:uid="{24798E59-2FD3-45E0-9839-56EDF52F39D9}" name="7" dataDxfId="1408"/>
    <tableColumn id="14" xr3:uid="{0A505D6A-B620-43DD-BE95-5375CFEB2C9E}" name="8" dataDxfId="1407"/>
    <tableColumn id="15" xr3:uid="{B4A01763-2933-4990-84AC-2EE6364157A1}" name="9" dataDxfId="1406"/>
    <tableColumn id="16" xr3:uid="{BF1956FE-127F-474F-B12A-D74A62785650}" name="10" dataDxfId="1405"/>
    <tableColumn id="36" xr3:uid="{DD6F4867-F6D2-4B9E-89EF-694C8A5EB7EB}" name="11"/>
    <tableColumn id="37" xr3:uid="{F29CB9D0-11E2-4D3F-AC3D-E59F4F5AC0F9}" name="12"/>
    <tableColumn id="39" xr3:uid="{5F24A441-1B57-42F8-A162-4184B3AD376D}" name="13"/>
    <tableColumn id="32" xr3:uid="{DB34DDEC-297E-43BC-A81A-950898D3939B}" name="14"/>
    <tableColumn id="33" xr3:uid="{26DFD0D2-B0C8-40B0-92B3-82FED0DA1C05}" name="15"/>
    <tableColumn id="34" xr3:uid="{98A19696-9327-46CD-B61C-5D0519686912}" name="16"/>
    <tableColumn id="35" xr3:uid="{E22FFD1C-3D18-40F8-B6DF-DADC6FFB3E63}" name="17"/>
    <tableColumn id="28" xr3:uid="{5AAE2B4F-15A7-4A0C-859B-AF8DBAB98672}" name="18"/>
    <tableColumn id="29" xr3:uid="{AED46442-D37F-4BBC-BAC6-313EBB431860}" name="19"/>
    <tableColumn id="30" xr3:uid="{71357A97-5A4F-41A5-BB9E-6D741CAD5888}" name="20"/>
    <tableColumn id="31" xr3:uid="{B9FB798E-DDC7-40C5-A00A-8D95BA9F158D}" name="21"/>
    <tableColumn id="17" xr3:uid="{97F713E2-B6F1-4193-80B2-37C9796E082A}" name="22" dataDxfId="1404"/>
    <tableColumn id="18" xr3:uid="{43369C00-795D-4124-B5FB-CE33A1429479}" name="23" dataDxfId="1403"/>
    <tableColumn id="19" xr3:uid="{34A49AC6-3FC3-4ACE-8C81-C9AB9CD6BF1C}" name="24" dataDxfId="1402"/>
    <tableColumn id="20" xr3:uid="{62E7E367-E664-47D4-A998-F69A442883A3}" name="25" dataDxfId="1401"/>
    <tableColumn id="21" xr3:uid="{38ED713F-D0AE-4A42-8586-07C0CFE7FD0D}" name="26" dataDxfId="1400"/>
    <tableColumn id="22" xr3:uid="{777A8FFE-C36F-4CC0-9736-E3B5572BB43B}" name="27" dataDxfId="1399"/>
    <tableColumn id="23" xr3:uid="{9793EF6D-52A7-486F-9DA0-5EC6B4742B0D}" name="28" dataDxfId="1398"/>
    <tableColumn id="24" xr3:uid="{8675AF28-0AC8-42A2-9C9D-B652E1F578AA}" name="29" dataDxfId="1397"/>
    <tableColumn id="25" xr3:uid="{69A4324E-C083-46F7-9045-4F5A0A8A7029}" name="30" dataDxfId="1396"/>
    <tableColumn id="26" xr3:uid="{DBC5694B-2026-414C-ACC6-93144006A162}" name="31" dataDxfId="1395"/>
    <tableColumn id="27" xr3:uid="{823ED1C1-B820-4301-889D-715B402B64AE}" name="CARTERA ASESOR" dataDxfId="1394"/>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6E10C3A-51B0-46B0-AC7A-178487A186FC}" name="D1_DICIEMBRE_2024" displayName="D1_DICIEMBRE_2024" ref="A2:K76" totalsRowShown="0" headerRowDxfId="1393">
  <autoFilter ref="A2:K76" xr:uid="{F6E10C3A-51B0-46B0-AC7A-178487A186FC}"/>
  <tableColumns count="11">
    <tableColumn id="1" xr3:uid="{27AC9715-D9AF-4425-8467-97D5ACDF32DB}" name="SUPER" dataDxfId="1392"/>
    <tableColumn id="2" xr3:uid="{60BCBFC1-6517-433B-923C-CCB32F89496C}" name="ASESOR_CRR" dataDxfId="1391">
      <calculatedColumnFormula>D1_DICIEMBRE_2024[[#This Row],[ASESOR]]</calculatedColumnFormula>
    </tableColumn>
    <tableColumn id="5" xr3:uid="{FE528A67-2FD9-481D-A3BD-D0593BF1728D}" name="META" dataDxfId="1390">
      <calculatedColumnFormula>VLOOKUP(D1_DICIEMBRE_2024[[#This Row],[SUPER]],DATA_DICIEMBRE_2024[[SUPERVISOR]:[META]],3,0)</calculatedColumnFormula>
    </tableColumn>
    <tableColumn id="6" xr3:uid="{9F920DCF-74DA-4A35-AEB6-9874EC115540}" name="ALCANCE" dataDxfId="1389">
      <calculatedColumnFormula>D1_DICIEMBRE_2024[[#This Row],[RECUPERO]]/D1_DICIEMBRE_2024[[#This Row],[META]]</calculatedColumnFormula>
    </tableColumn>
    <tableColumn id="7" xr3:uid="{A0A51D41-B7D6-4CCC-ACCB-42E0C653AD2F}" name="SUPER2" dataDxfId="1388">
      <calculatedColumnFormula>D1_DICIEMBRE_2024[[#This Row],[SUPER]]</calculatedColumnFormula>
    </tableColumn>
    <tableColumn id="3" xr3:uid="{4A411FB3-C550-4F7C-9587-D72421400494}" name="ASESOR"/>
    <tableColumn id="4" xr3:uid="{A04AAF23-E179-4879-AF61-06EC62BAA02D}" name="RECUPERO" dataDxfId="1387"/>
    <tableColumn id="8" xr3:uid="{894A3BEA-774F-4F80-88D8-1B289CA5BA86}" name="DNI" dataDxfId="1386"/>
    <tableColumn id="9" xr3:uid="{803AE20B-2CCD-451D-A530-6F128D73F913}" name="FECHA DE INICIO" dataDxfId="1385"/>
    <tableColumn id="10" xr3:uid="{49EAA54F-6677-4846-BCD1-109279DB3A73}" name="ESTADO" dataDxfId="1384"/>
    <tableColumn id="11" xr3:uid="{AF077655-310D-49C5-B0CF-4160484C6C0E}" name="SEGMENTO"/>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3B66BC5-898C-4520-AC23-95C30DD218D3}" name="DITE_DICIEMBRE_2024" displayName="DITE_DICIEMBRE_2024" ref="AZ8:CI15" totalsRowShown="0" headerRowDxfId="1383" dataDxfId="1381" headerRowBorderDxfId="1382" tableBorderDxfId="1380" totalsRowBorderDxfId="1379">
  <autoFilter ref="AZ8:CI15" xr:uid="{F3B66BC5-898C-4520-AC23-95C30DD218D3}"/>
  <sortState xmlns:xlrd2="http://schemas.microsoft.com/office/spreadsheetml/2017/richdata2" ref="AZ9:CI15">
    <sortCondition ref="BC8:BC15"/>
  </sortState>
  <tableColumns count="36">
    <tableColumn id="2" xr3:uid="{BB5294A5-4CF4-4810-B775-205927BE854A}" name="META SUPER" dataDxfId="1378"/>
    <tableColumn id="3" xr3:uid="{ABE326D8-B04B-4CEC-9F6E-FE25C0EE8AA0}" name="RECUPERO SUPERVISOR" dataDxfId="1377">
      <calculatedColumnFormula>MAX(DITE_DICIEMBRE_2024[[#This Row],[1]:[31]])</calculatedColumnFormula>
    </tableColumn>
    <tableColumn id="4" xr3:uid="{9E55702C-7024-420F-8940-D2C1A0A3CA1D}" name="ALCANCE SUPERVISOR" dataDxfId="1376">
      <calculatedColumnFormula>DITE_DICIEMBRE_2024[[#This Row],[RECUPERO SUPERVISOR]]/AZ9</calculatedColumnFormula>
    </tableColumn>
    <tableColumn id="1" xr3:uid="{5009DC4C-3EA4-45D5-A15D-072373F4AE20}" name="SUPER" dataDxfId="1375"/>
    <tableColumn id="6" xr3:uid="{D0AF21FC-B7C0-49FB-B06D-CEE18869F451}" name="1" dataDxfId="1374"/>
    <tableColumn id="7" xr3:uid="{13740F97-8E6D-486C-956C-27845E43364F}" name="2" dataDxfId="1373"/>
    <tableColumn id="36" xr3:uid="{D8D06FB7-6376-4BDE-8C73-E14742A693D2}" name="3" dataDxfId="1372"/>
    <tableColumn id="8" xr3:uid="{6A7AE4CF-8204-4E27-89B3-519888750343}" name="4" dataDxfId="1371"/>
    <tableColumn id="9" xr3:uid="{E68D0942-B003-4636-896B-C7F7CC5DF30B}" name="5" dataDxfId="1370"/>
    <tableColumn id="10" xr3:uid="{A130D834-D24E-4226-8974-EAEEC5239084}" name="6" dataDxfId="1369"/>
    <tableColumn id="11" xr3:uid="{B74AC268-8591-43DA-A0A0-8EED3A99A7E6}" name="7" dataDxfId="1368"/>
    <tableColumn id="12" xr3:uid="{3E5A00D6-9077-4087-98FC-A1F995D9E85D}" name="8" dataDxfId="1367"/>
    <tableColumn id="13" xr3:uid="{1C1866E7-047F-4D10-9606-401FEC40FA49}" name="9" dataDxfId="1366"/>
    <tableColumn id="14" xr3:uid="{1A856C2F-9F0A-48E6-A1F8-02744BF96124}" name="10" dataDxfId="1365"/>
    <tableColumn id="15" xr3:uid="{4AF6AE1F-C32E-4098-A90E-906C45E577A6}" name="11" dataDxfId="1364"/>
    <tableColumn id="32" xr3:uid="{22F83872-EA87-4B20-AC9C-A5E2ACD10B99}" name="12" dataDxfId="1363"/>
    <tableColumn id="33" xr3:uid="{98BD9E2A-AADA-4033-A5CA-E179FF24557D}" name="13" dataDxfId="1362"/>
    <tableColumn id="35" xr3:uid="{700503A6-DBA0-45CB-A088-D89AE0558CCF}" name="14" dataDxfId="1361"/>
    <tableColumn id="34" xr3:uid="{C5A60DDC-0D8C-41E0-A0F0-FBB45535E86A}" name="15" dataDxfId="1360"/>
    <tableColumn id="29" xr3:uid="{D5EC2BDA-E6C3-4A4D-A6AD-950B2D0490AB}" name="16" dataDxfId="1359"/>
    <tableColumn id="30" xr3:uid="{349CB117-97C5-4862-848C-38A5D8F531C9}" name="17" dataDxfId="1358"/>
    <tableColumn id="31" xr3:uid="{C11D4844-CCFA-4F14-88FA-CE5B9B605A6F}" name="18" dataDxfId="1357"/>
    <tableColumn id="26" xr3:uid="{F17C536A-13C6-44BF-A1D0-9E0F529A2288}" name="19" dataDxfId="1356"/>
    <tableColumn id="27" xr3:uid="{784AEED1-4141-49AA-B4F6-24141E5B4FA4}" name="20" dataDxfId="1355"/>
    <tableColumn id="28" xr3:uid="{5FA3E61C-F996-45DB-8D68-7A355B9D9345}" name="21" dataDxfId="1354"/>
    <tableColumn id="16" xr3:uid="{3CDD7303-1AA0-4E13-B85B-07CCE6B3675D}" name="22" dataDxfId="1353"/>
    <tableColumn id="17" xr3:uid="{81F4684D-1734-49FB-8F57-68B80EB1FD1D}" name="23" dataDxfId="1352"/>
    <tableColumn id="18" xr3:uid="{9DA7B90E-288E-45A3-BD0A-31904382DB50}" name="24" dataDxfId="1351"/>
    <tableColumn id="19" xr3:uid="{A0AC125C-0C19-47E9-B7BD-9F657DD56BC2}" name="25" dataDxfId="1350"/>
    <tableColumn id="20" xr3:uid="{E1B67347-A852-4F21-A3C3-D6E44F51E9FF}" name="26" dataDxfId="1349"/>
    <tableColumn id="21" xr3:uid="{992748FE-9359-4D4E-B06A-59F7A48309B5}" name="27" dataDxfId="1348"/>
    <tableColumn id="22" xr3:uid="{3732AEA5-9CC9-4EE6-A93B-386050E291B1}" name="28" dataDxfId="1347"/>
    <tableColumn id="23" xr3:uid="{20A4F952-B20F-4E0E-95CC-77C648A54699}" name="29" dataDxfId="1346"/>
    <tableColumn id="24" xr3:uid="{26953009-23ED-4318-9CEE-07B704B9665A}" name="30" dataDxfId="1345"/>
    <tableColumn id="25" xr3:uid="{267CBC9B-29BE-4672-94C3-393B627CB1FD}" name="31" dataDxfId="1344"/>
    <tableColumn id="5" xr3:uid="{EE07FFF3-9A6D-4F12-ACF6-244205791333}" name="CARTERA" dataDxfId="1343"/>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9AD021D7-7D86-458A-9ED4-B4154908A926}" name="Tabla6165666768707172737475636469767778" displayName="Tabla6165666768707172737475636469767778" ref="CK8:CO15" totalsRowShown="0" headerRowDxfId="1342" dataDxfId="1341">
  <autoFilter ref="CK8:CO15" xr:uid="{9AD021D7-7D86-458A-9ED4-B4154908A926}"/>
  <tableColumns count="5">
    <tableColumn id="1" xr3:uid="{EF280B0C-5AA9-4C98-8348-08142AD9CF12}" name="VISTA" dataDxfId="1340"/>
    <tableColumn id="2" xr3:uid="{852E579E-9FD0-46ED-9AF6-6DDE965B926B}" name="1" dataDxfId="1339"/>
    <tableColumn id="3" xr3:uid="{E6FD03E6-BDD9-4D85-95AE-4F26472C7EC7}" name="2" dataDxfId="1338"/>
    <tableColumn id="4" xr3:uid="{8654C69D-8F4B-4D69-9CDD-6E64ECCA9D09}" name="3" dataDxfId="1337"/>
    <tableColumn id="14" xr3:uid="{C3EC5E64-D5EB-407B-80F2-85558E14B19B}" name="4" dataDxfId="1336"/>
  </tableColumns>
  <tableStyleInfo name="TableStyleMedium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E0BF7E0-4358-4425-8F4C-51CD4B862909}" name="D1_ENERO_2025" displayName="D1_ENERO_2025" ref="A2:K76" totalsRowShown="0">
  <autoFilter ref="A2:K76" xr:uid="{5E0BF7E0-4358-4425-8F4C-51CD4B862909}"/>
  <tableColumns count="11">
    <tableColumn id="1" xr3:uid="{897743D2-B6CD-40FA-805F-01550344D698}" name="SUPER">
      <calculatedColumnFormula>D1_ENERO_2025[[#This Row],[SUPER2]]</calculatedColumnFormula>
    </tableColumn>
    <tableColumn id="2" xr3:uid="{8CF4EF2B-0A86-499E-B672-9A6B3FF034D6}" name="ASESOR_CRR" dataDxfId="1335"/>
    <tableColumn id="3" xr3:uid="{20FF4816-C34F-41D9-99D2-17B3BB8F5653}" name="META">
      <calculatedColumnFormula>VLOOKUP(D1_ENERO_2025[[#This Row],[SUPER]],DATA_ENERO_2025[[SUPERVISOR]:[META]],3,0)</calculatedColumnFormula>
    </tableColumn>
    <tableColumn id="4" xr3:uid="{348E2507-E8FF-4E9C-9844-679D76D9144F}" name="ALCANCE">
      <calculatedColumnFormula>D1_ENERO_2025[[#This Row],[RECUPERO]]/C3</calculatedColumnFormula>
    </tableColumn>
    <tableColumn id="7" xr3:uid="{452E6504-D556-4FB6-B1BB-51828797F12A}" name="SUPER2" dataDxfId="1334"/>
    <tableColumn id="5" xr3:uid="{42625339-8FE7-49A5-82AC-5EDD10C3C984}" name="ASESOR"/>
    <tableColumn id="6" xr3:uid="{BD1A5411-32FB-4DF7-B264-96C059BE5C56}" name="RECUPERO" dataDxfId="1333"/>
    <tableColumn id="8" xr3:uid="{8B3B2929-A591-41D7-9D44-B220287F0F2A}" name="DNI" dataDxfId="1332"/>
    <tableColumn id="9" xr3:uid="{AAABF626-1A15-4E7A-A444-7423611F1BB2}" name="FECHA DE INICIO" dataDxfId="1331"/>
    <tableColumn id="10" xr3:uid="{CACFA6D6-8D93-432C-AAD6-E9CBF58F5197}" name="ESTADO" dataDxfId="1330"/>
    <tableColumn id="11" xr3:uid="{161FE0AA-3747-4B37-BD69-AC465AD472CE}" name="SEGMENTO"/>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9313B9F-39C6-4A12-8F5B-FED5B42DCC51}" name="DATA_ENERO_2025" displayName="DATA_ENERO_2025" ref="M8:AX82" totalsRowShown="0" headerRowDxfId="1329" headerRowBorderDxfId="1328" tableBorderDxfId="1327">
  <autoFilter ref="M8:AX82" xr:uid="{F9313B9F-39C6-4A12-8F5B-FED5B42DCC51}"/>
  <sortState xmlns:xlrd2="http://schemas.microsoft.com/office/spreadsheetml/2017/richdata2" ref="M9:AX82">
    <sortCondition ref="R8:R82"/>
  </sortState>
  <tableColumns count="38">
    <tableColumn id="2" xr3:uid="{8AB5D9E7-4408-4FC9-BFF6-A0452692116C}" name="AL_AC" dataDxfId="1326">
      <calculatedColumnFormula>DATA_ENERO_2025[[#This Row],[RECUPERO]]/DATA_ENERO_2025[[#This Row],[META]]</calculatedColumnFormula>
    </tableColumn>
    <tableColumn id="3" xr3:uid="{16F39E06-76AE-43AD-903E-9F641E37CB06}" name="Q_ALC" dataDxfId="1325">
      <calculatedColumnFormula>6-ROUNDUP(_xlfn.RANK.EQ(DATA_ENERO_2025[[#This Row],[AL_AC]],DATA_ENERO_2025[AL_AC],0)/(COUNTA(DATA_ENERO_2025[AL_AC])/5),0)</calculatedColumnFormula>
    </tableColumn>
    <tableColumn id="1" xr3:uid="{EEB18830-CD66-4BAC-81C5-B5940467DF41}" name="SUPERVISOR" dataDxfId="1324"/>
    <tableColumn id="6" xr3:uid="{087774B2-9699-454D-B0E9-E9D62B239262}" name="RECUPERO" dataDxfId="1323">
      <calculatedColumnFormula>SUM(DATA_ENERO_2025[[#This Row],[1]:[31]])</calculatedColumnFormula>
    </tableColumn>
    <tableColumn id="7" xr3:uid="{B938E452-5678-4623-B9AD-47B290EB3B56}" name="META" dataDxfId="1322"/>
    <tableColumn id="5" xr3:uid="{A39094CA-883F-4450-A53A-370F0AE54B0C}" name="ASER_" dataDxfId="1321"/>
    <tableColumn id="28" xr3:uid="{BA402970-CDDC-479B-AF0C-DE6FB6DEA3A2}" name="1" dataDxfId="1320"/>
    <tableColumn id="29" xr3:uid="{FDF28318-256F-4BB3-8BB1-835CC33D5559}" name="2"/>
    <tableColumn id="24" xr3:uid="{A7668340-FD98-454F-8D4D-148B75B21DD0}" name="3"/>
    <tableColumn id="25" xr3:uid="{5D3A501A-D6E8-4FB3-8599-32F50588DA3A}" name="4"/>
    <tableColumn id="34" xr3:uid="{CAFAF861-A84B-461A-9E05-7844231CD5C0}" name="5"/>
    <tableColumn id="38" xr3:uid="{6C08C897-4001-4BC6-BBE8-BCAE2469F8EB}" name="6"/>
    <tableColumn id="35" xr3:uid="{6F2089BB-4455-4D49-AFA0-7875BBEC1FCF}" name="7"/>
    <tableColumn id="36" xr3:uid="{BE91E183-43F6-4336-BBF4-2599E05CF59A}" name="8"/>
    <tableColumn id="37" xr3:uid="{0DB696C4-9BC9-47A3-A246-EAEDE8C64766}" name="9"/>
    <tableColumn id="30" xr3:uid="{E8E15252-E7EF-454D-AC0D-4D4C75B9CBD2}" name="10"/>
    <tableColumn id="31" xr3:uid="{FFA736EE-A04A-4C36-ABAB-A5A165816592}" name="11"/>
    <tableColumn id="32" xr3:uid="{BFACCD4D-7EE4-4728-A7E2-82AD474656AA}" name="12"/>
    <tableColumn id="33" xr3:uid="{B70E9133-0589-4353-A884-CE190F48E9EA}" name="13"/>
    <tableColumn id="26" xr3:uid="{49030098-5553-44C6-839E-3FDB745A4857}" name="14"/>
    <tableColumn id="27" xr3:uid="{A49BC39A-317E-4EE1-B190-86471714F990}" name="15"/>
    <tableColumn id="20" xr3:uid="{BE5E8E9F-E76E-4319-84FA-68DA5E84FCC3}" name="16"/>
    <tableColumn id="21" xr3:uid="{36B6968C-FAC4-495F-BAD5-D1A6D87F1871}" name="17"/>
    <tableColumn id="22" xr3:uid="{88C0820C-E733-40E6-AA8C-DC8C54612AAD}" name="18"/>
    <tableColumn id="23" xr3:uid="{9FF630FC-F46F-4829-9BB5-AC0617383CE7}" name="19"/>
    <tableColumn id="16" xr3:uid="{61F94575-D44F-4091-8A7A-AF3055B85C82}" name="20"/>
    <tableColumn id="17" xr3:uid="{9ADE09D0-9EED-4513-94F0-1FFE8161E048}" name="21"/>
    <tableColumn id="18" xr3:uid="{849782A5-84AE-4A96-A64A-5C65A6BBC8D7}" name="22"/>
    <tableColumn id="19" xr3:uid="{919A2942-4396-4B31-901D-43D6B470DB9A}" name="23"/>
    <tableColumn id="12" xr3:uid="{7B72A591-16FD-4AB6-9512-1ED30F8CF1CE}" name="24"/>
    <tableColumn id="13" xr3:uid="{DF9839B4-0580-45F0-8879-4FE47FF8F34A}" name="25"/>
    <tableColumn id="14" xr3:uid="{DBACC9E0-43CE-4A98-8471-32280976470E}" name="26"/>
    <tableColumn id="15" xr3:uid="{8041C5C3-9537-4613-A9BE-1B20612DA4EC}" name="27"/>
    <tableColumn id="11" xr3:uid="{2C5E0FB8-F2F4-4516-BD86-BEFE518246D3}" name="28"/>
    <tableColumn id="10" xr3:uid="{76A8047E-5D05-4844-B414-5F1765590CD8}" name="29"/>
    <tableColumn id="9" xr3:uid="{BC12431E-E2F4-4B33-B93E-64F9F97363F0}" name="30"/>
    <tableColumn id="8" xr3:uid="{EA795818-07E8-427E-99F9-C2001BAE8E32}" name="31"/>
    <tableColumn id="4" xr3:uid="{00CF892C-802F-4B74-8714-2C45F4DEAD73}" name="CARTERA ASESOR" dataDxfId="1319"/>
  </tableColumns>
  <tableStyleInfo name="TableStyleMedium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6812878-A002-44BE-A5F5-A1BD7B73CAE8}" name="DITE_ENERO_2025" displayName="DITE_ENERO_2025" ref="AZ8:CI15" totalsRowShown="0" headerRowDxfId="1318" dataDxfId="1316" headerRowBorderDxfId="1317" tableBorderDxfId="1315" totalsRowBorderDxfId="1314">
  <autoFilter ref="AZ8:CI15" xr:uid="{E6812878-A002-44BE-A5F5-A1BD7B73CAE8}"/>
  <sortState xmlns:xlrd2="http://schemas.microsoft.com/office/spreadsheetml/2017/richdata2" ref="AZ9:CI15">
    <sortCondition ref="BC8:BC15"/>
  </sortState>
  <tableColumns count="36">
    <tableColumn id="5" xr3:uid="{D940A1C4-A356-4E96-973D-81CE0B6B74AF}" name="META SUPER" dataDxfId="1313"/>
    <tableColumn id="1" xr3:uid="{5A7C4C9C-3E71-483D-9C6F-3AFA18F0B768}" name="RECUPERO SUPERVISOR" dataDxfId="1312">
      <calculatedColumnFormula>MAX(DITE_ENERO_2025[[#This Row],[1]:[31]])</calculatedColumnFormula>
    </tableColumn>
    <tableColumn id="2" xr3:uid="{1DBABE23-BC0D-4016-A3DE-102C34B93437}" name="ALCANCE SUPERVISOR" dataDxfId="1311">
      <calculatedColumnFormula>DITE_ENERO_2025[[#This Row],[RECUPERO SUPERVISOR]]/DITE_ENERO_2025[[#This Row],[META SUPER]]</calculatedColumnFormula>
    </tableColumn>
    <tableColumn id="4" xr3:uid="{AAFE5F6A-D443-4B76-896C-3012A63A21B1}" name="SUPER" dataDxfId="1310"/>
    <tableColumn id="6" xr3:uid="{CAC1468E-FE7F-46E8-8FA8-2EBFE78F55CF}" name="1" dataDxfId="1309"/>
    <tableColumn id="7" xr3:uid="{2C1F1DCC-5615-43E9-8493-73A6B92A7B8C}" name="2" dataDxfId="1308"/>
    <tableColumn id="8" xr3:uid="{CB1DD332-E0A5-4BEF-8B71-8820CA4A145B}" name="3" dataDxfId="1307"/>
    <tableColumn id="9" xr3:uid="{1BB0DD4F-A73A-4F8E-93FB-252CA932D637}" name="4" dataDxfId="1306"/>
    <tableColumn id="10" xr3:uid="{F4A27082-EDDE-411F-B0E7-C50309499B06}" name="5" dataDxfId="1305"/>
    <tableColumn id="11" xr3:uid="{DDC3545E-22B2-4DEC-A217-59650C8BAC95}" name="6" dataDxfId="1304"/>
    <tableColumn id="12" xr3:uid="{F4B5BD15-E4EF-4A2E-9071-FE5F69E48F1F}" name="7" dataDxfId="1303"/>
    <tableColumn id="32" xr3:uid="{75EA5861-6BA8-4874-8431-71B15484C62F}" name="8"/>
    <tableColumn id="33" xr3:uid="{664042CE-AE9A-443D-AEB4-1B1CE376B775}" name="9"/>
    <tableColumn id="34" xr3:uid="{651E46CB-8D8A-4AEC-9596-E68E953DDB94}" name="10"/>
    <tableColumn id="36" xr3:uid="{786966C8-00C5-4909-A480-9A4B556E7ED4}" name="11"/>
    <tableColumn id="35" xr3:uid="{2D5941B9-3F22-4DE3-8079-F67AFFD01F67}" name="12"/>
    <tableColumn id="28" xr3:uid="{128255FE-E4BD-4410-932F-3DE8B9249983}" name="13"/>
    <tableColumn id="29" xr3:uid="{846F616B-4F6D-4DBA-8BBD-D7E595E4BAE0}" name="14"/>
    <tableColumn id="30" xr3:uid="{1336B2D6-FAAC-48B4-B133-004A0CBF91CC}" name="15"/>
    <tableColumn id="31" xr3:uid="{5646683F-8380-4D83-AE01-7C782F15CD80}" name="16"/>
    <tableColumn id="13" xr3:uid="{BB490521-3D08-4C83-9065-B52FD273A638}" name="17" dataDxfId="1302"/>
    <tableColumn id="14" xr3:uid="{1DE13FA2-B93D-487E-A105-3A5622C997DE}" name="18" dataDxfId="1301"/>
    <tableColumn id="15" xr3:uid="{6273FFBE-FC81-40C7-91CB-E95ECAD8BE5D}" name="19" dataDxfId="1300"/>
    <tableColumn id="16" xr3:uid="{35253537-0DA1-45D4-B9A3-D1CBC6E92B8B}" name="20" dataDxfId="1299"/>
    <tableColumn id="17" xr3:uid="{4BF3707C-841F-4140-B63C-5B47863B4CA4}" name="21" dataDxfId="1298"/>
    <tableColumn id="18" xr3:uid="{1F7B79C3-A22C-49D8-9C1F-629E6C41B955}" name="22" dataDxfId="1297"/>
    <tableColumn id="19" xr3:uid="{361B16CF-A887-4C9E-88B3-E8A7F4F314B0}" name="23" dataDxfId="1296"/>
    <tableColumn id="20" xr3:uid="{9B3EDA9C-6CB0-4D9F-965A-6EB0593C19D9}" name="24" dataDxfId="1295"/>
    <tableColumn id="21" xr3:uid="{B02655DA-D4F9-4926-88A4-5E8B2F4DF911}" name="25" dataDxfId="1294"/>
    <tableColumn id="22" xr3:uid="{43854B99-1BF7-4DF3-8A04-A277447DE3B8}" name="26" dataDxfId="1293"/>
    <tableColumn id="23" xr3:uid="{CAC2F677-42BD-4EFA-8E99-ABA2036DAF56}" name="27" dataDxfId="1292"/>
    <tableColumn id="24" xr3:uid="{20489B5B-5885-4E43-B5F0-4EAAEE4E8EB8}" name="28" dataDxfId="1291"/>
    <tableColumn id="25" xr3:uid="{B4D29A08-5206-4DCD-AF4C-9B7ABB8D3CFF}" name="29" dataDxfId="1290"/>
    <tableColumn id="26" xr3:uid="{7B49DBDA-317E-4CFB-B7FA-841DFC27E42B}" name="30" dataDxfId="1289"/>
    <tableColumn id="27" xr3:uid="{0126152E-7354-43DB-A75E-4841194C453D}" name="31" dataDxfId="1288"/>
    <tableColumn id="3" xr3:uid="{93315C06-D400-4502-BDDD-AC5886091EC6}" name="CARTERA" dataDxfId="1287"/>
  </tableColumns>
  <tableStyleInfo name="TableStyleMedium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628F3242-7DD0-4B7D-BBF4-24BB03052117}" name="Tabla61656667687071727374756364697677" displayName="Tabla61656667687071727374756364697677" ref="CK8:CO15" totalsRowShown="0" headerRowDxfId="1286" dataDxfId="1285">
  <autoFilter ref="CK8:CO15" xr:uid="{628F3242-7DD0-4B7D-BBF4-24BB03052117}"/>
  <tableColumns count="5">
    <tableColumn id="1" xr3:uid="{AF9FE221-25FE-4ADA-80D0-7A04339E9BB1}" name="VISTA" dataDxfId="1284"/>
    <tableColumn id="2" xr3:uid="{B488B423-9458-4683-AA20-4A08180A5ACB}" name="1" dataDxfId="1283"/>
    <tableColumn id="3" xr3:uid="{4D9F7DD4-D75E-4BFC-873B-7FA8E13A86DE}" name="2" dataDxfId="1282"/>
    <tableColumn id="4" xr3:uid="{F6DB5598-2EF2-4C43-BD3D-FDED84C73969}" name="3" dataDxfId="1281"/>
    <tableColumn id="14" xr3:uid="{5A508F25-785E-4D54-9BD9-8B48775B6160}" name="4" dataDxfId="1280"/>
  </tableColumns>
  <tableStyleInfo name="TableStyleMedium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161DA1C-A389-4FF1-9E9E-C88018522EAC}" name="D1_FEBRERO_2025" displayName="D1_FEBRERO_2025" ref="A2:K72" totalsRowShown="0">
  <autoFilter ref="A2:K72" xr:uid="{B161DA1C-A389-4FF1-9E9E-C88018522EAC}"/>
  <tableColumns count="11">
    <tableColumn id="1" xr3:uid="{194DAAA7-3304-4E4C-9D6E-9CFF2A67ED22}" name="SUPER">
      <calculatedColumnFormula>D1_FEBRERO_2025[[#This Row],[SUPER2]]</calculatedColumnFormula>
    </tableColumn>
    <tableColumn id="2" xr3:uid="{26FE8EBB-B21D-443D-8AA8-93EEB7685413}" name="ASESOR_CRR" dataDxfId="1279"/>
    <tableColumn id="3" xr3:uid="{9CB7A8A2-1BAD-49EB-99FB-0E0FFB717623}" name="META">
      <calculatedColumnFormula>VLOOKUP(D1_FEBRERO_2025[[#This Row],[SUPER]],DATA_FEBRERO_2025[[SUPERVISOR]:[META]],3,0)</calculatedColumnFormula>
    </tableColumn>
    <tableColumn id="4" xr3:uid="{9C9CD75D-2F18-45F6-A4CC-6F35C5DC59B6}" name="ALCANCE">
      <calculatedColumnFormula>D1_FEBRERO_2025[[#This Row],[RECUPERO]]/C3</calculatedColumnFormula>
    </tableColumn>
    <tableColumn id="7" xr3:uid="{585A561D-528B-41EE-9AE4-E2B8B4F90D42}" name="SUPER2" dataDxfId="1278"/>
    <tableColumn id="5" xr3:uid="{44178C41-B41B-4820-A8E8-222FE453335F}" name="ASESOR" dataDxfId="1277"/>
    <tableColumn id="6" xr3:uid="{AC6EB590-A7E8-408F-A892-A1851BCCF0B5}" name="RECUPERO" dataDxfId="1276"/>
    <tableColumn id="8" xr3:uid="{9B60B527-D768-46F8-BB97-824B255159D2}" name="DNI" dataDxfId="1275"/>
    <tableColumn id="9" xr3:uid="{BDF8C571-22FC-498B-99CF-8D578B086437}" name="FECHA DE INICIO" dataDxfId="1274"/>
    <tableColumn id="10" xr3:uid="{4A0E2A05-69C0-48C2-B0D3-4D952F052DB2}" name="ESTADO" dataDxfId="1273"/>
    <tableColumn id="11" xr3:uid="{3D228EA7-2109-464D-B55C-85DBBA7EB19F}" name="SEGMENTO" dataDxfId="127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9A51909-AC95-49E8-8345-D544ACD1F830}" name="DATA_FEBRERO_2025" displayName="DATA_FEBRERO_2025" ref="M8:AX78" totalsRowShown="0" headerRowDxfId="1271" headerRowBorderDxfId="1270" tableBorderDxfId="1269">
  <autoFilter ref="M8:AX78" xr:uid="{89A51909-AC95-49E8-8345-D544ACD1F830}"/>
  <sortState xmlns:xlrd2="http://schemas.microsoft.com/office/spreadsheetml/2017/richdata2" ref="M9:AX78">
    <sortCondition ref="R8:R78"/>
  </sortState>
  <tableColumns count="38">
    <tableColumn id="2" xr3:uid="{DAC112DC-4F95-46E1-A307-6AA9F60DB951}" name="AL_AC" dataDxfId="1268">
      <calculatedColumnFormula>DATA_FEBRERO_2025[[#This Row],[RECUPERO]]/DATA_FEBRERO_2025[[#This Row],[META]]</calculatedColumnFormula>
    </tableColumn>
    <tableColumn id="3" xr3:uid="{AE4A1FA5-3083-4CA4-B657-D2D0F2E20004}" name="Q_ALC" dataDxfId="1267">
      <calculatedColumnFormula>6-ROUNDUP(_xlfn.RANK.EQ(DATA_FEBRERO_2025[[#This Row],[AL_AC]],DATA_FEBRERO_2025[AL_AC],0)/(COUNTA(DATA_FEBRERO_2025[AL_AC])/5),0)</calculatedColumnFormula>
    </tableColumn>
    <tableColumn id="1" xr3:uid="{16B2CCFD-0F54-4846-AA70-4C06CEC9176C}" name="SUPERVISOR" dataDxfId="1266"/>
    <tableColumn id="6" xr3:uid="{2DE1A6CE-7493-4B20-83EE-59078393B5AF}" name="RECUPERO" dataDxfId="1265">
      <calculatedColumnFormula>SUM(DATA_FEBRERO_2025[[#This Row],[1]:[31]])</calculatedColumnFormula>
    </tableColumn>
    <tableColumn id="7" xr3:uid="{24FB90FB-A888-41AB-9B19-627A74DA2062}" name="META" dataDxfId="1264"/>
    <tableColumn id="5" xr3:uid="{E6A5C563-3502-4EF4-8D06-C88816E905A8}" name="ASER_" dataDxfId="1263"/>
    <tableColumn id="33" xr3:uid="{C9999557-147F-4572-B73C-DC94767B23DE}" name="1"/>
    <tableColumn id="38" xr3:uid="{7AB37D40-FCF7-4607-BD4F-2C6109714D97}" name="2"/>
    <tableColumn id="34" xr3:uid="{3C3D6CE1-C42E-4CE6-B664-B1AA52A91EDE}" name="3"/>
    <tableColumn id="35" xr3:uid="{1857370F-E225-4AD8-BE91-14CD8D538CA5}" name="4"/>
    <tableColumn id="36" xr3:uid="{9BBCED45-5FC4-49B5-A3BF-116E208B5503}" name="5"/>
    <tableColumn id="37" xr3:uid="{420F0559-B29D-4EDD-81AE-08DFFF860C6D}" name="6"/>
    <tableColumn id="28" xr3:uid="{3F593FF0-542B-49BB-8098-C1AB4D3D12D8}" name="7"/>
    <tableColumn id="29" xr3:uid="{AE5818B8-A76C-4F4D-A4B1-9F85835D9E29}" name="8"/>
    <tableColumn id="30" xr3:uid="{C823B50B-8432-432C-BAEE-53DEB35AA115}" name="9"/>
    <tableColumn id="31" xr3:uid="{019DF765-7A33-4917-AB2A-462F6252F22D}" name="10"/>
    <tableColumn id="32" xr3:uid="{869BB36B-5704-4E01-854A-311F03DCCAA2}" name="11"/>
    <tableColumn id="23" xr3:uid="{38125E65-8716-44C6-B230-8DCE3F79C0DB}" name="12"/>
    <tableColumn id="24" xr3:uid="{24036B07-FB32-49D3-93AB-734BDDDDA74D}" name="13"/>
    <tableColumn id="25" xr3:uid="{166F8A92-A6E9-47EB-B990-AD334915480A}" name="14"/>
    <tableColumn id="26" xr3:uid="{794996EB-1A64-4906-9876-057F48E95EFC}" name="15"/>
    <tableColumn id="27" xr3:uid="{0A5D647A-7E34-433D-B639-D89A6797B3D4}" name="16"/>
    <tableColumn id="18" xr3:uid="{6E1329DC-1476-47CC-9BA2-E1B3F4E746A0}" name="17"/>
    <tableColumn id="19" xr3:uid="{A87E51EB-2C7E-4AE7-BB14-8FE963CAE5AA}" name="18"/>
    <tableColumn id="20" xr3:uid="{B7FB5C05-445F-48E1-8CFE-191A81EA8AA4}" name="19"/>
    <tableColumn id="21" xr3:uid="{892BE6D2-C541-4082-838F-73F517E19D2D}" name="20"/>
    <tableColumn id="22" xr3:uid="{5416A5BD-B5FC-4E51-B73F-AAF88230B4DE}" name="21"/>
    <tableColumn id="13" xr3:uid="{DC9EF2D7-D507-4443-9631-7E4D2A65219A}" name="22"/>
    <tableColumn id="14" xr3:uid="{57C72625-13D4-4A35-AB8F-90510FA34AB3}" name="23"/>
    <tableColumn id="15" xr3:uid="{C34842AE-CC27-4F42-83F9-5729D062474A}" name="24"/>
    <tableColumn id="16" xr3:uid="{7BBB4F89-2F15-4AF5-8ACC-FB1E92CD1D85}" name="25"/>
    <tableColumn id="17" xr3:uid="{23DDF6A8-1CFE-4017-9E13-48B163D6196E}" name="26"/>
    <tableColumn id="12" xr3:uid="{B73F39C6-62D2-403C-956A-902D89EBCAC9}" name="27"/>
    <tableColumn id="11" xr3:uid="{BF6F186D-9498-4B23-8B32-8B8D1822E241}" name="28"/>
    <tableColumn id="10" xr3:uid="{08610660-F971-47AF-AEC9-ADB5C0863C3E}" name="29"/>
    <tableColumn id="9" xr3:uid="{20646C08-EBE7-4B6A-9ABA-29A5E2BC6BF8}" name="30" dataDxfId="1262"/>
    <tableColumn id="8" xr3:uid="{E99C6359-BA67-4127-80B1-429613DA94CB}" name="31"/>
    <tableColumn id="4" xr3:uid="{1AB4C76D-3918-4961-B05E-216E9D0F2A8C}" name="CARTERA ASESOR" dataDxfId="1261"/>
  </tableColumns>
  <tableStyleInfo name="TableStyleMedium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E527C2E2-32E2-49CA-9D9E-F70EC25D5514}" name="DITE_FEBRERO_2025" displayName="DITE_FEBRERO_2025" ref="AZ8:CI15" totalsRowShown="0" headerRowDxfId="1260" dataDxfId="1258" headerRowBorderDxfId="1259" tableBorderDxfId="1257" totalsRowBorderDxfId="1256">
  <autoFilter ref="AZ8:CI15" xr:uid="{E527C2E2-32E2-49CA-9D9E-F70EC25D5514}"/>
  <sortState xmlns:xlrd2="http://schemas.microsoft.com/office/spreadsheetml/2017/richdata2" ref="AZ9:CI15">
    <sortCondition ref="BC8:BC15"/>
  </sortState>
  <tableColumns count="36">
    <tableColumn id="5" xr3:uid="{27DAF7E5-964C-4280-AB26-7715BE71CF28}" name="META SUPER" dataDxfId="1255"/>
    <tableColumn id="1" xr3:uid="{C46409A5-9201-4E30-A3EB-7B6FC2DAF473}" name="RECUPERO SUPERVISOR" dataDxfId="1254">
      <calculatedColumnFormula>MAX(DITE_FEBRERO_2025[[#This Row],[1]:[31]])</calculatedColumnFormula>
    </tableColumn>
    <tableColumn id="2" xr3:uid="{445C2C89-5F44-46FD-8C70-EF4EE30F232E}" name="ALCANCE SUPERVISOR" dataDxfId="1253">
      <calculatedColumnFormula>DITE_FEBRERO_2025[[#This Row],[RECUPERO SUPERVISOR]]/DITE_FEBRERO_2025[[#This Row],[META SUPER]]</calculatedColumnFormula>
    </tableColumn>
    <tableColumn id="4" xr3:uid="{55D4E2C7-B609-4C8C-A5DE-AABFFD74BEB8}" name="SUPER" dataDxfId="1252"/>
    <tableColumn id="6" xr3:uid="{29925D04-B597-415A-B40B-62A3FBA8B23D}" name="1" dataDxfId="1251"/>
    <tableColumn id="7" xr3:uid="{31865A72-E634-4CB8-8660-811FA8147632}" name="2" dataDxfId="1250"/>
    <tableColumn id="8" xr3:uid="{C70A98A0-1CB0-425B-975B-D4464009CDD0}" name="3" dataDxfId="1249"/>
    <tableColumn id="9" xr3:uid="{F56CF612-0AA5-44CB-878D-FA59D84052AD}" name="4" dataDxfId="1248"/>
    <tableColumn id="36" xr3:uid="{76AFF788-5C70-455A-9B85-B96C7E83FA92}" name="5"/>
    <tableColumn id="31" xr3:uid="{B4555D6E-C399-4EB6-953E-891CD0718EB3}" name="6"/>
    <tableColumn id="32" xr3:uid="{9420AEE2-3941-45D0-B323-D0DD859F446E}" name="7"/>
    <tableColumn id="33" xr3:uid="{B8CE3E9E-ABDA-456B-80C2-CB186CA66189}" name="8"/>
    <tableColumn id="34" xr3:uid="{8945CA64-3686-4AD1-A0AC-FACD9A73FF7E}" name="9"/>
    <tableColumn id="35" xr3:uid="{AB399923-ADB4-42A0-B795-7AD84C576003}" name="10"/>
    <tableColumn id="26" xr3:uid="{0F873E52-AF51-483F-9512-1DAD0A0A8767}" name="11"/>
    <tableColumn id="27" xr3:uid="{B7C327CF-7B5B-408D-A496-1467FDFA420C}" name="12"/>
    <tableColumn id="28" xr3:uid="{C9B0F8FC-7A39-43CD-BE3D-FDFABDE2B7CC}" name="13"/>
    <tableColumn id="29" xr3:uid="{0646A650-DE21-4644-BD61-E4B06D2ECC46}" name="14"/>
    <tableColumn id="30" xr3:uid="{FF810BCD-1F51-4B48-996B-FB9D8D0C7129}" name="15"/>
    <tableColumn id="10" xr3:uid="{3CC1D48D-8A84-4931-841A-8283B47C8687}" name="16" dataDxfId="1247"/>
    <tableColumn id="11" xr3:uid="{A6DAF4DF-EAFF-47AB-9A6F-0B2896AE1A18}" name="17" dataDxfId="1246"/>
    <tableColumn id="12" xr3:uid="{3DC03FF0-BAC6-4F5D-B5DE-18A95E2C1B97}" name="18" dataDxfId="1245"/>
    <tableColumn id="13" xr3:uid="{A90729AA-CC5E-4236-924F-A736B7A4BE93}" name="19" dataDxfId="1244"/>
    <tableColumn id="14" xr3:uid="{B48B5FF0-5C49-4DDC-AC33-B45D349AD044}" name="20" dataDxfId="1243"/>
    <tableColumn id="15" xr3:uid="{D36E617E-0BBB-4BC1-BBF1-EB24E3C2CE90}" name="21" dataDxfId="1242"/>
    <tableColumn id="16" xr3:uid="{BD346F05-FCC2-4EA9-8F0F-B55AB2E68BE0}" name="22" dataDxfId="1241"/>
    <tableColumn id="17" xr3:uid="{F5BB9730-A5AE-4489-9CB0-182052BA6557}" name="23" dataDxfId="1240"/>
    <tableColumn id="18" xr3:uid="{B3DEF063-7A67-4F08-9D09-8310B4B64F2B}" name="24" dataDxfId="1239"/>
    <tableColumn id="19" xr3:uid="{558BE332-1E67-4EF7-9FF1-541A019A7066}" name="25" dataDxfId="1238"/>
    <tableColumn id="20" xr3:uid="{073BAAB2-EF92-4A82-B7FE-8339FF3A62EA}" name="26" dataDxfId="1237"/>
    <tableColumn id="21" xr3:uid="{6EC9D118-EB0A-4FDC-A694-0A630EB1048E}" name="27" dataDxfId="1236"/>
    <tableColumn id="22" xr3:uid="{DFF298CB-C24B-4F90-BD14-F99C28391208}" name="28" dataDxfId="1235"/>
    <tableColumn id="23" xr3:uid="{7EF0365B-2B81-4022-84F3-7A3859D35934}" name="29" dataDxfId="1234"/>
    <tableColumn id="24" xr3:uid="{D92D6A29-5A30-4405-A019-D7F8F39E4176}" name="30" dataDxfId="1233"/>
    <tableColumn id="25" xr3:uid="{9BFA1186-4A61-452A-8EAC-4FE410743029}" name="31" dataDxfId="1232"/>
    <tableColumn id="3" xr3:uid="{5EBD9DD4-78E3-4E78-8FD5-A71A2DE2CBE8}" name="CARTERA" dataDxfId="1231"/>
  </tableColumns>
  <tableStyleInfo name="TableStyleMedium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CD951E0C-6BAC-4E04-975A-04769F8000A5}" name="Tabla616566676870717273747563646976" displayName="Tabla616566676870717273747563646976" ref="CK8:CO15" totalsRowShown="0" headerRowDxfId="1230" dataDxfId="1229">
  <autoFilter ref="CK8:CO15" xr:uid="{CD951E0C-6BAC-4E04-975A-04769F8000A5}"/>
  <tableColumns count="5">
    <tableColumn id="1" xr3:uid="{47C2FEF6-5357-4549-8005-DD8EC3539863}" name="VISTA" dataDxfId="1228"/>
    <tableColumn id="2" xr3:uid="{CCD006F3-5A71-4D0D-9DFD-11B037CD91D8}" name="1" dataDxfId="1227"/>
    <tableColumn id="3" xr3:uid="{98E7E65E-122C-4175-82F1-624865A7A2D3}" name="2" dataDxfId="1226"/>
    <tableColumn id="4" xr3:uid="{A4BE2A42-080D-4657-9FCF-3468BE3AF8C2}" name="3" dataDxfId="1225"/>
    <tableColumn id="14" xr3:uid="{D44E4FEF-5EE4-46FB-BEEE-A11B8A1BE670}" name="4" dataDxfId="1224"/>
  </tableColumns>
  <tableStyleInfo name="TableStyleMedium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9885E5F-45E0-410D-9674-725F11306A85}" name="D1_MARZO_2025" displayName="D1_MARZO_2025" ref="A2:K79" totalsRowShown="0">
  <autoFilter ref="A2:K79" xr:uid="{E9885E5F-45E0-410D-9674-725F11306A85}"/>
  <tableColumns count="11">
    <tableColumn id="1" xr3:uid="{0593917A-1291-450C-951C-78D9EC4BEB05}" name="SUPER"/>
    <tableColumn id="2" xr3:uid="{8CE134D2-655B-4065-BCE4-1E92F58C9834}" name="ASESOR_CRR" dataDxfId="1223"/>
    <tableColumn id="3" xr3:uid="{63694922-673E-40A9-ABE9-A1BB5D442FC5}" name="META">
      <calculatedColumnFormula>VLOOKUP(D1_MARZO_2025[[#This Row],[SUPER]],DATA_MARZO_2025[[SUPERVISOR]:[META]],3,0)</calculatedColumnFormula>
    </tableColumn>
    <tableColumn id="4" xr3:uid="{AA26A274-EA12-45E3-9488-E564DCE594A7}" name="ALCANCE" dataDxfId="1222">
      <calculatedColumnFormula>D1_MARZO_2025[[#This Row],[RECUPERO]]/D1_MARZO_2025[[#This Row],[META]]</calculatedColumnFormula>
    </tableColumn>
    <tableColumn id="7" xr3:uid="{7155E541-BC22-41C0-914A-E54D790D436D}" name="SUPER2" dataDxfId="1221"/>
    <tableColumn id="5" xr3:uid="{C9BC0167-A73A-4B66-AB0E-BCC22F3CD7BF}" name="ASESOR" dataDxfId="1220"/>
    <tableColumn id="6" xr3:uid="{32E44CF1-7B46-45AA-916C-7D5322097EFD}" name="RECUPERO" dataDxfId="1219"/>
    <tableColumn id="8" xr3:uid="{5504CD70-2376-413C-9DD9-7E1FC1D78F37}" name="DNI" dataDxfId="1218"/>
    <tableColumn id="9" xr3:uid="{27659D49-6FC1-457B-BF33-A19DBF78CDF2}" name="FECHA DE INICIO" dataDxfId="1217"/>
    <tableColumn id="10" xr3:uid="{79E50096-FDE3-4403-8568-FF008447BCC2}" name="ESTADO" dataDxfId="1216"/>
    <tableColumn id="11" xr3:uid="{0DDDAC11-10AB-4791-8916-A8A4E78A7D35}" name="SEGMENTO" dataDxfId="1215"/>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6A1AC28-8F5A-449B-BE41-0BD3EA45E5F4}" name="DATA_MARZO_2025" displayName="DATA_MARZO_2025" ref="M8:AX85" totalsRowShown="0" headerRowDxfId="1214" headerRowBorderDxfId="1213" tableBorderDxfId="1212">
  <autoFilter ref="M8:AX85" xr:uid="{46A1AC28-8F5A-449B-BE41-0BD3EA45E5F4}"/>
  <sortState xmlns:xlrd2="http://schemas.microsoft.com/office/spreadsheetml/2017/richdata2" ref="M9:AX85">
    <sortCondition ref="R8:R85"/>
  </sortState>
  <tableColumns count="38">
    <tableColumn id="2" xr3:uid="{291F0275-242F-4948-BE64-7F8C6727586A}" name="AL_AC" dataDxfId="1211">
      <calculatedColumnFormula>DATA_MARZO_2025[[#This Row],[RECUPERO]]/DATA_MARZO_2025[[#This Row],[META]]</calculatedColumnFormula>
    </tableColumn>
    <tableColumn id="3" xr3:uid="{6050B278-B3D2-4B4C-8475-D701C9B8AB17}" name="Q_ALC" dataDxfId="1210">
      <calculatedColumnFormula>6-ROUNDUP(_xlfn.RANK.EQ(DATA_MARZO_2025[[#This Row],[AL_AC]],DATA_MARZO_2025[AL_AC],0)/(COUNTA(DATA_MARZO_2025[AL_AC])/5),0)</calculatedColumnFormula>
    </tableColumn>
    <tableColumn id="1" xr3:uid="{A94CCC19-556A-4124-8949-24896CDBE45E}" name="SUPERVISOR" dataDxfId="1209"/>
    <tableColumn id="6" xr3:uid="{EBBFD24C-8909-45B0-B8CB-4ED73B62F2AB}" name="RECUPERO" dataDxfId="1208">
      <calculatedColumnFormula>SUM(DATA_MARZO_2025[[#This Row],[1]:[31]])</calculatedColumnFormula>
    </tableColumn>
    <tableColumn id="7" xr3:uid="{D5702432-6067-40C7-B647-63D5EBDD13C2}" name="META" dataDxfId="1207"/>
    <tableColumn id="5" xr3:uid="{40A208DF-2D8B-4D71-B923-6BFFA76CDA11}" name="ASER_" dataDxfId="1206"/>
    <tableColumn id="38" xr3:uid="{1F074B40-AB13-4BEE-BC21-9D178D274909}" name="1"/>
    <tableColumn id="41" xr3:uid="{936D83D8-C85E-4C4D-9E8D-BA3D7C54F99A}" name="2" dataDxfId="1205"/>
    <tableColumn id="39" xr3:uid="{F2407751-7139-4A8C-841D-D8CEF6B76089}" name="3"/>
    <tableColumn id="40" xr3:uid="{C4FDCF75-4689-4127-9FD7-67C841BEEFC1}" name="4"/>
    <tableColumn id="35" xr3:uid="{DB437513-9F41-40C4-A12D-9D70F57044D1}" name="5"/>
    <tableColumn id="36" xr3:uid="{8D9B17A7-AB24-4C88-B14F-425352FD58B1}" name="6"/>
    <tableColumn id="37" xr3:uid="{6A680E1C-A6E5-4533-B650-3B12C3FD8864}" name="7"/>
    <tableColumn id="32" xr3:uid="{07908739-FAC2-4B17-88C0-AD9C9E79F322}" name="8"/>
    <tableColumn id="33" xr3:uid="{29564396-A868-4289-8A69-399DF7179CFC}" name="9"/>
    <tableColumn id="34" xr3:uid="{84D28ABB-C312-428B-8019-05F0969D3D3D}" name="10"/>
    <tableColumn id="29" xr3:uid="{A33B17C6-0318-47AE-B3B3-F68B117CEE6B}" name="11"/>
    <tableColumn id="30" xr3:uid="{64E29717-0345-4F2C-8F07-8A717BBB0C7F}" name="12"/>
    <tableColumn id="31" xr3:uid="{31BD6C41-7FE7-477E-9073-8C59B46C4278}" name="13"/>
    <tableColumn id="26" xr3:uid="{078BDFC0-15F3-4BA2-A3E5-B76543904F61}" name="14"/>
    <tableColumn id="27" xr3:uid="{E7047035-197B-4A1F-B590-C686D8264192}" name="15"/>
    <tableColumn id="28" xr3:uid="{6585FD32-5374-4E8D-B754-CC264ACBD2BC}" name="16"/>
    <tableColumn id="23" xr3:uid="{3013EC85-DC28-4DBE-9103-43B74FCD6D62}" name="17"/>
    <tableColumn id="24" xr3:uid="{3D874CBF-CD98-4174-8649-FB2465CC3962}" name="18"/>
    <tableColumn id="25" xr3:uid="{570381C8-5F56-4B59-835A-E8602FEADC4E}" name="19"/>
    <tableColumn id="20" xr3:uid="{978FBFBE-3D9D-4FC2-9D0C-D9F9835951AB}" name="20"/>
    <tableColumn id="21" xr3:uid="{AB7C4415-8752-4C03-A1EF-39C4F8BEA763}" name="21"/>
    <tableColumn id="22" xr3:uid="{B6A0D911-8ECE-456E-A5AB-47D30BC477A8}" name="22"/>
    <tableColumn id="17" xr3:uid="{902459E7-2183-4A0C-BCA6-19ACE5328588}" name="23"/>
    <tableColumn id="18" xr3:uid="{7FDCF104-182A-48F5-BDA3-E395FF6BDF94}" name="24"/>
    <tableColumn id="19" xr3:uid="{E7B4F698-D3AE-4CCA-8318-C8C299151784}" name="25"/>
    <tableColumn id="14" xr3:uid="{8A753F9E-2D60-44C5-97FB-3153AF2DC407}" name="26"/>
    <tableColumn id="15" xr3:uid="{2C33D5D5-719D-4E72-AA67-1209930D88FB}" name="27"/>
    <tableColumn id="16" xr3:uid="{79729ABA-B0F5-4F89-AFF4-15C12BE476D3}" name="28"/>
    <tableColumn id="13" xr3:uid="{796523AA-7A81-4293-AB65-65692E6F8FC9}" name="29" dataDxfId="1204"/>
    <tableColumn id="12" xr3:uid="{FA4DAD1B-E9DE-487B-8E27-224BDDDF6C4F}" name="30"/>
    <tableColumn id="11" xr3:uid="{36A5818D-3007-470C-B74E-8372AF083B08}" name="31"/>
    <tableColumn id="4" xr3:uid="{5C22BA9B-EF5A-4F33-AE74-A82170985C85}" name="CARTERA ASESOR" dataDxfId="1203"/>
  </tableColumns>
  <tableStyleInfo name="TableStyleMedium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8377685-C18F-4F73-9CAA-BD0654B19E94}" name="DITE_MARZO_2025" displayName="DITE_MARZO_2025" ref="AZ8:CI15" totalsRowShown="0" headerRowDxfId="1202" dataDxfId="1200" headerRowBorderDxfId="1201" tableBorderDxfId="1199" totalsRowBorderDxfId="1198">
  <autoFilter ref="AZ8:CI15" xr:uid="{58377685-C18F-4F73-9CAA-BD0654B19E94}"/>
  <sortState xmlns:xlrd2="http://schemas.microsoft.com/office/spreadsheetml/2017/richdata2" ref="AZ9:CI15">
    <sortCondition ref="BC8:BC15"/>
  </sortState>
  <tableColumns count="36">
    <tableColumn id="5" xr3:uid="{9B6AA382-98FA-4EBD-A213-DB4460B552CB}" name="META SUPER" dataDxfId="1197"/>
    <tableColumn id="1" xr3:uid="{23B67F77-728E-46C0-B5B1-11CE8E08D862}" name="RECUPERO SUPERVISOR" dataDxfId="1196">
      <calculatedColumnFormula>MAX(DITE_MARZO_2025[[#This Row],[1]:[31]])</calculatedColumnFormula>
    </tableColumn>
    <tableColumn id="2" xr3:uid="{0BAE08AE-6A16-447E-9DDD-8800D68BFFA3}" name="ALCANCE SUPERVISOR" dataDxfId="1195">
      <calculatedColumnFormula>DITE_MARZO_2025[[#This Row],[RECUPERO SUPERVISOR]]/DITE_MARZO_2025[[#This Row],[META SUPER]]</calculatedColumnFormula>
    </tableColumn>
    <tableColumn id="4" xr3:uid="{663301EA-2B77-4C76-B8E0-713CAAD1AC41}" name="SUPER" dataDxfId="1194"/>
    <tableColumn id="6" xr3:uid="{9A6FEB31-48E4-456F-8C1F-14055131E9D6}" name="1" dataDxfId="1193"/>
    <tableColumn id="7" xr3:uid="{B8154FAF-39D2-4ED9-8DD7-C179156ECA39}" name="2" dataDxfId="1192"/>
    <tableColumn id="8" xr3:uid="{E58A14C1-44D1-46A4-9137-21E70261FA76}" name="3" dataDxfId="1191"/>
    <tableColumn id="9" xr3:uid="{EFDA2093-809C-4DA2-80F9-0388CCC5E290}" name="4" dataDxfId="1190"/>
    <tableColumn id="10" xr3:uid="{634CF5F0-F36D-4B26-8143-8C3A6FB59216}" name="5" dataDxfId="1189"/>
    <tableColumn id="11" xr3:uid="{77A0553B-7BDF-49B7-B459-701A77496BEA}" name="6" dataDxfId="1188"/>
    <tableColumn id="32" xr3:uid="{9C61934A-8981-4708-87FC-D1988554CEB1}" name="7"/>
    <tableColumn id="33" xr3:uid="{1D45004F-941B-4A1B-9271-7564070893F4}" name="8"/>
    <tableColumn id="34" xr3:uid="{345DF5C2-70A0-41D5-A45F-120E355399C1}" name="9"/>
    <tableColumn id="35" xr3:uid="{81CAAE69-5160-47D3-8992-1D8E3DE83E73}" name="10"/>
    <tableColumn id="36" xr3:uid="{913F1A9C-4587-445C-8467-2371F984ABBB}" name="11"/>
    <tableColumn id="27" xr3:uid="{002FB3CA-23CA-4EDD-B97F-322BDAC4F055}" name="12"/>
    <tableColumn id="28" xr3:uid="{47B5943C-919D-4FF0-BA2E-67F92E046DE4}" name="13"/>
    <tableColumn id="29" xr3:uid="{13BB5D9E-7735-4410-A0FF-ED8196EDC01D}" name="14"/>
    <tableColumn id="30" xr3:uid="{19967396-D68C-4CB0-8B18-A6203E7CF1A5}" name="15"/>
    <tableColumn id="31" xr3:uid="{D148629B-2EAD-4B26-AB62-CFC96294CF5C}" name="16"/>
    <tableColumn id="12" xr3:uid="{5EFD93D5-61E2-4104-88B4-214E61D06A6D}" name="17" dataDxfId="1187"/>
    <tableColumn id="13" xr3:uid="{C6D91E97-E16B-4E76-BE55-A08C2A1131DD}" name="18" dataDxfId="1186"/>
    <tableColumn id="14" xr3:uid="{2A5F1078-A097-4171-BD28-7B9B623471D0}" name="19" dataDxfId="1185"/>
    <tableColumn id="15" xr3:uid="{5E883D61-775A-4AD4-A304-156DCFD9F825}" name="20" dataDxfId="1184"/>
    <tableColumn id="16" xr3:uid="{BEFB5788-590D-4EFA-8707-20BAAF7026F1}" name="21" dataDxfId="1183"/>
    <tableColumn id="17" xr3:uid="{8FC06E69-FAE9-4DBE-9C75-7A6598DE29C6}" name="22" dataDxfId="1182"/>
    <tableColumn id="18" xr3:uid="{966EC934-1D25-407E-AE13-8147AC3FF531}" name="23" dataDxfId="1181"/>
    <tableColumn id="19" xr3:uid="{5437FF24-6F5D-412D-82EE-8C668C7DC853}" name="24" dataDxfId="1180"/>
    <tableColumn id="20" xr3:uid="{204A7CBC-2C07-4027-851F-021033B930C1}" name="25" dataDxfId="1179"/>
    <tableColumn id="21" xr3:uid="{DF491418-AC74-4C6A-852F-F0797487D11C}" name="26" dataDxfId="1178"/>
    <tableColumn id="22" xr3:uid="{E184F0A4-EF1A-48F5-8166-10085FC40D13}" name="27" dataDxfId="1177"/>
    <tableColumn id="23" xr3:uid="{66C12B87-BC6D-46BE-AF31-D0C68A22BC7E}" name="28" dataDxfId="1176"/>
    <tableColumn id="24" xr3:uid="{A2DB9C74-4CB6-4BBF-A230-DF50FDE9380D}" name="29" dataDxfId="1175"/>
    <tableColumn id="25" xr3:uid="{D54E02BE-AA16-43C7-ABD3-89326740EA63}" name="30" dataDxfId="1174"/>
    <tableColumn id="26" xr3:uid="{11172EA7-856A-4297-8329-62917B649E9A}" name="31" dataDxfId="1173"/>
    <tableColumn id="3" xr3:uid="{42C6AD34-2DFF-436B-BB22-6DE170226F44}" name="CARTERA" dataDxfId="1172"/>
  </tableColumns>
  <tableStyleInfo name="TableStyleMedium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CC39DC1-38AA-4FD7-8618-9D1757C063BF}" name="Tabla6165666768707172737475636469" displayName="Tabla6165666768707172737475636469" ref="CK8:CO15" totalsRowShown="0" headerRowDxfId="1171" dataDxfId="1170">
  <autoFilter ref="CK8:CO15" xr:uid="{5CC39DC1-38AA-4FD7-8618-9D1757C063BF}"/>
  <tableColumns count="5">
    <tableColumn id="1" xr3:uid="{199AD204-98F5-4357-9EC8-563E6CC4C321}" name="VISTA" dataDxfId="1169"/>
    <tableColumn id="2" xr3:uid="{BFF1F734-4111-4DDD-8CA0-5198DC585DA1}" name="1" dataDxfId="1168"/>
    <tableColumn id="3" xr3:uid="{E52B6FFD-0DE7-46BA-A600-8E50FF6CEDED}" name="2" dataDxfId="1167"/>
    <tableColumn id="4" xr3:uid="{5F9675DE-09FF-4EA0-A369-BBECA620B87D}" name="3" dataDxfId="1166"/>
    <tableColumn id="14" xr3:uid="{DA0EFF7B-8E6A-466A-B17D-365D82C21948}" name="4" dataDxfId="1165"/>
  </tableColumns>
  <tableStyleInfo name="TableStyleMedium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4BD3AD9B-187F-444D-9B69-D2DA04E4A01E}" name="D1_ABRIL_2025" displayName="D1_ABRIL_2025" ref="A2:K69" totalsRowShown="0">
  <autoFilter ref="A2:K69" xr:uid="{4BD3AD9B-187F-444D-9B69-D2DA04E4A01E}"/>
  <tableColumns count="11">
    <tableColumn id="1" xr3:uid="{68211AFE-4147-4442-BDF7-CC740B01FA3C}" name="SUPER"/>
    <tableColumn id="2" xr3:uid="{D51D513B-04F6-4185-A044-49B743ABD514}" name="ASESOR_CRR" dataDxfId="1164"/>
    <tableColumn id="3" xr3:uid="{91F4F1B2-268A-492D-8490-AD940FC38FC7}" name="META">
      <calculatedColumnFormula>VLOOKUP(D1_ABRIL_2025[[#This Row],[SUPER]],DATA_ABRIL_2025[[SUPERVISOR]:[META]],3,0)</calculatedColumnFormula>
    </tableColumn>
    <tableColumn id="4" xr3:uid="{796AC97D-33DF-4278-BDC8-E283DF2D6F8C}" name="ALCANCE">
      <calculatedColumnFormula>D1_ABRIL_2025[[#This Row],[RECUPERO]]/D1_ABRIL_2025[[#This Row],[META]]</calculatedColumnFormula>
    </tableColumn>
    <tableColumn id="7" xr3:uid="{2630B4E4-4508-4171-AC95-566BEB07715F}" name="SUPER2" dataDxfId="1163"/>
    <tableColumn id="5" xr3:uid="{D789E66F-CC8C-4715-A998-7AE532E85E8A}" name="ASESOR" dataDxfId="1162"/>
    <tableColumn id="6" xr3:uid="{3455DB8A-5A64-4A8F-8153-2471763CA60D}" name="RECUPERO" dataDxfId="1161"/>
    <tableColumn id="8" xr3:uid="{F8575E1F-78C1-4E15-B505-1AECE8857345}" name="DNI" dataDxfId="1160"/>
    <tableColumn id="9" xr3:uid="{BE130F2A-9B67-45D5-AA49-051D2F0A515B}" name="FECHA DE INICIO" dataDxfId="1159"/>
    <tableColumn id="10" xr3:uid="{31096FEC-094E-478E-A9F3-0023192798F0}" name="ESTADO" dataDxfId="1158"/>
    <tableColumn id="11" xr3:uid="{CD53B1C2-5C16-4E04-B510-37D1EE2D9C67}" name="SEGMENTO" dataDxfId="1157"/>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A270262-D445-41EE-9E8E-99052505C698}" name="DATA_ABRIL_2025" displayName="DATA_ABRIL_2025" ref="M8:AX75" totalsRowShown="0" headerRowDxfId="1156" headerRowBorderDxfId="1155" tableBorderDxfId="1154">
  <autoFilter ref="M8:AX75" xr:uid="{4A270262-D445-41EE-9E8E-99052505C698}"/>
  <sortState xmlns:xlrd2="http://schemas.microsoft.com/office/spreadsheetml/2017/richdata2" ref="M9:AX75">
    <sortCondition ref="R8:R75"/>
  </sortState>
  <tableColumns count="38">
    <tableColumn id="2" xr3:uid="{ED28E462-F988-4D79-8917-612828B3B45E}" name="AL_AC" dataDxfId="1153">
      <calculatedColumnFormula>DATA_ABRIL_2025[[#This Row],[RECUPERO]]/DATA_ABRIL_2025[[#This Row],[META]]</calculatedColumnFormula>
    </tableColumn>
    <tableColumn id="3" xr3:uid="{1B1E8B7A-D562-46FD-89DE-12ADBC7146F2}" name="Q_ALC" dataDxfId="1152">
      <calculatedColumnFormula>6-ROUNDUP(_xlfn.RANK.EQ(DATA_ABRIL_2025[[#This Row],[AL_AC]],DATA_ABRIL_2025[AL_AC],0)/(COUNTA(DATA_ABRIL_2025[AL_AC])/5),0)</calculatedColumnFormula>
    </tableColumn>
    <tableColumn id="1" xr3:uid="{B2C9AE52-4849-4DBA-83AD-3E350CC25C2D}" name="SUPERVISOR" dataDxfId="1151"/>
    <tableColumn id="6" xr3:uid="{9C2D93B7-85A2-4E07-8DD4-3C81F7BF7EBF}" name="RECUPERO" dataDxfId="1150">
      <calculatedColumnFormula>SUM(DATA_ABRIL_2025[[#This Row],[1]:[31]])</calculatedColumnFormula>
    </tableColumn>
    <tableColumn id="7" xr3:uid="{8F4173FF-BB8D-4C61-A5E9-1B6F872C619C}" name="META" dataDxfId="1149"/>
    <tableColumn id="5" xr3:uid="{64151D2C-B822-41DF-8964-343214960730}" name="ASER_" dataDxfId="1148"/>
    <tableColumn id="32" xr3:uid="{31466BE1-0E52-400D-BA2B-8169C8D3C426}" name="1"/>
    <tableColumn id="38" xr3:uid="{7918E16D-AE2D-4CB2-9007-3655F7492451}" name="2"/>
    <tableColumn id="33" xr3:uid="{90C6319C-5AC4-4D9D-B9FC-1F750D23B74F}" name="3"/>
    <tableColumn id="34" xr3:uid="{E6F0FD87-6F30-4312-B2B0-70F911EC52E0}" name="4"/>
    <tableColumn id="35" xr3:uid="{6C3371BD-9952-4D91-A009-9CF215E76D3D}" name="5"/>
    <tableColumn id="36" xr3:uid="{D2907DD5-B327-4118-A14F-3A650A50AA39}" name="6"/>
    <tableColumn id="37" xr3:uid="{1328B829-C9C6-4B37-A6E8-4FA65FBA6B88}" name="7"/>
    <tableColumn id="26" xr3:uid="{C8501BE0-7F82-4630-B106-4EDA4D664436}" name="8"/>
    <tableColumn id="27" xr3:uid="{E010F540-209F-4BA3-896A-3B0AFA6D26AC}" name="9"/>
    <tableColumn id="28" xr3:uid="{E5387658-07BB-48C6-BC70-F7A8262B136A}" name="10"/>
    <tableColumn id="29" xr3:uid="{63FC2BCF-BDC5-49A8-B955-93D95B53890A}" name="11"/>
    <tableColumn id="30" xr3:uid="{0BE3DAB6-2A59-42F6-91B3-9C435AA69B17}" name="12"/>
    <tableColumn id="31" xr3:uid="{079196B5-6D1F-47EC-B3B0-FDD1F58C4B33}" name="13"/>
    <tableColumn id="20" xr3:uid="{A24D6823-5DF5-49BD-8C53-9DC52367D140}" name="14"/>
    <tableColumn id="21" xr3:uid="{9B43C16D-2CAC-44EC-B78E-6FB9A6AD8961}" name="15"/>
    <tableColumn id="22" xr3:uid="{D7BCF408-B72A-44B3-A032-AEB8C2C55BD2}" name="16"/>
    <tableColumn id="23" xr3:uid="{5247FE81-BEBA-4501-B5B1-DE0687500711}" name="17"/>
    <tableColumn id="24" xr3:uid="{0B163798-10E1-425B-85A9-BB33CAC9C0B1}" name="18"/>
    <tableColumn id="25" xr3:uid="{62CFAE20-AB22-4243-A291-2B1C583212F3}" name="19"/>
    <tableColumn id="14" xr3:uid="{42487EA0-0565-4B99-B76B-FD24874390FA}" name="20"/>
    <tableColumn id="15" xr3:uid="{B236CBD2-DB93-4DDA-A71C-3996681C4C9E}" name="21"/>
    <tableColumn id="16" xr3:uid="{0C197531-A518-4277-AD7D-B359550553E1}" name="22"/>
    <tableColumn id="17" xr3:uid="{CA68A3AD-FC28-447C-8A44-4F3F7D1C7FA9}" name="23"/>
    <tableColumn id="18" xr3:uid="{039A5F93-994B-45E4-8A82-09C9813233DF}" name="24"/>
    <tableColumn id="19" xr3:uid="{C3F0DF52-31CE-4457-9DCA-77A1B063D511}" name="25"/>
    <tableColumn id="13" xr3:uid="{732AB9CC-10DD-4941-9E89-2929CF4E6D98}" name="26"/>
    <tableColumn id="12" xr3:uid="{E42FB9C9-66EA-44C3-A969-B1E7BCCC36CD}" name="27"/>
    <tableColumn id="11" xr3:uid="{78C80E32-9777-4111-A958-3FC8F6A9755F}" name="28"/>
    <tableColumn id="10" xr3:uid="{4FFD00E7-1BFE-4839-8E6F-0D4AFE943E7B}" name="29"/>
    <tableColumn id="9" xr3:uid="{37E7668A-C154-46CF-86F3-03C057902322}" name="30"/>
    <tableColumn id="8" xr3:uid="{7B3377B9-8AAA-4581-B664-38FBBBD323C9}" name="31"/>
    <tableColumn id="4" xr3:uid="{95AC6194-DE3F-4A47-94E1-2EB32D1B2DAF}" name="CARTERA ASESOR" dataDxfId="1147"/>
  </tableColumns>
  <tableStyleInfo name="TableStyleMedium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037D17-6E76-48A2-93CB-F090733274F3}" name="DITE_ABRIL_2025" displayName="DITE_ABRIL_2025" ref="AZ8:CI16" totalsRowShown="0" headerRowDxfId="1146" dataDxfId="1144" headerRowBorderDxfId="1145" tableBorderDxfId="1143" totalsRowBorderDxfId="1142">
  <autoFilter ref="AZ8:CI16" xr:uid="{91037D17-6E76-48A2-93CB-F090733274F3}"/>
  <sortState xmlns:xlrd2="http://schemas.microsoft.com/office/spreadsheetml/2017/richdata2" ref="AZ9:CI16">
    <sortCondition ref="BC8:BC16"/>
  </sortState>
  <tableColumns count="36">
    <tableColumn id="5" xr3:uid="{F0D5233F-ED84-4824-B218-63AAB5DF69A8}" name="META SUPER" dataDxfId="1141"/>
    <tableColumn id="1" xr3:uid="{56AD13BC-F67F-4EBC-8601-073AD9D41E5D}" name="RECUPERO SUPERVISOR" dataDxfId="1140">
      <calculatedColumnFormula>MAX(DITE_ABRIL_2025[[#This Row],[1]:[31]])</calculatedColumnFormula>
    </tableColumn>
    <tableColumn id="2" xr3:uid="{B40C8394-DA7A-4DDD-89EA-AE757C76DD20}" name="ALCANCE SUPERVISOR" dataDxfId="1139">
      <calculatedColumnFormula>BA9/DITE_ABRIL_2025[[#This Row],[META SUPER]]</calculatedColumnFormula>
    </tableColumn>
    <tableColumn id="4" xr3:uid="{B71408F8-B985-4B11-8661-52EFC6FA8097}" name="SUPER" dataDxfId="1138"/>
    <tableColumn id="6" xr3:uid="{9E37ADBB-A64C-4E4B-9AF4-6087C797FB5E}" name="1" dataDxfId="1137"/>
    <tableColumn id="7" xr3:uid="{09E3EE83-45B5-4808-842B-71D4652DE46A}" name="2" dataDxfId="1136"/>
    <tableColumn id="8" xr3:uid="{243F9102-2670-48D4-B25D-8432658D89F6}" name="3" dataDxfId="1135"/>
    <tableColumn id="9" xr3:uid="{06003E0F-B470-4925-ACE4-1381347B3E87}" name="4" dataDxfId="1134"/>
    <tableColumn id="10" xr3:uid="{DF8C4E72-181D-4E2F-A34D-2BB7FD231520}" name="5" dataDxfId="1133"/>
    <tableColumn id="11" xr3:uid="{56E37C44-85E9-4431-A560-A54606105B9D}" name="6" dataDxfId="1132"/>
    <tableColumn id="12" xr3:uid="{9ADEA573-5E4A-46C0-8569-AFED61AE0141}" name="7" dataDxfId="1131"/>
    <tableColumn id="13" xr3:uid="{D44E56ED-D810-4F08-ACAA-0850A2CBA861}" name="8" dataDxfId="1130"/>
    <tableColumn id="14" xr3:uid="{4F1A46EB-156C-42BB-A090-307A483EDA59}" name="9" dataDxfId="1129"/>
    <tableColumn id="31" xr3:uid="{541B93EF-F184-4564-B837-8BCC47BE5B99}" name="10"/>
    <tableColumn id="32" xr3:uid="{DF757FD2-DF4F-4331-A952-9389AE9639F1}" name="11"/>
    <tableColumn id="33" xr3:uid="{D8E36B0D-A06E-4299-B998-D2329BE3B11A}" name="12"/>
    <tableColumn id="34" xr3:uid="{49FE8928-2606-47BF-831D-FFD57393E164}" name="13"/>
    <tableColumn id="36" xr3:uid="{ABEC00A1-61F5-4FE3-85FE-EA530F70F667}" name="14"/>
    <tableColumn id="35" xr3:uid="{F6E6914C-6DE9-404F-A288-3DE0F60249C0}" name="15"/>
    <tableColumn id="26" xr3:uid="{4F618DEB-660E-4707-83BC-1EDA17F80DC2}" name="16"/>
    <tableColumn id="27" xr3:uid="{2011832D-EF8F-4088-A66C-764CC880779D}" name="17"/>
    <tableColumn id="28" xr3:uid="{C38E52C0-6A89-4B9C-92B3-51F824EC15AE}" name="18"/>
    <tableColumn id="29" xr3:uid="{40373C80-C2FA-4D17-B6AB-CA1FA22D721A}" name="19"/>
    <tableColumn id="30" xr3:uid="{EF4807E4-DD41-4CA6-A61F-7E167A04AAA2}" name="20"/>
    <tableColumn id="15" xr3:uid="{EA2196AC-4B67-4905-BF5F-D57BA3E6F3AD}" name="21" dataDxfId="1128"/>
    <tableColumn id="16" xr3:uid="{C78E77EC-88A1-4EFD-AD1A-7DF788C46683}" name="22" dataDxfId="1127"/>
    <tableColumn id="17" xr3:uid="{D5FD8172-0B95-4406-9239-1ABAD08F1B45}" name="23" dataDxfId="1126"/>
    <tableColumn id="18" xr3:uid="{8E9BAC3F-3B04-449B-88EE-DBF57FA626AC}" name="24" dataDxfId="1125"/>
    <tableColumn id="19" xr3:uid="{BFA3B7EB-0BC7-4311-8FCE-7C69A9357A03}" name="25" dataDxfId="1124"/>
    <tableColumn id="20" xr3:uid="{D2BE25CA-961F-40EE-9EC1-A49EEA4DDB5A}" name="26" dataDxfId="1123"/>
    <tableColumn id="21" xr3:uid="{77AAB025-517F-4236-B11B-AEE9B7399348}" name="27" dataDxfId="1122"/>
    <tableColumn id="22" xr3:uid="{E35C7392-A09A-482A-9C37-79B0D6711E60}" name="28" dataDxfId="1121"/>
    <tableColumn id="23" xr3:uid="{B9F1E360-1FEC-4978-B5DB-3DECA1925AE9}" name="29" dataDxfId="1120"/>
    <tableColumn id="24" xr3:uid="{89A20735-1F9D-4A38-9BEB-B3BD56D1FD35}" name="30" dataDxfId="1119"/>
    <tableColumn id="25" xr3:uid="{4BE1A809-8A7F-4933-9AB7-B0E4C9CDDD7E}" name="31" dataDxfId="1118"/>
    <tableColumn id="3" xr3:uid="{8BAF39B2-F0EB-433E-8F3A-FEAC89C5F9BF}" name="CARTERA" dataDxfId="1117"/>
  </tableColumns>
  <tableStyleInfo name="TableStyleMedium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A098A3B8-3C17-4FC2-BD2A-EA8EA6D3503A}" name="Tabla61656667687071727374756364" displayName="Tabla61656667687071727374756364" ref="CK8:CO16" totalsRowShown="0" headerRowDxfId="1116" dataDxfId="1115">
  <autoFilter ref="CK8:CO16" xr:uid="{A098A3B8-3C17-4FC2-BD2A-EA8EA6D3503A}"/>
  <tableColumns count="5">
    <tableColumn id="1" xr3:uid="{EEB56793-AB81-4365-A4E5-C06A780CA295}" name="VISTA" dataDxfId="1114"/>
    <tableColumn id="2" xr3:uid="{54EC6886-D858-4D08-95BC-9CB64C69785F}" name="1" dataDxfId="1113"/>
    <tableColumn id="3" xr3:uid="{29622426-510D-41D8-BAAB-33B75A3032DA}" name="2" dataDxfId="1112"/>
    <tableColumn id="4" xr3:uid="{10D8188B-45F2-4371-9D53-44980E950C48}" name="3" dataDxfId="1111"/>
    <tableColumn id="14" xr3:uid="{88B5AB80-A8EA-41B5-BA7B-E57AF885CB41}" name="4" dataDxfId="1110"/>
  </tableColumns>
  <tableStyleInfo name="TableStyleMedium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C741D8E-BF5F-47B0-9DC2-611AD28D3273}" name="D1_MAYO_2025" displayName="D1_MAYO_2025" ref="A2:K78" totalsRowShown="0">
  <autoFilter ref="A2:K78" xr:uid="{4C741D8E-BF5F-47B0-9DC2-611AD28D3273}"/>
  <tableColumns count="11">
    <tableColumn id="1" xr3:uid="{E152AEAC-0614-4AEE-89A1-C0945D3B66A9}" name="SUPER"/>
    <tableColumn id="2" xr3:uid="{A339CB3C-4A69-436B-9231-4EBB2149CD4A}" name="ASESOR_CRR" dataDxfId="1109"/>
    <tableColumn id="3" xr3:uid="{808825E8-928F-40C5-BB2B-D49A4451356F}" name="META">
      <calculatedColumnFormula>VLOOKUP(D1_MAYO_2025[[#This Row],[SUPER]],DATA_MAYO_2025[[SUPERVISOR]:[META]],3,0)</calculatedColumnFormula>
    </tableColumn>
    <tableColumn id="4" xr3:uid="{4F30B4EF-5496-4464-9B60-C442DE0D4AD3}" name="ALCANCE" dataDxfId="1108">
      <calculatedColumnFormula>D1_MAYO_2025[[#This Row],[RECUPERO]]/D1_MAYO_2025[[#This Row],[META]]</calculatedColumnFormula>
    </tableColumn>
    <tableColumn id="7" xr3:uid="{7C5F88F0-9FF3-49CF-BE68-2D455D9DEE81}" name="SUPER2" dataDxfId="1107"/>
    <tableColumn id="5" xr3:uid="{5FAC7613-1036-4D50-9A09-AB4F41D88D12}" name="ASESOR" dataDxfId="1106"/>
    <tableColumn id="6" xr3:uid="{373B07DA-C176-4486-843D-36C5A3043867}" name="RECUPERO" dataDxfId="1105"/>
    <tableColumn id="8" xr3:uid="{CDBFB8A5-E15E-4513-B245-3523278CBBD2}" name="DNI" dataDxfId="1104"/>
    <tableColumn id="9" xr3:uid="{64A6BF66-DB3B-4ED3-B1A9-2DF71B8D1ACE}" name="FECHA DE INICIO" dataDxfId="1103"/>
    <tableColumn id="10" xr3:uid="{9DD10A75-AE91-4226-BF53-FBC3A38A3094}" name="ESTADO" dataDxfId="1102"/>
    <tableColumn id="11" xr3:uid="{E457A2EF-C26E-43DE-BDB2-64E1BFF451C1}" name="SEGMENTO" dataDxfId="110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430F05E-BC8F-402B-8A1E-08930825C5B5}" name="DATA_MAYO_2025" displayName="DATA_MAYO_2025" ref="M8:AX84" totalsRowShown="0" headerRowDxfId="1100" headerRowBorderDxfId="1099" tableBorderDxfId="1098">
  <autoFilter ref="M8:AX84" xr:uid="{3430F05E-BC8F-402B-8A1E-08930825C5B5}"/>
  <sortState xmlns:xlrd2="http://schemas.microsoft.com/office/spreadsheetml/2017/richdata2" ref="M9:AX84">
    <sortCondition ref="R8:R84"/>
  </sortState>
  <tableColumns count="38">
    <tableColumn id="2" xr3:uid="{C6ACB1FD-DF21-4A7E-80CD-085902D05EAD}" name="AL_AC" dataDxfId="1097">
      <calculatedColumnFormula>DATA_MAYO_2025[[#This Row],[RECUPERO]]/DATA_MAYO_2025[[#This Row],[META]]</calculatedColumnFormula>
    </tableColumn>
    <tableColumn id="3" xr3:uid="{8551335D-BE40-494B-A806-42FAA211C207}" name="Q_ALC" dataDxfId="1096">
      <calculatedColumnFormula>6-ROUNDUP(_xlfn.RANK.EQ(DATA_MAYO_2025[[#This Row],[AL_AC]],DATA_MAYO_2025[AL_AC],0)/(COUNTA(DATA_MAYO_2025[AL_AC])/5),0)</calculatedColumnFormula>
    </tableColumn>
    <tableColumn id="1" xr3:uid="{1F17A9F8-FF2D-4D38-ADF0-9C21DD7CE96D}" name="SUPERVISOR" dataDxfId="1095"/>
    <tableColumn id="6" xr3:uid="{85DC5B94-4FF7-4224-A993-E56A00A5F6DA}" name="RECUPERO" dataDxfId="1094">
      <calculatedColumnFormula>SUM(DATA_MAYO_2025[[#This Row],[1]:[31]])</calculatedColumnFormula>
    </tableColumn>
    <tableColumn id="7" xr3:uid="{E2EB46E1-D5BC-46B2-859F-8C05EBBE26F5}" name="META" dataDxfId="1093"/>
    <tableColumn id="5" xr3:uid="{A8ED42EF-7F3D-47A1-A928-02CDC650D596}" name="ASER_" dataDxfId="1092"/>
    <tableColumn id="36" xr3:uid="{8B853199-FC28-4A76-A90F-DDECADD389EF}" name="1"/>
    <tableColumn id="37" xr3:uid="{07C6BB4A-82E6-4264-8C69-5F8CB581FF95}" name="2"/>
    <tableColumn id="38" xr3:uid="{59FC6F3F-3CAC-4BED-8F82-CF8DA5225B64}" name="3"/>
    <tableColumn id="46" xr3:uid="{0289E0AB-6BAF-440B-B11E-FD3138D133AD}" name="4"/>
    <tableColumn id="43" xr3:uid="{9A14F46B-C675-435C-9EED-5CC7C3AF7DD5}" name="5"/>
    <tableColumn id="44" xr3:uid="{34ED60C8-E9A7-4F50-805B-1860E9049549}" name="6"/>
    <tableColumn id="45" xr3:uid="{3E8F0A64-059B-4994-A725-71A8405EA8A4}" name="7"/>
    <tableColumn id="39" xr3:uid="{DC02F842-F4CD-48B4-B8C9-3C3D1368FE5C}" name="8"/>
    <tableColumn id="40" xr3:uid="{16109316-E3AC-48B8-968D-3444052A6CA0}" name="9"/>
    <tableColumn id="41" xr3:uid="{C57F3616-84F4-4463-910C-2453FE47960F}" name="10"/>
    <tableColumn id="42" xr3:uid="{C10D2A2B-344A-4777-AFF0-68C155214C78}" name="11"/>
    <tableColumn id="29" xr3:uid="{FC208149-25F7-4FF6-A234-90595143B65F}" name="12"/>
    <tableColumn id="30" xr3:uid="{FC14DB29-4360-41FA-8FA8-73C00D5465AF}" name="13"/>
    <tableColumn id="31" xr3:uid="{F0850439-76D9-47EF-8D5E-ED2DF1973CD7}" name="14"/>
    <tableColumn id="32" xr3:uid="{BB675B96-0F1D-47EB-B993-DA221CD63497}" name="15"/>
    <tableColumn id="33" xr3:uid="{09A4C622-8FF0-47D5-8942-7D2FF8D7E1A0}" name="16"/>
    <tableColumn id="34" xr3:uid="{A177150C-4117-430F-BADE-3415AC29A617}" name="17"/>
    <tableColumn id="35" xr3:uid="{15DEAE40-1908-4C19-A6F9-C5B99E72581E}" name="18"/>
    <tableColumn id="22" xr3:uid="{55D2BB0D-1E0E-4096-AA28-CF5F007002BC}" name="19"/>
    <tableColumn id="23" xr3:uid="{DFEFD816-CD08-48BA-9424-B3B22EE9D8D5}" name="20"/>
    <tableColumn id="24" xr3:uid="{9433E99C-FD36-4985-9CBB-4656C4F8088F}" name="21"/>
    <tableColumn id="25" xr3:uid="{B6DA9EF3-EB13-4FC9-BC14-904C2EF19348}" name="22"/>
    <tableColumn id="26" xr3:uid="{758AB99E-8639-4665-B19E-F6EC3B902C18}" name="23"/>
    <tableColumn id="27" xr3:uid="{E6D78B03-270B-4BB0-8850-8EE65E4AC270}" name="24"/>
    <tableColumn id="28" xr3:uid="{410773E8-474B-4B0A-BFB7-ED103B243E7E}" name="25"/>
    <tableColumn id="15" xr3:uid="{EE1E2825-D846-45BD-9B04-C348196866A3}" name="26"/>
    <tableColumn id="16" xr3:uid="{069FE96C-91B5-4B3F-A65D-4FF01EC5E598}" name="27"/>
    <tableColumn id="17" xr3:uid="{15ABF9DA-FBAA-4761-B464-BD5784EFBAA5}" name="28"/>
    <tableColumn id="18" xr3:uid="{7AE55DD8-119E-45E8-8F07-3662E4700E66}" name="29"/>
    <tableColumn id="19" xr3:uid="{0A0D816A-A50E-4231-BDDD-20896FF8D10E}" name="30"/>
    <tableColumn id="20" xr3:uid="{5B526A43-B48A-4AF4-9CB5-914779B7EE0B}" name="31"/>
    <tableColumn id="4" xr3:uid="{4BCD1AFA-D27F-47E5-8B9D-1FD6AB797002}" name="CARTERA ASESOR" dataDxfId="1091"/>
  </tableColumns>
  <tableStyleInfo name="TableStyleMedium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D264E3B-5554-4E56-BAB0-6F3EEF5A5778}" name="DITE_MAYO_2025" displayName="DITE_MAYO_2025" ref="AZ8:CI16" totalsRowShown="0" headerRowDxfId="1090" dataDxfId="1088" headerRowBorderDxfId="1089" tableBorderDxfId="1087" totalsRowBorderDxfId="1086">
  <autoFilter ref="AZ8:CI16" xr:uid="{7D264E3B-5554-4E56-BAB0-6F3EEF5A5778}"/>
  <sortState xmlns:xlrd2="http://schemas.microsoft.com/office/spreadsheetml/2017/richdata2" ref="AZ9:CI16">
    <sortCondition ref="BC8:BC16"/>
  </sortState>
  <tableColumns count="36">
    <tableColumn id="5" xr3:uid="{1904281A-2BE1-4A00-9848-D90C0A837D4D}" name="META SUPER" dataDxfId="1085"/>
    <tableColumn id="1" xr3:uid="{E8B4D119-C811-4392-9EE6-8F0C79BEE9E9}" name="RECUPERO SUPERVISOR" dataDxfId="1084">
      <calculatedColumnFormula>MAX(DITE_MAYO_2025[[#This Row],[1]:[31]])</calculatedColumnFormula>
    </tableColumn>
    <tableColumn id="2" xr3:uid="{B44E621C-D444-4670-8FB8-CA1A1E3293FE}" name="ALCANCE SUPERVISOR" dataDxfId="1083">
      <calculatedColumnFormula>DITE_MAYO_2025[[#This Row],[RECUPERO SUPERVISOR]]/DITE_MAYO_2025[[#This Row],[META SUPER]]</calculatedColumnFormula>
    </tableColumn>
    <tableColumn id="4" xr3:uid="{63B60F11-ECE7-4839-BADE-F875CF35D6C8}" name="SUPER" dataDxfId="1082"/>
    <tableColumn id="6" xr3:uid="{795F9848-930D-4B49-893D-00DA36A6069C}" name="1" dataDxfId="1081"/>
    <tableColumn id="7" xr3:uid="{A0F1B09B-45CD-4449-B0E0-2A746353F5F6}" name="2" dataDxfId="1080"/>
    <tableColumn id="8" xr3:uid="{42485F8E-3938-40CB-B75A-E12120AF085D}" name="3" dataDxfId="1079"/>
    <tableColumn id="9" xr3:uid="{16CE59CD-D621-412D-8F6E-F5B8FEEFCBB4}" name="4" dataDxfId="1078"/>
    <tableColumn id="10" xr3:uid="{D1B5939A-E95A-4BE2-BA16-796CFB62C7BB}" name="5" dataDxfId="1077"/>
    <tableColumn id="11" xr3:uid="{42606FA2-25C4-48F7-BC25-B75CFBF93D7E}" name="6" dataDxfId="1076"/>
    <tableColumn id="12" xr3:uid="{91DD2662-D657-4CF0-B378-5B3D9B374F80}" name="7" dataDxfId="1075"/>
    <tableColumn id="32" xr3:uid="{39FE1D11-1FEE-41D3-9C79-8452EFBA3344}" name="8"/>
    <tableColumn id="33" xr3:uid="{1AE6B5D0-3A56-4D06-9F6E-ECF63A72460F}" name="9"/>
    <tableColumn id="34" xr3:uid="{8D5ADF33-42BC-46A7-8EFE-970D7088F5FA}" name="10"/>
    <tableColumn id="35" xr3:uid="{22418AAA-0455-49E7-9CAC-0BCFCE44F3DA}" name="11"/>
    <tableColumn id="36" xr3:uid="{49D7F4E0-22D4-47C2-916B-E30892AB688A}" name="12"/>
    <tableColumn id="27" xr3:uid="{932EBD47-33B3-408D-9D7C-841F5E2A52BF}" name="13"/>
    <tableColumn id="28" xr3:uid="{5A231626-5655-4CCA-89F8-B3218917D6AB}" name="14"/>
    <tableColumn id="29" xr3:uid="{E704DC42-8BC9-40BC-B915-9375CC222A66}" name="15"/>
    <tableColumn id="30" xr3:uid="{2E2283C0-5291-4733-9D1C-510231820D58}" name="16"/>
    <tableColumn id="31" xr3:uid="{C76ECFD1-ABDB-4D2E-B061-BEB271E86683}" name="17"/>
    <tableColumn id="13" xr3:uid="{02E91914-A4C0-4DF0-A670-ED42110CA3F2}" name="18" dataDxfId="1074"/>
    <tableColumn id="14" xr3:uid="{FDAEFC46-2A8B-451E-929D-76EC4BC7CA39}" name="19" dataDxfId="1073"/>
    <tableColumn id="15" xr3:uid="{1F944C9F-2359-45A9-8922-617195550B92}" name="20" dataDxfId="1072"/>
    <tableColumn id="16" xr3:uid="{D023EA95-922B-4435-8A92-F165E2F3A560}" name="21" dataDxfId="1071"/>
    <tableColumn id="17" xr3:uid="{7AC3BA92-E630-483B-B27E-18C40869116B}" name="22" dataDxfId="1070"/>
    <tableColumn id="18" xr3:uid="{3609A57C-B1DB-4D87-9574-007183221000}" name="23" dataDxfId="1069"/>
    <tableColumn id="19" xr3:uid="{98740490-1047-4343-85C8-834AE6AF935A}" name="24" dataDxfId="1068"/>
    <tableColumn id="20" xr3:uid="{CE682DBD-B5A8-49C9-8A73-515C0BB553A8}" name="25" dataDxfId="1067"/>
    <tableColumn id="21" xr3:uid="{2C63A6DB-A36B-488F-8D7C-F86E11CED59A}" name="26" dataDxfId="1066"/>
    <tableColumn id="22" xr3:uid="{01511E88-F7F3-4FDD-998C-292B28698241}" name="27" dataDxfId="1065"/>
    <tableColumn id="23" xr3:uid="{B0CE642E-7F10-4E00-9DD1-FC5CF0499DC2}" name="28" dataDxfId="1064"/>
    <tableColumn id="24" xr3:uid="{EE9469B0-D486-4046-8AA2-36629B9D9667}" name="29" dataDxfId="1063"/>
    <tableColumn id="25" xr3:uid="{D05B2A45-8E05-43BB-9FFA-CC56C7D8C31E}" name="30" dataDxfId="1062"/>
    <tableColumn id="26" xr3:uid="{AE78D865-FDC9-4B75-AADF-A48F19C319DC}" name="31" dataDxfId="1061"/>
    <tableColumn id="3" xr3:uid="{0887DE9C-F035-4EEC-B2F4-4C2CEB11922C}" name="CARTERA" dataDxfId="1060"/>
  </tableColumns>
  <tableStyleInfo name="TableStyleMedium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2E1714BA-AA31-40C3-A8A8-8F7AF2BE18D3}" name="Tabla616566676870717273747563" displayName="Tabla616566676870717273747563" ref="CK8:CO16" totalsRowShown="0" headerRowDxfId="1059" dataDxfId="1058">
  <autoFilter ref="CK8:CO16" xr:uid="{2E1714BA-AA31-40C3-A8A8-8F7AF2BE18D3}"/>
  <tableColumns count="5">
    <tableColumn id="1" xr3:uid="{FD8B1FFA-2501-4004-A802-184E80D06B91}" name="VISTA" dataDxfId="1057"/>
    <tableColumn id="2" xr3:uid="{429A3B8D-50F1-4374-8637-AB41E24A51D7}" name="1" dataDxfId="1056"/>
    <tableColumn id="3" xr3:uid="{DF889198-ABC0-4D54-8703-0B6A785ACBEB}" name="2" dataDxfId="1055"/>
    <tableColumn id="4" xr3:uid="{441DAF2A-F2AF-4DE9-A31B-DB40B0EF364E}" name="3" dataDxfId="1054"/>
    <tableColumn id="14" xr3:uid="{13BCF5FE-8355-4BAE-9E87-9F83B0CDD4C1}" name="4" dataDxfId="1053"/>
  </tableColumns>
  <tableStyleInfo name="TableStyleMedium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4C0DE59-0F83-4A2B-97E4-DFA4A01B849B}" name="D1_JUNIO_2025" displayName="D1_JUNIO_2025" ref="A2:K83" totalsRowShown="0">
  <autoFilter ref="A2:K83" xr:uid="{64C0DE59-0F83-4A2B-97E4-DFA4A01B849B}"/>
  <tableColumns count="11">
    <tableColumn id="1" xr3:uid="{BE333B5A-1A5B-4E73-9860-1AA45E4E9980}" name="SUPER"/>
    <tableColumn id="2" xr3:uid="{877210DA-3F05-4E03-80B9-BC02A44F0C24}" name="ASESOR_CRR" dataDxfId="1052"/>
    <tableColumn id="3" xr3:uid="{7DD4B70A-E8F7-43D2-86C8-77AB892B7A01}" name="META">
      <calculatedColumnFormula>VLOOKUP(D1_JUNIO_2025[[#This Row],[SUPER]],DATA_JUNIO_2025[[SUPERVISOR]:[META]],3,0)</calculatedColumnFormula>
    </tableColumn>
    <tableColumn id="4" xr3:uid="{C8B374A9-FA66-4CE7-BEA1-33A15E8F71DA}" name="ALCANCE"/>
    <tableColumn id="7" xr3:uid="{70873663-B31A-4A7F-9C02-6FC72EE3AC33}" name="SUPER2" dataDxfId="1051"/>
    <tableColumn id="5" xr3:uid="{1BF578D9-FB1B-48B0-B732-40F721FD7C19}" name="ASESOR" dataDxfId="1050"/>
    <tableColumn id="6" xr3:uid="{CA995F17-DCA5-4D19-B2E1-FD9362121A39}" name="RECUPERO"/>
    <tableColumn id="8" xr3:uid="{9BC620F7-3E10-4417-B0EA-F37D1F039447}" name="DNI" dataDxfId="1049"/>
    <tableColumn id="9" xr3:uid="{0CBCBA61-9BA1-4E3D-B6CE-38E6C9A1078C}" name="FECHA DE INICIO" dataDxfId="1048"/>
    <tableColumn id="10" xr3:uid="{3A23F58F-8B92-4D7C-82D9-23C8B3B51E6F}" name="ESTADO" dataDxfId="1047"/>
    <tableColumn id="11" xr3:uid="{2E50347E-4858-4527-938D-F94ED2AB3BED}" name="SEGMENTO" dataDxfId="1046"/>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7B1AEE0-937A-4085-8A6E-FCEB23E4FC30}" name="DATA_JUNIO_2025" displayName="DATA_JUNIO_2025" ref="M8:AX83" totalsRowShown="0" headerRowDxfId="1045" headerRowBorderDxfId="1044" tableBorderDxfId="1043">
  <autoFilter ref="M8:AX83" xr:uid="{97B1AEE0-937A-4085-8A6E-FCEB23E4FC30}"/>
  <sortState xmlns:xlrd2="http://schemas.microsoft.com/office/spreadsheetml/2017/richdata2" ref="M9:AX83">
    <sortCondition ref="R8:R83"/>
  </sortState>
  <tableColumns count="38">
    <tableColumn id="2" xr3:uid="{1850D85D-70AA-4C8C-B259-0C0B744B6CE0}" name="AL_AC" dataDxfId="1042">
      <calculatedColumnFormula>DATA_JUNIO_2025[[#This Row],[RECUPERO]]/DATA_JUNIO_2025[[#This Row],[META]]</calculatedColumnFormula>
    </tableColumn>
    <tableColumn id="3" xr3:uid="{78E201C6-658E-4437-AC52-3D0E669D8389}" name="Q_ALC" dataDxfId="1041">
      <calculatedColumnFormula>6-ROUNDUP(_xlfn.RANK.EQ(DATA_JUNIO_2025[[#This Row],[AL_AC]],DATA_JUNIO_2025[AL_AC],0)/(COUNTA(DATA_JUNIO_2025[AL_AC])/5),0)</calculatedColumnFormula>
    </tableColumn>
    <tableColumn id="1" xr3:uid="{C1D03C86-C680-4F57-A317-59AA1FC8881C}" name="SUPERVISOR" dataDxfId="1040"/>
    <tableColumn id="6" xr3:uid="{3AD4A449-DB0B-4879-AD61-28FA40E45717}" name="RECUPERO" dataDxfId="1039">
      <calculatedColumnFormula>SUM(DATA_JUNIO_2025[[#This Row],[1]:[31]])</calculatedColumnFormula>
    </tableColumn>
    <tableColumn id="7" xr3:uid="{2BD9FB92-38FC-44A8-B5F2-890569E48C37}" name="META" dataDxfId="1038"/>
    <tableColumn id="5" xr3:uid="{9812F1F1-AB5A-41A6-A84D-86B290FCB7E7}" name="ASER_" dataDxfId="1037"/>
    <tableColumn id="37" xr3:uid="{834796BA-53F4-4194-919E-D8B97FEA7F3F}" name="1" dataDxfId="1036"/>
    <tableColumn id="38" xr3:uid="{3EB170EF-ACD7-44BF-B308-6143D7ED32A1}" name="2"/>
    <tableColumn id="39" xr3:uid="{7264757F-6DD2-47D2-A8F2-6CBA4DF27117}" name="3"/>
    <tableColumn id="30" xr3:uid="{CB1E55A2-C907-4B82-9D38-AF71F3455605}" name="4"/>
    <tableColumn id="31" xr3:uid="{35436931-F444-49FD-8505-FDC1277816CD}" name="5"/>
    <tableColumn id="32" xr3:uid="{3B7BE119-E7B8-45E6-9447-E3BB8289CFB5}" name="6"/>
    <tableColumn id="33" xr3:uid="{72AD0156-F2F8-4A45-A105-4FD949108D60}" name="7"/>
    <tableColumn id="40" xr3:uid="{BF025C3F-42D4-436D-AAB9-18F8DAA1A7D5}" name="8"/>
    <tableColumn id="35" xr3:uid="{E4BE0A11-B24F-446C-A8F4-1FF6A68DE1D9}" name="9"/>
    <tableColumn id="36" xr3:uid="{C8A68C41-D254-4D6F-9E04-79D93ACD027B}" name="10"/>
    <tableColumn id="23" xr3:uid="{100B838F-8261-4765-A7C4-5146FAF73266}" name="11"/>
    <tableColumn id="24" xr3:uid="{6E25EEDE-C017-43FB-831A-5DB99383B918}" name="12"/>
    <tableColumn id="25" xr3:uid="{FD301D94-5138-4C63-8E0A-195CCC8EAC60}" name="13"/>
    <tableColumn id="26" xr3:uid="{1B40E642-2D02-4792-91F9-A9E0B2DDB09C}" name="14"/>
    <tableColumn id="27" xr3:uid="{32E93474-D9C4-4D66-8420-65547CA35534}" name="15"/>
    <tableColumn id="28" xr3:uid="{61A5DD7A-4F61-4D28-84B7-221855BA48A7}" name="16"/>
    <tableColumn id="29" xr3:uid="{510A9117-E946-4276-AFB3-26309BE9BFC5}" name="17"/>
    <tableColumn id="16" xr3:uid="{95F99933-9B75-4293-8AFC-34EF9A98FAEE}" name="18"/>
    <tableColumn id="17" xr3:uid="{7179FD38-FD52-4CE6-AF1E-1EFA242BB134}" name="19"/>
    <tableColumn id="18" xr3:uid="{CB8C84BC-D5DC-4357-902F-144129EAE90A}" name="20"/>
    <tableColumn id="19" xr3:uid="{4268A23C-3604-48EF-97FD-EF7CD1791B3A}" name="21"/>
    <tableColumn id="20" xr3:uid="{45322C4E-DA0F-40A4-BD61-723FFFC443BC}" name="22"/>
    <tableColumn id="21" xr3:uid="{FAA9BF44-B4E6-41F0-8734-94C23272597A}" name="23"/>
    <tableColumn id="22" xr3:uid="{1BB737C6-ABAA-4E48-9C4A-D0D755515694}" name="24"/>
    <tableColumn id="15" xr3:uid="{E3AC1AE2-F014-404C-8346-81F54A56E40E}" name="25"/>
    <tableColumn id="14" xr3:uid="{4047AFDB-3E19-4E9E-806A-8CCD8AAE4E55}" name="26"/>
    <tableColumn id="13" xr3:uid="{721D4669-FB36-443B-BFE2-3094F546CC54}" name="27"/>
    <tableColumn id="12" xr3:uid="{EB7A17E4-A0D4-42BB-9147-2BA92292F1A4}" name="28"/>
    <tableColumn id="11" xr3:uid="{11C32B59-34FD-46FF-B2DF-B71392DA8081}" name="29"/>
    <tableColumn id="41" xr3:uid="{BDD4357C-4EE5-4DE5-9A7C-75B53C454451}" name="30"/>
    <tableColumn id="10" xr3:uid="{611BD90A-F675-478A-AEDF-F248606DDDFE}" name="31"/>
    <tableColumn id="4" xr3:uid="{DAFD2DC8-78EF-4D1C-8D8A-59717D153EC7}" name="CARTERA ASESOR" dataDxfId="1035"/>
  </tableColumns>
  <tableStyleInfo name="TableStyleMedium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512D78B-B0C0-473E-AE3C-7C31C89EE38A}" name="DITE_JUNIO_2025" displayName="DITE_JUNIO_2025" ref="AZ8:CI16" totalsRowShown="0" headerRowDxfId="1034" dataDxfId="1032" headerRowBorderDxfId="1033" tableBorderDxfId="1031" totalsRowBorderDxfId="1030">
  <autoFilter ref="AZ8:CI16" xr:uid="{9512D78B-B0C0-473E-AE3C-7C31C89EE38A}"/>
  <sortState xmlns:xlrd2="http://schemas.microsoft.com/office/spreadsheetml/2017/richdata2" ref="AZ9:CI16">
    <sortCondition ref="BC8:BC16"/>
  </sortState>
  <tableColumns count="36">
    <tableColumn id="5" xr3:uid="{2E4B2724-B4DE-4C03-B5C0-3E36829C3373}" name="META SUPER" dataDxfId="1029"/>
    <tableColumn id="1" xr3:uid="{1A75BF93-811F-4AFA-86B4-9AD496200913}" name="RECUPERO SUPERVISOR" dataDxfId="1028"/>
    <tableColumn id="2" xr3:uid="{60B107BC-0938-4363-BE59-47C4E7777D14}" name="ALCANCE SUPERVISOR" dataDxfId="1027">
      <calculatedColumnFormula>DITE_JUNIO_2025[[#This Row],[RECUPERO SUPERVISOR]]/DITE_JUNIO_2025[[#This Row],[META SUPER]]</calculatedColumnFormula>
    </tableColumn>
    <tableColumn id="4" xr3:uid="{846684E8-1F2C-4021-AB12-AFBE9E56FAA4}" name="SUPER" dataDxfId="1026"/>
    <tableColumn id="6" xr3:uid="{A217DEAD-ACD7-4C63-A622-E2E01ECF328C}" name="1" dataDxfId="1025"/>
    <tableColumn id="7" xr3:uid="{5CA18C0A-7D47-455B-B153-EFA8D01D32D6}" name="2" dataDxfId="1024"/>
    <tableColumn id="8" xr3:uid="{3CBBE086-E28B-4224-AF45-5A4E7A009E3F}" name="3" dataDxfId="1023"/>
    <tableColumn id="9" xr3:uid="{4B327145-F7C9-4ABC-A911-6EB2E553C986}" name="4" dataDxfId="1022"/>
    <tableColumn id="10" xr3:uid="{C644450F-2149-4D87-8E04-D3DD6B99C066}" name="5" dataDxfId="1021"/>
    <tableColumn id="11" xr3:uid="{92D6DA00-2083-479D-96F6-4B48312C9C12}" name="6" dataDxfId="1020"/>
    <tableColumn id="12" xr3:uid="{2EC613D6-BDCD-416F-817F-42C8018B90FE}" name="7" dataDxfId="1019"/>
    <tableColumn id="13" xr3:uid="{B55C5834-2D46-4D83-8429-14D18D9B95EF}" name="8" dataDxfId="1018"/>
    <tableColumn id="14" xr3:uid="{5C6DF4C8-EDC0-4827-AA8B-9C2B7202A4DA}" name="9" dataDxfId="1017"/>
    <tableColumn id="15" xr3:uid="{764D7AA1-F3E2-4E06-A4A9-952B47F95E76}" name="10" dataDxfId="1016"/>
    <tableColumn id="16" xr3:uid="{6D896E44-118D-4124-BF4A-2E06B8568517}" name="11" dataDxfId="1015"/>
    <tableColumn id="33" xr3:uid="{BBE7D4C5-65CC-4C04-9363-3F8A3089024F}" name="12"/>
    <tableColumn id="34" xr3:uid="{E4BF0FC7-0056-416F-A09A-F48D5E89BFEA}" name="13"/>
    <tableColumn id="30" xr3:uid="{3377451B-B200-4F25-8F39-84C1249D8051}" name="14"/>
    <tableColumn id="31" xr3:uid="{F88FD670-DAE4-45AE-859D-B487855DB501}" name="15"/>
    <tableColumn id="32" xr3:uid="{5F0B8E05-ABB7-4C17-8222-8BEACF2C6B2C}" name="16"/>
    <tableColumn id="27" xr3:uid="{6FBF2E19-6B77-4D35-BB60-10E64B5DE954}" name="17"/>
    <tableColumn id="28" xr3:uid="{BF8D3F5D-EDC2-407E-A940-2E1D1B28BF6D}" name="18"/>
    <tableColumn id="36" xr3:uid="{A473D592-E0DB-4C77-9361-BC6F46770077}" name="19"/>
    <tableColumn id="29" xr3:uid="{01A29275-75E3-4F92-9463-409490A70699}" name="20"/>
    <tableColumn id="17" xr3:uid="{BE609D90-F294-44A1-B944-804292CC8FAC}" name="21" dataDxfId="1014"/>
    <tableColumn id="18" xr3:uid="{E97C32F3-7B30-46E7-B4CD-72B412E48E28}" name="22" dataDxfId="1013"/>
    <tableColumn id="19" xr3:uid="{FD784BF8-211E-4275-A9B4-168979C2AFD1}" name="23" dataDxfId="1012"/>
    <tableColumn id="20" xr3:uid="{766DA9FA-C407-4AC5-BFFB-BF6A1B6D5B26}" name="24" dataDxfId="1011"/>
    <tableColumn id="21" xr3:uid="{CD1B765C-53CF-4C5C-A708-487BC53AF68A}" name="25" dataDxfId="1010"/>
    <tableColumn id="22" xr3:uid="{2800A805-A560-4CF0-B47E-4486A92755E4}" name="26" dataDxfId="1009"/>
    <tableColumn id="23" xr3:uid="{7067EFFA-F2EA-4FFF-A281-8E3E0E718C87}" name="27" dataDxfId="1008"/>
    <tableColumn id="24" xr3:uid="{BB01C4B5-FEB4-44E1-BF58-4C9BF81261B1}" name="28" dataDxfId="1007"/>
    <tableColumn id="25" xr3:uid="{2116D7DE-6632-4314-9539-6B4BA9407512}" name="29" dataDxfId="1006"/>
    <tableColumn id="37" xr3:uid="{CBFA4429-3DA2-46C7-A9A0-49B669AE33A6}" name="30"/>
    <tableColumn id="26" xr3:uid="{B0D188FD-F41F-4C43-A42F-87048D9F3347}" name="31" dataDxfId="1005"/>
    <tableColumn id="3" xr3:uid="{153A774F-FA3D-4DE9-A743-A193E9EC2BE7}" name="CARTERA" dataDxfId="1004"/>
  </tableColumns>
  <tableStyleInfo name="TableStyleMedium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D9FB21D9-7D2B-4B44-80D1-3C8656081B59}" name="Tabla6165666768707172737475" displayName="Tabla6165666768707172737475" ref="CK8:CO16" totalsRowShown="0" headerRowDxfId="1003" dataDxfId="1002">
  <autoFilter ref="CK8:CO16" xr:uid="{D9FB21D9-7D2B-4B44-80D1-3C8656081B59}"/>
  <tableColumns count="5">
    <tableColumn id="1" xr3:uid="{55CC47EE-B5EB-4C22-912A-314A0C4A22CD}" name="VISTA" dataDxfId="1001"/>
    <tableColumn id="2" xr3:uid="{68D27FF1-F05E-4881-A0C1-4566D81A7430}" name="1" dataDxfId="1000"/>
    <tableColumn id="3" xr3:uid="{E7DA3F7B-A434-4EEC-A6F7-AC22B5F4CAE6}" name="2" dataDxfId="999"/>
    <tableColumn id="4" xr3:uid="{B8418D52-AA16-49C2-A8AA-75631794246B}" name="3" dataDxfId="998"/>
    <tableColumn id="14" xr3:uid="{5C3F1E9C-C0C1-4E39-B365-91CF22966878}" name="4" dataDxfId="997"/>
  </tableColumns>
  <tableStyleInfo name="TableStyleMedium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3D0755C-A8D1-41FD-8722-0AA4CD765999}" name="DATA_JULIO_2025" displayName="DATA_JULIO_2025" ref="M8:AX89" totalsRowShown="0" headerRowDxfId="996" headerRowBorderDxfId="995" tableBorderDxfId="994">
  <autoFilter ref="M8:AX89" xr:uid="{13D0755C-A8D1-41FD-8722-0AA4CD765999}"/>
  <sortState xmlns:xlrd2="http://schemas.microsoft.com/office/spreadsheetml/2017/richdata2" ref="M9:AX89">
    <sortCondition ref="R8:R89"/>
  </sortState>
  <tableColumns count="38">
    <tableColumn id="2" xr3:uid="{72C3FA18-E65D-4943-AF0A-CD7AC5502A56}" name="AL_AC" dataDxfId="993">
      <calculatedColumnFormula>DATA_JULIO_2025[[#This Row],[RECUPERO]]/DATA_JULIO_2025[[#This Row],[META]]</calculatedColumnFormula>
    </tableColumn>
    <tableColumn id="3" xr3:uid="{1754C817-3C23-490F-BEA3-3ACD2AC34A65}" name="Q_ALC" dataDxfId="992">
      <calculatedColumnFormula>6-ROUNDUP(_xlfn.RANK.EQ(DATA_JULIO_2025[[#This Row],[AL_AC]],DATA_JULIO_2025[AL_AC],0)/(COUNTA(DATA_JULIO_2025[AL_AC])/5),0)</calculatedColumnFormula>
    </tableColumn>
    <tableColumn id="5" xr3:uid="{635B51D1-72B4-46A4-B795-4985950C2B5D}" name="SUPERVISOR" dataDxfId="991"/>
    <tableColumn id="6" xr3:uid="{BCDF5A35-E274-481A-8FAA-7585E0413D78}" name="RECUPERO" dataDxfId="990">
      <calculatedColumnFormula>SUM(DATA_JULIO_2025[[#This Row],[1]:[31]])</calculatedColumnFormula>
    </tableColumn>
    <tableColumn id="7" xr3:uid="{8DE1FEE0-51D3-4EA8-A46E-89BEBA12056E}" name="META" dataDxfId="989"/>
    <tableColumn id="1" xr3:uid="{3C41F150-757E-4673-8594-D891B2820E33}" name="ASER_" dataDxfId="988"/>
    <tableColumn id="35" xr3:uid="{75B663EC-48B5-4EB1-89DD-AA509391068E}" name="1"/>
    <tableColumn id="38" xr3:uid="{09D0CD3B-F8DE-4750-B8E5-18C214A2FF7B}" name="2"/>
    <tableColumn id="36" xr3:uid="{AE66868D-5ACA-42D6-8E04-AA5E20AF85C2}" name="3"/>
    <tableColumn id="37" xr3:uid="{AD0B0DA1-57A7-4BE8-A44B-C62A77CF1299}" name="4"/>
    <tableColumn id="32" xr3:uid="{41C4416A-1BD6-4791-A76E-F04E6D156B19}" name="5"/>
    <tableColumn id="33" xr3:uid="{2D799577-981E-4BB9-BB9F-59A06D917DA6}" name="6"/>
    <tableColumn id="34" xr3:uid="{0DA34078-CD4E-4132-9D73-CD583F3C1C96}" name="7"/>
    <tableColumn id="29" xr3:uid="{FEDB5AB5-2610-4435-99B7-10FA8C154686}" name="8"/>
    <tableColumn id="30" xr3:uid="{919CA4F9-4774-4E61-B6EA-DA741E3C1537}" name="9"/>
    <tableColumn id="31" xr3:uid="{B9A49866-81C8-43A4-A1FC-AF5910019B45}" name="10"/>
    <tableColumn id="26" xr3:uid="{9D358291-E4AF-4FFC-806F-71065671E690}" name="11"/>
    <tableColumn id="27" xr3:uid="{8565D2FC-BF02-4E46-BBB5-696779C22DA4}" name="12"/>
    <tableColumn id="28" xr3:uid="{E3482F10-95E9-4260-B7B0-5016A1A2F789}" name="13"/>
    <tableColumn id="23" xr3:uid="{4D9A8B85-DF3F-4FC8-A5F2-02DA0965A923}" name="14"/>
    <tableColumn id="24" xr3:uid="{1C16302C-1B76-4E36-99AF-A3DA29A0621B}" name="15"/>
    <tableColumn id="25" xr3:uid="{2A61545F-0B68-4848-AFCC-CC8EE4AF3703}" name="16"/>
    <tableColumn id="20" xr3:uid="{CF9BA849-C8E4-4768-B719-1257AE4A2691}" name="17"/>
    <tableColumn id="21" xr3:uid="{D39ED0EB-C9E2-4AC0-AE4A-31C16405E50E}" name="18"/>
    <tableColumn id="22" xr3:uid="{B0B87573-8108-4FA3-AB29-CC6183E63E36}" name="19"/>
    <tableColumn id="17" xr3:uid="{250A7397-4D9B-4F55-A99C-81E2FE236972}" name="20"/>
    <tableColumn id="18" xr3:uid="{C9178FA6-32BE-4C82-9312-875265658F18}" name="21"/>
    <tableColumn id="19" xr3:uid="{70E5ABE0-5583-4D7F-A4ED-07098C5BE42C}" name="22"/>
    <tableColumn id="14" xr3:uid="{0708ABE5-9E63-41CE-A7CD-40E8A6779106}" name="23"/>
    <tableColumn id="15" xr3:uid="{FEE690B2-094C-49C0-90ED-6D0A79F68640}" name="24"/>
    <tableColumn id="16" xr3:uid="{9969DD79-7E98-477E-A010-19C09D3E6CB3}" name="25"/>
    <tableColumn id="11" xr3:uid="{A99598C2-DFC4-460A-8E9D-EC98EF23380E}" name="26"/>
    <tableColumn id="12" xr3:uid="{30410538-6B71-4C90-958E-A78B8D15A90D}" name="27"/>
    <tableColumn id="13" xr3:uid="{51AFFD46-EF21-4D87-ACD5-3EE95185A6C6}" name="28"/>
    <tableColumn id="10" xr3:uid="{04F48960-1598-4D17-93ED-CE2A3A4674BA}" name="29"/>
    <tableColumn id="9" xr3:uid="{939C877B-4085-4D8D-ABA0-60795D29EE1C}" name="30"/>
    <tableColumn id="8" xr3:uid="{5A80439C-A4EA-4D1B-BC0D-AD2F25EDC6A7}" name="31"/>
    <tableColumn id="4" xr3:uid="{D825C99F-7926-4ACD-95E4-AD5D163C481B}" name="CARTERA ASESOR" dataDxfId="987"/>
  </tableColumns>
  <tableStyleInfo name="TableStyleMedium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60AB3C-55A7-4610-B74D-44400B82E396}" name="D1_JULIO_2025" displayName="D1_JULIO_2025" ref="A2:K85" totalsRowShown="0" dataDxfId="985" headerRowBorderDxfId="986" tableBorderDxfId="984">
  <autoFilter ref="A2:K85" xr:uid="{F460AB3C-55A7-4610-B74D-44400B82E396}"/>
  <tableColumns count="11">
    <tableColumn id="1" xr3:uid="{174E92CC-5FBB-42E6-ABBA-A2148115201A}" name="SUPER" dataDxfId="983">
      <calculatedColumnFormula>D1_JULIO_2025[[#This Row],[SUPER2]]</calculatedColumnFormula>
    </tableColumn>
    <tableColumn id="6" xr3:uid="{D87E1435-21B2-485D-8BCD-1C27FC523EEA}" name="ASESOR_CRR" dataDxfId="982"/>
    <tableColumn id="2" xr3:uid="{FC570054-965C-4F29-B04A-C58608AEAECA}" name="META" dataDxfId="981">
      <calculatedColumnFormula>VLOOKUP(D1_JULIO_2025[[#This Row],[SUPER]],DATA_JULIO_2025[[SUPERVISOR]:[META]],3,0)</calculatedColumnFormula>
    </tableColumn>
    <tableColumn id="3" xr3:uid="{CF023A93-4AFB-4349-9235-179A60BC2249}" name="ALCANCE" dataDxfId="980">
      <calculatedColumnFormula>D1_JULIO_2025[[#This Row],[RECUPERO]]/C3</calculatedColumnFormula>
    </tableColumn>
    <tableColumn id="7" xr3:uid="{59576C9E-00A8-419A-8EFC-86D74D6B4B3F}" name="SUPER2" dataDxfId="979"/>
    <tableColumn id="4" xr3:uid="{6F567985-92B6-498E-BDE9-81AA438ECD22}" name="ASESOR" dataDxfId="978"/>
    <tableColumn id="5" xr3:uid="{2DFC340F-6B74-4E64-B475-782D4A5F8B3E}" name="RECUPERO" dataDxfId="977"/>
    <tableColumn id="8" xr3:uid="{D42D0BDD-24C5-4390-9867-D5F3D45952CE}" name="DNI" dataDxfId="976"/>
    <tableColumn id="9" xr3:uid="{A9555617-B6CF-4123-9AD8-5E9DB6528E74}" name="FECHA DE INICIO" dataDxfId="975"/>
    <tableColumn id="10" xr3:uid="{1C792B0A-E0F3-406D-8123-75E932FC95A1}" name="ESTADO" dataDxfId="974"/>
    <tableColumn id="11" xr3:uid="{9C7DD975-8CE5-47A7-9055-3D889431846F}" name="SEGMENTO" dataDxfId="973"/>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BB17F4-7F2F-4438-9C76-1C20A2CD5EED}" name="DITE_JULIO_2025" displayName="DITE_JULIO_2025" ref="AZ8:CI16" totalsRowShown="0" headerRowDxfId="972" dataDxfId="970" headerRowBorderDxfId="971" tableBorderDxfId="969" totalsRowBorderDxfId="968">
  <autoFilter ref="AZ8:CI16" xr:uid="{1FBB17F4-7F2F-4438-9C76-1C20A2CD5EED}"/>
  <sortState xmlns:xlrd2="http://schemas.microsoft.com/office/spreadsheetml/2017/richdata2" ref="AZ9:CI16">
    <sortCondition ref="BC8:BC16"/>
  </sortState>
  <tableColumns count="36">
    <tableColumn id="5" xr3:uid="{054DF3D6-44FE-4EF9-8B28-32077473621F}" name="META SUPER" dataDxfId="967"/>
    <tableColumn id="1" xr3:uid="{4CE2BFB4-C324-4ECE-B3B7-77A433373BEC}" name="RECUPERO SUPERVISOR" dataDxfId="966"/>
    <tableColumn id="2" xr3:uid="{76C6BCA1-6820-46A6-B790-01B3E88F6266}" name="ALCANCE SUPERVISOR" dataDxfId="965">
      <calculatedColumnFormula>BA9/DITE_JULIO_2025[[#This Row],[META SUPER]]</calculatedColumnFormula>
    </tableColumn>
    <tableColumn id="4" xr3:uid="{FE9C5289-6F21-4D71-92B6-F36B6C9748E7}" name="SUPER" dataDxfId="964"/>
    <tableColumn id="6" xr3:uid="{A5188244-D142-4196-92CC-15B237C3E734}" name="1" dataDxfId="963"/>
    <tableColumn id="7" xr3:uid="{9754BD88-AFD1-4BCB-AF69-DA7B55E3A053}" name="2" dataDxfId="962"/>
    <tableColumn id="8" xr3:uid="{851C8CA8-D257-4BFB-B6BE-D82354200CA7}" name="3" dataDxfId="961"/>
    <tableColumn id="9" xr3:uid="{AE769B63-903F-46E5-A3F0-8DA27C689974}" name="4" dataDxfId="960"/>
    <tableColumn id="10" xr3:uid="{D09A5961-EE10-491A-BFFE-C5ABD80598A8}" name="5" dataDxfId="959"/>
    <tableColumn id="11" xr3:uid="{EC4AF483-303E-4488-AFA2-DD9A058F071A}" name="6" dataDxfId="958"/>
    <tableColumn id="34" xr3:uid="{F6E6C24B-7E77-44DE-A429-8772A086A17D}" name="7"/>
    <tableColumn id="35" xr3:uid="{540EBBE4-58F9-4FD8-A106-09325114CA0D}" name="8"/>
    <tableColumn id="37" xr3:uid="{A56C4470-27EB-41C5-B375-6CBDE15CF89F}" name="9"/>
    <tableColumn id="30" xr3:uid="{6270B081-7B7A-4728-BAB1-F56DC6E6E305}" name="10"/>
    <tableColumn id="31" xr3:uid="{F20AEF62-46F3-4D41-A357-869B076B1590}" name="11"/>
    <tableColumn id="32" xr3:uid="{C4018A7D-2001-4E45-B964-C1A8AA3560B9}" name="12"/>
    <tableColumn id="33" xr3:uid="{79B3F741-48E6-4647-9187-D1CD4AFD6B27}" name="13"/>
    <tableColumn id="26" xr3:uid="{AC2DC7EC-A0C8-403A-81EE-2A311A2663CB}" name="14"/>
    <tableColumn id="27" xr3:uid="{361B5FCF-F4F9-49E3-A815-F307F113C03C}" name="15"/>
    <tableColumn id="28" xr3:uid="{4089BA70-A7D3-43EA-8981-70C095AD5609}" name="16"/>
    <tableColumn id="29" xr3:uid="{FA6EFB64-2E7B-42A5-8BAE-EDE4DD360674}" name="17"/>
    <tableColumn id="12" xr3:uid="{E0699685-C582-4C4A-A838-E66961F44487}" name="18" dataDxfId="957"/>
    <tableColumn id="13" xr3:uid="{377D024A-00DD-4A77-A549-5C6BEBE894D0}" name="19" dataDxfId="956"/>
    <tableColumn id="14" xr3:uid="{8FABF999-C8BA-4B7D-980A-2659F766178B}" name="20" dataDxfId="955"/>
    <tableColumn id="15" xr3:uid="{06AC6AD7-A191-47DD-AE3F-9A0525AF8DD6}" name="21" dataDxfId="954"/>
    <tableColumn id="16" xr3:uid="{BB465107-63D7-443B-8989-EF197F62D322}" name="22" dataDxfId="953"/>
    <tableColumn id="17" xr3:uid="{3DFE5CBD-1315-4CBA-A14E-1763583D7BEC}" name="23" dataDxfId="952"/>
    <tableColumn id="18" xr3:uid="{5DB3135E-36A1-4F0D-890E-50AC461B96C4}" name="24" dataDxfId="951"/>
    <tableColumn id="19" xr3:uid="{57CA79FE-F6A3-4697-8926-36322AD1BC6C}" name="25" dataDxfId="950"/>
    <tableColumn id="20" xr3:uid="{A99C4302-A806-4344-ABAF-AF753E7EF30D}" name="26" dataDxfId="949"/>
    <tableColumn id="21" xr3:uid="{D1C3F20A-0988-4CC4-8D06-ED3EE15A7AB1}" name="27" dataDxfId="948"/>
    <tableColumn id="22" xr3:uid="{ECEC5739-F3E4-44C4-9408-4DAA6DE5069C}" name="28" dataDxfId="947"/>
    <tableColumn id="23" xr3:uid="{CD77FB96-6C17-47A0-82BA-2ABEA1725A41}" name="29" dataDxfId="946"/>
    <tableColumn id="24" xr3:uid="{87D0EFA1-B9FB-444F-B737-EE4C1B838FBC}" name="30" dataDxfId="945"/>
    <tableColumn id="25" xr3:uid="{BF0F5A29-80D1-482F-9C53-48E4478A5F1D}" name="31" dataDxfId="944"/>
    <tableColumn id="3" xr3:uid="{51B2E01F-098B-4EAB-AB37-99A7A456DDF6}" name="CARTERA" dataDxfId="943"/>
  </tableColumns>
  <tableStyleInfo name="TableStyleMedium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8E2B3F9-662F-43E3-B2D7-EF047720147C}" name="Tabla61656667687071727374" displayName="Tabla61656667687071727374" ref="CK8:CO16" totalsRowShown="0" headerRowDxfId="942" dataDxfId="941">
  <autoFilter ref="CK8:CO16" xr:uid="{48E2B3F9-662F-43E3-B2D7-EF047720147C}"/>
  <tableColumns count="5">
    <tableColumn id="1" xr3:uid="{31EE75DE-2574-4FED-AE5C-102BACD54839}" name="VISTA" dataDxfId="940"/>
    <tableColumn id="2" xr3:uid="{5D48C081-2B85-4A2C-B334-4EFE9F1D31D4}" name="1" dataDxfId="939"/>
    <tableColumn id="3" xr3:uid="{48F2F8E6-86C2-4EB7-B42C-6C436443A10C}" name="2" dataDxfId="938"/>
    <tableColumn id="4" xr3:uid="{F2194CAB-7275-4416-B293-5EB972058E9D}" name="3" dataDxfId="937"/>
    <tableColumn id="14" xr3:uid="{00A2B7A6-F441-48AC-9C48-2016F4FEC44D}" name="4" dataDxfId="936"/>
  </tableColumns>
  <tableStyleInfo name="TableStyleMedium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16CEBCE-101B-42C2-A45C-8113A647428A}" name="D1_AGOSTO_2025" displayName="D1_AGOSTO_2025" ref="A2:K91" totalsRowShown="0" dataDxfId="934" headerRowBorderDxfId="935" tableBorderDxfId="933">
  <autoFilter ref="A2:K91" xr:uid="{816CEBCE-101B-42C2-A45C-8113A647428A}"/>
  <tableColumns count="11">
    <tableColumn id="1" xr3:uid="{596664E6-24CF-4AF3-A84D-121AC4745B4C}" name="SUPER" dataDxfId="932"/>
    <tableColumn id="6" xr3:uid="{CA4B13E9-2CAB-42E2-A028-4DFB844CF726}" name="ASESOR_CRR" dataDxfId="931"/>
    <tableColumn id="2" xr3:uid="{B3C2F90C-6F59-4998-9F82-960596BF09D8}" name="META" dataDxfId="930">
      <calculatedColumnFormula>VLOOKUP(D1_AGOSTO_2025[[#This Row],[SUPER]],DATA_AGOSTO_2025[[SUPERVISOR]:[META]],3,0)</calculatedColumnFormula>
    </tableColumn>
    <tableColumn id="3" xr3:uid="{6CE379C4-19C8-4C90-81DB-EA83E873B03A}" name="ALCANCE" dataDxfId="929"/>
    <tableColumn id="7" xr3:uid="{28AC502F-3113-4B59-AA88-4F9E0E7D938B}" name="SUPER2" dataDxfId="928"/>
    <tableColumn id="4" xr3:uid="{9AE19661-0B03-4D03-9661-4B81FCE456D3}" name="ASESOR" dataDxfId="927"/>
    <tableColumn id="5" xr3:uid="{9CCAC285-FD2E-415B-BE6E-AD7E20CECF29}" name="RECUPERO" dataDxfId="926">
      <calculatedColumnFormula>VLOOKUP(D1_AGOSTO_2025[[#This Row],[ASESOR]],$E$95:$F$176,2,0)</calculatedColumnFormula>
    </tableColumn>
    <tableColumn id="8" xr3:uid="{043E81D5-B688-480A-9A28-C451E6CC8ACE}" name="DNI" dataDxfId="925"/>
    <tableColumn id="9" xr3:uid="{1F9CE105-EFA8-4FFE-9C5C-0AB581B961DE}" name="FECHA DE INICIO" dataDxfId="924"/>
    <tableColumn id="10" xr3:uid="{6CA7DA08-8CCF-441D-AE86-422E2259780A}" name="ESTADO" dataDxfId="923"/>
    <tableColumn id="11" xr3:uid="{9109CC4D-CC03-42BB-8F60-09A0400B4073}" name="SEGMENTO" dataDxfId="922"/>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356FA9-1639-4BCD-8041-CDF840B60928}" name="DATA_AGOSTO_2025" displayName="DATA_AGOSTO_2025" ref="M8:AX89" totalsRowShown="0" headerRowDxfId="921" headerRowBorderDxfId="920" tableBorderDxfId="919">
  <autoFilter ref="M8:AX89" xr:uid="{DB356FA9-1639-4BCD-8041-CDF840B60928}"/>
  <sortState xmlns:xlrd2="http://schemas.microsoft.com/office/spreadsheetml/2017/richdata2" ref="M9:AX89">
    <sortCondition ref="R8:R89"/>
  </sortState>
  <tableColumns count="38">
    <tableColumn id="2" xr3:uid="{1BEFB030-F8FC-467E-8D03-CF9E8433E11F}" name="AL_AC" dataDxfId="918">
      <calculatedColumnFormula>DATA_AGOSTO_2025[[#This Row],[RECUPERO]]/DATA_AGOSTO_2025[[#This Row],[META]]</calculatedColumnFormula>
    </tableColumn>
    <tableColumn id="3" xr3:uid="{88C3CECE-F881-4C05-BA2B-95B253894A39}" name="Q_ALC" dataDxfId="917">
      <calculatedColumnFormula>6-ROUNDUP(_xlfn.RANK.EQ(DATA_AGOSTO_2025[[#This Row],[AL_AC]],DATA_AGOSTO_2025[AL_AC],0)/(COUNTA(DATA_AGOSTO_2025[AL_AC])/5),0)</calculatedColumnFormula>
    </tableColumn>
    <tableColumn id="1" xr3:uid="{F581F4DA-B6F3-4641-93F9-FB4CABD3B045}" name="SUPERVISOR" dataDxfId="916"/>
    <tableColumn id="6" xr3:uid="{40820BC6-7E2D-416A-AC23-B4520FC0957D}" name="RECUPERO" dataDxfId="915">
      <calculatedColumnFormula>SUM(DATA_AGOSTO_2025[[#This Row],[1]:[31]])</calculatedColumnFormula>
    </tableColumn>
    <tableColumn id="7" xr3:uid="{F7BC8835-EC2E-4047-8AE9-C742ABE03445}" name="META" dataDxfId="914"/>
    <tableColumn id="5" xr3:uid="{22298E20-98EB-421A-8978-F019348D2A10}" name="ASER_" dataDxfId="913"/>
    <tableColumn id="38" xr3:uid="{FF0DBA87-E365-4148-9A70-8055067BE790}" name="1"/>
    <tableColumn id="41" xr3:uid="{CDD13153-D49A-4AA0-AEE6-E517BBDF361B}" name="2"/>
    <tableColumn id="39" xr3:uid="{F65D07A1-2701-4C1E-BF4E-6974B9DBF3BA}" name="3"/>
    <tableColumn id="40" xr3:uid="{8ABEDA2D-A277-4ED8-AAD6-FD42F448063D}" name="4"/>
    <tableColumn id="35" xr3:uid="{388846F6-98A7-4170-8ECA-8A71503DA284}" name="5"/>
    <tableColumn id="36" xr3:uid="{36F0C572-9BCC-4BD4-9589-71AD26BF223C}" name="6"/>
    <tableColumn id="37" xr3:uid="{E27209C3-0147-4A3A-AFAA-82FC58D7A6C9}" name="7"/>
    <tableColumn id="32" xr3:uid="{40752570-39E5-47C1-BE54-5558FEE3F194}" name="8"/>
    <tableColumn id="33" xr3:uid="{98F92864-E6F8-4B27-939A-A5A46A707EF2}" name="9"/>
    <tableColumn id="34" xr3:uid="{18C4771D-B1EF-42E9-AE70-C557C80D8E45}" name="10"/>
    <tableColumn id="29" xr3:uid="{895F2450-0F0C-4C68-9F5A-7E1B1E575727}" name="11"/>
    <tableColumn id="30" xr3:uid="{7614ACA6-16E7-4562-81A0-196C1F9455E6}" name="12"/>
    <tableColumn id="31" xr3:uid="{57B0FE8D-47DF-47B6-8E50-53EE1F44BA7F}" name="13"/>
    <tableColumn id="26" xr3:uid="{ED8816AC-DE01-46C0-B0EF-18B06B156BFA}" name="14"/>
    <tableColumn id="27" xr3:uid="{714063E7-2305-4DBD-B684-134513BF22D1}" name="15"/>
    <tableColumn id="28" xr3:uid="{7A4F4513-D638-456D-BFDE-29142EFE1092}" name="16"/>
    <tableColumn id="23" xr3:uid="{C8442DF6-4773-406B-9F92-4C98A332AE98}" name="17"/>
    <tableColumn id="24" xr3:uid="{02D62448-9052-4D3C-AD1C-D8DBF51CB2D6}" name="18"/>
    <tableColumn id="25" xr3:uid="{46B291B6-EB8D-4F0A-80A7-470A494BAC6A}" name="19"/>
    <tableColumn id="20" xr3:uid="{110277CD-91B6-4323-904F-FF8B7A37A145}" name="20"/>
    <tableColumn id="21" xr3:uid="{F84149FF-4EFA-4C3F-B55E-C508ACF363C6}" name="21"/>
    <tableColumn id="22" xr3:uid="{13902CDB-7312-4ADF-A877-F657DC99A1E6}" name="22"/>
    <tableColumn id="17" xr3:uid="{CA4677AB-230F-4300-ADC6-1C08C0886EED}" name="23"/>
    <tableColumn id="18" xr3:uid="{382B6992-0178-4913-B97A-13564C6FB482}" name="24"/>
    <tableColumn id="19" xr3:uid="{09BA7C32-F7CE-4FB9-AB8B-8A9B09621A90}" name="25"/>
    <tableColumn id="14" xr3:uid="{405AD981-E835-4ABC-AEF0-FF8E43B05006}" name="26"/>
    <tableColumn id="15" xr3:uid="{0E14C6A3-ABB8-439E-99DB-ECC9D06A42E5}" name="27"/>
    <tableColumn id="16" xr3:uid="{F9E22644-4563-4D25-AC04-DECE3082FA50}" name="28"/>
    <tableColumn id="11" xr3:uid="{AC449C9C-9A63-44C9-A6B5-CE9F13BE3BB4}" name="29"/>
    <tableColumn id="12" xr3:uid="{51CFED1F-C480-40DD-8361-98198AE61FEF}" name="30"/>
    <tableColumn id="13" xr3:uid="{0F9F2044-4204-4BD1-9DA1-8C8732A25F43}" name="31"/>
    <tableColumn id="4" xr3:uid="{F509A7E9-F54E-4D91-BB48-3E4B1A6507B7}" name="CARTERA ASESOR" dataDxfId="912"/>
  </tableColumns>
  <tableStyleInfo name="TableStyleMedium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0430F39-92FE-4ECF-9803-071C2A54AA46}" name="DITE_AGOSTO_2025" displayName="DITE_AGOSTO_2025" ref="AZ8:CI16" totalsRowShown="0" headerRowDxfId="911" dataDxfId="909" headerRowBorderDxfId="910" tableBorderDxfId="908" totalsRowBorderDxfId="907">
  <autoFilter ref="AZ8:CI16" xr:uid="{90430F39-92FE-4ECF-9803-071C2A54AA46}"/>
  <sortState xmlns:xlrd2="http://schemas.microsoft.com/office/spreadsheetml/2017/richdata2" ref="AZ9:CI16">
    <sortCondition ref="BC8:BC16"/>
  </sortState>
  <tableColumns count="36">
    <tableColumn id="5" xr3:uid="{0F1D2B08-548B-4035-A7F1-689294B1B15E}" name="META SUPER" dataDxfId="906"/>
    <tableColumn id="1" xr3:uid="{D853C78B-294B-4C5B-87F9-8B837DBCA858}" name="RECUPERO SUPERVISOR" dataDxfId="905">
      <calculatedColumnFormula>MAX(DITE_AGOSTO_2025[[#This Row],[1]:[31]])</calculatedColumnFormula>
    </tableColumn>
    <tableColumn id="2" xr3:uid="{A6B49739-8C7F-42B7-AB2B-2D9B8785D8A7}" name="ALCANCE SUPERVISOR" dataDxfId="904">
      <calculatedColumnFormula>DITE_AGOSTO_2025[[#This Row],[RECUPERO SUPERVISOR]]/DITE_AGOSTO_2025[[#This Row],[META SUPER]]</calculatedColumnFormula>
    </tableColumn>
    <tableColumn id="4" xr3:uid="{96D2A1C2-9EA3-4132-B41A-8B57BBB00DD3}" name="SUPER" dataDxfId="903"/>
    <tableColumn id="6" xr3:uid="{49EEE6CA-AF7B-4615-AE46-CA713F4E9209}" name="1" dataDxfId="902"/>
    <tableColumn id="7" xr3:uid="{61649C96-BFE5-4D18-BCE1-727E2E74D883}" name="2" dataDxfId="901"/>
    <tableColumn id="8" xr3:uid="{3D095B63-6086-4E9E-85B2-511507890CD8}" name="3" dataDxfId="900"/>
    <tableColumn id="9" xr3:uid="{36CD21E6-51F3-49C9-8448-36B269029EF6}" name="4" dataDxfId="899"/>
    <tableColumn id="10" xr3:uid="{D4DBAD01-5AE1-474A-AF64-A98DFD56153A}" name="5" dataDxfId="898"/>
    <tableColumn id="11" xr3:uid="{FDF3CA30-E7DF-4684-9747-03744CC16AAE}" name="6" dataDxfId="897"/>
    <tableColumn id="34" xr3:uid="{2F0A16B2-2BD3-44A7-8EA9-E1026A8447D3}" name="7"/>
    <tableColumn id="35" xr3:uid="{9B8F0E39-8A8E-4298-98EC-C4E37A4980DE}" name="8"/>
    <tableColumn id="36" xr3:uid="{CE93A24D-7614-4712-8536-FE067E17C04D}" name="9"/>
    <tableColumn id="30" xr3:uid="{29C7F79A-E182-44B3-A5FB-24C828374231}" name="10"/>
    <tableColumn id="31" xr3:uid="{0D15202C-83BA-40C0-B63C-ECED2D704367}" name="11"/>
    <tableColumn id="32" xr3:uid="{4EC5D136-4412-4B05-B498-0D2CE34C6BE0}" name="12"/>
    <tableColumn id="33" xr3:uid="{B09C62B7-4441-4FDE-9D8F-753825023974}" name="13"/>
    <tableColumn id="26" xr3:uid="{BDBAC8BA-3F49-4ED6-A16B-90D69C5336FC}" name="14"/>
    <tableColumn id="27" xr3:uid="{2FC610F8-8BF3-4A83-A7E0-9A4926002CF4}" name="15"/>
    <tableColumn id="28" xr3:uid="{94455834-5FAE-4613-87B6-4EFCF094AC0B}" name="16"/>
    <tableColumn id="29" xr3:uid="{4A6D6919-B078-4A74-9586-7A891E8DF118}" name="17"/>
    <tableColumn id="12" xr3:uid="{0D320307-8BC6-475A-9E12-91C32320EC74}" name="18" dataDxfId="896"/>
    <tableColumn id="13" xr3:uid="{55EA3D15-E74B-4AB3-B0D5-B387C3EAAB83}" name="19" dataDxfId="895"/>
    <tableColumn id="14" xr3:uid="{507E3CA9-692F-4A2D-BA96-B401D04EEDD0}" name="20" dataDxfId="894"/>
    <tableColumn id="15" xr3:uid="{E5F719C0-0646-408A-976E-C57966E876F4}" name="21" dataDxfId="893"/>
    <tableColumn id="16" xr3:uid="{8AC2AE0D-50EC-4387-A0A4-A1F2DF092A3C}" name="22" dataDxfId="892"/>
    <tableColumn id="17" xr3:uid="{7B1EE470-E258-4B37-BEC3-E798950632D8}" name="23" dataDxfId="891"/>
    <tableColumn id="18" xr3:uid="{F77C3800-E94B-4C32-A796-122D364094EA}" name="24" dataDxfId="890"/>
    <tableColumn id="19" xr3:uid="{0DA4161D-30F3-4E97-BCBB-4C1E891B36FB}" name="25" dataDxfId="889"/>
    <tableColumn id="20" xr3:uid="{94B916D9-415F-4F66-A6C0-0EE398A152E9}" name="26" dataDxfId="888"/>
    <tableColumn id="21" xr3:uid="{D814BC25-89A4-4A6B-B889-6BF06DD3D2EC}" name="27" dataDxfId="887"/>
    <tableColumn id="22" xr3:uid="{7DEFEDE7-498F-4CCF-A7C2-F63ACE1BA092}" name="28" dataDxfId="886"/>
    <tableColumn id="23" xr3:uid="{CA36A7C5-BBBD-47FB-AAB4-1F5CBDA1EE93}" name="29" dataDxfId="885"/>
    <tableColumn id="24" xr3:uid="{958DFD93-9566-47EC-807E-E21861CB1F39}" name="30" dataDxfId="884"/>
    <tableColumn id="25" xr3:uid="{C690FBB6-6A9F-4B4D-AEF8-49C27DFF4FCF}" name="31" dataDxfId="883"/>
    <tableColumn id="3" xr3:uid="{C5283215-E8BB-41D8-B093-AA31F8252394}" name="CARTERA" dataDxfId="882"/>
  </tableColumns>
  <tableStyleInfo name="TableStyleMedium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F87BB197-1AE0-4BDF-9FA2-D3F0B9DD04D0}" name="Tabla616566676870717273" displayName="Tabla616566676870717273" ref="CK8:CO16" totalsRowShown="0" headerRowDxfId="881" dataDxfId="880">
  <autoFilter ref="CK8:CO16" xr:uid="{F87BB197-1AE0-4BDF-9FA2-D3F0B9DD04D0}"/>
  <tableColumns count="5">
    <tableColumn id="1" xr3:uid="{AA5ECB22-5212-4662-845A-8A24E801A51F}" name="VISTA" dataDxfId="879"/>
    <tableColumn id="2" xr3:uid="{78D9D13B-EF75-45F0-93B7-BAA08E0B7ABC}" name="1" dataDxfId="878"/>
    <tableColumn id="3" xr3:uid="{3CE791BD-7328-44DB-9BFA-5D8BF570A949}" name="2" dataDxfId="877"/>
    <tableColumn id="4" xr3:uid="{49E31886-56A4-42DE-B2AE-EAB0409A548C}" name="3" dataDxfId="876"/>
    <tableColumn id="14" xr3:uid="{F061C5EE-AFA6-4BE4-B2E0-EA41297C9692}" name="4" dataDxfId="875"/>
  </tableColumns>
  <tableStyleInfo name="TableStyleMedium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11BC5E6-A71D-437E-ABD5-0E09FCDEF3FD}" name="D1_SETIEMBRE_2025" displayName="D1_SETIEMBRE_2025" ref="A2:I80" totalsRowShown="0" dataDxfId="873" headerRowBorderDxfId="874" tableBorderDxfId="872">
  <autoFilter ref="A2:I80" xr:uid="{111BC5E6-A71D-437E-ABD5-0E09FCDEF3FD}"/>
  <tableColumns count="9">
    <tableColumn id="1" xr3:uid="{EABDBA5F-3C1B-4AC8-8F40-8C9EED5560F3}" name="SUPER" dataDxfId="871"/>
    <tableColumn id="6" xr3:uid="{C37701A2-99CA-45B9-AA89-63D54C88C5B9}" name="ASESOR_CRR" dataDxfId="870"/>
    <tableColumn id="2" xr3:uid="{8360BA59-782B-4699-ABEA-458A3C9299AD}" name="RECUP" dataDxfId="869"/>
    <tableColumn id="3" xr3:uid="{BD5C8833-8CBB-40D9-BC66-F164208CFEC0}" name="ALCANCE" dataDxfId="868"/>
    <tableColumn id="7" xr3:uid="{07FA8551-F17A-4D20-BAC6-4B128B0ECF57}" name="SUPER2" dataDxfId="867"/>
    <tableColumn id="4" xr3:uid="{91470BB1-1A8E-4802-9D93-28E5A1DF6790}" name="ASESOR" dataDxfId="866"/>
    <tableColumn id="5" xr3:uid="{2B49EE5D-87EB-458C-99B1-7F94B8EDDE4B}" name="RECUPERO" dataDxfId="865"/>
    <tableColumn id="8" xr3:uid="{1A69791E-D827-4498-A9B8-C02ED9E8C0C0}" name="DNI" dataDxfId="864"/>
    <tableColumn id="9" xr3:uid="{17EC964E-623C-4526-9375-D1DFD0BBB147}" name="FECHA DE INGRESO" dataDxfId="863"/>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1775BD2-E36D-479B-95DE-48127C3410BC}" name="DATA_SETIEMBRE_2025" displayName="DATA_SETIEMBRE_2025" ref="J8:O86" totalsRowShown="0" headerRowDxfId="862" headerRowBorderDxfId="861" tableBorderDxfId="860">
  <autoFilter ref="J8:O86" xr:uid="{91775BD2-E36D-479B-95DE-48127C3410BC}"/>
  <tableColumns count="6">
    <tableColumn id="2" xr3:uid="{033A6CF7-EC22-4EEE-8FF0-8C343161421D}" name="AL_AC" dataDxfId="859"/>
    <tableColumn id="3" xr3:uid="{2234E43A-FB04-4BD5-A5FB-BE681630D39D}" name="CLASIFICACIÓN" dataDxfId="858"/>
    <tableColumn id="1" xr3:uid="{E68E03C4-584B-48EC-AA41-D10E171DF6E2}" name="SUPERVISOR" dataDxfId="857"/>
    <tableColumn id="6" xr3:uid="{8FEE60A3-7153-47ED-82A3-25E3E95BD5B9}" name="RECUPERO" dataDxfId="856"/>
    <tableColumn id="5" xr3:uid="{96DEFE26-B796-4F9F-BB26-62A9B1295009}" name="META" dataDxfId="855"/>
    <tableColumn id="4" xr3:uid="{98491906-C3E6-4CCF-96D0-36184A648156}" name="ASER_" dataDxfId="854"/>
  </tableColumns>
  <tableStyleInfo name="TableStyleMedium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03330B9-97D2-48C8-8B43-740321917DA5}" name="DITE_SETIEMBRE_2025" displayName="DITE_SETIEMBRE_2025" ref="Q8:AQ16" totalsRowShown="0" headerRowDxfId="853" dataDxfId="851" headerRowBorderDxfId="852" tableBorderDxfId="850" totalsRowBorderDxfId="849">
  <autoFilter ref="Q8:AQ16" xr:uid="{B03330B9-97D2-48C8-8B43-740321917DA5}"/>
  <tableColumns count="27">
    <tableColumn id="5" xr3:uid="{4E3B6BB8-3B21-487C-8667-D21D7F0B0DDF}" name="META SUPER" dataDxfId="848"/>
    <tableColumn id="1" xr3:uid="{C390EAAF-612A-443A-A32B-07A66CB5EF93}" name="RECUPERO SUPERVISOR" dataDxfId="847"/>
    <tableColumn id="2" xr3:uid="{BF66D468-0BA9-433F-A558-DB3EB49638C0}" name="ALCANCE SUPERVISOR" dataDxfId="846"/>
    <tableColumn id="4" xr3:uid="{833C2FF4-09CC-46A1-B127-078899129ED2}" name="SUPER" dataDxfId="845"/>
    <tableColumn id="6" xr3:uid="{7268ABE3-61CC-4084-9F8D-F9F866838337}" name="1-Set" dataDxfId="844"/>
    <tableColumn id="7" xr3:uid="{934984E8-2516-4844-B21B-29330A07EEE9}" name="2-Set" dataDxfId="843"/>
    <tableColumn id="8" xr3:uid="{5F8B97B9-8D43-4455-9D8F-E58FD0EDAC17}" name="3-Set" dataDxfId="842"/>
    <tableColumn id="9" xr3:uid="{85D24C9E-9252-4D30-9E54-18DBF77A6C70}" name="4-Set" dataDxfId="841"/>
    <tableColumn id="10" xr3:uid="{5A78F08C-1794-450A-88A4-F02CE65D2409}" name="5-Set" dataDxfId="840"/>
    <tableColumn id="11" xr3:uid="{C9868C58-D704-4A31-95DB-6D8FBCC63D90}" name="8-Set" dataDxfId="839"/>
    <tableColumn id="12" xr3:uid="{5A69AB6F-1CBE-456F-9AB1-9CFA02551564}" name="9-Set" dataDxfId="838"/>
    <tableColumn id="13" xr3:uid="{2FB09AC7-C3A6-45CD-8892-0B683DF946C3}" name="10-Set" dataDxfId="837"/>
    <tableColumn id="14" xr3:uid="{B8720ED9-AC2B-41EC-BFA3-A12BF9C966CC}" name="11-Set" dataDxfId="836"/>
    <tableColumn id="15" xr3:uid="{31CBBA73-A7BD-468C-BD0B-435687D2ACAD}" name="12-Set" dataDxfId="835"/>
    <tableColumn id="16" xr3:uid="{02C13EA1-381F-4C2D-B917-AF0FF1A9F773}" name="15-Set" dataDxfId="834"/>
    <tableColumn id="17" xr3:uid="{E6B04D90-5126-40CD-BDA1-E2B120BAD73C}" name="16-Set" dataDxfId="833"/>
    <tableColumn id="18" xr3:uid="{7CB5014E-CB0D-4F8A-A9D7-BD9A166A1B37}" name="17-Set" dataDxfId="832"/>
    <tableColumn id="19" xr3:uid="{040ABF10-1BFC-447A-AE21-D052CBC2ED82}" name="18-Set" dataDxfId="831"/>
    <tableColumn id="20" xr3:uid="{44DFBCB9-0C1E-48F5-ACC2-AC0990D1520D}" name="19-Set" dataDxfId="830"/>
    <tableColumn id="21" xr3:uid="{AFFC2ABC-F24F-4F16-B5DD-03747097DBCC}" name="22-Set" dataDxfId="829"/>
    <tableColumn id="22" xr3:uid="{E8A652BF-A601-498B-965E-DF95F032A19E}" name="23-Set" dataDxfId="828"/>
    <tableColumn id="23" xr3:uid="{E1A1F3EC-A932-4B54-BD80-6B3004BAC18C}" name="24-Set" dataDxfId="827"/>
    <tableColumn id="24" xr3:uid="{7F5C1B88-4DF8-4775-AEFB-F5F5D12AD778}" name="25-Set" dataDxfId="826"/>
    <tableColumn id="25" xr3:uid="{B40C371A-A255-4AD7-B43D-47350B1FF421}" name="26-Set" dataDxfId="825"/>
    <tableColumn id="26" xr3:uid="{AFFE8D31-2DD6-4039-8ED5-AD63D5758F88}" name="29-Set" dataDxfId="824"/>
    <tableColumn id="27" xr3:uid="{041693B7-E11C-4B55-8C93-8CFB39922E84}" name="30-Set" dataDxfId="823"/>
    <tableColumn id="3" xr3:uid="{1DAB60E5-FA3D-4422-89D0-AD46643BF45E}" name="CARTERA" dataDxfId="822"/>
  </tableColumns>
  <tableStyleInfo name="TableStyleMedium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38E234-E304-4CD8-A847-B72CD7C8B45D}" name="D1_OCTUBRE_2025" displayName="D1_OCTUBRE_2025" ref="A2:K79" totalsRowShown="0">
  <autoFilter ref="A2:K79" xr:uid="{4538E234-E304-4CD8-A847-B72CD7C8B45D}"/>
  <tableColumns count="11">
    <tableColumn id="1" xr3:uid="{50470B3C-4850-458E-BED8-112F63BB3ACF}" name="SUPER"/>
    <tableColumn id="2" xr3:uid="{F731A8EB-194B-44CE-89D7-4F18061B7145}" name="ASESOR_CRR"/>
    <tableColumn id="3" xr3:uid="{6FF7DD0E-9E2A-41C7-B49D-2C313D6FADFD}" name="META">
      <calculatedColumnFormula>VLOOKUP(D1_OCTUBRE_2025[[#This Row],[SUPER]],DATA_OCTUBRE_2025[[SUPERVISOR]:[META]],3,0)</calculatedColumnFormula>
    </tableColumn>
    <tableColumn id="4" xr3:uid="{E417C796-F642-4AC0-8458-3581DED35D66}" name="ALCANCE"/>
    <tableColumn id="7" xr3:uid="{F46948D5-7B54-49FD-BACD-B4A450201DC0}" name="SUPER2" dataDxfId="821"/>
    <tableColumn id="5" xr3:uid="{2D06A3B4-3271-49A3-9C7C-FFC311CAB0D8}" name="ASESOR"/>
    <tableColumn id="6" xr3:uid="{7C83291E-5126-4377-B991-EBB23328360F}" name="RECUPERO" dataDxfId="820">
      <calculatedColumnFormula>VLOOKUP(D1_OCTUBRE_2025[[#This Row],[ASESOR]],F78:$G$155,2,0)</calculatedColumnFormula>
    </tableColumn>
    <tableColumn id="8" xr3:uid="{7F2D2756-92A6-4522-A15C-2F10A82AAD95}" name="DNI" dataDxfId="819"/>
    <tableColumn id="9" xr3:uid="{B01E98C6-A76C-417B-B7FA-B0F1C8C2C7C6}" name="FECHA DE INICIO" dataDxfId="818"/>
    <tableColumn id="10" xr3:uid="{DEB6156D-2B0C-4157-8EE4-0EE1578CCF4A}" name="ESTADO" dataDxfId="817"/>
    <tableColumn id="11" xr3:uid="{56024D6A-95F1-4F7F-B3A6-E65219AA67FD}" name="SEGMENTO"/>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9F0A99F2-3C50-482B-B8B8-6D475831019E}" name="DATA_OCTUBRE_2025" displayName="DATA_OCTUBRE_2025" ref="M8:AX79" totalsRowShown="0" headerRowBorderDxfId="816" tableBorderDxfId="815">
  <autoFilter ref="M8:AX79" xr:uid="{9F0A99F2-3C50-482B-B8B8-6D475831019E}"/>
  <sortState xmlns:xlrd2="http://schemas.microsoft.com/office/spreadsheetml/2017/richdata2" ref="M9:AX79">
    <sortCondition ref="R8:R79"/>
  </sortState>
  <tableColumns count="38">
    <tableColumn id="2" xr3:uid="{FD017399-1781-4BF7-BF22-C61DBDB7CC6F}" name="AL_AC" dataDxfId="814">
      <calculatedColumnFormula>DATA_OCTUBRE_2025[[#This Row],[RECUPERO]]/DATA_OCTUBRE_2025[[#This Row],[META]]</calculatedColumnFormula>
    </tableColumn>
    <tableColumn id="3" xr3:uid="{EE681579-D463-48E9-A57F-B73D04925E37}" name="Q_ALC" dataDxfId="813">
      <calculatedColumnFormula>6-ROUNDUP(_xlfn.RANK.EQ(DATA_OCTUBRE_2025[[#This Row],[AL_AC]],DATA_OCTUBRE_2025[AL_AC],0)/(COUNTA(DATA_OCTUBRE_2025[AL_AC])/5),0)</calculatedColumnFormula>
    </tableColumn>
    <tableColumn id="1" xr3:uid="{DDD85E5B-35ED-4EC0-8A85-7316C4176729}" name="SUPERVISOR" dataDxfId="812"/>
    <tableColumn id="6" xr3:uid="{3B45E8CF-4BCD-492C-B1A3-3E157855AA4E}" name="RECUPERO" dataDxfId="811">
      <calculatedColumnFormula>SUM(DATA_OCTUBRE_2025[[#This Row],[1]:[31]])</calculatedColumnFormula>
    </tableColumn>
    <tableColumn id="7" xr3:uid="{2D762908-0860-493B-A482-9514EAD41E9B}" name="META" dataDxfId="810"/>
    <tableColumn id="4" xr3:uid="{B03F71B4-D73E-47CB-8F19-B1EBCB980D51}" name="ASER_" dataDxfId="809"/>
    <tableColumn id="8" xr3:uid="{DADEF8E1-B4EF-4A54-BDEA-772F65B2659B}" name="1" dataDxfId="808"/>
    <tableColumn id="9" xr3:uid="{09759773-B387-4885-980B-3377FCF2784C}" name="2" dataDxfId="807"/>
    <tableColumn id="10" xr3:uid="{0BEF3C74-7822-4935-9DEF-DBB8EF94B2E8}" name="3" dataDxfId="806"/>
    <tableColumn id="11" xr3:uid="{AB623BA8-8BC3-4899-82B4-0D2F75C64AC1}" name="4" dataDxfId="805"/>
    <tableColumn id="12" xr3:uid="{F3FF380C-FA1C-400D-953D-2426EC1D78FF}" name="5" dataDxfId="804"/>
    <tableColumn id="13" xr3:uid="{513A526B-B8DC-4F0A-BB71-A3C5DCBEE598}" name="6" dataDxfId="803"/>
    <tableColumn id="14" xr3:uid="{FE79AC7F-62E7-4115-BE1B-AAF936521653}" name="7" dataDxfId="802"/>
    <tableColumn id="15" xr3:uid="{68C170E4-F271-468B-91F8-3408D287CC52}" name="8" dataDxfId="801"/>
    <tableColumn id="16" xr3:uid="{AD7DCB27-1227-49CE-B962-67316F312A49}" name="9" dataDxfId="800"/>
    <tableColumn id="17" xr3:uid="{A28A426F-20DF-4E28-817D-D45F6DE67B10}" name="10" dataDxfId="799"/>
    <tableColumn id="18" xr3:uid="{E8A185AF-1E28-4F0F-9855-74F54DBD006B}" name="11" dataDxfId="798"/>
    <tableColumn id="19" xr3:uid="{63732328-29EA-40C6-ACD8-4B4DD4B4CF86}" name="12" dataDxfId="797"/>
    <tableColumn id="36" xr3:uid="{4CC706A0-B8D5-4CA8-ACDB-ACCDE0C698F5}" name="13"/>
    <tableColumn id="37" xr3:uid="{F6F08283-1787-4C3E-A048-07C91C8B01B7}" name="14"/>
    <tableColumn id="38" xr3:uid="{7E715B7B-81E7-49AB-81D6-1F7F0D30B4AA}" name="15"/>
    <tableColumn id="33" xr3:uid="{B0585B58-2650-49DC-8900-A24AD03F0F46}" name="16"/>
    <tableColumn id="34" xr3:uid="{C6D3EEBD-0034-42C5-A901-605B5DE28114}" name="17"/>
    <tableColumn id="35" xr3:uid="{DAD44D6C-ABE5-4802-9856-4D1EC1955354}" name="18"/>
    <tableColumn id="30" xr3:uid="{C493E15D-D90E-4C24-90AC-933E69AF3551}" name="19"/>
    <tableColumn id="31" xr3:uid="{7C83851E-1CAA-4051-944A-F0FBC47F2019}" name="20"/>
    <tableColumn id="32" xr3:uid="{F599C097-5688-4A99-A6E3-08F7411C04FC}" name="21"/>
    <tableColumn id="20" xr3:uid="{310FCF67-D23C-4020-A281-2A5E20DFB23F}" name="22" dataDxfId="796"/>
    <tableColumn id="21" xr3:uid="{C17C4587-18F5-4FBD-868F-EBEC86A07A20}" name="23" dataDxfId="795"/>
    <tableColumn id="22" xr3:uid="{A943FEC5-F867-455B-820F-28C4395DB276}" name="24" dataDxfId="794"/>
    <tableColumn id="23" xr3:uid="{A8FFD2FC-7F1E-4386-AF41-D5EEEF19CDD0}" name="25" dataDxfId="793"/>
    <tableColumn id="24" xr3:uid="{ADF6FE87-D285-4286-AA45-3909EFB078E5}" name="26" dataDxfId="792"/>
    <tableColumn id="25" xr3:uid="{2F0BE83F-F151-4F99-839F-143CA77B5B85}" name="27" dataDxfId="791"/>
    <tableColumn id="26" xr3:uid="{380107E6-E719-4EEB-80BE-3FC920AAB0D8}" name="28" dataDxfId="790"/>
    <tableColumn id="27" xr3:uid="{E4578405-DBB6-4571-976F-D9686E90472D}" name="29" dataDxfId="789"/>
    <tableColumn id="28" xr3:uid="{C03A0B6A-D740-474A-B5C0-16AD1C50D0EF}" name="30" dataDxfId="788"/>
    <tableColumn id="29" xr3:uid="{ABC45238-95B8-44E1-B32D-323E0E09BD1E}" name="31" dataDxfId="787"/>
    <tableColumn id="5" xr3:uid="{DFC53255-43CA-45C9-9269-4215B54AB062}" name="CARTERA ASESOR" dataDxfId="786"/>
  </tableColumns>
  <tableStyleInfo name="TableStyleMedium1"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54078F-00B5-453B-BA4F-96D1B0651C11}" name="DITE_OCTUBRE_2025" displayName="DITE_OCTUBRE_2025" ref="AZ8:CI16" totalsRowShown="0" headerRowDxfId="785" dataDxfId="783" headerRowBorderDxfId="784" tableBorderDxfId="782" totalsRowBorderDxfId="781">
  <autoFilter ref="AZ8:CI16" xr:uid="{5954078F-00B5-453B-BA4F-96D1B0651C11}"/>
  <sortState xmlns:xlrd2="http://schemas.microsoft.com/office/spreadsheetml/2017/richdata2" ref="AZ9:CI16">
    <sortCondition ref="BC8:BC16"/>
  </sortState>
  <tableColumns count="36">
    <tableColumn id="5" xr3:uid="{FF5E1E87-686F-47B4-BFF5-1EFD8B824238}" name="META SUPER" dataDxfId="780">
      <calculatedColumnFormula>VLOOKUP($M$3&amp;$N$3&amp;DITE_OCTUBRE_2025[[#This Row],[SUPER]],TablaMeta[],5,0)</calculatedColumnFormula>
    </tableColumn>
    <tableColumn id="1" xr3:uid="{2B34CFC4-0C9F-41CE-999A-2588C7446A9F}" name="RECUPERO SUPERVISOR" dataDxfId="779">
      <calculatedColumnFormula>MAX(DITE_OCTUBRE_2025[[#This Row],[1]:[31]])</calculatedColumnFormula>
    </tableColumn>
    <tableColumn id="2" xr3:uid="{12F44D75-C159-4886-875E-F84E5B64A541}" name="ALCANCE SUPERVISOR" dataDxfId="778">
      <calculatedColumnFormula>IFERROR(DITE_OCTUBRE_2025[[#This Row],[RECUPERO SUPERVISOR]]/DITE_OCTUBRE_2025[[#This Row],[META SUPER]],"")</calculatedColumnFormula>
    </tableColumn>
    <tableColumn id="4" xr3:uid="{99DDEB85-0465-4D49-BF15-AB918777D8A1}" name="SUPER" dataDxfId="777"/>
    <tableColumn id="6" xr3:uid="{949DC2F4-4585-4646-A396-157D2DF8052D}" name="1" dataDxfId="776"/>
    <tableColumn id="7" xr3:uid="{97391D14-7779-42A7-9DB8-C0989C430B43}" name="2" dataDxfId="775"/>
    <tableColumn id="8" xr3:uid="{6354D769-4310-45AC-8145-E44CED72B4A9}" name="3" dataDxfId="774"/>
    <tableColumn id="9" xr3:uid="{4656D04C-0F05-4626-AF66-C82B40AEFAD8}" name="4" dataDxfId="773"/>
    <tableColumn id="10" xr3:uid="{7D1ED70B-0155-4C0E-8A2F-37B332A6F313}" name="5" dataDxfId="772"/>
    <tableColumn id="11" xr3:uid="{0111FAC8-499F-4CC3-8375-0BF99A4C35FA}" name="6" dataDxfId="771"/>
    <tableColumn id="12" xr3:uid="{C0C00B80-78A4-43E2-93D4-3EE00B3626FF}" name="7" dataDxfId="770"/>
    <tableColumn id="13" xr3:uid="{83880E56-1497-4302-8CA7-1D39E0DC1A97}" name="8" dataDxfId="769"/>
    <tableColumn id="14" xr3:uid="{BE01EA14-2F15-437D-A238-21FF4B75A0DE}" name="9" dataDxfId="768"/>
    <tableColumn id="15" xr3:uid="{EB92F6CE-8ACE-4537-AECA-46B61474948E}" name="10" dataDxfId="767"/>
    <tableColumn id="16" xr3:uid="{6D6490DB-3DEB-438C-AB40-C97EC626F0BE}" name="11" dataDxfId="766"/>
    <tableColumn id="17" xr3:uid="{0392FF10-F85D-41D2-8460-C3A186218696}" name="12" dataDxfId="765"/>
    <tableColumn id="34" xr3:uid="{42D13143-FB96-413D-BE34-6129B7676BB6}" name="13"/>
    <tableColumn id="35" xr3:uid="{60788806-5085-424F-BC72-69A7F617EF04}" name="14"/>
    <tableColumn id="36" xr3:uid="{7CE21FAF-6177-4B87-B69C-310332B5C9AF}" name="15"/>
    <tableColumn id="31" xr3:uid="{A64E0ADA-712D-4AB0-BB24-62FD131DD043}" name="16"/>
    <tableColumn id="32" xr3:uid="{9A339B04-888D-4799-AE82-DE53EBA8C9CE}" name="17"/>
    <tableColumn id="33" xr3:uid="{CFB15174-6FDA-4F15-89AD-8D2914338314}" name="18"/>
    <tableColumn id="28" xr3:uid="{6F3E21F9-3E4F-409B-8FB4-07F94D5A5A54}" name="19"/>
    <tableColumn id="29" xr3:uid="{EEDE103B-0D2E-4341-A52F-7A9C3FACF5FA}" name="20"/>
    <tableColumn id="30" xr3:uid="{3745ECC7-ABA1-40E2-9802-12D2A2F9AB2C}" name="21"/>
    <tableColumn id="18" xr3:uid="{A5448450-2F70-4B3F-AA25-3C4713BF2DE8}" name="22" dataDxfId="764"/>
    <tableColumn id="19" xr3:uid="{3D252296-5BDD-4576-BACF-EBAA4EDD5204}" name="23" dataDxfId="763"/>
    <tableColumn id="20" xr3:uid="{23EB3C4F-7D5A-4D3B-8B24-D8DE6128BA5F}" name="24" dataDxfId="762"/>
    <tableColumn id="21" xr3:uid="{129CAF30-1851-4238-9880-454B24575BB9}" name="25" dataDxfId="761"/>
    <tableColumn id="22" xr3:uid="{72C02609-42DC-4EDE-B4E1-44D533A24355}" name="26" dataDxfId="760"/>
    <tableColumn id="23" xr3:uid="{9123D15C-9492-4356-8328-1BE17F140523}" name="27" dataDxfId="759"/>
    <tableColumn id="24" xr3:uid="{9D5D7ED1-F248-4C81-8326-BBA9C067C915}" name="28" dataDxfId="758"/>
    <tableColumn id="25" xr3:uid="{AF14494A-3DA5-4A85-BD20-353698E70147}" name="29" dataDxfId="757"/>
    <tableColumn id="26" xr3:uid="{B48EAE26-54B8-4E0C-A4A1-6956DA0D148E}" name="30" dataDxfId="756"/>
    <tableColumn id="27" xr3:uid="{85AC05C5-FE82-41A6-837C-F1F547FD8C2F}" name="31" dataDxfId="755"/>
    <tableColumn id="3" xr3:uid="{1CA2638D-96F9-4A0C-980A-6DAE6545AFFA}" name="CARTERA" dataDxfId="754">
      <calculatedColumnFormula>VLOOKUP($M$3&amp;$N$3&amp;DITE_OCTUBRE_2025[[#This Row],[SUPER]],TablaMeta[],7,0)</calculatedColumnFormula>
    </tableColumn>
  </tableColumns>
  <tableStyleInfo name="TableStyleMedium1"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9211B4A0-902C-4BD4-A5DB-E687501CE08A}" name="Tabla6165666768707172" displayName="Tabla6165666768707172" ref="CK8:CO16" totalsRowShown="0" headerRowDxfId="753" dataDxfId="752">
  <autoFilter ref="CK8:CO16" xr:uid="{9211B4A0-902C-4BD4-A5DB-E687501CE08A}"/>
  <tableColumns count="5">
    <tableColumn id="1" xr3:uid="{111A7011-E44E-4F30-B98C-C0F34C3642DB}" name="VISTA" dataDxfId="751"/>
    <tableColumn id="2" xr3:uid="{F44EAF0F-2208-4452-BDDF-B94BD519A138}" name="1" dataDxfId="750"/>
    <tableColumn id="3" xr3:uid="{7EA4C9C8-2C33-470C-B984-F87BB3B73DF4}" name="2" dataDxfId="749"/>
    <tableColumn id="4" xr3:uid="{41503B16-3616-416B-B675-DF94EA59F0E4}" name="3" dataDxfId="748"/>
    <tableColumn id="14" xr3:uid="{93119638-8316-4F94-859F-6035DCD3F8B8}" name="4" dataDxfId="747"/>
  </tableColumns>
  <tableStyleInfo name="TableStyleMedium1"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AB8FAFE-224D-43C2-8CC5-F1C1350990D2}" name="DATA_NOVIEMBRE_2025" displayName="DATA_NOVIEMBRE_2025" ref="M8:AX68" totalsRowShown="0" headerRowBorderDxfId="746" tableBorderDxfId="745">
  <autoFilter ref="M8:AX68" xr:uid="{DAB8FAFE-224D-43C2-8CC5-F1C1350990D2}"/>
  <sortState xmlns:xlrd2="http://schemas.microsoft.com/office/spreadsheetml/2017/richdata2" ref="M9:AX68">
    <sortCondition ref="R8:R68"/>
  </sortState>
  <tableColumns count="38">
    <tableColumn id="2" xr3:uid="{47BD346F-18D2-49E6-8AEE-939CBC049365}" name="AL_AC" dataDxfId="744">
      <calculatedColumnFormula>DATA_NOVIEMBRE_2025[[#This Row],[RECUPERO]]/DATA_NOVIEMBRE_2025[[#This Row],[META]]</calculatedColumnFormula>
    </tableColumn>
    <tableColumn id="3" xr3:uid="{855F5F44-294A-4871-9840-A24614956994}" name="Q_ALC" dataDxfId="743">
      <calculatedColumnFormula>6-ROUNDUP(_xlfn.RANK.EQ(DATA_NOVIEMBRE_2025[[#This Row],[AL_AC]],DATA_NOVIEMBRE_2025[AL_AC],0)/(COUNTA(DATA_NOVIEMBRE_2025[AL_AC])/5),0)</calculatedColumnFormula>
    </tableColumn>
    <tableColumn id="5" xr3:uid="{9D944B93-5BF5-4B70-A89F-707C3D5946DA}" name="SUPERVISOR" dataDxfId="742"/>
    <tableColumn id="6" xr3:uid="{C0A22187-40B7-435A-ABDA-27944F0D7030}" name="RECUPERO" dataDxfId="741">
      <calculatedColumnFormula>SUM(DATA_NOVIEMBRE_2025[[#This Row],[1]:[31]])</calculatedColumnFormula>
    </tableColumn>
    <tableColumn id="7" xr3:uid="{72E7F13E-9273-4AED-98D2-5508FB4A326C}" name="META" dataDxfId="740"/>
    <tableColumn id="30" xr3:uid="{CFEB99FE-9EED-4763-A696-5BC3DA916AC5}" name="ASER_"/>
    <tableColumn id="8" xr3:uid="{00AE5065-FE4D-45E6-A294-E826836A1E33}" name="1" dataDxfId="739"/>
    <tableColumn id="9" xr3:uid="{EF6C35AD-ACD8-4C7F-8937-91D53147656D}" name="2" dataDxfId="738"/>
    <tableColumn id="10" xr3:uid="{CF32F196-CA95-4750-A946-3E0AC1A85184}" name="3" dataDxfId="737"/>
    <tableColumn id="11" xr3:uid="{9F563EAD-A249-4851-B979-F5575DE957AB}" name="4" dataDxfId="736"/>
    <tableColumn id="12" xr3:uid="{D6A6323F-D160-499D-BD7C-7C323AE07CB0}" name="5" dataDxfId="735"/>
    <tableColumn id="35" xr3:uid="{A6016CE2-CF22-42A9-86E2-C81D43ABD5F6}" name="6"/>
    <tableColumn id="36" xr3:uid="{96DE0CCF-A330-4F0B-9E53-D98BD72875AB}" name="7"/>
    <tableColumn id="37" xr3:uid="{57A7EFDA-6B3C-4003-8D02-36FC814BC0DC}" name="8"/>
    <tableColumn id="38" xr3:uid="{80BD57C4-FA2E-499A-838A-04E335361527}" name="9"/>
    <tableColumn id="32" xr3:uid="{23594552-8011-4F76-9B87-29FE8D889D7E}" name="10"/>
    <tableColumn id="33" xr3:uid="{69E77714-551B-4022-B1E0-05080BD4CE7F}" name="11"/>
    <tableColumn id="34" xr3:uid="{7ABE82B3-76BC-4B32-A023-E3E52AA710F4}" name="12"/>
    <tableColumn id="4" xr3:uid="{1EE65734-D7DE-41B6-A85D-44FCE5463F17}" name="13"/>
    <tableColumn id="29" xr3:uid="{1E231A75-1324-4098-8BF9-A54AE8D8D3D5}" name="14"/>
    <tableColumn id="31" xr3:uid="{89A2934F-A786-4085-91B0-F0BB978F55DE}" name="15"/>
    <tableColumn id="13" xr3:uid="{D8839D7F-77FA-4448-ADBC-6D52D4F61BF2}" name="16" dataDxfId="734"/>
    <tableColumn id="14" xr3:uid="{46BCBBD6-EB67-46A1-A356-989FA4845EF7}" name="17" dataDxfId="733"/>
    <tableColumn id="15" xr3:uid="{B50A5F7B-5C7E-48C1-80DA-278B6510B811}" name="18" dataDxfId="732"/>
    <tableColumn id="16" xr3:uid="{05796B28-1DD1-422E-9658-78C2FB73FD83}" name="19" dataDxfId="731"/>
    <tableColumn id="17" xr3:uid="{DB0D6520-FFC2-440C-B97F-9604384ED84D}" name="20" dataDxfId="730"/>
    <tableColumn id="18" xr3:uid="{50423629-1D31-4CC8-B9D0-046394DFED68}" name="21" dataDxfId="729"/>
    <tableColumn id="19" xr3:uid="{80B70DB0-A059-4A28-A799-0529D6BF1263}" name="22" dataDxfId="728"/>
    <tableColumn id="20" xr3:uid="{CE0AE96C-2D78-4B18-ADD7-C86E26CE69AB}" name="23" dataDxfId="727"/>
    <tableColumn id="21" xr3:uid="{D6CA8ADF-F50B-4822-B7AD-A49AC8CD28E8}" name="24" dataDxfId="726"/>
    <tableColumn id="22" xr3:uid="{8D2522DF-F1BC-4031-89AD-8B4B3515396A}" name="25" dataDxfId="725"/>
    <tableColumn id="23" xr3:uid="{293ABA54-17AB-40AD-A5F9-E0308A358390}" name="26" dataDxfId="724"/>
    <tableColumn id="24" xr3:uid="{099B62F0-F67D-4CF2-8C6A-AD383B297F15}" name="27" dataDxfId="723"/>
    <tableColumn id="25" xr3:uid="{104E6C24-1381-41DA-BF76-0DD6D49DF0C1}" name="28" dataDxfId="722"/>
    <tableColumn id="26" xr3:uid="{095F601D-F187-4396-A356-C09936718FF5}" name="29" dataDxfId="721"/>
    <tableColumn id="27" xr3:uid="{4F9FCA77-406D-4319-913A-82D308726F04}" name="30" dataDxfId="720"/>
    <tableColumn id="28" xr3:uid="{5825F9EE-936A-4C38-B210-9DA3DA553F75}" name="31" dataDxfId="719"/>
    <tableColumn id="1" xr3:uid="{D8CEB774-F634-4903-AC1C-0BF18BDD3A03}" name="CARTERA ASESOR" dataDxfId="718"/>
  </tableColumns>
  <tableStyleInfo name="TableStyleMedium1"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68E1096-B4B7-4B73-95AE-8CADE5149C33}" name="D1_NOVIEMBRE_2025" displayName="D1_NOVIEMBRE_2025" ref="A2:K66" totalsRowShown="0">
  <autoFilter ref="A2:K66" xr:uid="{F68E1096-B4B7-4B73-95AE-8CADE5149C33}"/>
  <tableColumns count="11">
    <tableColumn id="1" xr3:uid="{698D597F-BA64-49E6-ACCE-5D28E8ACC14A}" name="SUPER" dataDxfId="717"/>
    <tableColumn id="2" xr3:uid="{7E004A30-FB94-4ABB-88FD-3005F8FA00C6}" name="ASESOR_CRR" dataDxfId="716"/>
    <tableColumn id="3" xr3:uid="{679C21D4-8623-41D0-82CA-284D4E24A873}" name="META">
      <calculatedColumnFormula>VLOOKUP(D1_NOVIEMBRE_2025[[#This Row],[SUPER]],DATA_NOVIEMBRE_2025[[SUPERVISOR]:[META]],3,0)</calculatedColumnFormula>
    </tableColumn>
    <tableColumn id="4" xr3:uid="{486641C9-82E5-4121-AF8C-05900E5003FF}" name="ALCANCE" dataDxfId="715"/>
    <tableColumn id="7" xr3:uid="{AA9D9715-8EBE-4ECB-8BB4-3F41AF689173}" name="SUPER2" dataDxfId="714"/>
    <tableColumn id="5" xr3:uid="{DDD5C800-04E2-4D8A-8C83-C410D5DF7F70}" name="ASESOR" dataDxfId="713"/>
    <tableColumn id="6" xr3:uid="{88DDFA81-E306-4531-9C28-1EEEFB91AC37}" name="RECUPERO" dataDxfId="712">
      <calculatedColumnFormula>VLOOKUP(D1_NOVIEMBRE_2025[[#This Row],[ASESOR]],$F$70:$G$130,2,0)</calculatedColumnFormula>
    </tableColumn>
    <tableColumn id="9" xr3:uid="{B4E0C179-9219-4DFF-AA71-3C7E15DC0CCB}" name="DNI" dataDxfId="711"/>
    <tableColumn id="10" xr3:uid="{A57DDDED-46A0-4CB6-B58A-B5F5FD8B6714}" name="FECHA DE INICIO" dataDxfId="710"/>
    <tableColumn id="8" xr3:uid="{6D0B725E-AD90-4FB1-ACD9-0C7E61DBD30D}" name="ESTADO" dataDxfId="709"/>
    <tableColumn id="11" xr3:uid="{14A41DD1-83BC-4380-9872-12E024A570EF}" name="SEGMENTO" dataDxfId="708"/>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C613B8-DDA0-40C2-A4A1-8722CD61E9A4}" name="DITE_NOVIEMBRE_2025" displayName="DITE_NOVIEMBRE_2025" ref="AZ8:CI14" totalsRowShown="0" headerRowDxfId="707" dataDxfId="706">
  <autoFilter ref="AZ8:CI14" xr:uid="{EBC613B8-DDA0-40C2-A4A1-8722CD61E9A4}"/>
  <sortState xmlns:xlrd2="http://schemas.microsoft.com/office/spreadsheetml/2017/richdata2" ref="AZ9:CI14">
    <sortCondition ref="BC8:BC14"/>
  </sortState>
  <tableColumns count="36">
    <tableColumn id="5" xr3:uid="{074B6FAA-838C-491D-A02E-1DD85446A037}" name="META SUPER" dataDxfId="705"/>
    <tableColumn id="2" xr3:uid="{39564DF7-490C-4B42-BA0D-A0C7965369AD}" name="RECUPERO SUPERVISOR" dataDxfId="704">
      <calculatedColumnFormula>MAX(DITE_NOVIEMBRE_2025[[#This Row],[1]:[31]])</calculatedColumnFormula>
    </tableColumn>
    <tableColumn id="3" xr3:uid="{714DADEA-706C-4919-B3C2-F0BF1111E161}" name="ALCANCE SUPERVISOR" dataDxfId="703">
      <calculatedColumnFormula>DITE_NOVIEMBRE_2025[[#This Row],[RECUPERO SUPERVISOR]]/DITE_NOVIEMBRE_2025[[#This Row],[META SUPER]]</calculatedColumnFormula>
    </tableColumn>
    <tableColumn id="1" xr3:uid="{9452BB90-F5DE-4B57-AF8A-BBAB41BDA625}" name="SUPER" dataDxfId="702"/>
    <tableColumn id="6" xr3:uid="{87C598B5-62D4-4EE7-861E-EEAA52C00585}" name="1" dataDxfId="701"/>
    <tableColumn id="7" xr3:uid="{633891A0-1EBF-4F76-A7F4-F66318664C43}" name="2" dataDxfId="700"/>
    <tableColumn id="8" xr3:uid="{0592F328-9F13-4B6C-80C9-E9F1845891CB}" name="3" dataDxfId="699"/>
    <tableColumn id="9" xr3:uid="{AE7882D8-BBFD-45AE-B2CB-28F66322BAEE}" name="4" dataDxfId="698"/>
    <tableColumn id="10" xr3:uid="{05F48497-7C3E-4EF2-8908-E3DDE502B309}" name="5" dataDxfId="697"/>
    <tableColumn id="11" xr3:uid="{BD05847D-8156-476D-9D43-53BF9B333675}" name="6" dataDxfId="696"/>
    <tableColumn id="12" xr3:uid="{407098C8-B89E-46C0-9B9A-DA4AD2929032}" name="7" dataDxfId="695"/>
    <tableColumn id="13" xr3:uid="{91FC56B9-68A8-46E6-AF86-C055E5241ADE}" name="8" dataDxfId="694"/>
    <tableColumn id="33" xr3:uid="{28AE8306-9CFE-48D8-B37A-439EC52A8FC7}" name="9"/>
    <tableColumn id="34" xr3:uid="{BEDC84A5-8305-4DF4-ABEC-BB6EEB529C4F}" name="10"/>
    <tableColumn id="36" xr3:uid="{B59731E4-5897-45B2-9C91-33A13DD2A626}" name="11"/>
    <tableColumn id="35" xr3:uid="{6BFA29F7-25A2-4970-83E2-A01A9C60DDC8}" name="12"/>
    <tableColumn id="30" xr3:uid="{1D974799-12A2-4B90-9387-B569B06CF698}" name="13"/>
    <tableColumn id="31" xr3:uid="{EEE7DEAC-D4C6-47A0-B881-173552B99C4E}" name="14"/>
    <tableColumn id="32" xr3:uid="{FE3CEA5D-C426-4115-8B0C-84D592B7B32B}" name="15"/>
    <tableColumn id="27" xr3:uid="{CA806F80-7B98-4B60-8161-F76947970902}" name="16"/>
    <tableColumn id="28" xr3:uid="{3EC786A8-3511-451D-8E2D-9602239776C1}" name="17"/>
    <tableColumn id="29" xr3:uid="{EC5B0BC0-623D-4786-9A8B-3E48F68965F8}" name="18"/>
    <tableColumn id="14" xr3:uid="{E1FFC0DE-105F-4D85-B671-ACC24555978C}" name="19" dataDxfId="693"/>
    <tableColumn id="15" xr3:uid="{6D9CB553-B7A7-4211-8DDF-E67D0F75BD0A}" name="20" dataDxfId="692"/>
    <tableColumn id="16" xr3:uid="{C060B537-6CE4-430B-8A22-7A540BACE464}" name="21" dataDxfId="691"/>
    <tableColumn id="17" xr3:uid="{4C8D59DE-F0E8-4B3F-8552-A394ADA4C013}" name="22" dataDxfId="690"/>
    <tableColumn id="18" xr3:uid="{3AB7DFB9-4558-4621-AB3C-3891ECC67DB4}" name="23" dataDxfId="689"/>
    <tableColumn id="19" xr3:uid="{ECC2D027-50E3-4374-BA37-6384A463E763}" name="24" dataDxfId="688"/>
    <tableColumn id="20" xr3:uid="{03C4446D-2883-4E24-87C6-489668916C57}" name="25" dataDxfId="687"/>
    <tableColumn id="21" xr3:uid="{1D103BD3-6849-47BB-B1AD-9FF31C3432E4}" name="26" dataDxfId="686"/>
    <tableColumn id="22" xr3:uid="{E2A6B954-BE7E-4918-9A92-245143E3726C}" name="27" dataDxfId="685"/>
    <tableColumn id="23" xr3:uid="{3BE5D700-08A4-480A-8651-AFBBD596763A}" name="28" dataDxfId="684"/>
    <tableColumn id="24" xr3:uid="{16A1ECF5-0D22-4B11-B95E-D5BF2A42B1A3}" name="29" dataDxfId="683"/>
    <tableColumn id="25" xr3:uid="{AACA19B9-FD00-4B90-8B58-181F058F24E3}" name="30" dataDxfId="682"/>
    <tableColumn id="26" xr3:uid="{2DE2D547-EE6E-49C4-858B-C4D674245BFC}" name="31" dataDxfId="681"/>
    <tableColumn id="4" xr3:uid="{9AD4619F-F825-4B54-8AE2-92E8B9E9E57F}" name="CARTERA" dataDxfId="680"/>
  </tableColumns>
  <tableStyleInfo name="TableStyleMedium1"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96E83772-E4B6-4FD1-9ECE-DCCBF28CF7CD}" name="Tabla61656667687071" displayName="Tabla61656667687071" ref="CK8:CO14" totalsRowShown="0" headerRowDxfId="679" dataDxfId="678">
  <autoFilter ref="CK8:CO14" xr:uid="{96E83772-E4B6-4FD1-9ECE-DCCBF28CF7CD}"/>
  <tableColumns count="5">
    <tableColumn id="1" xr3:uid="{2855C0CD-CB2A-4ACC-B370-173F5DBABB01}" name="VISTA" dataDxfId="677"/>
    <tableColumn id="2" xr3:uid="{228AFD6E-187A-4EBB-BF34-D7779E779363}" name="1" dataDxfId="676"/>
    <tableColumn id="3" xr3:uid="{148FC5F6-DAD8-45B9-935B-3B693689C46F}" name="2" dataDxfId="675"/>
    <tableColumn id="4" xr3:uid="{721DA333-5229-49B4-BF78-EF0709817BC7}" name="3" dataDxfId="674"/>
    <tableColumn id="14" xr3:uid="{0D6C8DF6-EA57-41A5-9990-B6483171A71F}" name="4" dataDxfId="673"/>
  </tableColumns>
  <tableStyleInfo name="TableStyleMedium1"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0FB4C0E-F2DE-4EDC-B1EC-681DEA1C3B06}" name="DATA_DICIEMBRE_2025" displayName="DATA_DICIEMBRE_2025" ref="M8:AX59" totalsRowShown="0" headerRowBorderDxfId="672" tableBorderDxfId="671">
  <autoFilter ref="M8:AX59" xr:uid="{90FB4C0E-F2DE-4EDC-B1EC-681DEA1C3B06}"/>
  <sortState xmlns:xlrd2="http://schemas.microsoft.com/office/spreadsheetml/2017/richdata2" ref="M9:AX59">
    <sortCondition ref="R8:R59"/>
  </sortState>
  <tableColumns count="38">
    <tableColumn id="5" xr3:uid="{B4C25367-266D-4CFD-B126-E990F1B705B9}" name="AL_AC" dataDxfId="670">
      <calculatedColumnFormula>DATA_DICIEMBRE_2025[[#This Row],[RECUPERO]]/DATA_DICIEMBRE_2025[[#This Row],[META]]</calculatedColumnFormula>
    </tableColumn>
    <tableColumn id="2" xr3:uid="{B5D97F6A-AE7C-4FC3-8428-5737699DFEB1}" name="Q_ALC" dataDxfId="669">
      <calculatedColumnFormula>6-ROUNDUP(_xlfn.RANK.EQ(DATA_DICIEMBRE_2025[[#This Row],[AL_AC]],DATA_DICIEMBRE_2025[AL_AC],0)/(COUNTA(DATA_DICIEMBRE_2025[AL_AC])/5),0)</calculatedColumnFormula>
    </tableColumn>
    <tableColumn id="3" xr3:uid="{BB03A19C-EA5E-4A7C-9910-2B74FE663EFC}" name="SUPERVISOR" dataDxfId="668"/>
    <tableColumn id="1" xr3:uid="{47FCFB9B-5515-45CC-BFF9-2785144AD854}" name="RECUPERO" dataDxfId="667">
      <calculatedColumnFormula>SUM(DATA_DICIEMBRE_2025[[#This Row],[1]:[31]])</calculatedColumnFormula>
    </tableColumn>
    <tableColumn id="6" xr3:uid="{ED7BE75E-3624-4159-BFE7-645CEA862C3E}" name="META" dataDxfId="666"/>
    <tableColumn id="7" xr3:uid="{AD05A858-B012-4836-80E5-BF630A338442}" name="ASER_" dataDxfId="665"/>
    <tableColumn id="4" xr3:uid="{6792E8BB-5B6A-4E20-BC71-7F342FD1DE33}" name="1" dataDxfId="664"/>
    <tableColumn id="8" xr3:uid="{AFF95CFC-A6A6-4F82-9A47-D8F9735B080F}" name="2" dataDxfId="663"/>
    <tableColumn id="9" xr3:uid="{3EE2031A-4396-4C20-9B21-B423FD7A4983}" name="3" dataDxfId="662"/>
    <tableColumn id="10" xr3:uid="{98A61AE3-7932-414B-AE75-E4B9F37090B7}" name="4" dataDxfId="661"/>
    <tableColumn id="11" xr3:uid="{2B37FA03-0832-40E1-966B-188EC131A687}" name="5" dataDxfId="660"/>
    <tableColumn id="12" xr3:uid="{9A4E011C-C4A7-4F49-AD1B-BB28BEA4BF8C}" name="6" dataDxfId="659"/>
    <tableColumn id="13" xr3:uid="{EFB94F58-F00C-45C8-B4D0-E0C1802DF92E}" name="7" dataDxfId="658"/>
    <tableColumn id="14" xr3:uid="{F8800705-9DF6-4EEA-8D67-8321AE1E80D1}" name="8" dataDxfId="657"/>
    <tableColumn id="15" xr3:uid="{7B6D79FE-5D1B-462C-8037-0CACAB6F3911}" name="9" dataDxfId="656"/>
    <tableColumn id="16" xr3:uid="{E0E24420-1BF8-4BED-A5CC-D5EF1C7DF685}" name="10" dataDxfId="655"/>
    <tableColumn id="36" xr3:uid="{499F5F72-1CC9-466F-9EAE-2EC729CCF461}" name="11"/>
    <tableColumn id="37" xr3:uid="{6B15C606-0311-4BE2-AF1B-EB2747417C36}" name="12"/>
    <tableColumn id="39" xr3:uid="{AECB8174-153C-4871-9154-6A1E446C5F28}" name="13"/>
    <tableColumn id="32" xr3:uid="{48BAFFAA-B7E1-45A7-A3EC-2EAA30407647}" name="14"/>
    <tableColumn id="33" xr3:uid="{BE2E4183-7149-4303-B4EE-D064CE4E0389}" name="15"/>
    <tableColumn id="34" xr3:uid="{6B3F42A7-374B-4D5B-A50F-51759D5259B0}" name="16"/>
    <tableColumn id="35" xr3:uid="{97EAF22D-5DD5-4CA3-9C81-B92D4C55DB55}" name="17"/>
    <tableColumn id="28" xr3:uid="{8E519791-BCBA-406E-B949-E222859DC6F5}" name="18"/>
    <tableColumn id="29" xr3:uid="{61448F56-E20B-4FC2-BD62-B3359183DD77}" name="19"/>
    <tableColumn id="30" xr3:uid="{333163ED-502E-4122-AA14-52B2D8929B91}" name="20"/>
    <tableColumn id="31" xr3:uid="{62205A86-ACDE-4A31-AD5F-97427EE381B9}" name="21"/>
    <tableColumn id="17" xr3:uid="{871FA82C-5019-42EF-A529-D11DB848F55F}" name="22" dataDxfId="654"/>
    <tableColumn id="18" xr3:uid="{388429A9-C1D2-4EE1-BB12-A7C9C48AA9F0}" name="23" dataDxfId="653"/>
    <tableColumn id="19" xr3:uid="{6D1522B5-D820-4F42-ADD5-A6062E68E06A}" name="24" dataDxfId="652"/>
    <tableColumn id="20" xr3:uid="{A78EF6CB-6A5A-488F-8EC5-34C0267191BD}" name="25" dataDxfId="651"/>
    <tableColumn id="21" xr3:uid="{0817989E-B5E4-435D-99FF-C9E1A1D429CD}" name="26" dataDxfId="650"/>
    <tableColumn id="22" xr3:uid="{5AE7BF00-6E17-4434-AFC3-A082971963E9}" name="27" dataDxfId="649"/>
    <tableColumn id="23" xr3:uid="{AC4528BB-516C-4650-8587-2267B9400C8D}" name="28" dataDxfId="648"/>
    <tableColumn id="24" xr3:uid="{AB7921F2-B36A-4ABC-9DBC-BB0EC20ACC62}" name="29" dataDxfId="647"/>
    <tableColumn id="25" xr3:uid="{5D1446EA-3DB7-4807-AE25-EB2149040D6D}" name="30" dataDxfId="646"/>
    <tableColumn id="26" xr3:uid="{B5F2A170-57DC-49D6-9752-24386332D295}" name="31" dataDxfId="645"/>
    <tableColumn id="27" xr3:uid="{D1831881-0F77-44D4-82FA-57779D5E74BA}" name="CARTERA ASESOR" dataDxfId="644"/>
  </tableColumns>
  <tableStyleInfo name="TableStyleMedium1"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A33CB5E-7EB5-4C86-9959-A823C2BDBBB9}" name="D1_DICIEMBRE_2025" displayName="D1_DICIEMBRE_2025" ref="A2:K53" totalsRowShown="0" headerRowDxfId="643">
  <autoFilter ref="A2:K53" xr:uid="{0A33CB5E-7EB5-4C86-9959-A823C2BDBBB9}"/>
  <sortState xmlns:xlrd2="http://schemas.microsoft.com/office/spreadsheetml/2017/richdata2" ref="A3:J53">
    <sortCondition ref="F2:F53"/>
  </sortState>
  <tableColumns count="11">
    <tableColumn id="1" xr3:uid="{51989F96-0689-4D57-8685-B8A3DF492A97}" name="SUPER" dataDxfId="642"/>
    <tableColumn id="2" xr3:uid="{C1D8B208-A530-42D3-A6B3-202247844AC6}" name="ASESOR_CRR" dataDxfId="641"/>
    <tableColumn id="5" xr3:uid="{0E2E2A96-2FDE-425E-A454-24F26F26F817}" name="META" dataDxfId="640">
      <calculatedColumnFormula>VLOOKUP(D1_DICIEMBRE_2025[[#This Row],[SUPER]],DATA_DICIEMBRE_2025[[SUPERVISOR]:[META]],3,0)</calculatedColumnFormula>
    </tableColumn>
    <tableColumn id="6" xr3:uid="{99265ED5-3CFF-4A20-97B4-3560EE99C717}" name="ALCANCE" dataDxfId="639">
      <calculatedColumnFormula>D1_DICIEMBRE_2025[[#This Row],[RECUPERO]]/D1_DICIEMBRE_2025[[#This Row],[META]]</calculatedColumnFormula>
    </tableColumn>
    <tableColumn id="7" xr3:uid="{374D40BE-0CEA-496A-A350-4762CACC979E}" name="SUPER2" dataDxfId="638"/>
    <tableColumn id="3" xr3:uid="{CE2FC99C-C2FA-4CF8-B4D5-38DB34F6C4C0}" name="ASESOR"/>
    <tableColumn id="4" xr3:uid="{1034AC9B-8A72-4332-A474-8471A1B8C391}" name="RECUPERO" dataDxfId="637"/>
    <tableColumn id="8" xr3:uid="{51D1D4C9-F574-4F9F-BB5F-619CFC8367F6}" name="DNI" dataDxfId="636"/>
    <tableColumn id="9" xr3:uid="{1F94989E-BD68-4711-BF6F-AABBC6D00AD3}" name="FECHA DE INICIO" dataDxfId="635"/>
    <tableColumn id="10" xr3:uid="{26BBC886-44C6-4729-85D8-0B926A843BA1}" name="ESTADO" dataDxfId="634"/>
    <tableColumn id="11" xr3:uid="{B8649A5B-760E-4178-AFFE-25BA3537578F}" name="SEGMENTO" dataDxfId="633"/>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5547817-F0EB-410B-A548-9876F8A51100}" name="DITE_DICIEMBRE_2025" displayName="DITE_DICIEMBRE_2025" ref="AZ8:CI13" totalsRowShown="0" headerRowDxfId="632" dataDxfId="630" headerRowBorderDxfId="631" tableBorderDxfId="629" totalsRowBorderDxfId="628">
  <autoFilter ref="AZ8:CI13" xr:uid="{85547817-F0EB-410B-A548-9876F8A51100}"/>
  <sortState xmlns:xlrd2="http://schemas.microsoft.com/office/spreadsheetml/2017/richdata2" ref="AZ9:CI13">
    <sortCondition ref="BC8:BC13"/>
  </sortState>
  <tableColumns count="36">
    <tableColumn id="2" xr3:uid="{68E67A80-18A4-4734-A9E7-E6917BDD1EDB}" name="META SUPER" dataDxfId="627"/>
    <tableColumn id="3" xr3:uid="{DED03312-7BDA-4CEA-9273-AA5DB2237A5F}" name="RECUPERO SUPERVISOR" dataDxfId="626">
      <calculatedColumnFormula>MAX(DITE_DICIEMBRE_2025[[#This Row],[1]:[31]])</calculatedColumnFormula>
    </tableColumn>
    <tableColumn id="4" xr3:uid="{5A956735-F760-4B1F-B874-402D928B71EA}" name="ALCANCE SUPERVISOR" dataDxfId="625">
      <calculatedColumnFormula>DITE_DICIEMBRE_2025[[#This Row],[RECUPERO SUPERVISOR]]/AZ9</calculatedColumnFormula>
    </tableColumn>
    <tableColumn id="1" xr3:uid="{ED2A948C-9442-4C47-9BE9-277A3D6239D3}" name="SUPER" dataDxfId="624"/>
    <tableColumn id="6" xr3:uid="{6E784300-7704-4F45-8E90-F7C2D4F71F66}" name="1" dataDxfId="623"/>
    <tableColumn id="7" xr3:uid="{EA789C05-CA47-4D66-B493-7D6222022389}" name="2" dataDxfId="622"/>
    <tableColumn id="36" xr3:uid="{E83A454A-CB07-409E-B2F9-FEFD108C0456}" name="3" dataDxfId="621"/>
    <tableColumn id="8" xr3:uid="{4ACB3C1D-600B-4503-9368-987BC1B3B0EA}" name="4" dataDxfId="620"/>
    <tableColumn id="9" xr3:uid="{B5C8B277-5A83-47A1-95FD-A620D749E785}" name="5" dataDxfId="619"/>
    <tableColumn id="10" xr3:uid="{FB101921-E892-41E0-B8B7-4141F51A83BB}" name="6" dataDxfId="618"/>
    <tableColumn id="11" xr3:uid="{C777EEA2-F048-439C-9EA1-0C4C731AA6E9}" name="7" dataDxfId="617"/>
    <tableColumn id="12" xr3:uid="{7AA80CD7-0570-4507-8C49-9CF331F01C83}" name="8" dataDxfId="616"/>
    <tableColumn id="13" xr3:uid="{F115F6D4-E69D-46D7-AD4B-F13AFDF74268}" name="9" dataDxfId="615"/>
    <tableColumn id="14" xr3:uid="{393E1035-13E1-4131-B853-53B4CA536CF0}" name="10" dataDxfId="614"/>
    <tableColumn id="15" xr3:uid="{7FF1CB48-1402-460C-BDDE-C67F81F66807}" name="11" dataDxfId="613"/>
    <tableColumn id="32" xr3:uid="{8F13018F-0746-40A8-8063-7F1351A273EA}" name="12" dataDxfId="612"/>
    <tableColumn id="33" xr3:uid="{5FD9BED8-7FEA-4B06-9B27-A0BFD046EB49}" name="13" dataDxfId="611"/>
    <tableColumn id="35" xr3:uid="{8D88E3F7-E581-49D0-B55A-812661F85CB6}" name="14" dataDxfId="610"/>
    <tableColumn id="34" xr3:uid="{98E6CACB-4217-4732-B54A-899D22A2EAF6}" name="15" dataDxfId="609"/>
    <tableColumn id="29" xr3:uid="{7C19F65B-AFA4-4BDB-849B-78B44514C8F1}" name="16" dataDxfId="608"/>
    <tableColumn id="30" xr3:uid="{5B8DAC84-4B56-4ED2-BCA8-C8513518494E}" name="17" dataDxfId="607"/>
    <tableColumn id="31" xr3:uid="{6135134A-5BCC-4221-AD87-B5C8D80AB6D3}" name="18" dataDxfId="606"/>
    <tableColumn id="26" xr3:uid="{2569A07A-57D5-45E4-94CF-9442436AFDAE}" name="19" dataDxfId="605"/>
    <tableColumn id="27" xr3:uid="{828CBD1E-742A-4B46-99B1-A5B0163441D5}" name="20" dataDxfId="604"/>
    <tableColumn id="28" xr3:uid="{773F208D-F15B-4823-A2FA-144A370D1B7A}" name="21" dataDxfId="603"/>
    <tableColumn id="16" xr3:uid="{419173FA-3C44-4167-9CA2-3C07CF180C9B}" name="22" dataDxfId="602"/>
    <tableColumn id="17" xr3:uid="{A8A10E2B-AFD7-46D0-8149-9A05D1EC2C03}" name="23" dataDxfId="601"/>
    <tableColumn id="18" xr3:uid="{CF29209E-568F-4788-AE4E-864CF179A3F5}" name="24" dataDxfId="600"/>
    <tableColumn id="19" xr3:uid="{C33D5154-B635-4235-8170-2F374C119543}" name="25" dataDxfId="599"/>
    <tableColumn id="20" xr3:uid="{70E870EC-47B5-4461-AC8F-7662212D49E0}" name="26" dataDxfId="598"/>
    <tableColumn id="21" xr3:uid="{2215DAF3-2DFC-47A4-940A-DC348054A7EB}" name="27" dataDxfId="597"/>
    <tableColumn id="22" xr3:uid="{BE707551-BD9D-4E46-9F38-1BF8DA272627}" name="28" dataDxfId="596"/>
    <tableColumn id="23" xr3:uid="{BA6108F0-3F12-4B54-8E19-7FF232FA9893}" name="29" dataDxfId="595"/>
    <tableColumn id="24" xr3:uid="{B18366FB-64C7-4779-8DB9-91A30E111223}" name="30" dataDxfId="594"/>
    <tableColumn id="25" xr3:uid="{8BD30A4B-DE19-4C3A-8A9E-7FFE10B8C56B}" name="31" dataDxfId="593"/>
    <tableColumn id="5" xr3:uid="{1A8ADD20-D8A3-4981-B322-7C16CBD19ABB}" name="CARTERA" dataDxfId="592"/>
  </tableColumns>
  <tableStyleInfo name="TableStyleMedium1"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1A214D59-F384-46CE-88F8-40557144A34E}" name="Tabla616566676870" displayName="Tabla616566676870" ref="CK8:CO13" totalsRowShown="0" headerRowDxfId="591" dataDxfId="590">
  <autoFilter ref="CK8:CO13" xr:uid="{1A214D59-F384-46CE-88F8-40557144A34E}"/>
  <tableColumns count="5">
    <tableColumn id="1" xr3:uid="{D3CB4ECD-F878-4B0D-8FCB-43BA8EF1DB82}" name="VISTA" dataDxfId="589"/>
    <tableColumn id="2" xr3:uid="{2659E221-4103-45DB-BB56-1145F59010E9}" name="1" dataDxfId="588"/>
    <tableColumn id="3" xr3:uid="{D56A80FA-EF8F-4611-92E7-3C97B2F91FF9}" name="2" dataDxfId="587"/>
    <tableColumn id="4" xr3:uid="{F2943E7B-95D9-4CE4-87FE-A4FC2FF8FD11}" name="3" dataDxfId="586"/>
    <tableColumn id="14" xr3:uid="{35C66B64-4DC0-4EE5-9B07-32721DCA6429}" name="4" dataDxfId="585"/>
  </tableColumns>
  <tableStyleInfo name="TableStyleMedium1"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BA04DD6-1915-4583-B087-B61033BF8551}" name="D1_ENERO_2026" displayName="D1_ENERO_2026" ref="A2:K56" totalsRowShown="0">
  <autoFilter ref="A2:K56" xr:uid="{1BA04DD6-1915-4583-B087-B61033BF8551}"/>
  <tableColumns count="11">
    <tableColumn id="1" xr3:uid="{6AFD0A7F-6822-468F-A276-8556A23F661A}" name="SUPER" dataDxfId="584"/>
    <tableColumn id="2" xr3:uid="{09FFA9EA-077A-4B1E-BBB0-BEFE3719755F}" name="ASESOR_CRR" dataDxfId="583"/>
    <tableColumn id="3" xr3:uid="{B2B98848-02EC-4CE4-B2C4-CF726670ADA0}" name="META" dataDxfId="582"/>
    <tableColumn id="4" xr3:uid="{843076CD-455D-4677-9B9B-753164881BDC}" name="ALCANCE" dataDxfId="581"/>
    <tableColumn id="5" xr3:uid="{27191708-D634-47D0-B6EF-7903B523F721}" name="SUPER2" dataDxfId="580"/>
    <tableColumn id="6" xr3:uid="{F95ADB27-E512-47F7-962C-D178A524B971}" name="ASESOR"/>
    <tableColumn id="7" xr3:uid="{32C145E4-25CE-4365-A7D9-EB2FB110C794}" name="RECUPERO" dataDxfId="579"/>
    <tableColumn id="8" xr3:uid="{20773954-0FEB-4980-9B49-FA8A9DD97C3C}" name="DNI" dataDxfId="578"/>
    <tableColumn id="9" xr3:uid="{0ACD1DB4-5167-41A6-9528-D0663730532D}" name="FECHA DE INICIO" dataDxfId="577"/>
    <tableColumn id="10" xr3:uid="{4C5570D8-15F0-4535-849A-56408975F639}" name="ESTADO" dataDxfId="576"/>
    <tableColumn id="11" xr3:uid="{2AF8D525-4A26-4F67-9B32-FE9919E49C0C}" name="SEGMENTO" dataDxfId="575"/>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8921E2A-9F47-451E-B096-35714BAF2E64}" name="DATA_ENERO_2026" displayName="DATA_ENERO_2026" ref="M8:AX59" totalsRowShown="0" headerRowDxfId="574" headerRowBorderDxfId="573">
  <autoFilter ref="M8:AX59" xr:uid="{58921E2A-9F47-451E-B096-35714BAF2E64}"/>
  <sortState xmlns:xlrd2="http://schemas.microsoft.com/office/spreadsheetml/2017/richdata2" ref="M9:AX59">
    <sortCondition ref="R8:R59"/>
  </sortState>
  <tableColumns count="38">
    <tableColumn id="1" xr3:uid="{FBFB7961-A539-4628-AF01-F44F8F8F5A96}" name="AL_AC" dataDxfId="572">
      <calculatedColumnFormula>DATA_ENERO_2026[[#This Row],[RECUPERO]]/DATA_ENERO_2026[[#This Row],[META]]</calculatedColumnFormula>
    </tableColumn>
    <tableColumn id="2" xr3:uid="{7E513578-A5D7-4721-8AB2-4CF3CDD2FC39}" name="Q_ALC" dataDxfId="571">
      <calculatedColumnFormula>6-ROUNDUP(_xlfn.RANK.EQ(DATA_ENERO_2026[[#This Row],[AL_AC]],DATA_ENERO_2026[AL_AC],0)/(COUNTA(DATA_ENERO_2026[AL_AC])/5),0)</calculatedColumnFormula>
    </tableColumn>
    <tableColumn id="3" xr3:uid="{6492BEED-DC9C-40A2-AC25-03FEADA8AAFD}" name="SUPERVISOR" dataDxfId="570"/>
    <tableColumn id="4" xr3:uid="{41268A33-B17E-413A-B074-C6D8798C61CA}" name="RECUPERO" dataDxfId="569">
      <calculatedColumnFormula>SUM(DATA_ENERO_2026[[#This Row],[1]:[31]])</calculatedColumnFormula>
    </tableColumn>
    <tableColumn id="5" xr3:uid="{62F2A8A0-46E7-4D7F-AB57-24AB0CDE4B51}" name="META" dataDxfId="568"/>
    <tableColumn id="6" xr3:uid="{9EA96D6B-4641-4883-9F00-A38E661C08E7}" name="ASER_"/>
    <tableColumn id="7" xr3:uid="{1F229AF8-CFC0-4E68-824C-F4F52F084C5F}" name="1"/>
    <tableColumn id="8" xr3:uid="{8E01467C-A045-4A2D-B660-CB970722CBAF}" name="2"/>
    <tableColumn id="9" xr3:uid="{3A66B404-6201-4A06-9083-C60E13AC07F3}" name="3"/>
    <tableColumn id="10" xr3:uid="{F6FDA19E-7806-4449-AFD5-04547167A287}" name="4"/>
    <tableColumn id="11" xr3:uid="{FD8A0692-6101-456C-96AF-520C4E8A357B}" name="5"/>
    <tableColumn id="12" xr3:uid="{36674676-DF43-45BC-A945-CC54C0D61768}" name="6"/>
    <tableColumn id="13" xr3:uid="{7A9FA8A9-26F1-414E-97B2-10EC27A17CED}" name="7"/>
    <tableColumn id="14" xr3:uid="{6B057FD4-8592-42C8-BF35-4DA8D5C2C2EC}" name="8"/>
    <tableColumn id="15" xr3:uid="{27E10F47-36BB-4075-8594-51862E88B1FC}" name="9"/>
    <tableColumn id="16" xr3:uid="{D1EE4571-AB6A-459F-82A4-C23F94637F63}" name="10"/>
    <tableColumn id="17" xr3:uid="{3C040408-21D3-48F5-9F86-A40A7CDD722A}" name="11"/>
    <tableColumn id="18" xr3:uid="{718D54F3-A1D0-4EA8-86FA-88C2F8B602A4}" name="12"/>
    <tableColumn id="38" xr3:uid="{68CEA7D4-BF14-4864-9309-13BB0870B1A2}" name="13"/>
    <tableColumn id="37" xr3:uid="{016D480C-F83E-4582-8E99-536ECB6A2CB7}" name="14"/>
    <tableColumn id="36" xr3:uid="{4A21C67B-8191-4AE0-AC41-1D371A18EDFF}" name="15"/>
    <tableColumn id="35" xr3:uid="{8B55996B-6197-4D15-8B2D-9DE1216C30AC}" name="16"/>
    <tableColumn id="34" xr3:uid="{802E58FA-4632-4D1A-93EE-CF48B7442973}" name="17"/>
    <tableColumn id="33" xr3:uid="{58F0583A-61FB-4003-BDB6-FF84B52AA297}" name="18"/>
    <tableColumn id="32" xr3:uid="{626A46F9-D4D5-4EB5-BA82-6CFC904C7935}" name="19"/>
    <tableColumn id="31" xr3:uid="{A23CC8C0-4710-43F0-90F0-80A2FE5C3B08}" name="20"/>
    <tableColumn id="30" xr3:uid="{E94554CD-F66E-4925-B7B5-BD00C6294ED1}" name="21"/>
    <tableColumn id="19" xr3:uid="{F7F6BD2A-98BF-475C-B256-3A663F7E2CA1}" name="22"/>
    <tableColumn id="20" xr3:uid="{85555901-0E53-4F88-A37E-CF71E706EAE7}" name="23"/>
    <tableColumn id="21" xr3:uid="{A42C53D6-D4A8-40BA-8D4D-39104255A283}" name="24"/>
    <tableColumn id="22" xr3:uid="{292790E7-3360-4013-8D23-3E27E64F9146}" name="25"/>
    <tableColumn id="23" xr3:uid="{6C7F9185-CB5A-451D-B96E-F8F1C8857C65}" name="26"/>
    <tableColumn id="24" xr3:uid="{7ADB3F93-5981-4B9A-B784-E1A10E182773}" name="27"/>
    <tableColumn id="25" xr3:uid="{356C6AAD-1F03-4F29-AD3B-79F53B49F3A6}" name="28"/>
    <tableColumn id="26" xr3:uid="{56739B3A-397A-4D40-A83E-1EE34BCBDA99}" name="29"/>
    <tableColumn id="27" xr3:uid="{EAF40347-8111-4B7C-BF78-DAFE372F8CAA}" name="30"/>
    <tableColumn id="28" xr3:uid="{EDA04386-CCC6-4725-82E3-1044EB4DA859}" name="31"/>
    <tableColumn id="29" xr3:uid="{3DB85050-0FEA-493E-A160-CD347D1AAFE5}" name="CARTERA ASESOR">
      <calculatedColumnFormula array="1">IFERROR(VLOOKUP(DATA_ENERO_2026[[#This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3B523EE-5652-4F10-8B3E-588A8B47992C}" name="DITE_ENERO_2026" displayName="DITE_ENERO_2026" ref="AZ8:CI13" totalsRowShown="0" headerRowDxfId="567" headerRowBorderDxfId="566">
  <autoFilter ref="AZ8:CI13" xr:uid="{03B523EE-5652-4F10-8B3E-588A8B47992C}"/>
  <sortState xmlns:xlrd2="http://schemas.microsoft.com/office/spreadsheetml/2017/richdata2" ref="AZ9:CI13">
    <sortCondition ref="BC8:BC13"/>
  </sortState>
  <tableColumns count="36">
    <tableColumn id="1" xr3:uid="{546E83C3-0B98-4E4D-ABC0-C27AFCB5EFE0}" name="META SUPER" dataDxfId="565"/>
    <tableColumn id="2" xr3:uid="{15ACA161-61F0-4530-82A1-17E6DBF20240}" name="RECUPERO SUPERVISOR" dataDxfId="564">
      <calculatedColumnFormula>MAX(DITE_ENERO_2026[[#This Row],[1]:[31]])</calculatedColumnFormula>
    </tableColumn>
    <tableColumn id="3" xr3:uid="{778859E8-B3B0-4937-8B5F-DE4BE24B1DFD}" name="ALCANCE SUPERVISOR" dataDxfId="563">
      <calculatedColumnFormula>DITE_ENERO_2026[[#This Row],[RECUPERO SUPERVISOR]]/DITE_ENERO_2026[[#This Row],[META SUPER]]</calculatedColumnFormula>
    </tableColumn>
    <tableColumn id="4" xr3:uid="{2A98F79A-DD24-4D83-8BA6-82D08E13FF65}" name="SUPER" dataDxfId="562"/>
    <tableColumn id="5" xr3:uid="{3F9C0B21-F246-40F5-B83B-6E1442CF2131}" name="1" dataDxfId="561"/>
    <tableColumn id="6" xr3:uid="{82FC80A9-9A41-42BE-ADC0-0CD59C900786}" name="2" dataDxfId="560"/>
    <tableColumn id="36" xr3:uid="{CA81CA44-827C-45E8-AC06-DC9981750310}" name="3" dataDxfId="559"/>
    <tableColumn id="35" xr3:uid="{4D1DEC94-6331-4F09-BA9E-B7A8C033B218}" name="4" dataDxfId="558"/>
    <tableColumn id="34" xr3:uid="{DB9BA0C3-7EE6-4EF0-BFE4-DFA6138CC954}" name="5" dataDxfId="557"/>
    <tableColumn id="33" xr3:uid="{555EB36D-2BD4-463A-AA30-BC4E2AF59577}" name="6" dataDxfId="556"/>
    <tableColumn id="32" xr3:uid="{CD594F14-E668-4171-B224-2D1EB8F12904}" name="7" dataDxfId="555"/>
    <tableColumn id="31" xr3:uid="{CE1693BC-730F-4221-A5EC-B12B2C08D967}" name="8" dataDxfId="554"/>
    <tableColumn id="30" xr3:uid="{D62E1F60-4782-4F2D-B690-7D11A373BFEE}" name="9" dataDxfId="553"/>
    <tableColumn id="29" xr3:uid="{67AA1F0E-6FD5-4227-8FC3-54350952F274}" name="10" dataDxfId="552"/>
    <tableColumn id="28" xr3:uid="{D4CCC202-871A-430E-A7C4-8C2E1F633660}" name="11" dataDxfId="551"/>
    <tableColumn id="7" xr3:uid="{77D5DF82-95A0-430A-9509-AA047E6F6BB6}" name="12" dataDxfId="550"/>
    <tableColumn id="8" xr3:uid="{45052ACC-BEA6-4143-B55C-D2927C794547}" name="13" dataDxfId="549"/>
    <tableColumn id="9" xr3:uid="{A76A60E2-ABB3-4CA9-876C-F0E146A4EE28}" name="14" dataDxfId="548"/>
    <tableColumn id="10" xr3:uid="{5361F0A7-C153-4400-A683-ADB185B2D1E4}" name="15" dataDxfId="547"/>
    <tableColumn id="11" xr3:uid="{5C1E0CB3-E70D-4999-8E10-8E327EB2D410}" name="16" dataDxfId="546"/>
    <tableColumn id="12" xr3:uid="{4E264E92-011A-4E01-B78E-20B2B900F7FB}" name="17" dataDxfId="545"/>
    <tableColumn id="13" xr3:uid="{4DE23C2E-4F9B-4579-9BCE-93EAD290F9A8}" name="18" dataDxfId="544"/>
    <tableColumn id="14" xr3:uid="{ADE81A92-9983-4367-83CB-C4FA26CF8415}" name="19" dataDxfId="543"/>
    <tableColumn id="15" xr3:uid="{28467DBF-6C6B-430A-98CA-67317F73CD23}" name="20" dataDxfId="542"/>
    <tableColumn id="16" xr3:uid="{19E54854-D1FF-45D4-94D2-82215DE354F0}" name="21" dataDxfId="541"/>
    <tableColumn id="17" xr3:uid="{1F67BAFC-1AE0-4A70-9864-2C684E0743C1}" name="22" dataDxfId="540"/>
    <tableColumn id="18" xr3:uid="{4887B78E-B1D4-490D-BDE4-66011785EB0B}" name="23" dataDxfId="539"/>
    <tableColumn id="19" xr3:uid="{A4E77FFD-C128-4F89-ACB7-5A19C9AC8068}" name="24" dataDxfId="538"/>
    <tableColumn id="20" xr3:uid="{3166AEA9-9CE1-49E0-85A7-B06251784AF0}" name="25" dataDxfId="537"/>
    <tableColumn id="21" xr3:uid="{D0F8CB31-F152-441F-95C0-C8F116F8FBD4}" name="26" dataDxfId="536"/>
    <tableColumn id="22" xr3:uid="{F8CD3E26-00FA-4CB1-AB01-D0E528D7E8B4}" name="27" dataDxfId="535"/>
    <tableColumn id="23" xr3:uid="{19608BA9-8EEF-49C7-B4A7-B9B3571F8643}" name="28" dataDxfId="534"/>
    <tableColumn id="24" xr3:uid="{FAD90248-66B1-421C-B230-68841EB2A0B9}" name="29" dataDxfId="533"/>
    <tableColumn id="25" xr3:uid="{9307F5B0-B35B-4416-BE7C-74E539966F44}" name="30" dataDxfId="532"/>
    <tableColumn id="26" xr3:uid="{0FA7DA7F-AD3E-4DD3-B407-DD15600893BE}" name="31" dataDxfId="531"/>
    <tableColumn id="27" xr3:uid="{CAD2B4E3-016B-42FA-AD88-18A28731A184}" name="CARTERA" dataDxfId="530"/>
  </tableColumns>
  <tableStyleInfo name="TableStyleMedium1"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95694E91-A22D-4122-A773-319764DCFE1C}" name="Tabla6165666768" displayName="Tabla6165666768" ref="CK8:CO13" totalsRowShown="0" headerRowDxfId="529" dataDxfId="528">
  <autoFilter ref="CK8:CO13" xr:uid="{95694E91-A22D-4122-A773-319764DCFE1C}"/>
  <tableColumns count="5">
    <tableColumn id="1" xr3:uid="{C2641825-D096-486F-999E-4CE77F417527}" name="VISTA" dataDxfId="527"/>
    <tableColumn id="2" xr3:uid="{C7669EDB-9258-4E82-A7BF-4F674531F2F1}" name="1" dataDxfId="526"/>
    <tableColumn id="3" xr3:uid="{363EBF77-47FF-4F55-A442-DDF5E5A8C002}" name="2" dataDxfId="525"/>
    <tableColumn id="4" xr3:uid="{58EEA049-99C0-4E09-A82C-D96BDA89432E}" name="3" dataDxfId="524"/>
    <tableColumn id="14" xr3:uid="{33A8CBF3-2A19-4EE0-B3BD-9D8DFCA943AB}" name="4" dataDxfId="523"/>
  </tableColumns>
  <tableStyleInfo name="TableStyleMedium1"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CF28BD-D91E-4BE6-BD3B-BCADCA049C93}" name="DATA_FEBRERO_2026" displayName="DATA_FEBRERO_2026" ref="M8:AX59" totalsRowShown="0" headerRowBorderDxfId="522" tableBorderDxfId="521">
  <autoFilter ref="M8:AX59" xr:uid="{D9CF28BD-D91E-4BE6-BD3B-BCADCA049C93}"/>
  <tableColumns count="38">
    <tableColumn id="5" xr3:uid="{A121E4E8-FA4D-47D4-9A77-06F28AAE4E54}" name="AL_AC" dataDxfId="520">
      <calculatedColumnFormula>DATA_FEBRERO_2026[[#This Row],[RECUPERO]]/DATA_FEBRERO_2026[[#This Row],[META]]</calculatedColumnFormula>
    </tableColumn>
    <tableColumn id="2" xr3:uid="{34ED75F7-6C69-4661-9178-0FEC57ED1324}" name="Q_ALC" dataDxfId="519">
      <calculatedColumnFormula>6-ROUNDUP(_xlfn.RANK.EQ(DATA_FEBRERO_2026[[#This Row],[AL_AC]],DATA_FEBRERO_2026[AL_AC],0)/(COUNTA(DATA_FEBRERO_2026[AL_AC])/5),0)</calculatedColumnFormula>
    </tableColumn>
    <tableColumn id="3" xr3:uid="{3B4D3A2A-7C26-4228-A0CA-B9FD55456630}" name="SUPERVISOR" dataDxfId="518">
      <calculatedColumnFormula>IFERROR(VLOOKUP(DATA_FEBRERO_2026[[#This Row],[ASER_]],$B:$G,4,0),"")</calculatedColumnFormula>
    </tableColumn>
    <tableColumn id="1" xr3:uid="{9BC79FD6-44BC-4708-987B-14B90F71C5E5}" name="RECUPERO" dataDxfId="517">
      <calculatedColumnFormula>SUM(DATA_FEBRERO_2026[[#This Row],[1]:[31]])</calculatedColumnFormula>
    </tableColumn>
    <tableColumn id="6" xr3:uid="{018AE36B-77F5-47D3-A72E-855E3B4EA24D}" name="META" dataDxfId="516">
      <calculatedColumnFormula>VLOOKUP(DATA_FEBRERO_2026[[#This Row],[ASER_]],D1_FEBRERO_2026[[ASESOR_CRR]:[META]],2,0)</calculatedColumnFormula>
    </tableColumn>
    <tableColumn id="7" xr3:uid="{D07B538A-1223-4282-911D-0D8C6D33F252}" name="ASER_" dataDxfId="515"/>
    <tableColumn id="4" xr3:uid="{978EBDF4-AB0F-45EB-8F17-7A1040F8BBBE}" name="1" dataDxfId="514"/>
    <tableColumn id="8" xr3:uid="{1276421E-A9BD-4193-946B-2B02A7972B4A}" name="2" dataDxfId="513"/>
    <tableColumn id="9" xr3:uid="{31AFF576-CA16-4044-A433-CF00527C2D07}" name="3" dataDxfId="512"/>
    <tableColumn id="10" xr3:uid="{E8F5F7F4-A4CF-4AAC-A43C-A3FCD8C1BC19}" name="4" dataDxfId="511"/>
    <tableColumn id="11" xr3:uid="{188BA638-2000-41D9-B5E6-9165523ED42D}" name="5" dataDxfId="510"/>
    <tableColumn id="12" xr3:uid="{C225C63B-52FC-44AB-96F6-9151E73D6699}" name="6" dataDxfId="509"/>
    <tableColumn id="13" xr3:uid="{67E1F5CE-2C28-4FA3-9034-A737F1B2D7A4}" name="7" dataDxfId="508"/>
    <tableColumn id="14" xr3:uid="{BF6E4C42-64F4-4C86-87D7-0EB0DF723F0A}" name="8" dataDxfId="507"/>
    <tableColumn id="15" xr3:uid="{77DEB661-03C1-4274-9B6F-379D81B3710E}" name="9" dataDxfId="506"/>
    <tableColumn id="35" xr3:uid="{A13630BC-1BB6-4707-83E3-E2A6FD2FAFF3}" name="10" dataDxfId="505"/>
    <tableColumn id="36" xr3:uid="{5B83E5AF-B52C-4B3F-9B8E-974AD7242CB6}" name="11" dataDxfId="504"/>
    <tableColumn id="38" xr3:uid="{EFCD2EF3-DC69-46DB-8A4C-D03EFA19868F}" name="12" dataDxfId="503"/>
    <tableColumn id="37" xr3:uid="{283914E6-F846-42D8-BFA5-7E5CF71F8E39}" name="13" dataDxfId="502"/>
    <tableColumn id="32" xr3:uid="{506D1094-3E71-477B-9E3B-FD71CD452A13}" name="14" dataDxfId="501"/>
    <tableColumn id="33" xr3:uid="{51A0C186-4F1F-4B6E-A04E-6DA5B01E5817}" name="15" dataDxfId="500"/>
    <tableColumn id="34" xr3:uid="{83A09A26-D26C-4BF1-9870-7E24692CCAB5}" name="16" dataDxfId="499"/>
    <tableColumn id="26" xr3:uid="{F0CECF60-FD0C-487B-964E-F3D195A081A6}" name="17" dataDxfId="498"/>
    <tableColumn id="30" xr3:uid="{87E5481D-2747-411F-8715-2B1A58E5072E}" name="18" dataDxfId="497"/>
    <tableColumn id="31" xr3:uid="{56B820E5-7529-456B-BFFB-66FC13160FC7}" name="19" dataDxfId="496"/>
    <tableColumn id="16" xr3:uid="{943E3451-A77C-49F4-A8CD-FB3A234BB921}" name="20" dataDxfId="495"/>
    <tableColumn id="17" xr3:uid="{08A06D07-4057-4995-AD95-02726747926A}" name="21" dataDxfId="494"/>
    <tableColumn id="18" xr3:uid="{3CA4B4CF-845B-4625-A447-E9930B6C4C90}" name="22" dataDxfId="493"/>
    <tableColumn id="19" xr3:uid="{E2FCBDE7-CAF6-4719-A2E2-E3DFA5938EA9}" name="23" dataDxfId="492"/>
    <tableColumn id="20" xr3:uid="{8D68A4E9-C605-423B-B28C-8947CEDED2E3}" name="24" dataDxfId="491"/>
    <tableColumn id="21" xr3:uid="{E2A95743-C4CF-4116-BC14-7F1E8AF5B934}" name="25" dataDxfId="490"/>
    <tableColumn id="22" xr3:uid="{D4E75B42-4A90-4E6B-91F6-47924749D8CD}" name="26" dataDxfId="489"/>
    <tableColumn id="23" xr3:uid="{24EC0407-9580-4B34-8870-6246EA8347AA}" name="27" dataDxfId="488"/>
    <tableColumn id="24" xr3:uid="{9A472190-4164-4FC7-BF8C-D0120ACA1D92}" name="28" dataDxfId="487"/>
    <tableColumn id="25" xr3:uid="{67A0A5BC-662A-45DE-932F-9EB3EAF965DB}" name="29" dataDxfId="486"/>
    <tableColumn id="28" xr3:uid="{E79C70F7-7B0D-4E48-A0C5-1A9E39BD7A03}" name="30"/>
    <tableColumn id="27" xr3:uid="{CC131A3C-81D4-4603-9FEE-1FA42B55FA2F}" name="31"/>
    <tableColumn id="29" xr3:uid="{C1FA1E1A-BF32-42C7-B6D3-0E6FF8769586}" name="CARTERA ASESOR" dataDxfId="485">
      <calculatedColumnFormula array="1">IFERROR(VLOOKUP(DATA_FEBRERO_2026[[#This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1"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9401265-E178-4F26-958C-8E013ABD7F63}" name="D1_FEBRERO_2026" displayName="D1_FEBRERO_2026" ref="A2:K58" totalsRowShown="0" headerRowDxfId="484">
  <autoFilter ref="A2:K58" xr:uid="{09401265-E178-4F26-958C-8E013ABD7F63}"/>
  <tableColumns count="11">
    <tableColumn id="1" xr3:uid="{FF4304D3-C1B3-4117-B1D1-7473C26439FA}" name="SUPER" dataDxfId="483">
      <calculatedColumnFormula>D1_FEBRERO_2026[[#This Row],[SUPER2]]</calculatedColumnFormula>
    </tableColumn>
    <tableColumn id="2" xr3:uid="{67ED5510-50EF-4F29-9E94-9FBEBF9785CA}" name="ASESOR_CRR" dataDxfId="482">
      <calculatedColumnFormula array="1">TRIM(IFERROR(_xlfn.IFS(D1_FEBRERO_2026[[#This Row],[ASESOR]]="ELVIS GUERRA","ELVIS GUERRERA",D1_FEBRERO_2026[[#This Row],[ASESOR]]="GENESIS VICUÑA","GENESIS VICUNA",D1_FEBRERO_2026[[#This Row],[ASESOR]]="GINA HUMANI","GINA HUAMANI"),D1_FEBRERO_2026[[#This Row],[ASESOR]]))</calculatedColumnFormula>
    </tableColumn>
    <tableColumn id="5" xr3:uid="{03C61DF7-FC65-40C0-9AB1-AB4D29483079}" name="META" dataDxfId="481">
      <calculatedColumnFormula>IF(D1_FEBRERO_2026[[#This Row],[RECUPERO]]="","",VLOOKUP($M$3&amp;$N$3&amp;D1_FEBRERO_2026[[#This Row],[SUPER]],TablaMeta[],6,0))</calculatedColumnFormula>
    </tableColumn>
    <tableColumn id="6" xr3:uid="{2B80CB30-A6A0-44F6-A230-69E9FDAC0826}" name="ALCANCE" dataDxfId="480">
      <calculatedColumnFormula>IF(D1_FEBRERO_2026[[#This Row],[RECUPERO]]="VACACIONES","VACACIONES",IFERROR(D1_FEBRERO_2026[[#This Row],[RECUPERO]]/D1_FEBRERO_2026[[#This Row],[META]],""))</calculatedColumnFormula>
    </tableColumn>
    <tableColumn id="7" xr3:uid="{F48E639E-A7C4-46EE-A2EB-CFE9E7FFE6A6}" name="SUPER2" dataDxfId="479">
      <calculatedColumnFormula>IFERROR(VLOOKUP(D1_FEBRERO_2026[[#This Row],[ASESOR_CRR]],#REF!,2,0),"")</calculatedColumnFormula>
    </tableColumn>
    <tableColumn id="3" xr3:uid="{6ED7A230-433F-453C-BA57-1B3D06377A9C}" name="ASESOR"/>
    <tableColumn id="4" xr3:uid="{3A6B3973-2E4F-4F1D-A7C0-55D5FF7B647B}" name="RECUPERO" dataDxfId="478"/>
    <tableColumn id="11" xr3:uid="{43FBB121-21C6-4560-8A31-396504B80F85}" name="DNI" dataDxfId="477"/>
    <tableColumn id="12" xr3:uid="{050FC1E9-9233-41A1-8E92-B7BA6485722C}" name="FECHA DE INICIO" dataDxfId="476"/>
    <tableColumn id="8" xr3:uid="{5BBA9A50-BA4F-49CE-B7C8-1095BCBFEC60}" name="ESTADO" dataDxfId="475"/>
    <tableColumn id="9" xr3:uid="{898E5137-590F-493E-82A2-9DB1422BE516}" name="SEGMENTO" dataDxfId="474"/>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FC24358-45B3-4AB7-8E53-6FBC39C08B13}" name="DITE_FEBRERO_2026" displayName="DITE_FEBRERO_2026" ref="AZ8:CI13" totalsRowShown="0" headerRowDxfId="473" dataDxfId="471" headerRowBorderDxfId="472" tableBorderDxfId="470" totalsRowBorderDxfId="469">
  <autoFilter ref="AZ8:CI13" xr:uid="{1FC24358-45B3-4AB7-8E53-6FBC39C08B13}"/>
  <sortState xmlns:xlrd2="http://schemas.microsoft.com/office/spreadsheetml/2017/richdata2" ref="AZ9:CI13">
    <sortCondition descending="1" ref="BC8:BC13"/>
  </sortState>
  <tableColumns count="36">
    <tableColumn id="2" xr3:uid="{9779FBFD-20D8-4A0B-9D2E-F857B1D5647E}" name="META SUPER" dataDxfId="468">
      <calculatedColumnFormula>VLOOKUP($M$3&amp;$N$3&amp;DITE_FEBRERO_2026[[#This Row],[SUPER]],TablaMeta[],5,0)</calculatedColumnFormula>
    </tableColumn>
    <tableColumn id="3" xr3:uid="{6B6BAC5B-8599-4731-A182-2C4F7DEEFEAE}" name="RECUPERO SUPERVISOR" dataDxfId="467">
      <calculatedColumnFormula>MAX(DITE_FEBRERO_2026[[#This Row],[SUPER]:[CARTERA]])</calculatedColumnFormula>
    </tableColumn>
    <tableColumn id="4" xr3:uid="{4933F2AB-4AE8-41EB-9B81-DB478EB8720C}" name="ALCANCE SUPERVISOR" dataDxfId="466">
      <calculatedColumnFormula>IFERROR(DITE_FEBRERO_2026[[#This Row],[RECUPERO SUPERVISOR]]/DITE_FEBRERO_2026[[#This Row],[META SUPER]],"")</calculatedColumnFormula>
    </tableColumn>
    <tableColumn id="1" xr3:uid="{047DCD1B-C369-4C85-B7E1-E24F8A0D1263}" name="SUPER" dataDxfId="465"/>
    <tableColumn id="6" xr3:uid="{1385D33D-7CDB-4253-9C4B-559ACF4D4DAA}" name="1" dataDxfId="464"/>
    <tableColumn id="7" xr3:uid="{51AE8FE4-77E7-44A5-9C70-47F9BABA0830}" name="2" dataDxfId="463"/>
    <tableColumn id="27" xr3:uid="{1D246E4C-3547-4D3F-8436-3907FD9391BF}" name="3" dataDxfId="462"/>
    <tableColumn id="26" xr3:uid="{ACC21055-7F68-4EBE-A98E-8B2EBA670DAF}" name="4" dataDxfId="461"/>
    <tableColumn id="8" xr3:uid="{0453D1F4-77C1-4D27-8BF6-C892F06D8037}" name="5" dataDxfId="460"/>
    <tableColumn id="9" xr3:uid="{7FE05B03-2694-4042-93D1-1E8A18BEC10D}" name="6" dataDxfId="459"/>
    <tableColumn id="10" xr3:uid="{07F638D2-254F-4B29-9B2B-FA43C127E0CD}" name="7" dataDxfId="458"/>
    <tableColumn id="11" xr3:uid="{F53CCC3D-E418-4E84-9766-30CCCCAEF94C}" name="8" dataDxfId="457"/>
    <tableColumn id="12" xr3:uid="{9789EB55-C896-45E1-8B38-057DF9C6F8FF}" name="9" dataDxfId="456"/>
    <tableColumn id="13" xr3:uid="{2F4E85B1-BA28-448A-A8F3-8873A4197781}" name="10" dataDxfId="455"/>
    <tableColumn id="14" xr3:uid="{E386891B-028C-4934-99EC-39A6D8E87A77}" name="11" dataDxfId="454"/>
    <tableColumn id="15" xr3:uid="{3F90131C-5E3B-4375-AAC9-BE39D3073700}" name="12" dataDxfId="453"/>
    <tableColumn id="16" xr3:uid="{176424CB-4A73-4E0A-BAEC-1B002E427751}" name="13" dataDxfId="452"/>
    <tableColumn id="17" xr3:uid="{20013F01-EA55-4DBF-93AD-78228648A78B}" name="14" dataDxfId="451"/>
    <tableColumn id="18" xr3:uid="{A3E1B7CD-FD3B-4A3B-BA09-FB0B2522F474}" name="15" dataDxfId="450"/>
    <tableColumn id="19" xr3:uid="{25BB1268-DEAB-4394-AB3D-5028E517E118}" name="16" dataDxfId="449"/>
    <tableColumn id="20" xr3:uid="{1E99825A-7369-447C-81C1-6F57CF76B414}" name="17" dataDxfId="448"/>
    <tableColumn id="21" xr3:uid="{A76460CB-F28F-4034-BFB5-822E2F8ACDEE}" name="18" dataDxfId="447"/>
    <tableColumn id="22" xr3:uid="{45579674-F34E-4238-9155-A84E93C0EEDC}" name="19" dataDxfId="446"/>
    <tableColumn id="23" xr3:uid="{4A9727A5-6162-4A6C-980C-9485FB632B2C}" name="20" dataDxfId="445"/>
    <tableColumn id="24" xr3:uid="{839F012E-3965-47C4-A48B-B6ACC97A3F38}" name="21" dataDxfId="444"/>
    <tableColumn id="36" xr3:uid="{1C64A10A-7FC4-4258-A62B-43B06212544A}" name="22" dataDxfId="443"/>
    <tableColumn id="35" xr3:uid="{FFBDF276-626A-447A-A0F4-E7E78EDC17B4}" name="23" dataDxfId="442"/>
    <tableColumn id="34" xr3:uid="{7E693F8F-B376-48A1-9691-2B1EFFEC77E7}" name="24" dataDxfId="441"/>
    <tableColumn id="33" xr3:uid="{BBD3ABB0-0FEA-4DF0-B0B7-E417E6BF40E1}" name="25" dataDxfId="440"/>
    <tableColumn id="32" xr3:uid="{6F3706DA-AAB4-46A8-B7AB-36C461B04704}" name="26" dataDxfId="439"/>
    <tableColumn id="31" xr3:uid="{8771DA1E-DC48-4640-98D0-9BF514ABF088}" name="27" dataDxfId="438"/>
    <tableColumn id="30" xr3:uid="{F6F48FE7-4B31-45F6-9C90-C56A1AFDE462}" name="28" dataDxfId="437"/>
    <tableColumn id="29" xr3:uid="{7BDABDE2-32A4-4ABF-AF09-62502F6B7D68}" name="29" dataDxfId="436"/>
    <tableColumn id="28" xr3:uid="{552C8688-2A69-47D3-AFF3-7B94E4A5A563}" name="30" dataDxfId="435"/>
    <tableColumn id="25" xr3:uid="{7D18929B-B74F-4405-83F4-DF4F5C13E3E8}" name="31" dataDxfId="434"/>
    <tableColumn id="5" xr3:uid="{AE5733E5-56DE-4157-A3B4-7F889627B2A1}" name="CARTERA" dataDxfId="433">
      <calculatedColumnFormula>VLOOKUP($M$3&amp;$N$3&amp;DITE_FEBRERO_2026[[#This Row],[SUPER]],TablaMeta[],7,0)</calculatedColumnFormula>
    </tableColumn>
  </tableColumns>
  <tableStyleInfo name="TableStyleMedium1"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C7374107-EF62-492E-86AF-6DF3F7708C53}" name="Tabla61656667" displayName="Tabla61656667" ref="CK8:CO13" totalsRowShown="0" headerRowDxfId="432" dataDxfId="431">
  <autoFilter ref="CK8:CO13" xr:uid="{C7374107-EF62-492E-86AF-6DF3F7708C53}"/>
  <tableColumns count="5">
    <tableColumn id="1" xr3:uid="{041D6CB1-E7ED-47A3-859B-2D4329D91665}" name="VISTA" dataDxfId="430"/>
    <tableColumn id="2" xr3:uid="{0A01B3FA-CC3F-4AFA-A784-F69B00A114D0}" name="1" dataDxfId="429"/>
    <tableColumn id="3" xr3:uid="{90C8A7AE-C8FA-4CB3-9866-23B9F56015C3}" name="2" dataDxfId="428"/>
    <tableColumn id="4" xr3:uid="{00CC8F61-FE80-4AA3-8F50-6C7F93F5C8B7}" name="3" dataDxfId="427"/>
    <tableColumn id="14" xr3:uid="{72F60B70-B948-42FF-8BA2-6325A239D71B}" name="4" dataDxfId="426"/>
  </tableColumns>
  <tableStyleInfo name="TableStyleMedium1"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B47E3FED-A810-4569-AD58-E02CDF17171A}" name="Tabla87" displayName="Tabla87" ref="CQ8:DR1193" totalsRowShown="0" headerRowDxfId="425" headerRowBorderDxfId="424" tableBorderDxfId="423">
  <autoFilter ref="CQ8:DR1193" xr:uid="{B47E3FED-A810-4569-AD58-E02CDF17171A}"/>
  <tableColumns count="28">
    <tableColumn id="1" xr3:uid="{C015F8C1-ED63-48C8-B98A-2E1C5F525E13}" name="IND_canal"/>
    <tableColumn id="2" xr3:uid="{16F5036F-191D-4A64-9FED-5DD141CA016D}" name="IND_equipo"/>
    <tableColumn id="3" xr3:uid="{DB6DC070-16E1-42BA-BCD9-7B851BADD05D}" name="IND_alias"/>
    <tableColumn id="4" xr3:uid="{DACC126C-FDF7-439F-8043-D24E30F2A773}" name="IND_Fecha"/>
    <tableColumn id="5" xr3:uid="{58610F95-7D40-463D-A013-0666995267D6}" name="IND_Cantidad Asesores"/>
    <tableColumn id="6" xr3:uid="{38C15E01-F704-4A93-953A-57069EE7662A}" name="IND_DIASLAB"/>
    <tableColumn id="7" xr3:uid="{A9851707-6B24-4BDE-88CF-2545D604A213}" name="IND_Tardanza"/>
    <tableColumn id="8" xr3:uid="{7A23BA0A-7830-44AD-A8DC-81AD63B0D56B}" name="IND_%puntualidad"/>
    <tableColumn id="9" xr3:uid="{EEC09722-A9CA-42DB-87AE-E6FB5A032091}" name="IND_%Falta"/>
    <tableColumn id="10" xr3:uid="{08E8779D-14A7-4A32-9693-C5C66C6A3DC6}" name="IND_Tiempo Tardanza - Promedio"/>
    <tableColumn id="11" xr3:uid="{EDE112BA-507B-4E30-AEBF-09AB717A048E}" name="IND_Tardanza Tiempo"/>
    <tableColumn id="12" xr3:uid="{66342D97-2CB5-45EB-83D0-0099A7CCF1E7}" name="IND_Tiempo Manual"/>
    <tableColumn id="13" xr3:uid="{8B644C92-CDD5-496F-9AE6-8FA48D31240F}" name="IND_Tiempo Discador"/>
    <tableColumn id="14" xr3:uid="{1AA342EC-850A-4D0C-83B5-B4E6AD112D72}" name="IND_Clientes Gestionados"/>
    <tableColumn id="15" xr3:uid="{4B188D7C-952D-49E8-99A3-D7DAE8D2F66D}" name="IND_Gestiones"/>
    <tableColumn id="16" xr3:uid="{F0877E11-5C51-40B2-9D25-352B1463A2ED}" name="IND_CEF Unico"/>
    <tableColumn id="17" xr3:uid="{6B7D55CE-52E7-4C99-881A-5E013F5AC5DD}" name="IND_Intensidad CEF"/>
    <tableColumn id="18" xr3:uid="{CDF77F25-3630-420C-9C88-A950D064C94A}" name="IND_Ticket CEF"/>
    <tableColumn id="19" xr3:uid="{7C63114D-F50D-4904-80B3-84B59372F069}" name="IND_Contactabilidad"/>
    <tableColumn id="20" xr3:uid="{57726FCC-6B50-437F-8202-3D9406FC73BD}" name="IND_PDP"/>
    <tableColumn id="21" xr3:uid="{3D72B994-B106-48A5-9560-E8DE6B9D7C44}" name="IND_Cierre"/>
    <tableColumn id="22" xr3:uid="{7689E7B3-B4F5-4C94-9DCA-48A92B06DB4D}" name="IND_MontoPDP"/>
    <tableColumn id="23" xr3:uid="{6169C983-74D8-403B-8DFC-F33C42C844D3}" name="IND_Ticket PDP"/>
    <tableColumn id="24" xr3:uid="{D4A2785B-3598-47BF-863A-E82F5C663CDF}" name="IND_Recupero"/>
    <tableColumn id="25" xr3:uid="{F67AE6D9-984D-44C8-AEF9-0E3F02EEC22D}" name="IND_Calidad PDP"/>
    <tableColumn id="26" xr3:uid="{CF39B2B3-13F8-4E7C-98D3-6FC3C28CDC61}" name="IND_Condonacion"/>
    <tableColumn id="27" xr3:uid="{16152C44-EE74-4CB5-B560-F9A2A07EAC1E}" name="IND_Score"/>
    <tableColumn id="28" xr3:uid="{B54E57DC-C33B-42D5-B291-63B7C4F1265A}" name="IND_Ticket Pago"/>
  </tableColumns>
  <tableStyleInfo name="TableStyleLight8"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10D9C722-BC82-4CBD-88CB-CD727BC4895B}" name="DATA_MARZO_202651" displayName="DATA_MARZO_202651" ref="M8:AV61" totalsRowShown="0" headerRowBorderDxfId="422" tableBorderDxfId="421">
  <autoFilter ref="M8:AV61" xr:uid="{10D9C722-BC82-4CBD-88CB-CD727BC4895B}"/>
  <tableColumns count="36">
    <tableColumn id="5" xr3:uid="{3EA8D04F-B731-4091-B799-92E6E8A12619}" name="AL_AC" dataDxfId="420">
      <calculatedColumnFormula>DATA_MARZO_202651[[#This Row],[RECUPERO]]/DATA_MARZO_202651[[#This Row],[META]]</calculatedColumnFormula>
    </tableColumn>
    <tableColumn id="2" xr3:uid="{7E499EF6-2412-4A87-8A0C-22E06B524D4F}" name="Q_ALC" dataDxfId="419">
      <calculatedColumnFormula>6-ROUNDUP(_xlfn.RANK.EQ(DATA_MARZO_202651[[#This Row],[AL_AC]],DATA_MARZO_202651[AL_AC],0)/(COUNTA(DATA_MARZO_202651[AL_AC])/5),0)</calculatedColumnFormula>
    </tableColumn>
    <tableColumn id="3" xr3:uid="{13B6D54A-B002-48CF-8315-34D75D3BC9DB}" name="SUPERVISOR" dataDxfId="418">
      <calculatedColumnFormula>IFERROR(VLOOKUP(DATA_MARZO_202651[[#This Row],[ASER_]],$B:$G,4,0),"")</calculatedColumnFormula>
    </tableColumn>
    <tableColumn id="1" xr3:uid="{60303CD3-4613-4145-8342-86D502299A8B}" name="RECUPERO" dataDxfId="417">
      <calculatedColumnFormula>SUM(DATA_MARZO_202651[[#This Row],[1]:[30]])</calculatedColumnFormula>
    </tableColumn>
    <tableColumn id="6" xr3:uid="{856379E9-6B44-4AE2-9624-4D2FD560D923}" name="META" dataDxfId="416">
      <calculatedColumnFormula>VLOOKUP(DATA_MARZO_202651[[#This Row],[ASER_]],D1_MARZO_202655[[ASESOR_CRR]:[META]],2,0)</calculatedColumnFormula>
    </tableColumn>
    <tableColumn id="7" xr3:uid="{973ABAA2-566A-4673-AFE7-72D690F359B0}" name="ASER_" dataDxfId="415"/>
    <tableColumn id="4" xr3:uid="{6267F15F-68D8-4064-A7C3-4A95739D7D7D}" name="1" dataDxfId="414"/>
    <tableColumn id="8" xr3:uid="{617297D4-5DE5-468D-9D9E-3D5450B8C283}" name="2" dataDxfId="413"/>
    <tableColumn id="9" xr3:uid="{17C8DC6A-03F3-4202-83C1-46E923A2D1DF}" name="3" dataDxfId="412"/>
    <tableColumn id="10" xr3:uid="{4C96E5CA-D293-4DC5-A37E-3DBF6149890A}" name="4" dataDxfId="411"/>
    <tableColumn id="11" xr3:uid="{B792BD3F-46D9-40C4-A2FA-531E9E6115A9}" name="5" dataDxfId="410"/>
    <tableColumn id="12" xr3:uid="{648B1B03-D21B-4A18-881A-71E7191DF504}" name="6" dataDxfId="409"/>
    <tableColumn id="13" xr3:uid="{6EBA52BB-1706-4B79-A879-FE3268ED0BBF}" name="7" dataDxfId="408"/>
    <tableColumn id="14" xr3:uid="{2B12EC67-A932-4DD4-BD48-E7353960E2BF}" name="9" dataDxfId="407"/>
    <tableColumn id="15" xr3:uid="{D7F1E0B7-4D6E-49BF-9418-24F5297694EE}" name="10" dataDxfId="406"/>
    <tableColumn id="19" xr3:uid="{56857386-1DA3-4909-89E8-4507141B1D9E}" name="11" dataDxfId="405"/>
    <tableColumn id="20" xr3:uid="{D4018347-5F78-4817-9F75-25F11416A495}" name="12" dataDxfId="404"/>
    <tableColumn id="21" xr3:uid="{FC9A77B1-87D5-4C5C-9A8A-BA739407A621}" name="13" dataDxfId="403"/>
    <tableColumn id="22" xr3:uid="{BC437EB7-66F3-427D-BCC5-C7D632259C84}" name="14" dataDxfId="402"/>
    <tableColumn id="23" xr3:uid="{F03BBA1E-25FC-4285-A1C4-38F67EC97EBE}" name="15" dataDxfId="401"/>
    <tableColumn id="24" xr3:uid="{0DE66777-8AD0-422A-83F5-529557ED7384}" name="16" dataDxfId="400"/>
    <tableColumn id="25" xr3:uid="{0927E02F-BAFD-4B0F-8DCD-75495CBF9E66}" name="17" dataDxfId="399"/>
    <tableColumn id="35" xr3:uid="{01749D29-46CC-47AC-8AA5-5B3159FC3624}" name="18" dataDxfId="398"/>
    <tableColumn id="36" xr3:uid="{D98199A8-307D-4EA2-AB10-B2B924BF4D53}" name="19" dataDxfId="397"/>
    <tableColumn id="38" xr3:uid="{6512BCB2-C1CC-4DF5-907A-4D7BDBE273C0}" name="20" dataDxfId="396"/>
    <tableColumn id="37" xr3:uid="{48DFBBB8-0BEB-4F05-A9DF-B6D5FEFA7922}" name="21" dataDxfId="395"/>
    <tableColumn id="32" xr3:uid="{DF7F0AD1-F0A8-4092-80DD-52B3202986C6}" name="22" dataDxfId="394"/>
    <tableColumn id="33" xr3:uid="{31379DCE-58EA-49E7-A093-1D4D11F4D719}" name="23" dataDxfId="393"/>
    <tableColumn id="34" xr3:uid="{AF028C85-0295-4506-BD52-A8C2D61B4263}" name="24" dataDxfId="392"/>
    <tableColumn id="26" xr3:uid="{C9F08C31-4D7A-4980-AAF5-AFB091013679}" name="25" dataDxfId="391"/>
    <tableColumn id="30" xr3:uid="{0EA87D7E-6026-4B22-AB9B-1ACD3E4A585C}" name="26" dataDxfId="390"/>
    <tableColumn id="31" xr3:uid="{F68B6077-5CFC-42ED-923A-AF0D719251AB}" name="27" dataDxfId="389"/>
    <tableColumn id="16" xr3:uid="{1C3C20D8-9CDD-4BE1-A12E-4E057E8F52D9}" name="28" dataDxfId="388"/>
    <tableColumn id="17" xr3:uid="{FE4352AA-AED9-41FA-B8EF-EDAF69656302}" name="29" dataDxfId="387"/>
    <tableColumn id="18" xr3:uid="{D67830D0-9348-49E3-8552-7C2C1F60368B}" name="30" dataDxfId="386"/>
    <tableColumn id="29" xr3:uid="{17BA8B4D-6786-4535-AB74-674976645F34}" name="CARTERA ASESOR" dataDxfId="385">
      <calculatedColumnFormula array="1">IFERROR(VLOOKUP(DATA_MARZO_202651[[#This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1"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E01CE6AA-C36B-4BD4-93EB-8762B2545E1A}" name="D1_MARZO_202655" displayName="D1_MARZO_202655" ref="A2:K59" totalsRowShown="0" headerRowDxfId="384">
  <autoFilter ref="A2:K59" xr:uid="{E01CE6AA-C36B-4BD4-93EB-8762B2545E1A}"/>
  <tableColumns count="11">
    <tableColumn id="1" xr3:uid="{2131FF24-1653-4821-B8CB-2994A6FD2B90}" name="SUPER" dataDxfId="383">
      <calculatedColumnFormula array="1">IFERROR(VLOOKUP(D1_MARZO_202655[[#This Row],[ASESOR_CRR]],_xlfn._xlws.FILTER(PLANTILLA[[ASESOR]:[FECHA DE CESE]],PLANTILLA[FECHA]=_xlfn.CONCAT($M$3,"_",_xlfn.IFS($N$3="ENERO","1",$N$3="FEBRERO","2",$N$3="MARZO","3",$N$3="ABRIL","4",$N$3="MAYO","5",$N$3="JUNIO","6",$N$3="JULIO","7",$N$3="AGOSTO","8",$N$3="SETIEMBRE","9",$N$3="OCTUBRE","10",$N$3="NOVIEMBRE","11",$N$3="DICIEMBRE","12"))),3,0),"")</calculatedColumnFormula>
    </tableColumn>
    <tableColumn id="2" xr3:uid="{2A46F16D-0377-421F-899C-1DE1A0A36D94}" name="ASESOR_CRR" dataDxfId="382">
      <calculatedColumnFormula array="1">TRIM(IFERROR(_xlfn.IFS(D1_MARZO_202655[[#This Row],[ASESOR]]="ELVIS GUERRA","ELVIS GUERRERA",D1_MARZO_202655[[#This Row],[ASESOR]]="GENESIS VICUÑA","GENESIS VICUNA",D1_MARZO_202655[[#This Row],[ASESOR]]="JENY QUIÑONES","JENY QUINONES",D1_MARZO_202655[[#This Row],[ASESOR]]="NICOLE CAURURO","NICOLE CAURURO"),D1_MARZO_202655[[#This Row],[ASESOR]]))</calculatedColumnFormula>
    </tableColumn>
    <tableColumn id="5" xr3:uid="{CA40F099-880D-4B5C-9892-5286DB750754}" name="META" dataDxfId="381">
      <calculatedColumnFormula array="1">_xlfn.XLOOKUP(1,(TablaMeta[CONCAT]=$M$3&amp;$N$3&amp;D1_MARZO_202655[[#This Row],[SUPER]])*(TablaMeta[SEGG]=D1_MARZO_202655[[#This Row],[SEGMENTO]]),TablaMeta[Meta_Asesor])</calculatedColumnFormula>
    </tableColumn>
    <tableColumn id="6" xr3:uid="{F7268458-CFE1-4E38-A954-BCEE551EB9A8}" name="ALCANCE" dataDxfId="380">
      <calculatedColumnFormula>IF(D1_MARZO_202655[[#This Row],[RECUPERO]]="VACACIONES","VACACIONES",IFERROR(D1_MARZO_202655[[#This Row],[RECUPERO]]/D1_MARZO_202655[[#This Row],[META]],""))</calculatedColumnFormula>
    </tableColumn>
    <tableColumn id="7" xr3:uid="{FC155F19-18F0-4A72-948D-7FBC22CB45DE}" name="SUPER2" dataDxfId="379">
      <calculatedColumnFormula>D1_MARZO_202655[[#This Row],[SUPER]]</calculatedColumnFormula>
    </tableColumn>
    <tableColumn id="3" xr3:uid="{DC94DC3E-BC7A-43C1-93F5-0F9187E9F8B1}" name="ASESOR"/>
    <tableColumn id="4" xr3:uid="{9079A78F-6BE4-4415-98DB-A6E8DF0AE7C9}" name="RECUPERO" dataDxfId="378">
      <calculatedColumnFormula>VLOOKUP(D1_MARZO_202655[[#This Row],[ASESOR]],#REF!,2,0)</calculatedColumnFormula>
    </tableColumn>
    <tableColumn id="11" xr3:uid="{BD3DF0C1-1E9B-4EE4-A539-1F0A1F585CE9}" name="DNI" dataDxfId="377">
      <calculatedColumnFormula array="1">IFERROR(VLOOKUP(D1_MARZO_202655[[#This Row],[ASESOR_CRR]],_xlfn._xlws.FILTER(PLANTILLA[[ASESOR]:[FECHA DE CESE]],PLANTILLA[FECHA]=_xlfn.CONCAT($M$3,"_",_xlfn.IFS($N$3="ENERO","1",$N$3="FEBRERO","2",$N$3="MARZO","3",$N$3="ABRIL","4",$N$3="MAYO","5",$N$3="JUNIO","6",$N$3="JULIO","7",$N$3="AGOSTO","8",$N$3="SETIEMBRE","9",$N$3="OCTUBRE","10",$N$3="NOVIEMBRE","11",$N$3="DICIEMBRE","12"))),2,0),"")</calculatedColumnFormula>
    </tableColumn>
    <tableColumn id="12" xr3:uid="{3214B24C-4051-49C3-A889-AD6A941A76C6}" name="FECHA DE INICIO" dataDxfId="376">
      <calculatedColumnFormula array="1">IFERROR(VLOOKUP(D1_MARZO_202655[[#This Row],[ASESOR_CRR]],_xlfn._xlws.FILTER(PLANTILLA[[ASESOR]:[FECHA DE CESE]],PLANTILLA[FECHA]=_xlfn.CONCAT($M$3,"_",_xlfn.IFS($N$3="ENERO","1",$N$3="FEBRERO","2",$N$3="MARZO","3",$N$3="ABRIL","4",$N$3="MAYO","5",$N$3="JUNIO","6",$N$3="JULIO","7",$N$3="AGOSTO","8",$N$3="SETIEMBRE","9",$N$3="OCTUBRE","10",$N$3="NOVIEMBRE","11",$N$3="DICIEMBRE","12"))),6,0),"")</calculatedColumnFormula>
    </tableColumn>
    <tableColumn id="8" xr3:uid="{6ECC8E67-111B-4CA9-AF12-72E07C14509D}" name="ESTADO" dataDxfId="375">
      <calculatedColumnFormula array="1">IFERROR(VLOOKUP(D1_MARZO_202655[[#This Row],[ASESOR_CRR]],_xlfn._xlws.FILTER(PLANTILLA[[ASESOR]:[FECHA DE CESE]],PLANTILLA[FECHA]=_xlfn.CONCAT($M$3,"_",_xlfn.IFS($N$3="ENERO","1",$N$3="FEBRERO","2",$N$3="MARZO","3",$N$3="ABRIL","4",$N$3="MAYO","5",$N$3="JUNIO","6",$N$3="JULIO","7",$N$3="AGOSTO","8",$N$3="SETIEMBRE","9",$N$3="OCTUBRE","10",$N$3="NOVIEMBRE","11",$N$3="DICIEMBRE","12"))),4,0),"")</calculatedColumnFormula>
    </tableColumn>
    <tableColumn id="9" xr3:uid="{D12A68FE-B35A-4E99-9879-943A0B54A306}" name="SEGMENTO" dataDxfId="374">
      <calculatedColumnFormula array="1">IFERROR(VLOOKUP(D1_MARZO_202655[[#This Row],[ASESOR_CRR]],_xlfn._xlws.FILTER(PLANTILLA[[ASESOR]:[FECHA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4204DE1-942A-4677-A277-D1BE5E11C76A}" name="DITE_MARZO_202656" displayName="DITE_MARZO_202656" ref="AX8:CE13" totalsRowShown="0" headerRowDxfId="373" dataDxfId="371" headerRowBorderDxfId="372" tableBorderDxfId="370" totalsRowBorderDxfId="369">
  <autoFilter ref="AX8:CE13" xr:uid="{34204DE1-942A-4677-A277-D1BE5E11C76A}"/>
  <sortState xmlns:xlrd2="http://schemas.microsoft.com/office/spreadsheetml/2017/richdata2" ref="AX9:CE13">
    <sortCondition descending="1" ref="BA8:BA13"/>
  </sortState>
  <tableColumns count="34">
    <tableColumn id="2" xr3:uid="{5C47B921-B29C-496C-9618-0D4EA850186A}" name="META SUPER" dataDxfId="368">
      <calculatedColumnFormula>SUMIFS(TablaMeta[Meta_Equipo],TablaMeta[CONCAT],$M$3&amp;$N$3&amp;DITE_MARZO_202656[[#This Row],[SUPER]])</calculatedColumnFormula>
    </tableColumn>
    <tableColumn id="3" xr3:uid="{ABA80E77-C125-4B59-A973-1CE63B90510A}" name="RECUPERO SUPERVISOR" dataDxfId="367">
      <calculatedColumnFormula>MAX(DITE_MARZO_202656[[#This Row],[SUPER]:[CARTERA]])</calculatedColumnFormula>
    </tableColumn>
    <tableColumn id="4" xr3:uid="{7CD6A40B-DE50-4B4C-8FE0-D559C24C5B7C}" name="ALCANCE SUPERVISOR" dataDxfId="366">
      <calculatedColumnFormula>IFERROR(DITE_MARZO_202656[[#This Row],[RECUPERO SUPERVISOR]]/DITE_MARZO_202656[[#This Row],[META SUPER]],"")</calculatedColumnFormula>
    </tableColumn>
    <tableColumn id="1" xr3:uid="{6D3DD5F1-B3BB-4AFA-AF7C-13E6EF288DD2}" name="SUPER" dataDxfId="365"/>
    <tableColumn id="6" xr3:uid="{15A19F2D-93B5-40FA-93BC-49CBD3FFA864}" name="1" dataDxfId="364"/>
    <tableColumn id="25" xr3:uid="{0131E759-F953-4B4F-9B6F-62D557EA1564}" name="2" dataDxfId="363"/>
    <tableColumn id="28" xr3:uid="{1B8CCED0-9089-4C64-9B52-E51A4D36FD02}" name="3" dataDxfId="362"/>
    <tableColumn id="29" xr3:uid="{5F15056A-AC3D-41D9-A094-8E92EF01C61B}" name="4" dataDxfId="361"/>
    <tableColumn id="30" xr3:uid="{07537EFC-BC67-40BD-89D6-9C32B3231D84}" name="5" dataDxfId="360"/>
    <tableColumn id="31" xr3:uid="{545CA3D7-78C4-4FD8-A39E-07A4D58E98F5}" name="6" dataDxfId="359"/>
    <tableColumn id="32" xr3:uid="{9F2A86FC-1EDC-418E-810B-373F7164A6A6}" name="7" dataDxfId="358"/>
    <tableColumn id="33" xr3:uid="{D891A683-322C-4993-81DB-EFF757D62DDA}" name="9" dataDxfId="357"/>
    <tableColumn id="7" xr3:uid="{CF50FCAC-3D6E-4766-8052-F687DB2D3BB2}" name="10" dataDxfId="356"/>
    <tableColumn id="27" xr3:uid="{973979CD-2F5D-4B04-B9B4-B8CF351AC4DD}" name="11" dataDxfId="355"/>
    <tableColumn id="26" xr3:uid="{ACFB9B4D-96FE-4EA7-A28D-2C76FAD3B7FE}" name="12" dataDxfId="354"/>
    <tableColumn id="8" xr3:uid="{C4769E61-F413-4D8E-B1E9-C99CC43BC51E}" name="13" dataDxfId="353"/>
    <tableColumn id="9" xr3:uid="{0B5D79D1-0957-4379-BD0F-09EC6003DABC}" name="14" dataDxfId="352"/>
    <tableColumn id="10" xr3:uid="{7ED4553D-C770-4010-AE78-79CEED9E3688}" name="15" dataDxfId="351"/>
    <tableColumn id="11" xr3:uid="{B5B3A3E3-86EA-4A28-9341-4446DA4EC86F}" name="16" dataDxfId="350"/>
    <tableColumn id="12" xr3:uid="{20F7C89E-C0EA-4863-AD2C-ECE11F3C914C}" name="17" dataDxfId="349"/>
    <tableColumn id="13" xr3:uid="{CB3A9ADF-2A71-4315-9EED-921F3BC80E0B}" name="18" dataDxfId="348"/>
    <tableColumn id="14" xr3:uid="{AB466201-0021-4374-9E9C-FBC6912E7D00}" name="19" dataDxfId="347"/>
    <tableColumn id="15" xr3:uid="{CF0930AA-3683-412F-BB0C-0879E8AA45CA}" name="20" dataDxfId="346"/>
    <tableColumn id="16" xr3:uid="{B6819525-02E5-44DB-9161-5AE240527B5A}" name="21" dataDxfId="345"/>
    <tableColumn id="17" xr3:uid="{EF34C9D6-8F40-4817-8C4C-D79F58BCD150}" name="22" dataDxfId="344"/>
    <tableColumn id="18" xr3:uid="{3E376577-6CA4-4ABE-96FE-93C18911296B}" name="23" dataDxfId="343"/>
    <tableColumn id="19" xr3:uid="{12DC978E-AB73-4385-8B31-891E8DF1BDED}" name="24" dataDxfId="342"/>
    <tableColumn id="20" xr3:uid="{ED0D4DA8-BBB6-4210-8918-15057CC5B929}" name="25" dataDxfId="341"/>
    <tableColumn id="21" xr3:uid="{1D5B24BE-80A3-4E59-9BB5-8887D00E5479}" name="26" dataDxfId="340"/>
    <tableColumn id="22" xr3:uid="{1019D822-005E-4FAA-8B65-BB1C11AF450B}" name="27" dataDxfId="339"/>
    <tableColumn id="23" xr3:uid="{D5474EFB-00D1-4351-A34C-735E9FD53A78}" name="28" dataDxfId="338"/>
    <tableColumn id="34" xr3:uid="{60C3BF83-C82C-4796-AADB-E62F86A12BBA}" name="29" dataDxfId="337"/>
    <tableColumn id="24" xr3:uid="{EF9744F2-C4EC-45E4-8844-AE1CA94D83A6}" name="30" dataDxfId="336"/>
    <tableColumn id="5" xr3:uid="{75CF2EC1-6198-4A79-A7CA-D258FCB6701B}" name="CARTERA" dataDxfId="335">
      <calculatedColumnFormula>VLOOKUP($M$3&amp;$N$3&amp;DITE_MARZO_202656[[#This Row],[SUPER]],TablaMeta[],7,0)</calculatedColumnFormula>
    </tableColumn>
  </tableColumns>
  <tableStyleInfo name="TableStyleMedium1"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14FD1991-0C08-40B6-BA01-224E94C39EEF}" name="Tabla616566" displayName="Tabla616566" ref="CG8:CK13" totalsRowShown="0" headerRowDxfId="334" dataDxfId="333">
  <autoFilter ref="CG8:CK13" xr:uid="{14FD1991-0C08-40B6-BA01-224E94C39EEF}"/>
  <tableColumns count="5">
    <tableColumn id="1" xr3:uid="{1B90371C-7E36-4D9A-98B4-8A9074D071F5}" name="VISTA" dataDxfId="332"/>
    <tableColumn id="2" xr3:uid="{CFB2843E-FF0C-4C03-A3A8-DC5F321295BC}" name="1" dataDxfId="331"/>
    <tableColumn id="3" xr3:uid="{A1FBA42F-8A7A-41A4-A8EF-20A008AF07E4}" name="2" dataDxfId="330"/>
    <tableColumn id="4" xr3:uid="{21A28C40-F4BF-4DCC-9046-E9D71906D1CA}" name="3" dataDxfId="329"/>
    <tableColumn id="14" xr3:uid="{BC083383-0C4B-4C67-938E-9492D789F90D}" name="4" dataDxfId="328"/>
  </tableColumns>
  <tableStyleInfo name="TableStyleMedium1"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4D83C250-18AE-440E-90AA-F23937FA88A9}" name="Tabla86" displayName="Tabla86" ref="CM8:DN1197" totalsRowShown="0" headerRowDxfId="327" headerRowBorderDxfId="326" tableBorderDxfId="325">
  <autoFilter ref="CM8:DN1197" xr:uid="{4D83C250-18AE-440E-90AA-F23937FA88A9}"/>
  <tableColumns count="28">
    <tableColumn id="1" xr3:uid="{A48A70BE-A12A-442E-B5C3-4E99CC27B6AB}" name="IND_canal"/>
    <tableColumn id="2" xr3:uid="{C16ACE5E-E679-489B-908E-98D714B964CA}" name="IND_equipo"/>
    <tableColumn id="3" xr3:uid="{28F4E911-27B9-4FCC-B478-11B1D478F144}" name="IND_alias"/>
    <tableColumn id="4" xr3:uid="{D47C2021-5384-4122-88F8-67E8BD359AE7}" name="IND_Fecha"/>
    <tableColumn id="5" xr3:uid="{90EB3B94-863E-4CB0-A7D2-6CE3B4B3CC0E}" name="IND_Cantidad Asesores"/>
    <tableColumn id="6" xr3:uid="{C7C67C82-219E-41F8-90FC-405311665CB0}" name="IND_DIASLAB"/>
    <tableColumn id="7" xr3:uid="{697139CC-C74A-4FF6-9EE2-0CCD97ACECB4}" name="IND_Tardanza"/>
    <tableColumn id="8" xr3:uid="{A176903F-9046-4B19-9CBA-8230A6768597}" name="IND_%puntualidad"/>
    <tableColumn id="9" xr3:uid="{A847601E-A30F-49B0-B454-BDD16FEF91C4}" name="IND_%Falta"/>
    <tableColumn id="10" xr3:uid="{596C2A0C-6F97-479A-82C3-6C3BE6687450}" name="IND_Tiempo Tardanza - Promedio"/>
    <tableColumn id="11" xr3:uid="{CAB8279E-A505-4D94-8A23-9447A29D25F3}" name="IND_Tardanza Tiempo"/>
    <tableColumn id="12" xr3:uid="{47278A57-1D33-4D36-A0B4-6AF02D0C9F24}" name="IND_Tiempo Manual"/>
    <tableColumn id="13" xr3:uid="{0C0216C4-9876-435D-BDFC-D43976DD5CB2}" name="IND_Tiempo Discador"/>
    <tableColumn id="14" xr3:uid="{1E929A40-4CE9-4276-A172-BDE2D17A732B}" name="IND_Clientes Gestionados"/>
    <tableColumn id="15" xr3:uid="{722E2836-CE28-4A03-9523-E961975BCE7B}" name="IND_Gestiones"/>
    <tableColumn id="16" xr3:uid="{93C0557E-CE8B-43DE-B677-E5A37A88F23A}" name="IND_CEF Unico"/>
    <tableColumn id="17" xr3:uid="{6D35C9D8-A299-4C86-9AD1-FCA8033C0D6D}" name="IND_Intensidad CEF"/>
    <tableColumn id="18" xr3:uid="{5BEE4EF7-98D6-4337-A8D4-6F8398EFA71E}" name="IND_Ticket CEF"/>
    <tableColumn id="19" xr3:uid="{15C623F4-C6EF-424C-A932-C7BFEEE4A5B5}" name="IND_Contactabilidad"/>
    <tableColumn id="20" xr3:uid="{A5316CAB-0739-41DF-BB9E-2811E189AE0A}" name="IND_PDP"/>
    <tableColumn id="21" xr3:uid="{C9A5F2B6-FCCD-4EEF-8B89-E9E10843569C}" name="IND_Cierre"/>
    <tableColumn id="22" xr3:uid="{B5C28D59-D42B-411D-9CF4-E8D0E529DB6D}" name="IND_MontoPDP"/>
    <tableColumn id="23" xr3:uid="{707517D6-232F-446A-8E55-E7E86D9DD0B5}" name="IND_Ticket PDP"/>
    <tableColumn id="24" xr3:uid="{DFD4FC2A-E360-4FA1-99F9-B360156F6896}" name="IND_Recupero"/>
    <tableColumn id="25" xr3:uid="{22D43427-8A00-4224-889E-CF12204D2633}" name="IND_Calidad PDP"/>
    <tableColumn id="26" xr3:uid="{A7347801-7442-4DB9-A82C-1945CB62875F}" name="IND_Condonacion"/>
    <tableColumn id="27" xr3:uid="{5F539DCA-DD0C-404B-8E5C-D8E563F87305}" name="IND_Score"/>
    <tableColumn id="28" xr3:uid="{26A13EE8-3503-46E7-8E41-07CBE87C75B5}" name="IND_Ticket Pago"/>
  </tableColumns>
  <tableStyleInfo name="TableStyleLight8"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4674D711-8FDA-49B8-91E7-8E8BFE600256}" name="DATA_ABRIL_2026" displayName="DATA_ABRIL_2026" ref="M8:AS60" totalsRowShown="0" headerRowBorderDxfId="324" tableBorderDxfId="323">
  <autoFilter ref="M8:AS60" xr:uid="{4674D711-8FDA-49B8-91E7-8E8BFE600256}"/>
  <tableColumns count="33">
    <tableColumn id="5" xr3:uid="{5F132C86-FD60-4105-A05E-7399F10522E1}" name="AL_AC" dataDxfId="322">
      <calculatedColumnFormula>DATA_ABRIL_2026[[#This Row],[RECUPERO]]/DATA_ABRIL_2026[[#This Row],[META]]</calculatedColumnFormula>
    </tableColumn>
    <tableColumn id="2" xr3:uid="{26123EEE-E738-4097-B64F-DE727558F2E9}" name="Q_ALC" dataDxfId="321">
      <calculatedColumnFormula>6-ROUNDUP(_xlfn.RANK.EQ(DATA_ABRIL_2026[[#This Row],[AL_AC]],DATA_ABRIL_2026[AL_AC],0)/(COUNTA(DATA_ABRIL_2026[AL_AC])/5),0)</calculatedColumnFormula>
    </tableColumn>
    <tableColumn id="3" xr3:uid="{38352063-95C9-4352-8DC7-369C03903179}" name="SUPERVISOR" dataDxfId="320">
      <calculatedColumnFormula>IFERROR(VLOOKUP(DATA_ABRIL_2026[[#This Row],[ASER_]],$B:$G,4,0),"")</calculatedColumnFormula>
    </tableColumn>
    <tableColumn id="1" xr3:uid="{2446915D-352F-48FC-A54B-86B7E0D937FA}" name="RECUPERO" dataDxfId="319">
      <calculatedColumnFormula>SUM(DATA_ABRIL_2026[[#This Row],[1]:[30]])</calculatedColumnFormula>
    </tableColumn>
    <tableColumn id="6" xr3:uid="{A25A8AC3-9CC7-4A3A-A8D9-212FD3F93687}" name="META" dataDxfId="318">
      <calculatedColumnFormula>VLOOKUP(DATA_ABRIL_2026[[#This Row],[ASER_]],D1_ABRIL_2026[[ASESOR_CRR]:[META]],2,0)</calculatedColumnFormula>
    </tableColumn>
    <tableColumn id="7" xr3:uid="{C52D2491-CDFB-40B5-A884-909C5FEC445B}" name="ASER_" dataDxfId="317"/>
    <tableColumn id="4" xr3:uid="{DE600806-870A-4C0D-9101-49AAF5AC383F}" name="1" dataDxfId="316"/>
    <tableColumn id="8" xr3:uid="{BE4BC420-81EA-43E8-8BBA-609D8B0F8C88}" name="3" dataDxfId="315"/>
    <tableColumn id="9" xr3:uid="{39C08C78-15AF-4E44-B050-F5D4532C00EE}" name="4" dataDxfId="314"/>
    <tableColumn id="10" xr3:uid="{3A0A15B8-0910-483C-BCCA-F8F4651DA25E}" name="6" dataDxfId="313"/>
    <tableColumn id="11" xr3:uid="{B4BA1A21-248B-4AFC-B040-D29D15754499}" name="7" dataDxfId="312"/>
    <tableColumn id="12" xr3:uid="{14108850-D364-4CF0-976B-8E53F6DE4877}" name="8" dataDxfId="311"/>
    <tableColumn id="13" xr3:uid="{7F673FC8-FC0A-4A15-87D6-B7F1A000710C}" name="9" dataDxfId="310"/>
    <tableColumn id="14" xr3:uid="{3CFB96DE-4D9D-4AFC-8AD0-816CCD4832BD}" name="10" dataDxfId="309"/>
    <tableColumn id="15" xr3:uid="{1BE8AE05-90F3-4DD0-9A61-33DCCF63D95C}" name="11" dataDxfId="308"/>
    <tableColumn id="35" xr3:uid="{4ECF85FD-1D61-48B3-8984-C16A39A2E49F}" name="13" dataDxfId="307"/>
    <tableColumn id="22" xr3:uid="{B78A6A02-65D7-44AB-8F25-CBB1359F2BEF}" name="14" dataDxfId="306"/>
    <tableColumn id="21" xr3:uid="{B1DB23EB-45AD-499D-B247-7B4F3552FBF7}" name="15" dataDxfId="305"/>
    <tableColumn id="20" xr3:uid="{7288DA27-CDAF-42C4-9A33-E4328C3823BB}" name="16" dataDxfId="304"/>
    <tableColumn id="19" xr3:uid="{9E3DAACD-64FB-4BF2-BFCA-23FA1192DC0A}" name="17" dataDxfId="303"/>
    <tableColumn id="18" xr3:uid="{2A3C0CE0-4246-4785-8F14-48E9F546C6B1}" name="18" dataDxfId="302"/>
    <tableColumn id="36" xr3:uid="{6663D018-7D0B-4581-A6C2-472754649147}" name="20" dataDxfId="301"/>
    <tableColumn id="38" xr3:uid="{B0110345-7E4C-400C-9AE3-B09313D7CC7C}" name="21" dataDxfId="300"/>
    <tableColumn id="37" xr3:uid="{F0B0FB80-9213-45D7-B0D1-0CEC84136504}" name="22" dataDxfId="299"/>
    <tableColumn id="32" xr3:uid="{3A771CC6-AD9B-421B-AAF1-4E32683000ED}" name="23" dataDxfId="298"/>
    <tableColumn id="33" xr3:uid="{734026D2-0E34-449A-A227-F1A23D2EB1DC}" name="24" dataDxfId="297"/>
    <tableColumn id="34" xr3:uid="{E9E90DE3-01F9-45DB-84EB-C6B787DCB978}" name="25" dataDxfId="296"/>
    <tableColumn id="26" xr3:uid="{7EBC28C2-37A3-4E16-A29B-DB94F8B90247}" name="26" dataDxfId="295"/>
    <tableColumn id="30" xr3:uid="{9EF77477-FA4C-46E8-BA9C-307B5604C40C}" name="27" dataDxfId="294"/>
    <tableColumn id="31" xr3:uid="{0F9E2ED5-E2DC-4A69-AE18-8B9CF2D84585}" name="28" dataDxfId="293"/>
    <tableColumn id="23" xr3:uid="{0EAC6B53-45C9-47B7-BC2B-1E00E8849622}" name="29" dataDxfId="292"/>
    <tableColumn id="16" xr3:uid="{24C06BFB-17B1-4C60-983A-E34808ADEEDC}" name="30" dataDxfId="291"/>
    <tableColumn id="29" xr3:uid="{9A87A5C0-7BE6-4BFF-85E2-0BBBD687F508}" name="CARTERA ASESOR" dataDxfId="290">
      <calculatedColumnFormula array="1">IFERROR(VLOOKUP(DATA_ABRIL_2026[[#This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1"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7141373-C5A3-4BA8-9D78-B5F778D82FB5}" name="D1_ABRIL_2026" displayName="D1_ABRIL_2026" ref="A2:K58" totalsRowShown="0" headerRowDxfId="289">
  <autoFilter ref="A2:K58" xr:uid="{57141373-C5A3-4BA8-9D78-B5F778D82FB5}"/>
  <tableColumns count="11">
    <tableColumn id="1" xr3:uid="{164AF3BC-0626-49DF-9139-7226B478255C}" name="SUPER" dataDxfId="288">
      <calculatedColumnFormula array="1">IFERROR(VLOOKUP(D1_ABRIL_2026[[#This Row],[ASESOR_CRR]],_xlfn._xlws.FILTER(PLANTILLA[[ASESOR]:[FECHA DE CESE]],PLANTILLA[FECHA]=_xlfn.CONCAT($M$3,"_",_xlfn.IFS($N$3="ENERO","1",$N$3="FEBRERO","2",$N$3="MARZO","3",$N$3="ABRIL","4",$N$3="MAYO","5",$N$3="JUNIO","6",$N$3="JULIO","7",$N$3="AGOSTO","8",$N$3="SETIEMBRE","9",$N$3="OCTUBRE","10",$N$3="NOVIEMBRE","11",$N$3="DICIEMBRE","12"))),3,0),"")</calculatedColumnFormula>
    </tableColumn>
    <tableColumn id="2" xr3:uid="{4DC7E6A6-59CE-4433-9005-C75EA171A9F4}" name="ASESOR_CRR" dataDxfId="287">
      <calculatedColumnFormula array="1">TRIM(IFERROR(_xlfn.IFS(D1_ABRIL_2026[[#This Row],[ASESOR]]="ELVIS GUERRA","ELVIS GUERRERA",D1_ABRIL_2026[[#This Row],[ASESOR]]="GENESIS VICUÑA","GENESIS VICUNA",D1_ABRIL_2026[[#This Row],[ASESOR]]="JENY QUIÑONES","JENY QUINONES",D1_ABRIL_2026[[#This Row],[ASESOR]]="NICOLE CAURURO","NICOLE CAURURO"),D1_ABRIL_2026[[#This Row],[ASESOR]]))</calculatedColumnFormula>
    </tableColumn>
    <tableColumn id="5" xr3:uid="{363DCB6C-830E-47BB-BFA7-498371112AE6}" name="META" dataDxfId="286">
      <calculatedColumnFormula array="1">_xlfn.XLOOKUP(1,(TablaMeta[CONCAT]=$M$3&amp;$N$3&amp;D1_ABRIL_2026[[#This Row],[SUPER]])*(TablaMeta[SEGG]=D1_ABRIL_2026[[#This Row],[SEGMENTO]]),TablaMeta[Meta_Asesor])</calculatedColumnFormula>
    </tableColumn>
    <tableColumn id="6" xr3:uid="{4A5A5A0F-DE79-48F9-A98B-B28CE2C7A239}" name="ALCANCE" dataDxfId="285">
      <calculatedColumnFormula>IF(D1_ABRIL_2026[[#This Row],[RECUPERO]]="VACACIONES","VACACIONES",IFERROR(D1_ABRIL_2026[[#This Row],[RECUPERO]]/D1_ABRIL_2026[[#This Row],[META]],""))</calculatedColumnFormula>
    </tableColumn>
    <tableColumn id="7" xr3:uid="{99815128-5D81-4990-A4AF-830D22421999}" name="SUPER2" dataDxfId="284">
      <calculatedColumnFormula>D1_ABRIL_2026[[#This Row],[SUPER]]</calculatedColumnFormula>
    </tableColumn>
    <tableColumn id="3" xr3:uid="{5ED351F1-0A06-4F20-8827-6BDDE51C372E}" name="ASESOR"/>
    <tableColumn id="4" xr3:uid="{2F69DCD0-23FA-4780-A6E4-AA6B2D6E4271}" name="RECUPERO" dataDxfId="283"/>
    <tableColumn id="11" xr3:uid="{DF180A98-FB1C-4258-A98D-429BF8C95154}" name="DNI" dataDxfId="282">
      <calculatedColumnFormula array="1">IFERROR(VLOOKUP(D1_ABRIL_2026[[#This Row],[ASESOR_CRR]],_xlfn._xlws.FILTER(PLANTILLA[[ASESOR]:[FECHA DE CESE]],PLANTILLA[FECHA]=_xlfn.CONCAT($M$3,"_",_xlfn.IFS($N$3="ENERO","1",$N$3="FEBRERO","2",$N$3="MARZO","3",$N$3="ABRIL","4",$N$3="MAYO","5",$N$3="JUNIO","6",$N$3="JULIO","7",$N$3="AGOSTO","8",$N$3="SETIEMBRE","9",$N$3="OCTUBRE","10",$N$3="NOVIEMBRE","11",$N$3="DICIEMBRE","12"))),2,0),"")</calculatedColumnFormula>
    </tableColumn>
    <tableColumn id="12" xr3:uid="{9A6C5ABA-E113-4DE4-9A4E-628CC4FFCB83}" name="FECHA DE INICIO" dataDxfId="281">
      <calculatedColumnFormula array="1">IFERROR(VLOOKUP(D1_ABRIL_2026[[#This Row],[ASESOR_CRR]],_xlfn._xlws.FILTER(PLANTILLA[[ASESOR]:[FECHA DE CESE]],PLANTILLA[FECHA]=_xlfn.CONCAT($M$3,"_",_xlfn.IFS($N$3="ENERO","1",$N$3="FEBRERO","2",$N$3="MARZO","3",$N$3="ABRIL","4",$N$3="MAYO","5",$N$3="JUNIO","6",$N$3="JULIO","7",$N$3="AGOSTO","8",$N$3="SETIEMBRE","9",$N$3="OCTUBRE","10",$N$3="NOVIEMBRE","11",$N$3="DICIEMBRE","12"))),6,0),"")</calculatedColumnFormula>
    </tableColumn>
    <tableColumn id="8" xr3:uid="{18071322-A17E-47AC-A2C8-BBDCCA9AAA61}" name="ESTADO" dataDxfId="280">
      <calculatedColumnFormula array="1">IFERROR(VLOOKUP(D1_ABRIL_2026[[#This Row],[ASESOR_CRR]],_xlfn._xlws.FILTER(PLANTILLA[[ASESOR]:[FECHA DE CESE]],PLANTILLA[FECHA]=_xlfn.CONCAT($M$3,"_",_xlfn.IFS($N$3="ENERO","1",$N$3="FEBRERO","2",$N$3="MARZO","3",$N$3="ABRIL","4",$N$3="MAYO","5",$N$3="JUNIO","6",$N$3="JULIO","7",$N$3="AGOSTO","8",$N$3="SETIEMBRE","9",$N$3="OCTUBRE","10",$N$3="NOVIEMBRE","11",$N$3="DICIEMBRE","12"))),4,0),"")</calculatedColumnFormula>
    </tableColumn>
    <tableColumn id="9" xr3:uid="{91E33871-EB73-4078-B893-272948BF07D1}" name="SEGMENTO" dataDxfId="279">
      <calculatedColumnFormula array="1">IFERROR(VLOOKUP(D1_ABRIL_2026[[#This Row],[ASESOR_CRR]],_xlfn._xlws.FILTER(PLANTILLA[[ASESOR]:[FECHA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2"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54966179-DC81-455C-9A1F-61B9CE313F3E}" name="DITE_ABRIL_2026" displayName="DITE_ABRIL_2026" ref="AU8:BY13" totalsRowShown="0" headerRowDxfId="278" dataDxfId="276" headerRowBorderDxfId="277" tableBorderDxfId="275" totalsRowBorderDxfId="274">
  <autoFilter ref="AU8:BY13" xr:uid="{54966179-DC81-455C-9A1F-61B9CE313F3E}"/>
  <sortState xmlns:xlrd2="http://schemas.microsoft.com/office/spreadsheetml/2017/richdata2" ref="AU9:BY13">
    <sortCondition descending="1" ref="AX8:AX13"/>
  </sortState>
  <tableColumns count="31">
    <tableColumn id="2" xr3:uid="{FB4F3DD3-A063-4466-A46C-344301D0C698}" name="META SUPER" dataDxfId="273">
      <calculatedColumnFormula>SUMIFS(TablaMeta[Meta_Equipo],TablaMeta[CONCAT],$M$3&amp;$N$3&amp;DITE_ABRIL_2026[[#This Row],[SUPER]])</calculatedColumnFormula>
    </tableColumn>
    <tableColumn id="3" xr3:uid="{17264EC2-69C2-429C-9471-F9037DEE491A}" name="RECUPERO SUPERVISOR" dataDxfId="272">
      <calculatedColumnFormula>MAX(DITE_ABRIL_2026[[#This Row],[SUPER]:[CARTERA]])</calculatedColumnFormula>
    </tableColumn>
    <tableColumn id="4" xr3:uid="{F34C5336-6862-41A0-A409-0FB6019105D8}" name="ALCANCE SUPERVISOR" dataDxfId="271">
      <calculatedColumnFormula>IFERROR(DITE_ABRIL_2026[[#This Row],[RECUPERO SUPERVISOR]]/DITE_ABRIL_2026[[#This Row],[META SUPER]],"")</calculatedColumnFormula>
    </tableColumn>
    <tableColumn id="1" xr3:uid="{88C47E52-E4B0-4B86-818E-8DAED5A5EFF4}" name="SUPER" dataDxfId="270"/>
    <tableColumn id="6" xr3:uid="{F2748BC7-F61B-4028-B30C-9B7CFD4C1F43}" name="1" dataDxfId="269"/>
    <tableColumn id="7" xr3:uid="{F1653157-4532-4F05-98E2-0D0A5D116EBD}" name="3" dataDxfId="268"/>
    <tableColumn id="27" xr3:uid="{A0D73469-0ADD-4583-A690-120FBE5A5C22}" name="4" dataDxfId="267"/>
    <tableColumn id="26" xr3:uid="{43AEAD0D-21F8-4C47-A5C4-7018DC41F18D}" name="6" dataDxfId="266"/>
    <tableColumn id="24" xr3:uid="{D29FF61C-5CBB-4734-9C14-FEB2A8F85537}" name="7" dataDxfId="265"/>
    <tableColumn id="25" xr3:uid="{B0C46C49-5FF3-47BF-A9AE-6C0A8820ACB6}" name="8" dataDxfId="264"/>
    <tableColumn id="28" xr3:uid="{270C1466-85D7-44B7-9DF5-5350ABCF636F}" name="9" dataDxfId="263"/>
    <tableColumn id="29" xr3:uid="{EE58BF5E-4FAB-4320-AD22-496EBA0A8CC6}" name="10" dataDxfId="262"/>
    <tableColumn id="30" xr3:uid="{A7088926-934C-4E8D-88A7-2B9F683EFD3B}" name="11" dataDxfId="261"/>
    <tableColumn id="31" xr3:uid="{C3400A21-BB5F-443F-A43C-96F0D0E994CD}" name="13" dataDxfId="260"/>
    <tableColumn id="8" xr3:uid="{97E91656-58E1-4629-A463-25DCC7CFA3B0}" name="14" dataDxfId="259"/>
    <tableColumn id="9" xr3:uid="{4E0A9486-6527-4A6B-ACC7-8B01636917F5}" name="15" dataDxfId="258"/>
    <tableColumn id="10" xr3:uid="{0EE2F553-0C54-499A-9ACC-F4DCDCFBBBEA}" name="16" dataDxfId="257"/>
    <tableColumn id="11" xr3:uid="{7289F0C7-72E7-4C8A-A0E7-531EF74F9254}" name="17" dataDxfId="256"/>
    <tableColumn id="12" xr3:uid="{EC9696F2-D4A5-4042-BBE1-E3C64FE72AED}" name="18" dataDxfId="255"/>
    <tableColumn id="14" xr3:uid="{B0653272-6948-4A69-B7F5-9DADCB29A13E}" name="20" dataDxfId="254"/>
    <tableColumn id="15" xr3:uid="{0F1968FB-6B80-44F8-BE1A-C368F94B3C13}" name="21" dataDxfId="253"/>
    <tableColumn id="16" xr3:uid="{6D36DBEB-4AF5-426F-A752-698A5D1C3B62}" name="22" dataDxfId="252"/>
    <tableColumn id="17" xr3:uid="{0207C6D9-8D97-4852-BFED-C445D736D0DB}" name="23" dataDxfId="251"/>
    <tableColumn id="18" xr3:uid="{7DDAA5A2-633B-4C3F-B0EE-5FDD92815DC8}" name="24" dataDxfId="250"/>
    <tableColumn id="19" xr3:uid="{44AE6AAE-F0AD-4A2F-BFFB-98D8D3BA8E3C}" name="25" dataDxfId="249"/>
    <tableColumn id="20" xr3:uid="{B3CF3923-DF8A-4F76-B0EB-9BCF1BEB99D7}" name="26" dataDxfId="248"/>
    <tableColumn id="21" xr3:uid="{D1C5440B-A3AC-4083-9DEA-3C61BD3AA4BA}" name="27" dataDxfId="247"/>
    <tableColumn id="22" xr3:uid="{B9DADE9A-D31C-405D-B512-FA0C75505FD3}" name="28" dataDxfId="246"/>
    <tableColumn id="32" xr3:uid="{3E650F8F-F441-4E55-89DE-6126FB2FAC48}" name="29" dataDxfId="245"/>
    <tableColumn id="23" xr3:uid="{DDC02FAB-2145-4E5A-A691-0B443835F534}" name="30" dataDxfId="244"/>
    <tableColumn id="5" xr3:uid="{D4A0BEAA-FF12-423C-A01E-2E19D1AD53FF}" name="CARTERA" dataDxfId="243">
      <calculatedColumnFormula array="1">IFERROR(VLOOKUP(DITE_ABRIL_2026[[#This Row],[SUPER]],_xlfn._xlws.FILTER(PLANTILLA[[EQUIPO]:[FECHA DE CESE]],(PLANTILLA[FECHA]=_xlfn.CONCAT($M$3,"_",_xlfn.IFS($N$3="ENERO","1",$N$3="FEBRERO","2",$N$3="MARZO","3",$N$3="ABRIL","4",$N$3="MAYO","5",$N$3="JUNIO","6",$N$3="JULIO","7",$N$3="AGOSTO","8",$N$3="SETIEMBRE","9",$N$3="OCTUBRE","10",$N$3="NOVIEMBRE","11",$N$3="DICIEMBRE","12")))*(PLANTILLA[CONDICION]="SUPERVISOR")),6,0),"")</calculatedColumnFormula>
    </tableColumn>
  </tableColumns>
  <tableStyleInfo name="TableStyleMedium1"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2F2C0DF-608D-4449-86C3-ED0D601B4CAB}" name="Tabla6165" displayName="Tabla6165" ref="CA8:CE13" totalsRowShown="0" headerRowDxfId="242" dataDxfId="241">
  <autoFilter ref="CA8:CE13" xr:uid="{32F2C0DF-608D-4449-86C3-ED0D601B4CAB}"/>
  <tableColumns count="5">
    <tableColumn id="1" xr3:uid="{3CE00A77-7414-4C4C-8A91-68EF49780B65}" name="VISTA" dataDxfId="240"/>
    <tableColumn id="2" xr3:uid="{56B0F96B-21BA-4827-B2B1-B18358246F09}" name="1" dataDxfId="239"/>
    <tableColumn id="3" xr3:uid="{1E4D191E-FF72-4608-80E3-C9FEAF37BDCC}" name="2" dataDxfId="238"/>
    <tableColumn id="4" xr3:uid="{C83CA394-AE26-46CE-A122-E8F3B2632CBE}" name="3" dataDxfId="237"/>
    <tableColumn id="14" xr3:uid="{6F542B49-75AA-4A9E-8EF8-DB967DF24F23}" name="4" dataDxfId="236"/>
  </tableColumns>
  <tableStyleInfo name="TableStyleMedium1"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3A98A99B-1AE2-4F03-9CB9-89471AE50C86}" name="Tabla82" displayName="Tabla82" ref="CG8:DI63" totalsRowShown="0" headerRowDxfId="235" headerRowBorderDxfId="234" tableBorderDxfId="233">
  <autoFilter ref="CG8:DI63" xr:uid="{3A98A99B-1AE2-4F03-9CB9-89471AE50C86}"/>
  <tableColumns count="29">
    <tableColumn id="1" xr3:uid="{2F11B84B-7E43-48F3-B1E7-79475E171FF2}" name="IND_canal"/>
    <tableColumn id="2" xr3:uid="{388BBA37-4B69-4286-BF04-7349C799DAA9}" name="IND_equipo"/>
    <tableColumn id="3" xr3:uid="{7E0A9655-4F8A-45F3-88F8-566F84E4C882}" name="IND_alias"/>
    <tableColumn id="4" xr3:uid="{E63C1BCB-02D6-43A9-A782-0ACCDF9FE2A3}" name="IND_Fecha"/>
    <tableColumn id="5" xr3:uid="{3F6659E2-1C32-4631-9C2A-828C0D1098BC}" name="IND_Cantidad Asesores"/>
    <tableColumn id="6" xr3:uid="{495E7172-15E8-49BD-8E04-7695EED10B03}" name="IND_DIASLAB"/>
    <tableColumn id="7" xr3:uid="{0059E0A6-ED26-49DC-B84A-24D54DA2D945}" name="IND_Tardanza"/>
    <tableColumn id="8" xr3:uid="{F27717C4-2B06-4EFB-9955-782A19861A8D}" name="IND_%puntualidad"/>
    <tableColumn id="9" xr3:uid="{5946C9B5-4E21-4E47-9F90-2D5F86417B93}" name="IND_%Falta"/>
    <tableColumn id="10" xr3:uid="{178FDEDF-C6BF-45BD-A83F-F9DB4DBFDAEA}" name="IND_Tiempo Tardanza - Promedio"/>
    <tableColumn id="11" xr3:uid="{E8B26C61-47BA-4AB5-B321-6D578445D872}" name="IND_Tardanza Tiempo"/>
    <tableColumn id="12" xr3:uid="{8D505529-F4CE-4DCB-A087-72E429DA9E50}" name="IND_Tiempo Manual"/>
    <tableColumn id="13" xr3:uid="{719EC84C-D97E-47F4-8DE6-032C584516DD}" name="IND_Tiempo Discador"/>
    <tableColumn id="14" xr3:uid="{2D286874-ABCE-4B14-AE9C-63FEE49A56F9}" name="IND_Clientes Gestionados"/>
    <tableColumn id="15" xr3:uid="{742AB616-586E-4D4C-9B60-5864B40AF0AB}" name="IND_Gestiones"/>
    <tableColumn id="16" xr3:uid="{65DECDD5-5BF0-4665-A6BF-420E83831989}" name="IND_CEF Unico"/>
    <tableColumn id="17" xr3:uid="{FF2CAB10-C1EF-4484-BFDA-19B0C8279837}" name="IND_Intensidad CEF"/>
    <tableColumn id="18" xr3:uid="{C5EB9343-53B1-47A2-8046-83B83420E2E6}" name="IND_Ticket CEF"/>
    <tableColumn id="19" xr3:uid="{49232EEF-BC41-467F-B448-75D3A33C0877}" name="IND_Contactabilidad"/>
    <tableColumn id="20" xr3:uid="{453402F8-0C7C-4541-A4BD-B52B1F80833E}" name="IND_PDP"/>
    <tableColumn id="21" xr3:uid="{86A7A16C-A4C0-4DD2-9B91-CDD883D24EC4}" name="IND_Cierre"/>
    <tableColumn id="22" xr3:uid="{7E4A734A-3541-4E5F-BB38-A73543E120AA}" name="IND_MontoPDP"/>
    <tableColumn id="23" xr3:uid="{187A1BFA-C9D2-483A-8316-456642A952D6}" name="IND_Ticket PDP"/>
    <tableColumn id="24" xr3:uid="{87911FFD-ACAA-4B0D-BD73-B9E39632A18D}" name="IND_Recupero"/>
    <tableColumn id="25" xr3:uid="{010C64DD-66AB-4F35-95E3-519D85230B48}" name="IND_Calidad PDP"/>
    <tableColumn id="26" xr3:uid="{DDC3B57E-7C2E-4BD2-B1C8-BACF4966F5A5}" name="IND_Condonacion"/>
    <tableColumn id="27" xr3:uid="{BF13A661-27CB-4967-988F-3A1E8D2E2C8E}" name="IND_Score"/>
    <tableColumn id="28" xr3:uid="{21BA3B36-B3F3-477D-8DE4-85E71B8FC9A4}" name="IND_Ticket Pago"/>
    <tableColumn id="29" xr3:uid="{229D3A60-1A88-43EB-A834-B49CAAD2D3FF}" name="Columna1" dataDxfId="232">
      <calculatedColumnFormula>Tabla82[[#This Row],[IND_MontoPDP]]*Tabla82[[#This Row],[IND_Condonacion]]</calculatedColumnFormula>
    </tableColumn>
  </tableColumns>
  <tableStyleInfo name="TableStyleLight8"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CEADAD3D-0C27-4778-BBDF-CD1636DD9E90}" name="D1_MAYO_202681" displayName="D1_MAYO_202681" ref="A2:K56" totalsRowShown="0" headerRowDxfId="231">
  <autoFilter ref="A2:K56" xr:uid="{CEADAD3D-0C27-4778-BBDF-CD1636DD9E90}"/>
  <tableColumns count="11">
    <tableColumn id="1" xr3:uid="{4A64A390-AB89-48FF-B540-1CCF03489458}" name="SUPER" dataDxfId="230"/>
    <tableColumn id="2" xr3:uid="{45101E4F-DB4B-4554-B6B5-ADB5F0B1770F}" name="ASESOR_CRR" dataDxfId="229"/>
    <tableColumn id="5" xr3:uid="{E8ED1EF9-2793-4A14-9FB0-C2C88FAAF77A}" name="META" dataDxfId="228"/>
    <tableColumn id="6" xr3:uid="{9A1D0047-70F8-4EF2-B183-E872A9F6E0D4}" name="ALCANCE" dataDxfId="227"/>
    <tableColumn id="7" xr3:uid="{DB2D050C-1682-4246-A04F-385DB2970EEC}" name="SUPER2" dataDxfId="226"/>
    <tableColumn id="3" xr3:uid="{3432E335-BE7B-4784-A694-9F2A48385AC0}" name="ASESOR"/>
    <tableColumn id="4" xr3:uid="{267B73DC-69BA-4ECE-83A5-7572A6145E6D}" name="RECUPERO" dataDxfId="225"/>
    <tableColumn id="11" xr3:uid="{881B540A-A1A2-4344-A3DD-35C5E8D9728F}" name="DNI" dataDxfId="224"/>
    <tableColumn id="12" xr3:uid="{319F9868-3DC8-43BB-B95D-50902B671ECD}" name="FECHA DE INICIO" dataDxfId="223"/>
    <tableColumn id="8" xr3:uid="{CFF0EDA1-6698-4F60-A351-0F390F5F97C2}" name="ESTADO" dataDxfId="222"/>
    <tableColumn id="9" xr3:uid="{7B85EA5D-A52D-4E16-BAAE-ABE3F31106B9}" name="SEGMENTO" dataDxfId="221"/>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99EC4EFF-C4F5-47B9-B9CA-C539D3E1DA6A}" name="DATA_MAYO_202684" displayName="DATA_MAYO_202684" ref="M8:AW57" totalsRowShown="0" headerRowBorderDxfId="220" tableBorderDxfId="219">
  <autoFilter ref="M8:AW57" xr:uid="{99EC4EFF-C4F5-47B9-B9CA-C539D3E1DA6A}"/>
  <tableColumns count="37">
    <tableColumn id="5" xr3:uid="{7D4E3052-A2A5-45E4-91B9-517C4637DCB1}" name="AL_AC" dataDxfId="218"/>
    <tableColumn id="2" xr3:uid="{A35BC57C-E121-4AEE-9DD5-5E00BD1723E4}" name="Q_ALC" dataDxfId="217">
      <calculatedColumnFormula>6-ROUNDUP(_xlfn.RANK.EQ(DATA_MAYO_202684[[#This Row],[AL_AC]],DATA_MAYO_202684[AL_AC],0)/(COUNTA(DATA_MAYO_202684[AL_AC])/5),0)</calculatedColumnFormula>
    </tableColumn>
    <tableColumn id="3" xr3:uid="{5017548B-527B-4318-AA2A-51FA1DE29854}" name="SUPERVISOR" dataDxfId="216"/>
    <tableColumn id="1" xr3:uid="{6D53B6EC-2DC5-49C1-8E40-1AD9A3C0E8BF}" name="RECUPERO" dataDxfId="215">
      <calculatedColumnFormula>SUM(#REF!)</calculatedColumnFormula>
    </tableColumn>
    <tableColumn id="6" xr3:uid="{69340D94-209B-4BC0-AC07-C87931DE975C}" name="META" dataDxfId="214">
      <calculatedColumnFormula>VLOOKUP(DATA_MAYO_202684[[#This Row],[ASER_]],D1_MAYO_202681[[ASESOR_CRR]:[META]],2,0)</calculatedColumnFormula>
    </tableColumn>
    <tableColumn id="7" xr3:uid="{B8C4559C-F742-49D3-962B-6456909CF17B}" name="ASER_" dataDxfId="213"/>
    <tableColumn id="8" xr3:uid="{5556AB1B-7833-4E23-8AB5-D539848D6383}" name="2" dataDxfId="212"/>
    <tableColumn id="9" xr3:uid="{C5734845-9EDA-4C5F-89EA-F080D98A8239}" name="3" dataDxfId="211"/>
    <tableColumn id="18" xr3:uid="{D29F5486-5BB5-4845-AC59-26534416CDE0}" name="4"/>
    <tableColumn id="19" xr3:uid="{9911A996-A08B-45C6-A835-26FD089335B9}" name="5"/>
    <tableColumn id="20" xr3:uid="{1CA4B4B1-B02E-4AF1-B884-E0781A72C7BD}" name="6"/>
    <tableColumn id="21" xr3:uid="{7DC99F03-984A-4486-8C09-A2C4C29381F2}" name="7"/>
    <tableColumn id="22" xr3:uid="{D48D929C-200D-4C3D-92BE-0CBF276AC8E4}" name="8"/>
    <tableColumn id="23" xr3:uid="{E6CCD608-7E46-40A9-9B56-AF2D44A97D2F}" name="9"/>
    <tableColumn id="24" xr3:uid="{F06A466C-E12F-4426-969D-B8AD3076954A}" name="10"/>
    <tableColumn id="25" xr3:uid="{56058F91-9D70-405D-8417-54A15548B7F5}" name="11"/>
    <tableColumn id="27" xr3:uid="{C8D42F4A-B489-4D0B-9584-CFB3A5F8E8DF}" name="12"/>
    <tableColumn id="28" xr3:uid="{34714BDF-C0C9-497F-9E93-4AD5A5858327}" name="13"/>
    <tableColumn id="10" xr3:uid="{1787F0B7-7514-41B6-A063-2E9817BDD209}" name="14" dataDxfId="210"/>
    <tableColumn id="11" xr3:uid="{502C75B1-4204-4753-96FD-DF400011296A}" name="15" dataDxfId="209"/>
    <tableColumn id="12" xr3:uid="{0A6F4D7B-8E06-4B62-8294-5D8F05A8CB0A}" name="16" dataDxfId="208"/>
    <tableColumn id="13" xr3:uid="{A9CA6C72-9D2E-4C2B-BAAE-3A7ACDFEEA4B}" name="17" dataDxfId="207"/>
    <tableColumn id="14" xr3:uid="{BA7BFB3C-8A7A-4F64-B9DB-4A638E309109}" name="18" dataDxfId="206"/>
    <tableColumn id="15" xr3:uid="{4D649C8E-48CA-4509-BFE1-60D3F323CD73}" name="19" dataDxfId="205"/>
    <tableColumn id="35" xr3:uid="{1290719A-B443-4CB4-8E81-B6D3D13267BD}" name="20" dataDxfId="204"/>
    <tableColumn id="36" xr3:uid="{F4A801E4-9557-413D-BEF6-08675AB9E824}" name="21" dataDxfId="203"/>
    <tableColumn id="38" xr3:uid="{9ADEDB42-FBDC-466B-A80E-100DAAC1E533}" name="22" dataDxfId="202"/>
    <tableColumn id="37" xr3:uid="{C5A7C01F-4B4D-4858-A0C5-80590A65D0D9}" name="23" dataDxfId="201"/>
    <tableColumn id="32" xr3:uid="{34FB8588-1641-468D-8A9C-CE05703D6D8A}" name="24" dataDxfId="200"/>
    <tableColumn id="33" xr3:uid="{3EC631B2-B479-4B54-B367-7F04C010ADF8}" name="25" dataDxfId="199"/>
    <tableColumn id="34" xr3:uid="{81C745CF-6C9F-41AD-910D-BF4C140A845E}" name="26" dataDxfId="198"/>
    <tableColumn id="26" xr3:uid="{CEA0AFFE-054C-4B9C-9EAB-5D0AFC7D2E4D}" name="27" dataDxfId="197"/>
    <tableColumn id="30" xr3:uid="{18AF48FD-9B2C-4DC4-ABA7-2E8C8E44BE7D}" name="28" dataDxfId="196"/>
    <tableColumn id="31" xr3:uid="{8D03E2DA-BC26-4007-85DF-8A561242C9DF}" name="29" dataDxfId="195"/>
    <tableColumn id="16" xr3:uid="{DCA40FF9-CF3B-4DFE-A664-963D7B4A36C1}" name="30" dataDxfId="194"/>
    <tableColumn id="17" xr3:uid="{47EFE678-2E07-48FF-B66F-12E198D87A66}" name="31" dataDxfId="193"/>
    <tableColumn id="29" xr3:uid="{3FE111A9-252B-47CB-BAAC-E0952DF12A10}" name="CARTERA ASESOR" dataDxfId="192">
      <calculatedColumnFormula array="1">IFERROR(VLOOKUP(DATA_MAYO_202684[[#This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1"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ACCC8997-AD88-48E1-8E55-FAFAE7D6A0A2}" name="DITE_MAYO_202685" displayName="DITE_MAYO_202685" ref="AY8:CG13" totalsRowShown="0" headerRowDxfId="191" dataDxfId="189" headerRowBorderDxfId="190" tableBorderDxfId="188" totalsRowBorderDxfId="187">
  <autoFilter ref="AY8:CG13" xr:uid="{ACCC8997-AD88-48E1-8E55-FAFAE7D6A0A2}"/>
  <sortState xmlns:xlrd2="http://schemas.microsoft.com/office/spreadsheetml/2017/richdata2" ref="AY9:CG13">
    <sortCondition descending="1" ref="BB8:BB13"/>
  </sortState>
  <tableColumns count="35">
    <tableColumn id="2" xr3:uid="{B3F89A57-FAF6-4B9C-8100-C2101A360C23}" name="META SUPER" dataDxfId="186">
      <calculatedColumnFormula>SUMIFS(TablaMeta[Meta_Equipo],TablaMeta[CONCAT],$M$3&amp;$N$3&amp;DITE_MAYO_202685[[#This Row],[SUPER]])</calculatedColumnFormula>
    </tableColumn>
    <tableColumn id="3" xr3:uid="{8704DF31-E2F5-496F-8E14-9B19DB4AE2AE}" name="RECUPERO SUPERVISOR" dataDxfId="185">
      <calculatedColumnFormula>MAX(DITE_MAYO_202685[[#This Row],[SUPER]:[CARTERA]])</calculatedColumnFormula>
    </tableColumn>
    <tableColumn id="4" xr3:uid="{97F5BE93-4CF2-44FA-A977-F098658E2535}" name="ALCANCE SUPERVISOR" dataDxfId="184">
      <calculatedColumnFormula>IFERROR(DITE_MAYO_202685[[#This Row],[RECUPERO SUPERVISOR]]/DITE_MAYO_202685[[#This Row],[META SUPER]],"")</calculatedColumnFormula>
    </tableColumn>
    <tableColumn id="1" xr3:uid="{EFE838F8-24F6-436F-ACEA-EF88C3C03F4E}" name="SUPER" dataDxfId="183"/>
    <tableColumn id="7" xr3:uid="{2784BC62-1DE5-4506-B637-74149480FC40}" name="2" dataDxfId="182"/>
    <tableColumn id="27" xr3:uid="{A815FAB3-0A3D-47A4-8A84-0827A96FA900}" name="3" dataDxfId="181"/>
    <tableColumn id="26" xr3:uid="{00E49E0E-3D8A-4E02-93BA-F06EF5E524A6}" name="4" dataDxfId="180"/>
    <tableColumn id="8" xr3:uid="{4FA69ECA-2769-4837-B0A9-2A77529734C5}" name="5" dataDxfId="179"/>
    <tableColumn id="25" xr3:uid="{37F3CC89-64AB-4B8F-93ED-BBA3B22999C7}" name="6" dataDxfId="178"/>
    <tableColumn id="28" xr3:uid="{2FD87C1A-74A8-4FD9-8F05-7C2D3A81F7BF}" name="7" dataDxfId="177"/>
    <tableColumn id="29" xr3:uid="{07F5EB57-BDBC-4241-B319-19531224375C}" name="8" dataDxfId="176"/>
    <tableColumn id="30" xr3:uid="{EADCA0DB-F6A8-42AF-A886-EE9FE8258510}" name="9" dataDxfId="175"/>
    <tableColumn id="31" xr3:uid="{4543F4E9-083A-4822-BA2F-185A0F98FBAD}" name="10" dataDxfId="174"/>
    <tableColumn id="32" xr3:uid="{F623200B-FF62-415E-96E9-BF29AD96FBCD}" name="11" dataDxfId="173"/>
    <tableColumn id="33" xr3:uid="{B1C9A457-C914-48E7-9B89-4E324CC37215}" name="12" dataDxfId="172"/>
    <tableColumn id="34" xr3:uid="{29A35C22-4AC9-4526-AC7F-B959F19EEF7A}" name="13" dataDxfId="171"/>
    <tableColumn id="35" xr3:uid="{AE59CA8E-0D11-42BC-90D3-98FB863B930A}" name="14" dataDxfId="170"/>
    <tableColumn id="36" xr3:uid="{1B8E1F06-A6CC-46EA-A06E-959E5B5F3650}" name="15" dataDxfId="169"/>
    <tableColumn id="9" xr3:uid="{236FB28A-D0BC-4549-AACF-DF2DC6EA3B00}" name="16" dataDxfId="168"/>
    <tableColumn id="10" xr3:uid="{EE15861B-D0A7-4A31-8DB1-BD88685DAA17}" name="17" dataDxfId="167"/>
    <tableColumn id="11" xr3:uid="{1FB86A47-3B16-4C03-B440-9E25AB66C3EE}" name="18" dataDxfId="166"/>
    <tableColumn id="12" xr3:uid="{C942E9E0-6CDD-4A0A-B1C1-C8558750820D}" name="19" dataDxfId="165"/>
    <tableColumn id="13" xr3:uid="{6928162A-9065-47CE-8C1B-4EF16CE8AFFE}" name="20" dataDxfId="164"/>
    <tableColumn id="14" xr3:uid="{D3ABC4C5-278D-4A76-8B33-9CF4632077DA}" name="21" dataDxfId="163"/>
    <tableColumn id="15" xr3:uid="{5D617563-FB40-4BB2-A012-A3710427A6B5}" name="22" dataDxfId="162"/>
    <tableColumn id="16" xr3:uid="{D0253AAF-BDF5-4176-B0CE-EA507BBA0DD8}" name="23" dataDxfId="161"/>
    <tableColumn id="17" xr3:uid="{EBB5E4B5-E2B2-4210-9DF9-B6C235B5DD20}" name="24" dataDxfId="160"/>
    <tableColumn id="18" xr3:uid="{190C9D96-D142-49D6-8A87-8C8A6489CC6E}" name="25" dataDxfId="159"/>
    <tableColumn id="19" xr3:uid="{F6CE2D74-54EB-4D6E-B006-29B78E00B956}" name="26" dataDxfId="158"/>
    <tableColumn id="20" xr3:uid="{FA09505D-E5DD-4041-8124-23A2BC1A34E6}" name="27" dataDxfId="157"/>
    <tableColumn id="21" xr3:uid="{FCE405CC-978E-47A4-B9A9-9484D7649714}" name="28" dataDxfId="156"/>
    <tableColumn id="22" xr3:uid="{F00C44AE-506F-4BB4-90B1-25E3A5370980}" name="29" dataDxfId="155"/>
    <tableColumn id="23" xr3:uid="{85629680-93C9-4151-8AF4-4E814AFF502F}" name="30" dataDxfId="154"/>
    <tableColumn id="24" xr3:uid="{B32A0522-105D-4219-8A74-2FF6BA7BE363}" name="31" dataDxfId="153"/>
    <tableColumn id="5" xr3:uid="{68D5371C-E40A-415D-BEBB-02E2D98BFFF0}" name="CARTERA" dataDxfId="152"/>
  </tableColumns>
  <tableStyleInfo name="TableStyleMedium1"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A23029B-24FA-409E-A5D3-C14C1CED561D}" name="Tabla6186" displayName="Tabla6186" ref="CI8:CM13" totalsRowShown="0" headerRowDxfId="151" dataDxfId="150">
  <autoFilter ref="CI8:CM13" xr:uid="{6A23029B-24FA-409E-A5D3-C14C1CED561D}"/>
  <tableColumns count="5">
    <tableColumn id="1" xr3:uid="{5A64E687-6603-4C1D-A60E-6EA92192BA1C}" name="VISTA" dataDxfId="149"/>
    <tableColumn id="2" xr3:uid="{356C54C9-5E0A-4E89-9455-FB3E249A49F5}" name="1" dataDxfId="148"/>
    <tableColumn id="3" xr3:uid="{E36B4FAA-F4DE-4844-A6B9-D151405BB942}" name="2" dataDxfId="147"/>
    <tableColumn id="4" xr3:uid="{3BE37E62-6390-46D5-95BA-EED63D9055C8}" name="3" dataDxfId="146"/>
    <tableColumn id="14" xr3:uid="{AC914FEC-5036-4985-9CBF-12C32BB6AC18}" name="4" dataDxfId="145"/>
  </tableColumns>
  <tableStyleInfo name="TableStyleMedium1"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89114E49-688C-418B-ABB6-A9513994D0A6}" name="Tabla81" displayName="Tabla81" ref="CO8:DP1026" totalsRowShown="0" headerRowDxfId="144" headerRowBorderDxfId="143" tableBorderDxfId="142">
  <autoFilter ref="CO8:DP1026" xr:uid="{89114E49-688C-418B-ABB6-A9513994D0A6}"/>
  <tableColumns count="28">
    <tableColumn id="1" xr3:uid="{039D04EF-230F-407C-9225-9023CEDA0682}" name="IND_canal"/>
    <tableColumn id="2" xr3:uid="{8D79ECB4-8B0C-4939-BA1D-C795A68B7300}" name="IND_equipo"/>
    <tableColumn id="3" xr3:uid="{4DCF0D08-2BBD-45E4-963F-F730BFAF9077}" name="IND_alias"/>
    <tableColumn id="4" xr3:uid="{BEE2B58D-D250-4FC9-A9A4-ABAE2A90A1CB}" name="IND_Fecha"/>
    <tableColumn id="5" xr3:uid="{F24D5B06-12D2-4F00-A3AE-AF8669D586D4}" name="IND_Cantidad Asesores"/>
    <tableColumn id="6" xr3:uid="{A7903052-3B9C-48F1-A2DC-7B4456F2D0DC}" name="IND_DIASLAB"/>
    <tableColumn id="7" xr3:uid="{43871541-6318-45EF-B4D7-14280AF514CA}" name="IND_Tardanza"/>
    <tableColumn id="8" xr3:uid="{DA48370F-EE1D-4D73-AD6F-C8DBEC6458D7}" name="IND_%puntualidad"/>
    <tableColumn id="9" xr3:uid="{CEA7BD4C-CB9A-44FF-8407-E63ADAC148ED}" name="IND_%Falta"/>
    <tableColumn id="10" xr3:uid="{F864E675-99AA-4BD8-A365-1461BFC548A7}" name="IND_Tiempo Tardanza - Promedio"/>
    <tableColumn id="11" xr3:uid="{847AC764-1D0C-47D0-8AE1-B63A557C30AA}" name="IND_Tardanza Tiempo"/>
    <tableColumn id="12" xr3:uid="{AC994D96-E9B2-4D58-8977-F51063BD0354}" name="IND_Tiempo Manual"/>
    <tableColumn id="13" xr3:uid="{58EEC798-5C44-4056-A707-AB6DF39610CE}" name="IND_Tiempo Discador"/>
    <tableColumn id="14" xr3:uid="{DB1EA759-B97C-41A4-B18E-340AC2914872}" name="IND_Clientes Gestionados"/>
    <tableColumn id="15" xr3:uid="{2F9B2033-2895-4ED9-B1D5-36C545057646}" name="IND_Gestiones"/>
    <tableColumn id="16" xr3:uid="{134E1ED8-F0AC-4170-853E-9EE0C9DA9238}" name="IND_CEF Unico"/>
    <tableColumn id="17" xr3:uid="{7408C1E6-4358-46E8-82E4-114DD3ADB628}" name="IND_Intensidad CEF"/>
    <tableColumn id="18" xr3:uid="{69ED6327-DB7C-456F-A065-9ADC7B2C2561}" name="IND_Ticket CEF"/>
    <tableColumn id="19" xr3:uid="{5510F352-1550-4A0F-8C09-30978FA8EC54}" name="IND_Contactabilidad"/>
    <tableColumn id="20" xr3:uid="{4ADAFABB-CF5C-465A-AB44-584AFF3BB9DF}" name="IND_PDP"/>
    <tableColumn id="21" xr3:uid="{DA736BA0-91F1-4A9F-A6CA-EA1CBFE5F9EC}" name="IND_Cierre"/>
    <tableColumn id="22" xr3:uid="{8E2764E0-3AEE-408D-9EB1-DF1EC91BF433}" name="IND_MontoPDP"/>
    <tableColumn id="23" xr3:uid="{31A69761-90FB-4D7F-ACDC-C330AA626A21}" name="IND_Ticket PDP"/>
    <tableColumn id="24" xr3:uid="{194B0FA7-371B-4172-8A56-9943D2EBDA25}" name="IND_Recupero"/>
    <tableColumn id="25" xr3:uid="{48741F14-9BC7-461B-8840-1F1BA287C9A3}" name="IND_Calidad PDP"/>
    <tableColumn id="26" xr3:uid="{732AB33F-17B0-4BD9-8660-604E04E622D4}" name="IND_Condonacion"/>
    <tableColumn id="27" xr3:uid="{078667AE-99BE-43AE-BCB4-E9BBE75809C3}" name="IND_Score"/>
    <tableColumn id="28" xr3:uid="{230479BF-1B35-457F-A8D8-ADF801B12D74}" name="IND_Ticket Pago"/>
  </tableColumns>
  <tableStyleInfo name="TableStyleLight13"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52CF857-8C4F-4ECA-813A-61D14AA63ABA}" name="DATA_MAYO_2026" displayName="DATA_MAYO_2026" ref="M8:AO56" totalsRowShown="0" headerRowBorderDxfId="141" tableBorderDxfId="140">
  <autoFilter ref="M8:AO56" xr:uid="{C43AC382-896C-48E3-967E-003D8C3BB4E1}"/>
  <tableColumns count="29">
    <tableColumn id="5" xr3:uid="{3070F4BF-8DA0-42C9-A329-60BF3937C6CD}" name="AL_AC" dataDxfId="139">
      <calculatedColumnFormula>DATA_MAYO_2026[[#This Row],[RECUPERO]]/DATA_MAYO_2026[[#This Row],[META]]</calculatedColumnFormula>
    </tableColumn>
    <tableColumn id="2" xr3:uid="{6F4F1AB6-BBA7-498F-8826-77193C5F7DE1}" name="Q_ALC" dataDxfId="138">
      <calculatedColumnFormula>6-ROUNDUP(_xlfn.RANK.EQ(DATA_MAYO_2026[[#This Row],[AL_AC]],DATA_MAYO_2026[AL_AC],0)/(COUNTA(DATA_MAYO_2026[AL_AC])/5),0)</calculatedColumnFormula>
    </tableColumn>
    <tableColumn id="3" xr3:uid="{5B364BF8-EC26-46F2-AE51-3F83141DA05A}" name="SUPERVISOR" dataDxfId="137">
      <calculatedColumnFormula>IFERROR(VLOOKUP(DATA_MAYO_2026[[#This Row],[ASER_]],$B:$G,4,0),"")</calculatedColumnFormula>
    </tableColumn>
    <tableColumn id="1" xr3:uid="{9CEE94D1-F610-44F2-BECC-051BA76BFF42}" name="RECUPERO" dataDxfId="136">
      <calculatedColumnFormula>VLOOKUP(DATA_MAYO_2026[[#This Row],[ASER_]],D1_MAYO_2026[[ASESOR_CRR]:[RECUPERO]],6,0)</calculatedColumnFormula>
    </tableColumn>
    <tableColumn id="6" xr3:uid="{3562AB11-2CE4-4155-B81B-115DFB69AAAB}" name="META" dataDxfId="135">
      <calculatedColumnFormula>VLOOKUP(DATA_MAYO_2026[[#This Row],[ASER_]],D1_MAYO_2026[[ASESOR_CRR]:[META]],2,0)</calculatedColumnFormula>
    </tableColumn>
    <tableColumn id="7" xr3:uid="{AC7A2592-ACAD-4ED6-8351-E4B65FF33302}" name="ASER_" dataDxfId="134"/>
    <tableColumn id="4" xr3:uid="{DA0D3C8E-070D-4088-AECD-5F2EBC6508EA}" name="1" dataDxfId="133"/>
    <tableColumn id="8" xr3:uid="{D7FBF1F2-5A46-485F-925D-86EC9088EE46}" name="2" dataDxfId="132"/>
    <tableColumn id="9" xr3:uid="{98D48677-E650-4067-8686-1CC9080B6D71}" name="3" dataDxfId="131"/>
    <tableColumn id="10" xr3:uid="{A974A4A9-21AF-43B2-9C93-C6F103E8C411}" name="4" dataDxfId="130"/>
    <tableColumn id="11" xr3:uid="{D058D028-4AAB-47B9-A7D3-876CEDD146AA}" name="5" dataDxfId="129"/>
    <tableColumn id="12" xr3:uid="{307618CA-E43D-42A3-8C03-88388003A5BF}" name="8" dataDxfId="128"/>
    <tableColumn id="13" xr3:uid="{65D16E27-3C15-4385-9A4F-B28821EF4DF6}" name="9" dataDxfId="127"/>
    <tableColumn id="14" xr3:uid="{5A29EA5C-756B-4F6D-B764-BBEF2AB98C7D}" name="10" dataDxfId="126"/>
    <tableColumn id="15" xr3:uid="{3B9CE493-BFF8-40F7-8EBA-E6D80D76579A}" name="11" dataDxfId="125"/>
    <tableColumn id="35" xr3:uid="{937A2A56-212E-4F5D-82A6-A611A736B874}" name="12" dataDxfId="124"/>
    <tableColumn id="36" xr3:uid="{BDD4E521-FEB6-4C6D-A99C-4DEF1151ECB2}" name="15" dataDxfId="123"/>
    <tableColumn id="38" xr3:uid="{8A3F13C2-2724-40B9-B643-549845061201}" name="16" dataDxfId="122"/>
    <tableColumn id="37" xr3:uid="{1B44AA59-76C8-45D9-8D04-DE465519029A}" name="17" dataDxfId="121"/>
    <tableColumn id="32" xr3:uid="{671123B0-2D4B-4251-A9E4-5E6081CC9B0D}" name="18" dataDxfId="120"/>
    <tableColumn id="33" xr3:uid="{60129480-1A31-44E0-9812-1991A66734F8}" name="19" dataDxfId="119"/>
    <tableColumn id="34" xr3:uid="{FDFC525F-FDF7-4915-B1C4-C85C973F5DA2}" name="22" dataDxfId="118"/>
    <tableColumn id="26" xr3:uid="{B6EB21BB-98AE-4702-A51D-97935B8D2065}" name="23" dataDxfId="117"/>
    <tableColumn id="30" xr3:uid="{60395B11-6EC8-498F-AE14-A906778E013B}" name="24" dataDxfId="116"/>
    <tableColumn id="31" xr3:uid="{D6095057-15EB-4616-A6CE-8131684C14BF}" name="25" dataDxfId="115"/>
    <tableColumn id="16" xr3:uid="{AEBDE2A8-76B9-42D9-9059-4EA0D9C9EF1E}" name="26" dataDxfId="114"/>
    <tableColumn id="17" xr3:uid="{0874DB56-268A-4369-AFDE-AC61ECA55C23}" name="30" dataDxfId="113"/>
    <tableColumn id="29" xr3:uid="{D20EC82C-02AB-47E1-8B4F-0454088553EB}" name="CARTERA ASESOR" dataDxfId="112">
      <calculatedColumnFormula array="1">IFERROR(VLOOKUP(DATA_MAYO_2026[[#This Row],[ASER_]],_xlfn._xlws.FILTER(PLANTILLA[[ASESOR]:[FECHA DE CESE]],PLANTILLA[FECHA]=_xlfn.CONCAT($M$3,"_",_xlfn.IFS($N$3="ENERO","1",$N$3="FEBRERO","2",$N$3="MARZO","3",$N$3="ABRIL","4",$N$3="MAYO","5",$N$3="JUNIO","6",$N$3="JULIO","7",$N$3="AGOSTO","8",$N$3="SETIEMBRE","9",$N$3="OCTUBRE","10",$N$3="NOVIEMBRE","11",$N$3="DICIEMBRE","12"))),8,0),"")</calculatedColumnFormula>
    </tableColumn>
    <tableColumn id="18" xr3:uid="{C3A20BF6-8AF7-45E4-91C5-9D891BE0EF28}" name="R_M" dataDxfId="111">
      <calculatedColumnFormula>SUM(DATA_MAYO_2026[[#This Row],[15]:[30]])</calculatedColumnFormula>
    </tableColumn>
  </tableColumns>
  <tableStyleInfo name="TableStyleMedium1"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B1967BC-98FE-49B9-B96E-7F91454A75DF}" name="D1_MAYO_2026" displayName="D1_MAYO_2026" ref="A2:K54" totalsRowShown="0" headerRowDxfId="110">
  <autoFilter ref="A2:K54" xr:uid="{AB1967BC-98FE-49B9-B96E-7F91454A75DF}"/>
  <tableColumns count="11">
    <tableColumn id="1" xr3:uid="{E8C9BFA3-A821-4545-B3F0-1D85338E10F0}" name="SUPER" dataDxfId="109">
      <calculatedColumnFormula array="1">IFERROR(VLOOKUP(D1_MAYO_2026[[#This Row],[ASESOR_CRR]],_xlfn._xlws.FILTER(PLANTILLA[[ASESOR]:[FECHA DE CESE]],PLANTILLA[FECHA]=_xlfn.CONCAT($M$3,"_",_xlfn.IFS($N$3="ENERO","1",$N$3="FEBRERO","2",$N$3="MARZO","3",$N$3="ABRIL","4",$N$3="MAYO","5",$N$3="JUNIO","6",$N$3="JULIO","7",$N$3="AGOSTO","8",$N$3="SETIEMBRE","9",$N$3="OCTUBRE","10",$N$3="NOVIEMBRE","11",$N$3="DICIEMBRE","12"))),3,0),"")</calculatedColumnFormula>
    </tableColumn>
    <tableColumn id="2" xr3:uid="{3FE812CA-3CC6-4126-82E1-67F5FCA4D1F0}" name="ASESOR_CRR" dataDxfId="108">
      <calculatedColumnFormula array="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calculatedColumnFormula>
    </tableColumn>
    <tableColumn id="5" xr3:uid="{7C7088C3-8DB2-45AA-8DFC-FF615EA517B7}" name="META" dataDxfId="107">
      <calculatedColumnFormula array="1">_xlfn.XLOOKUP(1,(TablaMeta[CONCAT]=$M$3&amp;$N$3&amp;D1_MAYO_2026[[#This Row],[SUPER]])*(TablaMeta[SEGG]=D1_MAYO_2026[[#This Row],[SEGMENTO]]),TablaMeta[Meta_Asesor])</calculatedColumnFormula>
    </tableColumn>
    <tableColumn id="6" xr3:uid="{504193EF-8C81-4E3C-85B4-7DDC31010511}" name="ALCANCE" dataDxfId="106">
      <calculatedColumnFormula>IF(D1_MAYO_2026[[#This Row],[RECUPERO]]="VACACIONES","VACACIONES",IFERROR(D1_MAYO_2026[[#This Row],[RECUPERO]]/D1_MAYO_2026[[#This Row],[META]],""))</calculatedColumnFormula>
    </tableColumn>
    <tableColumn id="7" xr3:uid="{25385F42-9373-4DE6-B5E8-9588BC79D17B}" name="SUPER2" dataDxfId="105">
      <calculatedColumnFormula>D1_MAYO_2026[[#This Row],[SUPER]]</calculatedColumnFormula>
    </tableColumn>
    <tableColumn id="3" xr3:uid="{F1B64A76-95A5-4F5B-B635-6563315B9D26}" name="ASESOR"/>
    <tableColumn id="4" xr3:uid="{5F21D798-6962-4BF2-AAD7-57B722912C07}" name="RECUPERO" dataDxfId="104"/>
    <tableColumn id="11" xr3:uid="{F601E667-9F29-4288-9F5A-767AD7CB84C9}" name="DNI" dataDxfId="103">
      <calculatedColumnFormula array="1">IFERROR(VLOOKUP(D1_MAYO_2026[[#This Row],[ASESOR_CRR]],_xlfn._xlws.FILTER(PLANTILLA[[ASESOR]:[FECHA DE CESE]],PLANTILLA[FECHA]=_xlfn.CONCAT($M$3,"_",_xlfn.IFS($N$3="ENERO","1",$N$3="FEBRERO","2",$N$3="MARZO","3",$N$3="ABRIL","4",$N$3="MAYO","5",$N$3="JUNIO","6",$N$3="JULIO","7",$N$3="AGOSTO","8",$N$3="SETIEMBRE","9",$N$3="OCTUBRE","10",$N$3="NOVIEMBRE","11",$N$3="DICIEMBRE","12"))),2,0),"")</calculatedColumnFormula>
    </tableColumn>
    <tableColumn id="12" xr3:uid="{8CE4D8BD-BFA8-4524-B7CC-97B4155A1DC0}" name="FECHA DE INICIO" dataDxfId="102">
      <calculatedColumnFormula array="1">IFERROR(VLOOKUP(D1_MAYO_2026[[#This Row],[ASESOR_CRR]],_xlfn._xlws.FILTER(PLANTILLA[[ASESOR]:[FECHA DE CESE]],PLANTILLA[FECHA]=_xlfn.CONCAT($M$3,"_",_xlfn.IFS($N$3="ENERO","1",$N$3="FEBRERO","2",$N$3="MARZO","3",$N$3="ABRIL","4",$N$3="MAYO","5",$N$3="JUNIO","6",$N$3="JULIO","7",$N$3="AGOSTO","8",$N$3="SETIEMBRE","9",$N$3="OCTUBRE","10",$N$3="NOVIEMBRE","11",$N$3="DICIEMBRE","12"))),6,0),"")</calculatedColumnFormula>
    </tableColumn>
    <tableColumn id="8" xr3:uid="{38F96A8E-46ED-488B-B51E-F10392587B25}" name="ESTADO" dataDxfId="101">
      <calculatedColumnFormula array="1">IFERROR(VLOOKUP(D1_MAYO_2026[[#This Row],[ASESOR_CRR]],_xlfn._xlws.FILTER(PLANTILLA[[ASESOR]:[FECHA DE CESE]],PLANTILLA[FECHA]=_xlfn.CONCAT($M$3,"_",_xlfn.IFS($N$3="ENERO","1",$N$3="FEBRERO","2",$N$3="MARZO","3",$N$3="ABRIL","4",$N$3="MAYO","5",$N$3="JUNIO","6",$N$3="JULIO","7",$N$3="AGOSTO","8",$N$3="SETIEMBRE","9",$N$3="OCTUBRE","10",$N$3="NOVIEMBRE","11",$N$3="DICIEMBRE","12"))),4,0),"")</calculatedColumnFormula>
    </tableColumn>
    <tableColumn id="9" xr3:uid="{6E612F0F-F170-4A17-BC8D-5BC0F3F73C9C}" name="SEGMENTO" dataDxfId="100">
      <calculatedColumnFormula array="1">IFERROR(VLOOKUP(D1_MAYO_2026[[#This Row],[ASESOR_CRR]],_xlfn._xlws.FILTER(PLANTILLA[[ASESOR]:[FECHA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D9D89D51-DAB1-406D-9BCC-FA9DDE7F1EF0}" name="DITE_MAYO_2026" displayName="DITE_MAYO_2026" ref="AQ8:BP13" totalsRowShown="0" headerRowDxfId="99" dataDxfId="97" headerRowBorderDxfId="98" tableBorderDxfId="96" totalsRowBorderDxfId="95">
  <autoFilter ref="AQ8:BP13" xr:uid="{D9D89D51-DAB1-406D-9BCC-FA9DDE7F1EF0}"/>
  <sortState xmlns:xlrd2="http://schemas.microsoft.com/office/spreadsheetml/2017/richdata2" ref="AQ9:BP13">
    <sortCondition descending="1" ref="AT8:AT13"/>
  </sortState>
  <tableColumns count="26">
    <tableColumn id="2" xr3:uid="{08060355-86C1-47A6-9DB1-6B46E3007B8A}" name="META SUPER" dataDxfId="94">
      <calculatedColumnFormula>SUMIFS(TablaMeta[Meta_Equipo],TablaMeta[CONCAT],$M$3&amp;$N$3&amp;DITE_MAYO_2026[[#This Row],[SUPER]])</calculatedColumnFormula>
    </tableColumn>
    <tableColumn id="3" xr3:uid="{FDF7E5B8-6E43-422A-BFC9-1CCD7EE7F4E8}" name="RECUPERO SUPERVISOR" dataDxfId="93">
      <calculatedColumnFormula>MAX(DITE_MAYO_2026[[#This Row],[SUPER]:[CARTERA]])</calculatedColumnFormula>
    </tableColumn>
    <tableColumn id="4" xr3:uid="{F9F9E33D-CF47-4A7B-B383-5185C72E6DBF}" name="ALCANCE SUPERVISOR" dataDxfId="92">
      <calculatedColumnFormula>IFERROR(DITE_MAYO_2026[[#This Row],[RECUPERO SUPERVISOR]]/DITE_MAYO_2026[[#This Row],[META SUPER]],"")</calculatedColumnFormula>
    </tableColumn>
    <tableColumn id="1" xr3:uid="{DBDA7BCD-711C-4C13-A756-EF3802486FB8}" name="SUPER" dataDxfId="91"/>
    <tableColumn id="6" xr3:uid="{C6BD95E9-37E9-4C3B-8FAC-71C063D3CCCF}" name="1" dataDxfId="90"/>
    <tableColumn id="7" xr3:uid="{154D80CB-9358-4F70-B790-869141CEED69}" name="2" dataDxfId="89"/>
    <tableColumn id="27" xr3:uid="{B1E200F5-8C17-45BD-9A07-4B3CFCF2F55B}" name="3" dataDxfId="88"/>
    <tableColumn id="26" xr3:uid="{C4A34376-F48F-4D30-891F-680F0DC972B5}" name="4" dataDxfId="87"/>
    <tableColumn id="8" xr3:uid="{B8634A52-4E10-47C7-A2E2-7268D75FF3B1}" name="5" dataDxfId="86"/>
    <tableColumn id="9" xr3:uid="{50F52F97-2FFF-429B-8205-9821B5E2DDA3}" name="8" dataDxfId="85"/>
    <tableColumn id="10" xr3:uid="{6CA0D076-C021-4ECD-9708-296693BD3D20}" name="9" dataDxfId="84"/>
    <tableColumn id="11" xr3:uid="{60AC6543-9932-43CA-8508-68010867604A}" name="10" dataDxfId="83"/>
    <tableColumn id="12" xr3:uid="{0838B302-CF6C-41FA-9981-2C61DC3D728B}" name="11" dataDxfId="82"/>
    <tableColumn id="13" xr3:uid="{26042530-89B3-48FD-877D-23191B67C000}" name="12" dataDxfId="81"/>
    <tableColumn id="14" xr3:uid="{995CAE1C-81F5-4376-9FBF-9057F92CEBA2}" name="15" dataDxfId="80"/>
    <tableColumn id="15" xr3:uid="{CE078F22-32E6-477A-8610-B39D8802D198}" name="16" dataDxfId="79"/>
    <tableColumn id="16" xr3:uid="{E61DEB3E-541F-4914-B1D0-C31E52B10974}" name="17" dataDxfId="78"/>
    <tableColumn id="17" xr3:uid="{EC1E57C1-8228-4A17-A0ED-ACC28C9F0842}" name="18" dataDxfId="77"/>
    <tableColumn id="18" xr3:uid="{2DA8EC35-62DF-44D7-9B0C-1DA9FD7CFD91}" name="19" dataDxfId="76"/>
    <tableColumn id="19" xr3:uid="{302180D2-EA42-43C4-9FEA-201681FA861E}" name="22" dataDxfId="75"/>
    <tableColumn id="20" xr3:uid="{451825B8-387D-40FA-8E98-2EFAE991267E}" name="23" dataDxfId="74"/>
    <tableColumn id="21" xr3:uid="{026C2977-2F45-419E-AE54-92E82A6FE474}" name="24" dataDxfId="73"/>
    <tableColumn id="22" xr3:uid="{3BBAF7E2-3A2C-4E90-AE74-EEF9947AB60E}" name="25" dataDxfId="72"/>
    <tableColumn id="23" xr3:uid="{8879B076-C842-409F-9B19-61F59EF05584}" name="26" dataDxfId="71"/>
    <tableColumn id="24" xr3:uid="{AF13A28F-47F7-4494-B809-B096327E1B45}" name="30" dataDxfId="70"/>
    <tableColumn id="5" xr3:uid="{E0FECB44-CCD1-447F-A9BF-090DD9D8B323}" name="CARTERA" dataDxfId="69">
      <calculatedColumnFormula array="1">IFERROR(VLOOKUP(DITE_MAYO_2026[[#This Row],[SUPER]],_xlfn._xlws.FILTER(PLANTILLA[[EQUIPO]:[FECHA DE CESE]],(PLANTILLA[FECHA]=_xlfn.CONCAT($M$3,"_",_xlfn.IFS($N$3="ENERO","1",$N$3="FEBRERO","2",$N$3="MARZO","3",$N$3="ABRIL","4",$N$3="MAYO","5",$N$3="JUNIO","6",$N$3="JULIO","7",$N$3="AGOSTO","8",$N$3="SETIEMBRE","9",$N$3="OCTUBRE","10",$N$3="NOVIEMBRE","11",$N$3="DICIEMBRE","12")))*(PLANTILLA[CONDICION]="SUPERVISOR")),6,0),"")</calculatedColumnFormula>
    </tableColumn>
  </tableColumns>
  <tableStyleInfo name="TableStyleMedium1"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C9FCF86D-1275-4B72-BE74-6F156A04A60F}" name="Tabla61" displayName="Tabla61" ref="BR8:BV13" totalsRowShown="0" headerRowDxfId="68" dataDxfId="67">
  <autoFilter ref="BR8:BV13" xr:uid="{C9FCF86D-1275-4B72-BE74-6F156A04A60F}"/>
  <tableColumns count="5">
    <tableColumn id="1" xr3:uid="{D4A2D135-5FEA-4A06-89AF-37C3FE1C2F48}" name="VISTA" dataDxfId="66"/>
    <tableColumn id="2" xr3:uid="{4FF6DB9A-B454-446F-997B-A00F368BEC51}" name="1" dataDxfId="65"/>
    <tableColumn id="3" xr3:uid="{8B26053F-A062-4D4B-AAC8-2984C8D90026}" name="2" dataDxfId="64"/>
    <tableColumn id="4" xr3:uid="{70518B20-4375-4037-8000-83326D8CF440}" name="3" dataDxfId="63"/>
    <tableColumn id="14" xr3:uid="{28C3DE23-A40F-42FD-9BED-2CB4EF12CD03}" name="4" dataDxfId="62"/>
  </tableColumns>
  <tableStyleInfo name="TableStyleMedium1"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97732273-9C8F-4AC2-BC62-0740738A037D}" name="IND_JUNIO_2026" displayName="IND_JUNIO_2026" ref="BX8:CM247" totalsRowShown="0">
  <autoFilter ref="BX8:CM247" xr:uid="{97732273-9C8F-4AC2-BC62-0740738A037D}"/>
  <tableColumns count="16">
    <tableColumn id="2" xr3:uid="{E555384C-3B5D-4D07-B45C-C92E10F6425B}" name="IND_canal"/>
    <tableColumn id="4" xr3:uid="{945BBCE1-0420-47C1-A2E3-DD67E2EFCAE2}" name="IND_equipo"/>
    <tableColumn id="5" xr3:uid="{CE11D16E-7958-41F6-9CA3-C2BD0618B141}" name="IND_alias"/>
    <tableColumn id="6" xr3:uid="{D19F1D05-0DDC-4820-B6D4-9FE679248BAC}" name="IND_Fecha" dataDxfId="61"/>
    <tableColumn id="10" xr3:uid="{3AF6230B-3E1F-4FAD-96C4-C243F587FFF3}" name="IND_%puntualidad" dataDxfId="60">
      <calculatedColumnFormula>IF(IND_JUNIO_2026[[#This Row],[IND_CANTFalta]]=1,0,IF(1-(IND_JUNIO_2026[[#This Row],[IND_Tardanza Tiempo]]*100%/0.166666666666667)&lt;0,0,1-(IND_JUNIO_2026[[#This Row],[IND_Tardanza Tiempo]]*100%/0.166666666666667)))</calculatedColumnFormula>
    </tableColumn>
    <tableColumn id="11" xr3:uid="{C91BC21B-7DE2-4D32-B481-2EE7BB19756A}" name="IND_CANTFalta"/>
    <tableColumn id="13" xr3:uid="{2D7990E4-A896-4572-9D14-3FF5B35B7400}" name="IND_Tardanza Tiempo" dataDxfId="59"/>
    <tableColumn id="18" xr3:uid="{7DB95710-AE14-4A10-ABB1-1AD8F703D03F}" name="IND_CEF Unico"/>
    <tableColumn id="22" xr3:uid="{63C5C944-18A2-4B99-B231-BCB43D95719E}" name="IND_PDP"/>
    <tableColumn id="23" xr3:uid="{5E955A18-24FE-4493-B2DE-F47259904D65}" name="IND_Cierre" dataDxfId="58">
      <calculatedColumnFormula>IFERROR(IND_JUNIO_2026[[#This Row],[IND_PDP]]/IND_JUNIO_2026[[#This Row],[IND_CEF Unico]],"")</calculatedColumnFormula>
    </tableColumn>
    <tableColumn id="24" xr3:uid="{2CA55536-592D-490B-B88E-9C1733B932CF}" name="IND_MontoPDP"/>
    <tableColumn id="26" xr3:uid="{A0EDD6F3-A0A3-48BB-B05D-59D9DCCC5499}" name="IND_Recupero"/>
    <tableColumn id="28" xr3:uid="{3694482F-814B-40F0-83B5-AE3E673B89DA}" name="IND_Calidad PDP" dataDxfId="57">
      <calculatedColumnFormula>IFERROR(IND_JUNIO_2026[[#This Row],[IND_Recupero]]/IND_JUNIO_2026[[#This Row],[IND_MontoPDP]],"")</calculatedColumnFormula>
    </tableColumn>
    <tableColumn id="29" xr3:uid="{891E1417-CEC1-4367-9EEA-4002ED580706}" name="IND_Condonacion" dataDxfId="56">
      <calculatedColumnFormula>IFERROR(IND_JUNIO_2026[[#This Row],[IND_MontoPDP]]/IND_JUNIO_2026[[#This Row],[DK]],"")</calculatedColumnFormula>
    </tableColumn>
    <tableColumn id="3" xr3:uid="{90DB4625-3401-4250-9417-463C2D0792CE}" name="DK" dataDxfId="55"/>
    <tableColumn id="7" xr3:uid="{E35C1939-6721-4F04-9BE7-7ED24960358E}" name="Ticket_PDP">
      <calculatedColumnFormula>IFERROR(IND_JUNIO_2026[[#This Row],[IND_MontoPDP]]/IND_JUNIO_2026[[#This Row],[IND_PDP]],"")</calculatedColumnFormula>
    </tableColumn>
  </tableColumns>
  <tableStyleInfo name="TableStyleMedium20"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607F3E9-4FEE-4CE6-B9AE-D177C1FED03F}" name="pbi_ListaEmpleadosExpertis" displayName="pbi_ListaEmpleadosExpertis" ref="A1:G107" tableType="queryTable" totalsRowShown="0">
  <autoFilter ref="A1:G107" xr:uid="{0607F3E9-4FEE-4CE6-B9AE-D177C1FED03F}"/>
  <sortState xmlns:xlrd2="http://schemas.microsoft.com/office/spreadsheetml/2017/richdata2" ref="A2:G107">
    <sortCondition ref="C1:C107"/>
  </sortState>
  <tableColumns count="7">
    <tableColumn id="1" xr3:uid="{DAE8BCEE-6D37-4FD7-ABBF-371E73A498E4}" uniqueName="1" name="alias" queryTableFieldId="1" dataDxfId="54"/>
    <tableColumn id="2" xr3:uid="{4006F32F-EE4A-427A-AF49-74D52FBF6D53}" uniqueName="2" name="PUESTO REAL" queryTableFieldId="10"/>
    <tableColumn id="3" xr3:uid="{E33DD98B-2314-40D0-9DFA-F987324F30A3}" uniqueName="3" name="FEC_NAC" queryTableFieldId="3" dataDxfId="53"/>
    <tableColumn id="4" xr3:uid="{8397B954-43F8-46B6-880D-47B541CAB0B9}" uniqueName="4" name="NOMBRE" queryTableFieldId="4" dataDxfId="52"/>
    <tableColumn id="8" xr3:uid="{C558150D-EEDC-4907-8F09-51F784EDF9BF}" uniqueName="8" name="PUESTO" queryTableFieldId="8" dataDxfId="51"/>
    <tableColumn id="7" xr3:uid="{C74AABE2-4219-45A4-BAE7-8D08B65D7B0D}" uniqueName="7" name="MES" queryTableFieldId="7" dataDxfId="50">
      <calculatedColumnFormula>UPPER(TEXT(pbi_ListaEmpleadosExpertis[[#This Row],[FEC_NAC]],"mmmm"))</calculatedColumnFormula>
    </tableColumn>
    <tableColumn id="9" xr3:uid="{BA23EB84-0CF7-4C9B-A240-776F0452FD9B}" uniqueName="9" name="DIA" queryTableFieldId="9" dataDxfId="49">
      <calculatedColumnFormula>DAY(pbi_ListaEmpleadosExpertis[[#This Row],[FEC_NAC]])</calculatedColumnFormula>
    </tableColumn>
  </tableColumns>
  <tableStyleInfo name="TableStyleLight1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00BB622-375D-40B1-BDB9-BF21F38BF1B6}" name="PLANTILLA" displayName="PLANTILLA" ref="A1:J588" tableType="queryTable" totalsRowShown="0">
  <autoFilter ref="A1:J588" xr:uid="{D00BB622-375D-40B1-BDB9-BF21F38BF1B6}"/>
  <tableColumns count="10">
    <tableColumn id="1" xr3:uid="{74DC8A6E-5A2D-484F-A76B-6E9216604DDA}" uniqueName="1" name="FECHA" queryTableFieldId="1" dataDxfId="48"/>
    <tableColumn id="2" xr3:uid="{4CE5A949-AEFE-46EE-A6C7-63B5F40645ED}" uniqueName="2" name="ASESOR" queryTableFieldId="2" dataDxfId="47"/>
    <tableColumn id="3" xr3:uid="{FC855FAD-67D1-4191-8099-B240DE5A7E19}" uniqueName="3" name="DNI" queryTableFieldId="3"/>
    <tableColumn id="4" xr3:uid="{B28762A1-8785-4BA1-B48A-2105A7540479}" uniqueName="4" name="EQUIPO" queryTableFieldId="4" dataDxfId="46"/>
    <tableColumn id="5" xr3:uid="{4F3B4D22-3444-4707-91B7-A75F49F6498B}" uniqueName="5" name="CONDICION" queryTableFieldId="5" dataDxfId="45"/>
    <tableColumn id="6" xr3:uid="{8D887E6F-5C9F-49FF-A6D9-8DCCAC8D9020}" uniqueName="6" name="TIPO" queryTableFieldId="6" dataDxfId="44"/>
    <tableColumn id="7" xr3:uid="{36632EEE-E592-453A-A97A-3195965F4742}" uniqueName="7" name="FECHA DE INGRESO" queryTableFieldId="7" dataDxfId="43"/>
    <tableColumn id="8" xr3:uid="{D33CB618-ED5B-4D3C-80A3-516C71713539}" uniqueName="8" name="MESES ANTIGÜEDAD" queryTableFieldId="8"/>
    <tableColumn id="9" xr3:uid="{705D9621-0524-4854-8C27-BF2096F130C6}" uniqueName="9" name="SEGMENTO" queryTableFieldId="9" dataDxfId="42"/>
    <tableColumn id="10" xr3:uid="{EA137E28-70F4-408B-9000-9FD7EB104A9B}" uniqueName="10" name="FECHA DE CESE" queryTableFieldId="10" dataDxfId="41"/>
  </tableColumns>
  <tableStyleInfo name="TableStyleLight14"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C41E08BB-0323-438E-BFE0-76BBB5F11D04}" name="TablaMeta" displayName="TablaMeta" ref="A1:G215" totalsRowShown="0" headerRowDxfId="40" headerRowBorderDxfId="39" tableBorderDxfId="38" totalsRowBorderDxfId="37">
  <autoFilter ref="A1:G215" xr:uid="{C41E08BB-0323-438E-BFE0-76BBB5F11D04}"/>
  <tableColumns count="7">
    <tableColumn id="1" xr3:uid="{392AC838-52ED-4D24-AEEF-DBB8AB8874AD}" name="CONCAT" dataDxfId="36">
      <calculatedColumnFormula>_xlfn.CONCAT(TablaMeta[[#This Row],[AÑO]],TablaMeta[[#This Row],[mes]],TablaMeta[[#This Row],[Equipo]])</calculatedColumnFormula>
    </tableColumn>
    <tableColumn id="7" xr3:uid="{A8BD99CA-19E6-4917-B7FA-D51076FD0E0E}" name="AÑO" dataDxfId="35"/>
    <tableColumn id="2" xr3:uid="{6AF5A16E-DFBE-42B7-BDA1-6E8694A629C3}" name="mes" dataDxfId="34"/>
    <tableColumn id="4" xr3:uid="{10D1F902-532A-4C8C-AB27-C2F522F14EA7}" name="Equipo" dataDxfId="33"/>
    <tableColumn id="5" xr3:uid="{75A35478-8934-432E-843B-D174D5C58C71}" name="Meta_Equipo" dataDxfId="32"/>
    <tableColumn id="6" xr3:uid="{C4DF57EE-8F57-44C8-ABE6-43EEF1F9DA62}" name="Meta_Asesor" dataDxfId="31"/>
    <tableColumn id="3" xr3:uid="{95E3CE54-9C14-4F51-963D-FFEEB667B07A}" name="SEGG" dataDxfId="30"/>
  </tableColumns>
  <tableStyleInfo name="TableStyleLight8"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529141AF-40B7-4C91-8777-2FBDC01300B9}" name="Tabla89" displayName="Tabla89" ref="A1:C127" totalsRowShown="0" headerRowBorderDxfId="29" tableBorderDxfId="28" totalsRowBorderDxfId="27">
  <autoFilter ref="A1:C127" xr:uid="{529141AF-40B7-4C91-8777-2FBDC01300B9}"/>
  <tableColumns count="3">
    <tableColumn id="1" xr3:uid="{0804485A-A823-46FF-B219-9E582CDF2F30}" name="Dia calendario" dataDxfId="26"/>
    <tableColumn id="2" xr3:uid="{88CCA0AC-DBF1-44F4-84F9-36EF2FA7229D}" name="Equipo" dataDxfId="25"/>
    <tableColumn id="3" xr3:uid="{7519A143-0BE1-4FAE-BCD5-3B7FCA8D2961}" name="Meta" dataDxfId="24" dataCellStyle="Millares 2"/>
  </tableColumns>
  <tableStyleInfo name="TableStyleMedium1"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70FA9F5B-C836-4742-BE9C-564D8F0533B1}" name="Tabla1" displayName="Tabla1" ref="A1:G104" totalsRowShown="0">
  <autoFilter ref="A1:G104" xr:uid="{9866ED1C-EF0F-416F-91D1-ABEC4CB17BC6}"/>
  <tableColumns count="7">
    <tableColumn id="1" xr3:uid="{DD6DD197-E14C-4113-A51D-AA53F64F453E}" name="ASESOR"/>
    <tableColumn id="7" xr3:uid="{DF7F0F9B-4142-4421-8C2E-8D0D9A6E69B7}" name="SEDE"/>
    <tableColumn id="2" xr3:uid="{944CB9FC-E385-415A-B928-2C7CA1328CE5}" name="EQUIPOS"/>
    <tableColumn id="3" xr3:uid="{2D09642F-9953-4CF4-B6BC-ACD5B4EA4256}" name="PAISES"/>
    <tableColumn id="4" xr3:uid="{C1E96C3A-1965-4908-8F12-0BE0B0FC5B18}" name="METAS" dataDxfId="23"/>
    <tableColumn id="5" xr3:uid="{D2A6EA85-2371-4C49-B325-FDE7913F0CF8}" name="RECUPEROS" dataDxfId="22">
      <calculatedColumnFormula>VLOOKUP(Tabla1[[#This Row],[ASESOR]],DATA_MAYO_2026[[ASER_]:[R_M]],24,0)</calculatedColumnFormula>
    </tableColumn>
    <tableColumn id="6" xr3:uid="{B99793FF-CD77-47F2-96D1-31C94D4BB98E}" name="ALCANCES" dataDxfId="21">
      <calculatedColumnFormula>Tabla1[[#This Row],[RECUPEROS]]/Tabla1[[#This Row],[METAS]]</calculatedColumnFormula>
    </tableColumn>
  </tableColumns>
  <tableStyleInfo name="TableStyleMedium2"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18895BB0-A125-45D0-81D8-1E995F67D280}" name="Tabla94" displayName="Tabla94" ref="I1:L13" totalsRowShown="0">
  <autoFilter ref="I1:L13" xr:uid="{18895BB0-A125-45D0-81D8-1E995F67D280}"/>
  <sortState xmlns:xlrd2="http://schemas.microsoft.com/office/spreadsheetml/2017/richdata2" ref="I2:L13">
    <sortCondition descending="1" ref="L1:L13"/>
  </sortState>
  <tableColumns count="4">
    <tableColumn id="1" xr3:uid="{7F2BA637-F695-4D74-B9EF-910A64DBE416}" name="EQUIPOS_T"/>
    <tableColumn id="2" xr3:uid="{CD08CA9C-FC9D-4A4E-810B-D6E207B76D51}" name="META_T" dataDxfId="20">
      <calculatedColumnFormula>SUMIFS(Tabla1[METAS],Tabla1[EQUIPOS],Tabla94[[#This Row],[EQUIPOS_T]])</calculatedColumnFormula>
    </tableColumn>
    <tableColumn id="3" xr3:uid="{3920C906-E04A-4970-8882-1C9A1747C3B9}" name="RECUPERO_T" dataDxfId="19">
      <calculatedColumnFormula>SUMIFS(Tabla1[RECUPEROS],Tabla1[EQUIPOS],Tabla94[[#This Row],[EQUIPOS_T]])</calculatedColumnFormula>
    </tableColumn>
    <tableColumn id="4" xr3:uid="{26BC2BBE-9F12-4017-AD0A-D56002FA4CEF}" name="ALCANCES_T" dataDxfId="18">
      <calculatedColumnFormula>Tabla94[[#This Row],[RECUPERO_T]]/Tabla94[[#This Row],[META_T]]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2.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 Id="rId4"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table" Target="../tables/table9.xml"/><Relationship Id="rId4" Type="http://schemas.openxmlformats.org/officeDocument/2006/relationships/table" Target="../tables/table1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 Id="rId4" Type="http://schemas.openxmlformats.org/officeDocument/2006/relationships/table" Target="../tables/table16.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table" Target="../tables/table17.xml"/><Relationship Id="rId4" Type="http://schemas.openxmlformats.org/officeDocument/2006/relationships/table" Target="../tables/table20.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3.xml"/><Relationship Id="rId2" Type="http://schemas.openxmlformats.org/officeDocument/2006/relationships/table" Target="../tables/table22.xml"/><Relationship Id="rId1" Type="http://schemas.openxmlformats.org/officeDocument/2006/relationships/table" Target="../tables/table21.xml"/><Relationship Id="rId4" Type="http://schemas.openxmlformats.org/officeDocument/2006/relationships/table" Target="../tables/table2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27.xml"/><Relationship Id="rId2" Type="http://schemas.openxmlformats.org/officeDocument/2006/relationships/table" Target="../tables/table26.xml"/><Relationship Id="rId1" Type="http://schemas.openxmlformats.org/officeDocument/2006/relationships/table" Target="../tables/table25.xml"/><Relationship Id="rId4" Type="http://schemas.openxmlformats.org/officeDocument/2006/relationships/table" Target="../tables/table28.xml"/></Relationships>
</file>

<file path=xl/worksheets/_rels/sheet8.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4" Type="http://schemas.openxmlformats.org/officeDocument/2006/relationships/table" Target="../tables/table32.xml"/></Relationships>
</file>

<file path=xl/worksheets/_rels/sheet9.xml.rels><?xml version="1.0" encoding="UTF-8" standalone="yes"?>
<Relationships xmlns="http://schemas.openxmlformats.org/package/2006/relationships"><Relationship Id="rId3" Type="http://schemas.openxmlformats.org/officeDocument/2006/relationships/table" Target="../tables/table35.xml"/><Relationship Id="rId2" Type="http://schemas.openxmlformats.org/officeDocument/2006/relationships/table" Target="../tables/table34.xml"/><Relationship Id="rId1" Type="http://schemas.openxmlformats.org/officeDocument/2006/relationships/table" Target="../tables/table33.xml"/><Relationship Id="rId4" Type="http://schemas.openxmlformats.org/officeDocument/2006/relationships/table" Target="../tables/table36.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39.xml"/><Relationship Id="rId2" Type="http://schemas.openxmlformats.org/officeDocument/2006/relationships/table" Target="../tables/table38.xml"/><Relationship Id="rId1" Type="http://schemas.openxmlformats.org/officeDocument/2006/relationships/table" Target="../tables/table37.xml"/><Relationship Id="rId4" Type="http://schemas.openxmlformats.org/officeDocument/2006/relationships/table" Target="../tables/table4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3.xml"/><Relationship Id="rId2" Type="http://schemas.openxmlformats.org/officeDocument/2006/relationships/table" Target="../tables/table42.xml"/><Relationship Id="rId1" Type="http://schemas.openxmlformats.org/officeDocument/2006/relationships/table" Target="../tables/table41.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46.xml"/><Relationship Id="rId2" Type="http://schemas.openxmlformats.org/officeDocument/2006/relationships/table" Target="../tables/table45.xml"/><Relationship Id="rId1" Type="http://schemas.openxmlformats.org/officeDocument/2006/relationships/table" Target="../tables/table44.xml"/><Relationship Id="rId4" Type="http://schemas.openxmlformats.org/officeDocument/2006/relationships/table" Target="../tables/table4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50.xml"/><Relationship Id="rId2" Type="http://schemas.openxmlformats.org/officeDocument/2006/relationships/table" Target="../tables/table49.xml"/><Relationship Id="rId1" Type="http://schemas.openxmlformats.org/officeDocument/2006/relationships/table" Target="../tables/table48.xml"/><Relationship Id="rId4" Type="http://schemas.openxmlformats.org/officeDocument/2006/relationships/table" Target="../tables/table5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54.xml"/><Relationship Id="rId2" Type="http://schemas.openxmlformats.org/officeDocument/2006/relationships/table" Target="../tables/table53.xml"/><Relationship Id="rId1" Type="http://schemas.openxmlformats.org/officeDocument/2006/relationships/table" Target="../tables/table52.xml"/><Relationship Id="rId4" Type="http://schemas.openxmlformats.org/officeDocument/2006/relationships/table" Target="../tables/table55.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58.xml"/><Relationship Id="rId2" Type="http://schemas.openxmlformats.org/officeDocument/2006/relationships/table" Target="../tables/table57.xml"/><Relationship Id="rId1" Type="http://schemas.openxmlformats.org/officeDocument/2006/relationships/table" Target="../tables/table56.xml"/><Relationship Id="rId4" Type="http://schemas.openxmlformats.org/officeDocument/2006/relationships/table" Target="../tables/table59.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62.xml"/><Relationship Id="rId2" Type="http://schemas.openxmlformats.org/officeDocument/2006/relationships/table" Target="../tables/table61.xml"/><Relationship Id="rId1" Type="http://schemas.openxmlformats.org/officeDocument/2006/relationships/table" Target="../tables/table60.xml"/><Relationship Id="rId5" Type="http://schemas.openxmlformats.org/officeDocument/2006/relationships/table" Target="../tables/table64.xml"/><Relationship Id="rId4" Type="http://schemas.openxmlformats.org/officeDocument/2006/relationships/table" Target="../tables/table63.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67.xml"/><Relationship Id="rId2" Type="http://schemas.openxmlformats.org/officeDocument/2006/relationships/table" Target="../tables/table66.xml"/><Relationship Id="rId1" Type="http://schemas.openxmlformats.org/officeDocument/2006/relationships/table" Target="../tables/table65.xml"/><Relationship Id="rId5" Type="http://schemas.openxmlformats.org/officeDocument/2006/relationships/table" Target="../tables/table69.xml"/><Relationship Id="rId4" Type="http://schemas.openxmlformats.org/officeDocument/2006/relationships/table" Target="../tables/table68.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72.xml"/><Relationship Id="rId2" Type="http://schemas.openxmlformats.org/officeDocument/2006/relationships/table" Target="../tables/table71.xml"/><Relationship Id="rId1" Type="http://schemas.openxmlformats.org/officeDocument/2006/relationships/table" Target="../tables/table70.xml"/><Relationship Id="rId5" Type="http://schemas.openxmlformats.org/officeDocument/2006/relationships/table" Target="../tables/table74.xml"/><Relationship Id="rId4" Type="http://schemas.openxmlformats.org/officeDocument/2006/relationships/table" Target="../tables/table73.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77.xml"/><Relationship Id="rId2" Type="http://schemas.openxmlformats.org/officeDocument/2006/relationships/table" Target="../tables/table76.xml"/><Relationship Id="rId1" Type="http://schemas.openxmlformats.org/officeDocument/2006/relationships/table" Target="../tables/table75.xml"/><Relationship Id="rId5" Type="http://schemas.openxmlformats.org/officeDocument/2006/relationships/table" Target="../tables/table79.xml"/><Relationship Id="rId4" Type="http://schemas.openxmlformats.org/officeDocument/2006/relationships/table" Target="../tables/table78.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81.xml"/><Relationship Id="rId2" Type="http://schemas.openxmlformats.org/officeDocument/2006/relationships/table" Target="../tables/table80.xml"/><Relationship Id="rId1" Type="http://schemas.openxmlformats.org/officeDocument/2006/relationships/printerSettings" Target="../printerSettings/printerSettings1.bin"/><Relationship Id="rId6" Type="http://schemas.openxmlformats.org/officeDocument/2006/relationships/table" Target="../tables/table84.xml"/><Relationship Id="rId5" Type="http://schemas.openxmlformats.org/officeDocument/2006/relationships/table" Target="../tables/table83.xml"/><Relationship Id="rId4" Type="http://schemas.openxmlformats.org/officeDocument/2006/relationships/table" Target="../tables/table8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8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8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87.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88.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90.xml"/><Relationship Id="rId1" Type="http://schemas.openxmlformats.org/officeDocument/2006/relationships/table" Target="../tables/table8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A2253-B920-4C76-91F8-3E8CF6A26ADA}">
  <dimension ref="A1:CO78"/>
  <sheetViews>
    <sheetView zoomScale="85" zoomScaleNormal="85" workbookViewId="0">
      <selection activeCell="N8" sqref="N8"/>
    </sheetView>
  </sheetViews>
  <sheetFormatPr baseColWidth="10" defaultRowHeight="15" x14ac:dyDescent="0.25"/>
  <sheetData>
    <row r="1" spans="1:93" x14ac:dyDescent="0.25">
      <c r="A1" s="34"/>
      <c r="B1" s="34"/>
      <c r="C1" s="35"/>
      <c r="D1" s="35"/>
      <c r="E1" s="35"/>
      <c r="L1" s="55"/>
      <c r="N1" s="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s="34" t="s">
        <v>115</v>
      </c>
      <c r="B3" s="34" t="str">
        <f>D1_NOVIEMBRE_2024[[#This Row],[ASESOR]]</f>
        <v>ALEIDITH GUEVARA</v>
      </c>
      <c r="C3" s="36">
        <f>VLOOKUP(D1_NOVIEMBRE_2024[[#This Row],[SUPER]],DATA_NOVIEMBRE_2024[[SUPERVISOR]:[META]],3,0)</f>
        <v>17000</v>
      </c>
      <c r="D3" s="35">
        <f>D1_NOVIEMBRE_2024[[#This Row],[RECUPERO]]/D1_NOVIEMBRE_2024[[#This Row],[META]]</f>
        <v>0.87370588235294122</v>
      </c>
      <c r="E3" s="35" t="str">
        <f>D1_NOVIEMBRE_2024[[#This Row],[SUPER]]</f>
        <v>MELITA</v>
      </c>
      <c r="F3" t="s">
        <v>18</v>
      </c>
      <c r="G3" s="3">
        <v>14853</v>
      </c>
      <c r="H3" t="s">
        <v>431</v>
      </c>
      <c r="I3" s="55">
        <v>45133</v>
      </c>
      <c r="J3" s="55" t="s">
        <v>501</v>
      </c>
      <c r="K3" s="55"/>
      <c r="L3" s="55"/>
      <c r="M3" s="33">
        <v>2024</v>
      </c>
      <c r="N3" s="33" t="s">
        <v>149</v>
      </c>
      <c r="O3" s="33">
        <v>20</v>
      </c>
    </row>
    <row r="4" spans="1:93" x14ac:dyDescent="0.25">
      <c r="A4" s="34" t="s">
        <v>9</v>
      </c>
      <c r="B4" s="34" t="str">
        <f>D1_NOVIEMBRE_2024[[#This Row],[ASESOR]]</f>
        <v>ALEJANDRA AVILA</v>
      </c>
      <c r="C4" s="36">
        <f>VLOOKUP(D1_NOVIEMBRE_2024[[#This Row],[SUPER]],DATA_NOVIEMBRE_2024[[SUPERVISOR]:[META]],3,0)</f>
        <v>13000</v>
      </c>
      <c r="D4" s="35">
        <f>D1_NOVIEMBRE_2024[[#This Row],[RECUPERO]]/D1_NOVIEMBRE_2024[[#This Row],[META]]</f>
        <v>0.80384615384615388</v>
      </c>
      <c r="E4" s="35" t="str">
        <f>D1_NOVIEMBRE_2024[[#This Row],[SUPER]]</f>
        <v>LUIS</v>
      </c>
      <c r="F4" t="s">
        <v>21</v>
      </c>
      <c r="G4" s="3">
        <v>10450</v>
      </c>
      <c r="H4" t="s">
        <v>409</v>
      </c>
      <c r="I4" s="55">
        <v>44301</v>
      </c>
      <c r="J4" s="55" t="s">
        <v>501</v>
      </c>
      <c r="K4" s="55"/>
      <c r="L4" s="55"/>
      <c r="N4" s="5"/>
    </row>
    <row r="5" spans="1:93" x14ac:dyDescent="0.25">
      <c r="A5" s="34" t="s">
        <v>2</v>
      </c>
      <c r="B5" s="34" t="str">
        <f>D1_NOVIEMBRE_2024[[#This Row],[ASESOR]]</f>
        <v>ALEJANDRA QUISPE</v>
      </c>
      <c r="C5" s="36">
        <f>VLOOKUP(D1_NOVIEMBRE_2024[[#This Row],[SUPER]],DATA_NOVIEMBRE_2024[[SUPERVISOR]:[META]],3,0)</f>
        <v>25000</v>
      </c>
      <c r="D5" s="35">
        <f>D1_NOVIEMBRE_2024[[#This Row],[RECUPERO]]/D1_NOVIEMBRE_2024[[#This Row],[META]]</f>
        <v>0.55379999999999996</v>
      </c>
      <c r="E5" s="35" t="str">
        <f>D1_NOVIEMBRE_2024[[#This Row],[SUPER]]</f>
        <v>JORGE</v>
      </c>
      <c r="F5" t="s">
        <v>58</v>
      </c>
      <c r="G5" s="3">
        <v>13845</v>
      </c>
      <c r="H5" t="s">
        <v>441</v>
      </c>
      <c r="I5" s="55">
        <v>43035</v>
      </c>
      <c r="J5" s="55" t="s">
        <v>501</v>
      </c>
      <c r="K5" s="55"/>
      <c r="L5" s="55"/>
      <c r="N5" s="5"/>
      <c r="BB5" s="45"/>
    </row>
    <row r="6" spans="1:93" x14ac:dyDescent="0.25">
      <c r="A6" s="34" t="s">
        <v>4</v>
      </c>
      <c r="B6" s="34" t="str">
        <f>D1_NOVIEMBRE_2024[[#This Row],[ASESOR]]</f>
        <v>ALEJANDRO GONZALES</v>
      </c>
      <c r="C6" s="36">
        <f>VLOOKUP(D1_NOVIEMBRE_2024[[#This Row],[SUPER]],DATA_NOVIEMBRE_2024[[SUPERVISOR]:[META]],3,0)</f>
        <v>68000</v>
      </c>
      <c r="D6" s="35">
        <f>D1_NOVIEMBRE_2024[[#This Row],[RECUPERO]]/D1_NOVIEMBRE_2024[[#This Row],[META]]</f>
        <v>0.30360294117647058</v>
      </c>
      <c r="E6" s="35" t="str">
        <f>D1_NOVIEMBRE_2024[[#This Row],[SUPER]]</f>
        <v>MELINA</v>
      </c>
      <c r="F6" t="s">
        <v>109</v>
      </c>
      <c r="G6" s="3">
        <v>20645</v>
      </c>
      <c r="H6" t="s">
        <v>422</v>
      </c>
      <c r="I6" s="55">
        <v>45334</v>
      </c>
      <c r="J6" s="55" t="s">
        <v>501</v>
      </c>
      <c r="K6" s="55"/>
      <c r="L6" s="55"/>
      <c r="N6" s="5"/>
    </row>
    <row r="7" spans="1:93" x14ac:dyDescent="0.25">
      <c r="A7" s="34" t="s">
        <v>9</v>
      </c>
      <c r="B7" s="34" t="str">
        <f>D1_NOVIEMBRE_2024[[#This Row],[ASESOR]]</f>
        <v>ANDERSON RODRIGUEZ</v>
      </c>
      <c r="C7" s="36">
        <f>VLOOKUP(D1_NOVIEMBRE_2024[[#This Row],[SUPER]],DATA_NOVIEMBRE_2024[[SUPERVISOR]:[META]],3,0)</f>
        <v>13000</v>
      </c>
      <c r="D7" s="35">
        <f>D1_NOVIEMBRE_2024[[#This Row],[RECUPERO]]/D1_NOVIEMBRE_2024[[#This Row],[META]]</f>
        <v>0.86076923076923073</v>
      </c>
      <c r="E7" s="35" t="str">
        <f>D1_NOVIEMBRE_2024[[#This Row],[SUPER]]</f>
        <v>LUIS</v>
      </c>
      <c r="F7" t="s">
        <v>15</v>
      </c>
      <c r="G7" s="3">
        <v>11190</v>
      </c>
      <c r="H7" t="s">
        <v>410</v>
      </c>
      <c r="I7" s="55">
        <v>44735</v>
      </c>
      <c r="J7" s="55" t="s">
        <v>501</v>
      </c>
      <c r="K7" s="55"/>
      <c r="L7" s="55"/>
      <c r="M7" s="1"/>
      <c r="N7" s="5"/>
      <c r="CK7" t="s">
        <v>626</v>
      </c>
      <c r="CO7" t="s">
        <v>149</v>
      </c>
    </row>
    <row r="8" spans="1:93" x14ac:dyDescent="0.25">
      <c r="A8" s="34" t="s">
        <v>5</v>
      </c>
      <c r="B8" s="34" t="str">
        <f>D1_NOVIEMBRE_2024[[#This Row],[ASESOR]]</f>
        <v>ANGELO SUAREZ</v>
      </c>
      <c r="C8" s="36">
        <f>VLOOKUP(D1_NOVIEMBRE_2024[[#This Row],[SUPER]],DATA_NOVIEMBRE_2024[[SUPERVISOR]:[META]],3,0)</f>
        <v>23000</v>
      </c>
      <c r="D8" s="35">
        <f>D1_NOVIEMBRE_2024[[#This Row],[RECUPERO]]/D1_NOVIEMBRE_2024[[#This Row],[META]]</f>
        <v>0.16473913043478261</v>
      </c>
      <c r="E8" s="35" t="str">
        <f>D1_NOVIEMBRE_2024[[#This Row],[SUPER]]</f>
        <v>JORDAN</v>
      </c>
      <c r="F8" t="s">
        <v>92</v>
      </c>
      <c r="G8" s="3">
        <v>3789</v>
      </c>
      <c r="H8" t="s">
        <v>486</v>
      </c>
      <c r="I8" s="55">
        <v>45399</v>
      </c>
      <c r="J8" s="55" t="s">
        <v>501</v>
      </c>
      <c r="K8" s="55"/>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row>
    <row r="9" spans="1:93" x14ac:dyDescent="0.25">
      <c r="A9" s="34" t="s">
        <v>3</v>
      </c>
      <c r="B9" s="34" t="str">
        <f>D1_NOVIEMBRE_2024[[#This Row],[ASESOR]]</f>
        <v>ANTHONY TORRES</v>
      </c>
      <c r="C9" s="36">
        <f>VLOOKUP(D1_NOVIEMBRE_2024[[#This Row],[SUPER]],DATA_NOVIEMBRE_2024[[SUPERVISOR]:[META]],3,0)</f>
        <v>68000</v>
      </c>
      <c r="D9" s="35">
        <f>D1_NOVIEMBRE_2024[[#This Row],[RECUPERO]]/D1_NOVIEMBRE_2024[[#This Row],[META]]</f>
        <v>0.91864705882352937</v>
      </c>
      <c r="E9" s="35" t="str">
        <f>D1_NOVIEMBRE_2024[[#This Row],[SUPER]]</f>
        <v>SANDY</v>
      </c>
      <c r="F9" t="s">
        <v>69</v>
      </c>
      <c r="G9" s="3">
        <v>62468</v>
      </c>
      <c r="H9" t="s">
        <v>379</v>
      </c>
      <c r="I9" s="55">
        <v>44461</v>
      </c>
      <c r="J9" s="55" t="s">
        <v>501</v>
      </c>
      <c r="K9" s="55"/>
      <c r="L9" s="55"/>
      <c r="M9">
        <f>DATA_NOVIEMBRE_2024[[#This Row],[RECUPERO]]/DATA_NOVIEMBRE_2024[[#This Row],[META]]</f>
        <v>0.87370588235294122</v>
      </c>
      <c r="N9" s="5">
        <f>6-ROUNDUP(_xlfn.RANK.EQ(DATA_NOVIEMBRE_2024[[#This Row],[AL_AC]],DATA_NOVIEMBRE_2024[AL_AC],0)/(COUNTA(DATA_NOVIEMBRE_2024[AL_AC])/5),0)</f>
        <v>5</v>
      </c>
      <c r="O9" t="s">
        <v>115</v>
      </c>
      <c r="P9">
        <f>SUM(DATA_NOVIEMBRE_2024[[#This Row],[1]:[31]])</f>
        <v>14853</v>
      </c>
      <c r="Q9">
        <v>17000</v>
      </c>
      <c r="R9" t="s">
        <v>18</v>
      </c>
      <c r="W9">
        <v>4050</v>
      </c>
      <c r="X9">
        <v>756</v>
      </c>
      <c r="Y9">
        <v>1000</v>
      </c>
      <c r="Z9">
        <v>1900</v>
      </c>
      <c r="AC9">
        <v>305</v>
      </c>
      <c r="AD9">
        <v>700</v>
      </c>
      <c r="AJ9">
        <v>500</v>
      </c>
      <c r="AL9">
        <v>615</v>
      </c>
      <c r="AM9">
        <v>200</v>
      </c>
      <c r="AN9">
        <v>240</v>
      </c>
      <c r="AQ9">
        <v>400</v>
      </c>
      <c r="AR9">
        <v>1300</v>
      </c>
      <c r="AS9">
        <v>2250</v>
      </c>
      <c r="AT9">
        <v>50</v>
      </c>
      <c r="AU9">
        <v>380</v>
      </c>
      <c r="AV9">
        <v>207</v>
      </c>
      <c r="AZ9" s="11">
        <v>194000</v>
      </c>
      <c r="BA9" s="11">
        <f>MAX(DITE_NOVIEMBRE_2024[[#This Row],[1]:[31]])</f>
        <v>128925.2</v>
      </c>
      <c r="BB9" s="17">
        <f>DITE_NOVIEMBRE_2024[[#This Row],[RECUPERO SUPERVISOR]]/AZ9</f>
        <v>0.66456288659793816</v>
      </c>
      <c r="BC9" s="11" t="s">
        <v>5</v>
      </c>
      <c r="BD9" s="46">
        <v>250</v>
      </c>
      <c r="BE9" s="46">
        <v>1050</v>
      </c>
      <c r="BF9" s="46">
        <v>1050</v>
      </c>
      <c r="BG9" s="46">
        <v>2598</v>
      </c>
      <c r="BH9" s="46">
        <v>11668</v>
      </c>
      <c r="BI9" s="46">
        <v>18589</v>
      </c>
      <c r="BJ9" s="46">
        <v>24139</v>
      </c>
      <c r="BK9" s="46">
        <v>30589</v>
      </c>
      <c r="BL9" s="46">
        <v>31149</v>
      </c>
      <c r="BM9" s="46">
        <v>31349</v>
      </c>
      <c r="BN9" s="46">
        <v>38254</v>
      </c>
      <c r="BO9" s="46">
        <v>42164</v>
      </c>
      <c r="BP9" s="46">
        <v>50064</v>
      </c>
      <c r="BQ9" s="46">
        <v>50474</v>
      </c>
      <c r="BR9" s="46">
        <v>51874</v>
      </c>
      <c r="BS9" s="46">
        <v>52024</v>
      </c>
      <c r="BT9" s="46">
        <v>52024</v>
      </c>
      <c r="BU9" s="46">
        <v>57095</v>
      </c>
      <c r="BV9" s="46">
        <v>61315</v>
      </c>
      <c r="BW9" s="46">
        <v>62615</v>
      </c>
      <c r="BX9" s="46">
        <v>66045</v>
      </c>
      <c r="BY9" s="46">
        <v>70935</v>
      </c>
      <c r="BZ9" s="46">
        <v>70935</v>
      </c>
      <c r="CA9" s="46">
        <v>70935</v>
      </c>
      <c r="CB9" s="46">
        <v>74817</v>
      </c>
      <c r="CC9" s="46">
        <v>87994</v>
      </c>
      <c r="CD9" s="46">
        <v>94411</v>
      </c>
      <c r="CE9" s="46">
        <v>101551</v>
      </c>
      <c r="CF9" s="46">
        <v>116760</v>
      </c>
      <c r="CG9" s="46">
        <v>128925.2</v>
      </c>
      <c r="CH9" s="46">
        <v>128925.2</v>
      </c>
      <c r="CI9" s="10"/>
      <c r="CK9" t="s">
        <v>5</v>
      </c>
      <c r="CO9" t="s">
        <v>5</v>
      </c>
    </row>
    <row r="10" spans="1:93" x14ac:dyDescent="0.25">
      <c r="A10" s="34" t="s">
        <v>3</v>
      </c>
      <c r="B10" s="34" t="str">
        <f>D1_NOVIEMBRE_2024[[#This Row],[ASESOR]]</f>
        <v>ANTHONY VICENTE</v>
      </c>
      <c r="C10" s="36">
        <f>VLOOKUP(D1_NOVIEMBRE_2024[[#This Row],[SUPER]],DATA_NOVIEMBRE_2024[[SUPERVISOR]:[META]],3,0)</f>
        <v>68000</v>
      </c>
      <c r="D10" s="35">
        <f>D1_NOVIEMBRE_2024[[#This Row],[RECUPERO]]/D1_NOVIEMBRE_2024[[#This Row],[META]]</f>
        <v>0.51849999999999996</v>
      </c>
      <c r="E10" s="35" t="str">
        <f>D1_NOVIEMBRE_2024[[#This Row],[SUPER]]</f>
        <v>SANDY</v>
      </c>
      <c r="F10" t="s">
        <v>85</v>
      </c>
      <c r="G10" s="3">
        <v>35258</v>
      </c>
      <c r="H10" t="s">
        <v>380</v>
      </c>
      <c r="I10" s="55">
        <v>44811</v>
      </c>
      <c r="J10" s="55" t="s">
        <v>501</v>
      </c>
      <c r="K10" s="55"/>
      <c r="L10" s="55"/>
      <c r="M10">
        <f>DATA_NOVIEMBRE_2024[[#This Row],[RECUPERO]]/DATA_NOVIEMBRE_2024[[#This Row],[META]]</f>
        <v>0.80384615384615388</v>
      </c>
      <c r="N10" s="5">
        <f>6-ROUNDUP(_xlfn.RANK.EQ(DATA_NOVIEMBRE_2024[[#This Row],[AL_AC]],DATA_NOVIEMBRE_2024[AL_AC],0)/(COUNTA(DATA_NOVIEMBRE_2024[AL_AC])/5),0)</f>
        <v>4</v>
      </c>
      <c r="O10" t="s">
        <v>9</v>
      </c>
      <c r="P10">
        <f>SUM(DATA_NOVIEMBRE_2024[[#This Row],[1]:[31]])</f>
        <v>10450</v>
      </c>
      <c r="Q10">
        <v>13000</v>
      </c>
      <c r="R10" t="s">
        <v>21</v>
      </c>
      <c r="U10">
        <v>200</v>
      </c>
      <c r="V10">
        <v>200</v>
      </c>
      <c r="W10">
        <v>1750</v>
      </c>
      <c r="X10">
        <v>300</v>
      </c>
      <c r="Z10">
        <v>100</v>
      </c>
      <c r="AC10">
        <v>600</v>
      </c>
      <c r="AD10">
        <v>1000</v>
      </c>
      <c r="AE10">
        <v>100</v>
      </c>
      <c r="AJ10">
        <v>1700</v>
      </c>
      <c r="AL10">
        <v>100</v>
      </c>
      <c r="AM10">
        <v>500</v>
      </c>
      <c r="AN10">
        <v>100</v>
      </c>
      <c r="AQ10">
        <v>300</v>
      </c>
      <c r="AR10">
        <v>100</v>
      </c>
      <c r="AS10">
        <v>200</v>
      </c>
      <c r="AU10">
        <v>2500</v>
      </c>
      <c r="AV10">
        <v>700</v>
      </c>
      <c r="AZ10" s="11">
        <v>150000</v>
      </c>
      <c r="BA10" s="11">
        <f>MAX(DITE_NOVIEMBRE_2024[[#This Row],[1]:[31]])</f>
        <v>113747.29999999999</v>
      </c>
      <c r="BB10" s="17">
        <f>DITE_NOVIEMBRE_2024[[#This Row],[RECUPERO SUPERVISOR]]/AZ10</f>
        <v>0.75831533333333323</v>
      </c>
      <c r="BC10" s="11" t="s">
        <v>2</v>
      </c>
      <c r="BD10" s="46">
        <v>585</v>
      </c>
      <c r="BE10" s="46">
        <v>685</v>
      </c>
      <c r="BF10" s="46">
        <v>685</v>
      </c>
      <c r="BG10" s="46">
        <v>4955</v>
      </c>
      <c r="BH10" s="46">
        <v>6255</v>
      </c>
      <c r="BI10" s="46">
        <v>7675</v>
      </c>
      <c r="BJ10" s="46">
        <v>10225</v>
      </c>
      <c r="BK10" s="46">
        <v>13875</v>
      </c>
      <c r="BL10" s="46">
        <v>15175</v>
      </c>
      <c r="BM10" s="46">
        <v>15175</v>
      </c>
      <c r="BN10" s="46">
        <v>16075</v>
      </c>
      <c r="BO10" s="46">
        <v>21275.1</v>
      </c>
      <c r="BP10" s="46">
        <v>27847.599999999999</v>
      </c>
      <c r="BQ10" s="46">
        <v>28347.599999999999</v>
      </c>
      <c r="BR10" s="46">
        <v>28747.599999999999</v>
      </c>
      <c r="BS10" s="46">
        <v>28947.599999999999</v>
      </c>
      <c r="BT10" s="46">
        <v>28947.599999999999</v>
      </c>
      <c r="BU10" s="46">
        <v>41624.899999999994</v>
      </c>
      <c r="BV10" s="46">
        <v>43674.899999999994</v>
      </c>
      <c r="BW10" s="46">
        <v>46246.899999999994</v>
      </c>
      <c r="BX10" s="46">
        <v>50496.899999999994</v>
      </c>
      <c r="BY10" s="46">
        <v>63054.299999999996</v>
      </c>
      <c r="BZ10" s="46">
        <v>63054.299999999996</v>
      </c>
      <c r="CA10" s="46">
        <v>65202.299999999996</v>
      </c>
      <c r="CB10" s="46">
        <v>67252.299999999988</v>
      </c>
      <c r="CC10" s="46">
        <v>81452.299999999988</v>
      </c>
      <c r="CD10" s="46">
        <v>88275.299999999988</v>
      </c>
      <c r="CE10" s="46">
        <v>93640.299999999988</v>
      </c>
      <c r="CF10" s="46">
        <v>106552.29999999999</v>
      </c>
      <c r="CG10" s="46">
        <v>113747.29999999999</v>
      </c>
      <c r="CH10" s="46">
        <v>113747.29999999999</v>
      </c>
      <c r="CI10" s="11"/>
      <c r="CK10" t="s">
        <v>2</v>
      </c>
      <c r="CO10" t="s">
        <v>2</v>
      </c>
    </row>
    <row r="11" spans="1:93" x14ac:dyDescent="0.25">
      <c r="A11" s="34" t="s">
        <v>5</v>
      </c>
      <c r="B11" s="34" t="str">
        <f>D1_NOVIEMBRE_2024[[#This Row],[ASESOR]]</f>
        <v>AURORA FAUSTOR</v>
      </c>
      <c r="C11" s="36">
        <f>VLOOKUP(D1_NOVIEMBRE_2024[[#This Row],[SUPER]],DATA_NOVIEMBRE_2024[[SUPERVISOR]:[META]],3,0)</f>
        <v>23000</v>
      </c>
      <c r="D11" s="35">
        <f>D1_NOVIEMBRE_2024[[#This Row],[RECUPERO]]/D1_NOVIEMBRE_2024[[#This Row],[META]]</f>
        <v>0.58218260869565219</v>
      </c>
      <c r="E11" s="35" t="str">
        <f>D1_NOVIEMBRE_2024[[#This Row],[SUPER]]</f>
        <v>JORDAN</v>
      </c>
      <c r="F11" t="s">
        <v>67</v>
      </c>
      <c r="G11" s="3">
        <v>13390.2</v>
      </c>
      <c r="H11" t="s">
        <v>381</v>
      </c>
      <c r="I11" s="55">
        <v>44811</v>
      </c>
      <c r="J11" s="55" t="s">
        <v>501</v>
      </c>
      <c r="K11" s="55"/>
      <c r="L11" s="55"/>
      <c r="M11">
        <f>DATA_NOVIEMBRE_2024[[#This Row],[RECUPERO]]/DATA_NOVIEMBRE_2024[[#This Row],[META]]</f>
        <v>0.55379999999999996</v>
      </c>
      <c r="N11" s="5">
        <f>6-ROUNDUP(_xlfn.RANK.EQ(DATA_NOVIEMBRE_2024[[#This Row],[AL_AC]],DATA_NOVIEMBRE_2024[AL_AC],0)/(COUNTA(DATA_NOVIEMBRE_2024[AL_AC])/5),0)</f>
        <v>3</v>
      </c>
      <c r="O11" t="s">
        <v>2</v>
      </c>
      <c r="P11">
        <f>SUM(DATA_NOVIEMBRE_2024[[#This Row],[1]:[31]])</f>
        <v>13845</v>
      </c>
      <c r="Q11">
        <v>25000</v>
      </c>
      <c r="R11" t="s">
        <v>58</v>
      </c>
      <c r="S11">
        <v>200</v>
      </c>
      <c r="T11">
        <v>100</v>
      </c>
      <c r="W11">
        <v>300</v>
      </c>
      <c r="AC11">
        <v>200</v>
      </c>
      <c r="AG11">
        <v>200</v>
      </c>
      <c r="AJ11">
        <v>500</v>
      </c>
      <c r="AL11">
        <v>600</v>
      </c>
      <c r="AM11">
        <v>2900</v>
      </c>
      <c r="AN11">
        <v>3000</v>
      </c>
      <c r="AR11">
        <v>700</v>
      </c>
      <c r="AS11">
        <v>800</v>
      </c>
      <c r="AU11">
        <v>850</v>
      </c>
      <c r="AV11">
        <v>3495</v>
      </c>
      <c r="AZ11" s="11">
        <v>224000</v>
      </c>
      <c r="BA11" s="11">
        <f>MAX(DITE_NOVIEMBRE_2024[[#This Row],[1]:[31]])</f>
        <v>97875.6</v>
      </c>
      <c r="BB11" s="17">
        <f>DITE_NOVIEMBRE_2024[[#This Row],[RECUPERO SUPERVISOR]]/AZ11</f>
        <v>0.43694464285714291</v>
      </c>
      <c r="BC11" s="11" t="s">
        <v>6</v>
      </c>
      <c r="BD11" s="46">
        <v>10000</v>
      </c>
      <c r="BE11" s="46">
        <v>10000</v>
      </c>
      <c r="BF11" s="46">
        <v>10350</v>
      </c>
      <c r="BG11" s="46">
        <v>16328</v>
      </c>
      <c r="BH11" s="46">
        <v>20828</v>
      </c>
      <c r="BI11" s="46">
        <v>21678</v>
      </c>
      <c r="BJ11" s="46">
        <v>21999</v>
      </c>
      <c r="BK11" s="46">
        <v>23989</v>
      </c>
      <c r="BL11" s="46">
        <v>24989</v>
      </c>
      <c r="BM11" s="46">
        <v>24989</v>
      </c>
      <c r="BN11" s="46">
        <v>30149</v>
      </c>
      <c r="BO11" s="46">
        <v>38699</v>
      </c>
      <c r="BP11" s="46">
        <v>46049</v>
      </c>
      <c r="BQ11" s="46">
        <v>46299</v>
      </c>
      <c r="BR11" s="46">
        <v>47249</v>
      </c>
      <c r="BS11" s="46">
        <v>47249</v>
      </c>
      <c r="BT11" s="46">
        <v>47649</v>
      </c>
      <c r="BU11" s="46">
        <v>51129</v>
      </c>
      <c r="BV11" s="46">
        <v>52379</v>
      </c>
      <c r="BW11" s="46">
        <v>53079</v>
      </c>
      <c r="BX11" s="46">
        <v>58379</v>
      </c>
      <c r="BY11" s="46">
        <v>64039</v>
      </c>
      <c r="BZ11" s="46">
        <v>64039</v>
      </c>
      <c r="CA11" s="46">
        <v>64039</v>
      </c>
      <c r="CB11" s="46">
        <v>65739</v>
      </c>
      <c r="CC11" s="46">
        <v>66479</v>
      </c>
      <c r="CD11" s="46">
        <v>67831.100000000006</v>
      </c>
      <c r="CE11" s="46">
        <v>71911.100000000006</v>
      </c>
      <c r="CF11" s="46">
        <v>79485.600000000006</v>
      </c>
      <c r="CG11" s="46">
        <v>97875.6</v>
      </c>
      <c r="CH11" s="46">
        <v>97875.6</v>
      </c>
      <c r="CI11" s="10"/>
      <c r="CK11" t="s">
        <v>6</v>
      </c>
      <c r="CO11" t="s">
        <v>6</v>
      </c>
    </row>
    <row r="12" spans="1:93" x14ac:dyDescent="0.25">
      <c r="A12" s="34" t="s">
        <v>115</v>
      </c>
      <c r="B12" s="34" t="str">
        <f>D1_NOVIEMBRE_2024[[#This Row],[ASESOR]]</f>
        <v>BRINA SOTO</v>
      </c>
      <c r="C12" s="36">
        <f>VLOOKUP(D1_NOVIEMBRE_2024[[#This Row],[SUPER]],DATA_NOVIEMBRE_2024[[SUPERVISOR]:[META]],3,0)</f>
        <v>17000</v>
      </c>
      <c r="D12" s="35">
        <f>D1_NOVIEMBRE_2024[[#This Row],[RECUPERO]]/D1_NOVIEMBRE_2024[[#This Row],[META]]</f>
        <v>0.59611764705882353</v>
      </c>
      <c r="E12" s="35" t="str">
        <f>D1_NOVIEMBRE_2024[[#This Row],[SUPER]]</f>
        <v>MELITA</v>
      </c>
      <c r="F12" t="s">
        <v>14</v>
      </c>
      <c r="G12" s="3">
        <v>10134</v>
      </c>
      <c r="H12" t="s">
        <v>432</v>
      </c>
      <c r="I12" s="55">
        <v>45133</v>
      </c>
      <c r="J12" s="55" t="s">
        <v>501</v>
      </c>
      <c r="K12" s="55"/>
      <c r="L12" s="55"/>
      <c r="M12">
        <f>DATA_NOVIEMBRE_2024[[#This Row],[RECUPERO]]/DATA_NOVIEMBRE_2024[[#This Row],[META]]</f>
        <v>0.30360294117647058</v>
      </c>
      <c r="N12" s="5">
        <f>6-ROUNDUP(_xlfn.RANK.EQ(DATA_NOVIEMBRE_2024[[#This Row],[AL_AC]],DATA_NOVIEMBRE_2024[AL_AC],0)/(COUNTA(DATA_NOVIEMBRE_2024[AL_AC])/5),0)</f>
        <v>2</v>
      </c>
      <c r="O12" t="s">
        <v>4</v>
      </c>
      <c r="P12">
        <f>SUM(DATA_NOVIEMBRE_2024[[#This Row],[1]:[31]])</f>
        <v>20645</v>
      </c>
      <c r="Q12">
        <v>68000</v>
      </c>
      <c r="R12" t="s">
        <v>109</v>
      </c>
      <c r="S12">
        <v>496</v>
      </c>
      <c r="W12">
        <v>675</v>
      </c>
      <c r="X12">
        <v>500</v>
      </c>
      <c r="AA12">
        <v>500</v>
      </c>
      <c r="AC12">
        <v>4600</v>
      </c>
      <c r="AD12">
        <v>860</v>
      </c>
      <c r="AH12">
        <v>274</v>
      </c>
      <c r="AJ12">
        <v>0</v>
      </c>
      <c r="AN12">
        <v>1200</v>
      </c>
      <c r="AO12">
        <v>1000</v>
      </c>
      <c r="AQ12">
        <v>2590</v>
      </c>
      <c r="AR12">
        <v>1850</v>
      </c>
      <c r="AS12">
        <v>300</v>
      </c>
      <c r="AV12">
        <v>5800</v>
      </c>
      <c r="AZ12" s="11">
        <v>78500</v>
      </c>
      <c r="BA12" s="11">
        <f>MAX(DITE_NOVIEMBRE_2024[[#This Row],[1]:[31]])</f>
        <v>75190</v>
      </c>
      <c r="BB12" s="17">
        <f>DITE_NOVIEMBRE_2024[[#This Row],[RECUPERO SUPERVISOR]]/AZ12</f>
        <v>0.95783439490445865</v>
      </c>
      <c r="BC12" s="11" t="s">
        <v>9</v>
      </c>
      <c r="BD12" s="46">
        <v>399</v>
      </c>
      <c r="BE12" s="46">
        <v>720</v>
      </c>
      <c r="BF12" s="46">
        <v>920</v>
      </c>
      <c r="BG12" s="46">
        <v>1960</v>
      </c>
      <c r="BH12" s="46">
        <v>7215</v>
      </c>
      <c r="BI12" s="46">
        <v>10495</v>
      </c>
      <c r="BJ12" s="46">
        <v>13035</v>
      </c>
      <c r="BK12" s="46">
        <v>14535</v>
      </c>
      <c r="BL12" s="46">
        <v>15235</v>
      </c>
      <c r="BM12" s="46">
        <v>15235</v>
      </c>
      <c r="BN12" s="46">
        <v>16976</v>
      </c>
      <c r="BO12" s="46">
        <v>20726</v>
      </c>
      <c r="BP12" s="46">
        <v>24106</v>
      </c>
      <c r="BQ12" s="46">
        <v>24426</v>
      </c>
      <c r="BR12" s="46">
        <v>25028</v>
      </c>
      <c r="BS12" s="46">
        <v>25328</v>
      </c>
      <c r="BT12" s="46">
        <v>25328</v>
      </c>
      <c r="BU12" s="46">
        <v>32428</v>
      </c>
      <c r="BV12" s="46">
        <v>34173</v>
      </c>
      <c r="BW12" s="46">
        <v>37373</v>
      </c>
      <c r="BX12" s="46">
        <v>40173</v>
      </c>
      <c r="BY12" s="46">
        <v>43323</v>
      </c>
      <c r="BZ12" s="46">
        <v>43323</v>
      </c>
      <c r="CA12" s="46">
        <v>43323</v>
      </c>
      <c r="CB12" s="46">
        <v>46533</v>
      </c>
      <c r="CC12" s="46">
        <v>49828</v>
      </c>
      <c r="CD12" s="46">
        <v>57128</v>
      </c>
      <c r="CE12" s="46">
        <v>59258</v>
      </c>
      <c r="CF12" s="46">
        <v>69529</v>
      </c>
      <c r="CG12" s="46">
        <v>75190</v>
      </c>
      <c r="CH12" s="46">
        <v>75190</v>
      </c>
      <c r="CI12" s="11"/>
      <c r="CK12" t="s">
        <v>9</v>
      </c>
      <c r="CO12" t="s">
        <v>9</v>
      </c>
    </row>
    <row r="13" spans="1:93" x14ac:dyDescent="0.25">
      <c r="A13" s="34" t="s">
        <v>6</v>
      </c>
      <c r="B13" s="34" t="str">
        <f>D1_NOVIEMBRE_2024[[#This Row],[ASESOR]]</f>
        <v>BRYAN VELASQUEZ</v>
      </c>
      <c r="C13" s="36">
        <f>VLOOKUP(D1_NOVIEMBRE_2024[[#This Row],[SUPER]],DATA_NOVIEMBRE_2024[[SUPERVISOR]:[META]],3,0)</f>
        <v>22500</v>
      </c>
      <c r="D13" s="35">
        <f>D1_NOVIEMBRE_2024[[#This Row],[RECUPERO]]/D1_NOVIEMBRE_2024[[#This Row],[META]]</f>
        <v>0.86982222222222227</v>
      </c>
      <c r="E13" s="35" t="str">
        <f>D1_NOVIEMBRE_2024[[#This Row],[SUPER]]</f>
        <v>KENNETH</v>
      </c>
      <c r="F13" t="s">
        <v>118</v>
      </c>
      <c r="G13" s="3">
        <v>19571</v>
      </c>
      <c r="H13" t="s">
        <v>398</v>
      </c>
      <c r="I13" s="55">
        <v>44357</v>
      </c>
      <c r="J13" s="55" t="s">
        <v>501</v>
      </c>
      <c r="K13" s="55"/>
      <c r="L13" s="55"/>
      <c r="M13">
        <f>DATA_NOVIEMBRE_2024[[#This Row],[RECUPERO]]/DATA_NOVIEMBRE_2024[[#This Row],[META]]</f>
        <v>0.86076923076923073</v>
      </c>
      <c r="N13" s="5">
        <f>6-ROUNDUP(_xlfn.RANK.EQ(DATA_NOVIEMBRE_2024[[#This Row],[AL_AC]],DATA_NOVIEMBRE_2024[AL_AC],0)/(COUNTA(DATA_NOVIEMBRE_2024[AL_AC])/5),0)</f>
        <v>4</v>
      </c>
      <c r="O13" t="s">
        <v>9</v>
      </c>
      <c r="P13">
        <f>SUM(DATA_NOVIEMBRE_2024[[#This Row],[1]:[31]])</f>
        <v>11190</v>
      </c>
      <c r="Q13">
        <v>13000</v>
      </c>
      <c r="R13" t="s">
        <v>15</v>
      </c>
      <c r="S13" s="45">
        <v>250</v>
      </c>
      <c r="T13">
        <v>321</v>
      </c>
      <c r="W13">
        <v>800</v>
      </c>
      <c r="X13">
        <v>200</v>
      </c>
      <c r="Z13">
        <v>200</v>
      </c>
      <c r="AD13">
        <v>2000</v>
      </c>
      <c r="AJ13">
        <v>2700</v>
      </c>
      <c r="AL13">
        <v>1880</v>
      </c>
      <c r="AR13">
        <v>350</v>
      </c>
      <c r="AS13">
        <v>850</v>
      </c>
      <c r="AT13">
        <v>400</v>
      </c>
      <c r="AU13">
        <v>368</v>
      </c>
      <c r="AV13">
        <v>871</v>
      </c>
      <c r="AZ13" s="11">
        <v>646000</v>
      </c>
      <c r="BA13" s="11">
        <f>MAX(DITE_NOVIEMBRE_2024[[#This Row],[1]:[31]])</f>
        <v>370574.03</v>
      </c>
      <c r="BB13" s="17">
        <f>DITE_NOVIEMBRE_2024[[#This Row],[RECUPERO SUPERVISOR]]/AZ13</f>
        <v>0.57364400928792569</v>
      </c>
      <c r="BC13" s="11" t="s">
        <v>4</v>
      </c>
      <c r="BD13" s="46">
        <v>742</v>
      </c>
      <c r="BE13" s="46">
        <v>2500.5</v>
      </c>
      <c r="BF13" s="46">
        <v>2500.5</v>
      </c>
      <c r="BG13" s="46">
        <v>15756.5</v>
      </c>
      <c r="BH13" s="46">
        <v>31729.5</v>
      </c>
      <c r="BI13" s="46">
        <v>34718.21</v>
      </c>
      <c r="BJ13" s="46">
        <v>50656.3</v>
      </c>
      <c r="BK13" s="46">
        <v>79099</v>
      </c>
      <c r="BL13" s="46">
        <v>82151</v>
      </c>
      <c r="BM13" s="46">
        <v>82151</v>
      </c>
      <c r="BN13" s="46">
        <v>112456</v>
      </c>
      <c r="BO13" s="46">
        <v>131057.25</v>
      </c>
      <c r="BP13" s="46">
        <v>157479.25</v>
      </c>
      <c r="BQ13" s="46">
        <v>161979.25</v>
      </c>
      <c r="BR13" s="46">
        <v>163774.25</v>
      </c>
      <c r="BS13" s="46">
        <v>165448.25</v>
      </c>
      <c r="BT13" s="46">
        <v>165818.25</v>
      </c>
      <c r="BU13" s="46">
        <v>168914.25</v>
      </c>
      <c r="BV13" s="46">
        <v>177806.25</v>
      </c>
      <c r="BW13" s="46">
        <v>179931.25</v>
      </c>
      <c r="BX13" s="46">
        <v>183517.25</v>
      </c>
      <c r="BY13" s="46">
        <v>207854.25</v>
      </c>
      <c r="BZ13" s="46">
        <v>209154.25</v>
      </c>
      <c r="CA13" s="46">
        <v>209604.25</v>
      </c>
      <c r="CB13" s="46">
        <v>219945.25</v>
      </c>
      <c r="CC13" s="46">
        <v>234230.25</v>
      </c>
      <c r="CD13" s="46">
        <v>245586.25</v>
      </c>
      <c r="CE13" s="46">
        <v>269129.95</v>
      </c>
      <c r="CF13" s="46">
        <v>327152.03000000003</v>
      </c>
      <c r="CG13" s="46">
        <v>370574.03</v>
      </c>
      <c r="CH13" s="46">
        <v>370574.03</v>
      </c>
      <c r="CI13" s="10"/>
      <c r="CK13" t="s">
        <v>4</v>
      </c>
      <c r="CO13" t="s">
        <v>4</v>
      </c>
    </row>
    <row r="14" spans="1:93" x14ac:dyDescent="0.25">
      <c r="A14" s="34" t="s">
        <v>6</v>
      </c>
      <c r="B14" s="34" t="str">
        <f>D1_NOVIEMBRE_2024[[#This Row],[ASESOR]]</f>
        <v>CARMEN PUMA</v>
      </c>
      <c r="C14" s="36">
        <f>VLOOKUP(D1_NOVIEMBRE_2024[[#This Row],[SUPER]],DATA_NOVIEMBRE_2024[[SUPERVISOR]:[META]],3,0)</f>
        <v>22500</v>
      </c>
      <c r="D14" s="35">
        <f>D1_NOVIEMBRE_2024[[#This Row],[RECUPERO]]/D1_NOVIEMBRE_2024[[#This Row],[META]]</f>
        <v>0.77631111111111106</v>
      </c>
      <c r="E14" s="35" t="str">
        <f>D1_NOVIEMBRE_2024[[#This Row],[SUPER]]</f>
        <v>KENNETH</v>
      </c>
      <c r="F14" t="s">
        <v>19</v>
      </c>
      <c r="G14" s="3">
        <v>17467</v>
      </c>
      <c r="H14" t="s">
        <v>399</v>
      </c>
      <c r="I14" s="55">
        <v>44673</v>
      </c>
      <c r="J14" s="55" t="s">
        <v>501</v>
      </c>
      <c r="K14" s="55"/>
      <c r="L14" s="55"/>
      <c r="M14">
        <f>DATA_NOVIEMBRE_2024[[#This Row],[RECUPERO]]/DATA_NOVIEMBRE_2024[[#This Row],[META]]</f>
        <v>0.16473913043478261</v>
      </c>
      <c r="N14" s="5">
        <f>6-ROUNDUP(_xlfn.RANK.EQ(DATA_NOVIEMBRE_2024[[#This Row],[AL_AC]],DATA_NOVIEMBRE_2024[AL_AC],0)/(COUNTA(DATA_NOVIEMBRE_2024[AL_AC])/5),0)</f>
        <v>1</v>
      </c>
      <c r="O14" t="s">
        <v>5</v>
      </c>
      <c r="P14">
        <f>SUM(DATA_NOVIEMBRE_2024[[#This Row],[1]:[31]])</f>
        <v>3789</v>
      </c>
      <c r="Q14">
        <v>23000</v>
      </c>
      <c r="R14" t="s">
        <v>92</v>
      </c>
      <c r="W14">
        <v>1000</v>
      </c>
      <c r="AG14">
        <v>300</v>
      </c>
      <c r="AJ14">
        <v>241</v>
      </c>
      <c r="AK14">
        <v>250</v>
      </c>
      <c r="AN14">
        <v>800</v>
      </c>
      <c r="AQ14">
        <v>480</v>
      </c>
      <c r="AS14">
        <v>252</v>
      </c>
      <c r="AU14">
        <v>166</v>
      </c>
      <c r="AV14">
        <v>300</v>
      </c>
      <c r="AZ14" s="11">
        <v>111800</v>
      </c>
      <c r="BA14" s="11">
        <f>MAX(DITE_NOVIEMBRE_2024[[#This Row],[1]:[31]])</f>
        <v>110326</v>
      </c>
      <c r="BB14" s="17">
        <f>DITE_NOVIEMBRE_2024[[#This Row],[RECUPERO SUPERVISOR]]/AZ14</f>
        <v>0.98681574239713776</v>
      </c>
      <c r="BC14" s="11" t="s">
        <v>115</v>
      </c>
      <c r="BD14" s="46">
        <v>350</v>
      </c>
      <c r="BE14" s="46">
        <v>350</v>
      </c>
      <c r="BF14" s="46">
        <v>350</v>
      </c>
      <c r="BG14" s="46">
        <v>1903</v>
      </c>
      <c r="BH14" s="46">
        <v>11783</v>
      </c>
      <c r="BI14" s="46">
        <v>14861</v>
      </c>
      <c r="BJ14" s="46">
        <v>17231</v>
      </c>
      <c r="BK14" s="46">
        <v>22011</v>
      </c>
      <c r="BL14" s="46">
        <v>22511</v>
      </c>
      <c r="BM14" s="46">
        <v>22711</v>
      </c>
      <c r="BN14" s="46">
        <v>30098</v>
      </c>
      <c r="BO14" s="46">
        <v>37563</v>
      </c>
      <c r="BP14" s="46">
        <v>41888</v>
      </c>
      <c r="BQ14" s="46">
        <v>42038</v>
      </c>
      <c r="BR14" s="46">
        <v>42538</v>
      </c>
      <c r="BS14" s="46">
        <v>43448</v>
      </c>
      <c r="BT14" s="46">
        <v>43677</v>
      </c>
      <c r="BU14" s="46">
        <v>52677</v>
      </c>
      <c r="BV14" s="46">
        <v>56284</v>
      </c>
      <c r="BW14" s="46">
        <v>57926</v>
      </c>
      <c r="BX14" s="46">
        <v>62168</v>
      </c>
      <c r="BY14" s="46">
        <v>63268</v>
      </c>
      <c r="BZ14" s="46">
        <v>63558</v>
      </c>
      <c r="CA14" s="46">
        <v>63558</v>
      </c>
      <c r="CB14" s="46">
        <v>67258</v>
      </c>
      <c r="CC14" s="46">
        <v>74191</v>
      </c>
      <c r="CD14" s="46">
        <v>81696</v>
      </c>
      <c r="CE14" s="46">
        <v>88853</v>
      </c>
      <c r="CF14" s="46">
        <v>103880</v>
      </c>
      <c r="CG14" s="46">
        <v>110326</v>
      </c>
      <c r="CH14" s="46">
        <v>110326</v>
      </c>
      <c r="CI14" s="10"/>
      <c r="CK14" t="s">
        <v>115</v>
      </c>
      <c r="CO14" t="s">
        <v>115</v>
      </c>
    </row>
    <row r="15" spans="1:93" x14ac:dyDescent="0.25">
      <c r="A15" s="34" t="s">
        <v>9</v>
      </c>
      <c r="B15" s="34" t="str">
        <f>D1_NOVIEMBRE_2024[[#This Row],[ASESOR]]</f>
        <v>CRISTINA TICONA</v>
      </c>
      <c r="C15" s="36">
        <f>VLOOKUP(D1_NOVIEMBRE_2024[[#This Row],[SUPER]],DATA_NOVIEMBRE_2024[[SUPERVISOR]:[META]],3,0)</f>
        <v>13000</v>
      </c>
      <c r="D15" s="35">
        <f>D1_NOVIEMBRE_2024[[#This Row],[RECUPERO]]/D1_NOVIEMBRE_2024[[#This Row],[META]]</f>
        <v>0.93692307692307697</v>
      </c>
      <c r="E15" s="35" t="str">
        <f>D1_NOVIEMBRE_2024[[#This Row],[SUPER]]</f>
        <v>LUIS</v>
      </c>
      <c r="F15" t="s">
        <v>61</v>
      </c>
      <c r="G15" s="3">
        <v>12180</v>
      </c>
      <c r="H15" t="s">
        <v>411</v>
      </c>
      <c r="I15" s="55">
        <v>44909</v>
      </c>
      <c r="J15" s="55" t="s">
        <v>501</v>
      </c>
      <c r="K15" s="55"/>
      <c r="L15" s="55"/>
      <c r="M15">
        <f>DATA_NOVIEMBRE_2024[[#This Row],[RECUPERO]]/DATA_NOVIEMBRE_2024[[#This Row],[META]]</f>
        <v>0.91864705882352937</v>
      </c>
      <c r="N15" s="5">
        <f>6-ROUNDUP(_xlfn.RANK.EQ(DATA_NOVIEMBRE_2024[[#This Row],[AL_AC]],DATA_NOVIEMBRE_2024[AL_AC],0)/(COUNTA(DATA_NOVIEMBRE_2024[AL_AC])/5),0)</f>
        <v>5</v>
      </c>
      <c r="O15" t="s">
        <v>3</v>
      </c>
      <c r="P15">
        <f>SUM(DATA_NOVIEMBRE_2024[[#This Row],[1]:[31]])</f>
        <v>62468</v>
      </c>
      <c r="Q15">
        <v>68000</v>
      </c>
      <c r="R15" t="s">
        <v>69</v>
      </c>
      <c r="W15">
        <v>850</v>
      </c>
      <c r="X15">
        <v>1360</v>
      </c>
      <c r="Y15">
        <v>1200</v>
      </c>
      <c r="AC15">
        <v>245</v>
      </c>
      <c r="AE15">
        <v>20622</v>
      </c>
      <c r="AG15">
        <v>640</v>
      </c>
      <c r="AH15">
        <v>356</v>
      </c>
      <c r="AK15">
        <v>700</v>
      </c>
      <c r="AL15">
        <v>355</v>
      </c>
      <c r="AM15">
        <v>690</v>
      </c>
      <c r="AN15">
        <v>11800</v>
      </c>
      <c r="AQ15">
        <v>5699</v>
      </c>
      <c r="AR15">
        <v>600</v>
      </c>
      <c r="AS15">
        <v>200</v>
      </c>
      <c r="AT15">
        <v>5475</v>
      </c>
      <c r="AU15">
        <v>6800</v>
      </c>
      <c r="AV15">
        <v>4876</v>
      </c>
      <c r="AZ15" s="11">
        <v>646000</v>
      </c>
      <c r="BA15" s="11">
        <f>MAX(DITE_NOVIEMBRE_2024[[#This Row],[1]:[31]])</f>
        <v>606729</v>
      </c>
      <c r="BB15" s="17">
        <f>DITE_NOVIEMBRE_2024[[#This Row],[RECUPERO SUPERVISOR]]/AZ15</f>
        <v>0.93920897832817341</v>
      </c>
      <c r="BC15" s="11" t="s">
        <v>3</v>
      </c>
      <c r="BD15" s="46">
        <v>2616</v>
      </c>
      <c r="BE15" s="46">
        <v>3273</v>
      </c>
      <c r="BF15" s="45">
        <v>3623</v>
      </c>
      <c r="BG15" s="45">
        <v>50242</v>
      </c>
      <c r="BH15" s="45">
        <v>55668</v>
      </c>
      <c r="BI15" s="45">
        <v>64523</v>
      </c>
      <c r="BJ15" s="45">
        <v>78703</v>
      </c>
      <c r="BK15" s="45">
        <v>103808</v>
      </c>
      <c r="BL15" s="45">
        <v>111871</v>
      </c>
      <c r="BM15" s="45">
        <v>111871</v>
      </c>
      <c r="BN15" s="45">
        <v>128138</v>
      </c>
      <c r="BO15" s="45">
        <v>146600</v>
      </c>
      <c r="BP15" s="45">
        <v>180725</v>
      </c>
      <c r="BQ15" s="45">
        <v>188453</v>
      </c>
      <c r="BR15" s="45">
        <v>196199.5</v>
      </c>
      <c r="BS15" s="45">
        <v>198070.5</v>
      </c>
      <c r="BT15" s="45">
        <v>198440.5</v>
      </c>
      <c r="BU15" s="45">
        <v>211795</v>
      </c>
      <c r="BV15" s="45">
        <v>216999</v>
      </c>
      <c r="BW15" s="45">
        <v>289692</v>
      </c>
      <c r="BX15" s="45">
        <v>317464</v>
      </c>
      <c r="BY15" s="45">
        <v>377634</v>
      </c>
      <c r="BZ15" s="45">
        <v>378828</v>
      </c>
      <c r="CA15" s="45">
        <v>379896</v>
      </c>
      <c r="CB15" s="45">
        <v>408021</v>
      </c>
      <c r="CC15" s="45">
        <v>426271</v>
      </c>
      <c r="CD15" s="45">
        <v>453664</v>
      </c>
      <c r="CE15" s="45">
        <v>507858</v>
      </c>
      <c r="CF15" s="45">
        <v>545807</v>
      </c>
      <c r="CG15" s="45">
        <v>606729</v>
      </c>
      <c r="CH15" s="45">
        <v>606729</v>
      </c>
      <c r="CI15" s="10"/>
      <c r="CK15" t="s">
        <v>3</v>
      </c>
      <c r="CO15" t="s">
        <v>3</v>
      </c>
    </row>
    <row r="16" spans="1:93" x14ac:dyDescent="0.25">
      <c r="A16" s="34" t="s">
        <v>115</v>
      </c>
      <c r="B16" s="34" t="str">
        <f>D1_NOVIEMBRE_2024[[#This Row],[ASESOR]]</f>
        <v>DANIEL ZAPATA</v>
      </c>
      <c r="C16" s="36">
        <f>VLOOKUP(D1_NOVIEMBRE_2024[[#This Row],[SUPER]],DATA_NOVIEMBRE_2024[[SUPERVISOR]:[META]],3,0)</f>
        <v>17000</v>
      </c>
      <c r="D16" s="35">
        <f>D1_NOVIEMBRE_2024[[#This Row],[RECUPERO]]/D1_NOVIEMBRE_2024[[#This Row],[META]]</f>
        <v>0.87158823529411766</v>
      </c>
      <c r="E16" s="35" t="str">
        <f>D1_NOVIEMBRE_2024[[#This Row],[SUPER]]</f>
        <v>MELITA</v>
      </c>
      <c r="F16" t="s">
        <v>80</v>
      </c>
      <c r="G16" s="3">
        <v>14817</v>
      </c>
      <c r="H16" t="s">
        <v>433</v>
      </c>
      <c r="I16" s="55">
        <v>45285</v>
      </c>
      <c r="J16" s="55" t="s">
        <v>501</v>
      </c>
      <c r="K16" s="55"/>
      <c r="L16" s="55"/>
      <c r="M16">
        <f>DATA_NOVIEMBRE_2024[[#This Row],[RECUPERO]]/DATA_NOVIEMBRE_2024[[#This Row],[META]]</f>
        <v>0.51849999999999996</v>
      </c>
      <c r="N16" s="5">
        <f>6-ROUNDUP(_xlfn.RANK.EQ(DATA_NOVIEMBRE_2024[[#This Row],[AL_AC]],DATA_NOVIEMBRE_2024[AL_AC],0)/(COUNTA(DATA_NOVIEMBRE_2024[AL_AC])/5),0)</f>
        <v>3</v>
      </c>
      <c r="O16" t="s">
        <v>3</v>
      </c>
      <c r="P16">
        <f>SUM(DATA_NOVIEMBRE_2024[[#This Row],[1]:[31]])</f>
        <v>35258</v>
      </c>
      <c r="Q16">
        <v>68000</v>
      </c>
      <c r="R16" t="s">
        <v>85</v>
      </c>
      <c r="S16">
        <v>120</v>
      </c>
      <c r="U16">
        <v>350</v>
      </c>
      <c r="V16">
        <v>11482</v>
      </c>
      <c r="W16">
        <v>515</v>
      </c>
      <c r="X16">
        <v>280</v>
      </c>
      <c r="Y16">
        <v>250</v>
      </c>
      <c r="AA16">
        <v>1600</v>
      </c>
      <c r="AC16">
        <v>2900</v>
      </c>
      <c r="AD16">
        <v>1746</v>
      </c>
      <c r="AE16">
        <v>410</v>
      </c>
      <c r="AF16">
        <v>1000</v>
      </c>
      <c r="AG16">
        <v>500</v>
      </c>
      <c r="AJ16">
        <v>979</v>
      </c>
      <c r="AM16">
        <v>2872</v>
      </c>
      <c r="AN16">
        <v>325</v>
      </c>
      <c r="AQ16">
        <v>250</v>
      </c>
      <c r="AR16">
        <v>282</v>
      </c>
      <c r="AS16">
        <v>2709</v>
      </c>
      <c r="AT16">
        <v>680</v>
      </c>
      <c r="AU16">
        <v>4349</v>
      </c>
      <c r="AV16">
        <v>1659</v>
      </c>
      <c r="CG16" s="45"/>
    </row>
    <row r="17" spans="1:86" x14ac:dyDescent="0.25">
      <c r="A17" s="34" t="s">
        <v>5</v>
      </c>
      <c r="B17" s="34" t="str">
        <f>D1_NOVIEMBRE_2024[[#This Row],[ASESOR]]</f>
        <v>DARYL FERREL</v>
      </c>
      <c r="C17" s="36">
        <f>VLOOKUP(D1_NOVIEMBRE_2024[[#This Row],[SUPER]],DATA_NOVIEMBRE_2024[[SUPERVISOR]:[META]],3,0)</f>
        <v>23000</v>
      </c>
      <c r="D17" s="35">
        <f>D1_NOVIEMBRE_2024[[#This Row],[RECUPERO]]/D1_NOVIEMBRE_2024[[#This Row],[META]]</f>
        <v>0.41421739130434782</v>
      </c>
      <c r="E17" s="35" t="str">
        <f>D1_NOVIEMBRE_2024[[#This Row],[SUPER]]</f>
        <v>JORDAN</v>
      </c>
      <c r="F17" t="s">
        <v>40</v>
      </c>
      <c r="G17" s="3">
        <v>9527</v>
      </c>
      <c r="H17" t="s">
        <v>424</v>
      </c>
      <c r="I17" s="55">
        <v>45429</v>
      </c>
      <c r="J17" s="55" t="s">
        <v>501</v>
      </c>
      <c r="K17" s="55"/>
      <c r="L17" s="55"/>
      <c r="M17">
        <f>DATA_NOVIEMBRE_2024[[#This Row],[RECUPERO]]/DATA_NOVIEMBRE_2024[[#This Row],[META]]</f>
        <v>0.58218260869565219</v>
      </c>
      <c r="N17" s="5">
        <f>6-ROUNDUP(_xlfn.RANK.EQ(DATA_NOVIEMBRE_2024[[#This Row],[AL_AC]],DATA_NOVIEMBRE_2024[AL_AC],0)/(COUNTA(DATA_NOVIEMBRE_2024[AL_AC])/5),0)</f>
        <v>4</v>
      </c>
      <c r="O17" t="s">
        <v>5</v>
      </c>
      <c r="P17">
        <f>SUM(DATA_NOVIEMBRE_2024[[#This Row],[1]:[31]])</f>
        <v>13390.2</v>
      </c>
      <c r="Q17">
        <v>23000</v>
      </c>
      <c r="R17" t="s">
        <v>67</v>
      </c>
      <c r="T17">
        <v>800</v>
      </c>
      <c r="W17">
        <v>1700</v>
      </c>
      <c r="Y17">
        <v>200</v>
      </c>
      <c r="AA17">
        <v>200</v>
      </c>
      <c r="AC17">
        <v>205</v>
      </c>
      <c r="AK17">
        <v>1270</v>
      </c>
      <c r="AL17">
        <v>200</v>
      </c>
      <c r="AM17">
        <v>300</v>
      </c>
      <c r="AN17">
        <v>500</v>
      </c>
      <c r="AQ17">
        <v>500</v>
      </c>
      <c r="AR17">
        <v>534</v>
      </c>
      <c r="AT17">
        <v>1000</v>
      </c>
      <c r="AU17">
        <v>2830</v>
      </c>
      <c r="AV17">
        <v>3151.2</v>
      </c>
      <c r="CA17" s="45"/>
      <c r="CF17" s="45"/>
      <c r="CG17" s="45"/>
      <c r="CH17" s="45"/>
    </row>
    <row r="18" spans="1:86" x14ac:dyDescent="0.25">
      <c r="A18" s="34" t="s">
        <v>4</v>
      </c>
      <c r="B18" s="34" t="str">
        <f>D1_NOVIEMBRE_2024[[#This Row],[ASESOR]]</f>
        <v>DAVID SANCHEZ</v>
      </c>
      <c r="C18" s="36">
        <f>VLOOKUP(D1_NOVIEMBRE_2024[[#This Row],[SUPER]],DATA_NOVIEMBRE_2024[[SUPERVISOR]:[META]],3,0)</f>
        <v>68000</v>
      </c>
      <c r="D18" s="35">
        <f>D1_NOVIEMBRE_2024[[#This Row],[RECUPERO]]/D1_NOVIEMBRE_2024[[#This Row],[META]]</f>
        <v>0.22120588235294117</v>
      </c>
      <c r="E18" s="35" t="str">
        <f>D1_NOVIEMBRE_2024[[#This Row],[SUPER]]</f>
        <v>MELINA</v>
      </c>
      <c r="F18" t="s">
        <v>81</v>
      </c>
      <c r="G18" s="3">
        <v>15042</v>
      </c>
      <c r="H18" t="s">
        <v>425</v>
      </c>
      <c r="I18" s="55">
        <v>45506</v>
      </c>
      <c r="J18" s="55" t="s">
        <v>501</v>
      </c>
      <c r="K18" s="55"/>
      <c r="L18" s="55"/>
      <c r="M18">
        <f>DATA_NOVIEMBRE_2024[[#This Row],[RECUPERO]]/DATA_NOVIEMBRE_2024[[#This Row],[META]]</f>
        <v>0.59611764705882353</v>
      </c>
      <c r="N18" s="5">
        <f>6-ROUNDUP(_xlfn.RANK.EQ(DATA_NOVIEMBRE_2024[[#This Row],[AL_AC]],DATA_NOVIEMBRE_2024[AL_AC],0)/(COUNTA(DATA_NOVIEMBRE_2024[AL_AC])/5),0)</f>
        <v>4</v>
      </c>
      <c r="O18" t="s">
        <v>115</v>
      </c>
      <c r="P18">
        <f>SUM(DATA_NOVIEMBRE_2024[[#This Row],[1]:[31]])</f>
        <v>10134</v>
      </c>
      <c r="Q18">
        <v>17000</v>
      </c>
      <c r="R18" t="s">
        <v>14</v>
      </c>
      <c r="V18">
        <v>100</v>
      </c>
      <c r="W18">
        <v>250</v>
      </c>
      <c r="X18">
        <v>912</v>
      </c>
      <c r="AA18">
        <v>500</v>
      </c>
      <c r="AC18">
        <v>50</v>
      </c>
      <c r="AD18">
        <v>260</v>
      </c>
      <c r="AE18">
        <v>1550</v>
      </c>
      <c r="AH18">
        <v>400</v>
      </c>
      <c r="AI18">
        <v>229</v>
      </c>
      <c r="AJ18">
        <v>450</v>
      </c>
      <c r="AK18">
        <v>437</v>
      </c>
      <c r="AN18">
        <v>250</v>
      </c>
      <c r="AP18">
        <v>0</v>
      </c>
      <c r="AQ18">
        <v>350</v>
      </c>
      <c r="AR18">
        <v>1070</v>
      </c>
      <c r="AS18">
        <v>955</v>
      </c>
      <c r="AU18">
        <v>1760</v>
      </c>
      <c r="AV18">
        <v>611</v>
      </c>
      <c r="BD18" s="45"/>
      <c r="CA18" s="45"/>
      <c r="CB18" s="45"/>
      <c r="CF18" s="45"/>
      <c r="CG18" s="47"/>
      <c r="CH18" s="45"/>
    </row>
    <row r="19" spans="1:86" x14ac:dyDescent="0.25">
      <c r="A19" s="34" t="s">
        <v>3</v>
      </c>
      <c r="B19" s="34" t="str">
        <f>D1_NOVIEMBRE_2024[[#This Row],[ASESOR]]</f>
        <v>EVELY TENORIO</v>
      </c>
      <c r="C19" s="36">
        <f>VLOOKUP(D1_NOVIEMBRE_2024[[#This Row],[SUPER]],DATA_NOVIEMBRE_2024[[SUPERVISOR]:[META]],3,0)</f>
        <v>68000</v>
      </c>
      <c r="D19" s="35">
        <f>D1_NOVIEMBRE_2024[[#This Row],[RECUPERO]]/D1_NOVIEMBRE_2024[[#This Row],[META]]</f>
        <v>1.1996029411764706</v>
      </c>
      <c r="E19" s="35" t="str">
        <f>D1_NOVIEMBRE_2024[[#This Row],[SUPER]]</f>
        <v>SANDY</v>
      </c>
      <c r="F19" t="s">
        <v>22</v>
      </c>
      <c r="G19" s="3">
        <v>81573</v>
      </c>
      <c r="H19" t="s">
        <v>442</v>
      </c>
      <c r="I19" s="55">
        <v>45299</v>
      </c>
      <c r="J19" s="55" t="s">
        <v>501</v>
      </c>
      <c r="K19" s="55"/>
      <c r="L19" s="55"/>
      <c r="M19">
        <f>DATA_NOVIEMBRE_2024[[#This Row],[RECUPERO]]/DATA_NOVIEMBRE_2024[[#This Row],[META]]</f>
        <v>0.86982222222222227</v>
      </c>
      <c r="N19" s="5">
        <f>6-ROUNDUP(_xlfn.RANK.EQ(DATA_NOVIEMBRE_2024[[#This Row],[AL_AC]],DATA_NOVIEMBRE_2024[AL_AC],0)/(COUNTA(DATA_NOVIEMBRE_2024[AL_AC])/5),0)</f>
        <v>5</v>
      </c>
      <c r="O19" t="s">
        <v>6</v>
      </c>
      <c r="P19">
        <f>SUM(DATA_NOVIEMBRE_2024[[#This Row],[1]:[31]])</f>
        <v>19571</v>
      </c>
      <c r="Q19">
        <v>22500</v>
      </c>
      <c r="R19" t="s">
        <v>118</v>
      </c>
      <c r="U19" s="45"/>
      <c r="V19">
        <v>500</v>
      </c>
      <c r="AE19">
        <v>5000</v>
      </c>
      <c r="AF19">
        <v>250</v>
      </c>
      <c r="AJ19">
        <v>500</v>
      </c>
      <c r="AT19">
        <v>3000</v>
      </c>
      <c r="AU19">
        <v>221</v>
      </c>
      <c r="AV19">
        <v>10100</v>
      </c>
      <c r="BD19" s="45"/>
      <c r="CA19" s="45"/>
      <c r="CB19" s="45"/>
      <c r="CF19" s="47"/>
      <c r="CG19" s="47"/>
      <c r="CH19" s="47"/>
    </row>
    <row r="20" spans="1:86" x14ac:dyDescent="0.25">
      <c r="A20" s="34" t="s">
        <v>115</v>
      </c>
      <c r="B20" s="34" t="str">
        <f>D1_NOVIEMBRE_2024[[#This Row],[ASESOR]]</f>
        <v>FRANCO HUAMANI</v>
      </c>
      <c r="C20" s="36">
        <f>VLOOKUP(D1_NOVIEMBRE_2024[[#This Row],[SUPER]],DATA_NOVIEMBRE_2024[[SUPERVISOR]:[META]],3,0)</f>
        <v>17000</v>
      </c>
      <c r="D20" s="35">
        <f>D1_NOVIEMBRE_2024[[#This Row],[RECUPERO]]/D1_NOVIEMBRE_2024[[#This Row],[META]]</f>
        <v>0.55900000000000005</v>
      </c>
      <c r="E20" s="35" t="str">
        <f>D1_NOVIEMBRE_2024[[#This Row],[SUPER]]</f>
        <v>MELITA</v>
      </c>
      <c r="F20" t="s">
        <v>24</v>
      </c>
      <c r="G20" s="3">
        <v>9503</v>
      </c>
      <c r="H20" t="s">
        <v>434</v>
      </c>
      <c r="I20" s="55">
        <v>45334</v>
      </c>
      <c r="J20" s="55" t="s">
        <v>501</v>
      </c>
      <c r="K20" s="55"/>
      <c r="L20" s="55"/>
      <c r="M20">
        <f>DATA_NOVIEMBRE_2024[[#This Row],[RECUPERO]]/DATA_NOVIEMBRE_2024[[#This Row],[META]]</f>
        <v>0.77631111111111106</v>
      </c>
      <c r="N20" s="5">
        <f>6-ROUNDUP(_xlfn.RANK.EQ(DATA_NOVIEMBRE_2024[[#This Row],[AL_AC]],DATA_NOVIEMBRE_2024[AL_AC],0)/(COUNTA(DATA_NOVIEMBRE_2024[AL_AC])/5),0)</f>
        <v>4</v>
      </c>
      <c r="O20" t="s">
        <v>6</v>
      </c>
      <c r="P20">
        <f>SUM(DATA_NOVIEMBRE_2024[[#This Row],[1]:[31]])</f>
        <v>17467</v>
      </c>
      <c r="Q20">
        <v>22500</v>
      </c>
      <c r="R20" t="s">
        <v>19</v>
      </c>
      <c r="S20">
        <v>10000</v>
      </c>
      <c r="V20">
        <v>267</v>
      </c>
      <c r="Z20">
        <v>200</v>
      </c>
      <c r="AA20">
        <v>500</v>
      </c>
      <c r="AD20">
        <v>4100</v>
      </c>
      <c r="AE20">
        <v>350</v>
      </c>
      <c r="AG20">
        <v>250</v>
      </c>
      <c r="AJ20">
        <v>700</v>
      </c>
      <c r="AK20">
        <v>850</v>
      </c>
      <c r="AU20">
        <v>250</v>
      </c>
      <c r="BD20" s="47"/>
      <c r="CA20" s="45"/>
      <c r="CB20" s="47"/>
      <c r="CE20" s="45"/>
      <c r="CF20" s="47"/>
      <c r="CG20" s="45"/>
      <c r="CH20" s="47"/>
    </row>
    <row r="21" spans="1:86" x14ac:dyDescent="0.25">
      <c r="A21" s="34" t="s">
        <v>4</v>
      </c>
      <c r="B21" s="34" t="str">
        <f>D1_NOVIEMBRE_2024[[#This Row],[ASESOR]]</f>
        <v>FRANK PACORA</v>
      </c>
      <c r="C21" s="36">
        <f>VLOOKUP(D1_NOVIEMBRE_2024[[#This Row],[SUPER]],DATA_NOVIEMBRE_2024[[SUPERVISOR]:[META]],3,0)</f>
        <v>68000</v>
      </c>
      <c r="D21" s="35">
        <f>D1_NOVIEMBRE_2024[[#This Row],[RECUPERO]]/D1_NOVIEMBRE_2024[[#This Row],[META]]</f>
        <v>0.17148529411764707</v>
      </c>
      <c r="E21" s="35" t="str">
        <f>D1_NOVIEMBRE_2024[[#This Row],[SUPER]]</f>
        <v>MELINA</v>
      </c>
      <c r="F21" t="s">
        <v>105</v>
      </c>
      <c r="G21" s="3">
        <v>11661</v>
      </c>
      <c r="H21" t="s">
        <v>463</v>
      </c>
      <c r="I21" s="55">
        <v>44657</v>
      </c>
      <c r="J21" s="55" t="s">
        <v>501</v>
      </c>
      <c r="K21" s="55"/>
      <c r="L21" s="55"/>
      <c r="M21">
        <f>DATA_NOVIEMBRE_2024[[#This Row],[RECUPERO]]/DATA_NOVIEMBRE_2024[[#This Row],[META]]</f>
        <v>0.93692307692307697</v>
      </c>
      <c r="N21" s="5">
        <f>6-ROUNDUP(_xlfn.RANK.EQ(DATA_NOVIEMBRE_2024[[#This Row],[AL_AC]],DATA_NOVIEMBRE_2024[AL_AC],0)/(COUNTA(DATA_NOVIEMBRE_2024[AL_AC])/5),0)</f>
        <v>5</v>
      </c>
      <c r="O21" t="s">
        <v>9</v>
      </c>
      <c r="P21">
        <f>SUM(DATA_NOVIEMBRE_2024[[#This Row],[1]:[31]])</f>
        <v>12180</v>
      </c>
      <c r="Q21">
        <v>13000</v>
      </c>
      <c r="R21" t="s">
        <v>61</v>
      </c>
      <c r="V21">
        <v>500</v>
      </c>
      <c r="X21">
        <v>1400</v>
      </c>
      <c r="Z21">
        <v>200</v>
      </c>
      <c r="AA21">
        <v>200</v>
      </c>
      <c r="AD21">
        <v>400</v>
      </c>
      <c r="AE21">
        <v>200</v>
      </c>
      <c r="AJ21">
        <v>2200</v>
      </c>
      <c r="AL21">
        <v>500</v>
      </c>
      <c r="AQ21">
        <v>70</v>
      </c>
      <c r="AS21">
        <v>4050</v>
      </c>
      <c r="AU21">
        <v>800</v>
      </c>
      <c r="AV21">
        <v>1660</v>
      </c>
      <c r="BD21" s="47"/>
      <c r="CA21" s="45"/>
      <c r="CB21" s="47"/>
      <c r="CE21" s="45"/>
      <c r="CF21" s="45"/>
      <c r="CH21" s="45"/>
    </row>
    <row r="22" spans="1:86" x14ac:dyDescent="0.25">
      <c r="A22" s="34" t="s">
        <v>2</v>
      </c>
      <c r="B22" s="34" t="str">
        <f>D1_NOVIEMBRE_2024[[#This Row],[ASESOR]]</f>
        <v>FRANS TACSI</v>
      </c>
      <c r="C22" s="36">
        <f>VLOOKUP(D1_NOVIEMBRE_2024[[#This Row],[SUPER]],DATA_NOVIEMBRE_2024[[SUPERVISOR]:[META]],3,0)</f>
        <v>25000</v>
      </c>
      <c r="D22" s="35">
        <f>D1_NOVIEMBRE_2024[[#This Row],[RECUPERO]]/D1_NOVIEMBRE_2024[[#This Row],[META]]</f>
        <v>0.33600000000000002</v>
      </c>
      <c r="E22" s="35" t="str">
        <f>D1_NOVIEMBRE_2024[[#This Row],[SUPER]]</f>
        <v>JORGE</v>
      </c>
      <c r="F22" t="s">
        <v>16</v>
      </c>
      <c r="G22" s="3">
        <v>8400</v>
      </c>
      <c r="H22" t="s">
        <v>388</v>
      </c>
      <c r="I22" s="55">
        <v>45334</v>
      </c>
      <c r="J22" s="55" t="s">
        <v>501</v>
      </c>
      <c r="K22" s="55"/>
      <c r="L22" s="55"/>
      <c r="M22">
        <f>DATA_NOVIEMBRE_2024[[#This Row],[RECUPERO]]/DATA_NOVIEMBRE_2024[[#This Row],[META]]</f>
        <v>0.87158823529411766</v>
      </c>
      <c r="N22" s="5">
        <f>6-ROUNDUP(_xlfn.RANK.EQ(DATA_NOVIEMBRE_2024[[#This Row],[AL_AC]],DATA_NOVIEMBRE_2024[AL_AC],0)/(COUNTA(DATA_NOVIEMBRE_2024[AL_AC])/5),0)</f>
        <v>5</v>
      </c>
      <c r="O22" t="s">
        <v>115</v>
      </c>
      <c r="P22">
        <f>SUM(DATA_NOVIEMBRE_2024[[#This Row],[1]:[31]])</f>
        <v>14817</v>
      </c>
      <c r="Q22">
        <v>17000</v>
      </c>
      <c r="R22" t="s">
        <v>80</v>
      </c>
      <c r="V22">
        <v>347</v>
      </c>
      <c r="Y22">
        <v>200</v>
      </c>
      <c r="Z22">
        <v>280</v>
      </c>
      <c r="AC22">
        <v>500</v>
      </c>
      <c r="AD22">
        <v>1300</v>
      </c>
      <c r="AE22">
        <v>270</v>
      </c>
      <c r="AG22">
        <v>100</v>
      </c>
      <c r="AK22">
        <v>500</v>
      </c>
      <c r="AL22">
        <v>247</v>
      </c>
      <c r="AM22">
        <v>500</v>
      </c>
      <c r="AN22">
        <v>160</v>
      </c>
      <c r="AQ22">
        <v>600</v>
      </c>
      <c r="AR22">
        <v>1070</v>
      </c>
      <c r="AS22">
        <v>2550</v>
      </c>
      <c r="AT22">
        <v>902</v>
      </c>
      <c r="AU22">
        <v>3767</v>
      </c>
      <c r="AV22">
        <v>1524</v>
      </c>
      <c r="BD22" s="45"/>
      <c r="CA22" s="47"/>
      <c r="CB22" s="45"/>
      <c r="CE22" s="45"/>
    </row>
    <row r="23" spans="1:86" x14ac:dyDescent="0.25">
      <c r="A23" s="34" t="s">
        <v>2</v>
      </c>
      <c r="B23" s="34" t="str">
        <f>D1_NOVIEMBRE_2024[[#This Row],[ASESOR]]</f>
        <v>GENESIS VICUNA</v>
      </c>
      <c r="C23" s="36">
        <f>VLOOKUP(D1_NOVIEMBRE_2024[[#This Row],[SUPER]],DATA_NOVIEMBRE_2024[[SUPERVISOR]:[META]],3,0)</f>
        <v>25000</v>
      </c>
      <c r="D23" s="35">
        <f>D1_NOVIEMBRE_2024[[#This Row],[RECUPERO]]/D1_NOVIEMBRE_2024[[#This Row],[META]]</f>
        <v>0.70473200000000003</v>
      </c>
      <c r="E23" s="35" t="str">
        <f>D1_NOVIEMBRE_2024[[#This Row],[SUPER]]</f>
        <v>JORGE</v>
      </c>
      <c r="F23" t="s">
        <v>12</v>
      </c>
      <c r="G23" s="3">
        <v>17618.3</v>
      </c>
      <c r="H23" t="s">
        <v>389</v>
      </c>
      <c r="I23" s="55">
        <v>44870</v>
      </c>
      <c r="J23" s="55" t="s">
        <v>501</v>
      </c>
      <c r="K23" s="55"/>
      <c r="L23" s="55"/>
      <c r="M23">
        <f>DATA_NOVIEMBRE_2024[[#This Row],[RECUPERO]]/DATA_NOVIEMBRE_2024[[#This Row],[META]]</f>
        <v>0.41421739130434782</v>
      </c>
      <c r="N23" s="5">
        <f>6-ROUNDUP(_xlfn.RANK.EQ(DATA_NOVIEMBRE_2024[[#This Row],[AL_AC]],DATA_NOVIEMBRE_2024[AL_AC],0)/(COUNTA(DATA_NOVIEMBRE_2024[AL_AC])/5),0)</f>
        <v>2</v>
      </c>
      <c r="O23" t="s">
        <v>5</v>
      </c>
      <c r="P23">
        <f>SUM(DATA_NOVIEMBRE_2024[[#This Row],[1]:[31]])</f>
        <v>9527</v>
      </c>
      <c r="Q23">
        <v>23000</v>
      </c>
      <c r="R23" t="s">
        <v>40</v>
      </c>
      <c r="X23">
        <v>871</v>
      </c>
      <c r="Z23">
        <v>400</v>
      </c>
      <c r="AA23">
        <v>160</v>
      </c>
      <c r="AC23">
        <v>800</v>
      </c>
      <c r="AE23">
        <v>1200</v>
      </c>
      <c r="AJ23">
        <v>500</v>
      </c>
      <c r="AM23">
        <v>200</v>
      </c>
      <c r="AQ23">
        <v>1050</v>
      </c>
      <c r="AR23">
        <v>305</v>
      </c>
      <c r="AS23">
        <v>1500</v>
      </c>
      <c r="AT23">
        <v>300</v>
      </c>
      <c r="AU23">
        <v>970</v>
      </c>
      <c r="AV23">
        <v>1271</v>
      </c>
      <c r="CA23" s="45"/>
    </row>
    <row r="24" spans="1:86" x14ac:dyDescent="0.25">
      <c r="A24" s="34" t="s">
        <v>4</v>
      </c>
      <c r="B24" s="34" t="str">
        <f>D1_NOVIEMBRE_2024[[#This Row],[ASESOR]]</f>
        <v>GIANFRANCO PINEDO</v>
      </c>
      <c r="C24" s="36">
        <f>VLOOKUP(D1_NOVIEMBRE_2024[[#This Row],[SUPER]],DATA_NOVIEMBRE_2024[[SUPERVISOR]:[META]],3,0)</f>
        <v>68000</v>
      </c>
      <c r="D24" s="35">
        <f>D1_NOVIEMBRE_2024[[#This Row],[RECUPERO]]/D1_NOVIEMBRE_2024[[#This Row],[META]]</f>
        <v>0.47957352941176473</v>
      </c>
      <c r="E24" s="35" t="str">
        <f>D1_NOVIEMBRE_2024[[#This Row],[SUPER]]</f>
        <v>MELINA</v>
      </c>
      <c r="F24" t="s">
        <v>13</v>
      </c>
      <c r="G24" s="3">
        <v>32611</v>
      </c>
      <c r="H24" t="s">
        <v>382</v>
      </c>
      <c r="I24" s="55">
        <v>44811</v>
      </c>
      <c r="J24" s="55" t="s">
        <v>501</v>
      </c>
      <c r="K24" s="55"/>
      <c r="L24" s="55"/>
      <c r="M24">
        <f>DATA_NOVIEMBRE_2024[[#This Row],[RECUPERO]]/DATA_NOVIEMBRE_2024[[#This Row],[META]]</f>
        <v>0.22120588235294117</v>
      </c>
      <c r="N24" s="5">
        <f>6-ROUNDUP(_xlfn.RANK.EQ(DATA_NOVIEMBRE_2024[[#This Row],[AL_AC]],DATA_NOVIEMBRE_2024[AL_AC],0)/(COUNTA(DATA_NOVIEMBRE_2024[AL_AC])/5),0)</f>
        <v>2</v>
      </c>
      <c r="O24" t="s">
        <v>4</v>
      </c>
      <c r="P24">
        <f>SUM(DATA_NOVIEMBRE_2024[[#This Row],[1]:[31]])</f>
        <v>15042</v>
      </c>
      <c r="Q24">
        <v>68000</v>
      </c>
      <c r="R24" t="s">
        <v>81</v>
      </c>
      <c r="Z24">
        <v>2300</v>
      </c>
      <c r="AE24">
        <v>992</v>
      </c>
      <c r="AJ24">
        <v>500</v>
      </c>
      <c r="AL24">
        <v>1600</v>
      </c>
      <c r="AN24">
        <v>500</v>
      </c>
      <c r="AQ24">
        <v>600</v>
      </c>
      <c r="AT24">
        <v>600</v>
      </c>
      <c r="AU24">
        <v>6450</v>
      </c>
      <c r="AV24">
        <v>1500</v>
      </c>
      <c r="CE24" s="45"/>
    </row>
    <row r="25" spans="1:86" x14ac:dyDescent="0.25">
      <c r="A25" s="34" t="s">
        <v>5</v>
      </c>
      <c r="B25" s="34" t="str">
        <f>D1_NOVIEMBRE_2024[[#This Row],[ASESOR]]</f>
        <v>GIANNINA AGUILAR</v>
      </c>
      <c r="C25" s="36">
        <f>VLOOKUP(D1_NOVIEMBRE_2024[[#This Row],[SUPER]],DATA_NOVIEMBRE_2024[[SUPERVISOR]:[META]],3,0)</f>
        <v>23000</v>
      </c>
      <c r="D25" s="35">
        <f>D1_NOVIEMBRE_2024[[#This Row],[RECUPERO]]/D1_NOVIEMBRE_2024[[#This Row],[META]]</f>
        <v>0.54521739130434788</v>
      </c>
      <c r="E25" s="35" t="str">
        <f>D1_NOVIEMBRE_2024[[#This Row],[SUPER]]</f>
        <v>JORDAN</v>
      </c>
      <c r="F25" t="s">
        <v>32</v>
      </c>
      <c r="G25" s="3">
        <v>12540</v>
      </c>
      <c r="H25" t="s">
        <v>390</v>
      </c>
      <c r="I25" s="55">
        <v>45530</v>
      </c>
      <c r="J25" s="55" t="s">
        <v>501</v>
      </c>
      <c r="K25" s="55"/>
      <c r="L25" s="55"/>
      <c r="M25">
        <f>DATA_NOVIEMBRE_2024[[#This Row],[RECUPERO]]/DATA_NOVIEMBRE_2024[[#This Row],[META]]</f>
        <v>1.1996029411764706</v>
      </c>
      <c r="N25" s="5">
        <f>6-ROUNDUP(_xlfn.RANK.EQ(DATA_NOVIEMBRE_2024[[#This Row],[AL_AC]],DATA_NOVIEMBRE_2024[AL_AC],0)/(COUNTA(DATA_NOVIEMBRE_2024[AL_AC])/5),0)</f>
        <v>5</v>
      </c>
      <c r="O25" t="s">
        <v>3</v>
      </c>
      <c r="P25">
        <f>SUM(DATA_NOVIEMBRE_2024[[#This Row],[1]:[31]])</f>
        <v>81573</v>
      </c>
      <c r="Q25">
        <v>68000</v>
      </c>
      <c r="R25" t="s">
        <v>22</v>
      </c>
      <c r="S25">
        <v>1126</v>
      </c>
      <c r="V25">
        <v>600</v>
      </c>
      <c r="W25">
        <v>386</v>
      </c>
      <c r="X25">
        <v>549</v>
      </c>
      <c r="Z25">
        <v>1582</v>
      </c>
      <c r="AA25">
        <v>348</v>
      </c>
      <c r="AC25">
        <v>1253</v>
      </c>
      <c r="AI25">
        <v>370</v>
      </c>
      <c r="AJ25">
        <v>2050</v>
      </c>
      <c r="AL25">
        <v>4200</v>
      </c>
      <c r="AM25">
        <v>1250</v>
      </c>
      <c r="AN25">
        <v>47000</v>
      </c>
      <c r="AO25">
        <v>332</v>
      </c>
      <c r="AP25">
        <v>1068</v>
      </c>
      <c r="AQ25">
        <v>5458</v>
      </c>
      <c r="AR25">
        <v>1699</v>
      </c>
      <c r="AS25">
        <v>450</v>
      </c>
      <c r="AT25">
        <v>446</v>
      </c>
      <c r="AU25">
        <v>2406</v>
      </c>
      <c r="AV25">
        <v>9000</v>
      </c>
    </row>
    <row r="26" spans="1:86" x14ac:dyDescent="0.25">
      <c r="A26" s="34" t="s">
        <v>4</v>
      </c>
      <c r="B26" s="34" t="str">
        <f>D1_NOVIEMBRE_2024[[#This Row],[ASESOR]]</f>
        <v>GILBERTO PURIZACA</v>
      </c>
      <c r="C26" s="36">
        <f>VLOOKUP(D1_NOVIEMBRE_2024[[#This Row],[SUPER]],DATA_NOVIEMBRE_2024[[SUPERVISOR]:[META]],3,0)</f>
        <v>68000</v>
      </c>
      <c r="D26" s="35">
        <f>D1_NOVIEMBRE_2024[[#This Row],[RECUPERO]]/D1_NOVIEMBRE_2024[[#This Row],[META]]</f>
        <v>1.4852941176470588E-2</v>
      </c>
      <c r="E26" s="35" t="str">
        <f>D1_NOVIEMBRE_2024[[#This Row],[SUPER]]</f>
        <v>MELINA</v>
      </c>
      <c r="F26" t="s">
        <v>66</v>
      </c>
      <c r="G26" s="3">
        <v>1010</v>
      </c>
      <c r="H26" t="s">
        <v>383</v>
      </c>
      <c r="I26" s="55">
        <v>45449</v>
      </c>
      <c r="J26" s="55" t="s">
        <v>501</v>
      </c>
      <c r="K26" s="55"/>
      <c r="L26" s="55"/>
      <c r="M26">
        <f>DATA_NOVIEMBRE_2024[[#This Row],[RECUPERO]]/DATA_NOVIEMBRE_2024[[#This Row],[META]]</f>
        <v>0.55900000000000005</v>
      </c>
      <c r="N26" s="5">
        <f>6-ROUNDUP(_xlfn.RANK.EQ(DATA_NOVIEMBRE_2024[[#This Row],[AL_AC]],DATA_NOVIEMBRE_2024[AL_AC],0)/(COUNTA(DATA_NOVIEMBRE_2024[AL_AC])/5),0)</f>
        <v>3</v>
      </c>
      <c r="O26" t="s">
        <v>115</v>
      </c>
      <c r="P26">
        <f>SUM(DATA_NOVIEMBRE_2024[[#This Row],[1]:[31]])</f>
        <v>9503</v>
      </c>
      <c r="Q26">
        <v>17000</v>
      </c>
      <c r="R26" t="s">
        <v>24</v>
      </c>
      <c r="W26">
        <v>530</v>
      </c>
      <c r="Z26">
        <v>750</v>
      </c>
      <c r="AC26">
        <v>800</v>
      </c>
      <c r="AD26">
        <v>1490</v>
      </c>
      <c r="AF26">
        <v>150</v>
      </c>
      <c r="AJ26">
        <v>500</v>
      </c>
      <c r="AK26">
        <v>750</v>
      </c>
      <c r="AM26">
        <v>150</v>
      </c>
      <c r="AN26">
        <v>200</v>
      </c>
      <c r="AR26">
        <v>963</v>
      </c>
      <c r="AS26">
        <v>395</v>
      </c>
      <c r="AT26">
        <v>450</v>
      </c>
      <c r="AU26">
        <v>1875</v>
      </c>
      <c r="AV26">
        <v>500</v>
      </c>
    </row>
    <row r="27" spans="1:86" x14ac:dyDescent="0.25">
      <c r="A27" s="34" t="s">
        <v>9</v>
      </c>
      <c r="B27" s="34" t="str">
        <f>D1_NOVIEMBRE_2024[[#This Row],[ASESOR]]</f>
        <v>GIULIANA QUISPE</v>
      </c>
      <c r="C27" s="36">
        <f>VLOOKUP(D1_NOVIEMBRE_2024[[#This Row],[SUPER]],DATA_NOVIEMBRE_2024[[SUPERVISOR]:[META]],3,0)</f>
        <v>13000</v>
      </c>
      <c r="D27" s="35">
        <f>D1_NOVIEMBRE_2024[[#This Row],[RECUPERO]]/D1_NOVIEMBRE_2024[[#This Row],[META]]</f>
        <v>0.20961538461538462</v>
      </c>
      <c r="E27" s="35" t="str">
        <f>D1_NOVIEMBRE_2024[[#This Row],[SUPER]]</f>
        <v>LUIS</v>
      </c>
      <c r="F27" t="s">
        <v>71</v>
      </c>
      <c r="G27" s="3">
        <v>2725</v>
      </c>
      <c r="H27" t="s">
        <v>414</v>
      </c>
      <c r="I27" s="55">
        <v>45423</v>
      </c>
      <c r="J27" s="55" t="s">
        <v>501</v>
      </c>
      <c r="K27" s="55"/>
      <c r="L27" s="55"/>
      <c r="M27">
        <f>DATA_NOVIEMBRE_2024[[#This Row],[RECUPERO]]/DATA_NOVIEMBRE_2024[[#This Row],[META]]</f>
        <v>0.17148529411764707</v>
      </c>
      <c r="N27" s="5">
        <f>6-ROUNDUP(_xlfn.RANK.EQ(DATA_NOVIEMBRE_2024[[#This Row],[AL_AC]],DATA_NOVIEMBRE_2024[AL_AC],0)/(COUNTA(DATA_NOVIEMBRE_2024[AL_AC])/5),0)</f>
        <v>1</v>
      </c>
      <c r="O27" t="s">
        <v>4</v>
      </c>
      <c r="P27">
        <f>SUM(DATA_NOVIEMBRE_2024[[#This Row],[1]:[31]])</f>
        <v>11661</v>
      </c>
      <c r="Q27">
        <v>68000</v>
      </c>
      <c r="R27" t="s">
        <v>105</v>
      </c>
      <c r="V27">
        <v>1856</v>
      </c>
      <c r="Z27">
        <v>0</v>
      </c>
      <c r="AC27">
        <v>2155</v>
      </c>
      <c r="AD27">
        <v>2900</v>
      </c>
      <c r="AH27">
        <v>600</v>
      </c>
      <c r="AJ27">
        <v>380</v>
      </c>
      <c r="AK27">
        <v>600</v>
      </c>
      <c r="AN27">
        <v>300</v>
      </c>
      <c r="AU27">
        <v>2270</v>
      </c>
      <c r="AV27">
        <v>600</v>
      </c>
    </row>
    <row r="28" spans="1:86" x14ac:dyDescent="0.25">
      <c r="A28" s="34" t="s">
        <v>9</v>
      </c>
      <c r="B28" s="34" t="str">
        <f>D1_NOVIEMBRE_2024[[#This Row],[ASESOR]]</f>
        <v>HARLINGTON VIDAL</v>
      </c>
      <c r="C28" s="36">
        <f>VLOOKUP(D1_NOVIEMBRE_2024[[#This Row],[SUPER]],DATA_NOVIEMBRE_2024[[SUPERVISOR]:[META]],3,0)</f>
        <v>13000</v>
      </c>
      <c r="D28" s="35">
        <f>D1_NOVIEMBRE_2024[[#This Row],[RECUPERO]]/D1_NOVIEMBRE_2024[[#This Row],[META]]</f>
        <v>0.33500000000000002</v>
      </c>
      <c r="E28" s="35" t="str">
        <f>D1_NOVIEMBRE_2024[[#This Row],[SUPER]]</f>
        <v>LUIS</v>
      </c>
      <c r="F28" t="s">
        <v>127</v>
      </c>
      <c r="G28" s="3">
        <v>4355</v>
      </c>
      <c r="H28" t="s">
        <v>459</v>
      </c>
      <c r="I28" s="55">
        <v>45721</v>
      </c>
      <c r="J28" s="55" t="s">
        <v>501</v>
      </c>
      <c r="K28" s="55"/>
      <c r="L28" s="55"/>
      <c r="M28">
        <f>DATA_NOVIEMBRE_2024[[#This Row],[RECUPERO]]/DATA_NOVIEMBRE_2024[[#This Row],[META]]</f>
        <v>0.33600000000000002</v>
      </c>
      <c r="N28" s="5">
        <f>6-ROUNDUP(_xlfn.RANK.EQ(DATA_NOVIEMBRE_2024[[#This Row],[AL_AC]],DATA_NOVIEMBRE_2024[AL_AC],0)/(COUNTA(DATA_NOVIEMBRE_2024[AL_AC])/5),0)</f>
        <v>2</v>
      </c>
      <c r="O28" t="s">
        <v>2</v>
      </c>
      <c r="P28">
        <f>SUM(DATA_NOVIEMBRE_2024[[#This Row],[1]:[31]])</f>
        <v>8400</v>
      </c>
      <c r="Q28">
        <v>25000</v>
      </c>
      <c r="R28" t="s">
        <v>16</v>
      </c>
      <c r="S28" s="45"/>
      <c r="Z28">
        <v>700</v>
      </c>
      <c r="AD28">
        <v>50</v>
      </c>
      <c r="AE28">
        <v>150</v>
      </c>
      <c r="AJ28">
        <v>500</v>
      </c>
      <c r="AN28">
        <v>2500</v>
      </c>
      <c r="AR28">
        <v>800</v>
      </c>
      <c r="AU28">
        <v>3450</v>
      </c>
      <c r="AV28">
        <v>250</v>
      </c>
    </row>
    <row r="29" spans="1:86" x14ac:dyDescent="0.25">
      <c r="A29" s="34" t="s">
        <v>9</v>
      </c>
      <c r="B29" s="34" t="str">
        <f>D1_NOVIEMBRE_2024[[#This Row],[ASESOR]]</f>
        <v>HAROLD FLORES</v>
      </c>
      <c r="C29" s="36">
        <f>VLOOKUP(D1_NOVIEMBRE_2024[[#This Row],[SUPER]],DATA_NOVIEMBRE_2024[[SUPERVISOR]:[META]],3,0)</f>
        <v>13000</v>
      </c>
      <c r="D29" s="35">
        <f>D1_NOVIEMBRE_2024[[#This Row],[RECUPERO]]/D1_NOVIEMBRE_2024[[#This Row],[META]]</f>
        <v>0.24</v>
      </c>
      <c r="E29" s="35" t="str">
        <f>D1_NOVIEMBRE_2024[[#This Row],[SUPER]]</f>
        <v>LUIS</v>
      </c>
      <c r="F29" t="s">
        <v>42</v>
      </c>
      <c r="G29" s="3">
        <v>3120</v>
      </c>
      <c r="H29" t="s">
        <v>415</v>
      </c>
      <c r="I29" s="55">
        <v>45399</v>
      </c>
      <c r="J29" s="55" t="s">
        <v>501</v>
      </c>
      <c r="K29" s="55"/>
      <c r="L29" s="55"/>
      <c r="M29">
        <f>DATA_NOVIEMBRE_2024[[#This Row],[RECUPERO]]/DATA_NOVIEMBRE_2024[[#This Row],[META]]</f>
        <v>0.70473200000000003</v>
      </c>
      <c r="N29" s="5">
        <f>6-ROUNDUP(_xlfn.RANK.EQ(DATA_NOVIEMBRE_2024[[#This Row],[AL_AC]],DATA_NOVIEMBRE_2024[AL_AC],0)/(COUNTA(DATA_NOVIEMBRE_2024[AL_AC])/5),0)</f>
        <v>4</v>
      </c>
      <c r="O29" t="s">
        <v>2</v>
      </c>
      <c r="P29">
        <f>SUM(DATA_NOVIEMBRE_2024[[#This Row],[1]:[31]])</f>
        <v>17618.3</v>
      </c>
      <c r="Q29">
        <v>25000</v>
      </c>
      <c r="R29" t="s">
        <v>12</v>
      </c>
      <c r="S29">
        <v>270</v>
      </c>
      <c r="X29">
        <v>350</v>
      </c>
      <c r="Y29">
        <v>250</v>
      </c>
      <c r="AA29">
        <v>300</v>
      </c>
      <c r="AC29">
        <v>200</v>
      </c>
      <c r="AD29">
        <v>350</v>
      </c>
      <c r="AE29">
        <v>200</v>
      </c>
      <c r="AJ29">
        <v>727.3</v>
      </c>
      <c r="AK29">
        <v>700</v>
      </c>
      <c r="AL29">
        <v>1700</v>
      </c>
      <c r="AM29">
        <v>200</v>
      </c>
      <c r="AP29">
        <v>2148</v>
      </c>
      <c r="AQ29">
        <v>700</v>
      </c>
      <c r="AR29">
        <v>700</v>
      </c>
      <c r="AS29">
        <v>4023</v>
      </c>
      <c r="AT29">
        <v>1550</v>
      </c>
      <c r="AU29">
        <v>1000</v>
      </c>
      <c r="AV29">
        <v>2250</v>
      </c>
    </row>
    <row r="30" spans="1:86" x14ac:dyDescent="0.25">
      <c r="A30" s="34" t="s">
        <v>115</v>
      </c>
      <c r="B30" s="34" t="str">
        <f>D1_NOVIEMBRE_2024[[#This Row],[ASESOR]]</f>
        <v>ISABEL BEJARANO</v>
      </c>
      <c r="C30" s="36">
        <f>VLOOKUP(D1_NOVIEMBRE_2024[[#This Row],[SUPER]],DATA_NOVIEMBRE_2024[[SUPERVISOR]:[META]],3,0)</f>
        <v>17000</v>
      </c>
      <c r="D30" s="35">
        <f>D1_NOVIEMBRE_2024[[#This Row],[RECUPERO]]/D1_NOVIEMBRE_2024[[#This Row],[META]]</f>
        <v>1.1764705882352941E-2</v>
      </c>
      <c r="E30" s="35" t="str">
        <f>D1_NOVIEMBRE_2024[[#This Row],[SUPER]]</f>
        <v>MELITA</v>
      </c>
      <c r="F30" t="s">
        <v>83</v>
      </c>
      <c r="G30" s="3">
        <v>200</v>
      </c>
      <c r="H30" t="s">
        <v>435</v>
      </c>
      <c r="I30" s="55">
        <v>44937</v>
      </c>
      <c r="J30" s="55" t="s">
        <v>501</v>
      </c>
      <c r="K30" s="55"/>
      <c r="L30" s="55"/>
      <c r="M30">
        <f>DATA_NOVIEMBRE_2024[[#This Row],[RECUPERO]]/DATA_NOVIEMBRE_2024[[#This Row],[META]]</f>
        <v>0.47957352941176473</v>
      </c>
      <c r="N30" s="5">
        <f>6-ROUNDUP(_xlfn.RANK.EQ(DATA_NOVIEMBRE_2024[[#This Row],[AL_AC]],DATA_NOVIEMBRE_2024[AL_AC],0)/(COUNTA(DATA_NOVIEMBRE_2024[AL_AC])/5),0)</f>
        <v>3</v>
      </c>
      <c r="O30" t="s">
        <v>4</v>
      </c>
      <c r="P30">
        <f>SUM(DATA_NOVIEMBRE_2024[[#This Row],[1]:[31]])</f>
        <v>32611</v>
      </c>
      <c r="Q30">
        <v>68000</v>
      </c>
      <c r="R30" t="s">
        <v>13</v>
      </c>
      <c r="V30">
        <v>5400</v>
      </c>
      <c r="W30">
        <v>670</v>
      </c>
      <c r="X30">
        <v>2268</v>
      </c>
      <c r="Y30">
        <v>396</v>
      </c>
      <c r="AC30">
        <v>600</v>
      </c>
      <c r="AE30">
        <v>8900</v>
      </c>
      <c r="AJ30">
        <v>1466</v>
      </c>
      <c r="AK30">
        <v>3022</v>
      </c>
      <c r="AN30">
        <v>1337</v>
      </c>
      <c r="AQ30">
        <v>1240</v>
      </c>
      <c r="AT30">
        <v>2730</v>
      </c>
      <c r="AU30">
        <v>3082</v>
      </c>
      <c r="AV30">
        <v>1500</v>
      </c>
    </row>
    <row r="31" spans="1:86" x14ac:dyDescent="0.25">
      <c r="A31" s="34" t="s">
        <v>5</v>
      </c>
      <c r="B31" s="34" t="str">
        <f>D1_NOVIEMBRE_2024[[#This Row],[ASESOR]]</f>
        <v>JAIR MARTINEZ</v>
      </c>
      <c r="C31" s="36">
        <f>VLOOKUP(D1_NOVIEMBRE_2024[[#This Row],[SUPER]],DATA_NOVIEMBRE_2024[[SUPERVISOR]:[META]],3,0)</f>
        <v>23000</v>
      </c>
      <c r="D31" s="35">
        <f>D1_NOVIEMBRE_2024[[#This Row],[RECUPERO]]/D1_NOVIEMBRE_2024[[#This Row],[META]]</f>
        <v>0.46134782608695651</v>
      </c>
      <c r="E31" s="35" t="str">
        <f>D1_NOVIEMBRE_2024[[#This Row],[SUPER]]</f>
        <v>JORDAN</v>
      </c>
      <c r="F31" t="s">
        <v>57</v>
      </c>
      <c r="G31" s="3">
        <v>10611</v>
      </c>
      <c r="H31" t="s">
        <v>443</v>
      </c>
      <c r="I31" s="55">
        <v>45590</v>
      </c>
      <c r="J31" s="55" t="s">
        <v>501</v>
      </c>
      <c r="K31" s="55"/>
      <c r="L31" s="55"/>
      <c r="M31">
        <f>DATA_NOVIEMBRE_2024[[#This Row],[RECUPERO]]/DATA_NOVIEMBRE_2024[[#This Row],[META]]</f>
        <v>0.54521739130434788</v>
      </c>
      <c r="N31" s="5">
        <f>6-ROUNDUP(_xlfn.RANK.EQ(DATA_NOVIEMBRE_2024[[#This Row],[AL_AC]],DATA_NOVIEMBRE_2024[AL_AC],0)/(COUNTA(DATA_NOVIEMBRE_2024[AL_AC])/5),0)</f>
        <v>3</v>
      </c>
      <c r="O31" t="s">
        <v>5</v>
      </c>
      <c r="P31">
        <f>SUM(DATA_NOVIEMBRE_2024[[#This Row],[1]:[31]])</f>
        <v>12540</v>
      </c>
      <c r="Q31">
        <v>23000</v>
      </c>
      <c r="R31" t="s">
        <v>32</v>
      </c>
      <c r="V31">
        <v>670</v>
      </c>
      <c r="W31">
        <v>570</v>
      </c>
      <c r="X31">
        <v>4500</v>
      </c>
      <c r="Z31">
        <v>600</v>
      </c>
      <c r="AA31">
        <v>200</v>
      </c>
      <c r="AC31">
        <v>600</v>
      </c>
      <c r="AD31">
        <v>500</v>
      </c>
      <c r="AG31">
        <v>100</v>
      </c>
      <c r="AJ31">
        <v>530</v>
      </c>
      <c r="AK31">
        <v>700</v>
      </c>
      <c r="AM31">
        <v>2000</v>
      </c>
      <c r="AN31">
        <v>200</v>
      </c>
      <c r="AQ31">
        <v>390</v>
      </c>
      <c r="AU31">
        <v>450</v>
      </c>
      <c r="AV31">
        <v>530</v>
      </c>
    </row>
    <row r="32" spans="1:86" x14ac:dyDescent="0.25">
      <c r="A32" s="34" t="s">
        <v>115</v>
      </c>
      <c r="B32" s="34" t="str">
        <f>D1_NOVIEMBRE_2024[[#This Row],[ASESOR]]</f>
        <v>JANETH PORTOCARRERO</v>
      </c>
      <c r="C32" s="36">
        <f>VLOOKUP(D1_NOVIEMBRE_2024[[#This Row],[SUPER]],DATA_NOVIEMBRE_2024[[SUPERVISOR]:[META]],3,0)</f>
        <v>17000</v>
      </c>
      <c r="D32" s="35">
        <f>D1_NOVIEMBRE_2024[[#This Row],[RECUPERO]]/D1_NOVIEMBRE_2024[[#This Row],[META]]</f>
        <v>0.54088235294117648</v>
      </c>
      <c r="E32" s="35" t="str">
        <f>D1_NOVIEMBRE_2024[[#This Row],[SUPER]]</f>
        <v>MELITA</v>
      </c>
      <c r="F32" t="s">
        <v>49</v>
      </c>
      <c r="G32" s="3">
        <v>9195</v>
      </c>
      <c r="H32" t="s">
        <v>436</v>
      </c>
      <c r="I32" s="55">
        <v>42814</v>
      </c>
      <c r="J32" s="55" t="s">
        <v>501</v>
      </c>
      <c r="K32" s="55"/>
      <c r="L32" s="55"/>
      <c r="M32">
        <f>DATA_NOVIEMBRE_2024[[#This Row],[RECUPERO]]/DATA_NOVIEMBRE_2024[[#This Row],[META]]</f>
        <v>1.4852941176470588E-2</v>
      </c>
      <c r="N32" s="5">
        <f>6-ROUNDUP(_xlfn.RANK.EQ(DATA_NOVIEMBRE_2024[[#This Row],[AL_AC]],DATA_NOVIEMBRE_2024[AL_AC],0)/(COUNTA(DATA_NOVIEMBRE_2024[AL_AC])/5),0)</f>
        <v>1</v>
      </c>
      <c r="O32" t="s">
        <v>4</v>
      </c>
      <c r="P32">
        <f>SUM(DATA_NOVIEMBRE_2024[[#This Row],[1]:[31]])</f>
        <v>1010</v>
      </c>
      <c r="Q32">
        <v>68000</v>
      </c>
      <c r="R32" t="s">
        <v>66</v>
      </c>
      <c r="T32">
        <v>745</v>
      </c>
      <c r="Z32">
        <v>265</v>
      </c>
    </row>
    <row r="33" spans="1:48" x14ac:dyDescent="0.25">
      <c r="A33" s="34" t="s">
        <v>5</v>
      </c>
      <c r="B33" s="34" t="str">
        <f>D1_NOVIEMBRE_2024[[#This Row],[ASESOR]]</f>
        <v>JENY LAZARO</v>
      </c>
      <c r="C33" s="36">
        <f>VLOOKUP(D1_NOVIEMBRE_2024[[#This Row],[SUPER]],DATA_NOVIEMBRE_2024[[SUPERVISOR]:[META]],3,0)</f>
        <v>23000</v>
      </c>
      <c r="D33" s="35">
        <f>D1_NOVIEMBRE_2024[[#This Row],[RECUPERO]]/D1_NOVIEMBRE_2024[[#This Row],[META]]</f>
        <v>0.70347826086956522</v>
      </c>
      <c r="E33" s="35" t="str">
        <f>D1_NOVIEMBRE_2024[[#This Row],[SUPER]]</f>
        <v>JORDAN</v>
      </c>
      <c r="F33" t="s">
        <v>26</v>
      </c>
      <c r="G33" s="3">
        <v>16180</v>
      </c>
      <c r="H33" t="s">
        <v>391</v>
      </c>
      <c r="I33" s="55">
        <v>44259</v>
      </c>
      <c r="J33" s="55" t="s">
        <v>501</v>
      </c>
      <c r="K33" s="55"/>
      <c r="L33" s="55"/>
      <c r="M33">
        <f>DATA_NOVIEMBRE_2024[[#This Row],[RECUPERO]]/DATA_NOVIEMBRE_2024[[#This Row],[META]]</f>
        <v>0.20961538461538462</v>
      </c>
      <c r="N33" s="5">
        <f>6-ROUNDUP(_xlfn.RANK.EQ(DATA_NOVIEMBRE_2024[[#This Row],[AL_AC]],DATA_NOVIEMBRE_2024[AL_AC],0)/(COUNTA(DATA_NOVIEMBRE_2024[AL_AC])/5),0)</f>
        <v>1</v>
      </c>
      <c r="O33" t="s">
        <v>9</v>
      </c>
      <c r="P33">
        <f>SUM(DATA_NOVIEMBRE_2024[[#This Row],[1]:[31]])</f>
        <v>2725</v>
      </c>
      <c r="Q33">
        <v>13000</v>
      </c>
      <c r="R33" t="s">
        <v>71</v>
      </c>
      <c r="W33">
        <v>200</v>
      </c>
      <c r="AD33">
        <v>250</v>
      </c>
      <c r="AE33">
        <v>200</v>
      </c>
      <c r="AN33">
        <v>200</v>
      </c>
      <c r="AQ33">
        <v>600</v>
      </c>
      <c r="AR33">
        <v>225</v>
      </c>
      <c r="AT33">
        <v>650</v>
      </c>
      <c r="AU33">
        <v>200</v>
      </c>
      <c r="AV33">
        <v>200</v>
      </c>
    </row>
    <row r="34" spans="1:48" x14ac:dyDescent="0.25">
      <c r="A34" s="34" t="s">
        <v>4</v>
      </c>
      <c r="B34" s="34" t="str">
        <f>D1_NOVIEMBRE_2024[[#This Row],[ASESOR]]</f>
        <v>JEREMIAS ROJAS</v>
      </c>
      <c r="C34" s="36">
        <f>VLOOKUP(D1_NOVIEMBRE_2024[[#This Row],[SUPER]],DATA_NOVIEMBRE_2024[[SUPERVISOR]:[META]],3,0)</f>
        <v>68000</v>
      </c>
      <c r="D34" s="35">
        <f>D1_NOVIEMBRE_2024[[#This Row],[RECUPERO]]/D1_NOVIEMBRE_2024[[#This Row],[META]]</f>
        <v>0.82323529411764707</v>
      </c>
      <c r="E34" s="35" t="str">
        <f>D1_NOVIEMBRE_2024[[#This Row],[SUPER]]</f>
        <v>MELINA</v>
      </c>
      <c r="F34" t="s">
        <v>122</v>
      </c>
      <c r="G34" s="3">
        <v>55980</v>
      </c>
      <c r="H34" t="s">
        <v>426</v>
      </c>
      <c r="I34" s="55">
        <v>45082</v>
      </c>
      <c r="J34" s="55" t="s">
        <v>501</v>
      </c>
      <c r="K34" s="55"/>
      <c r="L34" s="55"/>
      <c r="M34">
        <f>DATA_NOVIEMBRE_2024[[#This Row],[RECUPERO]]/DATA_NOVIEMBRE_2024[[#This Row],[META]]</f>
        <v>0.33500000000000002</v>
      </c>
      <c r="N34" s="5">
        <f>6-ROUNDUP(_xlfn.RANK.EQ(DATA_NOVIEMBRE_2024[[#This Row],[AL_AC]],DATA_NOVIEMBRE_2024[AL_AC],0)/(COUNTA(DATA_NOVIEMBRE_2024[AL_AC])/5),0)</f>
        <v>2</v>
      </c>
      <c r="O34" t="s">
        <v>9</v>
      </c>
      <c r="P34">
        <f>SUM(DATA_NOVIEMBRE_2024[[#This Row],[1]:[31]])</f>
        <v>4355</v>
      </c>
      <c r="Q34">
        <v>13000</v>
      </c>
      <c r="R34" t="s">
        <v>127</v>
      </c>
      <c r="W34">
        <v>250</v>
      </c>
      <c r="Y34">
        <v>240</v>
      </c>
      <c r="AC34">
        <v>200</v>
      </c>
      <c r="AE34">
        <v>300</v>
      </c>
      <c r="AN34">
        <v>1900</v>
      </c>
      <c r="AV34">
        <v>1465</v>
      </c>
    </row>
    <row r="35" spans="1:48" x14ac:dyDescent="0.25">
      <c r="A35" s="34" t="s">
        <v>4</v>
      </c>
      <c r="B35" s="34" t="str">
        <f>D1_NOVIEMBRE_2024[[#This Row],[ASESOR]]</f>
        <v>JERSON RIVERA</v>
      </c>
      <c r="C35" s="36">
        <f>VLOOKUP(D1_NOVIEMBRE_2024[[#This Row],[SUPER]],DATA_NOVIEMBRE_2024[[SUPERVISOR]:[META]],3,0)</f>
        <v>68000</v>
      </c>
      <c r="D35" s="35">
        <f>D1_NOVIEMBRE_2024[[#This Row],[RECUPERO]]/D1_NOVIEMBRE_2024[[#This Row],[META]]</f>
        <v>0.30161764705882355</v>
      </c>
      <c r="E35" s="35" t="str">
        <f>D1_NOVIEMBRE_2024[[#This Row],[SUPER]]</f>
        <v>MELINA</v>
      </c>
      <c r="F35" t="s">
        <v>116</v>
      </c>
      <c r="G35" s="3">
        <v>20510</v>
      </c>
      <c r="H35" t="s">
        <v>384</v>
      </c>
      <c r="I35" s="55">
        <v>45075</v>
      </c>
      <c r="J35" s="55" t="s">
        <v>501</v>
      </c>
      <c r="K35" s="55"/>
      <c r="L35" s="55"/>
      <c r="M35">
        <f>DATA_NOVIEMBRE_2024[[#This Row],[RECUPERO]]/DATA_NOVIEMBRE_2024[[#This Row],[META]]</f>
        <v>0.24</v>
      </c>
      <c r="N35" s="5">
        <f>6-ROUNDUP(_xlfn.RANK.EQ(DATA_NOVIEMBRE_2024[[#This Row],[AL_AC]],DATA_NOVIEMBRE_2024[AL_AC],0)/(COUNTA(DATA_NOVIEMBRE_2024[AL_AC])/5),0)</f>
        <v>2</v>
      </c>
      <c r="O35" t="s">
        <v>9</v>
      </c>
      <c r="P35">
        <f>SUM(DATA_NOVIEMBRE_2024[[#This Row],[1]:[31]])</f>
        <v>3120</v>
      </c>
      <c r="Q35">
        <v>13000</v>
      </c>
      <c r="R35" t="s">
        <v>42</v>
      </c>
      <c r="W35">
        <v>945</v>
      </c>
      <c r="X35">
        <v>700</v>
      </c>
      <c r="AC35">
        <v>485</v>
      </c>
      <c r="AL35">
        <v>220</v>
      </c>
      <c r="AQ35">
        <v>500</v>
      </c>
      <c r="AR35">
        <v>270</v>
      </c>
    </row>
    <row r="36" spans="1:48" x14ac:dyDescent="0.25">
      <c r="A36" s="34" t="s">
        <v>6</v>
      </c>
      <c r="B36" s="34" t="str">
        <f>D1_NOVIEMBRE_2024[[#This Row],[ASESOR]]</f>
        <v>JESSICA CASTRO</v>
      </c>
      <c r="C36" s="36">
        <f>VLOOKUP(D1_NOVIEMBRE_2024[[#This Row],[SUPER]],DATA_NOVIEMBRE_2024[[SUPERVISOR]:[META]],3,0)</f>
        <v>22500</v>
      </c>
      <c r="D36" s="35">
        <f>D1_NOVIEMBRE_2024[[#This Row],[RECUPERO]]/D1_NOVIEMBRE_2024[[#This Row],[META]]</f>
        <v>2.2222222222222223E-2</v>
      </c>
      <c r="E36" s="35" t="str">
        <f>D1_NOVIEMBRE_2024[[#This Row],[SUPER]]</f>
        <v>KENNETH</v>
      </c>
      <c r="F36" t="s">
        <v>551</v>
      </c>
      <c r="G36" s="3">
        <v>500</v>
      </c>
      <c r="H36" t="s">
        <v>553</v>
      </c>
      <c r="I36" s="55">
        <v>45512</v>
      </c>
      <c r="J36" s="55" t="s">
        <v>501</v>
      </c>
      <c r="K36" s="55"/>
      <c r="L36" s="55"/>
      <c r="M36">
        <f>DATA_NOVIEMBRE_2024[[#This Row],[RECUPERO]]/DATA_NOVIEMBRE_2024[[#This Row],[META]]</f>
        <v>1.1764705882352941E-2</v>
      </c>
      <c r="N36" s="5">
        <f>6-ROUNDUP(_xlfn.RANK.EQ(DATA_NOVIEMBRE_2024[[#This Row],[AL_AC]],DATA_NOVIEMBRE_2024[AL_AC],0)/(COUNTA(DATA_NOVIEMBRE_2024[AL_AC])/5),0)</f>
        <v>1</v>
      </c>
      <c r="O36" t="s">
        <v>115</v>
      </c>
      <c r="P36">
        <f>SUM(DATA_NOVIEMBRE_2024[[#This Row],[1]:[31]])</f>
        <v>200</v>
      </c>
      <c r="Q36">
        <v>17000</v>
      </c>
      <c r="R36" t="s">
        <v>83</v>
      </c>
      <c r="S36">
        <v>200</v>
      </c>
    </row>
    <row r="37" spans="1:48" x14ac:dyDescent="0.25">
      <c r="A37" s="34" t="s">
        <v>115</v>
      </c>
      <c r="B37" s="34" t="str">
        <f>D1_NOVIEMBRE_2024[[#This Row],[ASESOR]]</f>
        <v>JHONATAN CHAVEZ</v>
      </c>
      <c r="C37" s="36">
        <f>VLOOKUP(D1_NOVIEMBRE_2024[[#This Row],[SUPER]],DATA_NOVIEMBRE_2024[[SUPERVISOR]:[META]],3,0)</f>
        <v>17000</v>
      </c>
      <c r="D37" s="35">
        <f>D1_NOVIEMBRE_2024[[#This Row],[RECUPERO]]/D1_NOVIEMBRE_2024[[#This Row],[META]]</f>
        <v>0.50470588235294123</v>
      </c>
      <c r="E37" s="35" t="str">
        <f>D1_NOVIEMBRE_2024[[#This Row],[SUPER]]</f>
        <v>MELITA</v>
      </c>
      <c r="F37" t="s">
        <v>65</v>
      </c>
      <c r="G37" s="3">
        <v>8580</v>
      </c>
      <c r="H37" t="s">
        <v>438</v>
      </c>
      <c r="I37" s="55">
        <v>45021</v>
      </c>
      <c r="J37" s="55" t="s">
        <v>501</v>
      </c>
      <c r="K37" s="55"/>
      <c r="L37" s="55"/>
      <c r="M37">
        <f>DATA_NOVIEMBRE_2024[[#This Row],[RECUPERO]]/DATA_NOVIEMBRE_2024[[#This Row],[META]]</f>
        <v>0.46134782608695651</v>
      </c>
      <c r="N37" s="5">
        <f>6-ROUNDUP(_xlfn.RANK.EQ(DATA_NOVIEMBRE_2024[[#This Row],[AL_AC]],DATA_NOVIEMBRE_2024[AL_AC],0)/(COUNTA(DATA_NOVIEMBRE_2024[AL_AC])/5),0)</f>
        <v>3</v>
      </c>
      <c r="O37" t="s">
        <v>5</v>
      </c>
      <c r="P37">
        <f>SUM(DATA_NOVIEMBRE_2024[[#This Row],[1]:[31]])</f>
        <v>10611</v>
      </c>
      <c r="Q37">
        <v>23000</v>
      </c>
      <c r="R37" t="s">
        <v>57</v>
      </c>
      <c r="V37">
        <v>268</v>
      </c>
      <c r="W37">
        <v>2500</v>
      </c>
      <c r="AD37">
        <v>750</v>
      </c>
      <c r="AE37">
        <v>2500</v>
      </c>
      <c r="AJ37">
        <v>150</v>
      </c>
      <c r="AN37">
        <v>500</v>
      </c>
      <c r="AR37">
        <v>250</v>
      </c>
      <c r="AS37">
        <v>350</v>
      </c>
      <c r="AT37">
        <v>500</v>
      </c>
      <c r="AU37">
        <v>2843</v>
      </c>
    </row>
    <row r="38" spans="1:48" x14ac:dyDescent="0.25">
      <c r="A38" s="34" t="s">
        <v>3</v>
      </c>
      <c r="B38" s="34" t="str">
        <f>D1_NOVIEMBRE_2024[[#This Row],[ASESOR]]</f>
        <v>JHOVANA TORRES</v>
      </c>
      <c r="C38" s="36">
        <f>VLOOKUP(D1_NOVIEMBRE_2024[[#This Row],[SUPER]],DATA_NOVIEMBRE_2024[[SUPERVISOR]:[META]],3,0)</f>
        <v>68000</v>
      </c>
      <c r="D38" s="35">
        <f>D1_NOVIEMBRE_2024[[#This Row],[RECUPERO]]/D1_NOVIEMBRE_2024[[#This Row],[META]]</f>
        <v>9.5514705882352946E-2</v>
      </c>
      <c r="E38" s="35" t="str">
        <f>D1_NOVIEMBRE_2024[[#This Row],[SUPER]]</f>
        <v>SANDY</v>
      </c>
      <c r="F38" t="s">
        <v>20</v>
      </c>
      <c r="G38" s="3">
        <v>6495</v>
      </c>
      <c r="H38" t="s">
        <v>427</v>
      </c>
      <c r="I38" s="55">
        <v>45142</v>
      </c>
      <c r="J38" s="55" t="s">
        <v>501</v>
      </c>
      <c r="K38" s="55"/>
      <c r="L38" s="55"/>
      <c r="M38">
        <f>DATA_NOVIEMBRE_2024[[#This Row],[RECUPERO]]/DATA_NOVIEMBRE_2024[[#This Row],[META]]</f>
        <v>0.54088235294117648</v>
      </c>
      <c r="N38" s="5">
        <f>6-ROUNDUP(_xlfn.RANK.EQ(DATA_NOVIEMBRE_2024[[#This Row],[AL_AC]],DATA_NOVIEMBRE_2024[AL_AC],0)/(COUNTA(DATA_NOVIEMBRE_2024[AL_AC])/5),0)</f>
        <v>3</v>
      </c>
      <c r="O38" t="s">
        <v>115</v>
      </c>
      <c r="P38">
        <f>SUM(DATA_NOVIEMBRE_2024[[#This Row],[1]:[31]])</f>
        <v>9195</v>
      </c>
      <c r="Q38">
        <v>17000</v>
      </c>
      <c r="R38" t="s">
        <v>49</v>
      </c>
      <c r="V38">
        <v>400</v>
      </c>
      <c r="W38">
        <v>550</v>
      </c>
      <c r="X38">
        <v>550</v>
      </c>
      <c r="Z38">
        <v>600</v>
      </c>
      <c r="AD38">
        <v>200</v>
      </c>
      <c r="AE38">
        <v>250</v>
      </c>
      <c r="AG38">
        <v>400</v>
      </c>
      <c r="AH38">
        <v>200</v>
      </c>
      <c r="AJ38">
        <v>3200</v>
      </c>
      <c r="AN38">
        <v>250</v>
      </c>
      <c r="AQ38">
        <v>600</v>
      </c>
      <c r="AR38">
        <v>585</v>
      </c>
      <c r="AT38">
        <v>1110</v>
      </c>
      <c r="AU38">
        <v>300</v>
      </c>
    </row>
    <row r="39" spans="1:48" x14ac:dyDescent="0.25">
      <c r="A39" s="34" t="s">
        <v>6</v>
      </c>
      <c r="B39" s="34" t="str">
        <f>D1_NOVIEMBRE_2024[[#This Row],[ASESOR]]</f>
        <v>JIMENA MEDINA</v>
      </c>
      <c r="C39" s="36">
        <f>VLOOKUP(D1_NOVIEMBRE_2024[[#This Row],[SUPER]],DATA_NOVIEMBRE_2024[[SUPERVISOR]:[META]],3,0)</f>
        <v>22500</v>
      </c>
      <c r="D39" s="35">
        <f>D1_NOVIEMBRE_2024[[#This Row],[RECUPERO]]/D1_NOVIEMBRE_2024[[#This Row],[META]]</f>
        <v>0.49526666666666669</v>
      </c>
      <c r="E39" s="35" t="str">
        <f>D1_NOVIEMBRE_2024[[#This Row],[SUPER]]</f>
        <v>KENNETH</v>
      </c>
      <c r="F39" t="s">
        <v>37</v>
      </c>
      <c r="G39" s="3">
        <v>11143.5</v>
      </c>
      <c r="H39" t="s">
        <v>400</v>
      </c>
      <c r="I39" s="55">
        <v>43132</v>
      </c>
      <c r="J39" s="55" t="s">
        <v>501</v>
      </c>
      <c r="K39" s="55"/>
      <c r="L39" s="55"/>
      <c r="M39">
        <f>DATA_NOVIEMBRE_2024[[#This Row],[RECUPERO]]/DATA_NOVIEMBRE_2024[[#This Row],[META]]</f>
        <v>0.70347826086956522</v>
      </c>
      <c r="N39" s="5">
        <f>6-ROUNDUP(_xlfn.RANK.EQ(DATA_NOVIEMBRE_2024[[#This Row],[AL_AC]],DATA_NOVIEMBRE_2024[AL_AC],0)/(COUNTA(DATA_NOVIEMBRE_2024[AL_AC])/5),0)</f>
        <v>4</v>
      </c>
      <c r="O39" t="s">
        <v>5</v>
      </c>
      <c r="P39">
        <f>SUM(DATA_NOVIEMBRE_2024[[#This Row],[1]:[31]])</f>
        <v>16180</v>
      </c>
      <c r="Q39">
        <v>23000</v>
      </c>
      <c r="R39" t="s">
        <v>26</v>
      </c>
      <c r="W39">
        <v>500</v>
      </c>
      <c r="X39">
        <v>150</v>
      </c>
      <c r="Y39">
        <v>1700</v>
      </c>
      <c r="AC39">
        <v>4000</v>
      </c>
      <c r="AF39">
        <v>410</v>
      </c>
      <c r="AG39">
        <v>1000</v>
      </c>
      <c r="AK39">
        <v>1300</v>
      </c>
      <c r="AN39">
        <v>1000</v>
      </c>
      <c r="AQ39">
        <v>720</v>
      </c>
      <c r="AR39">
        <v>0</v>
      </c>
      <c r="AS39">
        <v>1230</v>
      </c>
      <c r="AT39">
        <v>1390</v>
      </c>
      <c r="AU39">
        <v>2180</v>
      </c>
      <c r="AV39">
        <v>600</v>
      </c>
    </row>
    <row r="40" spans="1:48" x14ac:dyDescent="0.25">
      <c r="A40" s="34" t="s">
        <v>5</v>
      </c>
      <c r="B40" s="34" t="str">
        <f>D1_NOVIEMBRE_2024[[#This Row],[ASESOR]]</f>
        <v>JOANA GIL</v>
      </c>
      <c r="C40" s="36">
        <f>VLOOKUP(D1_NOVIEMBRE_2024[[#This Row],[SUPER]],DATA_NOVIEMBRE_2024[[SUPERVISOR]:[META]],3,0)</f>
        <v>23000</v>
      </c>
      <c r="D40" s="35">
        <f>D1_NOVIEMBRE_2024[[#This Row],[RECUPERO]]/D1_NOVIEMBRE_2024[[#This Row],[META]]</f>
        <v>0.95417391304347821</v>
      </c>
      <c r="E40" s="35" t="str">
        <f>D1_NOVIEMBRE_2024[[#This Row],[SUPER]]</f>
        <v>JORDAN</v>
      </c>
      <c r="F40" t="s">
        <v>106</v>
      </c>
      <c r="G40" s="3">
        <v>21946</v>
      </c>
      <c r="H40" t="s">
        <v>392</v>
      </c>
      <c r="I40" s="55">
        <v>44748</v>
      </c>
      <c r="J40" s="55" t="s">
        <v>501</v>
      </c>
      <c r="K40" s="55"/>
      <c r="L40" s="55"/>
      <c r="M40">
        <f>DATA_NOVIEMBRE_2024[[#This Row],[RECUPERO]]/DATA_NOVIEMBRE_2024[[#This Row],[META]]</f>
        <v>0.82323529411764707</v>
      </c>
      <c r="N40" s="5">
        <f>6-ROUNDUP(_xlfn.RANK.EQ(DATA_NOVIEMBRE_2024[[#This Row],[AL_AC]],DATA_NOVIEMBRE_2024[AL_AC],0)/(COUNTA(DATA_NOVIEMBRE_2024[AL_AC])/5),0)</f>
        <v>4</v>
      </c>
      <c r="O40" t="s">
        <v>4</v>
      </c>
      <c r="P40">
        <f>SUM(DATA_NOVIEMBRE_2024[[#This Row],[1]:[31]])</f>
        <v>55980</v>
      </c>
      <c r="Q40">
        <v>68000</v>
      </c>
      <c r="R40" t="s">
        <v>122</v>
      </c>
      <c r="T40">
        <v>500</v>
      </c>
      <c r="V40">
        <v>4000</v>
      </c>
      <c r="W40">
        <v>1100</v>
      </c>
      <c r="Y40">
        <v>10000</v>
      </c>
      <c r="AD40">
        <v>1565</v>
      </c>
      <c r="AE40">
        <v>11900</v>
      </c>
      <c r="AH40">
        <v>300</v>
      </c>
      <c r="AM40">
        <v>1500</v>
      </c>
      <c r="AN40">
        <v>1000</v>
      </c>
      <c r="AO40">
        <v>300</v>
      </c>
      <c r="AQ40">
        <v>670</v>
      </c>
      <c r="AR40">
        <v>2245</v>
      </c>
      <c r="AS40">
        <v>6000</v>
      </c>
      <c r="AT40">
        <v>9580</v>
      </c>
      <c r="AU40">
        <v>2400</v>
      </c>
      <c r="AV40">
        <v>2920</v>
      </c>
    </row>
    <row r="41" spans="1:48" x14ac:dyDescent="0.25">
      <c r="A41" s="34" t="s">
        <v>5</v>
      </c>
      <c r="B41" s="34" t="str">
        <f>D1_NOVIEMBRE_2024[[#This Row],[ASESOR]]</f>
        <v>JUAN ALANOCCA</v>
      </c>
      <c r="C41" s="36">
        <f>VLOOKUP(D1_NOVIEMBRE_2024[[#This Row],[SUPER]],DATA_NOVIEMBRE_2024[[SUPERVISOR]:[META]],3,0)</f>
        <v>23000</v>
      </c>
      <c r="D41" s="35">
        <f>D1_NOVIEMBRE_2024[[#This Row],[RECUPERO]]/D1_NOVIEMBRE_2024[[#This Row],[META]]</f>
        <v>1.0096956521739131</v>
      </c>
      <c r="E41" s="35" t="str">
        <f>D1_NOVIEMBRE_2024[[#This Row],[SUPER]]</f>
        <v>JORDAN</v>
      </c>
      <c r="F41" t="s">
        <v>77</v>
      </c>
      <c r="G41" s="3">
        <v>23223</v>
      </c>
      <c r="H41" t="s">
        <v>393</v>
      </c>
      <c r="I41" s="55">
        <v>44840</v>
      </c>
      <c r="J41" s="55" t="s">
        <v>501</v>
      </c>
      <c r="K41" s="55"/>
      <c r="L41" s="55"/>
      <c r="M41">
        <f>DATA_NOVIEMBRE_2024[[#This Row],[RECUPERO]]/DATA_NOVIEMBRE_2024[[#This Row],[META]]</f>
        <v>0.30161764705882355</v>
      </c>
      <c r="N41" s="5">
        <f>6-ROUNDUP(_xlfn.RANK.EQ(DATA_NOVIEMBRE_2024[[#This Row],[AL_AC]],DATA_NOVIEMBRE_2024[AL_AC],0)/(COUNTA(DATA_NOVIEMBRE_2024[AL_AC])/5),0)</f>
        <v>2</v>
      </c>
      <c r="O41" t="s">
        <v>4</v>
      </c>
      <c r="P41">
        <f>SUM(DATA_NOVIEMBRE_2024[[#This Row],[1]:[31]])</f>
        <v>20510</v>
      </c>
      <c r="Q41">
        <v>68000</v>
      </c>
      <c r="R41" t="s">
        <v>116</v>
      </c>
      <c r="W41">
        <v>200</v>
      </c>
      <c r="Z41">
        <v>400</v>
      </c>
      <c r="AA41">
        <v>1552</v>
      </c>
      <c r="AD41">
        <v>318</v>
      </c>
      <c r="AQ41">
        <v>4900</v>
      </c>
      <c r="AR41">
        <v>700</v>
      </c>
      <c r="AT41">
        <v>4500</v>
      </c>
      <c r="AU41">
        <v>4570</v>
      </c>
      <c r="AV41">
        <v>3370</v>
      </c>
    </row>
    <row r="42" spans="1:48" x14ac:dyDescent="0.25">
      <c r="A42" s="34" t="s">
        <v>6</v>
      </c>
      <c r="B42" s="34" t="str">
        <f>D1_NOVIEMBRE_2024[[#This Row],[ASESOR]]</f>
        <v>JUAN LOZA</v>
      </c>
      <c r="C42" s="36">
        <f>VLOOKUP(D1_NOVIEMBRE_2024[[#This Row],[SUPER]],DATA_NOVIEMBRE_2024[[SUPERVISOR]:[META]],3,0)</f>
        <v>22500</v>
      </c>
      <c r="D42" s="35">
        <f>D1_NOVIEMBRE_2024[[#This Row],[RECUPERO]]/D1_NOVIEMBRE_2024[[#This Row],[META]]</f>
        <v>0.50577777777777777</v>
      </c>
      <c r="E42" s="35" t="str">
        <f>D1_NOVIEMBRE_2024[[#This Row],[SUPER]]</f>
        <v>KENNETH</v>
      </c>
      <c r="F42" t="s">
        <v>35</v>
      </c>
      <c r="G42" s="3">
        <v>11380</v>
      </c>
      <c r="H42" t="s">
        <v>401</v>
      </c>
      <c r="I42" s="55">
        <v>44748</v>
      </c>
      <c r="J42" s="55" t="s">
        <v>501</v>
      </c>
      <c r="K42" s="55"/>
      <c r="L42" s="55"/>
      <c r="M42">
        <f>DATA_NOVIEMBRE_2024[[#This Row],[RECUPERO]]/DATA_NOVIEMBRE_2024[[#This Row],[META]]</f>
        <v>2.2222222222222223E-2</v>
      </c>
      <c r="N42" s="5">
        <f>6-ROUNDUP(_xlfn.RANK.EQ(DATA_NOVIEMBRE_2024[[#This Row],[AL_AC]],DATA_NOVIEMBRE_2024[AL_AC],0)/(COUNTA(DATA_NOVIEMBRE_2024[AL_AC])/5),0)</f>
        <v>1</v>
      </c>
      <c r="O42" t="s">
        <v>6</v>
      </c>
      <c r="P42">
        <f>SUM(DATA_NOVIEMBRE_2024[[#This Row],[1]:[31]])</f>
        <v>500</v>
      </c>
      <c r="Q42">
        <v>22500</v>
      </c>
      <c r="R42" t="s">
        <v>551</v>
      </c>
      <c r="AR42">
        <v>500</v>
      </c>
    </row>
    <row r="43" spans="1:48" x14ac:dyDescent="0.25">
      <c r="A43" s="34" t="s">
        <v>5</v>
      </c>
      <c r="B43" s="34" t="str">
        <f>D1_NOVIEMBRE_2024[[#This Row],[ASESOR]]</f>
        <v>KATYUSCA LEVANO</v>
      </c>
      <c r="C43" s="36">
        <f>VLOOKUP(D1_NOVIEMBRE_2024[[#This Row],[SUPER]],DATA_NOVIEMBRE_2024[[SUPERVISOR]:[META]],3,0)</f>
        <v>23000</v>
      </c>
      <c r="D43" s="35">
        <f>D1_NOVIEMBRE_2024[[#This Row],[RECUPERO]]/D1_NOVIEMBRE_2024[[#This Row],[META]]</f>
        <v>0.3155217391304348</v>
      </c>
      <c r="E43" s="35" t="str">
        <f>D1_NOVIEMBRE_2024[[#This Row],[SUPER]]</f>
        <v>JORDAN</v>
      </c>
      <c r="F43" t="s">
        <v>46</v>
      </c>
      <c r="G43" s="3">
        <v>7257</v>
      </c>
      <c r="H43" t="s">
        <v>394</v>
      </c>
      <c r="I43" s="55">
        <v>45344</v>
      </c>
      <c r="J43" s="55" t="s">
        <v>501</v>
      </c>
      <c r="K43" s="55"/>
      <c r="L43" s="55"/>
      <c r="M43">
        <f>DATA_NOVIEMBRE_2024[[#This Row],[RECUPERO]]/DATA_NOVIEMBRE_2024[[#This Row],[META]]</f>
        <v>0.50470588235294123</v>
      </c>
      <c r="N43" s="5">
        <f>6-ROUNDUP(_xlfn.RANK.EQ(DATA_NOVIEMBRE_2024[[#This Row],[AL_AC]],DATA_NOVIEMBRE_2024[AL_AC],0)/(COUNTA(DATA_NOVIEMBRE_2024[AL_AC])/5),0)</f>
        <v>3</v>
      </c>
      <c r="O43" t="s">
        <v>115</v>
      </c>
      <c r="P43">
        <f>SUM(DATA_NOVIEMBRE_2024[[#This Row],[1]:[31]])</f>
        <v>8580</v>
      </c>
      <c r="Q43">
        <v>17000</v>
      </c>
      <c r="R43" t="s">
        <v>65</v>
      </c>
      <c r="V43">
        <v>100</v>
      </c>
      <c r="W43">
        <v>100</v>
      </c>
      <c r="AD43">
        <v>1500</v>
      </c>
      <c r="AE43">
        <v>245</v>
      </c>
      <c r="AH43">
        <v>310</v>
      </c>
      <c r="AJ43">
        <v>800</v>
      </c>
      <c r="AK43">
        <v>500</v>
      </c>
      <c r="AL43">
        <v>530</v>
      </c>
      <c r="AM43">
        <v>680</v>
      </c>
      <c r="AQ43">
        <v>825</v>
      </c>
      <c r="AS43">
        <v>905</v>
      </c>
      <c r="AT43">
        <v>770</v>
      </c>
      <c r="AU43">
        <v>645</v>
      </c>
      <c r="AV43">
        <v>670</v>
      </c>
    </row>
    <row r="44" spans="1:48" x14ac:dyDescent="0.25">
      <c r="A44" s="34" t="s">
        <v>6</v>
      </c>
      <c r="B44" s="34" t="str">
        <f>D1_NOVIEMBRE_2024[[#This Row],[ASESOR]]</f>
        <v>KIARA CANEPA</v>
      </c>
      <c r="C44" s="36">
        <f>VLOOKUP(D1_NOVIEMBRE_2024[[#This Row],[SUPER]],DATA_NOVIEMBRE_2024[[SUPERVISOR]:[META]],3,0)</f>
        <v>22500</v>
      </c>
      <c r="D44" s="35">
        <f>D1_NOVIEMBRE_2024[[#This Row],[RECUPERO]]/D1_NOVIEMBRE_2024[[#This Row],[META]]</f>
        <v>0.20853333333333332</v>
      </c>
      <c r="E44" s="35" t="str">
        <f>D1_NOVIEMBRE_2024[[#This Row],[SUPER]]</f>
        <v>KENNETH</v>
      </c>
      <c r="F44" t="s">
        <v>50</v>
      </c>
      <c r="G44" s="3">
        <v>4692</v>
      </c>
      <c r="H44" t="s">
        <v>402</v>
      </c>
      <c r="I44" s="55">
        <v>45523</v>
      </c>
      <c r="J44" s="55" t="s">
        <v>501</v>
      </c>
      <c r="K44" s="55"/>
      <c r="L44" s="55"/>
      <c r="M44">
        <f>DATA_NOVIEMBRE_2024[[#This Row],[RECUPERO]]/DATA_NOVIEMBRE_2024[[#This Row],[META]]</f>
        <v>9.5514705882352946E-2</v>
      </c>
      <c r="N44" s="5">
        <f>6-ROUNDUP(_xlfn.RANK.EQ(DATA_NOVIEMBRE_2024[[#This Row],[AL_AC]],DATA_NOVIEMBRE_2024[AL_AC],0)/(COUNTA(DATA_NOVIEMBRE_2024[AL_AC])/5),0)</f>
        <v>1</v>
      </c>
      <c r="O44" t="s">
        <v>3</v>
      </c>
      <c r="P44">
        <f>SUM(DATA_NOVIEMBRE_2024[[#This Row],[1]:[31]])</f>
        <v>6495</v>
      </c>
      <c r="Q44">
        <v>68000</v>
      </c>
      <c r="R44" t="s">
        <v>20</v>
      </c>
      <c r="V44">
        <v>2290</v>
      </c>
      <c r="AA44">
        <v>205</v>
      </c>
      <c r="AD44">
        <v>600</v>
      </c>
      <c r="AJ44">
        <v>1400</v>
      </c>
      <c r="AL44">
        <v>2000</v>
      </c>
    </row>
    <row r="45" spans="1:48" x14ac:dyDescent="0.25">
      <c r="A45" s="34" t="s">
        <v>115</v>
      </c>
      <c r="B45" s="34" t="str">
        <f>D1_NOVIEMBRE_2024[[#This Row],[ASESOR]]</f>
        <v>LINDA TUESTA</v>
      </c>
      <c r="C45" s="36">
        <f>VLOOKUP(D1_NOVIEMBRE_2024[[#This Row],[SUPER]],DATA_NOVIEMBRE_2024[[SUPERVISOR]:[META]],3,0)</f>
        <v>17000</v>
      </c>
      <c r="D45" s="35">
        <f>D1_NOVIEMBRE_2024[[#This Row],[RECUPERO]]/D1_NOVIEMBRE_2024[[#This Row],[META]]</f>
        <v>0.54364705882352937</v>
      </c>
      <c r="E45" s="35" t="str">
        <f>D1_NOVIEMBRE_2024[[#This Row],[SUPER]]</f>
        <v>MELITA</v>
      </c>
      <c r="F45" t="s">
        <v>33</v>
      </c>
      <c r="G45" s="3">
        <v>9242</v>
      </c>
      <c r="H45" t="s">
        <v>439</v>
      </c>
      <c r="I45" s="55">
        <v>44869</v>
      </c>
      <c r="J45" s="55" t="s">
        <v>501</v>
      </c>
      <c r="K45" s="55"/>
      <c r="L45" s="55"/>
      <c r="M45">
        <f>DATA_NOVIEMBRE_2024[[#This Row],[RECUPERO]]/DATA_NOVIEMBRE_2024[[#This Row],[META]]</f>
        <v>0.49526666666666669</v>
      </c>
      <c r="N45" s="5">
        <f>6-ROUNDUP(_xlfn.RANK.EQ(DATA_NOVIEMBRE_2024[[#This Row],[AL_AC]],DATA_NOVIEMBRE_2024[AL_AC],0)/(COUNTA(DATA_NOVIEMBRE_2024[AL_AC])/5),0)</f>
        <v>3</v>
      </c>
      <c r="O45" t="s">
        <v>6</v>
      </c>
      <c r="P45">
        <f>SUM(DATA_NOVIEMBRE_2024[[#This Row],[1]:[31]])</f>
        <v>11143.5</v>
      </c>
      <c r="Q45">
        <v>22500</v>
      </c>
      <c r="R45" t="s">
        <v>37</v>
      </c>
      <c r="Z45">
        <v>750</v>
      </c>
      <c r="AD45">
        <v>1000</v>
      </c>
      <c r="AM45">
        <v>5000</v>
      </c>
      <c r="AR45">
        <v>240</v>
      </c>
      <c r="AU45">
        <v>4153.5</v>
      </c>
    </row>
    <row r="46" spans="1:48" x14ac:dyDescent="0.25">
      <c r="A46" s="34" t="s">
        <v>3</v>
      </c>
      <c r="B46" s="34" t="str">
        <f>D1_NOVIEMBRE_2024[[#This Row],[ASESOR]]</f>
        <v>LISBETH RODRIGUEZ</v>
      </c>
      <c r="C46" s="36">
        <f>VLOOKUP(D1_NOVIEMBRE_2024[[#This Row],[SUPER]],DATA_NOVIEMBRE_2024[[SUPERVISOR]:[META]],3,0)</f>
        <v>68000</v>
      </c>
      <c r="D46" s="35">
        <f>D1_NOVIEMBRE_2024[[#This Row],[RECUPERO]]/D1_NOVIEMBRE_2024[[#This Row],[META]]</f>
        <v>0.33324999999999999</v>
      </c>
      <c r="E46" s="35" t="str">
        <f>D1_NOVIEMBRE_2024[[#This Row],[SUPER]]</f>
        <v>SANDY</v>
      </c>
      <c r="F46" t="s">
        <v>541</v>
      </c>
      <c r="G46" s="3">
        <v>22661</v>
      </c>
      <c r="H46" t="s">
        <v>542</v>
      </c>
      <c r="I46" s="55">
        <v>45131</v>
      </c>
      <c r="J46" s="55" t="s">
        <v>501</v>
      </c>
      <c r="K46" s="55"/>
      <c r="L46" s="55"/>
      <c r="M46">
        <f>DATA_NOVIEMBRE_2024[[#This Row],[RECUPERO]]/DATA_NOVIEMBRE_2024[[#This Row],[META]]</f>
        <v>0.95417391304347821</v>
      </c>
      <c r="N46" s="5">
        <f>6-ROUNDUP(_xlfn.RANK.EQ(DATA_NOVIEMBRE_2024[[#This Row],[AL_AC]],DATA_NOVIEMBRE_2024[AL_AC],0)/(COUNTA(DATA_NOVIEMBRE_2024[AL_AC])/5),0)</f>
        <v>5</v>
      </c>
      <c r="O46" t="s">
        <v>5</v>
      </c>
      <c r="P46">
        <f>SUM(DATA_NOVIEMBRE_2024[[#This Row],[1]:[31]])</f>
        <v>21946</v>
      </c>
      <c r="Q46">
        <v>23000</v>
      </c>
      <c r="R46" t="s">
        <v>106</v>
      </c>
      <c r="W46">
        <v>2700</v>
      </c>
      <c r="X46">
        <v>200</v>
      </c>
      <c r="Y46">
        <v>950</v>
      </c>
      <c r="Z46">
        <v>200</v>
      </c>
      <c r="AC46">
        <v>1000</v>
      </c>
      <c r="AD46">
        <v>210</v>
      </c>
      <c r="AE46">
        <v>4000</v>
      </c>
      <c r="AK46">
        <v>500</v>
      </c>
      <c r="AM46">
        <v>240</v>
      </c>
      <c r="AN46">
        <v>1690</v>
      </c>
      <c r="AQ46">
        <v>352</v>
      </c>
      <c r="AS46">
        <v>200</v>
      </c>
      <c r="AT46">
        <v>3950</v>
      </c>
      <c r="AU46">
        <v>4350</v>
      </c>
      <c r="AV46">
        <v>1404</v>
      </c>
    </row>
    <row r="47" spans="1:48" x14ac:dyDescent="0.25">
      <c r="A47" s="34" t="s">
        <v>3</v>
      </c>
      <c r="B47" s="34" t="str">
        <f>D1_NOVIEMBRE_2024[[#This Row],[ASESOR]]</f>
        <v>LISELY MERA</v>
      </c>
      <c r="C47" s="36">
        <f>VLOOKUP(D1_NOVIEMBRE_2024[[#This Row],[SUPER]],DATA_NOVIEMBRE_2024[[SUPERVISOR]:[META]],3,0)</f>
        <v>68000</v>
      </c>
      <c r="D47" s="35">
        <f>D1_NOVIEMBRE_2024[[#This Row],[RECUPERO]]/D1_NOVIEMBRE_2024[[#This Row],[META]]</f>
        <v>1.6952720588235295</v>
      </c>
      <c r="E47" s="35" t="str">
        <f>D1_NOVIEMBRE_2024[[#This Row],[SUPER]]</f>
        <v>SANDY</v>
      </c>
      <c r="F47" t="s">
        <v>23</v>
      </c>
      <c r="G47" s="3">
        <v>115278.5</v>
      </c>
      <c r="H47" t="s">
        <v>445</v>
      </c>
      <c r="I47" s="55">
        <v>44111</v>
      </c>
      <c r="J47" s="55" t="s">
        <v>501</v>
      </c>
      <c r="K47" s="55"/>
      <c r="L47" s="55"/>
      <c r="M47">
        <f>DATA_NOVIEMBRE_2024[[#This Row],[RECUPERO]]/DATA_NOVIEMBRE_2024[[#This Row],[META]]</f>
        <v>1.0096956521739131</v>
      </c>
      <c r="N47" s="5">
        <f>6-ROUNDUP(_xlfn.RANK.EQ(DATA_NOVIEMBRE_2024[[#This Row],[AL_AC]],DATA_NOVIEMBRE_2024[AL_AC],0)/(COUNTA(DATA_NOVIEMBRE_2024[AL_AC])/5),0)</f>
        <v>5</v>
      </c>
      <c r="O47" t="s">
        <v>5</v>
      </c>
      <c r="P47">
        <f>SUM(DATA_NOVIEMBRE_2024[[#This Row],[1]:[31]])</f>
        <v>23223</v>
      </c>
      <c r="Q47">
        <v>23000</v>
      </c>
      <c r="R47" t="s">
        <v>77</v>
      </c>
      <c r="S47">
        <v>250</v>
      </c>
      <c r="X47">
        <v>1000</v>
      </c>
      <c r="Z47">
        <v>5000</v>
      </c>
      <c r="AD47">
        <v>2450</v>
      </c>
      <c r="AE47">
        <v>50</v>
      </c>
      <c r="AJ47">
        <v>1000</v>
      </c>
      <c r="AM47">
        <v>100</v>
      </c>
      <c r="AQ47">
        <v>100</v>
      </c>
      <c r="AR47">
        <v>9988</v>
      </c>
      <c r="AS47">
        <v>1585</v>
      </c>
      <c r="AU47">
        <v>300</v>
      </c>
      <c r="AV47">
        <v>1400</v>
      </c>
    </row>
    <row r="48" spans="1:48" x14ac:dyDescent="0.25">
      <c r="A48" s="34" t="s">
        <v>115</v>
      </c>
      <c r="B48" s="34" t="str">
        <f>D1_NOVIEMBRE_2024[[#This Row],[ASESOR]]</f>
        <v>LIZ INGA</v>
      </c>
      <c r="C48" s="36">
        <f>VLOOKUP(D1_NOVIEMBRE_2024[[#This Row],[SUPER]],DATA_NOVIEMBRE_2024[[SUPERVISOR]:[META]],3,0)</f>
        <v>17000</v>
      </c>
      <c r="D48" s="35">
        <f>D1_NOVIEMBRE_2024[[#This Row],[RECUPERO]]/D1_NOVIEMBRE_2024[[#This Row],[META]]</f>
        <v>0.95229411764705885</v>
      </c>
      <c r="E48" s="35" t="str">
        <f>D1_NOVIEMBRE_2024[[#This Row],[SUPER]]</f>
        <v>MELITA</v>
      </c>
      <c r="F48" t="s">
        <v>552</v>
      </c>
      <c r="G48" s="3">
        <v>16189</v>
      </c>
      <c r="H48" t="s">
        <v>554</v>
      </c>
      <c r="I48" s="55">
        <v>44830</v>
      </c>
      <c r="J48" s="55" t="s">
        <v>501</v>
      </c>
      <c r="K48" s="55"/>
      <c r="L48" s="55"/>
      <c r="M48">
        <f>DATA_NOVIEMBRE_2024[[#This Row],[RECUPERO]]/DATA_NOVIEMBRE_2024[[#This Row],[META]]</f>
        <v>0.50577777777777777</v>
      </c>
      <c r="N48" s="5">
        <f>6-ROUNDUP(_xlfn.RANK.EQ(DATA_NOVIEMBRE_2024[[#This Row],[AL_AC]],DATA_NOVIEMBRE_2024[AL_AC],0)/(COUNTA(DATA_NOVIEMBRE_2024[AL_AC])/5),0)</f>
        <v>3</v>
      </c>
      <c r="O48" t="s">
        <v>6</v>
      </c>
      <c r="P48">
        <f>SUM(DATA_NOVIEMBRE_2024[[#This Row],[1]:[31]])</f>
        <v>11380</v>
      </c>
      <c r="Q48">
        <v>22500</v>
      </c>
      <c r="R48" t="s">
        <v>35</v>
      </c>
      <c r="U48">
        <v>0</v>
      </c>
      <c r="AA48">
        <v>500</v>
      </c>
      <c r="AC48">
        <v>230</v>
      </c>
      <c r="AH48">
        <v>0</v>
      </c>
      <c r="AI48">
        <v>400</v>
      </c>
      <c r="AJ48">
        <v>750</v>
      </c>
      <c r="AL48">
        <v>700</v>
      </c>
      <c r="AN48">
        <v>5000</v>
      </c>
      <c r="AU48">
        <v>1800</v>
      </c>
      <c r="AV48">
        <v>2000</v>
      </c>
    </row>
    <row r="49" spans="1:48" x14ac:dyDescent="0.25">
      <c r="A49" s="34" t="s">
        <v>6</v>
      </c>
      <c r="B49" s="34" t="str">
        <f>D1_NOVIEMBRE_2024[[#This Row],[ASESOR]]</f>
        <v>LUIS CENTENO</v>
      </c>
      <c r="C49" s="36">
        <f>VLOOKUP(D1_NOVIEMBRE_2024[[#This Row],[SUPER]],DATA_NOVIEMBRE_2024[[SUPERVISOR]:[META]],3,0)</f>
        <v>22500</v>
      </c>
      <c r="D49" s="35">
        <f>D1_NOVIEMBRE_2024[[#This Row],[RECUPERO]]/D1_NOVIEMBRE_2024[[#This Row],[META]]</f>
        <v>0.38311111111111112</v>
      </c>
      <c r="E49" s="35" t="str">
        <f>D1_NOVIEMBRE_2024[[#This Row],[SUPER]]</f>
        <v>KENNETH</v>
      </c>
      <c r="F49" t="s">
        <v>31</v>
      </c>
      <c r="G49" s="3">
        <v>8620</v>
      </c>
      <c r="H49" t="s">
        <v>403</v>
      </c>
      <c r="I49" s="55">
        <v>45334</v>
      </c>
      <c r="J49" s="55" t="s">
        <v>501</v>
      </c>
      <c r="K49" s="55"/>
      <c r="L49" s="55"/>
      <c r="M49">
        <f>DATA_NOVIEMBRE_2024[[#This Row],[RECUPERO]]/DATA_NOVIEMBRE_2024[[#This Row],[META]]</f>
        <v>0.3155217391304348</v>
      </c>
      <c r="N49" s="5">
        <f>6-ROUNDUP(_xlfn.RANK.EQ(DATA_NOVIEMBRE_2024[[#This Row],[AL_AC]],DATA_NOVIEMBRE_2024[AL_AC],0)/(COUNTA(DATA_NOVIEMBRE_2024[AL_AC])/5),0)</f>
        <v>2</v>
      </c>
      <c r="O49" t="s">
        <v>5</v>
      </c>
      <c r="P49">
        <f>SUM(DATA_NOVIEMBRE_2024[[#This Row],[1]:[31]])</f>
        <v>7257</v>
      </c>
      <c r="Q49">
        <v>23000</v>
      </c>
      <c r="R49" t="s">
        <v>46</v>
      </c>
      <c r="Y49">
        <v>2500</v>
      </c>
      <c r="Z49">
        <v>250</v>
      </c>
      <c r="AH49">
        <v>150</v>
      </c>
      <c r="AJ49">
        <v>1000</v>
      </c>
      <c r="AN49">
        <v>200</v>
      </c>
      <c r="AQ49">
        <v>200</v>
      </c>
      <c r="AR49">
        <v>350</v>
      </c>
      <c r="AS49">
        <v>300</v>
      </c>
      <c r="AV49">
        <v>2307</v>
      </c>
    </row>
    <row r="50" spans="1:48" x14ac:dyDescent="0.25">
      <c r="A50" s="34" t="s">
        <v>9</v>
      </c>
      <c r="B50" s="34" t="str">
        <f>D1_NOVIEMBRE_2024[[#This Row],[ASESOR]]</f>
        <v>LUIS VALLADARES</v>
      </c>
      <c r="C50" s="36">
        <f>VLOOKUP(D1_NOVIEMBRE_2024[[#This Row],[SUPER]],DATA_NOVIEMBRE_2024[[SUPERVISOR]:[META]],3,0)</f>
        <v>13000</v>
      </c>
      <c r="D50" s="35">
        <f>D1_NOVIEMBRE_2024[[#This Row],[RECUPERO]]/D1_NOVIEMBRE_2024[[#This Row],[META]]</f>
        <v>1.1035384615384616</v>
      </c>
      <c r="E50" s="35" t="str">
        <f>D1_NOVIEMBRE_2024[[#This Row],[SUPER]]</f>
        <v>LUIS</v>
      </c>
      <c r="F50" t="s">
        <v>29</v>
      </c>
      <c r="G50" s="3">
        <v>14346</v>
      </c>
      <c r="H50" t="s">
        <v>416</v>
      </c>
      <c r="I50" s="55">
        <v>44687</v>
      </c>
      <c r="J50" s="55" t="s">
        <v>501</v>
      </c>
      <c r="K50" s="55"/>
      <c r="L50" s="55"/>
      <c r="M50">
        <f>DATA_NOVIEMBRE_2024[[#This Row],[RECUPERO]]/DATA_NOVIEMBRE_2024[[#This Row],[META]]</f>
        <v>0.20853333333333332</v>
      </c>
      <c r="N50" s="5">
        <f>6-ROUNDUP(_xlfn.RANK.EQ(DATA_NOVIEMBRE_2024[[#This Row],[AL_AC]],DATA_NOVIEMBRE_2024[AL_AC],0)/(COUNTA(DATA_NOVIEMBRE_2024[AL_AC])/5),0)</f>
        <v>1</v>
      </c>
      <c r="O50" t="s">
        <v>6</v>
      </c>
      <c r="P50">
        <f>SUM(DATA_NOVIEMBRE_2024[[#This Row],[1]:[31]])</f>
        <v>4692</v>
      </c>
      <c r="Q50">
        <v>22500</v>
      </c>
      <c r="R50" t="s">
        <v>50</v>
      </c>
      <c r="V50">
        <v>211</v>
      </c>
      <c r="W50">
        <v>1000</v>
      </c>
      <c r="Y50">
        <v>321</v>
      </c>
      <c r="AM50">
        <v>300</v>
      </c>
      <c r="AN50">
        <v>660</v>
      </c>
      <c r="AV50">
        <v>2200</v>
      </c>
    </row>
    <row r="51" spans="1:48" x14ac:dyDescent="0.25">
      <c r="A51" s="34" t="s">
        <v>3</v>
      </c>
      <c r="B51" s="34" t="str">
        <f>D1_NOVIEMBRE_2024[[#This Row],[ASESOR]]</f>
        <v>MALORY MONTEBLANCO</v>
      </c>
      <c r="C51" s="36">
        <f>VLOOKUP(D1_NOVIEMBRE_2024[[#This Row],[SUPER]],DATA_NOVIEMBRE_2024[[SUPERVISOR]:[META]],3,0)</f>
        <v>68000</v>
      </c>
      <c r="D51" s="35">
        <f>D1_NOVIEMBRE_2024[[#This Row],[RECUPERO]]/D1_NOVIEMBRE_2024[[#This Row],[META]]</f>
        <v>0.88885294117647062</v>
      </c>
      <c r="E51" s="35" t="str">
        <f>D1_NOVIEMBRE_2024[[#This Row],[SUPER]]</f>
        <v>SANDY</v>
      </c>
      <c r="F51" t="s">
        <v>25</v>
      </c>
      <c r="G51" s="3">
        <v>60442</v>
      </c>
      <c r="H51" t="s">
        <v>446</v>
      </c>
      <c r="I51" s="55">
        <v>44820</v>
      </c>
      <c r="J51" s="55" t="s">
        <v>501</v>
      </c>
      <c r="K51" s="55"/>
      <c r="L51" s="55"/>
      <c r="M51">
        <f>DATA_NOVIEMBRE_2024[[#This Row],[RECUPERO]]/DATA_NOVIEMBRE_2024[[#This Row],[META]]</f>
        <v>0.54364705882352937</v>
      </c>
      <c r="N51" s="5">
        <f>6-ROUNDUP(_xlfn.RANK.EQ(DATA_NOVIEMBRE_2024[[#This Row],[AL_AC]],DATA_NOVIEMBRE_2024[AL_AC],0)/(COUNTA(DATA_NOVIEMBRE_2024[AL_AC])/5),0)</f>
        <v>3</v>
      </c>
      <c r="O51" t="s">
        <v>115</v>
      </c>
      <c r="P51">
        <f>SUM(DATA_NOVIEMBRE_2024[[#This Row],[1]:[31]])</f>
        <v>9242</v>
      </c>
      <c r="Q51">
        <v>17000</v>
      </c>
      <c r="R51" t="s">
        <v>33</v>
      </c>
      <c r="V51">
        <v>420</v>
      </c>
      <c r="W51">
        <v>450</v>
      </c>
      <c r="Z51">
        <v>150</v>
      </c>
      <c r="AC51">
        <v>1800</v>
      </c>
      <c r="AD51">
        <v>400</v>
      </c>
      <c r="AE51">
        <v>760</v>
      </c>
      <c r="AJ51">
        <v>1085</v>
      </c>
      <c r="AK51">
        <v>420</v>
      </c>
      <c r="AL51">
        <v>250</v>
      </c>
      <c r="AM51">
        <v>327</v>
      </c>
      <c r="AQ51">
        <v>75</v>
      </c>
      <c r="AR51">
        <v>680</v>
      </c>
      <c r="AS51">
        <v>450</v>
      </c>
      <c r="AT51">
        <v>600</v>
      </c>
      <c r="AU51">
        <v>1200</v>
      </c>
      <c r="AV51">
        <v>175</v>
      </c>
    </row>
    <row r="52" spans="1:48" x14ac:dyDescent="0.25">
      <c r="A52" s="34" t="s">
        <v>2</v>
      </c>
      <c r="B52" s="34" t="str">
        <f>D1_NOVIEMBRE_2024[[#This Row],[ASESOR]]</f>
        <v>MARCELIT LOPEZ</v>
      </c>
      <c r="C52" s="36">
        <f>VLOOKUP(D1_NOVIEMBRE_2024[[#This Row],[SUPER]],DATA_NOVIEMBRE_2024[[SUPERVISOR]:[META]],3,0)</f>
        <v>25000</v>
      </c>
      <c r="D52" s="35">
        <f>D1_NOVIEMBRE_2024[[#This Row],[RECUPERO]]/D1_NOVIEMBRE_2024[[#This Row],[META]]</f>
        <v>0.81971600000000011</v>
      </c>
      <c r="E52" s="35" t="str">
        <f>D1_NOVIEMBRE_2024[[#This Row],[SUPER]]</f>
        <v>JORGE</v>
      </c>
      <c r="F52" t="s">
        <v>121</v>
      </c>
      <c r="G52" s="3">
        <v>20492.900000000001</v>
      </c>
      <c r="H52" t="s">
        <v>417</v>
      </c>
      <c r="I52" s="55">
        <v>44510</v>
      </c>
      <c r="J52" s="55" t="s">
        <v>501</v>
      </c>
      <c r="K52" s="55"/>
      <c r="L52" s="55"/>
      <c r="M52">
        <f>DATA_NOVIEMBRE_2024[[#This Row],[RECUPERO]]/DATA_NOVIEMBRE_2024[[#This Row],[META]]</f>
        <v>0.33324999999999999</v>
      </c>
      <c r="N52" s="5">
        <f>6-ROUNDUP(_xlfn.RANK.EQ(DATA_NOVIEMBRE_2024[[#This Row],[AL_AC]],DATA_NOVIEMBRE_2024[AL_AC],0)/(COUNTA(DATA_NOVIEMBRE_2024[AL_AC])/5),0)</f>
        <v>2</v>
      </c>
      <c r="O52" t="s">
        <v>3</v>
      </c>
      <c r="P52">
        <f>SUM(DATA_NOVIEMBRE_2024[[#This Row],[1]:[31]])</f>
        <v>22661</v>
      </c>
      <c r="Q52">
        <v>68000</v>
      </c>
      <c r="R52" t="s">
        <v>541</v>
      </c>
      <c r="W52">
        <v>100</v>
      </c>
      <c r="X52">
        <v>600</v>
      </c>
      <c r="Z52">
        <v>70</v>
      </c>
      <c r="AC52">
        <v>3180</v>
      </c>
      <c r="AD52">
        <v>2911</v>
      </c>
      <c r="AE52">
        <v>350</v>
      </c>
      <c r="AJ52">
        <v>5305</v>
      </c>
      <c r="AK52">
        <v>184</v>
      </c>
      <c r="AL52">
        <v>500</v>
      </c>
      <c r="AM52">
        <v>200</v>
      </c>
      <c r="AO52">
        <v>600</v>
      </c>
      <c r="AQ52">
        <v>2417</v>
      </c>
      <c r="AR52">
        <v>1130</v>
      </c>
      <c r="AS52">
        <v>1500</v>
      </c>
      <c r="AT52">
        <v>521</v>
      </c>
      <c r="AU52">
        <v>1250</v>
      </c>
      <c r="AV52">
        <v>1843</v>
      </c>
    </row>
    <row r="53" spans="1:48" x14ac:dyDescent="0.25">
      <c r="A53" s="34" t="s">
        <v>5</v>
      </c>
      <c r="B53" s="34" t="str">
        <f>D1_NOVIEMBRE_2024[[#This Row],[ASESOR]]</f>
        <v>MARGARITA PIANCHACHI</v>
      </c>
      <c r="C53" s="36">
        <f>VLOOKUP(D1_NOVIEMBRE_2024[[#This Row],[SUPER]],DATA_NOVIEMBRE_2024[[SUPERVISOR]:[META]],3,0)</f>
        <v>23000</v>
      </c>
      <c r="D53" s="35">
        <f>D1_NOVIEMBRE_2024[[#This Row],[RECUPERO]]/D1_NOVIEMBRE_2024[[#This Row],[META]]</f>
        <v>0.27095652173913043</v>
      </c>
      <c r="E53" s="35" t="str">
        <f>D1_NOVIEMBRE_2024[[#This Row],[SUPER]]</f>
        <v>JORDAN</v>
      </c>
      <c r="F53" t="s">
        <v>17</v>
      </c>
      <c r="G53" s="3">
        <v>6232</v>
      </c>
      <c r="H53" t="s">
        <v>385</v>
      </c>
      <c r="I53" s="55">
        <v>44888</v>
      </c>
      <c r="J53" s="55" t="s">
        <v>501</v>
      </c>
      <c r="K53" s="55"/>
      <c r="L53" s="55"/>
      <c r="M53">
        <f>DATA_NOVIEMBRE_2024[[#This Row],[RECUPERO]]/DATA_NOVIEMBRE_2024[[#This Row],[META]]</f>
        <v>1.6952720588235295</v>
      </c>
      <c r="N53" s="5">
        <f>6-ROUNDUP(_xlfn.RANK.EQ(DATA_NOVIEMBRE_2024[[#This Row],[AL_AC]],DATA_NOVIEMBRE_2024[AL_AC],0)/(COUNTA(DATA_NOVIEMBRE_2024[AL_AC])/5),0)</f>
        <v>5</v>
      </c>
      <c r="O53" t="s">
        <v>3</v>
      </c>
      <c r="P53">
        <f>SUM(DATA_NOVIEMBRE_2024[[#This Row],[1]:[31]])</f>
        <v>115278.5</v>
      </c>
      <c r="Q53">
        <v>68000</v>
      </c>
      <c r="R53" t="s">
        <v>23</v>
      </c>
      <c r="S53">
        <v>200</v>
      </c>
      <c r="V53">
        <v>4717</v>
      </c>
      <c r="W53">
        <v>500</v>
      </c>
      <c r="X53">
        <v>1818</v>
      </c>
      <c r="Y53">
        <v>2140</v>
      </c>
      <c r="Z53">
        <v>14000</v>
      </c>
      <c r="AA53">
        <v>4000</v>
      </c>
      <c r="AC53">
        <v>2836</v>
      </c>
      <c r="AD53">
        <v>1180</v>
      </c>
      <c r="AE53">
        <v>10881</v>
      </c>
      <c r="AF53">
        <v>2800</v>
      </c>
      <c r="AG53">
        <v>2026.5</v>
      </c>
      <c r="AJ53">
        <v>200</v>
      </c>
      <c r="AK53">
        <v>3750</v>
      </c>
      <c r="AL53">
        <v>2319</v>
      </c>
      <c r="AM53">
        <v>12550</v>
      </c>
      <c r="AQ53">
        <v>569</v>
      </c>
      <c r="AR53">
        <v>1100</v>
      </c>
      <c r="AS53">
        <v>9490</v>
      </c>
      <c r="AT53">
        <v>14872</v>
      </c>
      <c r="AU53">
        <v>6135</v>
      </c>
      <c r="AV53">
        <v>17195</v>
      </c>
    </row>
    <row r="54" spans="1:48" x14ac:dyDescent="0.25">
      <c r="A54" s="34" t="s">
        <v>6</v>
      </c>
      <c r="B54" s="34" t="str">
        <f>D1_NOVIEMBRE_2024[[#This Row],[ASESOR]]</f>
        <v>MARIA GONZALES</v>
      </c>
      <c r="C54" s="36">
        <f>VLOOKUP(D1_NOVIEMBRE_2024[[#This Row],[SUPER]],DATA_NOVIEMBRE_2024[[SUPERVISOR]:[META]],3,0)</f>
        <v>22500</v>
      </c>
      <c r="D54" s="35">
        <f>D1_NOVIEMBRE_2024[[#This Row],[RECUPERO]]/D1_NOVIEMBRE_2024[[#This Row],[META]]</f>
        <v>0.17066666666666666</v>
      </c>
      <c r="E54" s="35" t="str">
        <f>D1_NOVIEMBRE_2024[[#This Row],[SUPER]]</f>
        <v>KENNETH</v>
      </c>
      <c r="F54" t="s">
        <v>119</v>
      </c>
      <c r="G54" s="3">
        <v>3840</v>
      </c>
      <c r="H54" t="s">
        <v>404</v>
      </c>
      <c r="I54" s="55">
        <v>45441</v>
      </c>
      <c r="J54" s="55" t="s">
        <v>501</v>
      </c>
      <c r="M54">
        <f>DATA_NOVIEMBRE_2024[[#This Row],[RECUPERO]]/DATA_NOVIEMBRE_2024[[#This Row],[META]]</f>
        <v>0.95229411764705885</v>
      </c>
      <c r="N54" s="5">
        <f>6-ROUNDUP(_xlfn.RANK.EQ(DATA_NOVIEMBRE_2024[[#This Row],[AL_AC]],DATA_NOVIEMBRE_2024[AL_AC],0)/(COUNTA(DATA_NOVIEMBRE_2024[AL_AC])/5),0)</f>
        <v>5</v>
      </c>
      <c r="O54" t="s">
        <v>115</v>
      </c>
      <c r="P54">
        <f>SUM(DATA_NOVIEMBRE_2024[[#This Row],[1]:[31]])</f>
        <v>16189</v>
      </c>
      <c r="Q54">
        <v>17000</v>
      </c>
      <c r="R54" t="s">
        <v>552</v>
      </c>
      <c r="W54">
        <v>3500</v>
      </c>
      <c r="X54">
        <v>485</v>
      </c>
      <c r="AD54">
        <v>1455</v>
      </c>
      <c r="AJ54">
        <v>0</v>
      </c>
      <c r="AO54">
        <v>290</v>
      </c>
      <c r="AQ54">
        <v>600</v>
      </c>
      <c r="AT54">
        <v>2000</v>
      </c>
      <c r="AU54">
        <v>5100</v>
      </c>
      <c r="AV54">
        <v>2759</v>
      </c>
    </row>
    <row r="55" spans="1:48" x14ac:dyDescent="0.25">
      <c r="A55" s="34" t="s">
        <v>4</v>
      </c>
      <c r="B55" s="34" t="str">
        <f>D1_NOVIEMBRE_2024[[#This Row],[ASESOR]]</f>
        <v>MARIA TINTAYA</v>
      </c>
      <c r="C55" s="36">
        <f>VLOOKUP(D1_NOVIEMBRE_2024[[#This Row],[SUPER]],DATA_NOVIEMBRE_2024[[SUPERVISOR]:[META]],3,0)</f>
        <v>68000</v>
      </c>
      <c r="D55" s="35">
        <f>D1_NOVIEMBRE_2024[[#This Row],[RECUPERO]]/D1_NOVIEMBRE_2024[[#This Row],[META]]</f>
        <v>0.9256732352941176</v>
      </c>
      <c r="E55" s="35" t="str">
        <f>D1_NOVIEMBRE_2024[[#This Row],[SUPER]]</f>
        <v>MELINA</v>
      </c>
      <c r="F55" t="s">
        <v>75</v>
      </c>
      <c r="G55" s="3">
        <v>62945.78</v>
      </c>
      <c r="H55" t="s">
        <v>428</v>
      </c>
      <c r="I55" s="55">
        <v>44716</v>
      </c>
      <c r="J55" s="55" t="s">
        <v>501</v>
      </c>
      <c r="M55">
        <f>DATA_NOVIEMBRE_2024[[#This Row],[RECUPERO]]/DATA_NOVIEMBRE_2024[[#This Row],[META]]</f>
        <v>0.38311111111111112</v>
      </c>
      <c r="N55" s="5">
        <f>6-ROUNDUP(_xlfn.RANK.EQ(DATA_NOVIEMBRE_2024[[#This Row],[AL_AC]],DATA_NOVIEMBRE_2024[AL_AC],0)/(COUNTA(DATA_NOVIEMBRE_2024[AL_AC])/5),0)</f>
        <v>2</v>
      </c>
      <c r="O55" t="s">
        <v>6</v>
      </c>
      <c r="P55">
        <f>SUM(DATA_NOVIEMBRE_2024[[#This Row],[1]:[31]])</f>
        <v>8620</v>
      </c>
      <c r="Q55">
        <v>22500</v>
      </c>
      <c r="R55" t="s">
        <v>31</v>
      </c>
      <c r="Z55">
        <v>540</v>
      </c>
      <c r="AC55">
        <v>4100</v>
      </c>
      <c r="AT55">
        <v>580</v>
      </c>
      <c r="AU55">
        <v>400</v>
      </c>
      <c r="AV55">
        <v>3000</v>
      </c>
    </row>
    <row r="56" spans="1:48" x14ac:dyDescent="0.25">
      <c r="A56" s="34" t="s">
        <v>5</v>
      </c>
      <c r="B56" s="34" t="str">
        <f>D1_NOVIEMBRE_2024[[#This Row],[ASESOR]]</f>
        <v>MARISOL FERNANDEZ</v>
      </c>
      <c r="C56" s="36">
        <f>VLOOKUP(D1_NOVIEMBRE_2024[[#This Row],[SUPER]],DATA_NOVIEMBRE_2024[[SUPERVISOR]:[META]],3,0)</f>
        <v>23000</v>
      </c>
      <c r="D56" s="35">
        <f>D1_NOVIEMBRE_2024[[#This Row],[RECUPERO]]/D1_NOVIEMBRE_2024[[#This Row],[META]]</f>
        <v>0.1708695652173913</v>
      </c>
      <c r="E56" s="35" t="str">
        <f>D1_NOVIEMBRE_2024[[#This Row],[SUPER]]</f>
        <v>JORDAN</v>
      </c>
      <c r="F56" t="s">
        <v>537</v>
      </c>
      <c r="G56" s="3">
        <v>3930</v>
      </c>
      <c r="H56" t="s">
        <v>539</v>
      </c>
      <c r="I56" s="55">
        <v>44716</v>
      </c>
      <c r="J56" s="55" t="s">
        <v>501</v>
      </c>
      <c r="M56">
        <f>DATA_NOVIEMBRE_2024[[#This Row],[RECUPERO]]/DATA_NOVIEMBRE_2024[[#This Row],[META]]</f>
        <v>1.1035384615384616</v>
      </c>
      <c r="N56" s="5">
        <f>6-ROUNDUP(_xlfn.RANK.EQ(DATA_NOVIEMBRE_2024[[#This Row],[AL_AC]],DATA_NOVIEMBRE_2024[AL_AC],0)/(COUNTA(DATA_NOVIEMBRE_2024[AL_AC])/5),0)</f>
        <v>5</v>
      </c>
      <c r="O56" t="s">
        <v>9</v>
      </c>
      <c r="P56">
        <f>SUM(DATA_NOVIEMBRE_2024[[#This Row],[1]:[31]])</f>
        <v>14346</v>
      </c>
      <c r="Q56">
        <v>13000</v>
      </c>
      <c r="R56" t="s">
        <v>29</v>
      </c>
      <c r="W56">
        <v>200</v>
      </c>
      <c r="X56">
        <v>300</v>
      </c>
      <c r="Y56">
        <v>1000</v>
      </c>
      <c r="Z56">
        <v>1000</v>
      </c>
      <c r="AA56">
        <v>200</v>
      </c>
      <c r="AC56">
        <v>226</v>
      </c>
      <c r="AE56">
        <v>80</v>
      </c>
      <c r="AF56">
        <v>200</v>
      </c>
      <c r="AG56">
        <v>402</v>
      </c>
      <c r="AH56">
        <v>200</v>
      </c>
      <c r="AJ56">
        <v>200</v>
      </c>
      <c r="AK56">
        <v>395</v>
      </c>
      <c r="AL56">
        <v>200</v>
      </c>
      <c r="AQ56">
        <v>1740</v>
      </c>
      <c r="AR56">
        <v>150</v>
      </c>
      <c r="AS56">
        <v>2200</v>
      </c>
      <c r="AT56">
        <v>150</v>
      </c>
      <c r="AU56">
        <v>5503</v>
      </c>
    </row>
    <row r="57" spans="1:48" x14ac:dyDescent="0.25">
      <c r="A57" s="34" t="s">
        <v>6</v>
      </c>
      <c r="B57" s="34" t="str">
        <f>D1_NOVIEMBRE_2024[[#This Row],[ASESOR]]</f>
        <v>MAURICIO MARTINEZ</v>
      </c>
      <c r="C57" s="36">
        <f>VLOOKUP(D1_NOVIEMBRE_2024[[#This Row],[SUPER]],DATA_NOVIEMBRE_2024[[SUPERVISOR]:[META]],3,0)</f>
        <v>22500</v>
      </c>
      <c r="D57" s="35">
        <f>D1_NOVIEMBRE_2024[[#This Row],[RECUPERO]]/D1_NOVIEMBRE_2024[[#This Row],[META]]</f>
        <v>0.48009333333333337</v>
      </c>
      <c r="E57" s="35" t="str">
        <f>D1_NOVIEMBRE_2024[[#This Row],[SUPER]]</f>
        <v>KENNETH</v>
      </c>
      <c r="F57" t="s">
        <v>120</v>
      </c>
      <c r="G57" s="3">
        <v>10802.1</v>
      </c>
      <c r="H57" t="s">
        <v>405</v>
      </c>
      <c r="I57" s="55">
        <v>45471</v>
      </c>
      <c r="J57" s="55" t="s">
        <v>501</v>
      </c>
      <c r="M57">
        <f>DATA_NOVIEMBRE_2024[[#This Row],[RECUPERO]]/DATA_NOVIEMBRE_2024[[#This Row],[META]]</f>
        <v>0.88885294117647062</v>
      </c>
      <c r="N57" s="5">
        <f>6-ROUNDUP(_xlfn.RANK.EQ(DATA_NOVIEMBRE_2024[[#This Row],[AL_AC]],DATA_NOVIEMBRE_2024[AL_AC],0)/(COUNTA(DATA_NOVIEMBRE_2024[AL_AC])/5),0)</f>
        <v>5</v>
      </c>
      <c r="O57" t="s">
        <v>3</v>
      </c>
      <c r="P57">
        <f>SUM(DATA_NOVIEMBRE_2024[[#This Row],[1]:[31]])</f>
        <v>60442</v>
      </c>
      <c r="Q57">
        <v>68000</v>
      </c>
      <c r="R57" t="s">
        <v>25</v>
      </c>
      <c r="S57">
        <v>205</v>
      </c>
      <c r="V57">
        <v>5980</v>
      </c>
      <c r="W57">
        <v>202</v>
      </c>
      <c r="X57">
        <v>1700</v>
      </c>
      <c r="Y57">
        <v>7600</v>
      </c>
      <c r="Z57">
        <v>699</v>
      </c>
      <c r="AA57">
        <v>280</v>
      </c>
      <c r="AC57">
        <v>4986</v>
      </c>
      <c r="AD57">
        <v>600</v>
      </c>
      <c r="AE57">
        <v>600</v>
      </c>
      <c r="AF57">
        <v>328</v>
      </c>
      <c r="AG57">
        <v>1500</v>
      </c>
      <c r="AH57">
        <v>200</v>
      </c>
      <c r="AJ57">
        <v>682</v>
      </c>
      <c r="AL57">
        <v>1500</v>
      </c>
      <c r="AM57">
        <v>2100</v>
      </c>
      <c r="AQ57">
        <v>797</v>
      </c>
      <c r="AR57">
        <v>11450</v>
      </c>
      <c r="AS57">
        <v>6600</v>
      </c>
      <c r="AT57">
        <v>500</v>
      </c>
      <c r="AU57">
        <v>1370</v>
      </c>
      <c r="AV57">
        <v>10563</v>
      </c>
    </row>
    <row r="58" spans="1:48" x14ac:dyDescent="0.25">
      <c r="A58" s="34" t="s">
        <v>6</v>
      </c>
      <c r="B58" s="34" t="str">
        <f>D1_NOVIEMBRE_2024[[#This Row],[ASESOR]]</f>
        <v>MEDALITH NESTARES</v>
      </c>
      <c r="C58" s="36">
        <f>VLOOKUP(D1_NOVIEMBRE_2024[[#This Row],[SUPER]],DATA_NOVIEMBRE_2024[[SUPERVISOR]:[META]],3,0)</f>
        <v>22500</v>
      </c>
      <c r="D58" s="35">
        <f>D1_NOVIEMBRE_2024[[#This Row],[RECUPERO]]/D1_NOVIEMBRE_2024[[#This Row],[META]]</f>
        <v>0.25155555555555553</v>
      </c>
      <c r="E58" s="35" t="str">
        <f>D1_NOVIEMBRE_2024[[#This Row],[SUPER]]</f>
        <v>KENNETH</v>
      </c>
      <c r="F58" t="s">
        <v>36</v>
      </c>
      <c r="G58" s="3">
        <v>5660</v>
      </c>
      <c r="H58" t="s">
        <v>406</v>
      </c>
      <c r="I58" s="55">
        <v>44941</v>
      </c>
      <c r="J58" s="55" t="s">
        <v>501</v>
      </c>
      <c r="M58">
        <f>DATA_NOVIEMBRE_2024[[#This Row],[RECUPERO]]/DATA_NOVIEMBRE_2024[[#This Row],[META]]</f>
        <v>0.81971600000000011</v>
      </c>
      <c r="N58" s="5">
        <f>6-ROUNDUP(_xlfn.RANK.EQ(DATA_NOVIEMBRE_2024[[#This Row],[AL_AC]],DATA_NOVIEMBRE_2024[AL_AC],0)/(COUNTA(DATA_NOVIEMBRE_2024[AL_AC])/5),0)</f>
        <v>4</v>
      </c>
      <c r="O58" t="s">
        <v>2</v>
      </c>
      <c r="P58">
        <f>SUM(DATA_NOVIEMBRE_2024[[#This Row],[1]:[31]])</f>
        <v>20492.900000000001</v>
      </c>
      <c r="Q58">
        <v>25000</v>
      </c>
      <c r="R58" t="s">
        <v>121</v>
      </c>
      <c r="W58">
        <v>1000</v>
      </c>
      <c r="Y58">
        <v>1000</v>
      </c>
      <c r="Z58">
        <v>400</v>
      </c>
      <c r="AD58">
        <v>4600.1000000000004</v>
      </c>
      <c r="AE58">
        <v>5022.5</v>
      </c>
      <c r="AG58">
        <v>200</v>
      </c>
      <c r="AH58">
        <v>200</v>
      </c>
      <c r="AJ58">
        <v>3200</v>
      </c>
      <c r="AK58">
        <v>500</v>
      </c>
      <c r="AM58">
        <v>250</v>
      </c>
      <c r="AN58">
        <v>2457.3000000000002</v>
      </c>
      <c r="AR58">
        <v>700</v>
      </c>
      <c r="AT58">
        <v>200</v>
      </c>
      <c r="AU58">
        <v>463</v>
      </c>
      <c r="AV58">
        <v>300</v>
      </c>
    </row>
    <row r="59" spans="1:48" x14ac:dyDescent="0.25">
      <c r="A59" s="34" t="s">
        <v>4</v>
      </c>
      <c r="B59" s="34" t="str">
        <f>D1_NOVIEMBRE_2024[[#This Row],[ASESOR]]</f>
        <v>MELISSA GUERRERO</v>
      </c>
      <c r="C59" s="36">
        <f>VLOOKUP(D1_NOVIEMBRE_2024[[#This Row],[SUPER]],DATA_NOVIEMBRE_2024[[SUPERVISOR]:[META]],3,0)</f>
        <v>68000</v>
      </c>
      <c r="D59" s="35">
        <f>D1_NOVIEMBRE_2024[[#This Row],[RECUPERO]]/D1_NOVIEMBRE_2024[[#This Row],[META]]</f>
        <v>0.67718250000000002</v>
      </c>
      <c r="E59" s="35" t="str">
        <f>D1_NOVIEMBRE_2024[[#This Row],[SUPER]]</f>
        <v>MELINA</v>
      </c>
      <c r="F59" t="s">
        <v>62</v>
      </c>
      <c r="G59" s="3">
        <v>46048.41</v>
      </c>
      <c r="H59" t="s">
        <v>386</v>
      </c>
      <c r="I59" s="55">
        <v>45334</v>
      </c>
      <c r="J59" s="55" t="s">
        <v>501</v>
      </c>
      <c r="M59">
        <f>DATA_NOVIEMBRE_2024[[#This Row],[RECUPERO]]/DATA_NOVIEMBRE_2024[[#This Row],[META]]</f>
        <v>0.27095652173913043</v>
      </c>
      <c r="N59">
        <f>6-ROUNDUP(_xlfn.RANK.EQ(DATA_NOVIEMBRE_2024[[#This Row],[AL_AC]],DATA_NOVIEMBRE_2024[AL_AC],0)/(COUNTA(DATA_NOVIEMBRE_2024[AL_AC])/5),0)</f>
        <v>2</v>
      </c>
      <c r="O59" s="5" t="s">
        <v>5</v>
      </c>
      <c r="P59">
        <f>SUM(DATA_NOVIEMBRE_2024[[#This Row],[1]:[31]])</f>
        <v>6232</v>
      </c>
      <c r="Q59">
        <v>23000</v>
      </c>
      <c r="R59" t="s">
        <v>17</v>
      </c>
      <c r="V59">
        <v>610</v>
      </c>
      <c r="X59">
        <v>200</v>
      </c>
      <c r="AC59">
        <v>300</v>
      </c>
      <c r="AE59">
        <v>150</v>
      </c>
      <c r="AJ59">
        <v>1450</v>
      </c>
      <c r="AK59">
        <v>200</v>
      </c>
      <c r="AM59">
        <v>500</v>
      </c>
      <c r="AR59">
        <v>1000</v>
      </c>
      <c r="AS59">
        <v>1000</v>
      </c>
      <c r="AU59">
        <v>620</v>
      </c>
      <c r="AV59">
        <v>202</v>
      </c>
    </row>
    <row r="60" spans="1:48" x14ac:dyDescent="0.25">
      <c r="A60" s="34" t="s">
        <v>2</v>
      </c>
      <c r="B60" s="34" t="str">
        <f>D1_NOVIEMBRE_2024[[#This Row],[ASESOR]]</f>
        <v>MERLY CORONEL</v>
      </c>
      <c r="C60" s="36">
        <f>VLOOKUP(D1_NOVIEMBRE_2024[[#This Row],[SUPER]],DATA_NOVIEMBRE_2024[[SUPERVISOR]:[META]],3,0)</f>
        <v>25000</v>
      </c>
      <c r="D60" s="35">
        <f>D1_NOVIEMBRE_2024[[#This Row],[RECUPERO]]/D1_NOVIEMBRE_2024[[#This Row],[META]]</f>
        <v>0.83320399999999994</v>
      </c>
      <c r="E60" s="35" t="str">
        <f>D1_NOVIEMBRE_2024[[#This Row],[SUPER]]</f>
        <v>JORGE</v>
      </c>
      <c r="F60" t="s">
        <v>70</v>
      </c>
      <c r="G60" s="3">
        <v>20830.099999999999</v>
      </c>
      <c r="H60" t="s">
        <v>418</v>
      </c>
      <c r="I60" s="55">
        <v>44971</v>
      </c>
      <c r="J60" s="55" t="s">
        <v>501</v>
      </c>
      <c r="M60">
        <f>DATA_NOVIEMBRE_2024[[#This Row],[RECUPERO]]/DATA_NOVIEMBRE_2024[[#This Row],[META]]</f>
        <v>0.17066666666666666</v>
      </c>
      <c r="N60">
        <f>6-ROUNDUP(_xlfn.RANK.EQ(DATA_NOVIEMBRE_2024[[#This Row],[AL_AC]],DATA_NOVIEMBRE_2024[AL_AC],0)/(COUNTA(DATA_NOVIEMBRE_2024[AL_AC])/5),0)</f>
        <v>1</v>
      </c>
      <c r="O60" s="5" t="s">
        <v>6</v>
      </c>
      <c r="P60">
        <f>SUM(DATA_NOVIEMBRE_2024[[#This Row],[1]:[31]])</f>
        <v>3840</v>
      </c>
      <c r="Q60">
        <v>22500</v>
      </c>
      <c r="R60" t="s">
        <v>119</v>
      </c>
      <c r="X60">
        <v>450</v>
      </c>
      <c r="AD60">
        <v>1650</v>
      </c>
      <c r="AE60">
        <v>1000</v>
      </c>
      <c r="AT60">
        <v>500</v>
      </c>
      <c r="AV60">
        <v>240</v>
      </c>
    </row>
    <row r="61" spans="1:48" x14ac:dyDescent="0.25">
      <c r="A61" s="34" t="s">
        <v>4</v>
      </c>
      <c r="B61" s="34" t="str">
        <f>D1_NOVIEMBRE_2024[[#This Row],[ASESOR]]</f>
        <v>MILAGROS QUIO</v>
      </c>
      <c r="C61" s="36">
        <f>VLOOKUP(D1_NOVIEMBRE_2024[[#This Row],[SUPER]],DATA_NOVIEMBRE_2024[[SUPERVISOR]:[META]],3,0)</f>
        <v>68000</v>
      </c>
      <c r="D61" s="35">
        <f>D1_NOVIEMBRE_2024[[#This Row],[RECUPERO]]/D1_NOVIEMBRE_2024[[#This Row],[META]]</f>
        <v>0.65069617647058819</v>
      </c>
      <c r="E61" s="35" t="str">
        <f>D1_NOVIEMBRE_2024[[#This Row],[SUPER]]</f>
        <v>MELINA</v>
      </c>
      <c r="F61" t="s">
        <v>11</v>
      </c>
      <c r="G61" s="3">
        <v>44247.34</v>
      </c>
      <c r="H61" t="s">
        <v>429</v>
      </c>
      <c r="I61" s="55">
        <v>45371</v>
      </c>
      <c r="J61" s="55" t="s">
        <v>501</v>
      </c>
      <c r="M61">
        <f>DATA_NOVIEMBRE_2024[[#This Row],[RECUPERO]]/DATA_NOVIEMBRE_2024[[#This Row],[META]]</f>
        <v>0.9256732352941176</v>
      </c>
      <c r="N61">
        <f>6-ROUNDUP(_xlfn.RANK.EQ(DATA_NOVIEMBRE_2024[[#This Row],[AL_AC]],DATA_NOVIEMBRE_2024[AL_AC],0)/(COUNTA(DATA_NOVIEMBRE_2024[AL_AC])/5),0)</f>
        <v>5</v>
      </c>
      <c r="O61" s="5" t="s">
        <v>4</v>
      </c>
      <c r="P61">
        <f>SUM(DATA_NOVIEMBRE_2024[[#This Row],[1]:[31]])</f>
        <v>62945.78</v>
      </c>
      <c r="Q61">
        <v>68000</v>
      </c>
      <c r="R61" t="s">
        <v>75</v>
      </c>
      <c r="W61">
        <v>10150</v>
      </c>
      <c r="Y61">
        <v>5000</v>
      </c>
      <c r="Z61">
        <v>436</v>
      </c>
      <c r="AC61">
        <v>15000</v>
      </c>
      <c r="AE61">
        <v>2200</v>
      </c>
      <c r="AG61">
        <v>680</v>
      </c>
      <c r="AI61">
        <v>370</v>
      </c>
      <c r="AJ61">
        <v>150</v>
      </c>
      <c r="AK61">
        <v>5000</v>
      </c>
      <c r="AM61">
        <v>110</v>
      </c>
      <c r="AN61">
        <v>15000</v>
      </c>
      <c r="AP61">
        <v>450</v>
      </c>
      <c r="AR61">
        <v>600</v>
      </c>
      <c r="AS61">
        <v>756</v>
      </c>
      <c r="AT61">
        <v>1128.7</v>
      </c>
      <c r="AU61">
        <v>3800.08</v>
      </c>
      <c r="AV61">
        <v>2115</v>
      </c>
    </row>
    <row r="62" spans="1:48" x14ac:dyDescent="0.25">
      <c r="A62" s="34" t="s">
        <v>2</v>
      </c>
      <c r="B62" s="34" t="str">
        <f>D1_NOVIEMBRE_2024[[#This Row],[ASESOR]]</f>
        <v>NARDIA URPIS</v>
      </c>
      <c r="C62" s="36">
        <f>VLOOKUP(D1_NOVIEMBRE_2024[[#This Row],[SUPER]],DATA_NOVIEMBRE_2024[[SUPERVISOR]:[META]],3,0)</f>
        <v>25000</v>
      </c>
      <c r="D62" s="35">
        <f>D1_NOVIEMBRE_2024[[#This Row],[RECUPERO]]/D1_NOVIEMBRE_2024[[#This Row],[META]]</f>
        <v>0.18279999999999999</v>
      </c>
      <c r="E62" s="35" t="str">
        <f>D1_NOVIEMBRE_2024[[#This Row],[SUPER]]</f>
        <v>JORGE</v>
      </c>
      <c r="F62" t="s">
        <v>74</v>
      </c>
      <c r="G62" s="3">
        <v>4570</v>
      </c>
      <c r="H62" t="s">
        <v>395</v>
      </c>
      <c r="I62" s="55">
        <v>44470</v>
      </c>
      <c r="J62" s="55" t="s">
        <v>501</v>
      </c>
      <c r="M62">
        <f>DATA_NOVIEMBRE_2024[[#This Row],[RECUPERO]]/DATA_NOVIEMBRE_2024[[#This Row],[META]]</f>
        <v>0.1708695652173913</v>
      </c>
      <c r="N62">
        <f>6-ROUNDUP(_xlfn.RANK.EQ(DATA_NOVIEMBRE_2024[[#This Row],[AL_AC]],DATA_NOVIEMBRE_2024[AL_AC],0)/(COUNTA(DATA_NOVIEMBRE_2024[AL_AC])/5),0)</f>
        <v>1</v>
      </c>
      <c r="O62" s="5" t="s">
        <v>5</v>
      </c>
      <c r="P62">
        <f>SUM(DATA_NOVIEMBRE_2024[[#This Row],[1]:[31]])</f>
        <v>3930</v>
      </c>
      <c r="Q62">
        <v>23000</v>
      </c>
      <c r="R62" t="s">
        <v>537</v>
      </c>
      <c r="AB62">
        <v>200</v>
      </c>
      <c r="AJ62">
        <v>200</v>
      </c>
      <c r="AL62">
        <v>1100</v>
      </c>
      <c r="AM62">
        <v>90</v>
      </c>
      <c r="AQ62">
        <v>90</v>
      </c>
      <c r="AR62">
        <v>750</v>
      </c>
      <c r="AU62">
        <v>500</v>
      </c>
      <c r="AV62">
        <v>1000</v>
      </c>
    </row>
    <row r="63" spans="1:48" x14ac:dyDescent="0.25">
      <c r="A63" s="34" t="s">
        <v>3</v>
      </c>
      <c r="B63" s="34" t="str">
        <f>D1_NOVIEMBRE_2024[[#This Row],[ASESOR]]</f>
        <v>RICHARD RODRIGUEZ</v>
      </c>
      <c r="C63" s="36">
        <f>VLOOKUP(D1_NOVIEMBRE_2024[[#This Row],[SUPER]],DATA_NOVIEMBRE_2024[[SUPERVISOR]:[META]],3,0)</f>
        <v>68000</v>
      </c>
      <c r="D63" s="35">
        <f>D1_NOVIEMBRE_2024[[#This Row],[RECUPERO]]/D1_NOVIEMBRE_2024[[#This Row],[META]]</f>
        <v>0.94137499999999996</v>
      </c>
      <c r="E63" s="35" t="str">
        <f>D1_NOVIEMBRE_2024[[#This Row],[SUPER]]</f>
        <v>SANDY</v>
      </c>
      <c r="F63" t="s">
        <v>63</v>
      </c>
      <c r="G63" s="3">
        <v>64013.5</v>
      </c>
      <c r="H63" t="s">
        <v>447</v>
      </c>
      <c r="I63" s="55">
        <v>45316</v>
      </c>
      <c r="J63" s="55" t="s">
        <v>501</v>
      </c>
      <c r="M63">
        <f>DATA_NOVIEMBRE_2024[[#This Row],[RECUPERO]]/DATA_NOVIEMBRE_2024[[#This Row],[META]]</f>
        <v>0.48009333333333337</v>
      </c>
      <c r="N63">
        <f>6-ROUNDUP(_xlfn.RANK.EQ(DATA_NOVIEMBRE_2024[[#This Row],[AL_AC]],DATA_NOVIEMBRE_2024[AL_AC],0)/(COUNTA(DATA_NOVIEMBRE_2024[AL_AC])/5),0)</f>
        <v>3</v>
      </c>
      <c r="O63" s="5" t="s">
        <v>6</v>
      </c>
      <c r="P63">
        <f>SUM(DATA_NOVIEMBRE_2024[[#This Row],[1]:[31]])</f>
        <v>10802.1</v>
      </c>
      <c r="Q63">
        <v>22500</v>
      </c>
      <c r="R63" t="s">
        <v>120</v>
      </c>
      <c r="U63">
        <v>350</v>
      </c>
      <c r="V63">
        <v>5000</v>
      </c>
      <c r="W63">
        <v>1200</v>
      </c>
      <c r="X63">
        <v>400</v>
      </c>
      <c r="AD63">
        <v>1800</v>
      </c>
      <c r="AE63">
        <v>500</v>
      </c>
      <c r="AG63">
        <v>700</v>
      </c>
      <c r="AJ63">
        <v>500</v>
      </c>
      <c r="AS63">
        <v>352.1</v>
      </c>
      <c r="AV63">
        <v>0</v>
      </c>
    </row>
    <row r="64" spans="1:48" x14ac:dyDescent="0.25">
      <c r="A64" s="34" t="s">
        <v>115</v>
      </c>
      <c r="B64" s="34" t="str">
        <f>D1_NOVIEMBRE_2024[[#This Row],[ASESOR]]</f>
        <v>RICHARD TORRES</v>
      </c>
      <c r="C64" s="36">
        <f>VLOOKUP(D1_NOVIEMBRE_2024[[#This Row],[SUPER]],DATA_NOVIEMBRE_2024[[SUPERVISOR]:[META]],3,0)</f>
        <v>17000</v>
      </c>
      <c r="D64" s="35">
        <f>D1_NOVIEMBRE_2024[[#This Row],[RECUPERO]]/D1_NOVIEMBRE_2024[[#This Row],[META]]</f>
        <v>0.11358823529411764</v>
      </c>
      <c r="E64" s="35" t="str">
        <f>D1_NOVIEMBRE_2024[[#This Row],[SUPER]]</f>
        <v>MELITA</v>
      </c>
      <c r="F64" t="s">
        <v>555</v>
      </c>
      <c r="G64" s="3">
        <v>1931</v>
      </c>
      <c r="H64" t="s">
        <v>556</v>
      </c>
      <c r="I64" s="55">
        <v>45454</v>
      </c>
      <c r="J64" s="55" t="s">
        <v>501</v>
      </c>
      <c r="M64">
        <f>DATA_NOVIEMBRE_2024[[#This Row],[RECUPERO]]/DATA_NOVIEMBRE_2024[[#This Row],[META]]</f>
        <v>0.25155555555555553</v>
      </c>
      <c r="N64">
        <f>6-ROUNDUP(_xlfn.RANK.EQ(DATA_NOVIEMBRE_2024[[#This Row],[AL_AC]],DATA_NOVIEMBRE_2024[AL_AC],0)/(COUNTA(DATA_NOVIEMBRE_2024[AL_AC])/5),0)</f>
        <v>2</v>
      </c>
      <c r="O64" s="5" t="s">
        <v>6</v>
      </c>
      <c r="P64">
        <f>SUM(DATA_NOVIEMBRE_2024[[#This Row],[1]:[31]])</f>
        <v>5660</v>
      </c>
      <c r="Q64">
        <v>22500</v>
      </c>
      <c r="R64" t="s">
        <v>36</v>
      </c>
      <c r="W64">
        <v>300</v>
      </c>
      <c r="Z64">
        <v>500</v>
      </c>
      <c r="AC64">
        <v>830</v>
      </c>
      <c r="AJ64">
        <v>230</v>
      </c>
      <c r="AQ64">
        <v>1700</v>
      </c>
      <c r="AS64">
        <v>1000</v>
      </c>
      <c r="AU64">
        <v>250</v>
      </c>
      <c r="AV64">
        <v>850</v>
      </c>
    </row>
    <row r="65" spans="1:48" x14ac:dyDescent="0.25">
      <c r="A65" s="34" t="s">
        <v>5</v>
      </c>
      <c r="B65" s="34" t="str">
        <f>D1_NOVIEMBRE_2024[[#This Row],[ASESOR]]</f>
        <v>ROBERTO HUILLCA</v>
      </c>
      <c r="C65" s="36">
        <f>VLOOKUP(D1_NOVIEMBRE_2024[[#This Row],[SUPER]],DATA_NOVIEMBRE_2024[[SUPERVISOR]:[META]],3,0)</f>
        <v>23000</v>
      </c>
      <c r="D65" s="35">
        <f>D1_NOVIEMBRE_2024[[#This Row],[RECUPERO]]/D1_NOVIEMBRE_2024[[#This Row],[META]]</f>
        <v>1.3043478260869565E-2</v>
      </c>
      <c r="E65" s="35" t="str">
        <f>D1_NOVIEMBRE_2024[[#This Row],[SUPER]]</f>
        <v>JORDAN</v>
      </c>
      <c r="F65" t="s">
        <v>544</v>
      </c>
      <c r="G65" s="3">
        <v>300</v>
      </c>
      <c r="H65" t="s">
        <v>547</v>
      </c>
      <c r="I65" s="55">
        <v>45544</v>
      </c>
      <c r="J65" s="55" t="s">
        <v>501</v>
      </c>
      <c r="M65">
        <f>DATA_NOVIEMBRE_2024[[#This Row],[RECUPERO]]/DATA_NOVIEMBRE_2024[[#This Row],[META]]</f>
        <v>0.67718250000000002</v>
      </c>
      <c r="N65">
        <f>6-ROUNDUP(_xlfn.RANK.EQ(DATA_NOVIEMBRE_2024[[#This Row],[AL_AC]],DATA_NOVIEMBRE_2024[AL_AC],0)/(COUNTA(DATA_NOVIEMBRE_2024[AL_AC])/5),0)</f>
        <v>4</v>
      </c>
      <c r="O65" s="5" t="s">
        <v>4</v>
      </c>
      <c r="P65">
        <f>SUM(DATA_NOVIEMBRE_2024[[#This Row],[1]:[31]])</f>
        <v>46048.41</v>
      </c>
      <c r="Q65">
        <v>68000</v>
      </c>
      <c r="R65" t="s">
        <v>62</v>
      </c>
      <c r="S65">
        <v>246</v>
      </c>
      <c r="V65">
        <v>2000</v>
      </c>
      <c r="W65">
        <v>1678</v>
      </c>
      <c r="X65">
        <v>220.71</v>
      </c>
      <c r="Z65">
        <v>2718.7</v>
      </c>
      <c r="AC65">
        <v>6950</v>
      </c>
      <c r="AD65">
        <v>11685</v>
      </c>
      <c r="AG65">
        <v>515</v>
      </c>
      <c r="AK65">
        <v>270</v>
      </c>
      <c r="AL65">
        <v>250</v>
      </c>
      <c r="AM65">
        <v>976</v>
      </c>
      <c r="AN65">
        <v>5000</v>
      </c>
      <c r="AQ65">
        <v>341</v>
      </c>
      <c r="AR65">
        <v>350</v>
      </c>
      <c r="AT65">
        <v>4100</v>
      </c>
      <c r="AU65">
        <v>7000</v>
      </c>
      <c r="AV65">
        <v>1748</v>
      </c>
    </row>
    <row r="66" spans="1:48" x14ac:dyDescent="0.25">
      <c r="A66" s="34" t="s">
        <v>9</v>
      </c>
      <c r="B66" s="34" t="str">
        <f>D1_NOVIEMBRE_2024[[#This Row],[ASESOR]]</f>
        <v>ROCIO TERRONES</v>
      </c>
      <c r="C66" s="36">
        <f>VLOOKUP(D1_NOVIEMBRE_2024[[#This Row],[SUPER]],DATA_NOVIEMBRE_2024[[SUPERVISOR]:[META]],3,0)</f>
        <v>13000</v>
      </c>
      <c r="D66" s="35">
        <f>D1_NOVIEMBRE_2024[[#This Row],[RECUPERO]]/D1_NOVIEMBRE_2024[[#This Row],[META]]</f>
        <v>0.6711538461538461</v>
      </c>
      <c r="E66" s="35" t="str">
        <f>D1_NOVIEMBRE_2024[[#This Row],[SUPER]]</f>
        <v>LUIS</v>
      </c>
      <c r="F66" t="s">
        <v>103</v>
      </c>
      <c r="G66" s="3">
        <v>8725</v>
      </c>
      <c r="H66" t="s">
        <v>419</v>
      </c>
      <c r="I66" s="55">
        <v>45451</v>
      </c>
      <c r="J66" s="55" t="s">
        <v>501</v>
      </c>
      <c r="M66">
        <f>DATA_NOVIEMBRE_2024[[#This Row],[RECUPERO]]/DATA_NOVIEMBRE_2024[[#This Row],[META]]</f>
        <v>0.83320399999999994</v>
      </c>
      <c r="N66">
        <f>6-ROUNDUP(_xlfn.RANK.EQ(DATA_NOVIEMBRE_2024[[#This Row],[AL_AC]],DATA_NOVIEMBRE_2024[AL_AC],0)/(COUNTA(DATA_NOVIEMBRE_2024[AL_AC])/5),0)</f>
        <v>4</v>
      </c>
      <c r="O66" s="5" t="s">
        <v>2</v>
      </c>
      <c r="P66">
        <f>SUM(DATA_NOVIEMBRE_2024[[#This Row],[1]:[31]])</f>
        <v>20830.099999999999</v>
      </c>
      <c r="Q66">
        <v>25000</v>
      </c>
      <c r="R66" t="s">
        <v>70</v>
      </c>
      <c r="X66">
        <v>630</v>
      </c>
      <c r="Y66">
        <v>200</v>
      </c>
      <c r="Z66">
        <v>900</v>
      </c>
      <c r="AA66">
        <v>1000</v>
      </c>
      <c r="AJ66">
        <v>4000</v>
      </c>
      <c r="AK66">
        <v>700</v>
      </c>
      <c r="AN66">
        <v>1600.1</v>
      </c>
      <c r="AQ66">
        <v>1000</v>
      </c>
      <c r="AR66">
        <v>10000</v>
      </c>
      <c r="AU66">
        <v>800</v>
      </c>
    </row>
    <row r="67" spans="1:48" x14ac:dyDescent="0.25">
      <c r="A67" s="34" t="s">
        <v>9</v>
      </c>
      <c r="B67" s="34" t="str">
        <f>D1_NOVIEMBRE_2024[[#This Row],[ASESOR]]</f>
        <v>SARITA GARAY</v>
      </c>
      <c r="C67" s="36">
        <f>VLOOKUP(D1_NOVIEMBRE_2024[[#This Row],[SUPER]],DATA_NOVIEMBRE_2024[[SUPERVISOR]:[META]],3,0)</f>
        <v>13000</v>
      </c>
      <c r="D67" s="35">
        <f>D1_NOVIEMBRE_2024[[#This Row],[RECUPERO]]/D1_NOVIEMBRE_2024[[#This Row],[META]]</f>
        <v>0.43846153846153846</v>
      </c>
      <c r="E67" s="35" t="str">
        <f>D1_NOVIEMBRE_2024[[#This Row],[SUPER]]</f>
        <v>LUIS</v>
      </c>
      <c r="F67" t="s">
        <v>73</v>
      </c>
      <c r="G67" s="3">
        <v>5700</v>
      </c>
      <c r="H67" t="s">
        <v>420</v>
      </c>
      <c r="I67" s="55">
        <v>45145</v>
      </c>
      <c r="J67" s="55" t="s">
        <v>501</v>
      </c>
      <c r="M67">
        <f>DATA_NOVIEMBRE_2024[[#This Row],[RECUPERO]]/DATA_NOVIEMBRE_2024[[#This Row],[META]]</f>
        <v>0.65069617647058819</v>
      </c>
      <c r="N67">
        <f>6-ROUNDUP(_xlfn.RANK.EQ(DATA_NOVIEMBRE_2024[[#This Row],[AL_AC]],DATA_NOVIEMBRE_2024[AL_AC],0)/(COUNTA(DATA_NOVIEMBRE_2024[AL_AC])/5),0)</f>
        <v>4</v>
      </c>
      <c r="O67" s="5" t="s">
        <v>4</v>
      </c>
      <c r="P67">
        <f>SUM(DATA_NOVIEMBRE_2024[[#This Row],[1]:[31]])</f>
        <v>44247.34</v>
      </c>
      <c r="Q67">
        <v>68000</v>
      </c>
      <c r="R67" t="s">
        <v>11</v>
      </c>
      <c r="W67">
        <v>1500</v>
      </c>
      <c r="Y67">
        <v>542.09</v>
      </c>
      <c r="Z67">
        <v>1323</v>
      </c>
      <c r="AA67">
        <v>1000</v>
      </c>
      <c r="AC67">
        <v>1000</v>
      </c>
      <c r="AD67">
        <v>1273.25</v>
      </c>
      <c r="AE67">
        <v>430</v>
      </c>
      <c r="AG67">
        <v>600</v>
      </c>
      <c r="AH67">
        <v>500</v>
      </c>
      <c r="AJ67">
        <v>600</v>
      </c>
      <c r="AL67">
        <v>275</v>
      </c>
      <c r="AM67">
        <v>1000</v>
      </c>
      <c r="AR67">
        <v>7000</v>
      </c>
      <c r="AS67">
        <v>600</v>
      </c>
      <c r="AT67">
        <v>905</v>
      </c>
      <c r="AU67">
        <v>16830</v>
      </c>
      <c r="AV67">
        <v>8869</v>
      </c>
    </row>
    <row r="68" spans="1:48" x14ac:dyDescent="0.25">
      <c r="A68" s="34" t="s">
        <v>3</v>
      </c>
      <c r="B68" s="34" t="str">
        <f>D1_NOVIEMBRE_2024[[#This Row],[ASESOR]]</f>
        <v>TERRY ECHEVARRIA</v>
      </c>
      <c r="C68" s="36">
        <f>VLOOKUP(D1_NOVIEMBRE_2024[[#This Row],[SUPER]],DATA_NOVIEMBRE_2024[[SUPERVISOR]:[META]],3,0)</f>
        <v>68000</v>
      </c>
      <c r="D68" s="35">
        <f>D1_NOVIEMBRE_2024[[#This Row],[RECUPERO]]/D1_NOVIEMBRE_2024[[#This Row],[META]]</f>
        <v>0.57699999999999996</v>
      </c>
      <c r="E68" s="35" t="str">
        <f>D1_NOVIEMBRE_2024[[#This Row],[SUPER]]</f>
        <v>SANDY</v>
      </c>
      <c r="F68" t="s">
        <v>30</v>
      </c>
      <c r="G68" s="3">
        <v>39236</v>
      </c>
      <c r="H68" t="s">
        <v>448</v>
      </c>
      <c r="I68" s="55">
        <v>45399</v>
      </c>
      <c r="J68" s="55" t="s">
        <v>501</v>
      </c>
      <c r="M68">
        <f>DATA_NOVIEMBRE_2024[[#This Row],[RECUPERO]]/DATA_NOVIEMBRE_2024[[#This Row],[META]]</f>
        <v>0.18279999999999999</v>
      </c>
      <c r="N68">
        <f>6-ROUNDUP(_xlfn.RANK.EQ(DATA_NOVIEMBRE_2024[[#This Row],[AL_AC]],DATA_NOVIEMBRE_2024[AL_AC],0)/(COUNTA(DATA_NOVIEMBRE_2024[AL_AC])/5),0)</f>
        <v>1</v>
      </c>
      <c r="O68" s="5" t="s">
        <v>2</v>
      </c>
      <c r="P68">
        <f>SUM(DATA_NOVIEMBRE_2024[[#This Row],[1]:[31]])</f>
        <v>4570</v>
      </c>
      <c r="Q68">
        <v>25000</v>
      </c>
      <c r="R68" t="s">
        <v>74</v>
      </c>
      <c r="Y68">
        <v>500</v>
      </c>
      <c r="Z68">
        <v>1000</v>
      </c>
      <c r="AC68">
        <v>300</v>
      </c>
      <c r="AE68">
        <v>550</v>
      </c>
      <c r="AJ68">
        <v>150</v>
      </c>
      <c r="AK68">
        <v>150</v>
      </c>
      <c r="AT68">
        <v>1000</v>
      </c>
      <c r="AU68">
        <v>520</v>
      </c>
      <c r="AV68">
        <v>400</v>
      </c>
    </row>
    <row r="69" spans="1:48" x14ac:dyDescent="0.25">
      <c r="A69" s="34" t="s">
        <v>2</v>
      </c>
      <c r="B69" s="34" t="str">
        <f>D1_NOVIEMBRE_2024[[#This Row],[ASESOR]]</f>
        <v>URSULA CENTENO</v>
      </c>
      <c r="C69" s="36">
        <f>VLOOKUP(D1_NOVIEMBRE_2024[[#This Row],[SUPER]],DATA_NOVIEMBRE_2024[[SUPERVISOR]:[META]],3,0)</f>
        <v>25000</v>
      </c>
      <c r="D69" s="35">
        <f>D1_NOVIEMBRE_2024[[#This Row],[RECUPERO]]/D1_NOVIEMBRE_2024[[#This Row],[META]]</f>
        <v>0.27648</v>
      </c>
      <c r="E69" s="35" t="str">
        <f>D1_NOVIEMBRE_2024[[#This Row],[SUPER]]</f>
        <v>JORGE</v>
      </c>
      <c r="F69" t="s">
        <v>78</v>
      </c>
      <c r="G69" s="3">
        <v>6912</v>
      </c>
      <c r="H69" t="s">
        <v>397</v>
      </c>
      <c r="I69" s="55">
        <v>44945</v>
      </c>
      <c r="J69" s="55" t="s">
        <v>501</v>
      </c>
      <c r="M69">
        <f>DATA_NOVIEMBRE_2024[[#This Row],[RECUPERO]]/DATA_NOVIEMBRE_2024[[#This Row],[META]]</f>
        <v>0.94137499999999996</v>
      </c>
      <c r="N69">
        <f>6-ROUNDUP(_xlfn.RANK.EQ(DATA_NOVIEMBRE_2024[[#This Row],[AL_AC]],DATA_NOVIEMBRE_2024[AL_AC],0)/(COUNTA(DATA_NOVIEMBRE_2024[AL_AC])/5),0)</f>
        <v>5</v>
      </c>
      <c r="O69" s="5" t="s">
        <v>3</v>
      </c>
      <c r="P69">
        <f>SUM(DATA_NOVIEMBRE_2024[[#This Row],[1]:[31]])</f>
        <v>64013.5</v>
      </c>
      <c r="Q69">
        <v>68000</v>
      </c>
      <c r="R69" t="s">
        <v>63</v>
      </c>
      <c r="S69">
        <v>640</v>
      </c>
      <c r="V69">
        <v>21550</v>
      </c>
      <c r="W69">
        <v>862</v>
      </c>
      <c r="X69">
        <v>2208</v>
      </c>
      <c r="Y69">
        <v>1640</v>
      </c>
      <c r="Z69">
        <v>8654</v>
      </c>
      <c r="AA69">
        <v>530</v>
      </c>
      <c r="AC69">
        <v>867</v>
      </c>
      <c r="AD69">
        <v>3425</v>
      </c>
      <c r="AF69">
        <v>0</v>
      </c>
      <c r="AG69">
        <v>680</v>
      </c>
      <c r="AJ69">
        <v>1558.5</v>
      </c>
      <c r="AM69">
        <v>310</v>
      </c>
      <c r="AN69">
        <v>230</v>
      </c>
      <c r="AQ69">
        <v>3135</v>
      </c>
      <c r="AS69">
        <v>210</v>
      </c>
      <c r="AT69">
        <v>11700</v>
      </c>
      <c r="AU69">
        <v>1174</v>
      </c>
      <c r="AV69">
        <v>4640</v>
      </c>
    </row>
    <row r="70" spans="1:48" x14ac:dyDescent="0.25">
      <c r="A70" s="34" t="s">
        <v>2</v>
      </c>
      <c r="B70" s="34" t="str">
        <f>D1_NOVIEMBRE_2024[[#This Row],[ASESOR]]</f>
        <v>VERONICA HUARCA</v>
      </c>
      <c r="C70" s="36">
        <f>VLOOKUP(D1_NOVIEMBRE_2024[[#This Row],[SUPER]],DATA_NOVIEMBRE_2024[[SUPERVISOR]:[META]],3,0)</f>
        <v>25000</v>
      </c>
      <c r="D70" s="35">
        <f>D1_NOVIEMBRE_2024[[#This Row],[RECUPERO]]/D1_NOVIEMBRE_2024[[#This Row],[META]]</f>
        <v>0.61456</v>
      </c>
      <c r="E70" s="35" t="str">
        <f>D1_NOVIEMBRE_2024[[#This Row],[SUPER]]</f>
        <v>JORGE</v>
      </c>
      <c r="F70" t="s">
        <v>48</v>
      </c>
      <c r="G70" s="3">
        <v>15364</v>
      </c>
      <c r="H70" t="s">
        <v>421</v>
      </c>
      <c r="I70" s="55">
        <v>44748</v>
      </c>
      <c r="J70" s="55" t="s">
        <v>501</v>
      </c>
      <c r="M70">
        <f>DATA_NOVIEMBRE_2024[[#This Row],[RECUPERO]]/DATA_NOVIEMBRE_2024[[#This Row],[META]]</f>
        <v>0.11358823529411764</v>
      </c>
      <c r="N70">
        <f>6-ROUNDUP(_xlfn.RANK.EQ(DATA_NOVIEMBRE_2024[[#This Row],[AL_AC]],DATA_NOVIEMBRE_2024[AL_AC],0)/(COUNTA(DATA_NOVIEMBRE_2024[AL_AC])/5),0)</f>
        <v>1</v>
      </c>
      <c r="O70" s="5" t="s">
        <v>115</v>
      </c>
      <c r="P70">
        <f>SUM(DATA_NOVIEMBRE_2024[[#This Row],[1]:[31]])</f>
        <v>1931</v>
      </c>
      <c r="Q70">
        <v>17000</v>
      </c>
      <c r="R70" t="s">
        <v>555</v>
      </c>
      <c r="S70">
        <v>150</v>
      </c>
      <c r="V70">
        <v>186</v>
      </c>
      <c r="X70">
        <v>375</v>
      </c>
      <c r="Y70">
        <v>570</v>
      </c>
      <c r="Z70">
        <v>400</v>
      </c>
      <c r="AB70">
        <v>200</v>
      </c>
      <c r="AC70">
        <v>50</v>
      </c>
    </row>
    <row r="71" spans="1:48" x14ac:dyDescent="0.25">
      <c r="A71" s="34" t="s">
        <v>3</v>
      </c>
      <c r="B71" s="34" t="str">
        <f>D1_NOVIEMBRE_2024[[#This Row],[ASESOR]]</f>
        <v>VERONICA TASAYCO</v>
      </c>
      <c r="C71" s="36">
        <f>VLOOKUP(D1_NOVIEMBRE_2024[[#This Row],[SUPER]],DATA_NOVIEMBRE_2024[[SUPERVISOR]:[META]],3,0)</f>
        <v>68000</v>
      </c>
      <c r="D71" s="35">
        <f>D1_NOVIEMBRE_2024[[#This Row],[RECUPERO]]/D1_NOVIEMBRE_2024[[#This Row],[META]]</f>
        <v>0.32800000000000001</v>
      </c>
      <c r="E71" s="35" t="str">
        <f>D1_NOVIEMBRE_2024[[#This Row],[SUPER]]</f>
        <v>SANDY</v>
      </c>
      <c r="F71" t="s">
        <v>10</v>
      </c>
      <c r="G71" s="3">
        <v>22304</v>
      </c>
      <c r="H71" t="s">
        <v>449</v>
      </c>
      <c r="I71" s="55">
        <v>44706</v>
      </c>
      <c r="J71" s="55" t="s">
        <v>501</v>
      </c>
      <c r="M71">
        <f>DATA_NOVIEMBRE_2024[[#This Row],[RECUPERO]]/DATA_NOVIEMBRE_2024[[#This Row],[META]]</f>
        <v>1.3043478260869565E-2</v>
      </c>
      <c r="N71">
        <f>6-ROUNDUP(_xlfn.RANK.EQ(DATA_NOVIEMBRE_2024[[#This Row],[AL_AC]],DATA_NOVIEMBRE_2024[AL_AC],0)/(COUNTA(DATA_NOVIEMBRE_2024[AL_AC])/5),0)</f>
        <v>1</v>
      </c>
      <c r="O71" s="5" t="s">
        <v>5</v>
      </c>
      <c r="P71">
        <f>SUM(DATA_NOVIEMBRE_2024[[#This Row],[1]:[31]])</f>
        <v>300</v>
      </c>
      <c r="Q71">
        <v>23000</v>
      </c>
      <c r="R71" t="s">
        <v>544</v>
      </c>
      <c r="W71">
        <v>100</v>
      </c>
      <c r="Y71">
        <v>200</v>
      </c>
    </row>
    <row r="72" spans="1:48" x14ac:dyDescent="0.25">
      <c r="A72" s="34" t="s">
        <v>6</v>
      </c>
      <c r="B72" s="34" t="str">
        <f>D1_NOVIEMBRE_2024[[#This Row],[ASESOR]]</f>
        <v>VICTOR RAMIREZ</v>
      </c>
      <c r="C72" s="36">
        <f>VLOOKUP(D1_NOVIEMBRE_2024[[#This Row],[SUPER]],DATA_NOVIEMBRE_2024[[SUPERVISOR]:[META]],3,0)</f>
        <v>22500</v>
      </c>
      <c r="D72" s="35">
        <f>D1_NOVIEMBRE_2024[[#This Row],[RECUPERO]]/D1_NOVIEMBRE_2024[[#This Row],[META]]</f>
        <v>0.18666666666666668</v>
      </c>
      <c r="E72" s="35" t="str">
        <f>D1_NOVIEMBRE_2024[[#This Row],[SUPER]]</f>
        <v>KENNETH</v>
      </c>
      <c r="F72" t="s">
        <v>76</v>
      </c>
      <c r="G72" s="3">
        <v>4200</v>
      </c>
      <c r="H72" t="s">
        <v>408</v>
      </c>
      <c r="I72" s="55">
        <v>44819</v>
      </c>
      <c r="J72" s="55" t="s">
        <v>501</v>
      </c>
      <c r="M72">
        <f>DATA_NOVIEMBRE_2024[[#This Row],[RECUPERO]]/DATA_NOVIEMBRE_2024[[#This Row],[META]]</f>
        <v>0.6711538461538461</v>
      </c>
      <c r="N72">
        <f>6-ROUNDUP(_xlfn.RANK.EQ(DATA_NOVIEMBRE_2024[[#This Row],[AL_AC]],DATA_NOVIEMBRE_2024[AL_AC],0)/(COUNTA(DATA_NOVIEMBRE_2024[AL_AC])/5),0)</f>
        <v>4</v>
      </c>
      <c r="O72" s="5" t="s">
        <v>9</v>
      </c>
      <c r="P72">
        <f>SUM(DATA_NOVIEMBRE_2024[[#This Row],[1]:[31]])</f>
        <v>8725</v>
      </c>
      <c r="Q72">
        <v>13000</v>
      </c>
      <c r="R72" t="s">
        <v>103</v>
      </c>
      <c r="V72">
        <v>340</v>
      </c>
      <c r="W72">
        <v>310</v>
      </c>
      <c r="X72">
        <v>380</v>
      </c>
      <c r="AC72">
        <v>200</v>
      </c>
      <c r="AD72">
        <v>100</v>
      </c>
      <c r="AF72">
        <v>100</v>
      </c>
      <c r="AK72">
        <v>1100</v>
      </c>
      <c r="AL72">
        <v>300</v>
      </c>
      <c r="AM72">
        <v>1900</v>
      </c>
      <c r="AN72">
        <v>950</v>
      </c>
      <c r="AR72">
        <v>2200</v>
      </c>
      <c r="AT72">
        <v>230</v>
      </c>
      <c r="AU72">
        <v>400</v>
      </c>
      <c r="AV72">
        <v>215</v>
      </c>
    </row>
    <row r="73" spans="1:48" x14ac:dyDescent="0.25">
      <c r="M73">
        <f>DATA_NOVIEMBRE_2024[[#This Row],[RECUPERO]]/DATA_NOVIEMBRE_2024[[#This Row],[META]]</f>
        <v>0.43846153846153846</v>
      </c>
      <c r="N73">
        <f>6-ROUNDUP(_xlfn.RANK.EQ(DATA_NOVIEMBRE_2024[[#This Row],[AL_AC]],DATA_NOVIEMBRE_2024[AL_AC],0)/(COUNTA(DATA_NOVIEMBRE_2024[AL_AC])/5),0)</f>
        <v>3</v>
      </c>
      <c r="O73" s="5" t="s">
        <v>9</v>
      </c>
      <c r="P73">
        <f>SUM(DATA_NOVIEMBRE_2024[[#This Row],[1]:[31]])</f>
        <v>5700</v>
      </c>
      <c r="Q73">
        <v>13000</v>
      </c>
      <c r="R73" t="s">
        <v>73</v>
      </c>
      <c r="W73">
        <v>300</v>
      </c>
      <c r="Y73">
        <v>1300</v>
      </c>
      <c r="AA73">
        <v>300</v>
      </c>
      <c r="AE73">
        <v>2500</v>
      </c>
      <c r="AG73">
        <v>200</v>
      </c>
      <c r="AH73">
        <v>100</v>
      </c>
      <c r="AK73">
        <v>200</v>
      </c>
      <c r="AT73">
        <v>200</v>
      </c>
      <c r="AU73">
        <v>300</v>
      </c>
      <c r="AV73">
        <v>300</v>
      </c>
    </row>
    <row r="74" spans="1:48" x14ac:dyDescent="0.25">
      <c r="M74">
        <f>DATA_NOVIEMBRE_2024[[#This Row],[RECUPERO]]/DATA_NOVIEMBRE_2024[[#This Row],[META]]</f>
        <v>0.57699999999999996</v>
      </c>
      <c r="N74">
        <f>6-ROUNDUP(_xlfn.RANK.EQ(DATA_NOVIEMBRE_2024[[#This Row],[AL_AC]],DATA_NOVIEMBRE_2024[AL_AC],0)/(COUNTA(DATA_NOVIEMBRE_2024[AL_AC])/5),0)</f>
        <v>3</v>
      </c>
      <c r="O74" s="5" t="s">
        <v>3</v>
      </c>
      <c r="P74">
        <f>SUM(DATA_NOVIEMBRE_2024[[#This Row],[1]:[31]])</f>
        <v>39236</v>
      </c>
      <c r="Q74">
        <v>68000</v>
      </c>
      <c r="R74" t="s">
        <v>30</v>
      </c>
      <c r="T74">
        <v>407</v>
      </c>
      <c r="W74">
        <v>600</v>
      </c>
      <c r="X74">
        <v>340</v>
      </c>
      <c r="Y74">
        <v>1350</v>
      </c>
      <c r="Z74">
        <v>100</v>
      </c>
      <c r="AA74">
        <v>1100</v>
      </c>
      <c r="AD74">
        <v>8000</v>
      </c>
      <c r="AG74">
        <v>1200</v>
      </c>
      <c r="AH74">
        <v>315</v>
      </c>
      <c r="AJ74">
        <v>650</v>
      </c>
      <c r="AK74">
        <v>570</v>
      </c>
      <c r="AL74">
        <v>1519</v>
      </c>
      <c r="AN74">
        <v>215</v>
      </c>
      <c r="AO74">
        <v>262</v>
      </c>
      <c r="AQ74">
        <v>800</v>
      </c>
      <c r="AR74">
        <v>1989</v>
      </c>
      <c r="AS74">
        <v>6234</v>
      </c>
      <c r="AU74">
        <v>11485</v>
      </c>
      <c r="AV74">
        <v>2100</v>
      </c>
    </row>
    <row r="75" spans="1:48" x14ac:dyDescent="0.25">
      <c r="M75">
        <f>DATA_NOVIEMBRE_2024[[#This Row],[RECUPERO]]/DATA_NOVIEMBRE_2024[[#This Row],[META]]</f>
        <v>0.27648</v>
      </c>
      <c r="N75">
        <f>6-ROUNDUP(_xlfn.RANK.EQ(DATA_NOVIEMBRE_2024[[#This Row],[AL_AC]],DATA_NOVIEMBRE_2024[AL_AC],0)/(COUNTA(DATA_NOVIEMBRE_2024[AL_AC])/5),0)</f>
        <v>2</v>
      </c>
      <c r="O75" s="5" t="s">
        <v>2</v>
      </c>
      <c r="P75">
        <f>SUM(DATA_NOVIEMBRE_2024[[#This Row],[1]:[31]])</f>
        <v>6912</v>
      </c>
      <c r="Q75">
        <v>25000</v>
      </c>
      <c r="R75" t="s">
        <v>78</v>
      </c>
      <c r="X75">
        <v>210</v>
      </c>
      <c r="AC75">
        <v>200</v>
      </c>
      <c r="AE75">
        <v>500</v>
      </c>
      <c r="AF75">
        <v>500</v>
      </c>
      <c r="AJ75">
        <v>550</v>
      </c>
      <c r="AQ75">
        <v>350</v>
      </c>
      <c r="AR75">
        <v>1300</v>
      </c>
      <c r="AT75">
        <v>2200</v>
      </c>
      <c r="AU75">
        <v>902</v>
      </c>
      <c r="AV75">
        <v>200</v>
      </c>
    </row>
    <row r="76" spans="1:48" x14ac:dyDescent="0.25">
      <c r="M76">
        <f>DATA_NOVIEMBRE_2024[[#This Row],[RECUPERO]]/DATA_NOVIEMBRE_2024[[#This Row],[META]]</f>
        <v>0.61456</v>
      </c>
      <c r="N76">
        <f>6-ROUNDUP(_xlfn.RANK.EQ(DATA_NOVIEMBRE_2024[[#This Row],[AL_AC]],DATA_NOVIEMBRE_2024[AL_AC],0)/(COUNTA(DATA_NOVIEMBRE_2024[AL_AC])/5),0)</f>
        <v>4</v>
      </c>
      <c r="O76" s="5" t="s">
        <v>2</v>
      </c>
      <c r="P76">
        <f>SUM(DATA_NOVIEMBRE_2024[[#This Row],[1]:[31]])</f>
        <v>15364</v>
      </c>
      <c r="Q76">
        <v>25000</v>
      </c>
      <c r="R76" t="s">
        <v>48</v>
      </c>
      <c r="S76">
        <v>115</v>
      </c>
      <c r="V76">
        <v>4270</v>
      </c>
      <c r="X76">
        <v>130</v>
      </c>
      <c r="Z76">
        <v>650</v>
      </c>
      <c r="AJ76">
        <v>2700</v>
      </c>
      <c r="AL76">
        <v>272</v>
      </c>
      <c r="AS76">
        <v>2000</v>
      </c>
      <c r="AU76">
        <v>4927</v>
      </c>
      <c r="AV76">
        <v>300</v>
      </c>
    </row>
    <row r="77" spans="1:48" x14ac:dyDescent="0.25">
      <c r="M77">
        <f>DATA_NOVIEMBRE_2024[[#This Row],[RECUPERO]]/DATA_NOVIEMBRE_2024[[#This Row],[META]]</f>
        <v>0.32800000000000001</v>
      </c>
      <c r="N77">
        <f>6-ROUNDUP(_xlfn.RANK.EQ(DATA_NOVIEMBRE_2024[[#This Row],[AL_AC]],DATA_NOVIEMBRE_2024[AL_AC],0)/(COUNTA(DATA_NOVIEMBRE_2024[AL_AC])/5),0)</f>
        <v>2</v>
      </c>
      <c r="O77" s="5" t="s">
        <v>3</v>
      </c>
      <c r="P77">
        <f>SUM(DATA_NOVIEMBRE_2024[[#This Row],[1]:[31]])</f>
        <v>22304</v>
      </c>
      <c r="Q77">
        <v>68000</v>
      </c>
      <c r="R77" t="s">
        <v>10</v>
      </c>
      <c r="S77">
        <v>325</v>
      </c>
      <c r="T77">
        <v>250</v>
      </c>
      <c r="W77">
        <v>1411</v>
      </c>
      <c r="AE77">
        <v>1262</v>
      </c>
      <c r="AF77">
        <v>3600</v>
      </c>
      <c r="AG77">
        <v>1200</v>
      </c>
      <c r="AJ77">
        <v>530</v>
      </c>
      <c r="AL77">
        <v>300</v>
      </c>
      <c r="AM77">
        <v>7800</v>
      </c>
      <c r="AN77">
        <v>600</v>
      </c>
      <c r="AU77">
        <v>2980</v>
      </c>
      <c r="AV77">
        <v>2046</v>
      </c>
    </row>
    <row r="78" spans="1:48" x14ac:dyDescent="0.25">
      <c r="M78">
        <f>DATA_NOVIEMBRE_2024[[#This Row],[RECUPERO]]/DATA_NOVIEMBRE_2024[[#This Row],[META]]</f>
        <v>0.18666666666666668</v>
      </c>
      <c r="N78">
        <f>6-ROUNDUP(_xlfn.RANK.EQ(DATA_NOVIEMBRE_2024[[#This Row],[AL_AC]],DATA_NOVIEMBRE_2024[AL_AC],0)/(COUNTA(DATA_NOVIEMBRE_2024[AL_AC])/5),0)</f>
        <v>1</v>
      </c>
      <c r="O78" s="5" t="s">
        <v>6</v>
      </c>
      <c r="P78">
        <f>SUM(DATA_NOVIEMBRE_2024[[#This Row],[1]:[31]])</f>
        <v>4200</v>
      </c>
      <c r="Q78">
        <v>22500</v>
      </c>
      <c r="R78" t="s">
        <v>76</v>
      </c>
      <c r="S78">
        <v>0</v>
      </c>
      <c r="W78">
        <v>2000</v>
      </c>
      <c r="AE78">
        <v>500</v>
      </c>
      <c r="AJ78">
        <v>800</v>
      </c>
      <c r="AK78">
        <v>400</v>
      </c>
      <c r="AU78">
        <v>500</v>
      </c>
    </row>
  </sheetData>
  <conditionalFormatting sqref="R9:R78">
    <cfRule type="duplicateValues" dxfId="16" priority="10"/>
  </conditionalFormatting>
  <pageMargins left="0.7" right="0.7" top="0.75" bottom="0.75" header="0.3" footer="0.3"/>
  <tableParts count="4">
    <tablePart r:id="rId1"/>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9ED76-88A0-47F1-8887-9B5576B83460}">
  <dimension ref="A1:CO82"/>
  <sheetViews>
    <sheetView zoomScale="85" zoomScaleNormal="85" workbookViewId="0">
      <selection activeCell="N8" sqref="N8"/>
    </sheetView>
  </sheetViews>
  <sheetFormatPr baseColWidth="10" defaultRowHeight="15" x14ac:dyDescent="0.25"/>
  <sheetData>
    <row r="1" spans="1:93" x14ac:dyDescent="0.25">
      <c r="A1" s="34"/>
      <c r="B1" s="34"/>
      <c r="C1" s="35"/>
      <c r="D1" s="35"/>
      <c r="E1" s="35"/>
      <c r="L1" s="55"/>
      <c r="N1" s="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s="34" t="s">
        <v>115</v>
      </c>
      <c r="B3" s="34" t="str">
        <f>D1_DICIEMBRE_2024[[#This Row],[ASESOR]]</f>
        <v>ALEIDITH GUEVARA</v>
      </c>
      <c r="C3" s="36">
        <f>VLOOKUP(D1_DICIEMBRE_2024[[#This Row],[SUPER]],DATA_DICIEMBRE_2024[[SUPERVISOR]:[META]],3,0)</f>
        <v>17000</v>
      </c>
      <c r="D3" s="35">
        <f>D1_DICIEMBRE_2024[[#This Row],[RECUPERO]]/D1_DICIEMBRE_2024[[#This Row],[META]]</f>
        <v>1.575764705882353</v>
      </c>
      <c r="E3" s="35" t="str">
        <f>D1_DICIEMBRE_2024[[#This Row],[SUPER]]</f>
        <v>MELITA</v>
      </c>
      <c r="F3" t="s">
        <v>18</v>
      </c>
      <c r="G3" s="3">
        <v>26788</v>
      </c>
      <c r="H3" t="s">
        <v>431</v>
      </c>
      <c r="I3" s="55">
        <v>45133</v>
      </c>
      <c r="J3" s="55" t="s">
        <v>501</v>
      </c>
      <c r="K3" s="55"/>
      <c r="L3" s="55"/>
      <c r="M3" s="33">
        <v>2024</v>
      </c>
      <c r="N3" s="33" t="s">
        <v>176</v>
      </c>
      <c r="O3" s="33">
        <v>21</v>
      </c>
    </row>
    <row r="4" spans="1:93" x14ac:dyDescent="0.25">
      <c r="A4" s="34" t="s">
        <v>9</v>
      </c>
      <c r="B4" s="34" t="str">
        <f>D1_DICIEMBRE_2024[[#This Row],[ASESOR]]</f>
        <v>ALEJANDRA AVILA</v>
      </c>
      <c r="C4" s="36">
        <f>VLOOKUP(D1_DICIEMBRE_2024[[#This Row],[SUPER]],DATA_DICIEMBRE_2024[[SUPERVISOR]:[META]],3,0)</f>
        <v>26500</v>
      </c>
      <c r="D4" s="35">
        <f>D1_DICIEMBRE_2024[[#This Row],[RECUPERO]]/D1_DICIEMBRE_2024[[#This Row],[META]]</f>
        <v>0.2862264150943396</v>
      </c>
      <c r="E4" s="35" t="str">
        <f>D1_DICIEMBRE_2024[[#This Row],[SUPER]]</f>
        <v>LUIS</v>
      </c>
      <c r="F4" t="s">
        <v>21</v>
      </c>
      <c r="G4" s="3">
        <v>7585</v>
      </c>
      <c r="H4" t="s">
        <v>409</v>
      </c>
      <c r="I4" s="55">
        <v>44301</v>
      </c>
      <c r="J4" s="55" t="s">
        <v>501</v>
      </c>
      <c r="K4" s="55"/>
      <c r="L4" s="55"/>
      <c r="N4" s="5"/>
    </row>
    <row r="5" spans="1:93" x14ac:dyDescent="0.25">
      <c r="A5" s="34" t="s">
        <v>3</v>
      </c>
      <c r="B5" s="34" t="str">
        <f>D1_DICIEMBRE_2024[[#This Row],[ASESOR]]</f>
        <v>ALEJANDRA QUISPE</v>
      </c>
      <c r="C5" s="36">
        <f>VLOOKUP(D1_DICIEMBRE_2024[[#This Row],[SUPER]],DATA_DICIEMBRE_2024[[SUPERVISOR]:[META]],3,0)</f>
        <v>60000</v>
      </c>
      <c r="D5" s="35">
        <f>D1_DICIEMBRE_2024[[#This Row],[RECUPERO]]/D1_DICIEMBRE_2024[[#This Row],[META]]</f>
        <v>0.56975833333333337</v>
      </c>
      <c r="E5" s="35" t="str">
        <f>D1_DICIEMBRE_2024[[#This Row],[SUPER]]</f>
        <v>SANDY</v>
      </c>
      <c r="F5" t="s">
        <v>58</v>
      </c>
      <c r="G5" s="3">
        <v>34185.5</v>
      </c>
      <c r="H5" t="s">
        <v>441</v>
      </c>
      <c r="I5" s="55">
        <v>43035</v>
      </c>
      <c r="J5" s="55" t="s">
        <v>501</v>
      </c>
      <c r="K5" s="55"/>
      <c r="L5" s="55"/>
      <c r="N5" s="5"/>
      <c r="BB5" s="45"/>
    </row>
    <row r="6" spans="1:93" x14ac:dyDescent="0.25">
      <c r="A6" s="34" t="s">
        <v>4</v>
      </c>
      <c r="B6" s="34" t="str">
        <f>D1_DICIEMBRE_2024[[#This Row],[ASESOR]]</f>
        <v>ALEJANDRO GONZALES</v>
      </c>
      <c r="C6" s="36">
        <f>VLOOKUP(D1_DICIEMBRE_2024[[#This Row],[SUPER]],DATA_DICIEMBRE_2024[[SUPERVISOR]:[META]],3,0)</f>
        <v>60000</v>
      </c>
      <c r="D6" s="35">
        <f>D1_DICIEMBRE_2024[[#This Row],[RECUPERO]]/D1_DICIEMBRE_2024[[#This Row],[META]]</f>
        <v>0.28751833333333332</v>
      </c>
      <c r="E6" s="35" t="str">
        <f>D1_DICIEMBRE_2024[[#This Row],[SUPER]]</f>
        <v>MELINA</v>
      </c>
      <c r="F6" t="s">
        <v>109</v>
      </c>
      <c r="G6" s="3">
        <v>17251.099999999999</v>
      </c>
      <c r="H6" t="s">
        <v>422</v>
      </c>
      <c r="I6" s="55">
        <v>45334</v>
      </c>
      <c r="J6" s="55" t="s">
        <v>501</v>
      </c>
      <c r="K6" s="55"/>
      <c r="L6" s="55"/>
      <c r="N6" s="5"/>
    </row>
    <row r="7" spans="1:93" x14ac:dyDescent="0.25">
      <c r="A7" s="34" t="s">
        <v>4</v>
      </c>
      <c r="B7" s="34" t="str">
        <f>D1_DICIEMBRE_2024[[#This Row],[ASESOR]]</f>
        <v>ANALUCIA PONCE</v>
      </c>
      <c r="C7" s="36">
        <f>VLOOKUP(D1_DICIEMBRE_2024[[#This Row],[SUPER]],DATA_DICIEMBRE_2024[[SUPERVISOR]:[META]],3,0)</f>
        <v>60000</v>
      </c>
      <c r="D7" s="35">
        <f>D1_DICIEMBRE_2024[[#This Row],[RECUPERO]]/D1_DICIEMBRE_2024[[#This Row],[META]]</f>
        <v>1.0976166666666667</v>
      </c>
      <c r="E7" s="35" t="str">
        <f>D1_DICIEMBRE_2024[[#This Row],[SUPER]]</f>
        <v>MELINA</v>
      </c>
      <c r="F7" t="s">
        <v>60</v>
      </c>
      <c r="G7" s="3">
        <v>65857</v>
      </c>
      <c r="H7" t="s">
        <v>423</v>
      </c>
      <c r="I7" s="55">
        <v>45323</v>
      </c>
      <c r="J7" s="55" t="s">
        <v>501</v>
      </c>
      <c r="K7" s="55"/>
      <c r="L7" s="55"/>
      <c r="M7" s="1"/>
      <c r="N7" s="5"/>
      <c r="CK7" t="s">
        <v>626</v>
      </c>
      <c r="CN7" t="s">
        <v>149</v>
      </c>
      <c r="CO7" t="s">
        <v>176</v>
      </c>
    </row>
    <row r="8" spans="1:93" x14ac:dyDescent="0.25">
      <c r="A8" s="34" t="s">
        <v>9</v>
      </c>
      <c r="B8" s="34" t="str">
        <f>D1_DICIEMBRE_2024[[#This Row],[ASESOR]]</f>
        <v>ANDERSON RODRIGUEZ</v>
      </c>
      <c r="C8" s="36">
        <f>VLOOKUP(D1_DICIEMBRE_2024[[#This Row],[SUPER]],DATA_DICIEMBRE_2024[[SUPERVISOR]:[META]],3,0)</f>
        <v>26500</v>
      </c>
      <c r="D8" s="35">
        <f>D1_DICIEMBRE_2024[[#This Row],[RECUPERO]]/D1_DICIEMBRE_2024[[#This Row],[META]]</f>
        <v>0.52317735849056601</v>
      </c>
      <c r="E8" s="35" t="str">
        <f>D1_DICIEMBRE_2024[[#This Row],[SUPER]]</f>
        <v>LUIS</v>
      </c>
      <c r="F8" t="s">
        <v>15</v>
      </c>
      <c r="G8" s="3">
        <v>13864.2</v>
      </c>
      <c r="H8" t="s">
        <v>410</v>
      </c>
      <c r="I8" s="55">
        <v>44735</v>
      </c>
      <c r="J8" s="55" t="s">
        <v>501</v>
      </c>
      <c r="K8" s="55"/>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row>
    <row r="9" spans="1:93" x14ac:dyDescent="0.25">
      <c r="A9" s="34" t="s">
        <v>2</v>
      </c>
      <c r="B9" s="34" t="str">
        <f>D1_DICIEMBRE_2024[[#This Row],[ASESOR]]</f>
        <v>ANGELO SUAREZ</v>
      </c>
      <c r="C9" s="36">
        <f>VLOOKUP(D1_DICIEMBRE_2024[[#This Row],[SUPER]],DATA_DICIEMBRE_2024[[SUPERVISOR]:[META]],3,0)</f>
        <v>22500</v>
      </c>
      <c r="D9" s="35">
        <f>D1_DICIEMBRE_2024[[#This Row],[RECUPERO]]/D1_DICIEMBRE_2024[[#This Row],[META]]</f>
        <v>0.27293333333333331</v>
      </c>
      <c r="E9" s="35" t="str">
        <f>D1_DICIEMBRE_2024[[#This Row],[SUPER]]</f>
        <v>JORGE</v>
      </c>
      <c r="F9" t="s">
        <v>92</v>
      </c>
      <c r="G9" s="3">
        <v>6141</v>
      </c>
      <c r="H9" t="s">
        <v>486</v>
      </c>
      <c r="I9" s="55">
        <v>45399</v>
      </c>
      <c r="J9" s="55" t="s">
        <v>501</v>
      </c>
      <c r="K9" s="55"/>
      <c r="L9" s="55"/>
      <c r="M9">
        <f>DATA_DICIEMBRE_2024[[#This Row],[RECUPERO]]/DATA_DICIEMBRE_2024[[#This Row],[META]]</f>
        <v>1.575764705882353</v>
      </c>
      <c r="N9" s="5">
        <f>6-ROUNDUP(_xlfn.RANK.EQ(DATA_DICIEMBRE_2024[[#This Row],[AL_AC]],DATA_DICIEMBRE_2024[AL_AC],0)/(COUNTA(DATA_DICIEMBRE_2024[AL_AC])/5),0)</f>
        <v>5</v>
      </c>
      <c r="O9" t="s">
        <v>115</v>
      </c>
      <c r="P9">
        <f>SUM(DATA_DICIEMBRE_2024[[#This Row],[1]:[31]])</f>
        <v>26788</v>
      </c>
      <c r="Q9">
        <v>17000</v>
      </c>
      <c r="R9" t="s">
        <v>18</v>
      </c>
      <c r="T9">
        <v>2100</v>
      </c>
      <c r="U9">
        <v>200</v>
      </c>
      <c r="V9">
        <v>505</v>
      </c>
      <c r="W9">
        <v>1400</v>
      </c>
      <c r="X9">
        <v>3077</v>
      </c>
      <c r="AB9">
        <v>2000</v>
      </c>
      <c r="AC9">
        <v>900</v>
      </c>
      <c r="AD9">
        <v>350</v>
      </c>
      <c r="AE9">
        <v>50</v>
      </c>
      <c r="AH9">
        <v>2975</v>
      </c>
      <c r="AI9">
        <v>840</v>
      </c>
      <c r="AK9">
        <v>350</v>
      </c>
      <c r="AL9">
        <v>1315</v>
      </c>
      <c r="AM9">
        <v>300</v>
      </c>
      <c r="AP9">
        <v>6000</v>
      </c>
      <c r="AR9">
        <v>1256</v>
      </c>
      <c r="AS9">
        <v>250</v>
      </c>
      <c r="AT9">
        <v>300</v>
      </c>
      <c r="AV9">
        <v>1320</v>
      </c>
      <c r="AW9">
        <v>1300</v>
      </c>
      <c r="AZ9" s="11">
        <v>453000</v>
      </c>
      <c r="BA9" s="11">
        <f>MAX(DITE_DICIEMBRE_2024[[#This Row],[1]:[31]])</f>
        <v>554785.71</v>
      </c>
      <c r="BB9" s="17">
        <f>DITE_DICIEMBRE_2024[[#This Row],[RECUPERO SUPERVISOR]]/AZ9</f>
        <v>1.2246925165562914</v>
      </c>
      <c r="BC9" t="s">
        <v>5</v>
      </c>
      <c r="BD9" s="46">
        <v>1657.5</v>
      </c>
      <c r="BE9" s="46">
        <v>8257.5</v>
      </c>
      <c r="BF9" s="46">
        <v>31603.5</v>
      </c>
      <c r="BG9" s="46">
        <v>51063.5</v>
      </c>
      <c r="BH9" s="46">
        <v>58848.5</v>
      </c>
      <c r="BI9" s="46">
        <v>76072.5</v>
      </c>
      <c r="BJ9" s="46">
        <v>76572.5</v>
      </c>
      <c r="BK9" s="46">
        <v>77572.5</v>
      </c>
      <c r="BL9" s="46">
        <v>78117.5</v>
      </c>
      <c r="BM9" s="46">
        <v>109847.5</v>
      </c>
      <c r="BN9" s="46">
        <v>147499.5</v>
      </c>
      <c r="BO9" s="46">
        <v>158549.5</v>
      </c>
      <c r="BP9" s="46">
        <v>229064.5</v>
      </c>
      <c r="BQ9" s="46">
        <v>231164.5</v>
      </c>
      <c r="BR9" s="46">
        <v>231164.5</v>
      </c>
      <c r="BS9" s="46">
        <v>245949.5</v>
      </c>
      <c r="BT9" s="46">
        <v>275533.5</v>
      </c>
      <c r="BU9" s="46">
        <v>294136.5</v>
      </c>
      <c r="BV9" s="46">
        <v>334527.5</v>
      </c>
      <c r="BW9" s="46">
        <v>366508.5</v>
      </c>
      <c r="BX9" s="46">
        <v>367008.5</v>
      </c>
      <c r="BY9" s="46">
        <v>367008.5</v>
      </c>
      <c r="BZ9" s="46">
        <v>410483.5</v>
      </c>
      <c r="CA9" s="46">
        <v>431244.5</v>
      </c>
      <c r="CB9" s="46">
        <v>431244.5</v>
      </c>
      <c r="CC9" s="46">
        <v>451296.5</v>
      </c>
      <c r="CD9" s="46">
        <v>472516.5</v>
      </c>
      <c r="CE9" s="46">
        <v>486436.5</v>
      </c>
      <c r="CF9" s="46">
        <v>486436.5</v>
      </c>
      <c r="CG9" s="46">
        <v>506372.71</v>
      </c>
      <c r="CH9" s="46">
        <v>554785.71</v>
      </c>
      <c r="CI9" s="10"/>
      <c r="CK9" t="s">
        <v>5</v>
      </c>
      <c r="CN9" t="s">
        <v>5</v>
      </c>
      <c r="CO9" t="s">
        <v>5</v>
      </c>
    </row>
    <row r="10" spans="1:93" x14ac:dyDescent="0.25">
      <c r="A10" s="34" t="s">
        <v>5</v>
      </c>
      <c r="B10" s="34" t="str">
        <f>D1_DICIEMBRE_2024[[#This Row],[ASESOR]]</f>
        <v>ANTHONY TORRES</v>
      </c>
      <c r="C10" s="36">
        <f>VLOOKUP(D1_DICIEMBRE_2024[[#This Row],[SUPER]],DATA_DICIEMBRE_2024[[SUPERVISOR]:[META]],3,0)</f>
        <v>60000</v>
      </c>
      <c r="D10" s="35">
        <f>D1_DICIEMBRE_2024[[#This Row],[RECUPERO]]/D1_DICIEMBRE_2024[[#This Row],[META]]</f>
        <v>1.1364000000000001</v>
      </c>
      <c r="E10" s="35" t="str">
        <f>D1_DICIEMBRE_2024[[#This Row],[SUPER]]</f>
        <v>JORDAN</v>
      </c>
      <c r="F10" t="s">
        <v>69</v>
      </c>
      <c r="G10" s="3">
        <v>68184</v>
      </c>
      <c r="H10" t="s">
        <v>379</v>
      </c>
      <c r="I10" s="55">
        <v>44461</v>
      </c>
      <c r="J10" s="55" t="s">
        <v>501</v>
      </c>
      <c r="K10" s="55"/>
      <c r="L10" s="55"/>
      <c r="M10">
        <f>DATA_DICIEMBRE_2024[[#This Row],[RECUPERO]]/DATA_DICIEMBRE_2024[[#This Row],[META]]</f>
        <v>0.2862264150943396</v>
      </c>
      <c r="N10" s="5">
        <f>6-ROUNDUP(_xlfn.RANK.EQ(DATA_DICIEMBRE_2024[[#This Row],[AL_AC]],DATA_DICIEMBRE_2024[AL_AC],0)/(COUNTA(DATA_DICIEMBRE_2024[AL_AC])/5),0)</f>
        <v>1</v>
      </c>
      <c r="O10" t="s">
        <v>9</v>
      </c>
      <c r="P10">
        <f>SUM(DATA_DICIEMBRE_2024[[#This Row],[1]:[31]])</f>
        <v>7585</v>
      </c>
      <c r="Q10">
        <v>26500</v>
      </c>
      <c r="R10" t="s">
        <v>21</v>
      </c>
      <c r="V10">
        <v>100</v>
      </c>
      <c r="W10">
        <v>985</v>
      </c>
      <c r="X10">
        <v>400</v>
      </c>
      <c r="AB10">
        <v>200</v>
      </c>
      <c r="AC10">
        <v>3000</v>
      </c>
      <c r="AH10">
        <v>1300</v>
      </c>
      <c r="AJ10">
        <v>200</v>
      </c>
      <c r="AK10">
        <v>200</v>
      </c>
      <c r="AO10">
        <v>200</v>
      </c>
      <c r="AP10">
        <v>200</v>
      </c>
      <c r="AU10">
        <v>300</v>
      </c>
      <c r="AW10">
        <v>500</v>
      </c>
      <c r="AZ10" s="11">
        <v>194000</v>
      </c>
      <c r="BA10" s="11">
        <f>MAX(DITE_DICIEMBRE_2024[[#This Row],[1]:[31]])</f>
        <v>189148.61</v>
      </c>
      <c r="BB10" s="17">
        <f>DITE_DICIEMBRE_2024[[#This Row],[RECUPERO SUPERVISOR]]/AZ10</f>
        <v>0.97499283505154632</v>
      </c>
      <c r="BC10" t="s">
        <v>2</v>
      </c>
      <c r="BD10" s="46">
        <v>0</v>
      </c>
      <c r="BE10" s="46">
        <v>4055</v>
      </c>
      <c r="BF10" s="46">
        <v>9423</v>
      </c>
      <c r="BG10" s="46">
        <v>13630.15</v>
      </c>
      <c r="BH10" s="46">
        <v>18445.150000000001</v>
      </c>
      <c r="BI10" s="46">
        <v>34319.15</v>
      </c>
      <c r="BJ10" s="46">
        <v>35319.15</v>
      </c>
      <c r="BK10" s="46">
        <v>35319.15</v>
      </c>
      <c r="BL10" s="46">
        <v>35519.15</v>
      </c>
      <c r="BM10" s="46">
        <v>40353.15</v>
      </c>
      <c r="BN10" s="46">
        <v>40353.15</v>
      </c>
      <c r="BO10" s="46">
        <v>48153.15</v>
      </c>
      <c r="BP10" s="46">
        <v>52203.15</v>
      </c>
      <c r="BQ10" s="46">
        <v>54148.15</v>
      </c>
      <c r="BR10" s="46">
        <v>54548.15</v>
      </c>
      <c r="BS10" s="46">
        <v>62363.15</v>
      </c>
      <c r="BT10" s="46">
        <v>65004.25</v>
      </c>
      <c r="BU10" s="46">
        <v>69360.25</v>
      </c>
      <c r="BV10" s="46">
        <v>70505.25</v>
      </c>
      <c r="BW10" s="46">
        <v>79545.25</v>
      </c>
      <c r="BX10" s="46">
        <v>81245.25</v>
      </c>
      <c r="BY10" s="46">
        <v>81245.25</v>
      </c>
      <c r="BZ10" s="46">
        <v>110393.47</v>
      </c>
      <c r="CA10" s="46">
        <v>142495.60999999999</v>
      </c>
      <c r="CB10" s="46">
        <v>142495.60999999999</v>
      </c>
      <c r="CC10" s="46">
        <v>148000.60999999999</v>
      </c>
      <c r="CD10" s="46">
        <v>161231.60999999999</v>
      </c>
      <c r="CE10" s="46">
        <v>165070.60999999999</v>
      </c>
      <c r="CF10" s="46">
        <v>165570.60999999999</v>
      </c>
      <c r="CG10" s="46">
        <v>179272.61</v>
      </c>
      <c r="CH10" s="46">
        <v>189148.61</v>
      </c>
      <c r="CI10" s="11"/>
      <c r="CK10" t="s">
        <v>2</v>
      </c>
      <c r="CN10" t="s">
        <v>2</v>
      </c>
      <c r="CO10" t="s">
        <v>2</v>
      </c>
    </row>
    <row r="11" spans="1:93" x14ac:dyDescent="0.25">
      <c r="A11" s="34" t="s">
        <v>5</v>
      </c>
      <c r="B11" s="34" t="str">
        <f>D1_DICIEMBRE_2024[[#This Row],[ASESOR]]</f>
        <v>ANTHONY VICENTE</v>
      </c>
      <c r="C11" s="36">
        <f>VLOOKUP(D1_DICIEMBRE_2024[[#This Row],[SUPER]],DATA_DICIEMBRE_2024[[SUPERVISOR]:[META]],3,0)</f>
        <v>60000</v>
      </c>
      <c r="D11" s="35">
        <f>D1_DICIEMBRE_2024[[#This Row],[RECUPERO]]/D1_DICIEMBRE_2024[[#This Row],[META]]</f>
        <v>0.93742499999999995</v>
      </c>
      <c r="E11" s="35" t="str">
        <f>D1_DICIEMBRE_2024[[#This Row],[SUPER]]</f>
        <v>JORDAN</v>
      </c>
      <c r="F11" t="s">
        <v>85</v>
      </c>
      <c r="G11" s="3">
        <v>56245.5</v>
      </c>
      <c r="H11" t="s">
        <v>380</v>
      </c>
      <c r="I11" s="55">
        <v>44811</v>
      </c>
      <c r="J11" s="55" t="s">
        <v>501</v>
      </c>
      <c r="K11" s="55"/>
      <c r="L11" s="55"/>
      <c r="M11">
        <f>DATA_DICIEMBRE_2024[[#This Row],[RECUPERO]]/DATA_DICIEMBRE_2024[[#This Row],[META]]</f>
        <v>0.56975833333333337</v>
      </c>
      <c r="N11" s="5">
        <f>6-ROUNDUP(_xlfn.RANK.EQ(DATA_DICIEMBRE_2024[[#This Row],[AL_AC]],DATA_DICIEMBRE_2024[AL_AC],0)/(COUNTA(DATA_DICIEMBRE_2024[AL_AC])/5),0)</f>
        <v>2</v>
      </c>
      <c r="O11" t="s">
        <v>3</v>
      </c>
      <c r="P11">
        <f>SUM(DATA_DICIEMBRE_2024[[#This Row],[1]:[31]])</f>
        <v>34185.5</v>
      </c>
      <c r="Q11">
        <v>60000</v>
      </c>
      <c r="R11" t="s">
        <v>58</v>
      </c>
      <c r="U11">
        <v>2168</v>
      </c>
      <c r="V11">
        <v>6200</v>
      </c>
      <c r="Y11">
        <v>600</v>
      </c>
      <c r="AC11">
        <v>2457.5</v>
      </c>
      <c r="AD11">
        <v>600</v>
      </c>
      <c r="AF11">
        <v>1200</v>
      </c>
      <c r="AK11">
        <v>17292</v>
      </c>
      <c r="AO11">
        <v>600</v>
      </c>
      <c r="AS11">
        <v>600</v>
      </c>
      <c r="AT11">
        <v>300</v>
      </c>
      <c r="AV11">
        <v>600</v>
      </c>
      <c r="AW11">
        <v>1568</v>
      </c>
      <c r="AZ11" s="11">
        <v>224000</v>
      </c>
      <c r="BA11" s="11">
        <f>MAX(DITE_DICIEMBRE_2024[[#This Row],[1]:[31]])</f>
        <v>232579.6</v>
      </c>
      <c r="BB11" s="17">
        <f>DITE_DICIEMBRE_2024[[#This Row],[RECUPERO SUPERVISOR]]/AZ11</f>
        <v>1.0383017857142858</v>
      </c>
      <c r="BC11" t="s">
        <v>6</v>
      </c>
      <c r="BD11" s="46">
        <v>250</v>
      </c>
      <c r="BE11" s="46">
        <v>6000</v>
      </c>
      <c r="BF11" s="46">
        <v>9490</v>
      </c>
      <c r="BG11" s="46">
        <v>19140</v>
      </c>
      <c r="BH11" s="46">
        <v>26801</v>
      </c>
      <c r="BI11" s="46">
        <v>35062</v>
      </c>
      <c r="BJ11" s="46">
        <v>36133</v>
      </c>
      <c r="BK11" s="46">
        <v>36133</v>
      </c>
      <c r="BL11" s="46">
        <v>36133</v>
      </c>
      <c r="BM11" s="46">
        <v>46863</v>
      </c>
      <c r="BN11" s="46">
        <v>53103</v>
      </c>
      <c r="BO11" s="46">
        <v>72103</v>
      </c>
      <c r="BP11" s="46">
        <v>78253</v>
      </c>
      <c r="BQ11" s="46">
        <v>78253</v>
      </c>
      <c r="BR11" s="46">
        <v>78253</v>
      </c>
      <c r="BS11" s="46">
        <v>85783</v>
      </c>
      <c r="BT11" s="46">
        <v>91463</v>
      </c>
      <c r="BU11" s="46">
        <v>109063</v>
      </c>
      <c r="BV11" s="46">
        <v>152763</v>
      </c>
      <c r="BW11" s="46">
        <v>159203</v>
      </c>
      <c r="BX11" s="46">
        <v>161503</v>
      </c>
      <c r="BY11" s="46">
        <v>161803</v>
      </c>
      <c r="BZ11" s="46">
        <v>166453</v>
      </c>
      <c r="CA11" s="46">
        <v>173098</v>
      </c>
      <c r="CB11" s="46">
        <v>173751.5</v>
      </c>
      <c r="CC11" s="46">
        <v>186221.5</v>
      </c>
      <c r="CD11" s="46">
        <v>193623.6</v>
      </c>
      <c r="CE11" s="46">
        <v>198398.6</v>
      </c>
      <c r="CF11" s="46">
        <v>198398.6</v>
      </c>
      <c r="CG11" s="46">
        <v>209308.6</v>
      </c>
      <c r="CH11" s="46">
        <v>232579.6</v>
      </c>
      <c r="CI11" s="10"/>
      <c r="CK11" t="s">
        <v>6</v>
      </c>
      <c r="CN11" t="s">
        <v>6</v>
      </c>
      <c r="CO11" t="s">
        <v>6</v>
      </c>
    </row>
    <row r="12" spans="1:93" x14ac:dyDescent="0.25">
      <c r="A12" s="34" t="s">
        <v>5</v>
      </c>
      <c r="B12" s="34" t="str">
        <f>D1_DICIEMBRE_2024[[#This Row],[ASESOR]]</f>
        <v>AURORA FAUSTOR</v>
      </c>
      <c r="C12" s="36">
        <f>VLOOKUP(D1_DICIEMBRE_2024[[#This Row],[SUPER]],DATA_DICIEMBRE_2024[[SUPERVISOR]:[META]],3,0)</f>
        <v>60000</v>
      </c>
      <c r="D12" s="35">
        <f>D1_DICIEMBRE_2024[[#This Row],[RECUPERO]]/D1_DICIEMBRE_2024[[#This Row],[META]]</f>
        <v>1.2284999999999999</v>
      </c>
      <c r="E12" s="35" t="str">
        <f>D1_DICIEMBRE_2024[[#This Row],[SUPER]]</f>
        <v>JORDAN</v>
      </c>
      <c r="F12" t="s">
        <v>67</v>
      </c>
      <c r="G12" s="3">
        <v>73710</v>
      </c>
      <c r="H12" t="s">
        <v>381</v>
      </c>
      <c r="I12" s="55">
        <v>44811</v>
      </c>
      <c r="J12" s="55" t="s">
        <v>501</v>
      </c>
      <c r="K12" s="55"/>
      <c r="L12" s="55"/>
      <c r="M12">
        <f>DATA_DICIEMBRE_2024[[#This Row],[RECUPERO]]/DATA_DICIEMBRE_2024[[#This Row],[META]]</f>
        <v>0.28751833333333332</v>
      </c>
      <c r="N12" s="5">
        <f>6-ROUNDUP(_xlfn.RANK.EQ(DATA_DICIEMBRE_2024[[#This Row],[AL_AC]],DATA_DICIEMBRE_2024[AL_AC],0)/(COUNTA(DATA_DICIEMBRE_2024[AL_AC])/5),0)</f>
        <v>1</v>
      </c>
      <c r="O12" t="s">
        <v>4</v>
      </c>
      <c r="P12">
        <f>SUM(DATA_DICIEMBRE_2024[[#This Row],[1]:[31]])</f>
        <v>17251.099999999999</v>
      </c>
      <c r="Q12">
        <v>60000</v>
      </c>
      <c r="R12" t="s">
        <v>109</v>
      </c>
      <c r="S12">
        <v>496</v>
      </c>
      <c r="T12">
        <v>500</v>
      </c>
      <c r="U12">
        <v>3854</v>
      </c>
      <c r="V12">
        <v>700</v>
      </c>
      <c r="Y12">
        <v>321</v>
      </c>
      <c r="AF12">
        <v>1300</v>
      </c>
      <c r="AH12">
        <v>274</v>
      </c>
      <c r="AJ12">
        <v>600</v>
      </c>
      <c r="AM12">
        <v>1000</v>
      </c>
      <c r="AO12">
        <v>780</v>
      </c>
      <c r="AQ12">
        <v>945</v>
      </c>
      <c r="AR12">
        <v>2285</v>
      </c>
      <c r="AS12">
        <v>2200.1</v>
      </c>
      <c r="AV12">
        <v>496</v>
      </c>
      <c r="AW12">
        <v>1500</v>
      </c>
      <c r="AZ12" s="11">
        <v>228500</v>
      </c>
      <c r="BA12" s="11">
        <f>MAX(DITE_DICIEMBRE_2024[[#This Row],[1]:[31]])</f>
        <v>184617.55</v>
      </c>
      <c r="BB12" s="17">
        <f>DITE_DICIEMBRE_2024[[#This Row],[RECUPERO SUPERVISOR]]/AZ12</f>
        <v>0.80795426695842443</v>
      </c>
      <c r="BC12" t="s">
        <v>9</v>
      </c>
      <c r="BD12" s="46">
        <v>400</v>
      </c>
      <c r="BE12" s="46">
        <v>8150</v>
      </c>
      <c r="BF12" s="46">
        <v>10250</v>
      </c>
      <c r="BG12" s="46">
        <v>17078</v>
      </c>
      <c r="BH12" s="46">
        <v>25483</v>
      </c>
      <c r="BI12" s="46">
        <v>29273</v>
      </c>
      <c r="BJ12" s="46">
        <v>30123</v>
      </c>
      <c r="BK12" s="46">
        <v>30123</v>
      </c>
      <c r="BL12" s="46">
        <v>30123</v>
      </c>
      <c r="BM12" s="46">
        <v>33158.5</v>
      </c>
      <c r="BN12" s="46">
        <v>38228.5</v>
      </c>
      <c r="BO12" s="46">
        <v>43094.5</v>
      </c>
      <c r="BP12" s="46">
        <v>50549.599999999999</v>
      </c>
      <c r="BQ12" s="46">
        <v>53314.6</v>
      </c>
      <c r="BR12" s="46">
        <v>53514.6</v>
      </c>
      <c r="BS12" s="46">
        <v>65414.6</v>
      </c>
      <c r="BT12" s="46">
        <v>73474.8</v>
      </c>
      <c r="BU12" s="46">
        <v>78632.100000000006</v>
      </c>
      <c r="BV12" s="46">
        <v>89896.1</v>
      </c>
      <c r="BW12" s="46">
        <v>100190.25</v>
      </c>
      <c r="BX12" s="46">
        <v>100790.25</v>
      </c>
      <c r="BY12" s="46">
        <v>100990.25</v>
      </c>
      <c r="BZ12" s="46">
        <v>117638.55</v>
      </c>
      <c r="CA12" s="46">
        <v>119938.55</v>
      </c>
      <c r="CB12" s="46">
        <v>119938.55</v>
      </c>
      <c r="CC12" s="46">
        <v>131096.54999999999</v>
      </c>
      <c r="CD12" s="46">
        <v>141046.54999999999</v>
      </c>
      <c r="CE12" s="46">
        <v>148061.54999999999</v>
      </c>
      <c r="CF12" s="46">
        <v>148791.54999999999</v>
      </c>
      <c r="CG12" s="46">
        <v>170517.55</v>
      </c>
      <c r="CH12" s="46">
        <v>184617.55</v>
      </c>
      <c r="CI12" s="10"/>
      <c r="CK12" t="s">
        <v>9</v>
      </c>
      <c r="CN12" t="s">
        <v>9</v>
      </c>
      <c r="CO12" t="s">
        <v>9</v>
      </c>
    </row>
    <row r="13" spans="1:93" x14ac:dyDescent="0.25">
      <c r="A13" s="34" t="s">
        <v>115</v>
      </c>
      <c r="B13" s="34" t="str">
        <f>D1_DICIEMBRE_2024[[#This Row],[ASESOR]]</f>
        <v>BRINA SOTO</v>
      </c>
      <c r="C13" s="36">
        <f>VLOOKUP(D1_DICIEMBRE_2024[[#This Row],[SUPER]],DATA_DICIEMBRE_2024[[SUPERVISOR]:[META]],3,0)</f>
        <v>17000</v>
      </c>
      <c r="D13" s="35">
        <f>D1_DICIEMBRE_2024[[#This Row],[RECUPERO]]/D1_DICIEMBRE_2024[[#This Row],[META]]</f>
        <v>0.72552941176470587</v>
      </c>
      <c r="E13" s="35" t="str">
        <f>D1_DICIEMBRE_2024[[#This Row],[SUPER]]</f>
        <v>MELITA</v>
      </c>
      <c r="F13" t="s">
        <v>14</v>
      </c>
      <c r="G13" s="3">
        <v>12334</v>
      </c>
      <c r="H13" t="s">
        <v>432</v>
      </c>
      <c r="I13" s="55">
        <v>45133</v>
      </c>
      <c r="J13" s="55" t="s">
        <v>501</v>
      </c>
      <c r="K13" s="55"/>
      <c r="L13" s="55"/>
      <c r="M13">
        <f>DATA_DICIEMBRE_2024[[#This Row],[RECUPERO]]/DATA_DICIEMBRE_2024[[#This Row],[META]]</f>
        <v>1.0976166666666667</v>
      </c>
      <c r="N13" s="5">
        <f>6-ROUNDUP(_xlfn.RANK.EQ(DATA_DICIEMBRE_2024[[#This Row],[AL_AC]],DATA_DICIEMBRE_2024[AL_AC],0)/(COUNTA(DATA_DICIEMBRE_2024[AL_AC])/5),0)</f>
        <v>4</v>
      </c>
      <c r="O13" t="s">
        <v>4</v>
      </c>
      <c r="P13">
        <f>SUM(DATA_DICIEMBRE_2024[[#This Row],[1]:[31]])</f>
        <v>65857</v>
      </c>
      <c r="Q13">
        <v>60000</v>
      </c>
      <c r="R13" t="s">
        <v>60</v>
      </c>
      <c r="S13" s="45"/>
      <c r="T13">
        <v>370</v>
      </c>
      <c r="V13">
        <v>4500</v>
      </c>
      <c r="W13">
        <v>5000</v>
      </c>
      <c r="X13">
        <v>600</v>
      </c>
      <c r="AB13">
        <v>4523</v>
      </c>
      <c r="AD13">
        <v>8300</v>
      </c>
      <c r="AE13">
        <v>6000</v>
      </c>
      <c r="AF13">
        <v>1832</v>
      </c>
      <c r="AH13">
        <v>500</v>
      </c>
      <c r="AJ13">
        <v>2000</v>
      </c>
      <c r="AK13">
        <v>1300</v>
      </c>
      <c r="AR13">
        <v>15737</v>
      </c>
      <c r="AT13">
        <v>6356</v>
      </c>
      <c r="AV13">
        <v>7500</v>
      </c>
      <c r="AW13">
        <v>1339</v>
      </c>
      <c r="AZ13" s="11">
        <v>453000</v>
      </c>
      <c r="BA13" s="11">
        <f>MAX(DITE_DICIEMBRE_2024[[#This Row],[1]:[31]])</f>
        <v>489467.68</v>
      </c>
      <c r="BB13" s="17">
        <f>DITE_DICIEMBRE_2024[[#This Row],[RECUPERO SUPERVISOR]]/AZ13</f>
        <v>1.0805026048565121</v>
      </c>
      <c r="BC13" t="s">
        <v>4</v>
      </c>
      <c r="BD13" s="46">
        <v>2435</v>
      </c>
      <c r="BE13" s="46">
        <v>8895</v>
      </c>
      <c r="BF13" s="46">
        <v>27529</v>
      </c>
      <c r="BG13" s="46">
        <v>37578</v>
      </c>
      <c r="BH13" s="46">
        <v>71184</v>
      </c>
      <c r="BI13" s="46">
        <v>107784</v>
      </c>
      <c r="BJ13" s="46">
        <v>108105</v>
      </c>
      <c r="BK13" s="46">
        <v>108105</v>
      </c>
      <c r="BL13" s="46">
        <v>109260</v>
      </c>
      <c r="BM13" s="46">
        <v>130882.75</v>
      </c>
      <c r="BN13" s="46">
        <v>145382.75</v>
      </c>
      <c r="BO13" s="46">
        <v>177587.75</v>
      </c>
      <c r="BP13" s="46">
        <v>217287.75</v>
      </c>
      <c r="BQ13" s="46">
        <v>220419.75</v>
      </c>
      <c r="BR13" s="46">
        <v>220419.75</v>
      </c>
      <c r="BS13" s="46">
        <v>223410.75</v>
      </c>
      <c r="BT13" s="46">
        <v>244698.75</v>
      </c>
      <c r="BU13" s="46">
        <v>255265.37</v>
      </c>
      <c r="BV13" s="46">
        <v>272133.19</v>
      </c>
      <c r="BW13" s="46">
        <v>301848.19</v>
      </c>
      <c r="BX13" s="46">
        <v>303104.19</v>
      </c>
      <c r="BY13" s="46">
        <v>303104.19</v>
      </c>
      <c r="BZ13" s="46">
        <v>325584.19</v>
      </c>
      <c r="CA13" s="46">
        <v>327084.19</v>
      </c>
      <c r="CB13" s="46">
        <v>328029.19</v>
      </c>
      <c r="CC13" s="46">
        <v>361391.19</v>
      </c>
      <c r="CD13" s="46">
        <v>386696.29</v>
      </c>
      <c r="CE13" s="46">
        <v>411150.99</v>
      </c>
      <c r="CF13" s="46">
        <v>411855.99</v>
      </c>
      <c r="CG13" s="46">
        <v>464516.68</v>
      </c>
      <c r="CH13" s="46">
        <v>489467.68</v>
      </c>
      <c r="CI13" s="11"/>
      <c r="CK13" t="s">
        <v>4</v>
      </c>
      <c r="CN13" t="s">
        <v>4</v>
      </c>
      <c r="CO13" t="s">
        <v>4</v>
      </c>
    </row>
    <row r="14" spans="1:93" x14ac:dyDescent="0.25">
      <c r="A14" s="34" t="s">
        <v>6</v>
      </c>
      <c r="B14" s="34" t="str">
        <f>D1_DICIEMBRE_2024[[#This Row],[ASESOR]]</f>
        <v>BRYAN VELASQUEZ</v>
      </c>
      <c r="C14" s="36">
        <f>VLOOKUP(D1_DICIEMBRE_2024[[#This Row],[SUPER]],DATA_DICIEMBRE_2024[[SUPERVISOR]:[META]],3,0)</f>
        <v>20500</v>
      </c>
      <c r="D14" s="35">
        <f>D1_DICIEMBRE_2024[[#This Row],[RECUPERO]]/D1_DICIEMBRE_2024[[#This Row],[META]]</f>
        <v>1.7095121951219512</v>
      </c>
      <c r="E14" s="35" t="str">
        <f>D1_DICIEMBRE_2024[[#This Row],[SUPER]]</f>
        <v>KENNETH</v>
      </c>
      <c r="F14" t="s">
        <v>118</v>
      </c>
      <c r="G14" s="3">
        <v>35045</v>
      </c>
      <c r="H14" t="s">
        <v>398</v>
      </c>
      <c r="I14" s="55">
        <v>44357</v>
      </c>
      <c r="J14" s="55" t="s">
        <v>501</v>
      </c>
      <c r="K14" s="55"/>
      <c r="L14" s="55"/>
      <c r="M14">
        <f>DATA_DICIEMBRE_2024[[#This Row],[RECUPERO]]/DATA_DICIEMBRE_2024[[#This Row],[META]]</f>
        <v>0.52317735849056601</v>
      </c>
      <c r="N14" s="5">
        <f>6-ROUNDUP(_xlfn.RANK.EQ(DATA_DICIEMBRE_2024[[#This Row],[AL_AC]],DATA_DICIEMBRE_2024[AL_AC],0)/(COUNTA(DATA_DICIEMBRE_2024[AL_AC])/5),0)</f>
        <v>2</v>
      </c>
      <c r="O14" t="s">
        <v>9</v>
      </c>
      <c r="P14">
        <f>SUM(DATA_DICIEMBRE_2024[[#This Row],[1]:[31]])</f>
        <v>13864.2</v>
      </c>
      <c r="Q14">
        <v>26500</v>
      </c>
      <c r="R14" t="s">
        <v>15</v>
      </c>
      <c r="T14">
        <v>200</v>
      </c>
      <c r="V14">
        <v>200</v>
      </c>
      <c r="W14">
        <v>2200</v>
      </c>
      <c r="X14">
        <v>1200</v>
      </c>
      <c r="AB14">
        <v>1130</v>
      </c>
      <c r="AE14">
        <v>550</v>
      </c>
      <c r="AI14">
        <v>4700.2</v>
      </c>
      <c r="AL14">
        <v>1000</v>
      </c>
      <c r="AO14">
        <v>374</v>
      </c>
      <c r="AS14">
        <v>1000</v>
      </c>
      <c r="AV14">
        <v>1310</v>
      </c>
      <c r="AZ14" s="11">
        <v>111800</v>
      </c>
      <c r="BA14" s="11">
        <f>MAX(DITE_DICIEMBRE_2024[[#This Row],[1]:[31]])</f>
        <v>138925.26</v>
      </c>
      <c r="BB14" s="17">
        <f>DITE_DICIEMBRE_2024[[#This Row],[RECUPERO SUPERVISOR]]/AZ14</f>
        <v>1.2426230769230771</v>
      </c>
      <c r="BC14" t="s">
        <v>115</v>
      </c>
      <c r="BD14" s="46">
        <v>0</v>
      </c>
      <c r="BE14" s="46">
        <v>6280</v>
      </c>
      <c r="BF14" s="46">
        <v>11380</v>
      </c>
      <c r="BG14" s="46">
        <v>14598</v>
      </c>
      <c r="BH14" s="46">
        <v>19628</v>
      </c>
      <c r="BI14" s="46">
        <v>28852</v>
      </c>
      <c r="BJ14" s="46">
        <v>28852</v>
      </c>
      <c r="BK14" s="46">
        <v>28852</v>
      </c>
      <c r="BL14" s="46">
        <v>28852</v>
      </c>
      <c r="BM14" s="46">
        <v>32622</v>
      </c>
      <c r="BN14" s="46">
        <v>35667</v>
      </c>
      <c r="BO14" s="46">
        <v>40513</v>
      </c>
      <c r="BP14" s="46">
        <v>46801</v>
      </c>
      <c r="BQ14" s="46">
        <v>47451</v>
      </c>
      <c r="BR14" s="46">
        <v>47451</v>
      </c>
      <c r="BS14" s="46">
        <v>54421</v>
      </c>
      <c r="BT14" s="46">
        <v>63390</v>
      </c>
      <c r="BU14" s="46">
        <v>69755</v>
      </c>
      <c r="BV14" s="46">
        <v>72159</v>
      </c>
      <c r="BW14" s="46">
        <v>79690</v>
      </c>
      <c r="BX14" s="46">
        <v>81990</v>
      </c>
      <c r="BY14" s="46">
        <v>81990</v>
      </c>
      <c r="BZ14" s="46">
        <v>100916.26</v>
      </c>
      <c r="CA14" s="46">
        <v>107956.26</v>
      </c>
      <c r="CB14" s="46">
        <v>107956.26</v>
      </c>
      <c r="CC14" s="46">
        <v>114237.26</v>
      </c>
      <c r="CD14" s="46">
        <v>121682.26</v>
      </c>
      <c r="CE14" s="46">
        <v>125837.26</v>
      </c>
      <c r="CF14" s="46">
        <v>126250.26</v>
      </c>
      <c r="CG14" s="46">
        <v>132971.26</v>
      </c>
      <c r="CH14" s="46">
        <v>138925.26</v>
      </c>
      <c r="CI14" s="10"/>
      <c r="CK14" t="s">
        <v>115</v>
      </c>
      <c r="CN14" t="s">
        <v>115</v>
      </c>
      <c r="CO14" t="s">
        <v>115</v>
      </c>
    </row>
    <row r="15" spans="1:93" x14ac:dyDescent="0.25">
      <c r="A15" s="34" t="s">
        <v>6</v>
      </c>
      <c r="B15" s="34" t="str">
        <f>D1_DICIEMBRE_2024[[#This Row],[ASESOR]]</f>
        <v>CARMEN PUMA</v>
      </c>
      <c r="C15" s="36">
        <f>VLOOKUP(D1_DICIEMBRE_2024[[#This Row],[SUPER]],DATA_DICIEMBRE_2024[[SUPERVISOR]:[META]],3,0)</f>
        <v>20500</v>
      </c>
      <c r="D15" s="35">
        <f>D1_DICIEMBRE_2024[[#This Row],[RECUPERO]]/D1_DICIEMBRE_2024[[#This Row],[META]]</f>
        <v>0.42409756097560974</v>
      </c>
      <c r="E15" s="35" t="str">
        <f>D1_DICIEMBRE_2024[[#This Row],[SUPER]]</f>
        <v>KENNETH</v>
      </c>
      <c r="F15" t="s">
        <v>19</v>
      </c>
      <c r="G15" s="3">
        <v>8694</v>
      </c>
      <c r="H15" t="s">
        <v>399</v>
      </c>
      <c r="I15" s="55">
        <v>44673</v>
      </c>
      <c r="J15" s="55" t="s">
        <v>501</v>
      </c>
      <c r="K15" s="55"/>
      <c r="L15" s="55"/>
      <c r="M15">
        <f>DATA_DICIEMBRE_2024[[#This Row],[RECUPERO]]/DATA_DICIEMBRE_2024[[#This Row],[META]]</f>
        <v>0.27293333333333331</v>
      </c>
      <c r="N15" s="5">
        <f>6-ROUNDUP(_xlfn.RANK.EQ(DATA_DICIEMBRE_2024[[#This Row],[AL_AC]],DATA_DICIEMBRE_2024[AL_AC],0)/(COUNTA(DATA_DICIEMBRE_2024[AL_AC])/5),0)</f>
        <v>1</v>
      </c>
      <c r="O15" t="s">
        <v>2</v>
      </c>
      <c r="P15">
        <f>SUM(DATA_DICIEMBRE_2024[[#This Row],[1]:[31]])</f>
        <v>6141</v>
      </c>
      <c r="Q15">
        <v>22500</v>
      </c>
      <c r="R15" t="s">
        <v>92</v>
      </c>
      <c r="X15">
        <v>3000</v>
      </c>
      <c r="AD15">
        <v>800</v>
      </c>
      <c r="AH15">
        <v>1500</v>
      </c>
      <c r="AI15">
        <v>241</v>
      </c>
      <c r="AL15">
        <v>600</v>
      </c>
      <c r="AZ15" s="11">
        <v>453000</v>
      </c>
      <c r="BA15" s="11">
        <f>MAX(DITE_DICIEMBRE_2024[[#This Row],[1]:[31]])</f>
        <v>473646.30000000005</v>
      </c>
      <c r="BB15" s="17">
        <f>DITE_DICIEMBRE_2024[[#This Row],[RECUPERO SUPERVISOR]]/AZ15</f>
        <v>1.0455768211920531</v>
      </c>
      <c r="BC15" t="s">
        <v>3</v>
      </c>
      <c r="BD15" s="46">
        <v>1961</v>
      </c>
      <c r="BE15" s="46">
        <v>9739</v>
      </c>
      <c r="BF15" s="45">
        <v>22859</v>
      </c>
      <c r="BG15" s="45">
        <v>53265</v>
      </c>
      <c r="BH15" s="45">
        <v>76279</v>
      </c>
      <c r="BI15" s="45">
        <v>105506</v>
      </c>
      <c r="BJ15" s="45">
        <v>108191</v>
      </c>
      <c r="BK15" s="45">
        <v>108539</v>
      </c>
      <c r="BL15" s="45">
        <v>109639</v>
      </c>
      <c r="BM15" s="45">
        <v>118444</v>
      </c>
      <c r="BN15" s="45">
        <v>138550.20000000001</v>
      </c>
      <c r="BO15" s="45">
        <v>151374.20000000001</v>
      </c>
      <c r="BP15" s="45">
        <v>196174.2</v>
      </c>
      <c r="BQ15" s="45">
        <v>199812.2</v>
      </c>
      <c r="BR15" s="45">
        <v>199812.2</v>
      </c>
      <c r="BS15" s="45">
        <v>212855.80000000002</v>
      </c>
      <c r="BT15" s="45">
        <v>219802.80000000002</v>
      </c>
      <c r="BU15" s="45">
        <v>240285.80000000002</v>
      </c>
      <c r="BV15" s="45">
        <v>276214.80000000005</v>
      </c>
      <c r="BW15" s="45">
        <v>286201.30000000005</v>
      </c>
      <c r="BX15" s="45">
        <v>287701.30000000005</v>
      </c>
      <c r="BY15" s="45">
        <v>287701.30000000005</v>
      </c>
      <c r="BZ15" s="45">
        <v>312811.30000000005</v>
      </c>
      <c r="CA15" s="45">
        <v>317306.30000000005</v>
      </c>
      <c r="CB15" s="45">
        <v>318001.30000000005</v>
      </c>
      <c r="CC15" s="45">
        <v>329257.30000000005</v>
      </c>
      <c r="CD15" s="45">
        <v>352380.30000000005</v>
      </c>
      <c r="CE15" s="45">
        <v>374210.30000000005</v>
      </c>
      <c r="CF15" s="45">
        <v>375410.30000000005</v>
      </c>
      <c r="CG15" s="45">
        <v>404448.30000000005</v>
      </c>
      <c r="CH15" s="45">
        <v>473646.30000000005</v>
      </c>
      <c r="CI15" s="10"/>
      <c r="CK15" t="s">
        <v>3</v>
      </c>
      <c r="CN15" t="s">
        <v>3</v>
      </c>
      <c r="CO15" t="s">
        <v>3</v>
      </c>
    </row>
    <row r="16" spans="1:93" x14ac:dyDescent="0.25">
      <c r="A16" s="34" t="s">
        <v>2</v>
      </c>
      <c r="B16" s="34" t="str">
        <f>D1_DICIEMBRE_2024[[#This Row],[ASESOR]]</f>
        <v>CHRISTIAN ALVARADO</v>
      </c>
      <c r="C16" s="36">
        <f>VLOOKUP(D1_DICIEMBRE_2024[[#This Row],[SUPER]],DATA_DICIEMBRE_2024[[SUPERVISOR]:[META]],3,0)</f>
        <v>22500</v>
      </c>
      <c r="D16" s="35">
        <f>D1_DICIEMBRE_2024[[#This Row],[RECUPERO]]/D1_DICIEMBRE_2024[[#This Row],[META]]</f>
        <v>0.31662222222222225</v>
      </c>
      <c r="E16" s="35" t="str">
        <f>D1_DICIEMBRE_2024[[#This Row],[SUPER]]</f>
        <v>JORGE</v>
      </c>
      <c r="F16" t="s">
        <v>41</v>
      </c>
      <c r="G16" s="3">
        <v>7124</v>
      </c>
      <c r="H16" t="s">
        <v>387</v>
      </c>
      <c r="I16" s="55">
        <v>45304</v>
      </c>
      <c r="J16" s="55" t="s">
        <v>501</v>
      </c>
      <c r="K16" s="55"/>
      <c r="L16" s="55"/>
      <c r="M16">
        <f>DATA_DICIEMBRE_2024[[#This Row],[RECUPERO]]/DATA_DICIEMBRE_2024[[#This Row],[META]]</f>
        <v>1.1364000000000001</v>
      </c>
      <c r="N16" s="5">
        <f>6-ROUNDUP(_xlfn.RANK.EQ(DATA_DICIEMBRE_2024[[#This Row],[AL_AC]],DATA_DICIEMBRE_2024[AL_AC],0)/(COUNTA(DATA_DICIEMBRE_2024[AL_AC])/5),0)</f>
        <v>5</v>
      </c>
      <c r="O16" t="s">
        <v>5</v>
      </c>
      <c r="P16">
        <f>SUM(DATA_DICIEMBRE_2024[[#This Row],[1]:[31]])</f>
        <v>68184</v>
      </c>
      <c r="Q16">
        <v>60000</v>
      </c>
      <c r="R16" t="s">
        <v>69</v>
      </c>
      <c r="T16">
        <v>2350</v>
      </c>
      <c r="U16">
        <v>450</v>
      </c>
      <c r="V16">
        <v>10210</v>
      </c>
      <c r="X16">
        <v>3200</v>
      </c>
      <c r="Y16">
        <v>500</v>
      </c>
      <c r="AA16">
        <v>245</v>
      </c>
      <c r="AC16">
        <v>13000</v>
      </c>
      <c r="AD16">
        <v>1400</v>
      </c>
      <c r="AE16">
        <v>15000</v>
      </c>
      <c r="AF16">
        <v>600</v>
      </c>
      <c r="AH16">
        <v>475</v>
      </c>
      <c r="AI16">
        <v>3705</v>
      </c>
      <c r="AK16">
        <v>5770</v>
      </c>
      <c r="AL16">
        <v>299</v>
      </c>
      <c r="AO16">
        <v>500</v>
      </c>
      <c r="AR16">
        <v>6300</v>
      </c>
      <c r="AS16">
        <v>220</v>
      </c>
      <c r="AT16">
        <v>1090</v>
      </c>
      <c r="AV16">
        <v>1320</v>
      </c>
      <c r="AW16">
        <v>1550</v>
      </c>
      <c r="CG16" s="45"/>
    </row>
    <row r="17" spans="1:86" x14ac:dyDescent="0.25">
      <c r="A17" s="34" t="s">
        <v>9</v>
      </c>
      <c r="B17" s="34" t="str">
        <f>D1_DICIEMBRE_2024[[#This Row],[ASESOR]]</f>
        <v>CRISTINA TICONA</v>
      </c>
      <c r="C17" s="36">
        <f>VLOOKUP(D1_DICIEMBRE_2024[[#This Row],[SUPER]],DATA_DICIEMBRE_2024[[SUPERVISOR]:[META]],3,0)</f>
        <v>26500</v>
      </c>
      <c r="D17" s="35">
        <f>D1_DICIEMBRE_2024[[#This Row],[RECUPERO]]/D1_DICIEMBRE_2024[[#This Row],[META]]</f>
        <v>0.60910566037735847</v>
      </c>
      <c r="E17" s="35" t="str">
        <f>D1_DICIEMBRE_2024[[#This Row],[SUPER]]</f>
        <v>LUIS</v>
      </c>
      <c r="F17" t="s">
        <v>61</v>
      </c>
      <c r="G17" s="3">
        <v>16141.3</v>
      </c>
      <c r="H17" t="s">
        <v>411</v>
      </c>
      <c r="I17" s="55">
        <v>44909</v>
      </c>
      <c r="J17" s="55" t="s">
        <v>501</v>
      </c>
      <c r="K17" s="55"/>
      <c r="L17" s="55"/>
      <c r="M17">
        <f>DATA_DICIEMBRE_2024[[#This Row],[RECUPERO]]/DATA_DICIEMBRE_2024[[#This Row],[META]]</f>
        <v>0.93742499999999995</v>
      </c>
      <c r="N17" s="5">
        <f>6-ROUNDUP(_xlfn.RANK.EQ(DATA_DICIEMBRE_2024[[#This Row],[AL_AC]],DATA_DICIEMBRE_2024[AL_AC],0)/(COUNTA(DATA_DICIEMBRE_2024[AL_AC])/5),0)</f>
        <v>4</v>
      </c>
      <c r="O17" t="s">
        <v>5</v>
      </c>
      <c r="P17">
        <f>SUM(DATA_DICIEMBRE_2024[[#This Row],[1]:[31]])</f>
        <v>56245.5</v>
      </c>
      <c r="Q17">
        <v>60000</v>
      </c>
      <c r="R17" t="s">
        <v>85</v>
      </c>
      <c r="S17">
        <v>422.5</v>
      </c>
      <c r="T17">
        <v>820</v>
      </c>
      <c r="U17">
        <v>1900</v>
      </c>
      <c r="W17">
        <v>1000</v>
      </c>
      <c r="X17">
        <v>1474</v>
      </c>
      <c r="AB17">
        <v>1000</v>
      </c>
      <c r="AD17">
        <v>2500</v>
      </c>
      <c r="AE17">
        <v>6200</v>
      </c>
      <c r="AH17">
        <v>1480</v>
      </c>
      <c r="AI17">
        <v>2279</v>
      </c>
      <c r="AK17">
        <v>6974</v>
      </c>
      <c r="AL17">
        <v>2586</v>
      </c>
      <c r="AO17">
        <v>3250</v>
      </c>
      <c r="AR17">
        <v>1762</v>
      </c>
      <c r="AS17">
        <v>600</v>
      </c>
      <c r="AT17">
        <v>3180</v>
      </c>
      <c r="AV17">
        <v>2189</v>
      </c>
      <c r="AW17">
        <v>16629</v>
      </c>
      <c r="CA17" s="45"/>
      <c r="CF17" s="45"/>
      <c r="CG17" s="45"/>
      <c r="CH17" s="45"/>
    </row>
    <row r="18" spans="1:86" x14ac:dyDescent="0.25">
      <c r="A18" s="34" t="s">
        <v>115</v>
      </c>
      <c r="B18" s="34" t="str">
        <f>D1_DICIEMBRE_2024[[#This Row],[ASESOR]]</f>
        <v>DANIEL ZAPATA</v>
      </c>
      <c r="C18" s="36">
        <f>VLOOKUP(D1_DICIEMBRE_2024[[#This Row],[SUPER]],DATA_DICIEMBRE_2024[[SUPERVISOR]:[META]],3,0)</f>
        <v>17000</v>
      </c>
      <c r="D18" s="35">
        <f>D1_DICIEMBRE_2024[[#This Row],[RECUPERO]]/D1_DICIEMBRE_2024[[#This Row],[META]]</f>
        <v>0.71788235294117642</v>
      </c>
      <c r="E18" s="35" t="str">
        <f>D1_DICIEMBRE_2024[[#This Row],[SUPER]]</f>
        <v>MELITA</v>
      </c>
      <c r="F18" t="s">
        <v>80</v>
      </c>
      <c r="G18" s="3">
        <v>12204</v>
      </c>
      <c r="H18" t="s">
        <v>433</v>
      </c>
      <c r="I18" s="55">
        <v>45285</v>
      </c>
      <c r="J18" s="55" t="s">
        <v>501</v>
      </c>
      <c r="K18" s="55"/>
      <c r="L18" s="55"/>
      <c r="M18">
        <f>DATA_DICIEMBRE_2024[[#This Row],[RECUPERO]]/DATA_DICIEMBRE_2024[[#This Row],[META]]</f>
        <v>1.2284999999999999</v>
      </c>
      <c r="N18" s="5">
        <f>6-ROUNDUP(_xlfn.RANK.EQ(DATA_DICIEMBRE_2024[[#This Row],[AL_AC]],DATA_DICIEMBRE_2024[AL_AC],0)/(COUNTA(DATA_DICIEMBRE_2024[AL_AC])/5),0)</f>
        <v>5</v>
      </c>
      <c r="O18" t="s">
        <v>5</v>
      </c>
      <c r="P18">
        <f>SUM(DATA_DICIEMBRE_2024[[#This Row],[1]:[31]])</f>
        <v>73710</v>
      </c>
      <c r="Q18">
        <v>60000</v>
      </c>
      <c r="R18" t="s">
        <v>67</v>
      </c>
      <c r="U18">
        <v>3000</v>
      </c>
      <c r="W18">
        <v>505</v>
      </c>
      <c r="AA18">
        <v>300</v>
      </c>
      <c r="AB18">
        <v>15000</v>
      </c>
      <c r="AC18">
        <v>8800</v>
      </c>
      <c r="AD18">
        <v>5100</v>
      </c>
      <c r="AH18">
        <v>1000</v>
      </c>
      <c r="AI18">
        <v>12000</v>
      </c>
      <c r="AJ18">
        <v>715</v>
      </c>
      <c r="AK18">
        <v>1170</v>
      </c>
      <c r="AL18">
        <v>12000</v>
      </c>
      <c r="AO18">
        <v>9320</v>
      </c>
      <c r="AS18">
        <v>1500</v>
      </c>
      <c r="AW18">
        <v>3300</v>
      </c>
      <c r="CA18" s="45"/>
      <c r="CB18" s="45"/>
      <c r="CF18" s="45"/>
      <c r="CG18" s="47"/>
      <c r="CH18" s="45"/>
    </row>
    <row r="19" spans="1:86" x14ac:dyDescent="0.25">
      <c r="A19" s="34" t="s">
        <v>4</v>
      </c>
      <c r="B19" s="34" t="str">
        <f>D1_DICIEMBRE_2024[[#This Row],[ASESOR]]</f>
        <v>DARYL FERREL</v>
      </c>
      <c r="C19" s="36">
        <f>VLOOKUP(D1_DICIEMBRE_2024[[#This Row],[SUPER]],DATA_DICIEMBRE_2024[[SUPERVISOR]:[META]],3,0)</f>
        <v>60000</v>
      </c>
      <c r="D19" s="35">
        <f>D1_DICIEMBRE_2024[[#This Row],[RECUPERO]]/D1_DICIEMBRE_2024[[#This Row],[META]]</f>
        <v>0.6428625</v>
      </c>
      <c r="E19" s="35" t="str">
        <f>D1_DICIEMBRE_2024[[#This Row],[SUPER]]</f>
        <v>MELINA</v>
      </c>
      <c r="F19" t="s">
        <v>40</v>
      </c>
      <c r="G19" s="3">
        <v>38571.75</v>
      </c>
      <c r="H19" t="s">
        <v>424</v>
      </c>
      <c r="I19" s="55">
        <v>45429</v>
      </c>
      <c r="J19" s="55" t="s">
        <v>501</v>
      </c>
      <c r="K19" s="55"/>
      <c r="L19" s="55"/>
      <c r="M19">
        <f>DATA_DICIEMBRE_2024[[#This Row],[RECUPERO]]/DATA_DICIEMBRE_2024[[#This Row],[META]]</f>
        <v>0.72552941176470587</v>
      </c>
      <c r="N19" s="5">
        <f>6-ROUNDUP(_xlfn.RANK.EQ(DATA_DICIEMBRE_2024[[#This Row],[AL_AC]],DATA_DICIEMBRE_2024[AL_AC],0)/(COUNTA(DATA_DICIEMBRE_2024[AL_AC])/5),0)</f>
        <v>4</v>
      </c>
      <c r="O19" t="s">
        <v>115</v>
      </c>
      <c r="P19">
        <f>SUM(DATA_DICIEMBRE_2024[[#This Row],[1]:[31]])</f>
        <v>12334</v>
      </c>
      <c r="Q19">
        <v>17000</v>
      </c>
      <c r="R19" t="s">
        <v>14</v>
      </c>
      <c r="T19">
        <v>1420</v>
      </c>
      <c r="U19" s="45">
        <v>150</v>
      </c>
      <c r="V19">
        <v>550</v>
      </c>
      <c r="W19">
        <v>530</v>
      </c>
      <c r="X19">
        <v>232</v>
      </c>
      <c r="AB19">
        <v>400</v>
      </c>
      <c r="AD19">
        <v>700</v>
      </c>
      <c r="AE19">
        <v>238</v>
      </c>
      <c r="AH19">
        <v>400</v>
      </c>
      <c r="AI19">
        <v>729</v>
      </c>
      <c r="AJ19">
        <v>200</v>
      </c>
      <c r="AL19">
        <v>1472</v>
      </c>
      <c r="AO19">
        <v>2490</v>
      </c>
      <c r="AR19">
        <v>1050</v>
      </c>
      <c r="AS19">
        <v>300</v>
      </c>
      <c r="AV19">
        <v>1060</v>
      </c>
      <c r="AW19">
        <v>413</v>
      </c>
      <c r="CA19" s="45"/>
      <c r="CB19" s="45"/>
      <c r="CF19" s="47"/>
      <c r="CG19" s="47"/>
      <c r="CH19" s="47"/>
    </row>
    <row r="20" spans="1:86" x14ac:dyDescent="0.25">
      <c r="A20" s="34" t="s">
        <v>4</v>
      </c>
      <c r="B20" s="34" t="str">
        <f>D1_DICIEMBRE_2024[[#This Row],[ASESOR]]</f>
        <v>DAVID SANCHEZ</v>
      </c>
      <c r="C20" s="36">
        <f>VLOOKUP(D1_DICIEMBRE_2024[[#This Row],[SUPER]],DATA_DICIEMBRE_2024[[SUPERVISOR]:[META]],3,0)</f>
        <v>60000</v>
      </c>
      <c r="D20" s="35">
        <f>D1_DICIEMBRE_2024[[#This Row],[RECUPERO]]/D1_DICIEMBRE_2024[[#This Row],[META]]</f>
        <v>0.60911666666666664</v>
      </c>
      <c r="E20" s="35" t="str">
        <f>D1_DICIEMBRE_2024[[#This Row],[SUPER]]</f>
        <v>MELINA</v>
      </c>
      <c r="F20" t="s">
        <v>81</v>
      </c>
      <c r="G20" s="3">
        <v>36547</v>
      </c>
      <c r="H20" t="s">
        <v>425</v>
      </c>
      <c r="I20" s="55">
        <v>45506</v>
      </c>
      <c r="J20" s="55" t="s">
        <v>501</v>
      </c>
      <c r="K20" s="55"/>
      <c r="L20" s="55"/>
      <c r="M20">
        <f>DATA_DICIEMBRE_2024[[#This Row],[RECUPERO]]/DATA_DICIEMBRE_2024[[#This Row],[META]]</f>
        <v>1.7095121951219512</v>
      </c>
      <c r="N20" s="5">
        <f>6-ROUNDUP(_xlfn.RANK.EQ(DATA_DICIEMBRE_2024[[#This Row],[AL_AC]],DATA_DICIEMBRE_2024[AL_AC],0)/(COUNTA(DATA_DICIEMBRE_2024[AL_AC])/5),0)</f>
        <v>5</v>
      </c>
      <c r="O20" t="s">
        <v>6</v>
      </c>
      <c r="P20">
        <f>SUM(DATA_DICIEMBRE_2024[[#This Row],[1]:[31]])</f>
        <v>35045</v>
      </c>
      <c r="Q20">
        <v>20500</v>
      </c>
      <c r="R20" t="s">
        <v>118</v>
      </c>
      <c r="V20">
        <v>8300</v>
      </c>
      <c r="W20">
        <v>4150</v>
      </c>
      <c r="X20">
        <v>900</v>
      </c>
      <c r="AD20">
        <v>1500</v>
      </c>
      <c r="AH20">
        <v>1650</v>
      </c>
      <c r="AM20">
        <v>2000</v>
      </c>
      <c r="AO20">
        <v>4300</v>
      </c>
      <c r="AP20">
        <v>345</v>
      </c>
      <c r="AS20">
        <v>550</v>
      </c>
      <c r="AV20">
        <v>4500</v>
      </c>
      <c r="AW20">
        <v>6850</v>
      </c>
      <c r="CA20" s="45"/>
      <c r="CB20" s="47"/>
      <c r="CE20" s="45"/>
      <c r="CF20" s="47"/>
      <c r="CG20" s="45"/>
      <c r="CH20" s="47"/>
    </row>
    <row r="21" spans="1:86" x14ac:dyDescent="0.25">
      <c r="A21" s="34" t="s">
        <v>3</v>
      </c>
      <c r="B21" s="34" t="str">
        <f>D1_DICIEMBRE_2024[[#This Row],[ASESOR]]</f>
        <v>EVELY TENORIO</v>
      </c>
      <c r="C21" s="36">
        <f>VLOOKUP(D1_DICIEMBRE_2024[[#This Row],[SUPER]],DATA_DICIEMBRE_2024[[SUPERVISOR]:[META]],3,0)</f>
        <v>60000</v>
      </c>
      <c r="D21" s="35">
        <f>D1_DICIEMBRE_2024[[#This Row],[RECUPERO]]/D1_DICIEMBRE_2024[[#This Row],[META]]</f>
        <v>1.3900783333333333</v>
      </c>
      <c r="E21" s="35" t="str">
        <f>D1_DICIEMBRE_2024[[#This Row],[SUPER]]</f>
        <v>SANDY</v>
      </c>
      <c r="F21" t="s">
        <v>22</v>
      </c>
      <c r="G21" s="3">
        <v>83404.7</v>
      </c>
      <c r="H21" t="s">
        <v>442</v>
      </c>
      <c r="I21" s="55">
        <v>45299</v>
      </c>
      <c r="J21" s="55" t="s">
        <v>501</v>
      </c>
      <c r="K21" s="55"/>
      <c r="L21" s="55"/>
      <c r="M21">
        <f>DATA_DICIEMBRE_2024[[#This Row],[RECUPERO]]/DATA_DICIEMBRE_2024[[#This Row],[META]]</f>
        <v>0.42409756097560974</v>
      </c>
      <c r="N21" s="5">
        <f>6-ROUNDUP(_xlfn.RANK.EQ(DATA_DICIEMBRE_2024[[#This Row],[AL_AC]],DATA_DICIEMBRE_2024[AL_AC],0)/(COUNTA(DATA_DICIEMBRE_2024[AL_AC])/5),0)</f>
        <v>2</v>
      </c>
      <c r="O21" t="s">
        <v>6</v>
      </c>
      <c r="P21">
        <f>SUM(DATA_DICIEMBRE_2024[[#This Row],[1]:[31]])</f>
        <v>8694</v>
      </c>
      <c r="Q21">
        <v>20500</v>
      </c>
      <c r="R21" t="s">
        <v>19</v>
      </c>
      <c r="X21">
        <v>5244</v>
      </c>
      <c r="AC21">
        <v>500</v>
      </c>
      <c r="AE21">
        <v>100</v>
      </c>
      <c r="AH21">
        <v>600</v>
      </c>
      <c r="AV21">
        <v>250</v>
      </c>
      <c r="AW21">
        <v>2000</v>
      </c>
      <c r="CA21" s="45"/>
      <c r="CB21" s="47"/>
      <c r="CE21" s="45"/>
      <c r="CF21" s="45"/>
      <c r="CH21" s="45"/>
    </row>
    <row r="22" spans="1:86" x14ac:dyDescent="0.25">
      <c r="A22" s="34" t="s">
        <v>115</v>
      </c>
      <c r="B22" s="34" t="str">
        <f>D1_DICIEMBRE_2024[[#This Row],[ASESOR]]</f>
        <v>FRANCO HUAMANI</v>
      </c>
      <c r="C22" s="36">
        <f>VLOOKUP(D1_DICIEMBRE_2024[[#This Row],[SUPER]],DATA_DICIEMBRE_2024[[SUPERVISOR]:[META]],3,0)</f>
        <v>17000</v>
      </c>
      <c r="D22" s="35">
        <f>D1_DICIEMBRE_2024[[#This Row],[RECUPERO]]/D1_DICIEMBRE_2024[[#This Row],[META]]</f>
        <v>0.67764705882352938</v>
      </c>
      <c r="E22" s="35" t="str">
        <f>D1_DICIEMBRE_2024[[#This Row],[SUPER]]</f>
        <v>MELITA</v>
      </c>
      <c r="F22" t="s">
        <v>24</v>
      </c>
      <c r="G22" s="3">
        <v>11520</v>
      </c>
      <c r="H22" t="s">
        <v>434</v>
      </c>
      <c r="I22" s="55">
        <v>45334</v>
      </c>
      <c r="J22" s="55" t="s">
        <v>501</v>
      </c>
      <c r="K22" s="55"/>
      <c r="L22" s="55"/>
      <c r="M22">
        <f>DATA_DICIEMBRE_2024[[#This Row],[RECUPERO]]/DATA_DICIEMBRE_2024[[#This Row],[META]]</f>
        <v>0.31662222222222225</v>
      </c>
      <c r="N22" s="5">
        <f>6-ROUNDUP(_xlfn.RANK.EQ(DATA_DICIEMBRE_2024[[#This Row],[AL_AC]],DATA_DICIEMBRE_2024[AL_AC],0)/(COUNTA(DATA_DICIEMBRE_2024[AL_AC])/5),0)</f>
        <v>1</v>
      </c>
      <c r="O22" t="s">
        <v>2</v>
      </c>
      <c r="P22">
        <f>SUM(DATA_DICIEMBRE_2024[[#This Row],[1]:[31]])</f>
        <v>7124</v>
      </c>
      <c r="Q22">
        <v>22500</v>
      </c>
      <c r="R22" t="s">
        <v>41</v>
      </c>
      <c r="U22">
        <v>268</v>
      </c>
      <c r="Y22">
        <v>1000</v>
      </c>
      <c r="AD22">
        <v>500</v>
      </c>
      <c r="AE22">
        <v>100</v>
      </c>
      <c r="AH22">
        <v>900</v>
      </c>
      <c r="AI22">
        <v>750</v>
      </c>
      <c r="AJ22">
        <v>320</v>
      </c>
      <c r="AL22">
        <v>150</v>
      </c>
      <c r="AO22">
        <v>400</v>
      </c>
      <c r="AT22">
        <v>250</v>
      </c>
      <c r="AU22">
        <v>500</v>
      </c>
      <c r="AV22">
        <v>868</v>
      </c>
      <c r="AW22">
        <v>1118</v>
      </c>
      <c r="CA22" s="47"/>
      <c r="CB22" s="45"/>
      <c r="CE22" s="45"/>
    </row>
    <row r="23" spans="1:86" x14ac:dyDescent="0.25">
      <c r="A23" s="34" t="s">
        <v>4</v>
      </c>
      <c r="B23" s="34" t="str">
        <f>D1_DICIEMBRE_2024[[#This Row],[ASESOR]]</f>
        <v>FRANK PACORA</v>
      </c>
      <c r="C23" s="36">
        <f>VLOOKUP(D1_DICIEMBRE_2024[[#This Row],[SUPER]],DATA_DICIEMBRE_2024[[SUPERVISOR]:[META]],3,0)</f>
        <v>60000</v>
      </c>
      <c r="D23" s="35">
        <f>D1_DICIEMBRE_2024[[#This Row],[RECUPERO]]/D1_DICIEMBRE_2024[[#This Row],[META]]</f>
        <v>7.0000000000000001E-3</v>
      </c>
      <c r="E23" s="35" t="str">
        <f>D1_DICIEMBRE_2024[[#This Row],[SUPER]]</f>
        <v>MELINA</v>
      </c>
      <c r="F23" t="s">
        <v>105</v>
      </c>
      <c r="G23" s="3">
        <v>420</v>
      </c>
      <c r="H23" t="s">
        <v>463</v>
      </c>
      <c r="I23" s="55">
        <v>44657</v>
      </c>
      <c r="J23" s="55" t="s">
        <v>501</v>
      </c>
      <c r="K23" s="55"/>
      <c r="L23" s="55"/>
      <c r="M23">
        <f>DATA_DICIEMBRE_2024[[#This Row],[RECUPERO]]/DATA_DICIEMBRE_2024[[#This Row],[META]]</f>
        <v>0.60910566037735847</v>
      </c>
      <c r="N23" s="5">
        <f>6-ROUNDUP(_xlfn.RANK.EQ(DATA_DICIEMBRE_2024[[#This Row],[AL_AC]],DATA_DICIEMBRE_2024[AL_AC],0)/(COUNTA(DATA_DICIEMBRE_2024[AL_AC])/5),0)</f>
        <v>3</v>
      </c>
      <c r="O23" t="s">
        <v>9</v>
      </c>
      <c r="P23">
        <f>SUM(DATA_DICIEMBRE_2024[[#This Row],[1]:[31]])</f>
        <v>16141.3</v>
      </c>
      <c r="Q23">
        <v>26500</v>
      </c>
      <c r="R23" t="s">
        <v>61</v>
      </c>
      <c r="T23">
        <v>200</v>
      </c>
      <c r="Y23">
        <v>300</v>
      </c>
      <c r="AC23">
        <v>250</v>
      </c>
      <c r="AD23">
        <v>450</v>
      </c>
      <c r="AE23">
        <v>75</v>
      </c>
      <c r="AI23">
        <v>500</v>
      </c>
      <c r="AJ23">
        <v>307.3</v>
      </c>
      <c r="AK23">
        <v>1100</v>
      </c>
      <c r="AL23">
        <v>1233</v>
      </c>
      <c r="AO23">
        <v>300</v>
      </c>
      <c r="AR23">
        <v>2500</v>
      </c>
      <c r="AS23">
        <v>3300</v>
      </c>
      <c r="AT23">
        <v>200</v>
      </c>
      <c r="AV23">
        <v>5026</v>
      </c>
      <c r="AW23">
        <v>400</v>
      </c>
      <c r="CA23" s="45"/>
    </row>
    <row r="24" spans="1:86" x14ac:dyDescent="0.25">
      <c r="A24" s="34" t="s">
        <v>2</v>
      </c>
      <c r="B24" s="34" t="str">
        <f>D1_DICIEMBRE_2024[[#This Row],[ASESOR]]</f>
        <v>FRANS TACSI</v>
      </c>
      <c r="C24" s="36">
        <f>VLOOKUP(D1_DICIEMBRE_2024[[#This Row],[SUPER]],DATA_DICIEMBRE_2024[[SUPERVISOR]:[META]],3,0)</f>
        <v>22500</v>
      </c>
      <c r="D24" s="35">
        <f>D1_DICIEMBRE_2024[[#This Row],[RECUPERO]]/D1_DICIEMBRE_2024[[#This Row],[META]]</f>
        <v>0.18888888888888888</v>
      </c>
      <c r="E24" s="35" t="str">
        <f>D1_DICIEMBRE_2024[[#This Row],[SUPER]]</f>
        <v>JORGE</v>
      </c>
      <c r="F24" t="s">
        <v>16</v>
      </c>
      <c r="G24" s="3">
        <v>4250</v>
      </c>
      <c r="H24" t="s">
        <v>388</v>
      </c>
      <c r="I24" s="55">
        <v>45334</v>
      </c>
      <c r="J24" s="55" t="s">
        <v>501</v>
      </c>
      <c r="K24" s="55"/>
      <c r="L24" s="55"/>
      <c r="M24">
        <f>DATA_DICIEMBRE_2024[[#This Row],[RECUPERO]]/DATA_DICIEMBRE_2024[[#This Row],[META]]</f>
        <v>0.71788235294117642</v>
      </c>
      <c r="N24" s="5">
        <f>6-ROUNDUP(_xlfn.RANK.EQ(DATA_DICIEMBRE_2024[[#This Row],[AL_AC]],DATA_DICIEMBRE_2024[AL_AC],0)/(COUNTA(DATA_DICIEMBRE_2024[AL_AC])/5),0)</f>
        <v>4</v>
      </c>
      <c r="O24" t="s">
        <v>115</v>
      </c>
      <c r="P24">
        <f>SUM(DATA_DICIEMBRE_2024[[#This Row],[1]:[31]])</f>
        <v>12204</v>
      </c>
      <c r="Q24">
        <v>17000</v>
      </c>
      <c r="R24" t="s">
        <v>80</v>
      </c>
      <c r="T24">
        <v>400</v>
      </c>
      <c r="U24">
        <v>550</v>
      </c>
      <c r="V24">
        <v>847</v>
      </c>
      <c r="W24">
        <v>200</v>
      </c>
      <c r="X24">
        <v>1250</v>
      </c>
      <c r="AB24">
        <v>420</v>
      </c>
      <c r="AD24">
        <v>1470</v>
      </c>
      <c r="AI24">
        <v>610</v>
      </c>
      <c r="AK24">
        <v>550</v>
      </c>
      <c r="AL24">
        <v>247</v>
      </c>
      <c r="AO24">
        <v>1860</v>
      </c>
      <c r="AP24">
        <v>200</v>
      </c>
      <c r="AR24">
        <v>600</v>
      </c>
      <c r="AS24">
        <v>350</v>
      </c>
      <c r="AT24">
        <v>1350</v>
      </c>
      <c r="AV24">
        <v>200</v>
      </c>
      <c r="AW24">
        <v>1100</v>
      </c>
      <c r="CE24" s="45"/>
    </row>
    <row r="25" spans="1:86" x14ac:dyDescent="0.25">
      <c r="A25" s="34" t="s">
        <v>2</v>
      </c>
      <c r="B25" s="34" t="str">
        <f>D1_DICIEMBRE_2024[[#This Row],[ASESOR]]</f>
        <v>GENESIS VICUNA</v>
      </c>
      <c r="C25" s="36">
        <f>VLOOKUP(D1_DICIEMBRE_2024[[#This Row],[SUPER]],DATA_DICIEMBRE_2024[[SUPERVISOR]:[META]],3,0)</f>
        <v>22500</v>
      </c>
      <c r="D25" s="35">
        <f>D1_DICIEMBRE_2024[[#This Row],[RECUPERO]]/D1_DICIEMBRE_2024[[#This Row],[META]]</f>
        <v>0.55355555555555558</v>
      </c>
      <c r="E25" s="35" t="str">
        <f>D1_DICIEMBRE_2024[[#This Row],[SUPER]]</f>
        <v>JORGE</v>
      </c>
      <c r="F25" t="s">
        <v>12</v>
      </c>
      <c r="G25" s="3">
        <v>12455</v>
      </c>
      <c r="H25" t="s">
        <v>389</v>
      </c>
      <c r="I25" s="55">
        <v>44870</v>
      </c>
      <c r="J25" s="55" t="s">
        <v>501</v>
      </c>
      <c r="K25" s="55"/>
      <c r="L25" s="55"/>
      <c r="M25">
        <f>DATA_DICIEMBRE_2024[[#This Row],[RECUPERO]]/DATA_DICIEMBRE_2024[[#This Row],[META]]</f>
        <v>0.6428625</v>
      </c>
      <c r="N25" s="5">
        <f>6-ROUNDUP(_xlfn.RANK.EQ(DATA_DICIEMBRE_2024[[#This Row],[AL_AC]],DATA_DICIEMBRE_2024[AL_AC],0)/(COUNTA(DATA_DICIEMBRE_2024[AL_AC])/5),0)</f>
        <v>3</v>
      </c>
      <c r="O25" t="s">
        <v>4</v>
      </c>
      <c r="P25">
        <f>SUM(DATA_DICIEMBRE_2024[[#This Row],[1]:[31]])</f>
        <v>38571.75</v>
      </c>
      <c r="Q25">
        <v>60000</v>
      </c>
      <c r="R25" t="s">
        <v>40</v>
      </c>
      <c r="S25">
        <v>600</v>
      </c>
      <c r="U25">
        <v>1900</v>
      </c>
      <c r="AB25">
        <v>2381.75</v>
      </c>
      <c r="AC25">
        <v>500</v>
      </c>
      <c r="AD25">
        <v>10000</v>
      </c>
      <c r="AI25">
        <v>1000</v>
      </c>
      <c r="AL25">
        <v>6690</v>
      </c>
      <c r="AO25">
        <v>6700</v>
      </c>
      <c r="AR25">
        <v>1500</v>
      </c>
      <c r="AV25">
        <v>4000</v>
      </c>
      <c r="AW25">
        <v>3300</v>
      </c>
    </row>
    <row r="26" spans="1:86" x14ac:dyDescent="0.25">
      <c r="A26" s="34" t="s">
        <v>5</v>
      </c>
      <c r="B26" s="34" t="str">
        <f>D1_DICIEMBRE_2024[[#This Row],[ASESOR]]</f>
        <v>GIANFRANCO PINEDO</v>
      </c>
      <c r="C26" s="36">
        <f>VLOOKUP(D1_DICIEMBRE_2024[[#This Row],[SUPER]],DATA_DICIEMBRE_2024[[SUPERVISOR]:[META]],3,0)</f>
        <v>60000</v>
      </c>
      <c r="D26" s="35">
        <f>D1_DICIEMBRE_2024[[#This Row],[RECUPERO]]/D1_DICIEMBRE_2024[[#This Row],[META]]</f>
        <v>1.6476999999999999</v>
      </c>
      <c r="E26" s="35" t="str">
        <f>D1_DICIEMBRE_2024[[#This Row],[SUPER]]</f>
        <v>JORDAN</v>
      </c>
      <c r="F26" t="s">
        <v>13</v>
      </c>
      <c r="G26" s="3">
        <v>98862</v>
      </c>
      <c r="H26" t="s">
        <v>382</v>
      </c>
      <c r="I26" s="55">
        <v>44811</v>
      </c>
      <c r="J26" s="55" t="s">
        <v>501</v>
      </c>
      <c r="K26" s="55"/>
      <c r="L26" s="55"/>
      <c r="M26">
        <f>DATA_DICIEMBRE_2024[[#This Row],[RECUPERO]]/DATA_DICIEMBRE_2024[[#This Row],[META]]</f>
        <v>0.60911666666666664</v>
      </c>
      <c r="N26" s="5">
        <f>6-ROUNDUP(_xlfn.RANK.EQ(DATA_DICIEMBRE_2024[[#This Row],[AL_AC]],DATA_DICIEMBRE_2024[AL_AC],0)/(COUNTA(DATA_DICIEMBRE_2024[AL_AC])/5),0)</f>
        <v>3</v>
      </c>
      <c r="O26" t="s">
        <v>4</v>
      </c>
      <c r="P26">
        <f>SUM(DATA_DICIEMBRE_2024[[#This Row],[1]:[31]])</f>
        <v>36547</v>
      </c>
      <c r="Q26">
        <v>60000</v>
      </c>
      <c r="R26" t="s">
        <v>81</v>
      </c>
      <c r="T26">
        <v>5000</v>
      </c>
      <c r="AB26">
        <v>11318</v>
      </c>
      <c r="AC26">
        <v>2000</v>
      </c>
      <c r="AD26">
        <v>700</v>
      </c>
      <c r="AH26">
        <v>637</v>
      </c>
      <c r="AI26">
        <v>6000</v>
      </c>
      <c r="AJ26">
        <v>3292</v>
      </c>
      <c r="AR26">
        <v>3800</v>
      </c>
      <c r="AS26">
        <v>3800</v>
      </c>
    </row>
    <row r="27" spans="1:86" x14ac:dyDescent="0.25">
      <c r="A27" s="34" t="s">
        <v>2</v>
      </c>
      <c r="B27" s="34" t="str">
        <f>D1_DICIEMBRE_2024[[#This Row],[ASESOR]]</f>
        <v>GIANNINA AGUILAR</v>
      </c>
      <c r="C27" s="36">
        <f>VLOOKUP(D1_DICIEMBRE_2024[[#This Row],[SUPER]],DATA_DICIEMBRE_2024[[SUPERVISOR]:[META]],3,0)</f>
        <v>22500</v>
      </c>
      <c r="D27" s="35">
        <f>D1_DICIEMBRE_2024[[#This Row],[RECUPERO]]/D1_DICIEMBRE_2024[[#This Row],[META]]</f>
        <v>0.3836</v>
      </c>
      <c r="E27" s="35" t="str">
        <f>D1_DICIEMBRE_2024[[#This Row],[SUPER]]</f>
        <v>JORGE</v>
      </c>
      <c r="F27" t="s">
        <v>32</v>
      </c>
      <c r="G27" s="3">
        <v>8631</v>
      </c>
      <c r="H27" t="s">
        <v>390</v>
      </c>
      <c r="I27" s="55">
        <v>45530</v>
      </c>
      <c r="J27" s="55" t="s">
        <v>501</v>
      </c>
      <c r="K27" s="55"/>
      <c r="L27" s="55"/>
      <c r="M27">
        <f>DATA_DICIEMBRE_2024[[#This Row],[RECUPERO]]/DATA_DICIEMBRE_2024[[#This Row],[META]]</f>
        <v>1.3900783333333333</v>
      </c>
      <c r="N27" s="5">
        <f>6-ROUNDUP(_xlfn.RANK.EQ(DATA_DICIEMBRE_2024[[#This Row],[AL_AC]],DATA_DICIEMBRE_2024[AL_AC],0)/(COUNTA(DATA_DICIEMBRE_2024[AL_AC])/5),0)</f>
        <v>5</v>
      </c>
      <c r="O27" t="s">
        <v>3</v>
      </c>
      <c r="P27">
        <f>SUM(DATA_DICIEMBRE_2024[[#This Row],[1]:[31]])</f>
        <v>83404.7</v>
      </c>
      <c r="Q27">
        <v>60000</v>
      </c>
      <c r="R27" t="s">
        <v>22</v>
      </c>
      <c r="S27">
        <v>1126</v>
      </c>
      <c r="U27">
        <v>10000</v>
      </c>
      <c r="V27">
        <v>11683</v>
      </c>
      <c r="W27">
        <v>296</v>
      </c>
      <c r="X27">
        <v>10990</v>
      </c>
      <c r="Y27">
        <v>200</v>
      </c>
      <c r="Z27">
        <v>348</v>
      </c>
      <c r="AB27">
        <v>3582</v>
      </c>
      <c r="AC27">
        <v>554.70000000000005</v>
      </c>
      <c r="AE27">
        <v>15300</v>
      </c>
      <c r="AH27">
        <v>2073</v>
      </c>
      <c r="AI27">
        <v>3000</v>
      </c>
      <c r="AJ27">
        <v>6650</v>
      </c>
      <c r="AL27">
        <v>386</v>
      </c>
      <c r="AO27">
        <v>2248</v>
      </c>
      <c r="AP27">
        <v>940</v>
      </c>
      <c r="AR27">
        <v>3902</v>
      </c>
      <c r="AS27">
        <v>1281</v>
      </c>
      <c r="AT27">
        <v>836</v>
      </c>
      <c r="AV27">
        <v>6549</v>
      </c>
      <c r="AW27">
        <v>1460</v>
      </c>
    </row>
    <row r="28" spans="1:86" x14ac:dyDescent="0.25">
      <c r="A28" s="34" t="s">
        <v>9</v>
      </c>
      <c r="B28" s="34" t="str">
        <f>D1_DICIEMBRE_2024[[#This Row],[ASESOR]]</f>
        <v>GIULIANA QUISPE</v>
      </c>
      <c r="C28" s="36">
        <f>VLOOKUP(D1_DICIEMBRE_2024[[#This Row],[SUPER]],DATA_DICIEMBRE_2024[[SUPERVISOR]:[META]],3,0)</f>
        <v>26500</v>
      </c>
      <c r="D28" s="35">
        <f>D1_DICIEMBRE_2024[[#This Row],[RECUPERO]]/D1_DICIEMBRE_2024[[#This Row],[META]]</f>
        <v>0.40018867924528301</v>
      </c>
      <c r="E28" s="35" t="str">
        <f>D1_DICIEMBRE_2024[[#This Row],[SUPER]]</f>
        <v>LUIS</v>
      </c>
      <c r="F28" t="s">
        <v>71</v>
      </c>
      <c r="G28" s="3">
        <v>10605</v>
      </c>
      <c r="H28" t="s">
        <v>414</v>
      </c>
      <c r="I28" s="55">
        <v>45423</v>
      </c>
      <c r="J28" s="55" t="s">
        <v>501</v>
      </c>
      <c r="K28" s="55"/>
      <c r="L28" s="55"/>
      <c r="M28">
        <f>DATA_DICIEMBRE_2024[[#This Row],[RECUPERO]]/DATA_DICIEMBRE_2024[[#This Row],[META]]</f>
        <v>0.67764705882352938</v>
      </c>
      <c r="N28" s="5">
        <f>6-ROUNDUP(_xlfn.RANK.EQ(DATA_DICIEMBRE_2024[[#This Row],[AL_AC]],DATA_DICIEMBRE_2024[AL_AC],0)/(COUNTA(DATA_DICIEMBRE_2024[AL_AC])/5),0)</f>
        <v>3</v>
      </c>
      <c r="O28" t="s">
        <v>115</v>
      </c>
      <c r="P28">
        <f>SUM(DATA_DICIEMBRE_2024[[#This Row],[1]:[31]])</f>
        <v>11520</v>
      </c>
      <c r="Q28">
        <v>17000</v>
      </c>
      <c r="R28" t="s">
        <v>24</v>
      </c>
      <c r="S28" s="45"/>
      <c r="V28">
        <v>1130</v>
      </c>
      <c r="X28">
        <v>650</v>
      </c>
      <c r="AB28">
        <v>400</v>
      </c>
      <c r="AC28">
        <v>790</v>
      </c>
      <c r="AE28">
        <v>350</v>
      </c>
      <c r="AF28">
        <v>150</v>
      </c>
      <c r="AH28">
        <v>695</v>
      </c>
      <c r="AI28">
        <v>990</v>
      </c>
      <c r="AJ28">
        <v>1640</v>
      </c>
      <c r="AK28">
        <v>400</v>
      </c>
      <c r="AL28">
        <v>400</v>
      </c>
      <c r="AO28">
        <v>150</v>
      </c>
      <c r="AP28">
        <v>150</v>
      </c>
      <c r="AS28">
        <v>1700</v>
      </c>
      <c r="AT28">
        <v>220</v>
      </c>
      <c r="AV28">
        <v>900</v>
      </c>
      <c r="AW28">
        <v>805</v>
      </c>
    </row>
    <row r="29" spans="1:86" x14ac:dyDescent="0.25">
      <c r="A29" s="34" t="s">
        <v>9</v>
      </c>
      <c r="B29" s="34" t="str">
        <f>D1_DICIEMBRE_2024[[#This Row],[ASESOR]]</f>
        <v>HARLINGTON VIDAL</v>
      </c>
      <c r="C29" s="36">
        <f>VLOOKUP(D1_DICIEMBRE_2024[[#This Row],[SUPER]],DATA_DICIEMBRE_2024[[SUPERVISOR]:[META]],3,0)</f>
        <v>26500</v>
      </c>
      <c r="D29" s="35">
        <f>D1_DICIEMBRE_2024[[#This Row],[RECUPERO]]/D1_DICIEMBRE_2024[[#This Row],[META]]</f>
        <v>0.57057735849056601</v>
      </c>
      <c r="E29" s="35" t="str">
        <f>D1_DICIEMBRE_2024[[#This Row],[SUPER]]</f>
        <v>LUIS</v>
      </c>
      <c r="F29" t="s">
        <v>127</v>
      </c>
      <c r="G29" s="3">
        <v>15120.3</v>
      </c>
      <c r="H29" t="s">
        <v>459</v>
      </c>
      <c r="I29" s="55">
        <v>45721</v>
      </c>
      <c r="J29" s="55" t="s">
        <v>501</v>
      </c>
      <c r="K29" s="55"/>
      <c r="L29" s="55"/>
      <c r="M29">
        <f>DATA_DICIEMBRE_2024[[#This Row],[RECUPERO]]/DATA_DICIEMBRE_2024[[#This Row],[META]]</f>
        <v>7.0000000000000001E-3</v>
      </c>
      <c r="N29" s="5">
        <f>6-ROUNDUP(_xlfn.RANK.EQ(DATA_DICIEMBRE_2024[[#This Row],[AL_AC]],DATA_DICIEMBRE_2024[AL_AC],0)/(COUNTA(DATA_DICIEMBRE_2024[AL_AC])/5),0)</f>
        <v>1</v>
      </c>
      <c r="O29" t="s">
        <v>4</v>
      </c>
      <c r="P29">
        <f>SUM(DATA_DICIEMBRE_2024[[#This Row],[1]:[31]])</f>
        <v>420</v>
      </c>
      <c r="Q29">
        <v>60000</v>
      </c>
      <c r="R29" t="s">
        <v>105</v>
      </c>
      <c r="S29">
        <v>420</v>
      </c>
    </row>
    <row r="30" spans="1:86" x14ac:dyDescent="0.25">
      <c r="A30" s="34" t="s">
        <v>9</v>
      </c>
      <c r="B30" s="34" t="str">
        <f>D1_DICIEMBRE_2024[[#This Row],[ASESOR]]</f>
        <v>HAROLD FLORES</v>
      </c>
      <c r="C30" s="36">
        <f>VLOOKUP(D1_DICIEMBRE_2024[[#This Row],[SUPER]],DATA_DICIEMBRE_2024[[SUPERVISOR]:[META]],3,0)</f>
        <v>26500</v>
      </c>
      <c r="D30" s="35">
        <f>D1_DICIEMBRE_2024[[#This Row],[RECUPERO]]/D1_DICIEMBRE_2024[[#This Row],[META]]</f>
        <v>0.38945283018867927</v>
      </c>
      <c r="E30" s="35" t="str">
        <f>D1_DICIEMBRE_2024[[#This Row],[SUPER]]</f>
        <v>LUIS</v>
      </c>
      <c r="F30" t="s">
        <v>42</v>
      </c>
      <c r="G30" s="3">
        <v>10320.5</v>
      </c>
      <c r="H30" t="s">
        <v>415</v>
      </c>
      <c r="I30" s="55">
        <v>45399</v>
      </c>
      <c r="J30" s="55" t="s">
        <v>501</v>
      </c>
      <c r="K30" s="55"/>
      <c r="L30" s="55"/>
      <c r="M30">
        <f>DATA_DICIEMBRE_2024[[#This Row],[RECUPERO]]/DATA_DICIEMBRE_2024[[#This Row],[META]]</f>
        <v>0.18888888888888888</v>
      </c>
      <c r="N30" s="5">
        <f>6-ROUNDUP(_xlfn.RANK.EQ(DATA_DICIEMBRE_2024[[#This Row],[AL_AC]],DATA_DICIEMBRE_2024[AL_AC],0)/(COUNTA(DATA_DICIEMBRE_2024[AL_AC])/5),0)</f>
        <v>1</v>
      </c>
      <c r="O30" t="s">
        <v>2</v>
      </c>
      <c r="P30">
        <f>SUM(DATA_DICIEMBRE_2024[[#This Row],[1]:[31]])</f>
        <v>4250</v>
      </c>
      <c r="Q30">
        <v>22500</v>
      </c>
      <c r="R30" t="s">
        <v>16</v>
      </c>
      <c r="T30">
        <v>500</v>
      </c>
      <c r="V30">
        <v>1500</v>
      </c>
      <c r="AF30">
        <v>200</v>
      </c>
      <c r="AJ30">
        <v>500</v>
      </c>
      <c r="AK30">
        <v>200</v>
      </c>
      <c r="AO30">
        <v>350</v>
      </c>
      <c r="AW30">
        <v>1000</v>
      </c>
    </row>
    <row r="31" spans="1:86" x14ac:dyDescent="0.25">
      <c r="A31" s="34" t="s">
        <v>115</v>
      </c>
      <c r="B31" s="34" t="str">
        <f>D1_DICIEMBRE_2024[[#This Row],[ASESOR]]</f>
        <v>ISABEL BEJARANO</v>
      </c>
      <c r="C31" s="36">
        <f>VLOOKUP(D1_DICIEMBRE_2024[[#This Row],[SUPER]],DATA_DICIEMBRE_2024[[SUPERVISOR]:[META]],3,0)</f>
        <v>17000</v>
      </c>
      <c r="D31" s="35">
        <f>D1_DICIEMBRE_2024[[#This Row],[RECUPERO]]/D1_DICIEMBRE_2024[[#This Row],[META]]</f>
        <v>0.55970588235294116</v>
      </c>
      <c r="E31" s="35" t="str">
        <f>D1_DICIEMBRE_2024[[#This Row],[SUPER]]</f>
        <v>MELITA</v>
      </c>
      <c r="F31" t="s">
        <v>83</v>
      </c>
      <c r="G31" s="3">
        <v>9515</v>
      </c>
      <c r="H31" t="s">
        <v>435</v>
      </c>
      <c r="I31" s="55">
        <v>44937</v>
      </c>
      <c r="J31" s="55" t="s">
        <v>501</v>
      </c>
      <c r="K31" s="55"/>
      <c r="L31" s="55"/>
      <c r="M31">
        <f>DATA_DICIEMBRE_2024[[#This Row],[RECUPERO]]/DATA_DICIEMBRE_2024[[#This Row],[META]]</f>
        <v>0.55355555555555558</v>
      </c>
      <c r="N31" s="5">
        <f>6-ROUNDUP(_xlfn.RANK.EQ(DATA_DICIEMBRE_2024[[#This Row],[AL_AC]],DATA_DICIEMBRE_2024[AL_AC],0)/(COUNTA(DATA_DICIEMBRE_2024[AL_AC])/5),0)</f>
        <v>2</v>
      </c>
      <c r="O31" t="s">
        <v>2</v>
      </c>
      <c r="P31">
        <f>SUM(DATA_DICIEMBRE_2024[[#This Row],[1]:[31]])</f>
        <v>12455</v>
      </c>
      <c r="Q31">
        <v>22500</v>
      </c>
      <c r="R31" t="s">
        <v>12</v>
      </c>
      <c r="U31">
        <v>1200</v>
      </c>
      <c r="W31">
        <v>1130</v>
      </c>
      <c r="X31">
        <v>600</v>
      </c>
      <c r="AA31">
        <v>200</v>
      </c>
      <c r="AE31">
        <v>200</v>
      </c>
      <c r="AF31">
        <v>265</v>
      </c>
      <c r="AH31">
        <v>1640</v>
      </c>
      <c r="AJ31">
        <v>200</v>
      </c>
      <c r="AK31">
        <v>200</v>
      </c>
      <c r="AL31">
        <v>300</v>
      </c>
      <c r="AO31">
        <v>1400</v>
      </c>
      <c r="AP31">
        <v>3000</v>
      </c>
      <c r="AS31">
        <v>220</v>
      </c>
      <c r="AT31">
        <v>200</v>
      </c>
      <c r="AV31">
        <v>1600</v>
      </c>
      <c r="AW31">
        <v>100</v>
      </c>
    </row>
    <row r="32" spans="1:86" x14ac:dyDescent="0.25">
      <c r="A32" s="34" t="s">
        <v>2</v>
      </c>
      <c r="B32" s="34" t="str">
        <f>D1_DICIEMBRE_2024[[#This Row],[ASESOR]]</f>
        <v>JAIR MARTINEZ</v>
      </c>
      <c r="C32" s="36">
        <f>VLOOKUP(D1_DICIEMBRE_2024[[#This Row],[SUPER]],DATA_DICIEMBRE_2024[[SUPERVISOR]:[META]],3,0)</f>
        <v>22500</v>
      </c>
      <c r="D32" s="35">
        <f>D1_DICIEMBRE_2024[[#This Row],[RECUPERO]]/D1_DICIEMBRE_2024[[#This Row],[META]]</f>
        <v>1.1184888888888889</v>
      </c>
      <c r="E32" s="35" t="str">
        <f>D1_DICIEMBRE_2024[[#This Row],[SUPER]]</f>
        <v>JORGE</v>
      </c>
      <c r="F32" t="s">
        <v>57</v>
      </c>
      <c r="G32" s="3">
        <v>25166</v>
      </c>
      <c r="H32" t="s">
        <v>443</v>
      </c>
      <c r="I32" s="55">
        <v>45590</v>
      </c>
      <c r="J32" s="55" t="s">
        <v>501</v>
      </c>
      <c r="K32" s="55"/>
      <c r="L32" s="55"/>
      <c r="M32">
        <f>DATA_DICIEMBRE_2024[[#This Row],[RECUPERO]]/DATA_DICIEMBRE_2024[[#This Row],[META]]</f>
        <v>1.6476999999999999</v>
      </c>
      <c r="N32" s="5">
        <f>6-ROUNDUP(_xlfn.RANK.EQ(DATA_DICIEMBRE_2024[[#This Row],[AL_AC]],DATA_DICIEMBRE_2024[AL_AC],0)/(COUNTA(DATA_DICIEMBRE_2024[AL_AC])/5),0)</f>
        <v>5</v>
      </c>
      <c r="O32" t="s">
        <v>5</v>
      </c>
      <c r="P32">
        <f>SUM(DATA_DICIEMBRE_2024[[#This Row],[1]:[31]])</f>
        <v>98862</v>
      </c>
      <c r="Q32">
        <v>60000</v>
      </c>
      <c r="R32" t="s">
        <v>13</v>
      </c>
      <c r="T32">
        <v>200</v>
      </c>
      <c r="U32">
        <v>10000</v>
      </c>
      <c r="X32">
        <v>150</v>
      </c>
      <c r="AB32">
        <v>5300</v>
      </c>
      <c r="AC32">
        <v>13000</v>
      </c>
      <c r="AE32">
        <v>31000</v>
      </c>
      <c r="AH32">
        <v>3030</v>
      </c>
      <c r="AJ32">
        <v>5900</v>
      </c>
      <c r="AK32">
        <v>592</v>
      </c>
      <c r="AO32">
        <v>5000</v>
      </c>
      <c r="AP32">
        <v>5000</v>
      </c>
      <c r="AR32">
        <v>2800</v>
      </c>
      <c r="AS32">
        <v>2500</v>
      </c>
      <c r="AT32">
        <v>4100</v>
      </c>
      <c r="AV32">
        <v>2105</v>
      </c>
      <c r="AW32">
        <v>8185</v>
      </c>
    </row>
    <row r="33" spans="1:49" x14ac:dyDescent="0.25">
      <c r="A33" s="34" t="s">
        <v>115</v>
      </c>
      <c r="B33" s="34" t="str">
        <f>D1_DICIEMBRE_2024[[#This Row],[ASESOR]]</f>
        <v>JANETH PORTOCARRERO</v>
      </c>
      <c r="C33" s="36">
        <f>VLOOKUP(D1_DICIEMBRE_2024[[#This Row],[SUPER]],DATA_DICIEMBRE_2024[[SUPERVISOR]:[META]],3,0)</f>
        <v>17000</v>
      </c>
      <c r="D33" s="35">
        <f>D1_DICIEMBRE_2024[[#This Row],[RECUPERO]]/D1_DICIEMBRE_2024[[#This Row],[META]]</f>
        <v>0.52352941176470591</v>
      </c>
      <c r="E33" s="35" t="str">
        <f>D1_DICIEMBRE_2024[[#This Row],[SUPER]]</f>
        <v>MELITA</v>
      </c>
      <c r="F33" t="s">
        <v>49</v>
      </c>
      <c r="G33" s="3">
        <v>8900</v>
      </c>
      <c r="H33" t="s">
        <v>436</v>
      </c>
      <c r="I33" s="55">
        <v>42814</v>
      </c>
      <c r="J33" s="55" t="s">
        <v>501</v>
      </c>
      <c r="K33" s="55"/>
      <c r="L33" s="55"/>
      <c r="M33">
        <f>DATA_DICIEMBRE_2024[[#This Row],[RECUPERO]]/DATA_DICIEMBRE_2024[[#This Row],[META]]</f>
        <v>0.3836</v>
      </c>
      <c r="N33" s="5">
        <f>6-ROUNDUP(_xlfn.RANK.EQ(DATA_DICIEMBRE_2024[[#This Row],[AL_AC]],DATA_DICIEMBRE_2024[AL_AC],0)/(COUNTA(DATA_DICIEMBRE_2024[AL_AC])/5),0)</f>
        <v>1</v>
      </c>
      <c r="O33" t="s">
        <v>2</v>
      </c>
      <c r="P33">
        <f>SUM(DATA_DICIEMBRE_2024[[#This Row],[1]:[31]])</f>
        <v>8631</v>
      </c>
      <c r="Q33">
        <v>22500</v>
      </c>
      <c r="R33" t="s">
        <v>32</v>
      </c>
      <c r="V33">
        <v>1500</v>
      </c>
      <c r="W33">
        <v>250</v>
      </c>
      <c r="AD33">
        <v>2000</v>
      </c>
      <c r="AH33">
        <v>200</v>
      </c>
      <c r="AL33">
        <v>1600</v>
      </c>
      <c r="AO33">
        <v>1301</v>
      </c>
      <c r="AR33">
        <v>1500</v>
      </c>
      <c r="AV33">
        <v>280</v>
      </c>
    </row>
    <row r="34" spans="1:49" x14ac:dyDescent="0.25">
      <c r="A34" s="34" t="s">
        <v>2</v>
      </c>
      <c r="B34" s="34" t="str">
        <f>D1_DICIEMBRE_2024[[#This Row],[ASESOR]]</f>
        <v>JENY LAZARO</v>
      </c>
      <c r="C34" s="36">
        <f>VLOOKUP(D1_DICIEMBRE_2024[[#This Row],[SUPER]],DATA_DICIEMBRE_2024[[SUPERVISOR]:[META]],3,0)</f>
        <v>22500</v>
      </c>
      <c r="D34" s="35">
        <f>D1_DICIEMBRE_2024[[#This Row],[RECUPERO]]/D1_DICIEMBRE_2024[[#This Row],[META]]</f>
        <v>0.99711111111111106</v>
      </c>
      <c r="E34" s="35" t="str">
        <f>D1_DICIEMBRE_2024[[#This Row],[SUPER]]</f>
        <v>JORGE</v>
      </c>
      <c r="F34" t="s">
        <v>26</v>
      </c>
      <c r="G34" s="3">
        <v>22435</v>
      </c>
      <c r="H34" t="s">
        <v>391</v>
      </c>
      <c r="I34" s="55">
        <v>44259</v>
      </c>
      <c r="J34" s="55" t="s">
        <v>501</v>
      </c>
      <c r="K34" s="55"/>
      <c r="L34" s="55"/>
      <c r="M34">
        <f>DATA_DICIEMBRE_2024[[#This Row],[RECUPERO]]/DATA_DICIEMBRE_2024[[#This Row],[META]]</f>
        <v>0.40018867924528301</v>
      </c>
      <c r="N34" s="5">
        <f>6-ROUNDUP(_xlfn.RANK.EQ(DATA_DICIEMBRE_2024[[#This Row],[AL_AC]],DATA_DICIEMBRE_2024[AL_AC],0)/(COUNTA(DATA_DICIEMBRE_2024[AL_AC])/5),0)</f>
        <v>2</v>
      </c>
      <c r="O34" t="s">
        <v>9</v>
      </c>
      <c r="P34">
        <f>SUM(DATA_DICIEMBRE_2024[[#This Row],[1]:[31]])</f>
        <v>10605</v>
      </c>
      <c r="Q34">
        <v>26500</v>
      </c>
      <c r="R34" t="s">
        <v>71</v>
      </c>
      <c r="T34">
        <v>200</v>
      </c>
      <c r="U34">
        <v>200</v>
      </c>
      <c r="W34">
        <v>200</v>
      </c>
      <c r="X34">
        <v>480</v>
      </c>
      <c r="AD34">
        <v>250</v>
      </c>
      <c r="AH34">
        <v>2500</v>
      </c>
      <c r="AI34">
        <v>1400</v>
      </c>
      <c r="AJ34">
        <v>200</v>
      </c>
      <c r="AL34">
        <v>825</v>
      </c>
      <c r="AO34">
        <v>1200</v>
      </c>
      <c r="AR34">
        <v>200</v>
      </c>
      <c r="AS34">
        <v>100</v>
      </c>
      <c r="AT34">
        <v>200</v>
      </c>
      <c r="AV34">
        <v>1450</v>
      </c>
      <c r="AW34">
        <v>1200</v>
      </c>
    </row>
    <row r="35" spans="1:49" x14ac:dyDescent="0.25">
      <c r="A35" s="34" t="s">
        <v>4</v>
      </c>
      <c r="B35" s="34" t="str">
        <f>D1_DICIEMBRE_2024[[#This Row],[ASESOR]]</f>
        <v>JEREMIAS ROJAS</v>
      </c>
      <c r="C35" s="36">
        <f>VLOOKUP(D1_DICIEMBRE_2024[[#This Row],[SUPER]],DATA_DICIEMBRE_2024[[SUPERVISOR]:[META]],3,0)</f>
        <v>60000</v>
      </c>
      <c r="D35" s="35">
        <f>D1_DICIEMBRE_2024[[#This Row],[RECUPERO]]/D1_DICIEMBRE_2024[[#This Row],[META]]</f>
        <v>0.71166666666666667</v>
      </c>
      <c r="E35" s="35" t="str">
        <f>D1_DICIEMBRE_2024[[#This Row],[SUPER]]</f>
        <v>MELINA</v>
      </c>
      <c r="F35" t="s">
        <v>122</v>
      </c>
      <c r="G35" s="3">
        <v>42700</v>
      </c>
      <c r="H35" t="s">
        <v>426</v>
      </c>
      <c r="I35" s="55">
        <v>45082</v>
      </c>
      <c r="J35" s="55" t="s">
        <v>501</v>
      </c>
      <c r="K35" s="55"/>
      <c r="L35" s="55"/>
      <c r="M35">
        <f>DATA_DICIEMBRE_2024[[#This Row],[RECUPERO]]/DATA_DICIEMBRE_2024[[#This Row],[META]]</f>
        <v>0.57057735849056601</v>
      </c>
      <c r="N35" s="5">
        <f>6-ROUNDUP(_xlfn.RANK.EQ(DATA_DICIEMBRE_2024[[#This Row],[AL_AC]],DATA_DICIEMBRE_2024[AL_AC],0)/(COUNTA(DATA_DICIEMBRE_2024[AL_AC])/5),0)</f>
        <v>2</v>
      </c>
      <c r="O35" t="s">
        <v>9</v>
      </c>
      <c r="P35">
        <f>SUM(DATA_DICIEMBRE_2024[[#This Row],[1]:[31]])</f>
        <v>15120.3</v>
      </c>
      <c r="Q35">
        <v>26500</v>
      </c>
      <c r="R35" t="s">
        <v>127</v>
      </c>
      <c r="V35">
        <v>2500</v>
      </c>
      <c r="X35">
        <v>900</v>
      </c>
      <c r="AD35">
        <v>200</v>
      </c>
      <c r="AE35">
        <v>100</v>
      </c>
      <c r="AF35">
        <v>200</v>
      </c>
      <c r="AG35">
        <v>200</v>
      </c>
      <c r="AH35">
        <v>4000</v>
      </c>
      <c r="AI35">
        <v>1150</v>
      </c>
      <c r="AO35">
        <v>3420.3</v>
      </c>
      <c r="AP35">
        <v>200</v>
      </c>
      <c r="AR35">
        <v>1250</v>
      </c>
      <c r="AS35">
        <v>150</v>
      </c>
      <c r="AV35">
        <v>850</v>
      </c>
    </row>
    <row r="36" spans="1:49" x14ac:dyDescent="0.25">
      <c r="A36" s="34" t="s">
        <v>5</v>
      </c>
      <c r="B36" s="34" t="str">
        <f>D1_DICIEMBRE_2024[[#This Row],[ASESOR]]</f>
        <v>JERSON RIVERA</v>
      </c>
      <c r="C36" s="36">
        <f>VLOOKUP(D1_DICIEMBRE_2024[[#This Row],[SUPER]],DATA_DICIEMBRE_2024[[SUPERVISOR]:[META]],3,0)</f>
        <v>60000</v>
      </c>
      <c r="D36" s="35">
        <f>D1_DICIEMBRE_2024[[#This Row],[RECUPERO]]/D1_DICIEMBRE_2024[[#This Row],[META]]</f>
        <v>1.3267</v>
      </c>
      <c r="E36" s="35" t="str">
        <f>D1_DICIEMBRE_2024[[#This Row],[SUPER]]</f>
        <v>JORDAN</v>
      </c>
      <c r="F36" t="s">
        <v>116</v>
      </c>
      <c r="G36" s="3">
        <v>79602</v>
      </c>
      <c r="H36" t="s">
        <v>384</v>
      </c>
      <c r="I36" s="55">
        <v>45075</v>
      </c>
      <c r="J36" s="55" t="s">
        <v>501</v>
      </c>
      <c r="K36" s="55"/>
      <c r="L36" s="55"/>
      <c r="M36">
        <f>DATA_DICIEMBRE_2024[[#This Row],[RECUPERO]]/DATA_DICIEMBRE_2024[[#This Row],[META]]</f>
        <v>0.38945283018867927</v>
      </c>
      <c r="N36" s="5">
        <f>6-ROUNDUP(_xlfn.RANK.EQ(DATA_DICIEMBRE_2024[[#This Row],[AL_AC]],DATA_DICIEMBRE_2024[AL_AC],0)/(COUNTA(DATA_DICIEMBRE_2024[AL_AC])/5),0)</f>
        <v>2</v>
      </c>
      <c r="O36" t="s">
        <v>9</v>
      </c>
      <c r="P36">
        <f>SUM(DATA_DICIEMBRE_2024[[#This Row],[1]:[31]])</f>
        <v>10320.5</v>
      </c>
      <c r="Q36">
        <v>26500</v>
      </c>
      <c r="R36" t="s">
        <v>42</v>
      </c>
      <c r="U36">
        <v>300</v>
      </c>
      <c r="X36">
        <v>100</v>
      </c>
      <c r="AB36">
        <v>1105.5</v>
      </c>
      <c r="AE36">
        <v>2000</v>
      </c>
      <c r="AK36">
        <v>750</v>
      </c>
      <c r="AL36">
        <v>600</v>
      </c>
      <c r="AP36">
        <v>900</v>
      </c>
      <c r="AR36">
        <v>1400</v>
      </c>
      <c r="AS36">
        <v>600</v>
      </c>
      <c r="AT36">
        <v>550</v>
      </c>
      <c r="AV36">
        <v>1815</v>
      </c>
      <c r="AW36">
        <v>200</v>
      </c>
    </row>
    <row r="37" spans="1:49" x14ac:dyDescent="0.25">
      <c r="A37" s="34" t="s">
        <v>6</v>
      </c>
      <c r="B37" s="34" t="str">
        <f>D1_DICIEMBRE_2024[[#This Row],[ASESOR]]</f>
        <v>JESSICA CASTRO</v>
      </c>
      <c r="C37" s="36">
        <f>VLOOKUP(D1_DICIEMBRE_2024[[#This Row],[SUPER]],DATA_DICIEMBRE_2024[[SUPERVISOR]:[META]],3,0)</f>
        <v>20500</v>
      </c>
      <c r="D37" s="35">
        <f>D1_DICIEMBRE_2024[[#This Row],[RECUPERO]]/D1_DICIEMBRE_2024[[#This Row],[META]]</f>
        <v>0.6634146341463415</v>
      </c>
      <c r="E37" s="35" t="str">
        <f>D1_DICIEMBRE_2024[[#This Row],[SUPER]]</f>
        <v>KENNETH</v>
      </c>
      <c r="F37" t="s">
        <v>551</v>
      </c>
      <c r="G37" s="3">
        <v>13600</v>
      </c>
      <c r="H37" t="s">
        <v>553</v>
      </c>
      <c r="I37" s="55">
        <v>45512</v>
      </c>
      <c r="J37" s="55" t="s">
        <v>501</v>
      </c>
      <c r="K37" s="55"/>
      <c r="L37" s="55"/>
      <c r="M37">
        <f>DATA_DICIEMBRE_2024[[#This Row],[RECUPERO]]/DATA_DICIEMBRE_2024[[#This Row],[META]]</f>
        <v>0.55970588235294116</v>
      </c>
      <c r="N37" s="5">
        <f>6-ROUNDUP(_xlfn.RANK.EQ(DATA_DICIEMBRE_2024[[#This Row],[AL_AC]],DATA_DICIEMBRE_2024[AL_AC],0)/(COUNTA(DATA_DICIEMBRE_2024[AL_AC])/5),0)</f>
        <v>2</v>
      </c>
      <c r="O37" t="s">
        <v>115</v>
      </c>
      <c r="P37">
        <f>SUM(DATA_DICIEMBRE_2024[[#This Row],[1]:[31]])</f>
        <v>9515</v>
      </c>
      <c r="Q37">
        <v>17000</v>
      </c>
      <c r="R37" t="s">
        <v>83</v>
      </c>
      <c r="T37">
        <v>150</v>
      </c>
      <c r="W37">
        <v>600</v>
      </c>
      <c r="X37">
        <v>600</v>
      </c>
      <c r="AB37">
        <v>0</v>
      </c>
      <c r="AE37">
        <v>2500</v>
      </c>
      <c r="AF37">
        <v>300</v>
      </c>
      <c r="AH37">
        <v>555</v>
      </c>
      <c r="AI37">
        <v>50</v>
      </c>
      <c r="AJ37">
        <v>100</v>
      </c>
      <c r="AL37">
        <v>150</v>
      </c>
      <c r="AO37">
        <v>517</v>
      </c>
      <c r="AS37">
        <v>1725</v>
      </c>
      <c r="AT37">
        <v>485</v>
      </c>
      <c r="AU37">
        <v>313</v>
      </c>
      <c r="AV37">
        <v>1370</v>
      </c>
      <c r="AW37">
        <v>100</v>
      </c>
    </row>
    <row r="38" spans="1:49" x14ac:dyDescent="0.25">
      <c r="A38" s="34" t="s">
        <v>115</v>
      </c>
      <c r="B38" s="34" t="str">
        <f>D1_DICIEMBRE_2024[[#This Row],[ASESOR]]</f>
        <v>JHONATAN CHAVEZ</v>
      </c>
      <c r="C38" s="36">
        <f>VLOOKUP(D1_DICIEMBRE_2024[[#This Row],[SUPER]],DATA_DICIEMBRE_2024[[SUPERVISOR]:[META]],3,0)</f>
        <v>17000</v>
      </c>
      <c r="D38" s="35">
        <f>D1_DICIEMBRE_2024[[#This Row],[RECUPERO]]/D1_DICIEMBRE_2024[[#This Row],[META]]</f>
        <v>0.71323529411764708</v>
      </c>
      <c r="E38" s="35" t="str">
        <f>D1_DICIEMBRE_2024[[#This Row],[SUPER]]</f>
        <v>MELITA</v>
      </c>
      <c r="F38" t="s">
        <v>65</v>
      </c>
      <c r="G38" s="3">
        <v>12125</v>
      </c>
      <c r="H38" t="s">
        <v>438</v>
      </c>
      <c r="I38" s="55">
        <v>45021</v>
      </c>
      <c r="J38" s="55" t="s">
        <v>501</v>
      </c>
      <c r="K38" s="55"/>
      <c r="L38" s="55"/>
      <c r="M38">
        <f>DATA_DICIEMBRE_2024[[#This Row],[RECUPERO]]/DATA_DICIEMBRE_2024[[#This Row],[META]]</f>
        <v>1.1184888888888889</v>
      </c>
      <c r="N38" s="5">
        <f>6-ROUNDUP(_xlfn.RANK.EQ(DATA_DICIEMBRE_2024[[#This Row],[AL_AC]],DATA_DICIEMBRE_2024[AL_AC],0)/(COUNTA(DATA_DICIEMBRE_2024[AL_AC])/5),0)</f>
        <v>4</v>
      </c>
      <c r="O38" t="s">
        <v>2</v>
      </c>
      <c r="P38">
        <f>SUM(DATA_DICIEMBRE_2024[[#This Row],[1]:[31]])</f>
        <v>25166</v>
      </c>
      <c r="Q38">
        <v>22500</v>
      </c>
      <c r="R38" t="s">
        <v>57</v>
      </c>
      <c r="W38">
        <v>2925</v>
      </c>
      <c r="X38">
        <v>9049</v>
      </c>
      <c r="AE38">
        <v>3500</v>
      </c>
      <c r="AL38">
        <v>2000</v>
      </c>
      <c r="AO38">
        <v>712</v>
      </c>
      <c r="AR38">
        <v>250</v>
      </c>
      <c r="AS38">
        <v>5000</v>
      </c>
      <c r="AV38">
        <v>1730</v>
      </c>
    </row>
    <row r="39" spans="1:49" x14ac:dyDescent="0.25">
      <c r="A39" s="34" t="s">
        <v>4</v>
      </c>
      <c r="B39" s="34" t="str">
        <f>D1_DICIEMBRE_2024[[#This Row],[ASESOR]]</f>
        <v>JHOVANA TORRES</v>
      </c>
      <c r="C39" s="36">
        <f>VLOOKUP(D1_DICIEMBRE_2024[[#This Row],[SUPER]],DATA_DICIEMBRE_2024[[SUPERVISOR]:[META]],3,0)</f>
        <v>60000</v>
      </c>
      <c r="D39" s="35">
        <f>D1_DICIEMBRE_2024[[#This Row],[RECUPERO]]/D1_DICIEMBRE_2024[[#This Row],[META]]</f>
        <v>0.74175366666666664</v>
      </c>
      <c r="E39" s="35" t="str">
        <f>D1_DICIEMBRE_2024[[#This Row],[SUPER]]</f>
        <v>MELINA</v>
      </c>
      <c r="F39" t="s">
        <v>20</v>
      </c>
      <c r="G39" s="3">
        <v>44505.22</v>
      </c>
      <c r="H39" t="s">
        <v>427</v>
      </c>
      <c r="I39" s="55">
        <v>45142</v>
      </c>
      <c r="J39" s="55" t="s">
        <v>501</v>
      </c>
      <c r="K39" s="55"/>
      <c r="L39" s="55"/>
      <c r="M39">
        <f>DATA_DICIEMBRE_2024[[#This Row],[RECUPERO]]/DATA_DICIEMBRE_2024[[#This Row],[META]]</f>
        <v>0.52352941176470591</v>
      </c>
      <c r="N39" s="5">
        <f>6-ROUNDUP(_xlfn.RANK.EQ(DATA_DICIEMBRE_2024[[#This Row],[AL_AC]],DATA_DICIEMBRE_2024[AL_AC],0)/(COUNTA(DATA_DICIEMBRE_2024[AL_AC])/5),0)</f>
        <v>2</v>
      </c>
      <c r="O39" t="s">
        <v>115</v>
      </c>
      <c r="P39">
        <f>SUM(DATA_DICIEMBRE_2024[[#This Row],[1]:[31]])</f>
        <v>8900</v>
      </c>
      <c r="Q39">
        <v>17000</v>
      </c>
      <c r="R39" t="s">
        <v>49</v>
      </c>
      <c r="U39">
        <v>550</v>
      </c>
      <c r="X39">
        <v>950</v>
      </c>
      <c r="AC39">
        <v>1000</v>
      </c>
      <c r="AD39">
        <v>250</v>
      </c>
      <c r="AE39">
        <v>500</v>
      </c>
      <c r="AH39">
        <v>200</v>
      </c>
      <c r="AI39">
        <v>700</v>
      </c>
      <c r="AJ39">
        <v>500</v>
      </c>
      <c r="AK39">
        <v>210</v>
      </c>
      <c r="AL39">
        <v>2120</v>
      </c>
      <c r="AP39">
        <v>270</v>
      </c>
      <c r="AR39">
        <v>300</v>
      </c>
      <c r="AT39">
        <v>1100</v>
      </c>
      <c r="AV39">
        <v>250</v>
      </c>
    </row>
    <row r="40" spans="1:49" x14ac:dyDescent="0.25">
      <c r="A40" s="34" t="s">
        <v>6</v>
      </c>
      <c r="B40" s="34" t="str">
        <f>D1_DICIEMBRE_2024[[#This Row],[ASESOR]]</f>
        <v>JIMENA MEDINA</v>
      </c>
      <c r="C40" s="36">
        <f>VLOOKUP(D1_DICIEMBRE_2024[[#This Row],[SUPER]],DATA_DICIEMBRE_2024[[SUPERVISOR]:[META]],3,0)</f>
        <v>20500</v>
      </c>
      <c r="D40" s="35">
        <f>D1_DICIEMBRE_2024[[#This Row],[RECUPERO]]/D1_DICIEMBRE_2024[[#This Row],[META]]</f>
        <v>0.60699999999999998</v>
      </c>
      <c r="E40" s="35" t="str">
        <f>D1_DICIEMBRE_2024[[#This Row],[SUPER]]</f>
        <v>KENNETH</v>
      </c>
      <c r="F40" t="s">
        <v>37</v>
      </c>
      <c r="G40" s="3">
        <v>12443.5</v>
      </c>
      <c r="H40" t="s">
        <v>400</v>
      </c>
      <c r="I40" s="55">
        <v>43132</v>
      </c>
      <c r="J40" s="55" t="s">
        <v>501</v>
      </c>
      <c r="K40" s="55"/>
      <c r="L40" s="55"/>
      <c r="M40">
        <f>DATA_DICIEMBRE_2024[[#This Row],[RECUPERO]]/DATA_DICIEMBRE_2024[[#This Row],[META]]</f>
        <v>0.99711111111111106</v>
      </c>
      <c r="N40" s="5">
        <f>6-ROUNDUP(_xlfn.RANK.EQ(DATA_DICIEMBRE_2024[[#This Row],[AL_AC]],DATA_DICIEMBRE_2024[AL_AC],0)/(COUNTA(DATA_DICIEMBRE_2024[AL_AC])/5),0)</f>
        <v>4</v>
      </c>
      <c r="O40" t="s">
        <v>2</v>
      </c>
      <c r="P40">
        <f>SUM(DATA_DICIEMBRE_2024[[#This Row],[1]:[31]])</f>
        <v>22435</v>
      </c>
      <c r="Q40">
        <v>22500</v>
      </c>
      <c r="R40" t="s">
        <v>26</v>
      </c>
      <c r="U40">
        <v>1300</v>
      </c>
      <c r="V40">
        <v>850</v>
      </c>
      <c r="W40">
        <v>510</v>
      </c>
      <c r="X40">
        <v>1800</v>
      </c>
      <c r="AB40">
        <v>3700</v>
      </c>
      <c r="AF40">
        <v>1160</v>
      </c>
      <c r="AG40">
        <v>100</v>
      </c>
      <c r="AH40">
        <v>2200</v>
      </c>
      <c r="AI40">
        <v>150</v>
      </c>
      <c r="AJ40">
        <v>400</v>
      </c>
      <c r="AM40">
        <v>1700</v>
      </c>
      <c r="AO40">
        <v>1030</v>
      </c>
      <c r="AR40">
        <v>1450</v>
      </c>
      <c r="AS40">
        <v>300</v>
      </c>
      <c r="AT40">
        <v>320</v>
      </c>
      <c r="AV40">
        <v>4500</v>
      </c>
      <c r="AW40">
        <v>965</v>
      </c>
    </row>
    <row r="41" spans="1:49" x14ac:dyDescent="0.25">
      <c r="A41" s="34" t="s">
        <v>2</v>
      </c>
      <c r="B41" s="34" t="str">
        <f>D1_DICIEMBRE_2024[[#This Row],[ASESOR]]</f>
        <v>JOANA GIL</v>
      </c>
      <c r="C41" s="36">
        <f>VLOOKUP(D1_DICIEMBRE_2024[[#This Row],[SUPER]],DATA_DICIEMBRE_2024[[SUPERVISOR]:[META]],3,0)</f>
        <v>22500</v>
      </c>
      <c r="D41" s="35">
        <f>D1_DICIEMBRE_2024[[#This Row],[RECUPERO]]/D1_DICIEMBRE_2024[[#This Row],[META]]</f>
        <v>0.50675999999999999</v>
      </c>
      <c r="E41" s="35" t="str">
        <f>D1_DICIEMBRE_2024[[#This Row],[SUPER]]</f>
        <v>JORGE</v>
      </c>
      <c r="F41" t="s">
        <v>106</v>
      </c>
      <c r="G41" s="3">
        <v>11402.1</v>
      </c>
      <c r="H41" t="s">
        <v>392</v>
      </c>
      <c r="I41" s="55">
        <v>44748</v>
      </c>
      <c r="J41" s="55" t="s">
        <v>501</v>
      </c>
      <c r="K41" s="55"/>
      <c r="L41" s="55"/>
      <c r="M41">
        <f>DATA_DICIEMBRE_2024[[#This Row],[RECUPERO]]/DATA_DICIEMBRE_2024[[#This Row],[META]]</f>
        <v>0.71166666666666667</v>
      </c>
      <c r="N41" s="5">
        <f>6-ROUNDUP(_xlfn.RANK.EQ(DATA_DICIEMBRE_2024[[#This Row],[AL_AC]],DATA_DICIEMBRE_2024[AL_AC],0)/(COUNTA(DATA_DICIEMBRE_2024[AL_AC])/5),0)</f>
        <v>3</v>
      </c>
      <c r="O41" t="s">
        <v>4</v>
      </c>
      <c r="P41">
        <f>SUM(DATA_DICIEMBRE_2024[[#This Row],[1]:[31]])</f>
        <v>42700</v>
      </c>
      <c r="Q41">
        <v>60000</v>
      </c>
      <c r="R41" t="s">
        <v>122</v>
      </c>
      <c r="U41">
        <v>12000</v>
      </c>
      <c r="X41">
        <v>8000</v>
      </c>
      <c r="AE41">
        <v>1800</v>
      </c>
      <c r="AI41">
        <v>4000</v>
      </c>
      <c r="AJ41">
        <v>2000</v>
      </c>
      <c r="AK41">
        <v>1670</v>
      </c>
      <c r="AL41">
        <v>4700</v>
      </c>
      <c r="AO41">
        <v>900</v>
      </c>
      <c r="AP41">
        <v>1000</v>
      </c>
      <c r="AR41">
        <v>1540</v>
      </c>
      <c r="AS41">
        <v>2000</v>
      </c>
      <c r="AT41">
        <v>1170</v>
      </c>
      <c r="AV41">
        <v>1920</v>
      </c>
    </row>
    <row r="42" spans="1:49" x14ac:dyDescent="0.25">
      <c r="A42" s="34" t="s">
        <v>3</v>
      </c>
      <c r="B42" s="34" t="str">
        <f>D1_DICIEMBRE_2024[[#This Row],[ASESOR]]</f>
        <v>JOSUE CHOCCE</v>
      </c>
      <c r="C42" s="36">
        <f>VLOOKUP(D1_DICIEMBRE_2024[[#This Row],[SUPER]],DATA_DICIEMBRE_2024[[SUPERVISOR]:[META]],3,0)</f>
        <v>60000</v>
      </c>
      <c r="D42" s="35">
        <f>D1_DICIEMBRE_2024[[#This Row],[RECUPERO]]/D1_DICIEMBRE_2024[[#This Row],[META]]</f>
        <v>4.3333333333333335E-2</v>
      </c>
      <c r="E42" s="35" t="str">
        <f>D1_DICIEMBRE_2024[[#This Row],[SUPER]]</f>
        <v>SANDY</v>
      </c>
      <c r="F42" t="s">
        <v>123</v>
      </c>
      <c r="G42" s="3">
        <v>2600</v>
      </c>
      <c r="H42" t="s">
        <v>444</v>
      </c>
      <c r="I42" s="55">
        <v>0</v>
      </c>
      <c r="J42" s="55" t="s">
        <v>501</v>
      </c>
      <c r="K42" s="55"/>
      <c r="L42" s="55"/>
      <c r="M42">
        <f>DATA_DICIEMBRE_2024[[#This Row],[RECUPERO]]/DATA_DICIEMBRE_2024[[#This Row],[META]]</f>
        <v>1.3267</v>
      </c>
      <c r="N42" s="5">
        <f>6-ROUNDUP(_xlfn.RANK.EQ(DATA_DICIEMBRE_2024[[#This Row],[AL_AC]],DATA_DICIEMBRE_2024[AL_AC],0)/(COUNTA(DATA_DICIEMBRE_2024[AL_AC])/5),0)</f>
        <v>5</v>
      </c>
      <c r="O42" t="s">
        <v>5</v>
      </c>
      <c r="P42">
        <f>SUM(DATA_DICIEMBRE_2024[[#This Row],[1]:[31]])</f>
        <v>79602</v>
      </c>
      <c r="Q42">
        <v>60000</v>
      </c>
      <c r="R42" t="s">
        <v>116</v>
      </c>
      <c r="S42">
        <v>300</v>
      </c>
      <c r="T42">
        <v>3000</v>
      </c>
      <c r="U42">
        <v>250</v>
      </c>
      <c r="W42">
        <v>600</v>
      </c>
      <c r="X42">
        <v>4000</v>
      </c>
      <c r="AB42">
        <v>800</v>
      </c>
      <c r="AC42">
        <v>2852</v>
      </c>
      <c r="AD42">
        <v>700</v>
      </c>
      <c r="AE42">
        <v>13000</v>
      </c>
      <c r="AH42">
        <v>950</v>
      </c>
      <c r="AI42">
        <v>11000</v>
      </c>
      <c r="AK42">
        <v>7080</v>
      </c>
      <c r="AL42">
        <v>7500</v>
      </c>
      <c r="AO42">
        <v>500</v>
      </c>
      <c r="AP42">
        <v>7500</v>
      </c>
      <c r="AT42">
        <v>800</v>
      </c>
      <c r="AV42">
        <v>970</v>
      </c>
      <c r="AW42">
        <v>17800</v>
      </c>
    </row>
    <row r="43" spans="1:49" x14ac:dyDescent="0.25">
      <c r="A43" s="34" t="s">
        <v>2</v>
      </c>
      <c r="B43" s="34" t="str">
        <f>D1_DICIEMBRE_2024[[#This Row],[ASESOR]]</f>
        <v>JUAN ALANOCCA</v>
      </c>
      <c r="C43" s="36">
        <f>VLOOKUP(D1_DICIEMBRE_2024[[#This Row],[SUPER]],DATA_DICIEMBRE_2024[[SUPERVISOR]:[META]],3,0)</f>
        <v>22500</v>
      </c>
      <c r="D43" s="35">
        <f>D1_DICIEMBRE_2024[[#This Row],[RECUPERO]]/D1_DICIEMBRE_2024[[#This Row],[META]]</f>
        <v>0.64533333333333331</v>
      </c>
      <c r="E43" s="35" t="str">
        <f>D1_DICIEMBRE_2024[[#This Row],[SUPER]]</f>
        <v>JORGE</v>
      </c>
      <c r="F43" t="s">
        <v>77</v>
      </c>
      <c r="G43" s="3">
        <v>14520</v>
      </c>
      <c r="H43" t="s">
        <v>393</v>
      </c>
      <c r="I43" s="55">
        <v>44840</v>
      </c>
      <c r="J43" s="55" t="s">
        <v>501</v>
      </c>
      <c r="K43" s="55"/>
      <c r="L43" s="55"/>
      <c r="M43">
        <f>DATA_DICIEMBRE_2024[[#This Row],[RECUPERO]]/DATA_DICIEMBRE_2024[[#This Row],[META]]</f>
        <v>0.6634146341463415</v>
      </c>
      <c r="N43" s="5">
        <f>6-ROUNDUP(_xlfn.RANK.EQ(DATA_DICIEMBRE_2024[[#This Row],[AL_AC]],DATA_DICIEMBRE_2024[AL_AC],0)/(COUNTA(DATA_DICIEMBRE_2024[AL_AC])/5),0)</f>
        <v>3</v>
      </c>
      <c r="O43" t="s">
        <v>6</v>
      </c>
      <c r="P43">
        <f>SUM(DATA_DICIEMBRE_2024[[#This Row],[1]:[31]])</f>
        <v>13600</v>
      </c>
      <c r="Q43">
        <v>20500</v>
      </c>
      <c r="R43" t="s">
        <v>551</v>
      </c>
      <c r="W43">
        <v>300</v>
      </c>
      <c r="AC43">
        <v>2200</v>
      </c>
      <c r="AI43">
        <v>1500</v>
      </c>
      <c r="AJ43">
        <v>2600</v>
      </c>
      <c r="AR43">
        <v>7000</v>
      </c>
    </row>
    <row r="44" spans="1:49" x14ac:dyDescent="0.25">
      <c r="A44" s="34" t="s">
        <v>6</v>
      </c>
      <c r="B44" s="34" t="str">
        <f>D1_DICIEMBRE_2024[[#This Row],[ASESOR]]</f>
        <v>JUAN LOZA</v>
      </c>
      <c r="C44" s="36">
        <f>VLOOKUP(D1_DICIEMBRE_2024[[#This Row],[SUPER]],DATA_DICIEMBRE_2024[[SUPERVISOR]:[META]],3,0)</f>
        <v>20500</v>
      </c>
      <c r="D44" s="35">
        <f>D1_DICIEMBRE_2024[[#This Row],[RECUPERO]]/D1_DICIEMBRE_2024[[#This Row],[META]]</f>
        <v>1.0087804878048781</v>
      </c>
      <c r="E44" s="35" t="str">
        <f>D1_DICIEMBRE_2024[[#This Row],[SUPER]]</f>
        <v>KENNETH</v>
      </c>
      <c r="F44" t="s">
        <v>35</v>
      </c>
      <c r="G44" s="3">
        <v>20680</v>
      </c>
      <c r="H44" t="s">
        <v>401</v>
      </c>
      <c r="I44" s="55">
        <v>44748</v>
      </c>
      <c r="J44" s="55" t="s">
        <v>501</v>
      </c>
      <c r="K44" s="55"/>
      <c r="L44" s="55"/>
      <c r="M44">
        <f>DATA_DICIEMBRE_2024[[#This Row],[RECUPERO]]/DATA_DICIEMBRE_2024[[#This Row],[META]]</f>
        <v>0.71323529411764708</v>
      </c>
      <c r="N44" s="5">
        <f>6-ROUNDUP(_xlfn.RANK.EQ(DATA_DICIEMBRE_2024[[#This Row],[AL_AC]],DATA_DICIEMBRE_2024[AL_AC],0)/(COUNTA(DATA_DICIEMBRE_2024[AL_AC])/5),0)</f>
        <v>4</v>
      </c>
      <c r="O44" t="s">
        <v>115</v>
      </c>
      <c r="P44">
        <f>SUM(DATA_DICIEMBRE_2024[[#This Row],[1]:[31]])</f>
        <v>12125</v>
      </c>
      <c r="Q44">
        <v>17000</v>
      </c>
      <c r="R44" t="s">
        <v>65</v>
      </c>
      <c r="T44">
        <v>1600</v>
      </c>
      <c r="U44">
        <v>100</v>
      </c>
      <c r="X44">
        <v>230</v>
      </c>
      <c r="AB44">
        <v>300</v>
      </c>
      <c r="AF44">
        <v>200</v>
      </c>
      <c r="AH44">
        <v>850</v>
      </c>
      <c r="AI44">
        <v>100</v>
      </c>
      <c r="AJ44">
        <v>1425</v>
      </c>
      <c r="AK44">
        <v>570</v>
      </c>
      <c r="AL44">
        <v>1250</v>
      </c>
      <c r="AM44">
        <v>2000</v>
      </c>
      <c r="AO44">
        <v>420</v>
      </c>
      <c r="AP44">
        <v>220</v>
      </c>
      <c r="AR44">
        <v>1825</v>
      </c>
      <c r="AS44">
        <v>120</v>
      </c>
      <c r="AV44">
        <v>315</v>
      </c>
      <c r="AW44">
        <v>600</v>
      </c>
    </row>
    <row r="45" spans="1:49" x14ac:dyDescent="0.25">
      <c r="A45" s="34" t="s">
        <v>2</v>
      </c>
      <c r="B45" s="34" t="str">
        <f>D1_DICIEMBRE_2024[[#This Row],[ASESOR]]</f>
        <v>KATYUSCA LEVANO</v>
      </c>
      <c r="C45" s="36">
        <f>VLOOKUP(D1_DICIEMBRE_2024[[#This Row],[SUPER]],DATA_DICIEMBRE_2024[[SUPERVISOR]:[META]],3,0)</f>
        <v>22500</v>
      </c>
      <c r="D45" s="35">
        <f>D1_DICIEMBRE_2024[[#This Row],[RECUPERO]]/D1_DICIEMBRE_2024[[#This Row],[META]]</f>
        <v>0.35551111111111111</v>
      </c>
      <c r="E45" s="35" t="str">
        <f>D1_DICIEMBRE_2024[[#This Row],[SUPER]]</f>
        <v>JORGE</v>
      </c>
      <c r="F45" t="s">
        <v>46</v>
      </c>
      <c r="G45" s="3">
        <v>7999</v>
      </c>
      <c r="H45" t="s">
        <v>394</v>
      </c>
      <c r="I45" s="55">
        <v>45344</v>
      </c>
      <c r="J45" s="55" t="s">
        <v>501</v>
      </c>
      <c r="K45" s="55"/>
      <c r="L45" s="55"/>
      <c r="M45">
        <f>DATA_DICIEMBRE_2024[[#This Row],[RECUPERO]]/DATA_DICIEMBRE_2024[[#This Row],[META]]</f>
        <v>0.74175366666666664</v>
      </c>
      <c r="N45" s="5">
        <f>6-ROUNDUP(_xlfn.RANK.EQ(DATA_DICIEMBRE_2024[[#This Row],[AL_AC]],DATA_DICIEMBRE_2024[AL_AC],0)/(COUNTA(DATA_DICIEMBRE_2024[AL_AC])/5),0)</f>
        <v>4</v>
      </c>
      <c r="O45" t="s">
        <v>4</v>
      </c>
      <c r="P45">
        <f>SUM(DATA_DICIEMBRE_2024[[#This Row],[1]:[31]])</f>
        <v>44505.22</v>
      </c>
      <c r="Q45">
        <v>60000</v>
      </c>
      <c r="R45" t="s">
        <v>20</v>
      </c>
      <c r="T45">
        <v>590</v>
      </c>
      <c r="W45">
        <v>356</v>
      </c>
      <c r="X45">
        <v>9000</v>
      </c>
      <c r="AD45">
        <v>205</v>
      </c>
      <c r="AI45">
        <v>2300</v>
      </c>
      <c r="AJ45">
        <v>300</v>
      </c>
      <c r="AK45">
        <v>1140.22</v>
      </c>
      <c r="AL45">
        <v>9425</v>
      </c>
      <c r="AS45">
        <v>2500</v>
      </c>
      <c r="AV45">
        <v>16850</v>
      </c>
      <c r="AW45">
        <v>1839</v>
      </c>
    </row>
    <row r="46" spans="1:49" x14ac:dyDescent="0.25">
      <c r="A46" s="34" t="s">
        <v>6</v>
      </c>
      <c r="B46" s="34" t="str">
        <f>D1_DICIEMBRE_2024[[#This Row],[ASESOR]]</f>
        <v>KIARA CANEPA</v>
      </c>
      <c r="C46" s="36">
        <f>VLOOKUP(D1_DICIEMBRE_2024[[#This Row],[SUPER]],DATA_DICIEMBRE_2024[[SUPERVISOR]:[META]],3,0)</f>
        <v>20500</v>
      </c>
      <c r="D46" s="35">
        <f>D1_DICIEMBRE_2024[[#This Row],[RECUPERO]]/D1_DICIEMBRE_2024[[#This Row],[META]]</f>
        <v>0.15960975609756098</v>
      </c>
      <c r="E46" s="35" t="str">
        <f>D1_DICIEMBRE_2024[[#This Row],[SUPER]]</f>
        <v>KENNETH</v>
      </c>
      <c r="F46" t="s">
        <v>50</v>
      </c>
      <c r="G46" s="3">
        <v>3272</v>
      </c>
      <c r="H46" t="s">
        <v>402</v>
      </c>
      <c r="I46" s="55">
        <v>45523</v>
      </c>
      <c r="J46" s="55" t="s">
        <v>501</v>
      </c>
      <c r="K46" s="55"/>
      <c r="L46" s="55"/>
      <c r="M46">
        <f>DATA_DICIEMBRE_2024[[#This Row],[RECUPERO]]/DATA_DICIEMBRE_2024[[#This Row],[META]]</f>
        <v>0.60699999999999998</v>
      </c>
      <c r="N46" s="5">
        <f>6-ROUNDUP(_xlfn.RANK.EQ(DATA_DICIEMBRE_2024[[#This Row],[AL_AC]],DATA_DICIEMBRE_2024[AL_AC],0)/(COUNTA(DATA_DICIEMBRE_2024[AL_AC])/5),0)</f>
        <v>3</v>
      </c>
      <c r="O46" t="s">
        <v>6</v>
      </c>
      <c r="P46">
        <f>SUM(DATA_DICIEMBRE_2024[[#This Row],[1]:[31]])</f>
        <v>12443.5</v>
      </c>
      <c r="Q46">
        <v>20500</v>
      </c>
      <c r="R46" t="s">
        <v>37</v>
      </c>
      <c r="T46">
        <v>750</v>
      </c>
      <c r="U46">
        <v>500</v>
      </c>
      <c r="X46">
        <v>1100</v>
      </c>
      <c r="AD46">
        <v>5000</v>
      </c>
      <c r="AE46">
        <v>2300</v>
      </c>
      <c r="AK46">
        <v>1900</v>
      </c>
      <c r="AQ46">
        <v>653.5</v>
      </c>
      <c r="AR46">
        <v>240</v>
      </c>
    </row>
    <row r="47" spans="1:49" x14ac:dyDescent="0.25">
      <c r="A47" s="34" t="s">
        <v>115</v>
      </c>
      <c r="B47" s="34" t="str">
        <f>D1_DICIEMBRE_2024[[#This Row],[ASESOR]]</f>
        <v>LINDA TUESTA</v>
      </c>
      <c r="C47" s="36">
        <f>VLOOKUP(D1_DICIEMBRE_2024[[#This Row],[SUPER]],DATA_DICIEMBRE_2024[[SUPERVISOR]:[META]],3,0)</f>
        <v>17000</v>
      </c>
      <c r="D47" s="35">
        <f>D1_DICIEMBRE_2024[[#This Row],[RECUPERO]]/D1_DICIEMBRE_2024[[#This Row],[META]]</f>
        <v>0.59274117647058822</v>
      </c>
      <c r="E47" s="35" t="str">
        <f>D1_DICIEMBRE_2024[[#This Row],[SUPER]]</f>
        <v>MELITA</v>
      </c>
      <c r="F47" t="s">
        <v>33</v>
      </c>
      <c r="G47" s="3">
        <v>10076.6</v>
      </c>
      <c r="H47" t="s">
        <v>439</v>
      </c>
      <c r="I47" s="55">
        <v>44869</v>
      </c>
      <c r="J47" s="55" t="s">
        <v>501</v>
      </c>
      <c r="K47" s="55"/>
      <c r="L47" s="55"/>
      <c r="M47">
        <f>DATA_DICIEMBRE_2024[[#This Row],[RECUPERO]]/DATA_DICIEMBRE_2024[[#This Row],[META]]</f>
        <v>0.50675999999999999</v>
      </c>
      <c r="N47" s="5">
        <f>6-ROUNDUP(_xlfn.RANK.EQ(DATA_DICIEMBRE_2024[[#This Row],[AL_AC]],DATA_DICIEMBRE_2024[AL_AC],0)/(COUNTA(DATA_DICIEMBRE_2024[AL_AC])/5),0)</f>
        <v>2</v>
      </c>
      <c r="O47" t="s">
        <v>2</v>
      </c>
      <c r="P47">
        <f>SUM(DATA_DICIEMBRE_2024[[#This Row],[1]:[31]])</f>
        <v>11402.1</v>
      </c>
      <c r="Q47">
        <v>22500</v>
      </c>
      <c r="R47" t="s">
        <v>106</v>
      </c>
      <c r="T47">
        <v>600</v>
      </c>
      <c r="V47">
        <v>300</v>
      </c>
      <c r="X47">
        <v>650</v>
      </c>
      <c r="AB47">
        <v>204</v>
      </c>
      <c r="AF47">
        <v>320</v>
      </c>
      <c r="AG47">
        <v>300</v>
      </c>
      <c r="AI47">
        <v>1000.1</v>
      </c>
      <c r="AJ47">
        <v>496</v>
      </c>
      <c r="AL47">
        <v>990</v>
      </c>
      <c r="AO47">
        <v>1820</v>
      </c>
      <c r="AP47">
        <v>252</v>
      </c>
      <c r="AR47">
        <v>1200</v>
      </c>
      <c r="AS47">
        <v>400</v>
      </c>
      <c r="AT47">
        <v>350</v>
      </c>
      <c r="AV47">
        <v>1620</v>
      </c>
      <c r="AW47">
        <v>900</v>
      </c>
    </row>
    <row r="48" spans="1:49" x14ac:dyDescent="0.25">
      <c r="A48" s="34" t="s">
        <v>5</v>
      </c>
      <c r="B48" s="34" t="str">
        <f>D1_DICIEMBRE_2024[[#This Row],[ASESOR]]</f>
        <v>LISBETH RODRIGUEZ</v>
      </c>
      <c r="C48" s="36">
        <f>VLOOKUP(D1_DICIEMBRE_2024[[#This Row],[SUPER]],DATA_DICIEMBRE_2024[[SUPERVISOR]:[META]],3,0)</f>
        <v>60000</v>
      </c>
      <c r="D48" s="35">
        <f>D1_DICIEMBRE_2024[[#This Row],[RECUPERO]]/D1_DICIEMBRE_2024[[#This Row],[META]]</f>
        <v>1.1223833333333333</v>
      </c>
      <c r="E48" s="35" t="str">
        <f>D1_DICIEMBRE_2024[[#This Row],[SUPER]]</f>
        <v>JORDAN</v>
      </c>
      <c r="F48" t="s">
        <v>541</v>
      </c>
      <c r="G48" s="3">
        <v>67343</v>
      </c>
      <c r="H48" t="s">
        <v>542</v>
      </c>
      <c r="I48" s="55">
        <v>45131</v>
      </c>
      <c r="J48" s="55" t="s">
        <v>501</v>
      </c>
      <c r="K48" s="55"/>
      <c r="L48" s="55"/>
      <c r="M48">
        <f>DATA_DICIEMBRE_2024[[#This Row],[RECUPERO]]/DATA_DICIEMBRE_2024[[#This Row],[META]]</f>
        <v>4.3333333333333335E-2</v>
      </c>
      <c r="N48" s="5">
        <f>6-ROUNDUP(_xlfn.RANK.EQ(DATA_DICIEMBRE_2024[[#This Row],[AL_AC]],DATA_DICIEMBRE_2024[AL_AC],0)/(COUNTA(DATA_DICIEMBRE_2024[AL_AC])/5),0)</f>
        <v>1</v>
      </c>
      <c r="O48" t="s">
        <v>3</v>
      </c>
      <c r="P48">
        <f>SUM(DATA_DICIEMBRE_2024[[#This Row],[1]:[31]])</f>
        <v>2600</v>
      </c>
      <c r="Q48">
        <v>60000</v>
      </c>
      <c r="R48" t="s">
        <v>123</v>
      </c>
      <c r="AJ48">
        <v>800</v>
      </c>
      <c r="AL48">
        <v>1800</v>
      </c>
    </row>
    <row r="49" spans="1:49" x14ac:dyDescent="0.25">
      <c r="A49" s="34" t="s">
        <v>3</v>
      </c>
      <c r="B49" s="34" t="str">
        <f>D1_DICIEMBRE_2024[[#This Row],[ASESOR]]</f>
        <v>LISELY MERA</v>
      </c>
      <c r="C49" s="36">
        <f>VLOOKUP(D1_DICIEMBRE_2024[[#This Row],[SUPER]],DATA_DICIEMBRE_2024[[SUPERVISOR]:[META]],3,0)</f>
        <v>60000</v>
      </c>
      <c r="D49" s="35">
        <f>D1_DICIEMBRE_2024[[#This Row],[RECUPERO]]/D1_DICIEMBRE_2024[[#This Row],[META]]</f>
        <v>2.4832333333333332</v>
      </c>
      <c r="E49" s="35" t="str">
        <f>D1_DICIEMBRE_2024[[#This Row],[SUPER]]</f>
        <v>SANDY</v>
      </c>
      <c r="F49" t="s">
        <v>23</v>
      </c>
      <c r="G49" s="3">
        <v>148994</v>
      </c>
      <c r="H49" t="s">
        <v>445</v>
      </c>
      <c r="I49" s="55">
        <v>44111</v>
      </c>
      <c r="J49" s="55" t="s">
        <v>501</v>
      </c>
      <c r="K49" s="55"/>
      <c r="L49" s="55"/>
      <c r="M49">
        <f>DATA_DICIEMBRE_2024[[#This Row],[RECUPERO]]/DATA_DICIEMBRE_2024[[#This Row],[META]]</f>
        <v>0.64533333333333331</v>
      </c>
      <c r="N49" s="5">
        <f>6-ROUNDUP(_xlfn.RANK.EQ(DATA_DICIEMBRE_2024[[#This Row],[AL_AC]],DATA_DICIEMBRE_2024[AL_AC],0)/(COUNTA(DATA_DICIEMBRE_2024[AL_AC])/5),0)</f>
        <v>3</v>
      </c>
      <c r="O49" t="s">
        <v>2</v>
      </c>
      <c r="P49">
        <f>SUM(DATA_DICIEMBRE_2024[[#This Row],[1]:[31]])</f>
        <v>14520</v>
      </c>
      <c r="Q49">
        <v>22500</v>
      </c>
      <c r="R49" t="s">
        <v>77</v>
      </c>
      <c r="U49">
        <v>300</v>
      </c>
      <c r="V49">
        <v>50</v>
      </c>
      <c r="X49">
        <v>400</v>
      </c>
      <c r="AD49">
        <v>4500</v>
      </c>
      <c r="AH49">
        <v>100</v>
      </c>
      <c r="AI49">
        <v>500</v>
      </c>
      <c r="AJ49">
        <v>2440</v>
      </c>
      <c r="AK49">
        <v>100</v>
      </c>
      <c r="AO49">
        <v>2200</v>
      </c>
      <c r="AP49">
        <v>210</v>
      </c>
      <c r="AS49">
        <v>1511</v>
      </c>
      <c r="AT49">
        <v>599</v>
      </c>
      <c r="AV49">
        <v>1055</v>
      </c>
      <c r="AW49">
        <v>555</v>
      </c>
    </row>
    <row r="50" spans="1:49" x14ac:dyDescent="0.25">
      <c r="A50" s="34" t="s">
        <v>115</v>
      </c>
      <c r="B50" s="34" t="str">
        <f>D1_DICIEMBRE_2024[[#This Row],[ASESOR]]</f>
        <v>LIZ INGA</v>
      </c>
      <c r="C50" s="36">
        <f>VLOOKUP(D1_DICIEMBRE_2024[[#This Row],[SUPER]],DATA_DICIEMBRE_2024[[SUPERVISOR]:[META]],3,0)</f>
        <v>17000</v>
      </c>
      <c r="D50" s="35">
        <f>D1_DICIEMBRE_2024[[#This Row],[RECUPERO]]/D1_DICIEMBRE_2024[[#This Row],[META]]</f>
        <v>0.22564705882352942</v>
      </c>
      <c r="E50" s="35" t="str">
        <f>D1_DICIEMBRE_2024[[#This Row],[SUPER]]</f>
        <v>MELITA</v>
      </c>
      <c r="F50" t="s">
        <v>552</v>
      </c>
      <c r="G50" s="3">
        <v>3836</v>
      </c>
      <c r="H50" t="s">
        <v>554</v>
      </c>
      <c r="I50" s="55">
        <v>44830</v>
      </c>
      <c r="J50" s="55" t="s">
        <v>501</v>
      </c>
      <c r="K50" s="55"/>
      <c r="L50" s="55"/>
      <c r="M50">
        <f>DATA_DICIEMBRE_2024[[#This Row],[RECUPERO]]/DATA_DICIEMBRE_2024[[#This Row],[META]]</f>
        <v>1.0087804878048781</v>
      </c>
      <c r="N50" s="5">
        <f>6-ROUNDUP(_xlfn.RANK.EQ(DATA_DICIEMBRE_2024[[#This Row],[AL_AC]],DATA_DICIEMBRE_2024[AL_AC],0)/(COUNTA(DATA_DICIEMBRE_2024[AL_AC])/5),0)</f>
        <v>4</v>
      </c>
      <c r="O50" t="s">
        <v>6</v>
      </c>
      <c r="P50">
        <f>SUM(DATA_DICIEMBRE_2024[[#This Row],[1]:[31]])</f>
        <v>20680</v>
      </c>
      <c r="Q50">
        <v>20500</v>
      </c>
      <c r="R50" t="s">
        <v>35</v>
      </c>
      <c r="S50">
        <v>250</v>
      </c>
      <c r="U50">
        <v>500</v>
      </c>
      <c r="Y50">
        <v>250</v>
      </c>
      <c r="AB50">
        <v>3480</v>
      </c>
      <c r="AE50">
        <v>900</v>
      </c>
      <c r="AH50">
        <v>450</v>
      </c>
      <c r="AK50">
        <v>5000</v>
      </c>
      <c r="AL50">
        <v>240</v>
      </c>
      <c r="AM50">
        <v>300</v>
      </c>
      <c r="AN50">
        <v>300</v>
      </c>
      <c r="AR50">
        <v>250</v>
      </c>
      <c r="AS50">
        <v>3600</v>
      </c>
      <c r="AV50">
        <v>660</v>
      </c>
      <c r="AW50">
        <v>4500</v>
      </c>
    </row>
    <row r="51" spans="1:49" x14ac:dyDescent="0.25">
      <c r="A51" s="34" t="s">
        <v>115</v>
      </c>
      <c r="B51" s="34" t="str">
        <f>D1_DICIEMBRE_2024[[#This Row],[ASESOR]]</f>
        <v>LUCERO JORDAN</v>
      </c>
      <c r="C51" s="36">
        <f>VLOOKUP(D1_DICIEMBRE_2024[[#This Row],[SUPER]],DATA_DICIEMBRE_2024[[SUPERVISOR]:[META]],3,0)</f>
        <v>17000</v>
      </c>
      <c r="D51" s="35">
        <f>D1_DICIEMBRE_2024[[#This Row],[RECUPERO]]/D1_DICIEMBRE_2024[[#This Row],[META]]</f>
        <v>0.61941176470588233</v>
      </c>
      <c r="E51" s="35" t="str">
        <f>D1_DICIEMBRE_2024[[#This Row],[SUPER]]</f>
        <v>MELITA</v>
      </c>
      <c r="F51" t="s">
        <v>68</v>
      </c>
      <c r="G51" s="3">
        <v>10530</v>
      </c>
      <c r="H51" t="s">
        <v>440</v>
      </c>
      <c r="I51" s="55">
        <v>45364</v>
      </c>
      <c r="J51" s="55" t="s">
        <v>501</v>
      </c>
      <c r="K51" s="55"/>
      <c r="L51" s="55"/>
      <c r="M51">
        <f>DATA_DICIEMBRE_2024[[#This Row],[RECUPERO]]/DATA_DICIEMBRE_2024[[#This Row],[META]]</f>
        <v>0.35551111111111111</v>
      </c>
      <c r="N51" s="5">
        <f>6-ROUNDUP(_xlfn.RANK.EQ(DATA_DICIEMBRE_2024[[#This Row],[AL_AC]],DATA_DICIEMBRE_2024[AL_AC],0)/(COUNTA(DATA_DICIEMBRE_2024[AL_AC])/5),0)</f>
        <v>1</v>
      </c>
      <c r="O51" t="s">
        <v>2</v>
      </c>
      <c r="P51">
        <f>SUM(DATA_DICIEMBRE_2024[[#This Row],[1]:[31]])</f>
        <v>7999</v>
      </c>
      <c r="Q51">
        <v>22500</v>
      </c>
      <c r="R51" t="s">
        <v>46</v>
      </c>
      <c r="T51">
        <v>285</v>
      </c>
      <c r="U51">
        <v>1000</v>
      </c>
      <c r="AE51">
        <v>250</v>
      </c>
      <c r="AO51">
        <v>1457</v>
      </c>
      <c r="AR51">
        <v>500</v>
      </c>
      <c r="AV51">
        <v>307</v>
      </c>
      <c r="AW51">
        <v>4200</v>
      </c>
    </row>
    <row r="52" spans="1:49" x14ac:dyDescent="0.25">
      <c r="A52" s="34" t="s">
        <v>6</v>
      </c>
      <c r="B52" s="34" t="str">
        <f>D1_DICIEMBRE_2024[[#This Row],[ASESOR]]</f>
        <v>LUIS CENTENO</v>
      </c>
      <c r="C52" s="36">
        <f>VLOOKUP(D1_DICIEMBRE_2024[[#This Row],[SUPER]],DATA_DICIEMBRE_2024[[SUPERVISOR]:[META]],3,0)</f>
        <v>20500</v>
      </c>
      <c r="D52" s="35">
        <f>D1_DICIEMBRE_2024[[#This Row],[RECUPERO]]/D1_DICIEMBRE_2024[[#This Row],[META]]</f>
        <v>1.4209756097560975</v>
      </c>
      <c r="E52" s="35" t="str">
        <f>D1_DICIEMBRE_2024[[#This Row],[SUPER]]</f>
        <v>KENNETH</v>
      </c>
      <c r="F52" t="s">
        <v>31</v>
      </c>
      <c r="G52" s="3">
        <v>29130</v>
      </c>
      <c r="H52" t="s">
        <v>403</v>
      </c>
      <c r="I52" s="55">
        <v>45334</v>
      </c>
      <c r="J52" s="55" t="s">
        <v>501</v>
      </c>
      <c r="K52" s="55"/>
      <c r="L52" s="55"/>
      <c r="M52">
        <f>DATA_DICIEMBRE_2024[[#This Row],[RECUPERO]]/DATA_DICIEMBRE_2024[[#This Row],[META]]</f>
        <v>0.15960975609756098</v>
      </c>
      <c r="N52" s="5">
        <f>6-ROUNDUP(_xlfn.RANK.EQ(DATA_DICIEMBRE_2024[[#This Row],[AL_AC]],DATA_DICIEMBRE_2024[AL_AC],0)/(COUNTA(DATA_DICIEMBRE_2024[AL_AC])/5),0)</f>
        <v>1</v>
      </c>
      <c r="O52" t="s">
        <v>6</v>
      </c>
      <c r="P52">
        <f>SUM(DATA_DICIEMBRE_2024[[#This Row],[1]:[31]])</f>
        <v>3272</v>
      </c>
      <c r="Q52">
        <v>20500</v>
      </c>
      <c r="R52" t="s">
        <v>50</v>
      </c>
      <c r="U52">
        <v>240</v>
      </c>
      <c r="W52">
        <v>211</v>
      </c>
      <c r="Y52">
        <v>321</v>
      </c>
      <c r="AJ52">
        <v>2500</v>
      </c>
    </row>
    <row r="53" spans="1:49" x14ac:dyDescent="0.25">
      <c r="A53" s="34" t="s">
        <v>9</v>
      </c>
      <c r="B53" s="34" t="str">
        <f>D1_DICIEMBRE_2024[[#This Row],[ASESOR]]</f>
        <v>LUIS VALLADARES</v>
      </c>
      <c r="C53" s="36">
        <f>VLOOKUP(D1_DICIEMBRE_2024[[#This Row],[SUPER]],DATA_DICIEMBRE_2024[[SUPERVISOR]:[META]],3,0)</f>
        <v>26500</v>
      </c>
      <c r="D53" s="35">
        <f>D1_DICIEMBRE_2024[[#This Row],[RECUPERO]]/D1_DICIEMBRE_2024[[#This Row],[META]]</f>
        <v>0.66709433962264153</v>
      </c>
      <c r="E53" s="35" t="str">
        <f>D1_DICIEMBRE_2024[[#This Row],[SUPER]]</f>
        <v>LUIS</v>
      </c>
      <c r="F53" t="s">
        <v>29</v>
      </c>
      <c r="G53" s="3">
        <v>17678</v>
      </c>
      <c r="H53" t="s">
        <v>416</v>
      </c>
      <c r="I53" s="55">
        <v>44687</v>
      </c>
      <c r="J53" s="55" t="s">
        <v>501</v>
      </c>
      <c r="K53" s="55"/>
      <c r="L53" s="55"/>
      <c r="M53">
        <f>DATA_DICIEMBRE_2024[[#This Row],[RECUPERO]]/DATA_DICIEMBRE_2024[[#This Row],[META]]</f>
        <v>0.59274117647058822</v>
      </c>
      <c r="N53" s="5">
        <f>6-ROUNDUP(_xlfn.RANK.EQ(DATA_DICIEMBRE_2024[[#This Row],[AL_AC]],DATA_DICIEMBRE_2024[AL_AC],0)/(COUNTA(DATA_DICIEMBRE_2024[AL_AC])/5),0)</f>
        <v>3</v>
      </c>
      <c r="O53" t="s">
        <v>115</v>
      </c>
      <c r="P53">
        <f>SUM(DATA_DICIEMBRE_2024[[#This Row],[1]:[31]])</f>
        <v>10076.6</v>
      </c>
      <c r="Q53">
        <v>17000</v>
      </c>
      <c r="R53" t="s">
        <v>33</v>
      </c>
      <c r="T53">
        <v>410</v>
      </c>
      <c r="U53">
        <v>1000</v>
      </c>
      <c r="X53">
        <v>800</v>
      </c>
      <c r="AC53">
        <v>200</v>
      </c>
      <c r="AD53">
        <v>1473</v>
      </c>
      <c r="AE53">
        <v>900</v>
      </c>
      <c r="AH53">
        <v>570</v>
      </c>
      <c r="AI53">
        <v>200</v>
      </c>
      <c r="AJ53">
        <v>500</v>
      </c>
      <c r="AL53">
        <v>250</v>
      </c>
      <c r="AO53">
        <v>318.60000000000002</v>
      </c>
      <c r="AS53">
        <v>3000</v>
      </c>
      <c r="AU53">
        <v>100</v>
      </c>
      <c r="AV53">
        <v>255</v>
      </c>
      <c r="AW53">
        <v>100</v>
      </c>
    </row>
    <row r="54" spans="1:49" x14ac:dyDescent="0.25">
      <c r="A54" s="34" t="s">
        <v>3</v>
      </c>
      <c r="B54" s="34" t="str">
        <f>D1_DICIEMBRE_2024[[#This Row],[ASESOR]]</f>
        <v>MALORY MONTEBLANCO</v>
      </c>
      <c r="C54" s="36">
        <f>VLOOKUP(D1_DICIEMBRE_2024[[#This Row],[SUPER]],DATA_DICIEMBRE_2024[[SUPERVISOR]:[META]],3,0)</f>
        <v>60000</v>
      </c>
      <c r="D54" s="35">
        <f>D1_DICIEMBRE_2024[[#This Row],[RECUPERO]]/D1_DICIEMBRE_2024[[#This Row],[META]]</f>
        <v>0.94718333333333338</v>
      </c>
      <c r="E54" s="35" t="str">
        <f>D1_DICIEMBRE_2024[[#This Row],[SUPER]]</f>
        <v>SANDY</v>
      </c>
      <c r="F54" t="s">
        <v>25</v>
      </c>
      <c r="G54" s="3">
        <v>56831</v>
      </c>
      <c r="H54" t="s">
        <v>446</v>
      </c>
      <c r="I54" s="55">
        <v>44820</v>
      </c>
      <c r="J54" s="55" t="s">
        <v>501</v>
      </c>
      <c r="M54">
        <f>DATA_DICIEMBRE_2024[[#This Row],[RECUPERO]]/DATA_DICIEMBRE_2024[[#This Row],[META]]</f>
        <v>1.1223833333333333</v>
      </c>
      <c r="N54" s="5">
        <f>6-ROUNDUP(_xlfn.RANK.EQ(DATA_DICIEMBRE_2024[[#This Row],[AL_AC]],DATA_DICIEMBRE_2024[AL_AC],0)/(COUNTA(DATA_DICIEMBRE_2024[AL_AC])/5),0)</f>
        <v>4</v>
      </c>
      <c r="O54" t="s">
        <v>5</v>
      </c>
      <c r="P54">
        <f>SUM(DATA_DICIEMBRE_2024[[#This Row],[1]:[31]])</f>
        <v>67343</v>
      </c>
      <c r="Q54">
        <v>60000</v>
      </c>
      <c r="R54" t="s">
        <v>541</v>
      </c>
      <c r="T54">
        <v>230</v>
      </c>
      <c r="W54">
        <v>3600</v>
      </c>
      <c r="X54">
        <v>2500</v>
      </c>
      <c r="AB54">
        <v>8230</v>
      </c>
      <c r="AE54">
        <v>1000</v>
      </c>
      <c r="AH54">
        <v>3850</v>
      </c>
      <c r="AJ54">
        <v>7388</v>
      </c>
      <c r="AK54">
        <v>5505</v>
      </c>
      <c r="AM54">
        <v>500</v>
      </c>
      <c r="AO54">
        <v>5438</v>
      </c>
      <c r="AP54">
        <v>8261</v>
      </c>
      <c r="AR54">
        <v>4690</v>
      </c>
      <c r="AS54">
        <v>14000</v>
      </c>
      <c r="AT54">
        <v>350</v>
      </c>
      <c r="AV54">
        <v>1030</v>
      </c>
      <c r="AW54">
        <v>771</v>
      </c>
    </row>
    <row r="55" spans="1:49" x14ac:dyDescent="0.25">
      <c r="A55" s="34" t="s">
        <v>9</v>
      </c>
      <c r="B55" s="34" t="str">
        <f>D1_DICIEMBRE_2024[[#This Row],[ASESOR]]</f>
        <v>MARCELIT LOPEZ</v>
      </c>
      <c r="C55" s="36">
        <f>VLOOKUP(D1_DICIEMBRE_2024[[#This Row],[SUPER]],DATA_DICIEMBRE_2024[[SUPERVISOR]:[META]],3,0)</f>
        <v>26500</v>
      </c>
      <c r="D55" s="35">
        <f>D1_DICIEMBRE_2024[[#This Row],[RECUPERO]]/D1_DICIEMBRE_2024[[#This Row],[META]]</f>
        <v>0.70841509433962269</v>
      </c>
      <c r="E55" s="35" t="str">
        <f>D1_DICIEMBRE_2024[[#This Row],[SUPER]]</f>
        <v>LUIS</v>
      </c>
      <c r="F55" t="s">
        <v>121</v>
      </c>
      <c r="G55" s="3">
        <v>18773</v>
      </c>
      <c r="H55" t="s">
        <v>417</v>
      </c>
      <c r="I55" s="55">
        <v>44510</v>
      </c>
      <c r="J55" s="55" t="s">
        <v>501</v>
      </c>
      <c r="M55">
        <f>DATA_DICIEMBRE_2024[[#This Row],[RECUPERO]]/DATA_DICIEMBRE_2024[[#This Row],[META]]</f>
        <v>2.4832333333333332</v>
      </c>
      <c r="N55" s="5">
        <f>6-ROUNDUP(_xlfn.RANK.EQ(DATA_DICIEMBRE_2024[[#This Row],[AL_AC]],DATA_DICIEMBRE_2024[AL_AC],0)/(COUNTA(DATA_DICIEMBRE_2024[AL_AC])/5),0)</f>
        <v>5</v>
      </c>
      <c r="O55" t="s">
        <v>3</v>
      </c>
      <c r="P55">
        <f>SUM(DATA_DICIEMBRE_2024[[#This Row],[1]:[31]])</f>
        <v>148994</v>
      </c>
      <c r="Q55">
        <v>60000</v>
      </c>
      <c r="R55" t="s">
        <v>23</v>
      </c>
      <c r="S55">
        <v>526</v>
      </c>
      <c r="T55">
        <v>3802</v>
      </c>
      <c r="U55">
        <v>687</v>
      </c>
      <c r="V55">
        <v>11213</v>
      </c>
      <c r="W55">
        <v>4160</v>
      </c>
      <c r="X55">
        <v>13000</v>
      </c>
      <c r="Y55">
        <v>1885</v>
      </c>
      <c r="AB55">
        <v>271</v>
      </c>
      <c r="AC55">
        <v>1500</v>
      </c>
      <c r="AD55">
        <v>7000</v>
      </c>
      <c r="AE55">
        <v>9715</v>
      </c>
      <c r="AF55">
        <v>1500</v>
      </c>
      <c r="AH55">
        <v>1710</v>
      </c>
      <c r="AJ55">
        <v>3723</v>
      </c>
      <c r="AK55">
        <v>3500</v>
      </c>
      <c r="AL55">
        <v>4100</v>
      </c>
      <c r="AO55">
        <v>7000</v>
      </c>
      <c r="AP55">
        <v>360</v>
      </c>
      <c r="AR55">
        <v>212</v>
      </c>
      <c r="AS55">
        <v>3783</v>
      </c>
      <c r="AT55">
        <v>19207</v>
      </c>
      <c r="AU55">
        <v>1200</v>
      </c>
      <c r="AV55">
        <v>11556</v>
      </c>
      <c r="AW55">
        <v>37384</v>
      </c>
    </row>
    <row r="56" spans="1:49" x14ac:dyDescent="0.25">
      <c r="A56" s="34" t="s">
        <v>5</v>
      </c>
      <c r="B56" s="34" t="str">
        <f>D1_DICIEMBRE_2024[[#This Row],[ASESOR]]</f>
        <v>MARGARITA PIANCHACHI</v>
      </c>
      <c r="C56" s="36">
        <f>VLOOKUP(D1_DICIEMBRE_2024[[#This Row],[SUPER]],DATA_DICIEMBRE_2024[[SUPERVISOR]:[META]],3,0)</f>
        <v>60000</v>
      </c>
      <c r="D56" s="35">
        <f>D1_DICIEMBRE_2024[[#This Row],[RECUPERO]]/D1_DICIEMBRE_2024[[#This Row],[META]]</f>
        <v>1.1062035000000001</v>
      </c>
      <c r="E56" s="35" t="str">
        <f>D1_DICIEMBRE_2024[[#This Row],[SUPER]]</f>
        <v>JORDAN</v>
      </c>
      <c r="F56" t="s">
        <v>17</v>
      </c>
      <c r="G56" s="3">
        <v>66372.210000000006</v>
      </c>
      <c r="H56" t="s">
        <v>385</v>
      </c>
      <c r="I56" s="55">
        <v>44888</v>
      </c>
      <c r="J56" s="55" t="s">
        <v>501</v>
      </c>
      <c r="M56">
        <f>DATA_DICIEMBRE_2024[[#This Row],[RECUPERO]]/DATA_DICIEMBRE_2024[[#This Row],[META]]</f>
        <v>0.22564705882352942</v>
      </c>
      <c r="N56" s="5">
        <f>6-ROUNDUP(_xlfn.RANK.EQ(DATA_DICIEMBRE_2024[[#This Row],[AL_AC]],DATA_DICIEMBRE_2024[AL_AC],0)/(COUNTA(DATA_DICIEMBRE_2024[AL_AC])/5),0)</f>
        <v>1</v>
      </c>
      <c r="O56" t="s">
        <v>115</v>
      </c>
      <c r="P56">
        <f>SUM(DATA_DICIEMBRE_2024[[#This Row],[1]:[31]])</f>
        <v>3836</v>
      </c>
      <c r="Q56">
        <v>17000</v>
      </c>
      <c r="R56" t="s">
        <v>552</v>
      </c>
      <c r="T56">
        <v>200</v>
      </c>
      <c r="U56">
        <v>1200</v>
      </c>
      <c r="V56">
        <v>186</v>
      </c>
      <c r="W56">
        <v>1250</v>
      </c>
      <c r="X56">
        <v>500</v>
      </c>
      <c r="AD56">
        <v>500</v>
      </c>
    </row>
    <row r="57" spans="1:49" x14ac:dyDescent="0.25">
      <c r="A57" s="34" t="s">
        <v>6</v>
      </c>
      <c r="B57" s="34" t="str">
        <f>D1_DICIEMBRE_2024[[#This Row],[ASESOR]]</f>
        <v>MARIA GONZALES</v>
      </c>
      <c r="C57" s="36">
        <f>VLOOKUP(D1_DICIEMBRE_2024[[#This Row],[SUPER]],DATA_DICIEMBRE_2024[[SUPERVISOR]:[META]],3,0)</f>
        <v>20500</v>
      </c>
      <c r="D57" s="35">
        <f>D1_DICIEMBRE_2024[[#This Row],[RECUPERO]]/D1_DICIEMBRE_2024[[#This Row],[META]]</f>
        <v>1.1526829268292682</v>
      </c>
      <c r="E57" s="35" t="str">
        <f>D1_DICIEMBRE_2024[[#This Row],[SUPER]]</f>
        <v>KENNETH</v>
      </c>
      <c r="F57" t="s">
        <v>119</v>
      </c>
      <c r="G57" s="3">
        <v>23630</v>
      </c>
      <c r="H57" t="s">
        <v>404</v>
      </c>
      <c r="I57" s="55">
        <v>45441</v>
      </c>
      <c r="J57" s="55" t="s">
        <v>501</v>
      </c>
      <c r="M57">
        <f>DATA_DICIEMBRE_2024[[#This Row],[RECUPERO]]/DATA_DICIEMBRE_2024[[#This Row],[META]]</f>
        <v>0.61941176470588233</v>
      </c>
      <c r="N57" s="5">
        <f>6-ROUNDUP(_xlfn.RANK.EQ(DATA_DICIEMBRE_2024[[#This Row],[AL_AC]],DATA_DICIEMBRE_2024[AL_AC],0)/(COUNTA(DATA_DICIEMBRE_2024[AL_AC])/5),0)</f>
        <v>3</v>
      </c>
      <c r="O57" t="s">
        <v>115</v>
      </c>
      <c r="P57">
        <f>SUM(DATA_DICIEMBRE_2024[[#This Row],[1]:[31]])</f>
        <v>10530</v>
      </c>
      <c r="Q57">
        <v>17000</v>
      </c>
      <c r="R57" t="s">
        <v>68</v>
      </c>
      <c r="W57">
        <v>50</v>
      </c>
      <c r="AB57">
        <v>250</v>
      </c>
      <c r="AC57">
        <v>155</v>
      </c>
      <c r="AD57">
        <v>103</v>
      </c>
      <c r="AE57">
        <v>1750</v>
      </c>
      <c r="AH57">
        <v>725</v>
      </c>
      <c r="AI57">
        <v>1700</v>
      </c>
      <c r="AK57">
        <v>324</v>
      </c>
      <c r="AL57">
        <v>327</v>
      </c>
      <c r="AO57">
        <v>1209</v>
      </c>
      <c r="AP57">
        <v>200</v>
      </c>
      <c r="AR57">
        <v>1250</v>
      </c>
      <c r="AT57">
        <v>700</v>
      </c>
      <c r="AV57">
        <v>651</v>
      </c>
      <c r="AW57">
        <v>1136</v>
      </c>
    </row>
    <row r="58" spans="1:49" x14ac:dyDescent="0.25">
      <c r="A58" s="34" t="s">
        <v>4</v>
      </c>
      <c r="B58" s="34" t="str">
        <f>D1_DICIEMBRE_2024[[#This Row],[ASESOR]]</f>
        <v>MARIA TINTAYA</v>
      </c>
      <c r="C58" s="36">
        <f>VLOOKUP(D1_DICIEMBRE_2024[[#This Row],[SUPER]],DATA_DICIEMBRE_2024[[SUPERVISOR]:[META]],3,0)</f>
        <v>60000</v>
      </c>
      <c r="D58" s="35">
        <f>D1_DICIEMBRE_2024[[#This Row],[RECUPERO]]/D1_DICIEMBRE_2024[[#This Row],[META]]</f>
        <v>0.73957833333333334</v>
      </c>
      <c r="E58" s="35" t="str">
        <f>D1_DICIEMBRE_2024[[#This Row],[SUPER]]</f>
        <v>MELINA</v>
      </c>
      <c r="F58" t="s">
        <v>75</v>
      </c>
      <c r="G58" s="3">
        <v>44374.7</v>
      </c>
      <c r="H58" t="s">
        <v>428</v>
      </c>
      <c r="I58" s="55">
        <v>44716</v>
      </c>
      <c r="J58" s="55" t="s">
        <v>501</v>
      </c>
      <c r="M58">
        <f>DATA_DICIEMBRE_2024[[#This Row],[RECUPERO]]/DATA_DICIEMBRE_2024[[#This Row],[META]]</f>
        <v>1.4209756097560975</v>
      </c>
      <c r="N58" s="5">
        <f>6-ROUNDUP(_xlfn.RANK.EQ(DATA_DICIEMBRE_2024[[#This Row],[AL_AC]],DATA_DICIEMBRE_2024[AL_AC],0)/(COUNTA(DATA_DICIEMBRE_2024[AL_AC])/5),0)</f>
        <v>5</v>
      </c>
      <c r="O58" t="s">
        <v>6</v>
      </c>
      <c r="P58">
        <f>SUM(DATA_DICIEMBRE_2024[[#This Row],[1]:[31]])</f>
        <v>29130</v>
      </c>
      <c r="Q58">
        <v>20500</v>
      </c>
      <c r="R58" t="s">
        <v>31</v>
      </c>
      <c r="U58">
        <v>1200</v>
      </c>
      <c r="V58">
        <v>1200</v>
      </c>
      <c r="AB58">
        <v>2250</v>
      </c>
      <c r="AC58">
        <v>2000</v>
      </c>
      <c r="AH58">
        <v>500</v>
      </c>
      <c r="AK58">
        <v>15000</v>
      </c>
      <c r="AR58">
        <v>580</v>
      </c>
      <c r="AS58">
        <v>400</v>
      </c>
      <c r="AV58">
        <v>1500</v>
      </c>
      <c r="AW58">
        <v>4500</v>
      </c>
    </row>
    <row r="59" spans="1:49" x14ac:dyDescent="0.25">
      <c r="A59" s="34" t="s">
        <v>2</v>
      </c>
      <c r="B59" s="34" t="str">
        <f>D1_DICIEMBRE_2024[[#This Row],[ASESOR]]</f>
        <v>MARISOL FERNANDEZ</v>
      </c>
      <c r="C59" s="36">
        <f>VLOOKUP(D1_DICIEMBRE_2024[[#This Row],[SUPER]],DATA_DICIEMBRE_2024[[SUPERVISOR]:[META]],3,0)</f>
        <v>22500</v>
      </c>
      <c r="D59" s="35">
        <f>D1_DICIEMBRE_2024[[#This Row],[RECUPERO]]/D1_DICIEMBRE_2024[[#This Row],[META]]</f>
        <v>0.35844444444444445</v>
      </c>
      <c r="E59" s="35" t="str">
        <f>D1_DICIEMBRE_2024[[#This Row],[SUPER]]</f>
        <v>JORGE</v>
      </c>
      <c r="F59" t="s">
        <v>537</v>
      </c>
      <c r="G59" s="3">
        <v>8065</v>
      </c>
      <c r="H59" t="s">
        <v>539</v>
      </c>
      <c r="I59" s="55">
        <v>44716</v>
      </c>
      <c r="J59" s="55" t="s">
        <v>501</v>
      </c>
      <c r="M59">
        <f>DATA_DICIEMBRE_2024[[#This Row],[RECUPERO]]/DATA_DICIEMBRE_2024[[#This Row],[META]]</f>
        <v>0.66709433962264153</v>
      </c>
      <c r="N59">
        <f>6-ROUNDUP(_xlfn.RANK.EQ(DATA_DICIEMBRE_2024[[#This Row],[AL_AC]],DATA_DICIEMBRE_2024[AL_AC],0)/(COUNTA(DATA_DICIEMBRE_2024[AL_AC])/5),0)</f>
        <v>3</v>
      </c>
      <c r="O59" s="5" t="s">
        <v>9</v>
      </c>
      <c r="P59">
        <f>SUM(DATA_DICIEMBRE_2024[[#This Row],[1]:[31]])</f>
        <v>17678</v>
      </c>
      <c r="Q59">
        <v>26500</v>
      </c>
      <c r="R59" t="s">
        <v>29</v>
      </c>
      <c r="S59">
        <v>200</v>
      </c>
      <c r="T59">
        <v>150</v>
      </c>
      <c r="V59">
        <v>2078</v>
      </c>
      <c r="Y59">
        <v>550</v>
      </c>
      <c r="AD59">
        <v>3382</v>
      </c>
      <c r="AE59">
        <v>80</v>
      </c>
      <c r="AF59">
        <v>545</v>
      </c>
      <c r="AH59">
        <v>400</v>
      </c>
      <c r="AI59">
        <v>160</v>
      </c>
      <c r="AK59">
        <v>694</v>
      </c>
      <c r="AL59">
        <v>200</v>
      </c>
      <c r="AO59">
        <v>3064</v>
      </c>
      <c r="AR59">
        <v>850</v>
      </c>
      <c r="AS59">
        <v>900</v>
      </c>
      <c r="AU59">
        <v>200</v>
      </c>
      <c r="AV59">
        <v>2025</v>
      </c>
      <c r="AW59">
        <v>2200</v>
      </c>
    </row>
    <row r="60" spans="1:49" x14ac:dyDescent="0.25">
      <c r="A60" s="34" t="s">
        <v>6</v>
      </c>
      <c r="B60" s="34" t="str">
        <f>D1_DICIEMBRE_2024[[#This Row],[ASESOR]]</f>
        <v>MAURICIO MARTINEZ</v>
      </c>
      <c r="C60" s="36">
        <f>VLOOKUP(D1_DICIEMBRE_2024[[#This Row],[SUPER]],DATA_DICIEMBRE_2024[[SUPERVISOR]:[META]],3,0)</f>
        <v>20500</v>
      </c>
      <c r="D60" s="35">
        <f>D1_DICIEMBRE_2024[[#This Row],[RECUPERO]]/D1_DICIEMBRE_2024[[#This Row],[META]]</f>
        <v>1.6447365853658535</v>
      </c>
      <c r="E60" s="35" t="str">
        <f>D1_DICIEMBRE_2024[[#This Row],[SUPER]]</f>
        <v>KENNETH</v>
      </c>
      <c r="F60" t="s">
        <v>120</v>
      </c>
      <c r="G60" s="3">
        <v>33717.1</v>
      </c>
      <c r="H60" t="s">
        <v>405</v>
      </c>
      <c r="I60" s="55">
        <v>45471</v>
      </c>
      <c r="J60" s="55" t="s">
        <v>501</v>
      </c>
      <c r="M60">
        <f>DATA_DICIEMBRE_2024[[#This Row],[RECUPERO]]/DATA_DICIEMBRE_2024[[#This Row],[META]]</f>
        <v>0.94718333333333338</v>
      </c>
      <c r="N60">
        <f>6-ROUNDUP(_xlfn.RANK.EQ(DATA_DICIEMBRE_2024[[#This Row],[AL_AC]],DATA_DICIEMBRE_2024[AL_AC],0)/(COUNTA(DATA_DICIEMBRE_2024[AL_AC])/5),0)</f>
        <v>4</v>
      </c>
      <c r="O60" s="5" t="s">
        <v>3</v>
      </c>
      <c r="P60">
        <f>SUM(DATA_DICIEMBRE_2024[[#This Row],[1]:[31]])</f>
        <v>56831</v>
      </c>
      <c r="Q60">
        <v>60000</v>
      </c>
      <c r="R60" t="s">
        <v>25</v>
      </c>
      <c r="T60">
        <v>2895</v>
      </c>
      <c r="X60">
        <v>2775</v>
      </c>
      <c r="AB60">
        <v>152</v>
      </c>
      <c r="AC60">
        <v>2150</v>
      </c>
      <c r="AD60">
        <v>3924</v>
      </c>
      <c r="AH60">
        <v>5270</v>
      </c>
      <c r="AI60">
        <v>950</v>
      </c>
      <c r="AJ60">
        <v>328</v>
      </c>
      <c r="AK60">
        <v>2137</v>
      </c>
      <c r="AL60">
        <v>600</v>
      </c>
      <c r="AM60">
        <v>1500</v>
      </c>
      <c r="AO60">
        <v>11900</v>
      </c>
      <c r="AP60">
        <v>1120</v>
      </c>
      <c r="AQ60">
        <v>457</v>
      </c>
      <c r="AR60">
        <v>5025</v>
      </c>
      <c r="AS60">
        <v>590</v>
      </c>
      <c r="AT60">
        <v>280</v>
      </c>
      <c r="AV60">
        <v>4776</v>
      </c>
      <c r="AW60">
        <v>10002</v>
      </c>
    </row>
    <row r="61" spans="1:49" x14ac:dyDescent="0.25">
      <c r="A61" s="34" t="s">
        <v>6</v>
      </c>
      <c r="B61" s="34" t="str">
        <f>D1_DICIEMBRE_2024[[#This Row],[ASESOR]]</f>
        <v>MEDALITH NESTARES</v>
      </c>
      <c r="C61" s="36">
        <f>VLOOKUP(D1_DICIEMBRE_2024[[#This Row],[SUPER]],DATA_DICIEMBRE_2024[[SUPERVISOR]:[META]],3,0)</f>
        <v>20500</v>
      </c>
      <c r="D61" s="35">
        <f>D1_DICIEMBRE_2024[[#This Row],[RECUPERO]]/D1_DICIEMBRE_2024[[#This Row],[META]]</f>
        <v>0.43317073170731707</v>
      </c>
      <c r="E61" s="35" t="str">
        <f>D1_DICIEMBRE_2024[[#This Row],[SUPER]]</f>
        <v>KENNETH</v>
      </c>
      <c r="F61" t="s">
        <v>36</v>
      </c>
      <c r="G61" s="3">
        <v>8880</v>
      </c>
      <c r="H61" t="s">
        <v>406</v>
      </c>
      <c r="I61" s="55">
        <v>44941</v>
      </c>
      <c r="J61" s="55" t="s">
        <v>501</v>
      </c>
      <c r="M61">
        <f>DATA_DICIEMBRE_2024[[#This Row],[RECUPERO]]/DATA_DICIEMBRE_2024[[#This Row],[META]]</f>
        <v>0.70841509433962269</v>
      </c>
      <c r="N61">
        <f>6-ROUNDUP(_xlfn.RANK.EQ(DATA_DICIEMBRE_2024[[#This Row],[AL_AC]],DATA_DICIEMBRE_2024[AL_AC],0)/(COUNTA(DATA_DICIEMBRE_2024[AL_AC])/5),0)</f>
        <v>3</v>
      </c>
      <c r="O61" s="5" t="s">
        <v>9</v>
      </c>
      <c r="P61">
        <f>SUM(DATA_DICIEMBRE_2024[[#This Row],[1]:[31]])</f>
        <v>18773</v>
      </c>
      <c r="Q61">
        <v>26500</v>
      </c>
      <c r="R61" t="s">
        <v>121</v>
      </c>
      <c r="U61">
        <v>1000</v>
      </c>
      <c r="W61">
        <v>3620</v>
      </c>
      <c r="AB61">
        <v>200</v>
      </c>
      <c r="AH61">
        <v>2100</v>
      </c>
      <c r="AI61">
        <v>150</v>
      </c>
      <c r="AJ61">
        <v>800</v>
      </c>
      <c r="AK61">
        <v>350</v>
      </c>
      <c r="AL61">
        <v>450</v>
      </c>
      <c r="AO61">
        <v>2890</v>
      </c>
      <c r="AP61">
        <v>700</v>
      </c>
      <c r="AR61">
        <v>350</v>
      </c>
      <c r="AT61">
        <v>3763</v>
      </c>
      <c r="AV61">
        <v>400</v>
      </c>
      <c r="AW61">
        <v>2000</v>
      </c>
    </row>
    <row r="62" spans="1:49" x14ac:dyDescent="0.25">
      <c r="A62" s="34" t="s">
        <v>5</v>
      </c>
      <c r="B62" s="34" t="str">
        <f>D1_DICIEMBRE_2024[[#This Row],[ASESOR]]</f>
        <v>MELISSA GUERRERO</v>
      </c>
      <c r="C62" s="36">
        <f>VLOOKUP(D1_DICIEMBRE_2024[[#This Row],[SUPER]],DATA_DICIEMBRE_2024[[SUPERVISOR]:[META]],3,0)</f>
        <v>60000</v>
      </c>
      <c r="D62" s="35">
        <f>D1_DICIEMBRE_2024[[#This Row],[RECUPERO]]/D1_DICIEMBRE_2024[[#This Row],[META]]</f>
        <v>0.74111666666666665</v>
      </c>
      <c r="E62" s="35" t="str">
        <f>D1_DICIEMBRE_2024[[#This Row],[SUPER]]</f>
        <v>JORDAN</v>
      </c>
      <c r="F62" t="s">
        <v>62</v>
      </c>
      <c r="G62" s="3">
        <v>44467</v>
      </c>
      <c r="H62" t="s">
        <v>386</v>
      </c>
      <c r="I62" s="55">
        <v>45334</v>
      </c>
      <c r="J62" s="55" t="s">
        <v>501</v>
      </c>
      <c r="M62">
        <f>DATA_DICIEMBRE_2024[[#This Row],[RECUPERO]]/DATA_DICIEMBRE_2024[[#This Row],[META]]</f>
        <v>1.1062035000000001</v>
      </c>
      <c r="N62">
        <f>6-ROUNDUP(_xlfn.RANK.EQ(DATA_DICIEMBRE_2024[[#This Row],[AL_AC]],DATA_DICIEMBRE_2024[AL_AC],0)/(COUNTA(DATA_DICIEMBRE_2024[AL_AC])/5),0)</f>
        <v>4</v>
      </c>
      <c r="O62" s="5" t="s">
        <v>5</v>
      </c>
      <c r="P62">
        <f>SUM(DATA_DICIEMBRE_2024[[#This Row],[1]:[31]])</f>
        <v>66372.210000000006</v>
      </c>
      <c r="Q62">
        <v>60000</v>
      </c>
      <c r="R62" t="s">
        <v>17</v>
      </c>
      <c r="U62">
        <v>7500</v>
      </c>
      <c r="V62">
        <v>3450</v>
      </c>
      <c r="X62">
        <v>5200</v>
      </c>
      <c r="AB62">
        <v>1400</v>
      </c>
      <c r="AD62">
        <v>1000</v>
      </c>
      <c r="AE62">
        <v>4000</v>
      </c>
      <c r="AH62">
        <v>3500</v>
      </c>
      <c r="AJ62">
        <v>4000</v>
      </c>
      <c r="AK62">
        <v>12000</v>
      </c>
      <c r="AO62">
        <v>16000</v>
      </c>
      <c r="AR62">
        <v>3600</v>
      </c>
      <c r="AS62">
        <v>400</v>
      </c>
      <c r="AT62">
        <v>4000</v>
      </c>
      <c r="AV62">
        <v>322.20999999999998</v>
      </c>
    </row>
    <row r="63" spans="1:49" x14ac:dyDescent="0.25">
      <c r="A63" s="34" t="s">
        <v>9</v>
      </c>
      <c r="B63" s="34" t="str">
        <f>D1_DICIEMBRE_2024[[#This Row],[ASESOR]]</f>
        <v>MERLY CORONEL</v>
      </c>
      <c r="C63" s="36">
        <f>VLOOKUP(D1_DICIEMBRE_2024[[#This Row],[SUPER]],DATA_DICIEMBRE_2024[[SUPERVISOR]:[META]],3,0)</f>
        <v>26500</v>
      </c>
      <c r="D63" s="35">
        <f>D1_DICIEMBRE_2024[[#This Row],[RECUPERO]]/D1_DICIEMBRE_2024[[#This Row],[META]]</f>
        <v>0.70872075471698104</v>
      </c>
      <c r="E63" s="35" t="str">
        <f>D1_DICIEMBRE_2024[[#This Row],[SUPER]]</f>
        <v>LUIS</v>
      </c>
      <c r="F63" t="s">
        <v>70</v>
      </c>
      <c r="G63" s="3">
        <v>18781.099999999999</v>
      </c>
      <c r="H63" t="s">
        <v>418</v>
      </c>
      <c r="I63" s="55">
        <v>44971</v>
      </c>
      <c r="J63" s="55" t="s">
        <v>501</v>
      </c>
      <c r="M63">
        <f>DATA_DICIEMBRE_2024[[#This Row],[RECUPERO]]/DATA_DICIEMBRE_2024[[#This Row],[META]]</f>
        <v>1.1526829268292682</v>
      </c>
      <c r="N63">
        <f>6-ROUNDUP(_xlfn.RANK.EQ(DATA_DICIEMBRE_2024[[#This Row],[AL_AC]],DATA_DICIEMBRE_2024[AL_AC],0)/(COUNTA(DATA_DICIEMBRE_2024[AL_AC])/5),0)</f>
        <v>5</v>
      </c>
      <c r="O63" s="5" t="s">
        <v>6</v>
      </c>
      <c r="P63">
        <f>SUM(DATA_DICIEMBRE_2024[[#This Row],[1]:[31]])</f>
        <v>23630</v>
      </c>
      <c r="Q63">
        <v>20500</v>
      </c>
      <c r="R63" t="s">
        <v>119</v>
      </c>
      <c r="T63">
        <v>2500</v>
      </c>
      <c r="X63">
        <v>750</v>
      </c>
      <c r="AC63">
        <v>500</v>
      </c>
      <c r="AE63">
        <v>2000</v>
      </c>
      <c r="AI63">
        <v>2880</v>
      </c>
      <c r="AK63">
        <v>11000</v>
      </c>
      <c r="AS63">
        <v>1500</v>
      </c>
      <c r="AT63">
        <v>2500</v>
      </c>
    </row>
    <row r="64" spans="1:49" x14ac:dyDescent="0.25">
      <c r="A64" s="34" t="s">
        <v>4</v>
      </c>
      <c r="B64" s="34" t="str">
        <f>D1_DICIEMBRE_2024[[#This Row],[ASESOR]]</f>
        <v>MILAGROS QUIO</v>
      </c>
      <c r="C64" s="36">
        <f>VLOOKUP(D1_DICIEMBRE_2024[[#This Row],[SUPER]],DATA_DICIEMBRE_2024[[SUPERVISOR]:[META]],3,0)</f>
        <v>60000</v>
      </c>
      <c r="D64" s="35">
        <f>D1_DICIEMBRE_2024[[#This Row],[RECUPERO]]/D1_DICIEMBRE_2024[[#This Row],[META]]</f>
        <v>1.2439166666666666</v>
      </c>
      <c r="E64" s="35" t="str">
        <f>D1_DICIEMBRE_2024[[#This Row],[SUPER]]</f>
        <v>MELINA</v>
      </c>
      <c r="F64" t="s">
        <v>11</v>
      </c>
      <c r="G64" s="3">
        <v>74635</v>
      </c>
      <c r="H64" t="s">
        <v>429</v>
      </c>
      <c r="I64" s="55">
        <v>45371</v>
      </c>
      <c r="J64" s="55" t="s">
        <v>501</v>
      </c>
      <c r="M64">
        <f>DATA_DICIEMBRE_2024[[#This Row],[RECUPERO]]/DATA_DICIEMBRE_2024[[#This Row],[META]]</f>
        <v>0.73957833333333334</v>
      </c>
      <c r="N64">
        <f>6-ROUNDUP(_xlfn.RANK.EQ(DATA_DICIEMBRE_2024[[#This Row],[AL_AC]],DATA_DICIEMBRE_2024[AL_AC],0)/(COUNTA(DATA_DICIEMBRE_2024[AL_AC])/5),0)</f>
        <v>4</v>
      </c>
      <c r="O64" s="5" t="s">
        <v>4</v>
      </c>
      <c r="P64">
        <f>SUM(DATA_DICIEMBRE_2024[[#This Row],[1]:[31]])</f>
        <v>44374.7</v>
      </c>
      <c r="Q64">
        <v>60000</v>
      </c>
      <c r="R64" t="s">
        <v>75</v>
      </c>
      <c r="V64">
        <v>4295</v>
      </c>
      <c r="X64">
        <v>7000</v>
      </c>
      <c r="Y64">
        <v>0</v>
      </c>
      <c r="AD64">
        <v>13000</v>
      </c>
      <c r="AE64">
        <v>1300</v>
      </c>
      <c r="AH64">
        <v>980</v>
      </c>
      <c r="AJ64">
        <v>400</v>
      </c>
      <c r="AK64">
        <v>1000</v>
      </c>
      <c r="AL64">
        <v>3000</v>
      </c>
      <c r="AM64">
        <v>256</v>
      </c>
      <c r="AO64">
        <v>2000</v>
      </c>
      <c r="AR64">
        <v>2000</v>
      </c>
      <c r="AT64">
        <v>428.7</v>
      </c>
      <c r="AU64">
        <v>705</v>
      </c>
      <c r="AV64">
        <v>3910</v>
      </c>
      <c r="AW64">
        <v>4100</v>
      </c>
    </row>
    <row r="65" spans="1:49" x14ac:dyDescent="0.25">
      <c r="A65" s="34" t="s">
        <v>2</v>
      </c>
      <c r="B65" s="34" t="str">
        <f>D1_DICIEMBRE_2024[[#This Row],[ASESOR]]</f>
        <v>NARDIA URPIS</v>
      </c>
      <c r="C65" s="36">
        <f>VLOOKUP(D1_DICIEMBRE_2024[[#This Row],[SUPER]],DATA_DICIEMBRE_2024[[SUPERVISOR]:[META]],3,0)</f>
        <v>22500</v>
      </c>
      <c r="D65" s="35">
        <f>D1_DICIEMBRE_2024[[#This Row],[RECUPERO]]/D1_DICIEMBRE_2024[[#This Row],[META]]</f>
        <v>0.28275555555555554</v>
      </c>
      <c r="E65" s="35" t="str">
        <f>D1_DICIEMBRE_2024[[#This Row],[SUPER]]</f>
        <v>JORGE</v>
      </c>
      <c r="F65" t="s">
        <v>74</v>
      </c>
      <c r="G65" s="3">
        <v>6362</v>
      </c>
      <c r="H65" t="s">
        <v>395</v>
      </c>
      <c r="I65" s="55">
        <v>44470</v>
      </c>
      <c r="J65" s="55" t="s">
        <v>501</v>
      </c>
      <c r="M65">
        <f>DATA_DICIEMBRE_2024[[#This Row],[RECUPERO]]/DATA_DICIEMBRE_2024[[#This Row],[META]]</f>
        <v>0.35844444444444445</v>
      </c>
      <c r="N65">
        <f>6-ROUNDUP(_xlfn.RANK.EQ(DATA_DICIEMBRE_2024[[#This Row],[AL_AC]],DATA_DICIEMBRE_2024[AL_AC],0)/(COUNTA(DATA_DICIEMBRE_2024[AL_AC])/5),0)</f>
        <v>1</v>
      </c>
      <c r="O65" s="5" t="s">
        <v>2</v>
      </c>
      <c r="P65">
        <f>SUM(DATA_DICIEMBRE_2024[[#This Row],[1]:[31]])</f>
        <v>8065</v>
      </c>
      <c r="Q65">
        <v>22500</v>
      </c>
      <c r="R65" t="s">
        <v>537</v>
      </c>
      <c r="T65">
        <v>200</v>
      </c>
      <c r="U65">
        <v>300</v>
      </c>
      <c r="X65">
        <v>175</v>
      </c>
      <c r="AB65">
        <v>200</v>
      </c>
      <c r="AH65">
        <v>432</v>
      </c>
      <c r="AL65">
        <v>200</v>
      </c>
      <c r="AO65">
        <v>800</v>
      </c>
      <c r="AS65">
        <v>5000</v>
      </c>
      <c r="AW65">
        <v>758</v>
      </c>
    </row>
    <row r="66" spans="1:49" x14ac:dyDescent="0.25">
      <c r="A66" s="34" t="s">
        <v>9</v>
      </c>
      <c r="B66" s="34" t="str">
        <f>D1_DICIEMBRE_2024[[#This Row],[ASESOR]]</f>
        <v>PAULO CIUDAD</v>
      </c>
      <c r="C66" s="36">
        <f>VLOOKUP(D1_DICIEMBRE_2024[[#This Row],[SUPER]],DATA_DICIEMBRE_2024[[SUPERVISOR]:[META]],3,0)</f>
        <v>26500</v>
      </c>
      <c r="D66" s="35">
        <f>D1_DICIEMBRE_2024[[#This Row],[RECUPERO]]/D1_DICIEMBRE_2024[[#This Row],[META]]</f>
        <v>0.36150943396226415</v>
      </c>
      <c r="E66" s="35" t="str">
        <f>D1_DICIEMBRE_2024[[#This Row],[SUPER]]</f>
        <v>LUIS</v>
      </c>
      <c r="F66" t="s">
        <v>538</v>
      </c>
      <c r="G66" s="3">
        <v>9580</v>
      </c>
      <c r="H66" t="s">
        <v>540</v>
      </c>
      <c r="I66" s="55">
        <v>45343</v>
      </c>
      <c r="J66" s="55" t="s">
        <v>501</v>
      </c>
      <c r="M66">
        <f>DATA_DICIEMBRE_2024[[#This Row],[RECUPERO]]/DATA_DICIEMBRE_2024[[#This Row],[META]]</f>
        <v>1.6447365853658535</v>
      </c>
      <c r="N66">
        <f>6-ROUNDUP(_xlfn.RANK.EQ(DATA_DICIEMBRE_2024[[#This Row],[AL_AC]],DATA_DICIEMBRE_2024[AL_AC],0)/(COUNTA(DATA_DICIEMBRE_2024[AL_AC])/5),0)</f>
        <v>5</v>
      </c>
      <c r="O66" s="5" t="s">
        <v>6</v>
      </c>
      <c r="P66">
        <f>SUM(DATA_DICIEMBRE_2024[[#This Row],[1]:[31]])</f>
        <v>33717.1</v>
      </c>
      <c r="Q66">
        <v>20500</v>
      </c>
      <c r="R66" t="s">
        <v>120</v>
      </c>
      <c r="W66">
        <v>2000</v>
      </c>
      <c r="AB66">
        <v>3000</v>
      </c>
      <c r="AC66">
        <v>790</v>
      </c>
      <c r="AD66">
        <v>7500</v>
      </c>
      <c r="AE66">
        <v>350</v>
      </c>
      <c r="AH66">
        <v>300</v>
      </c>
      <c r="AI66">
        <v>700</v>
      </c>
      <c r="AJ66">
        <v>8500</v>
      </c>
      <c r="AK66">
        <v>300</v>
      </c>
      <c r="AL66">
        <v>2000</v>
      </c>
      <c r="AO66">
        <v>350</v>
      </c>
      <c r="AP66">
        <v>2800</v>
      </c>
      <c r="AS66">
        <v>352.1</v>
      </c>
      <c r="AT66">
        <v>275</v>
      </c>
      <c r="AW66">
        <v>4500</v>
      </c>
    </row>
    <row r="67" spans="1:49" x14ac:dyDescent="0.25">
      <c r="A67" s="34" t="s">
        <v>4</v>
      </c>
      <c r="B67" s="34" t="str">
        <f>D1_DICIEMBRE_2024[[#This Row],[ASESOR]]</f>
        <v>PIERINA TESEN</v>
      </c>
      <c r="C67" s="36">
        <f>VLOOKUP(D1_DICIEMBRE_2024[[#This Row],[SUPER]],DATA_DICIEMBRE_2024[[SUPERVISOR]:[META]],3,0)</f>
        <v>60000</v>
      </c>
      <c r="D67" s="35">
        <f>D1_DICIEMBRE_2024[[#This Row],[RECUPERO]]/D1_DICIEMBRE_2024[[#This Row],[META]]</f>
        <v>1.1934318333333334</v>
      </c>
      <c r="E67" s="35" t="str">
        <f>D1_DICIEMBRE_2024[[#This Row],[SUPER]]</f>
        <v>MELINA</v>
      </c>
      <c r="F67" t="s">
        <v>59</v>
      </c>
      <c r="G67" s="3">
        <v>71605.91</v>
      </c>
      <c r="H67" t="s">
        <v>430</v>
      </c>
      <c r="I67" s="55">
        <v>45348</v>
      </c>
      <c r="J67" s="55" t="s">
        <v>501</v>
      </c>
      <c r="M67">
        <f>DATA_DICIEMBRE_2024[[#This Row],[RECUPERO]]/DATA_DICIEMBRE_2024[[#This Row],[META]]</f>
        <v>0.43317073170731707</v>
      </c>
      <c r="N67">
        <f>6-ROUNDUP(_xlfn.RANK.EQ(DATA_DICIEMBRE_2024[[#This Row],[AL_AC]],DATA_DICIEMBRE_2024[AL_AC],0)/(COUNTA(DATA_DICIEMBRE_2024[AL_AC])/5),0)</f>
        <v>2</v>
      </c>
      <c r="O67" s="5" t="s">
        <v>6</v>
      </c>
      <c r="P67">
        <f>SUM(DATA_DICIEMBRE_2024[[#This Row],[1]:[31]])</f>
        <v>8880</v>
      </c>
      <c r="Q67">
        <v>20500</v>
      </c>
      <c r="R67" t="s">
        <v>36</v>
      </c>
      <c r="T67">
        <v>1500</v>
      </c>
      <c r="U67">
        <v>800</v>
      </c>
      <c r="V67">
        <v>150</v>
      </c>
      <c r="AC67">
        <v>250</v>
      </c>
      <c r="AH67">
        <v>2730</v>
      </c>
      <c r="AK67">
        <v>500</v>
      </c>
      <c r="AL67">
        <v>200</v>
      </c>
      <c r="AV67">
        <v>2500</v>
      </c>
      <c r="AW67">
        <v>250</v>
      </c>
    </row>
    <row r="68" spans="1:49" x14ac:dyDescent="0.25">
      <c r="A68" s="34" t="s">
        <v>3</v>
      </c>
      <c r="B68" s="34" t="str">
        <f>D1_DICIEMBRE_2024[[#This Row],[ASESOR]]</f>
        <v>RICHARD RODRIGUEZ</v>
      </c>
      <c r="C68" s="36">
        <f>VLOOKUP(D1_DICIEMBRE_2024[[#This Row],[SUPER]],DATA_DICIEMBRE_2024[[SUPERVISOR]:[META]],3,0)</f>
        <v>60000</v>
      </c>
      <c r="D68" s="35">
        <f>D1_DICIEMBRE_2024[[#This Row],[RECUPERO]]/D1_DICIEMBRE_2024[[#This Row],[META]]</f>
        <v>1.2141350000000002</v>
      </c>
      <c r="E68" s="35" t="str">
        <f>D1_DICIEMBRE_2024[[#This Row],[SUPER]]</f>
        <v>SANDY</v>
      </c>
      <c r="F68" t="s">
        <v>63</v>
      </c>
      <c r="G68" s="3">
        <v>72848.100000000006</v>
      </c>
      <c r="H68" t="s">
        <v>447</v>
      </c>
      <c r="I68" s="55">
        <v>45316</v>
      </c>
      <c r="J68" s="55" t="s">
        <v>501</v>
      </c>
      <c r="M68">
        <f>DATA_DICIEMBRE_2024[[#This Row],[RECUPERO]]/DATA_DICIEMBRE_2024[[#This Row],[META]]</f>
        <v>0.74111666666666665</v>
      </c>
      <c r="N68">
        <f>6-ROUNDUP(_xlfn.RANK.EQ(DATA_DICIEMBRE_2024[[#This Row],[AL_AC]],DATA_DICIEMBRE_2024[AL_AC],0)/(COUNTA(DATA_DICIEMBRE_2024[AL_AC])/5),0)</f>
        <v>4</v>
      </c>
      <c r="O68" s="5" t="s">
        <v>5</v>
      </c>
      <c r="P68">
        <f>SUM(DATA_DICIEMBRE_2024[[#This Row],[1]:[31]])</f>
        <v>44467</v>
      </c>
      <c r="Q68">
        <v>60000</v>
      </c>
      <c r="R68" t="s">
        <v>62</v>
      </c>
      <c r="S68">
        <v>935</v>
      </c>
      <c r="U68">
        <v>246</v>
      </c>
      <c r="V68">
        <v>5800</v>
      </c>
      <c r="W68">
        <v>2080</v>
      </c>
      <c r="X68">
        <v>700</v>
      </c>
      <c r="Z68">
        <v>1000</v>
      </c>
      <c r="AD68">
        <v>350</v>
      </c>
      <c r="AE68">
        <v>315</v>
      </c>
      <c r="AF68">
        <v>1500</v>
      </c>
      <c r="AH68">
        <v>500</v>
      </c>
      <c r="AI68">
        <v>600</v>
      </c>
      <c r="AJ68">
        <v>600</v>
      </c>
      <c r="AK68">
        <v>1300</v>
      </c>
      <c r="AL68">
        <v>9596</v>
      </c>
      <c r="AO68">
        <v>3467</v>
      </c>
      <c r="AR68">
        <v>900</v>
      </c>
      <c r="AS68">
        <v>2000</v>
      </c>
      <c r="AT68">
        <v>400</v>
      </c>
      <c r="AV68">
        <v>12000</v>
      </c>
      <c r="AW68">
        <v>178</v>
      </c>
    </row>
    <row r="69" spans="1:49" x14ac:dyDescent="0.25">
      <c r="A69" s="34" t="s">
        <v>9</v>
      </c>
      <c r="B69" s="34" t="str">
        <f>D1_DICIEMBRE_2024[[#This Row],[ASESOR]]</f>
        <v>ROCIO TERRONES</v>
      </c>
      <c r="C69" s="36">
        <f>VLOOKUP(D1_DICIEMBRE_2024[[#This Row],[SUPER]],DATA_DICIEMBRE_2024[[SUPERVISOR]:[META]],3,0)</f>
        <v>26500</v>
      </c>
      <c r="D69" s="35">
        <f>D1_DICIEMBRE_2024[[#This Row],[RECUPERO]]/D1_DICIEMBRE_2024[[#This Row],[META]]</f>
        <v>0.51204339622641504</v>
      </c>
      <c r="E69" s="35" t="str">
        <f>D1_DICIEMBRE_2024[[#This Row],[SUPER]]</f>
        <v>LUIS</v>
      </c>
      <c r="F69" t="s">
        <v>103</v>
      </c>
      <c r="G69" s="3">
        <v>13569.15</v>
      </c>
      <c r="H69" t="s">
        <v>419</v>
      </c>
      <c r="I69" s="55">
        <v>45451</v>
      </c>
      <c r="J69" s="55" t="s">
        <v>501</v>
      </c>
      <c r="M69">
        <f>DATA_DICIEMBRE_2024[[#This Row],[RECUPERO]]/DATA_DICIEMBRE_2024[[#This Row],[META]]</f>
        <v>0.70872075471698104</v>
      </c>
      <c r="N69">
        <f>6-ROUNDUP(_xlfn.RANK.EQ(DATA_DICIEMBRE_2024[[#This Row],[AL_AC]],DATA_DICIEMBRE_2024[AL_AC],0)/(COUNTA(DATA_DICIEMBRE_2024[AL_AC])/5),0)</f>
        <v>3</v>
      </c>
      <c r="O69" s="5" t="s">
        <v>9</v>
      </c>
      <c r="P69">
        <f>SUM(DATA_DICIEMBRE_2024[[#This Row],[1]:[31]])</f>
        <v>18781.099999999999</v>
      </c>
      <c r="Q69">
        <v>26500</v>
      </c>
      <c r="R69" t="s">
        <v>70</v>
      </c>
      <c r="S69">
        <v>200</v>
      </c>
      <c r="V69">
        <v>350</v>
      </c>
      <c r="W69">
        <v>1200</v>
      </c>
      <c r="X69">
        <v>500</v>
      </c>
      <c r="AC69">
        <v>200</v>
      </c>
      <c r="AE69">
        <v>2000.1</v>
      </c>
      <c r="AH69">
        <v>700</v>
      </c>
      <c r="AJ69">
        <v>1050</v>
      </c>
      <c r="AL69">
        <v>986</v>
      </c>
      <c r="AO69">
        <v>1700</v>
      </c>
      <c r="AR69">
        <v>3743</v>
      </c>
      <c r="AT69">
        <v>2302</v>
      </c>
      <c r="AV69">
        <v>500</v>
      </c>
      <c r="AW69">
        <v>3350</v>
      </c>
    </row>
    <row r="70" spans="1:49" x14ac:dyDescent="0.25">
      <c r="A70" s="34" t="s">
        <v>9</v>
      </c>
      <c r="B70" s="34" t="str">
        <f>D1_DICIEMBRE_2024[[#This Row],[ASESOR]]</f>
        <v>SARITA GARAY</v>
      </c>
      <c r="C70" s="36">
        <f>VLOOKUP(D1_DICIEMBRE_2024[[#This Row],[SUPER]],DATA_DICIEMBRE_2024[[SUPERVISOR]:[META]],3,0)</f>
        <v>26500</v>
      </c>
      <c r="D70" s="35">
        <f>D1_DICIEMBRE_2024[[#This Row],[RECUPERO]]/D1_DICIEMBRE_2024[[#This Row],[META]]</f>
        <v>0.26981132075471698</v>
      </c>
      <c r="E70" s="35" t="str">
        <f>D1_DICIEMBRE_2024[[#This Row],[SUPER]]</f>
        <v>LUIS</v>
      </c>
      <c r="F70" t="s">
        <v>73</v>
      </c>
      <c r="G70" s="3">
        <v>7150</v>
      </c>
      <c r="H70" t="s">
        <v>420</v>
      </c>
      <c r="I70" s="55">
        <v>45145</v>
      </c>
      <c r="J70" s="55" t="s">
        <v>501</v>
      </c>
      <c r="M70">
        <f>DATA_DICIEMBRE_2024[[#This Row],[RECUPERO]]/DATA_DICIEMBRE_2024[[#This Row],[META]]</f>
        <v>1.2439166666666666</v>
      </c>
      <c r="N70">
        <f>6-ROUNDUP(_xlfn.RANK.EQ(DATA_DICIEMBRE_2024[[#This Row],[AL_AC]],DATA_DICIEMBRE_2024[AL_AC],0)/(COUNTA(DATA_DICIEMBRE_2024[AL_AC])/5),0)</f>
        <v>5</v>
      </c>
      <c r="O70" s="5" t="s">
        <v>4</v>
      </c>
      <c r="P70">
        <f>SUM(DATA_DICIEMBRE_2024[[#This Row],[1]:[31]])</f>
        <v>74635</v>
      </c>
      <c r="Q70">
        <v>60000</v>
      </c>
      <c r="R70" t="s">
        <v>11</v>
      </c>
      <c r="S70">
        <v>919</v>
      </c>
      <c r="U70">
        <v>700</v>
      </c>
      <c r="V70">
        <v>289</v>
      </c>
      <c r="W70">
        <v>17700</v>
      </c>
      <c r="X70">
        <v>12000</v>
      </c>
      <c r="AB70">
        <v>400</v>
      </c>
      <c r="AC70">
        <v>8500</v>
      </c>
      <c r="AH70">
        <v>600</v>
      </c>
      <c r="AI70">
        <v>6688</v>
      </c>
      <c r="AJ70">
        <v>0</v>
      </c>
      <c r="AK70">
        <v>9000</v>
      </c>
      <c r="AO70">
        <v>4600</v>
      </c>
      <c r="AS70">
        <v>305</v>
      </c>
      <c r="AV70">
        <v>6761</v>
      </c>
      <c r="AW70">
        <v>6173</v>
      </c>
    </row>
    <row r="71" spans="1:49" x14ac:dyDescent="0.25">
      <c r="A71" s="34" t="s">
        <v>6</v>
      </c>
      <c r="B71" s="34" t="str">
        <f>D1_DICIEMBRE_2024[[#This Row],[ASESOR]]</f>
        <v>STWUAR MACURI</v>
      </c>
      <c r="C71" s="36">
        <f>VLOOKUP(D1_DICIEMBRE_2024[[#This Row],[SUPER]],DATA_DICIEMBRE_2024[[SUPERVISOR]:[META]],3,0)</f>
        <v>20500</v>
      </c>
      <c r="D71" s="35">
        <f>D1_DICIEMBRE_2024[[#This Row],[RECUPERO]]/D1_DICIEMBRE_2024[[#This Row],[META]]</f>
        <v>0.76039024390243903</v>
      </c>
      <c r="E71" s="35" t="str">
        <f>D1_DICIEMBRE_2024[[#This Row],[SUPER]]</f>
        <v>KENNETH</v>
      </c>
      <c r="F71" t="s">
        <v>34</v>
      </c>
      <c r="G71" s="3">
        <v>15588</v>
      </c>
      <c r="H71" t="s">
        <v>407</v>
      </c>
      <c r="I71" s="55">
        <v>45175</v>
      </c>
      <c r="J71" s="55" t="s">
        <v>501</v>
      </c>
      <c r="M71">
        <f>DATA_DICIEMBRE_2024[[#This Row],[RECUPERO]]/DATA_DICIEMBRE_2024[[#This Row],[META]]</f>
        <v>0.28275555555555554</v>
      </c>
      <c r="N71">
        <f>6-ROUNDUP(_xlfn.RANK.EQ(DATA_DICIEMBRE_2024[[#This Row],[AL_AC]],DATA_DICIEMBRE_2024[AL_AC],0)/(COUNTA(DATA_DICIEMBRE_2024[AL_AC])/5),0)</f>
        <v>1</v>
      </c>
      <c r="O71" s="5" t="s">
        <v>2</v>
      </c>
      <c r="P71">
        <f>SUM(DATA_DICIEMBRE_2024[[#This Row],[1]:[31]])</f>
        <v>6362</v>
      </c>
      <c r="Q71">
        <v>22500</v>
      </c>
      <c r="R71" t="s">
        <v>74</v>
      </c>
      <c r="T71">
        <v>210</v>
      </c>
      <c r="U71">
        <v>1000</v>
      </c>
      <c r="AB71">
        <v>400</v>
      </c>
      <c r="AH71">
        <v>593</v>
      </c>
      <c r="AK71">
        <v>645</v>
      </c>
      <c r="AL71">
        <v>200</v>
      </c>
      <c r="AO71">
        <v>1942</v>
      </c>
      <c r="AS71">
        <v>800</v>
      </c>
      <c r="AV71">
        <v>292</v>
      </c>
      <c r="AW71">
        <v>280</v>
      </c>
    </row>
    <row r="72" spans="1:49" x14ac:dyDescent="0.25">
      <c r="A72" s="34" t="s">
        <v>3</v>
      </c>
      <c r="B72" s="34" t="str">
        <f>D1_DICIEMBRE_2024[[#This Row],[ASESOR]]</f>
        <v>TERRY ECHEVARRIA</v>
      </c>
      <c r="C72" s="36">
        <f>VLOOKUP(D1_DICIEMBRE_2024[[#This Row],[SUPER]],DATA_DICIEMBRE_2024[[SUPERVISOR]:[META]],3,0)</f>
        <v>60000</v>
      </c>
      <c r="D72" s="35">
        <f>D1_DICIEMBRE_2024[[#This Row],[RECUPERO]]/D1_DICIEMBRE_2024[[#This Row],[META]]</f>
        <v>0.41798333333333332</v>
      </c>
      <c r="E72" s="35" t="str">
        <f>D1_DICIEMBRE_2024[[#This Row],[SUPER]]</f>
        <v>SANDY</v>
      </c>
      <c r="F72" t="s">
        <v>30</v>
      </c>
      <c r="G72" s="3">
        <v>25079</v>
      </c>
      <c r="H72" t="s">
        <v>448</v>
      </c>
      <c r="I72" s="55">
        <v>45399</v>
      </c>
      <c r="J72" s="55" t="s">
        <v>501</v>
      </c>
      <c r="M72">
        <f>DATA_DICIEMBRE_2024[[#This Row],[RECUPERO]]/DATA_DICIEMBRE_2024[[#This Row],[META]]</f>
        <v>0.36150943396226415</v>
      </c>
      <c r="N72">
        <f>6-ROUNDUP(_xlfn.RANK.EQ(DATA_DICIEMBRE_2024[[#This Row],[AL_AC]],DATA_DICIEMBRE_2024[AL_AC],0)/(COUNTA(DATA_DICIEMBRE_2024[AL_AC])/5),0)</f>
        <v>1</v>
      </c>
      <c r="O72" s="5" t="s">
        <v>9</v>
      </c>
      <c r="P72">
        <f>SUM(DATA_DICIEMBRE_2024[[#This Row],[1]:[31]])</f>
        <v>9580</v>
      </c>
      <c r="Q72">
        <v>26500</v>
      </c>
      <c r="R72" t="s">
        <v>538</v>
      </c>
      <c r="U72">
        <v>350</v>
      </c>
      <c r="V72">
        <v>900</v>
      </c>
      <c r="X72">
        <v>210</v>
      </c>
      <c r="AE72">
        <v>300</v>
      </c>
      <c r="AF72">
        <v>300</v>
      </c>
      <c r="AH72">
        <v>500</v>
      </c>
      <c r="AK72">
        <v>1820</v>
      </c>
      <c r="AM72">
        <v>200</v>
      </c>
      <c r="AO72">
        <v>1500</v>
      </c>
      <c r="AP72">
        <v>100</v>
      </c>
      <c r="AV72">
        <v>700</v>
      </c>
      <c r="AW72">
        <v>2700</v>
      </c>
    </row>
    <row r="73" spans="1:49" x14ac:dyDescent="0.25">
      <c r="A73" s="34" t="s">
        <v>2</v>
      </c>
      <c r="B73" s="34" t="str">
        <f>D1_DICIEMBRE_2024[[#This Row],[ASESOR]]</f>
        <v>URSULA CENTENO</v>
      </c>
      <c r="C73" s="36">
        <f>VLOOKUP(D1_DICIEMBRE_2024[[#This Row],[SUPER]],DATA_DICIEMBRE_2024[[SUPERVISOR]:[META]],3,0)</f>
        <v>22500</v>
      </c>
      <c r="D73" s="35">
        <f>D1_DICIEMBRE_2024[[#This Row],[RECUPERO]]/D1_DICIEMBRE_2024[[#This Row],[META]]</f>
        <v>0.54955555555555557</v>
      </c>
      <c r="E73" s="35" t="str">
        <f>D1_DICIEMBRE_2024[[#This Row],[SUPER]]</f>
        <v>JORGE</v>
      </c>
      <c r="F73" t="s">
        <v>78</v>
      </c>
      <c r="G73" s="3">
        <v>12365</v>
      </c>
      <c r="H73" t="s">
        <v>397</v>
      </c>
      <c r="I73" s="55">
        <v>44945</v>
      </c>
      <c r="J73" s="55" t="s">
        <v>501</v>
      </c>
      <c r="M73">
        <f>DATA_DICIEMBRE_2024[[#This Row],[RECUPERO]]/DATA_DICIEMBRE_2024[[#This Row],[META]]</f>
        <v>1.1934318333333334</v>
      </c>
      <c r="N73">
        <f>6-ROUNDUP(_xlfn.RANK.EQ(DATA_DICIEMBRE_2024[[#This Row],[AL_AC]],DATA_DICIEMBRE_2024[AL_AC],0)/(COUNTA(DATA_DICIEMBRE_2024[AL_AC])/5),0)</f>
        <v>5</v>
      </c>
      <c r="O73" s="5" t="s">
        <v>4</v>
      </c>
      <c r="P73">
        <f>SUM(DATA_DICIEMBRE_2024[[#This Row],[1]:[31]])</f>
        <v>71605.91</v>
      </c>
      <c r="Q73">
        <v>60000</v>
      </c>
      <c r="R73" t="s">
        <v>59</v>
      </c>
      <c r="U73">
        <v>180</v>
      </c>
      <c r="V73">
        <v>265</v>
      </c>
      <c r="W73">
        <v>10550</v>
      </c>
      <c r="AA73">
        <v>1155</v>
      </c>
      <c r="AB73">
        <v>3000</v>
      </c>
      <c r="AC73">
        <v>3500</v>
      </c>
      <c r="AE73">
        <v>600</v>
      </c>
      <c r="AI73">
        <v>1300</v>
      </c>
      <c r="AJ73">
        <v>1974.62</v>
      </c>
      <c r="AK73">
        <v>2757.6</v>
      </c>
      <c r="AL73">
        <v>5900</v>
      </c>
      <c r="AO73">
        <v>7500</v>
      </c>
      <c r="AP73">
        <v>500</v>
      </c>
      <c r="AR73">
        <v>6500</v>
      </c>
      <c r="AS73">
        <v>4500</v>
      </c>
      <c r="AT73">
        <v>3500</v>
      </c>
      <c r="AV73">
        <v>11223.69</v>
      </c>
      <c r="AW73">
        <v>6700</v>
      </c>
    </row>
    <row r="74" spans="1:49" x14ac:dyDescent="0.25">
      <c r="A74" s="34" t="s">
        <v>9</v>
      </c>
      <c r="B74" s="34" t="str">
        <f>D1_DICIEMBRE_2024[[#This Row],[ASESOR]]</f>
        <v>VERONICA HUARCA</v>
      </c>
      <c r="C74" s="36">
        <f>VLOOKUP(D1_DICIEMBRE_2024[[#This Row],[SUPER]],DATA_DICIEMBRE_2024[[SUPERVISOR]:[META]],3,0)</f>
        <v>26500</v>
      </c>
      <c r="D74" s="35">
        <f>D1_DICIEMBRE_2024[[#This Row],[RECUPERO]]/D1_DICIEMBRE_2024[[#This Row],[META]]</f>
        <v>0.42264150943396228</v>
      </c>
      <c r="E74" s="35" t="str">
        <f>D1_DICIEMBRE_2024[[#This Row],[SUPER]]</f>
        <v>LUIS</v>
      </c>
      <c r="F74" t="s">
        <v>48</v>
      </c>
      <c r="G74" s="3">
        <v>11200</v>
      </c>
      <c r="H74" t="s">
        <v>421</v>
      </c>
      <c r="I74" s="55">
        <v>44748</v>
      </c>
      <c r="J74" s="55" t="s">
        <v>501</v>
      </c>
      <c r="M74">
        <f>DATA_DICIEMBRE_2024[[#This Row],[RECUPERO]]/DATA_DICIEMBRE_2024[[#This Row],[META]]</f>
        <v>1.2141350000000002</v>
      </c>
      <c r="N74">
        <f>6-ROUNDUP(_xlfn.RANK.EQ(DATA_DICIEMBRE_2024[[#This Row],[AL_AC]],DATA_DICIEMBRE_2024[AL_AC],0)/(COUNTA(DATA_DICIEMBRE_2024[AL_AC])/5),0)</f>
        <v>5</v>
      </c>
      <c r="O74" s="5" t="s">
        <v>3</v>
      </c>
      <c r="P74">
        <f>SUM(DATA_DICIEMBRE_2024[[#This Row],[1]:[31]])</f>
        <v>72848.100000000006</v>
      </c>
      <c r="Q74">
        <v>60000</v>
      </c>
      <c r="R74" t="s">
        <v>63</v>
      </c>
      <c r="S74">
        <v>309</v>
      </c>
      <c r="T74">
        <v>600</v>
      </c>
      <c r="U74">
        <v>265</v>
      </c>
      <c r="V74">
        <v>1310</v>
      </c>
      <c r="W74">
        <v>75</v>
      </c>
      <c r="X74">
        <v>1862</v>
      </c>
      <c r="AB74">
        <v>600</v>
      </c>
      <c r="AC74">
        <v>7504</v>
      </c>
      <c r="AE74">
        <v>19785</v>
      </c>
      <c r="AF74">
        <v>380</v>
      </c>
      <c r="AH74">
        <v>3990.6</v>
      </c>
      <c r="AI74">
        <v>2787</v>
      </c>
      <c r="AK74">
        <v>13000</v>
      </c>
      <c r="AL74">
        <v>1701.5</v>
      </c>
      <c r="AP74">
        <v>1500</v>
      </c>
      <c r="AQ74">
        <v>238</v>
      </c>
      <c r="AR74">
        <v>747</v>
      </c>
      <c r="AS74">
        <v>643</v>
      </c>
      <c r="AV74">
        <v>3117</v>
      </c>
      <c r="AW74">
        <v>12434</v>
      </c>
    </row>
    <row r="75" spans="1:49" x14ac:dyDescent="0.25">
      <c r="A75" s="34" t="s">
        <v>3</v>
      </c>
      <c r="B75" s="34" t="str">
        <f>D1_DICIEMBRE_2024[[#This Row],[ASESOR]]</f>
        <v>VERONICA TASAYCO</v>
      </c>
      <c r="C75" s="36">
        <f>VLOOKUP(D1_DICIEMBRE_2024[[#This Row],[SUPER]],DATA_DICIEMBRE_2024[[SUPERVISOR]:[META]],3,0)</f>
        <v>60000</v>
      </c>
      <c r="D75" s="35">
        <f>D1_DICIEMBRE_2024[[#This Row],[RECUPERO]]/D1_DICIEMBRE_2024[[#This Row],[META]]</f>
        <v>0.71173333333333333</v>
      </c>
      <c r="E75" s="35" t="str">
        <f>D1_DICIEMBRE_2024[[#This Row],[SUPER]]</f>
        <v>SANDY</v>
      </c>
      <c r="F75" t="s">
        <v>10</v>
      </c>
      <c r="G75" s="3">
        <v>42704</v>
      </c>
      <c r="H75" t="s">
        <v>449</v>
      </c>
      <c r="I75" s="55">
        <v>44706</v>
      </c>
      <c r="J75" s="55" t="s">
        <v>501</v>
      </c>
      <c r="M75">
        <f>DATA_DICIEMBRE_2024[[#This Row],[RECUPERO]]/DATA_DICIEMBRE_2024[[#This Row],[META]]</f>
        <v>0.51204339622641504</v>
      </c>
      <c r="N75">
        <f>6-ROUNDUP(_xlfn.RANK.EQ(DATA_DICIEMBRE_2024[[#This Row],[AL_AC]],DATA_DICIEMBRE_2024[AL_AC],0)/(COUNTA(DATA_DICIEMBRE_2024[AL_AC])/5),0)</f>
        <v>2</v>
      </c>
      <c r="O75" s="5" t="s">
        <v>9</v>
      </c>
      <c r="P75">
        <f>SUM(DATA_DICIEMBRE_2024[[#This Row],[1]:[31]])</f>
        <v>13569.15</v>
      </c>
      <c r="Q75">
        <v>26500</v>
      </c>
      <c r="R75" t="s">
        <v>103</v>
      </c>
      <c r="T75">
        <v>250</v>
      </c>
      <c r="U75">
        <v>250</v>
      </c>
      <c r="W75">
        <v>200</v>
      </c>
      <c r="AC75">
        <v>1370</v>
      </c>
      <c r="AD75">
        <v>234</v>
      </c>
      <c r="AF75">
        <v>720</v>
      </c>
      <c r="AH75">
        <v>200</v>
      </c>
      <c r="AK75">
        <v>950</v>
      </c>
      <c r="AL75">
        <v>5000.1499999999996</v>
      </c>
      <c r="AN75">
        <v>200</v>
      </c>
      <c r="AR75">
        <v>515</v>
      </c>
      <c r="AU75">
        <v>230</v>
      </c>
      <c r="AV75">
        <v>2700</v>
      </c>
      <c r="AW75">
        <v>750</v>
      </c>
    </row>
    <row r="76" spans="1:49" x14ac:dyDescent="0.25">
      <c r="A76" s="34" t="s">
        <v>6</v>
      </c>
      <c r="B76" s="34" t="str">
        <f>D1_DICIEMBRE_2024[[#This Row],[ASESOR]]</f>
        <v>VICTOR RAMIREZ</v>
      </c>
      <c r="C76" s="36">
        <f>VLOOKUP(D1_DICIEMBRE_2024[[#This Row],[SUPER]],DATA_DICIEMBRE_2024[[SUPERVISOR]:[META]],3,0)</f>
        <v>20500</v>
      </c>
      <c r="D76" s="35">
        <f>D1_DICIEMBRE_2024[[#This Row],[RECUPERO]]/D1_DICIEMBRE_2024[[#This Row],[META]]</f>
        <v>0.70243902439024386</v>
      </c>
      <c r="E76" s="35" t="str">
        <f>D1_DICIEMBRE_2024[[#This Row],[SUPER]]</f>
        <v>KENNETH</v>
      </c>
      <c r="F76" t="s">
        <v>76</v>
      </c>
      <c r="G76" s="3">
        <v>14400</v>
      </c>
      <c r="H76" t="s">
        <v>408</v>
      </c>
      <c r="I76" s="55">
        <v>44819</v>
      </c>
      <c r="J76" s="55" t="s">
        <v>501</v>
      </c>
      <c r="M76">
        <f>DATA_DICIEMBRE_2024[[#This Row],[RECUPERO]]/DATA_DICIEMBRE_2024[[#This Row],[META]]</f>
        <v>0.26981132075471698</v>
      </c>
      <c r="N76">
        <f>6-ROUNDUP(_xlfn.RANK.EQ(DATA_DICIEMBRE_2024[[#This Row],[AL_AC]],DATA_DICIEMBRE_2024[AL_AC],0)/(COUNTA(DATA_DICIEMBRE_2024[AL_AC])/5),0)</f>
        <v>1</v>
      </c>
      <c r="O76" s="5" t="s">
        <v>9</v>
      </c>
      <c r="P76">
        <f>SUM(DATA_DICIEMBRE_2024[[#This Row],[1]:[31]])</f>
        <v>7150</v>
      </c>
      <c r="Q76">
        <v>26500</v>
      </c>
      <c r="R76" t="s">
        <v>73</v>
      </c>
      <c r="T76">
        <v>250</v>
      </c>
      <c r="V76">
        <v>700</v>
      </c>
      <c r="AC76">
        <v>250</v>
      </c>
      <c r="AE76">
        <v>1350</v>
      </c>
      <c r="AF76">
        <v>800</v>
      </c>
      <c r="AJ76">
        <v>200</v>
      </c>
      <c r="AM76">
        <v>200</v>
      </c>
      <c r="AO76">
        <v>2000</v>
      </c>
      <c r="AP76">
        <v>200</v>
      </c>
      <c r="AR76">
        <v>200</v>
      </c>
      <c r="AV76">
        <v>1000</v>
      </c>
    </row>
    <row r="77" spans="1:49" x14ac:dyDescent="0.25">
      <c r="M77">
        <f>DATA_DICIEMBRE_2024[[#This Row],[RECUPERO]]/DATA_DICIEMBRE_2024[[#This Row],[META]]</f>
        <v>0.76039024390243903</v>
      </c>
      <c r="N77">
        <f>6-ROUNDUP(_xlfn.RANK.EQ(DATA_DICIEMBRE_2024[[#This Row],[AL_AC]],DATA_DICIEMBRE_2024[AL_AC],0)/(COUNTA(DATA_DICIEMBRE_2024[AL_AC])/5),0)</f>
        <v>4</v>
      </c>
      <c r="O77" s="5" t="s">
        <v>6</v>
      </c>
      <c r="P77">
        <f>SUM(DATA_DICIEMBRE_2024[[#This Row],[1]:[31]])</f>
        <v>15588</v>
      </c>
      <c r="Q77">
        <v>20500</v>
      </c>
      <c r="R77" t="s">
        <v>34</v>
      </c>
      <c r="W77">
        <v>1000</v>
      </c>
      <c r="X77">
        <v>267</v>
      </c>
      <c r="Y77">
        <v>500</v>
      </c>
      <c r="AD77">
        <v>5000</v>
      </c>
      <c r="AE77">
        <v>500</v>
      </c>
      <c r="AI77">
        <v>600</v>
      </c>
      <c r="AJ77">
        <v>4000</v>
      </c>
      <c r="AS77">
        <v>1000</v>
      </c>
      <c r="AT77">
        <v>2000</v>
      </c>
      <c r="AV77">
        <v>500</v>
      </c>
      <c r="AW77">
        <v>221</v>
      </c>
    </row>
    <row r="78" spans="1:49" x14ac:dyDescent="0.25">
      <c r="M78">
        <f>DATA_DICIEMBRE_2024[[#This Row],[RECUPERO]]/DATA_DICIEMBRE_2024[[#This Row],[META]]</f>
        <v>0.41798333333333332</v>
      </c>
      <c r="N78">
        <f>6-ROUNDUP(_xlfn.RANK.EQ(DATA_DICIEMBRE_2024[[#This Row],[AL_AC]],DATA_DICIEMBRE_2024[AL_AC],0)/(COUNTA(DATA_DICIEMBRE_2024[AL_AC])/5),0)</f>
        <v>2</v>
      </c>
      <c r="O78" s="5" t="s">
        <v>3</v>
      </c>
      <c r="P78">
        <f>SUM(DATA_DICIEMBRE_2024[[#This Row],[1]:[31]])</f>
        <v>25079</v>
      </c>
      <c r="Q78">
        <v>60000</v>
      </c>
      <c r="R78" t="s">
        <v>30</v>
      </c>
      <c r="T78">
        <v>481</v>
      </c>
      <c r="W78">
        <v>1700</v>
      </c>
      <c r="AA78">
        <v>1100</v>
      </c>
      <c r="AC78">
        <v>940</v>
      </c>
      <c r="AF78">
        <v>558</v>
      </c>
      <c r="AJ78">
        <v>8982</v>
      </c>
      <c r="AL78">
        <v>914</v>
      </c>
      <c r="AO78">
        <v>262</v>
      </c>
      <c r="AP78">
        <v>575</v>
      </c>
      <c r="AS78">
        <v>700</v>
      </c>
      <c r="AT78">
        <v>1207</v>
      </c>
      <c r="AV78">
        <v>1560</v>
      </c>
      <c r="AW78">
        <v>6100</v>
      </c>
    </row>
    <row r="79" spans="1:49" x14ac:dyDescent="0.25">
      <c r="M79">
        <f>DATA_DICIEMBRE_2024[[#This Row],[RECUPERO]]/DATA_DICIEMBRE_2024[[#This Row],[META]]</f>
        <v>0.54955555555555557</v>
      </c>
      <c r="N79">
        <f>6-ROUNDUP(_xlfn.RANK.EQ(DATA_DICIEMBRE_2024[[#This Row],[AL_AC]],DATA_DICIEMBRE_2024[AL_AC],0)/(COUNTA(DATA_DICIEMBRE_2024[AL_AC])/5),0)</f>
        <v>2</v>
      </c>
      <c r="O79" s="5" t="s">
        <v>2</v>
      </c>
      <c r="P79">
        <f>SUM(DATA_DICIEMBRE_2024[[#This Row],[1]:[31]])</f>
        <v>12365</v>
      </c>
      <c r="Q79">
        <v>22500</v>
      </c>
      <c r="R79" t="s">
        <v>78</v>
      </c>
      <c r="T79">
        <v>2260</v>
      </c>
      <c r="X79">
        <v>200</v>
      </c>
      <c r="AB79">
        <v>330</v>
      </c>
      <c r="AH79">
        <v>250</v>
      </c>
      <c r="AL79">
        <v>3000</v>
      </c>
      <c r="AO79">
        <v>2150</v>
      </c>
      <c r="AR79">
        <v>605</v>
      </c>
      <c r="AT79">
        <v>2120</v>
      </c>
      <c r="AV79">
        <v>1450</v>
      </c>
    </row>
    <row r="80" spans="1:49" x14ac:dyDescent="0.25">
      <c r="M80">
        <f>DATA_DICIEMBRE_2024[[#This Row],[RECUPERO]]/DATA_DICIEMBRE_2024[[#This Row],[META]]</f>
        <v>0.42264150943396228</v>
      </c>
      <c r="N80">
        <f>6-ROUNDUP(_xlfn.RANK.EQ(DATA_DICIEMBRE_2024[[#This Row],[AL_AC]],DATA_DICIEMBRE_2024[AL_AC],0)/(COUNTA(DATA_DICIEMBRE_2024[AL_AC])/5),0)</f>
        <v>2</v>
      </c>
      <c r="O80" s="5" t="s">
        <v>9</v>
      </c>
      <c r="P80">
        <f>SUM(DATA_DICIEMBRE_2024[[#This Row],[1]:[31]])</f>
        <v>11200</v>
      </c>
      <c r="Q80">
        <v>26500</v>
      </c>
      <c r="R80" t="s">
        <v>48</v>
      </c>
      <c r="AD80">
        <v>350</v>
      </c>
      <c r="AE80">
        <v>1000</v>
      </c>
      <c r="AH80">
        <v>200</v>
      </c>
      <c r="AJ80">
        <v>2100</v>
      </c>
      <c r="AK80">
        <v>150</v>
      </c>
      <c r="AM80">
        <v>200</v>
      </c>
      <c r="AS80">
        <v>3400</v>
      </c>
      <c r="AV80">
        <v>3600</v>
      </c>
      <c r="AW80">
        <v>200</v>
      </c>
    </row>
    <row r="81" spans="13:49" x14ac:dyDescent="0.25">
      <c r="M81">
        <f>DATA_DICIEMBRE_2024[[#This Row],[RECUPERO]]/DATA_DICIEMBRE_2024[[#This Row],[META]]</f>
        <v>0.71173333333333333</v>
      </c>
      <c r="N81">
        <f>6-ROUNDUP(_xlfn.RANK.EQ(DATA_DICIEMBRE_2024[[#This Row],[AL_AC]],DATA_DICIEMBRE_2024[AL_AC],0)/(COUNTA(DATA_DICIEMBRE_2024[AL_AC])/5),0)</f>
        <v>3</v>
      </c>
      <c r="O81" s="5" t="s">
        <v>3</v>
      </c>
      <c r="P81">
        <f>SUM(DATA_DICIEMBRE_2024[[#This Row],[1]:[31]])</f>
        <v>42704</v>
      </c>
      <c r="Q81">
        <v>60000</v>
      </c>
      <c r="R81" t="s">
        <v>10</v>
      </c>
      <c r="W81">
        <v>16783</v>
      </c>
      <c r="X81">
        <v>600</v>
      </c>
      <c r="AB81">
        <v>4200</v>
      </c>
      <c r="AC81">
        <v>5000</v>
      </c>
      <c r="AD81">
        <v>1300</v>
      </c>
      <c r="AI81">
        <v>210</v>
      </c>
      <c r="AL81">
        <v>485</v>
      </c>
      <c r="AO81">
        <v>3100</v>
      </c>
      <c r="AR81">
        <v>1370</v>
      </c>
      <c r="AS81">
        <v>8526</v>
      </c>
      <c r="AV81">
        <v>880</v>
      </c>
      <c r="AW81">
        <v>250</v>
      </c>
    </row>
    <row r="82" spans="13:49" x14ac:dyDescent="0.25">
      <c r="M82">
        <f>DATA_DICIEMBRE_2024[[#This Row],[RECUPERO]]/DATA_DICIEMBRE_2024[[#This Row],[META]]</f>
        <v>0.70243902439024386</v>
      </c>
      <c r="N82">
        <f>6-ROUNDUP(_xlfn.RANK.EQ(DATA_DICIEMBRE_2024[[#This Row],[AL_AC]],DATA_DICIEMBRE_2024[AL_AC],0)/(COUNTA(DATA_DICIEMBRE_2024[AL_AC])/5),0)</f>
        <v>3</v>
      </c>
      <c r="O82" s="5" t="s">
        <v>6</v>
      </c>
      <c r="P82">
        <f>SUM(DATA_DICIEMBRE_2024[[#This Row],[1]:[31]])</f>
        <v>14400</v>
      </c>
      <c r="Q82">
        <v>20500</v>
      </c>
      <c r="R82" t="s">
        <v>76</v>
      </c>
      <c r="T82">
        <v>1000</v>
      </c>
      <c r="U82">
        <v>250</v>
      </c>
      <c r="AB82">
        <v>2000</v>
      </c>
      <c r="AH82">
        <v>1300</v>
      </c>
      <c r="AL82">
        <v>4000</v>
      </c>
      <c r="AR82">
        <v>4400</v>
      </c>
      <c r="AV82">
        <v>1000</v>
      </c>
      <c r="AW82">
        <v>450</v>
      </c>
    </row>
  </sheetData>
  <conditionalFormatting sqref="R9:R82">
    <cfRule type="duplicateValues" dxfId="15" priority="9"/>
  </conditionalFormatting>
  <pageMargins left="0.7" right="0.7" top="0.75" bottom="0.75" header="0.3" footer="0.3"/>
  <tableParts count="4">
    <tablePart r:id="rId1"/>
    <tablePart r:id="rId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87C4F-A5CC-4228-9368-4009D86BEC32}">
  <dimension ref="A1:CO82"/>
  <sheetViews>
    <sheetView zoomScale="70" zoomScaleNormal="70"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12" customWidth="1"/>
    <col min="7" max="7" width="10.28515625" customWidth="1"/>
    <col min="8" max="8" width="11.42578125" customWidth="1"/>
    <col min="9" max="9" width="27.85546875" bestFit="1" customWidth="1"/>
    <col min="10" max="12" width="27.85546875" customWidth="1"/>
    <col min="13" max="13" width="13.140625" bestFit="1" customWidth="1"/>
    <col min="14" max="14" width="16" bestFit="1" customWidth="1"/>
    <col min="15" max="15" width="22.7109375" customWidth="1"/>
    <col min="16" max="16" width="11.42578125" customWidth="1"/>
    <col min="18" max="18" width="27.28515625" bestFit="1" customWidth="1"/>
    <col min="19" max="19" width="11.140625" bestFit="1" customWidth="1"/>
    <col min="20" max="27" width="6.42578125" bestFit="1" customWidth="1"/>
    <col min="28" max="28" width="7.42578125" bestFit="1" customWidth="1"/>
    <col min="29" max="29" width="7.140625" bestFit="1" customWidth="1"/>
    <col min="30" max="37" width="7.42578125" bestFit="1" customWidth="1"/>
    <col min="38" max="38" width="7.85546875" bestFit="1" customWidth="1"/>
    <col min="39" max="39" width="7.42578125" bestFit="1" customWidth="1"/>
    <col min="40" max="48" width="7.85546875" bestFit="1" customWidth="1"/>
    <col min="49" max="49" width="7.42578125" bestFit="1" customWidth="1"/>
    <col min="50" max="50" width="26.7109375"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t="str">
        <f>D1_ENERO_2025[[#This Row],[SUPER2]]</f>
        <v>JORDAN</v>
      </c>
      <c r="B3" t="s">
        <v>69</v>
      </c>
      <c r="C3">
        <f>VLOOKUP(D1_ENERO_2025[[#This Row],[SUPER]],DATA_ENERO_2025[[SUPERVISOR]:[META]],3,0)</f>
        <v>58000</v>
      </c>
      <c r="D3">
        <f>D1_ENERO_2025[[#This Row],[RECUPERO]]/C3</f>
        <v>0.85467241379310344</v>
      </c>
      <c r="E3" t="s">
        <v>5</v>
      </c>
      <c r="F3" t="s">
        <v>69</v>
      </c>
      <c r="G3">
        <v>49571</v>
      </c>
      <c r="H3" t="s">
        <v>379</v>
      </c>
      <c r="I3" s="55">
        <v>44461</v>
      </c>
      <c r="J3" s="55" t="s">
        <v>501</v>
      </c>
      <c r="K3" s="55"/>
      <c r="L3" s="55"/>
      <c r="M3" s="33">
        <v>2025</v>
      </c>
      <c r="N3" s="33" t="s">
        <v>139</v>
      </c>
      <c r="O3" s="33">
        <v>22</v>
      </c>
    </row>
    <row r="4" spans="1:93" x14ac:dyDescent="0.25">
      <c r="A4" t="str">
        <f>D1_ENERO_2025[[#This Row],[SUPER2]]</f>
        <v>JORDAN</v>
      </c>
      <c r="B4" t="s">
        <v>85</v>
      </c>
      <c r="C4">
        <f>VLOOKUP(D1_ENERO_2025[[#This Row],[SUPER]],DATA_ENERO_2025[[SUPERVISOR]:[META]],3,0)</f>
        <v>58000</v>
      </c>
      <c r="D4">
        <f>D1_ENERO_2025[[#This Row],[RECUPERO]]/C4</f>
        <v>1.8767758620689656</v>
      </c>
      <c r="E4" t="s">
        <v>5</v>
      </c>
      <c r="F4" t="s">
        <v>85</v>
      </c>
      <c r="G4">
        <v>108853</v>
      </c>
      <c r="H4" t="s">
        <v>380</v>
      </c>
      <c r="I4" s="55">
        <v>44811</v>
      </c>
      <c r="J4" s="55" t="s">
        <v>501</v>
      </c>
      <c r="K4" s="55"/>
      <c r="L4" s="55"/>
    </row>
    <row r="5" spans="1:93" x14ac:dyDescent="0.25">
      <c r="A5" t="str">
        <f>D1_ENERO_2025[[#This Row],[SUPER2]]</f>
        <v>JORDAN</v>
      </c>
      <c r="B5" t="s">
        <v>67</v>
      </c>
      <c r="C5">
        <f>VLOOKUP(D1_ENERO_2025[[#This Row],[SUPER]],DATA_ENERO_2025[[SUPERVISOR]:[META]],3,0)</f>
        <v>58000</v>
      </c>
      <c r="D5">
        <f>D1_ENERO_2025[[#This Row],[RECUPERO]]/C5</f>
        <v>1.0002586206896551</v>
      </c>
      <c r="E5" t="s">
        <v>5</v>
      </c>
      <c r="F5" t="s">
        <v>67</v>
      </c>
      <c r="G5">
        <v>58015</v>
      </c>
      <c r="H5" t="s">
        <v>381</v>
      </c>
      <c r="I5" s="55">
        <v>44811</v>
      </c>
      <c r="J5" s="55" t="s">
        <v>501</v>
      </c>
      <c r="K5" s="55"/>
      <c r="L5" s="55"/>
    </row>
    <row r="6" spans="1:93" x14ac:dyDescent="0.25">
      <c r="A6" t="str">
        <f>D1_ENERO_2025[[#This Row],[SUPER2]]</f>
        <v>JORDAN</v>
      </c>
      <c r="B6" t="s">
        <v>13</v>
      </c>
      <c r="C6">
        <f>VLOOKUP(D1_ENERO_2025[[#This Row],[SUPER]],DATA_ENERO_2025[[SUPERVISOR]:[META]],3,0)</f>
        <v>58000</v>
      </c>
      <c r="D6">
        <f>D1_ENERO_2025[[#This Row],[RECUPERO]]/C6</f>
        <v>0.85236206896551725</v>
      </c>
      <c r="E6" t="s">
        <v>5</v>
      </c>
      <c r="F6" t="s">
        <v>13</v>
      </c>
      <c r="G6">
        <v>49437</v>
      </c>
      <c r="H6" t="s">
        <v>382</v>
      </c>
      <c r="I6" s="55">
        <v>44811</v>
      </c>
      <c r="J6" s="55" t="s">
        <v>501</v>
      </c>
      <c r="K6" s="55"/>
      <c r="L6" s="55"/>
    </row>
    <row r="7" spans="1:93" x14ac:dyDescent="0.25">
      <c r="A7" t="str">
        <f>D1_ENERO_2025[[#This Row],[SUPER2]]</f>
        <v>JORDAN</v>
      </c>
      <c r="B7" t="s">
        <v>66</v>
      </c>
      <c r="C7">
        <f>VLOOKUP(D1_ENERO_2025[[#This Row],[SUPER]],DATA_ENERO_2025[[SUPERVISOR]:[META]],3,0)</f>
        <v>58000</v>
      </c>
      <c r="D7">
        <f>D1_ENERO_2025[[#This Row],[RECUPERO]]/C7</f>
        <v>0.74841379310344824</v>
      </c>
      <c r="E7" t="s">
        <v>5</v>
      </c>
      <c r="F7" t="s">
        <v>66</v>
      </c>
      <c r="G7">
        <v>43408</v>
      </c>
      <c r="H7" t="s">
        <v>383</v>
      </c>
      <c r="I7" s="55">
        <v>45457</v>
      </c>
      <c r="J7" s="55" t="s">
        <v>501</v>
      </c>
      <c r="K7" s="55"/>
      <c r="L7" s="55"/>
      <c r="CK7" t="s">
        <v>626</v>
      </c>
      <c r="CM7" t="s">
        <v>149</v>
      </c>
      <c r="CN7" t="s">
        <v>176</v>
      </c>
      <c r="CO7" t="s">
        <v>139</v>
      </c>
    </row>
    <row r="8" spans="1:93" x14ac:dyDescent="0.25">
      <c r="A8" t="str">
        <f>D1_ENERO_2025[[#This Row],[SUPER2]]</f>
        <v>JORDAN</v>
      </c>
      <c r="B8" t="s">
        <v>116</v>
      </c>
      <c r="C8">
        <f>VLOOKUP(D1_ENERO_2025[[#This Row],[SUPER]],DATA_ENERO_2025[[SUPERVISOR]:[META]],3,0)</f>
        <v>58000</v>
      </c>
      <c r="D8">
        <f>D1_ENERO_2025[[#This Row],[RECUPERO]]/C8</f>
        <v>0.65124137931034487</v>
      </c>
      <c r="E8" t="s">
        <v>5</v>
      </c>
      <c r="F8" t="s">
        <v>116</v>
      </c>
      <c r="G8">
        <v>37772</v>
      </c>
      <c r="H8" t="s">
        <v>384</v>
      </c>
      <c r="I8" s="55">
        <v>45075</v>
      </c>
      <c r="J8" s="55" t="s">
        <v>501</v>
      </c>
      <c r="K8" s="55"/>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tr">
        <f>D1_ENERO_2025[[#This Row],[SUPER2]]</f>
        <v>JORDAN</v>
      </c>
      <c r="B9" t="s">
        <v>17</v>
      </c>
      <c r="C9">
        <f>VLOOKUP(D1_ENERO_2025[[#This Row],[SUPER]],DATA_ENERO_2025[[SUPERVISOR]:[META]],3,0)</f>
        <v>58000</v>
      </c>
      <c r="D9">
        <f>D1_ENERO_2025[[#This Row],[RECUPERO]]/C9</f>
        <v>0.71658620689655173</v>
      </c>
      <c r="E9" t="s">
        <v>5</v>
      </c>
      <c r="F9" t="s">
        <v>17</v>
      </c>
      <c r="G9">
        <v>41562</v>
      </c>
      <c r="H9" t="s">
        <v>385</v>
      </c>
      <c r="I9" s="55">
        <v>44888</v>
      </c>
      <c r="J9" s="55" t="s">
        <v>501</v>
      </c>
      <c r="K9" s="55"/>
      <c r="M9" s="1">
        <f>DATA_ENERO_2025[[#This Row],[RECUPERO]]/DATA_ENERO_2025[[#This Row],[META]]</f>
        <v>1.1067878787878789</v>
      </c>
      <c r="N9">
        <f>6-ROUNDUP(_xlfn.RANK.EQ(DATA_ENERO_2025[[#This Row],[AL_AC]],DATA_ENERO_2025[AL_AC],0)/(COUNTA(DATA_ENERO_2025[AL_AC])/5),0)</f>
        <v>5</v>
      </c>
      <c r="O9" t="s">
        <v>115</v>
      </c>
      <c r="P9">
        <f>SUM(DATA_ENERO_2025[[#This Row],[1]:[31]])</f>
        <v>18262</v>
      </c>
      <c r="Q9">
        <v>16500</v>
      </c>
      <c r="R9" t="s">
        <v>18</v>
      </c>
      <c r="S9">
        <v>100</v>
      </c>
      <c r="T9">
        <v>1191</v>
      </c>
      <c r="U9">
        <v>350</v>
      </c>
      <c r="V9">
        <v>505</v>
      </c>
      <c r="X9">
        <v>3030</v>
      </c>
      <c r="AB9">
        <v>1200</v>
      </c>
      <c r="AE9">
        <v>2200</v>
      </c>
      <c r="AF9">
        <v>1000</v>
      </c>
      <c r="AG9">
        <v>2000</v>
      </c>
      <c r="AH9">
        <v>245</v>
      </c>
      <c r="AI9">
        <v>420</v>
      </c>
      <c r="AK9">
        <v>365</v>
      </c>
      <c r="AL9">
        <v>614</v>
      </c>
      <c r="AO9">
        <v>496</v>
      </c>
      <c r="AP9">
        <v>260</v>
      </c>
      <c r="AQ9">
        <v>350</v>
      </c>
      <c r="AS9">
        <v>230</v>
      </c>
      <c r="AT9">
        <v>700</v>
      </c>
      <c r="AU9">
        <v>536</v>
      </c>
      <c r="AV9">
        <v>1700</v>
      </c>
      <c r="AW9">
        <v>770</v>
      </c>
      <c r="AX9" t="s">
        <v>151</v>
      </c>
      <c r="AZ9">
        <v>439600</v>
      </c>
      <c r="BA9" s="11">
        <f>MAX(DITE_ENERO_2025[[#This Row],[1]:[31]])</f>
        <v>464826</v>
      </c>
      <c r="BB9" s="17">
        <f>DITE_ENERO_2025[[#This Row],[RECUPERO SUPERVISOR]]/DITE_ENERO_2025[[#This Row],[META SUPER]]</f>
        <v>1.0573839854413103</v>
      </c>
      <c r="BC9" t="s">
        <v>5</v>
      </c>
      <c r="BD9">
        <v>1781</v>
      </c>
      <c r="BE9">
        <v>4781</v>
      </c>
      <c r="BF9">
        <v>29398</v>
      </c>
      <c r="BG9">
        <v>30083</v>
      </c>
      <c r="BH9">
        <v>30783</v>
      </c>
      <c r="BI9">
        <v>36583</v>
      </c>
      <c r="BJ9">
        <v>53583</v>
      </c>
      <c r="BK9">
        <v>80116</v>
      </c>
      <c r="BL9">
        <v>85571</v>
      </c>
      <c r="BM9">
        <v>86571</v>
      </c>
      <c r="BN9">
        <v>87371</v>
      </c>
      <c r="BO9">
        <v>87371</v>
      </c>
      <c r="BP9">
        <v>92071</v>
      </c>
      <c r="BQ9">
        <v>99571</v>
      </c>
      <c r="BR9">
        <v>107821</v>
      </c>
      <c r="BS9">
        <v>134544</v>
      </c>
      <c r="BT9">
        <v>136083</v>
      </c>
      <c r="BU9">
        <v>142083</v>
      </c>
      <c r="BV9">
        <v>142083</v>
      </c>
      <c r="BW9">
        <v>153283</v>
      </c>
      <c r="BX9">
        <v>164520</v>
      </c>
      <c r="BY9">
        <v>177561</v>
      </c>
      <c r="BZ9">
        <v>216050</v>
      </c>
      <c r="CA9">
        <v>257550</v>
      </c>
      <c r="CB9">
        <v>267050</v>
      </c>
      <c r="CC9">
        <v>267050</v>
      </c>
      <c r="CD9">
        <v>280518</v>
      </c>
      <c r="CE9">
        <v>326908</v>
      </c>
      <c r="CF9">
        <v>368681</v>
      </c>
      <c r="CG9">
        <v>396475</v>
      </c>
      <c r="CH9">
        <v>464826</v>
      </c>
      <c r="CI9" s="11" t="s">
        <v>150</v>
      </c>
      <c r="CK9" t="s">
        <v>5</v>
      </c>
      <c r="CM9" t="s">
        <v>5</v>
      </c>
      <c r="CN9" t="s">
        <v>5</v>
      </c>
      <c r="CO9" t="s">
        <v>5</v>
      </c>
    </row>
    <row r="10" spans="1:93" x14ac:dyDescent="0.25">
      <c r="A10" t="str">
        <f>D1_ENERO_2025[[#This Row],[SUPER2]]</f>
        <v>JORDAN</v>
      </c>
      <c r="B10" t="s">
        <v>62</v>
      </c>
      <c r="C10">
        <f>VLOOKUP(D1_ENERO_2025[[#This Row],[SUPER]],DATA_ENERO_2025[[SUPERVISOR]:[META]],3,0)</f>
        <v>58000</v>
      </c>
      <c r="D10">
        <f>D1_ENERO_2025[[#This Row],[RECUPERO]]/C10</f>
        <v>1.0109827586206896</v>
      </c>
      <c r="E10" t="s">
        <v>5</v>
      </c>
      <c r="F10" t="s">
        <v>62</v>
      </c>
      <c r="G10">
        <v>58637</v>
      </c>
      <c r="H10" t="s">
        <v>386</v>
      </c>
      <c r="I10" s="55">
        <v>45334</v>
      </c>
      <c r="J10" s="55" t="s">
        <v>501</v>
      </c>
      <c r="K10" s="55"/>
      <c r="M10" s="1">
        <f>DATA_ENERO_2025[[#This Row],[RECUPERO]]/DATA_ENERO_2025[[#This Row],[META]]</f>
        <v>0.47914285714285715</v>
      </c>
      <c r="N10">
        <f>6-ROUNDUP(_xlfn.RANK.EQ(DATA_ENERO_2025[[#This Row],[AL_AC]],DATA_ENERO_2025[AL_AC],0)/(COUNTA(DATA_ENERO_2025[AL_AC])/5),0)</f>
        <v>2</v>
      </c>
      <c r="O10" t="s">
        <v>9</v>
      </c>
      <c r="P10">
        <f>SUM(DATA_ENERO_2025[[#This Row],[1]:[31]])</f>
        <v>10062</v>
      </c>
      <c r="Q10">
        <v>21000</v>
      </c>
      <c r="R10" t="s">
        <v>21</v>
      </c>
      <c r="T10">
        <v>300</v>
      </c>
      <c r="U10">
        <v>350</v>
      </c>
      <c r="AE10">
        <v>100</v>
      </c>
      <c r="AF10">
        <v>950</v>
      </c>
      <c r="AG10">
        <v>1710</v>
      </c>
      <c r="AL10">
        <v>1000</v>
      </c>
      <c r="AM10">
        <v>952</v>
      </c>
      <c r="AO10">
        <v>1500</v>
      </c>
      <c r="AP10">
        <v>100</v>
      </c>
      <c r="AQ10">
        <v>200</v>
      </c>
      <c r="AS10">
        <v>300</v>
      </c>
      <c r="AT10">
        <v>1000</v>
      </c>
      <c r="AU10">
        <v>900</v>
      </c>
      <c r="AW10">
        <v>700</v>
      </c>
      <c r="AX10" t="s">
        <v>153</v>
      </c>
      <c r="AZ10">
        <v>174200</v>
      </c>
      <c r="BA10" s="11">
        <f>MAX(DITE_ENERO_2025[[#This Row],[1]:[31]])</f>
        <v>144527.79999999999</v>
      </c>
      <c r="BB10" s="17">
        <f>DITE_ENERO_2025[[#This Row],[RECUPERO SUPERVISOR]]/DITE_ENERO_2025[[#This Row],[META SUPER]]</f>
        <v>0.82966590126291617</v>
      </c>
      <c r="BC10" t="s">
        <v>2</v>
      </c>
      <c r="BD10">
        <v>300</v>
      </c>
      <c r="BE10">
        <v>5680</v>
      </c>
      <c r="BF10">
        <v>7480</v>
      </c>
      <c r="BG10">
        <v>8040</v>
      </c>
      <c r="BH10">
        <v>8040</v>
      </c>
      <c r="BI10">
        <v>12826</v>
      </c>
      <c r="BJ10">
        <v>19106</v>
      </c>
      <c r="BK10">
        <v>23454</v>
      </c>
      <c r="BL10">
        <v>27504</v>
      </c>
      <c r="BM10">
        <v>31484</v>
      </c>
      <c r="BN10">
        <v>35145</v>
      </c>
      <c r="BO10">
        <v>35145</v>
      </c>
      <c r="BP10">
        <v>36260</v>
      </c>
      <c r="BQ10">
        <v>41865</v>
      </c>
      <c r="BR10">
        <v>44861</v>
      </c>
      <c r="BS10">
        <v>50217</v>
      </c>
      <c r="BT10">
        <v>51363</v>
      </c>
      <c r="BU10">
        <v>52179</v>
      </c>
      <c r="BV10">
        <v>52179</v>
      </c>
      <c r="BW10">
        <v>58049</v>
      </c>
      <c r="BX10">
        <v>61829</v>
      </c>
      <c r="BY10">
        <v>63919</v>
      </c>
      <c r="BZ10">
        <v>70638.600000000006</v>
      </c>
      <c r="CA10">
        <v>73672.600000000006</v>
      </c>
      <c r="CB10">
        <v>74172.600000000006</v>
      </c>
      <c r="CC10">
        <v>74172.600000000006</v>
      </c>
      <c r="CD10">
        <v>91248.6</v>
      </c>
      <c r="CE10">
        <v>98201.600000000006</v>
      </c>
      <c r="CF10">
        <v>108481.8</v>
      </c>
      <c r="CG10">
        <v>117896.8</v>
      </c>
      <c r="CH10">
        <v>144527.79999999999</v>
      </c>
      <c r="CI10" s="11" t="s">
        <v>151</v>
      </c>
      <c r="CK10" t="s">
        <v>2</v>
      </c>
      <c r="CM10" t="s">
        <v>2</v>
      </c>
      <c r="CN10" t="s">
        <v>2</v>
      </c>
      <c r="CO10" t="s">
        <v>2</v>
      </c>
    </row>
    <row r="11" spans="1:93" x14ac:dyDescent="0.25">
      <c r="A11" t="str">
        <f>D1_ENERO_2025[[#This Row],[SUPER2]]</f>
        <v>JORGE</v>
      </c>
      <c r="B11" t="s">
        <v>41</v>
      </c>
      <c r="C11">
        <f>VLOOKUP(D1_ENERO_2025[[#This Row],[SUPER]],DATA_ENERO_2025[[SUPERVISOR]:[META]],3,0)</f>
        <v>22000</v>
      </c>
      <c r="D11">
        <f>D1_ENERO_2025[[#This Row],[RECUPERO]]/C11</f>
        <v>0.30009090909090907</v>
      </c>
      <c r="E11" t="s">
        <v>2</v>
      </c>
      <c r="F11" t="s">
        <v>41</v>
      </c>
      <c r="G11">
        <v>6602</v>
      </c>
      <c r="H11" t="s">
        <v>387</v>
      </c>
      <c r="I11" s="55">
        <v>45304</v>
      </c>
      <c r="J11" s="55" t="s">
        <v>501</v>
      </c>
      <c r="K11" s="55"/>
      <c r="M11" s="1">
        <f>DATA_ENERO_2025[[#This Row],[RECUPERO]]/DATA_ENERO_2025[[#This Row],[META]]</f>
        <v>0.59640517241379309</v>
      </c>
      <c r="N11">
        <f>6-ROUNDUP(_xlfn.RANK.EQ(DATA_ENERO_2025[[#This Row],[AL_AC]],DATA_ENERO_2025[AL_AC],0)/(COUNTA(DATA_ENERO_2025[AL_AC])/5),0)</f>
        <v>3</v>
      </c>
      <c r="O11" t="s">
        <v>3</v>
      </c>
      <c r="P11">
        <f>SUM(DATA_ENERO_2025[[#This Row],[1]:[31]])</f>
        <v>34591.5</v>
      </c>
      <c r="Q11">
        <v>58000</v>
      </c>
      <c r="R11" t="s">
        <v>58</v>
      </c>
      <c r="U11">
        <v>5400</v>
      </c>
      <c r="Z11">
        <v>1500</v>
      </c>
      <c r="AA11">
        <v>700</v>
      </c>
      <c r="AB11">
        <v>600</v>
      </c>
      <c r="AC11">
        <v>2030.5</v>
      </c>
      <c r="AE11">
        <v>1000</v>
      </c>
      <c r="AG11">
        <v>700</v>
      </c>
      <c r="AH11">
        <v>760</v>
      </c>
      <c r="AI11">
        <v>700</v>
      </c>
      <c r="AM11">
        <v>3700</v>
      </c>
      <c r="AN11">
        <v>783</v>
      </c>
      <c r="AO11">
        <v>1650</v>
      </c>
      <c r="AU11">
        <v>6000</v>
      </c>
      <c r="AV11">
        <v>8468</v>
      </c>
      <c r="AW11">
        <v>600</v>
      </c>
      <c r="AX11" t="s">
        <v>150</v>
      </c>
      <c r="AZ11">
        <v>209900</v>
      </c>
      <c r="BA11" s="11">
        <f>MAX(DITE_ENERO_2025[[#This Row],[1]:[31]])</f>
        <v>229439</v>
      </c>
      <c r="BB11" s="17">
        <f>DITE_ENERO_2025[[#This Row],[RECUPERO SUPERVISOR]]/DITE_ENERO_2025[[#This Row],[META SUPER]]</f>
        <v>1.0930871843735113</v>
      </c>
      <c r="BC11" t="s">
        <v>6</v>
      </c>
      <c r="BD11">
        <v>2100</v>
      </c>
      <c r="BE11">
        <v>6800</v>
      </c>
      <c r="BF11">
        <v>15500</v>
      </c>
      <c r="BG11">
        <v>15500</v>
      </c>
      <c r="BH11">
        <v>16000</v>
      </c>
      <c r="BI11">
        <v>22700</v>
      </c>
      <c r="BJ11">
        <v>29132</v>
      </c>
      <c r="BK11">
        <v>45531</v>
      </c>
      <c r="BL11">
        <v>63139</v>
      </c>
      <c r="BM11">
        <v>63889</v>
      </c>
      <c r="BN11">
        <v>64289</v>
      </c>
      <c r="BO11">
        <v>64289</v>
      </c>
      <c r="BP11">
        <v>68836</v>
      </c>
      <c r="BQ11">
        <v>70186</v>
      </c>
      <c r="BR11">
        <v>84611</v>
      </c>
      <c r="BS11">
        <v>91761</v>
      </c>
      <c r="BT11">
        <v>93861</v>
      </c>
      <c r="BU11">
        <v>93861</v>
      </c>
      <c r="BV11">
        <v>93861</v>
      </c>
      <c r="BW11">
        <v>102261</v>
      </c>
      <c r="BX11">
        <v>116461</v>
      </c>
      <c r="BY11">
        <v>145931</v>
      </c>
      <c r="BZ11">
        <v>152181</v>
      </c>
      <c r="CA11">
        <v>152571</v>
      </c>
      <c r="CB11">
        <v>154149</v>
      </c>
      <c r="CC11">
        <v>154149</v>
      </c>
      <c r="CD11">
        <v>171229</v>
      </c>
      <c r="CE11">
        <v>181829</v>
      </c>
      <c r="CF11">
        <v>184179</v>
      </c>
      <c r="CG11">
        <v>204549</v>
      </c>
      <c r="CH11">
        <v>229439</v>
      </c>
      <c r="CI11" s="11" t="s">
        <v>152</v>
      </c>
      <c r="CK11" t="s">
        <v>6</v>
      </c>
      <c r="CM11" t="s">
        <v>6</v>
      </c>
      <c r="CN11" t="s">
        <v>6</v>
      </c>
      <c r="CO11" t="s">
        <v>6</v>
      </c>
    </row>
    <row r="12" spans="1:93" x14ac:dyDescent="0.25">
      <c r="A12" t="str">
        <f>D1_ENERO_2025[[#This Row],[SUPER2]]</f>
        <v>JORGE</v>
      </c>
      <c r="B12" t="s">
        <v>16</v>
      </c>
      <c r="C12">
        <f>VLOOKUP(D1_ENERO_2025[[#This Row],[SUPER]],DATA_ENERO_2025[[SUPERVISOR]:[META]],3,0)</f>
        <v>22000</v>
      </c>
      <c r="D12">
        <f>D1_ENERO_2025[[#This Row],[RECUPERO]]/C12</f>
        <v>0.50140909090909092</v>
      </c>
      <c r="E12" t="s">
        <v>2</v>
      </c>
      <c r="F12" t="s">
        <v>16</v>
      </c>
      <c r="G12">
        <v>11031</v>
      </c>
      <c r="H12" t="s">
        <v>388</v>
      </c>
      <c r="I12" s="55">
        <v>45334</v>
      </c>
      <c r="J12" s="55" t="s">
        <v>501</v>
      </c>
      <c r="K12" s="55"/>
      <c r="M12" s="1">
        <f>DATA_ENERO_2025[[#This Row],[RECUPERO]]/DATA_ENERO_2025[[#This Row],[META]]</f>
        <v>0</v>
      </c>
      <c r="N12">
        <f>6-ROUNDUP(_xlfn.RANK.EQ(DATA_ENERO_2025[[#This Row],[AL_AC]],DATA_ENERO_2025[AL_AC],0)/(COUNTA(DATA_ENERO_2025[AL_AC])/5),0)</f>
        <v>1</v>
      </c>
      <c r="O12" t="s">
        <v>4</v>
      </c>
      <c r="P12">
        <f>SUM(DATA_ENERO_2025[[#This Row],[1]:[31]])</f>
        <v>0</v>
      </c>
      <c r="Q12">
        <v>58000</v>
      </c>
      <c r="R12" t="s">
        <v>109</v>
      </c>
      <c r="AX12" t="s">
        <v>150</v>
      </c>
      <c r="AZ12">
        <v>200500</v>
      </c>
      <c r="BA12" s="11">
        <f>MAX(DITE_ENERO_2025[[#This Row],[1]:[31]])</f>
        <v>164476.20000000001</v>
      </c>
      <c r="BB12" s="17">
        <f>DITE_ENERO_2025[[#This Row],[RECUPERO SUPERVISOR]]/DITE_ENERO_2025[[#This Row],[META SUPER]]</f>
        <v>0.82033017456359103</v>
      </c>
      <c r="BC12" t="s">
        <v>9</v>
      </c>
      <c r="BD12">
        <v>600</v>
      </c>
      <c r="BE12">
        <v>6146</v>
      </c>
      <c r="BF12">
        <v>8494</v>
      </c>
      <c r="BG12">
        <v>8694</v>
      </c>
      <c r="BH12">
        <v>8694</v>
      </c>
      <c r="BI12">
        <v>11014</v>
      </c>
      <c r="BJ12">
        <v>14771.3</v>
      </c>
      <c r="BK12">
        <v>19616.3</v>
      </c>
      <c r="BL12">
        <v>23446.3</v>
      </c>
      <c r="BM12">
        <v>30442.699999999997</v>
      </c>
      <c r="BN12">
        <v>33642.699999999997</v>
      </c>
      <c r="BO12">
        <v>33642.699999999997</v>
      </c>
      <c r="BP12">
        <v>37017.699999999997</v>
      </c>
      <c r="BQ12">
        <v>49058.7</v>
      </c>
      <c r="BR12">
        <v>53768.7</v>
      </c>
      <c r="BS12">
        <v>57791.7</v>
      </c>
      <c r="BT12">
        <v>63300</v>
      </c>
      <c r="BU12">
        <v>65150</v>
      </c>
      <c r="BV12">
        <v>65150</v>
      </c>
      <c r="BW12">
        <v>77832.3</v>
      </c>
      <c r="BX12">
        <v>82104.3</v>
      </c>
      <c r="BY12">
        <v>94934.3</v>
      </c>
      <c r="BZ12">
        <v>99684.3</v>
      </c>
      <c r="CA12">
        <v>102884.40000000001</v>
      </c>
      <c r="CB12">
        <v>105284.40000000001</v>
      </c>
      <c r="CC12">
        <v>105284.40000000001</v>
      </c>
      <c r="CD12">
        <v>118156.70000000001</v>
      </c>
      <c r="CE12">
        <v>122856.70000000001</v>
      </c>
      <c r="CF12">
        <v>126326.70000000001</v>
      </c>
      <c r="CG12">
        <v>151349.70000000001</v>
      </c>
      <c r="CH12">
        <v>164476.20000000001</v>
      </c>
      <c r="CI12" s="11" t="s">
        <v>153</v>
      </c>
      <c r="CK12" t="s">
        <v>9</v>
      </c>
      <c r="CM12" t="s">
        <v>9</v>
      </c>
      <c r="CN12" t="s">
        <v>9</v>
      </c>
      <c r="CO12" t="s">
        <v>9</v>
      </c>
    </row>
    <row r="13" spans="1:93" x14ac:dyDescent="0.25">
      <c r="A13" t="str">
        <f>D1_ENERO_2025[[#This Row],[SUPER2]]</f>
        <v>JORGE</v>
      </c>
      <c r="B13" t="s">
        <v>12</v>
      </c>
      <c r="C13">
        <f>VLOOKUP(D1_ENERO_2025[[#This Row],[SUPER]],DATA_ENERO_2025[[SUPERVISOR]:[META]],3,0)</f>
        <v>22000</v>
      </c>
      <c r="D13">
        <f>D1_ENERO_2025[[#This Row],[RECUPERO]]/C13</f>
        <v>1.0436363636363637</v>
      </c>
      <c r="E13" t="s">
        <v>2</v>
      </c>
      <c r="F13" t="s">
        <v>12</v>
      </c>
      <c r="G13">
        <v>22960</v>
      </c>
      <c r="H13" t="s">
        <v>389</v>
      </c>
      <c r="I13" s="55">
        <v>44870</v>
      </c>
      <c r="J13" s="55" t="s">
        <v>501</v>
      </c>
      <c r="K13" s="55"/>
      <c r="M13" s="1">
        <f>DATA_ENERO_2025[[#This Row],[RECUPERO]]/DATA_ENERO_2025[[#This Row],[META]]</f>
        <v>1.3566206896551725</v>
      </c>
      <c r="N13">
        <f>6-ROUNDUP(_xlfn.RANK.EQ(DATA_ENERO_2025[[#This Row],[AL_AC]],DATA_ENERO_2025[AL_AC],0)/(COUNTA(DATA_ENERO_2025[AL_AC])/5),0)</f>
        <v>5</v>
      </c>
      <c r="O13" t="s">
        <v>4</v>
      </c>
      <c r="P13">
        <f>SUM(DATA_ENERO_2025[[#This Row],[1]:[31]])</f>
        <v>78684</v>
      </c>
      <c r="Q13">
        <v>58000</v>
      </c>
      <c r="R13" t="s">
        <v>60</v>
      </c>
      <c r="Y13">
        <v>3806.67</v>
      </c>
      <c r="Z13">
        <v>2990.85</v>
      </c>
      <c r="AA13">
        <v>3500</v>
      </c>
      <c r="AB13">
        <v>19522</v>
      </c>
      <c r="AD13">
        <v>1300</v>
      </c>
      <c r="AE13">
        <v>1464.48</v>
      </c>
      <c r="AH13">
        <v>780</v>
      </c>
      <c r="AJ13">
        <v>7000</v>
      </c>
      <c r="AO13">
        <v>12000</v>
      </c>
      <c r="AP13">
        <v>1965</v>
      </c>
      <c r="AQ13">
        <v>780</v>
      </c>
      <c r="AS13">
        <v>800</v>
      </c>
      <c r="AU13">
        <v>3000</v>
      </c>
      <c r="AV13">
        <v>10000</v>
      </c>
      <c r="AW13">
        <v>9775</v>
      </c>
      <c r="AX13" t="s">
        <v>150</v>
      </c>
      <c r="AZ13">
        <v>439600</v>
      </c>
      <c r="BA13" s="11">
        <f>MAX(DITE_ENERO_2025[[#This Row],[1]:[31]])</f>
        <v>442529.22</v>
      </c>
      <c r="BB13" s="17">
        <f>DITE_ENERO_2025[[#This Row],[RECUPERO SUPERVISOR]]/DITE_ENERO_2025[[#This Row],[META SUPER]]</f>
        <v>1.0066633757961783</v>
      </c>
      <c r="BC13" t="s">
        <v>4</v>
      </c>
      <c r="BD13">
        <v>0</v>
      </c>
      <c r="BE13">
        <v>8322.75</v>
      </c>
      <c r="BF13">
        <v>24852.75</v>
      </c>
      <c r="BG13">
        <v>28917.75</v>
      </c>
      <c r="BH13">
        <v>28917.75</v>
      </c>
      <c r="BI13">
        <v>33471.75</v>
      </c>
      <c r="BJ13">
        <v>44578.520000000004</v>
      </c>
      <c r="BK13">
        <v>52192.37</v>
      </c>
      <c r="BL13">
        <v>57042.37</v>
      </c>
      <c r="BM13">
        <v>96153.37</v>
      </c>
      <c r="BN13">
        <v>97308.37</v>
      </c>
      <c r="BO13">
        <v>98608.37</v>
      </c>
      <c r="BP13">
        <v>114756.84999999999</v>
      </c>
      <c r="BQ13">
        <v>149615.94999999998</v>
      </c>
      <c r="BR13">
        <v>171579.38999999998</v>
      </c>
      <c r="BS13">
        <v>178533.38999999998</v>
      </c>
      <c r="BT13">
        <v>192833.38999999998</v>
      </c>
      <c r="BU13">
        <v>200483.38999999998</v>
      </c>
      <c r="BV13">
        <v>200483.38999999998</v>
      </c>
      <c r="BW13">
        <v>218395.43999999997</v>
      </c>
      <c r="BX13">
        <v>247447.43999999997</v>
      </c>
      <c r="BY13">
        <v>255347.43999999997</v>
      </c>
      <c r="BZ13">
        <v>283347.43999999994</v>
      </c>
      <c r="CA13">
        <v>311702.43999999994</v>
      </c>
      <c r="CB13">
        <v>315082.43999999994</v>
      </c>
      <c r="CC13">
        <v>315082.43999999994</v>
      </c>
      <c r="CD13">
        <v>333927.51999999996</v>
      </c>
      <c r="CE13">
        <v>339992.51999999996</v>
      </c>
      <c r="CF13">
        <v>354177.51999999996</v>
      </c>
      <c r="CG13">
        <v>388034.22</v>
      </c>
      <c r="CH13">
        <v>442529.22</v>
      </c>
      <c r="CI13" s="11" t="s">
        <v>150</v>
      </c>
      <c r="CK13" t="s">
        <v>4</v>
      </c>
      <c r="CM13" t="s">
        <v>4</v>
      </c>
      <c r="CN13" t="s">
        <v>4</v>
      </c>
      <c r="CO13" t="s">
        <v>4</v>
      </c>
    </row>
    <row r="14" spans="1:93" x14ac:dyDescent="0.25">
      <c r="A14" t="str">
        <f>D1_ENERO_2025[[#This Row],[SUPER2]]</f>
        <v>JORGE</v>
      </c>
      <c r="B14" t="s">
        <v>32</v>
      </c>
      <c r="C14">
        <f>VLOOKUP(D1_ENERO_2025[[#This Row],[SUPER]],DATA_ENERO_2025[[SUPERVISOR]:[META]],3,0)</f>
        <v>22000</v>
      </c>
      <c r="D14">
        <f>D1_ENERO_2025[[#This Row],[RECUPERO]]/C14</f>
        <v>0.54387272727272729</v>
      </c>
      <c r="E14" t="s">
        <v>2</v>
      </c>
      <c r="F14" t="s">
        <v>32</v>
      </c>
      <c r="G14">
        <v>11965.2</v>
      </c>
      <c r="H14" t="s">
        <v>390</v>
      </c>
      <c r="I14" s="55">
        <v>45530</v>
      </c>
      <c r="J14" s="55" t="s">
        <v>501</v>
      </c>
      <c r="K14" s="55"/>
      <c r="M14" s="1">
        <f>DATA_ENERO_2025[[#This Row],[RECUPERO]]/DATA_ENERO_2025[[#This Row],[META]]</f>
        <v>0.61953809523809522</v>
      </c>
      <c r="N14">
        <f>6-ROUNDUP(_xlfn.RANK.EQ(DATA_ENERO_2025[[#This Row],[AL_AC]],DATA_ENERO_2025[AL_AC],0)/(COUNTA(DATA_ENERO_2025[AL_AC])/5),0)</f>
        <v>3</v>
      </c>
      <c r="O14" t="s">
        <v>9</v>
      </c>
      <c r="P14">
        <f>SUM(DATA_ENERO_2025[[#This Row],[1]:[31]])</f>
        <v>13010.3</v>
      </c>
      <c r="Q14">
        <v>21000</v>
      </c>
      <c r="R14" t="s">
        <v>15</v>
      </c>
      <c r="S14">
        <v>250</v>
      </c>
      <c r="T14">
        <v>321</v>
      </c>
      <c r="U14">
        <v>368</v>
      </c>
      <c r="X14">
        <v>200</v>
      </c>
      <c r="Y14">
        <v>1800</v>
      </c>
      <c r="AE14">
        <v>650</v>
      </c>
      <c r="AF14">
        <v>857</v>
      </c>
      <c r="AM14">
        <v>520</v>
      </c>
      <c r="AN14">
        <v>2000</v>
      </c>
      <c r="AS14">
        <v>2810.3</v>
      </c>
      <c r="AT14">
        <v>300</v>
      </c>
      <c r="AV14">
        <v>863</v>
      </c>
      <c r="AW14">
        <v>2071</v>
      </c>
      <c r="AX14" t="s">
        <v>153</v>
      </c>
      <c r="AZ14">
        <v>108600</v>
      </c>
      <c r="BA14" s="11">
        <f>MAX(DITE_ENERO_2025[[#This Row],[1]:[31]])</f>
        <v>140979.4</v>
      </c>
      <c r="BB14" s="17">
        <f>DITE_ENERO_2025[[#This Row],[RECUPERO SUPERVISOR]]/DITE_ENERO_2025[[#This Row],[META SUPER]]</f>
        <v>1.2981528545119705</v>
      </c>
      <c r="BC14" t="s">
        <v>115</v>
      </c>
      <c r="BD14">
        <v>100</v>
      </c>
      <c r="BE14">
        <v>2201</v>
      </c>
      <c r="BF14">
        <v>6628</v>
      </c>
      <c r="BG14">
        <v>7569</v>
      </c>
      <c r="BH14">
        <v>7569</v>
      </c>
      <c r="BI14">
        <v>12161</v>
      </c>
      <c r="BJ14">
        <v>13621</v>
      </c>
      <c r="BK14">
        <v>15731</v>
      </c>
      <c r="BL14">
        <v>23091</v>
      </c>
      <c r="BM14">
        <v>27223</v>
      </c>
      <c r="BN14">
        <v>27273</v>
      </c>
      <c r="BO14">
        <v>27273</v>
      </c>
      <c r="BP14">
        <v>32255.4</v>
      </c>
      <c r="BQ14">
        <v>38404.400000000001</v>
      </c>
      <c r="BR14">
        <v>45890.400000000001</v>
      </c>
      <c r="BS14">
        <v>53472.9</v>
      </c>
      <c r="BT14">
        <v>57702.9</v>
      </c>
      <c r="BU14">
        <v>58611.9</v>
      </c>
      <c r="BV14">
        <v>58976.9</v>
      </c>
      <c r="BW14">
        <v>66460.899999999994</v>
      </c>
      <c r="BX14">
        <v>75901.899999999994</v>
      </c>
      <c r="BY14">
        <v>78769.899999999994</v>
      </c>
      <c r="BZ14">
        <v>88098.9</v>
      </c>
      <c r="CA14">
        <v>95370.9</v>
      </c>
      <c r="CB14">
        <v>97670.9</v>
      </c>
      <c r="CC14">
        <v>97670.9</v>
      </c>
      <c r="CD14">
        <v>104372.9</v>
      </c>
      <c r="CE14">
        <v>114683.9</v>
      </c>
      <c r="CF14">
        <v>118703.9</v>
      </c>
      <c r="CG14">
        <v>130576.9</v>
      </c>
      <c r="CH14">
        <v>140979.4</v>
      </c>
      <c r="CI14" s="11" t="s">
        <v>151</v>
      </c>
      <c r="CK14" t="s">
        <v>115</v>
      </c>
      <c r="CM14" t="s">
        <v>115</v>
      </c>
      <c r="CN14" t="s">
        <v>115</v>
      </c>
      <c r="CO14" t="s">
        <v>115</v>
      </c>
    </row>
    <row r="15" spans="1:93" x14ac:dyDescent="0.25">
      <c r="A15" t="str">
        <f>D1_ENERO_2025[[#This Row],[SUPER2]]</f>
        <v>JORGE</v>
      </c>
      <c r="B15" t="s">
        <v>26</v>
      </c>
      <c r="C15">
        <f>VLOOKUP(D1_ENERO_2025[[#This Row],[SUPER]],DATA_ENERO_2025[[SUPERVISOR]:[META]],3,0)</f>
        <v>22000</v>
      </c>
      <c r="D15">
        <f>D1_ENERO_2025[[#This Row],[RECUPERO]]/C15</f>
        <v>1.1077272727272727</v>
      </c>
      <c r="E15" t="s">
        <v>2</v>
      </c>
      <c r="F15" t="s">
        <v>26</v>
      </c>
      <c r="G15">
        <v>24370</v>
      </c>
      <c r="H15" t="s">
        <v>391</v>
      </c>
      <c r="I15" s="55">
        <v>44259</v>
      </c>
      <c r="J15" s="55" t="s">
        <v>501</v>
      </c>
      <c r="K15" s="55"/>
      <c r="M15" s="1">
        <f>DATA_ENERO_2025[[#This Row],[RECUPERO]]/DATA_ENERO_2025[[#This Row],[META]]</f>
        <v>0.85467241379310344</v>
      </c>
      <c r="N15">
        <f>6-ROUNDUP(_xlfn.RANK.EQ(DATA_ENERO_2025[[#This Row],[AL_AC]],DATA_ENERO_2025[AL_AC],0)/(COUNTA(DATA_ENERO_2025[AL_AC])/5),0)</f>
        <v>4</v>
      </c>
      <c r="O15" t="s">
        <v>5</v>
      </c>
      <c r="P15">
        <f>SUM(DATA_ENERO_2025[[#This Row],[1]:[31]])</f>
        <v>49571</v>
      </c>
      <c r="Q15">
        <v>58000</v>
      </c>
      <c r="R15" t="s">
        <v>69</v>
      </c>
      <c r="T15">
        <v>2700</v>
      </c>
      <c r="U15">
        <v>7201</v>
      </c>
      <c r="AA15">
        <v>1813</v>
      </c>
      <c r="AF15">
        <v>1800</v>
      </c>
      <c r="AG15">
        <v>200</v>
      </c>
      <c r="AH15">
        <v>1075</v>
      </c>
      <c r="AM15">
        <v>970</v>
      </c>
      <c r="AN15">
        <v>1015</v>
      </c>
      <c r="AO15">
        <v>6150</v>
      </c>
      <c r="AP15">
        <v>1700</v>
      </c>
      <c r="AS15">
        <v>1968</v>
      </c>
      <c r="AT15">
        <v>16000</v>
      </c>
      <c r="AU15">
        <v>820</v>
      </c>
      <c r="AV15">
        <v>2350</v>
      </c>
      <c r="AW15">
        <v>3809</v>
      </c>
      <c r="AX15" t="s">
        <v>150</v>
      </c>
      <c r="AZ15">
        <v>439600</v>
      </c>
      <c r="BA15" s="11">
        <f>MAX(DITE_ENERO_2025[[#This Row],[1]:[31]])</f>
        <v>333735.09999999998</v>
      </c>
      <c r="BB15" s="17">
        <f>DITE_ENERO_2025[[#This Row],[RECUPERO SUPERVISOR]]/DITE_ENERO_2025[[#This Row],[META SUPER]]</f>
        <v>0.75917902638762502</v>
      </c>
      <c r="BC15" t="s">
        <v>3</v>
      </c>
      <c r="BD15">
        <v>1200</v>
      </c>
      <c r="BE15">
        <v>19610</v>
      </c>
      <c r="BF15">
        <v>40391</v>
      </c>
      <c r="BG15">
        <v>42679</v>
      </c>
      <c r="BH15">
        <v>42679</v>
      </c>
      <c r="BI15">
        <v>47751</v>
      </c>
      <c r="BJ15">
        <v>55884</v>
      </c>
      <c r="BK15">
        <v>69284.7</v>
      </c>
      <c r="BL15">
        <v>103674.7</v>
      </c>
      <c r="BM15">
        <v>110459.7</v>
      </c>
      <c r="BN15">
        <v>112490.2</v>
      </c>
      <c r="BO15">
        <v>112490.2</v>
      </c>
      <c r="BP15">
        <v>119170.2</v>
      </c>
      <c r="BQ15">
        <v>126855.2</v>
      </c>
      <c r="BR15">
        <v>148972.20000000001</v>
      </c>
      <c r="BS15">
        <v>154665.20000000001</v>
      </c>
      <c r="BT15">
        <v>156289.20000000001</v>
      </c>
      <c r="BU15">
        <v>156439.20000000001</v>
      </c>
      <c r="BV15">
        <v>156439.20000000001</v>
      </c>
      <c r="BW15">
        <v>172169.2</v>
      </c>
      <c r="BX15">
        <v>190876.2</v>
      </c>
      <c r="BY15">
        <v>196901.2</v>
      </c>
      <c r="BZ15">
        <v>208749.2</v>
      </c>
      <c r="CA15">
        <v>224117.2</v>
      </c>
      <c r="CB15">
        <v>235037.1</v>
      </c>
      <c r="CC15">
        <v>235337.1</v>
      </c>
      <c r="CD15">
        <v>248712.1</v>
      </c>
      <c r="CE15">
        <v>257811.1</v>
      </c>
      <c r="CF15">
        <v>265171.09999999998</v>
      </c>
      <c r="CG15">
        <v>301138.09999999998</v>
      </c>
      <c r="CH15">
        <v>333735.09999999998</v>
      </c>
      <c r="CI15" s="11" t="s">
        <v>150</v>
      </c>
      <c r="CK15" t="s">
        <v>3</v>
      </c>
      <c r="CM15" t="s">
        <v>3</v>
      </c>
      <c r="CN15" t="s">
        <v>3</v>
      </c>
      <c r="CO15" t="s">
        <v>3</v>
      </c>
    </row>
    <row r="16" spans="1:93" x14ac:dyDescent="0.25">
      <c r="A16" t="str">
        <f>D1_ENERO_2025[[#This Row],[SUPER2]]</f>
        <v>JORGE</v>
      </c>
      <c r="B16" t="s">
        <v>106</v>
      </c>
      <c r="C16">
        <f>VLOOKUP(D1_ENERO_2025[[#This Row],[SUPER]],DATA_ENERO_2025[[SUPERVISOR]:[META]],3,0)</f>
        <v>22000</v>
      </c>
      <c r="D16">
        <f>D1_ENERO_2025[[#This Row],[RECUPERO]]/C16</f>
        <v>0.65109090909090905</v>
      </c>
      <c r="E16" t="s">
        <v>2</v>
      </c>
      <c r="F16" t="s">
        <v>106</v>
      </c>
      <c r="G16">
        <v>14324</v>
      </c>
      <c r="H16" t="s">
        <v>392</v>
      </c>
      <c r="I16" s="55">
        <v>44748</v>
      </c>
      <c r="J16" s="55" t="s">
        <v>501</v>
      </c>
      <c r="K16" s="55"/>
      <c r="M16" s="1">
        <f>DATA_ENERO_2025[[#This Row],[RECUPERO]]/DATA_ENERO_2025[[#This Row],[META]]</f>
        <v>1.8767758620689656</v>
      </c>
      <c r="N16">
        <f>6-ROUNDUP(_xlfn.RANK.EQ(DATA_ENERO_2025[[#This Row],[AL_AC]],DATA_ENERO_2025[AL_AC],0)/(COUNTA(DATA_ENERO_2025[AL_AC])/5),0)</f>
        <v>5</v>
      </c>
      <c r="O16" t="s">
        <v>5</v>
      </c>
      <c r="P16">
        <f>SUM(DATA_ENERO_2025[[#This Row],[1]:[31]])</f>
        <v>108853</v>
      </c>
      <c r="Q16">
        <v>58000</v>
      </c>
      <c r="R16" t="s">
        <v>85</v>
      </c>
      <c r="U16">
        <v>982</v>
      </c>
      <c r="V16">
        <v>685</v>
      </c>
      <c r="X16">
        <v>5200</v>
      </c>
      <c r="Z16">
        <v>19683</v>
      </c>
      <c r="AA16">
        <v>1000</v>
      </c>
      <c r="AC16">
        <v>800</v>
      </c>
      <c r="AE16">
        <v>4580</v>
      </c>
      <c r="AF16">
        <v>700</v>
      </c>
      <c r="AG16">
        <v>6000</v>
      </c>
      <c r="AH16">
        <v>8648</v>
      </c>
      <c r="AI16">
        <v>279</v>
      </c>
      <c r="AN16">
        <v>4000</v>
      </c>
      <c r="AO16">
        <v>13074</v>
      </c>
      <c r="AQ16">
        <v>5000</v>
      </c>
      <c r="AS16">
        <v>2000</v>
      </c>
      <c r="AT16">
        <v>2930</v>
      </c>
      <c r="AV16">
        <v>3051</v>
      </c>
      <c r="AW16">
        <v>30241</v>
      </c>
      <c r="AX16" t="s">
        <v>150</v>
      </c>
    </row>
    <row r="17" spans="1:50" x14ac:dyDescent="0.25">
      <c r="A17" t="str">
        <f>D1_ENERO_2025[[#This Row],[SUPER2]]</f>
        <v>JORGE</v>
      </c>
      <c r="B17" t="s">
        <v>77</v>
      </c>
      <c r="C17">
        <f>VLOOKUP(D1_ENERO_2025[[#This Row],[SUPER]],DATA_ENERO_2025[[SUPERVISOR]:[META]],3,0)</f>
        <v>22000</v>
      </c>
      <c r="D17">
        <f>D1_ENERO_2025[[#This Row],[RECUPERO]]/C17</f>
        <v>0.57263636363636361</v>
      </c>
      <c r="E17" t="s">
        <v>2</v>
      </c>
      <c r="F17" t="s">
        <v>77</v>
      </c>
      <c r="G17">
        <v>12598</v>
      </c>
      <c r="H17" t="s">
        <v>393</v>
      </c>
      <c r="I17" s="55">
        <v>44840</v>
      </c>
      <c r="J17" s="55" t="s">
        <v>501</v>
      </c>
      <c r="K17" s="55"/>
      <c r="M17" s="1">
        <f>DATA_ENERO_2025[[#This Row],[RECUPERO]]/DATA_ENERO_2025[[#This Row],[META]]</f>
        <v>1.0002586206896551</v>
      </c>
      <c r="N17">
        <f>6-ROUNDUP(_xlfn.RANK.EQ(DATA_ENERO_2025[[#This Row],[AL_AC]],DATA_ENERO_2025[AL_AC],0)/(COUNTA(DATA_ENERO_2025[AL_AC])/5),0)</f>
        <v>4</v>
      </c>
      <c r="O17" t="s">
        <v>5</v>
      </c>
      <c r="P17">
        <f>SUM(DATA_ENERO_2025[[#This Row],[1]:[31]])</f>
        <v>58015</v>
      </c>
      <c r="Q17">
        <v>58000</v>
      </c>
      <c r="R17" t="s">
        <v>67</v>
      </c>
      <c r="U17">
        <v>8500</v>
      </c>
      <c r="Y17">
        <v>7200</v>
      </c>
      <c r="Z17">
        <v>5000</v>
      </c>
      <c r="AA17">
        <v>460</v>
      </c>
      <c r="AH17">
        <v>15500</v>
      </c>
      <c r="AL17">
        <v>1700</v>
      </c>
      <c r="AM17">
        <v>7299</v>
      </c>
      <c r="AN17">
        <v>715</v>
      </c>
      <c r="AS17">
        <v>3000</v>
      </c>
      <c r="AV17">
        <v>2000</v>
      </c>
      <c r="AW17">
        <v>6641</v>
      </c>
      <c r="AX17" t="s">
        <v>150</v>
      </c>
    </row>
    <row r="18" spans="1:50" x14ac:dyDescent="0.25">
      <c r="A18" t="str">
        <f>D1_ENERO_2025[[#This Row],[SUPER2]]</f>
        <v>JORGE</v>
      </c>
      <c r="B18" t="s">
        <v>46</v>
      </c>
      <c r="C18">
        <f>VLOOKUP(D1_ENERO_2025[[#This Row],[SUPER]],DATA_ENERO_2025[[SUPERVISOR]:[META]],3,0)</f>
        <v>22000</v>
      </c>
      <c r="D18">
        <f>D1_ENERO_2025[[#This Row],[RECUPERO]]/C18</f>
        <v>0.38954545454545453</v>
      </c>
      <c r="E18" t="s">
        <v>2</v>
      </c>
      <c r="F18" t="s">
        <v>46</v>
      </c>
      <c r="G18">
        <v>8570</v>
      </c>
      <c r="H18" t="s">
        <v>394</v>
      </c>
      <c r="I18" s="55">
        <v>45344</v>
      </c>
      <c r="J18" s="55" t="s">
        <v>501</v>
      </c>
      <c r="K18" s="55"/>
      <c r="M18" s="1">
        <f>DATA_ENERO_2025[[#This Row],[RECUPERO]]/DATA_ENERO_2025[[#This Row],[META]]</f>
        <v>1.1386666666666667</v>
      </c>
      <c r="N18">
        <f>6-ROUNDUP(_xlfn.RANK.EQ(DATA_ENERO_2025[[#This Row],[AL_AC]],DATA_ENERO_2025[AL_AC],0)/(COUNTA(DATA_ENERO_2025[AL_AC])/5),0)</f>
        <v>5</v>
      </c>
      <c r="O18" t="s">
        <v>115</v>
      </c>
      <c r="P18">
        <f>SUM(DATA_ENERO_2025[[#This Row],[1]:[31]])</f>
        <v>18788</v>
      </c>
      <c r="Q18">
        <v>16500</v>
      </c>
      <c r="R18" t="s">
        <v>14</v>
      </c>
      <c r="T18">
        <v>170</v>
      </c>
      <c r="U18">
        <v>1300</v>
      </c>
      <c r="V18">
        <v>250</v>
      </c>
      <c r="X18">
        <v>262</v>
      </c>
      <c r="Y18">
        <v>350</v>
      </c>
      <c r="AA18">
        <v>1860</v>
      </c>
      <c r="AB18">
        <v>220</v>
      </c>
      <c r="AC18">
        <v>50</v>
      </c>
      <c r="AE18">
        <v>300</v>
      </c>
      <c r="AF18">
        <v>350</v>
      </c>
      <c r="AG18">
        <v>509</v>
      </c>
      <c r="AH18">
        <v>817</v>
      </c>
      <c r="AI18">
        <v>1150</v>
      </c>
      <c r="AL18">
        <v>366</v>
      </c>
      <c r="AM18">
        <v>537</v>
      </c>
      <c r="AN18">
        <v>300</v>
      </c>
      <c r="AO18">
        <v>640</v>
      </c>
      <c r="AS18">
        <v>1072</v>
      </c>
      <c r="AT18">
        <v>1160</v>
      </c>
      <c r="AV18">
        <v>6162</v>
      </c>
      <c r="AW18">
        <v>963</v>
      </c>
      <c r="AX18" t="s">
        <v>151</v>
      </c>
    </row>
    <row r="19" spans="1:50" x14ac:dyDescent="0.25">
      <c r="A19" t="str">
        <f>D1_ENERO_2025[[#This Row],[SUPER2]]</f>
        <v>JORGE</v>
      </c>
      <c r="B19" t="s">
        <v>74</v>
      </c>
      <c r="C19">
        <f>VLOOKUP(D1_ENERO_2025[[#This Row],[SUPER]],DATA_ENERO_2025[[SUPERVISOR]:[META]],3,0)</f>
        <v>22000</v>
      </c>
      <c r="D19">
        <f>D1_ENERO_2025[[#This Row],[RECUPERO]]/C19</f>
        <v>0.35457272727272726</v>
      </c>
      <c r="E19" t="s">
        <v>2</v>
      </c>
      <c r="F19" t="s">
        <v>74</v>
      </c>
      <c r="G19">
        <v>7800.6</v>
      </c>
      <c r="H19" t="s">
        <v>395</v>
      </c>
      <c r="I19" s="55">
        <v>44470</v>
      </c>
      <c r="J19" s="55" t="s">
        <v>501</v>
      </c>
      <c r="K19" s="55"/>
      <c r="M19" s="1">
        <f>DATA_ENERO_2025[[#This Row],[RECUPERO]]/DATA_ENERO_2025[[#This Row],[META]]</f>
        <v>1.611904761904762</v>
      </c>
      <c r="N19">
        <f>6-ROUNDUP(_xlfn.RANK.EQ(DATA_ENERO_2025[[#This Row],[AL_AC]],DATA_ENERO_2025[AL_AC],0)/(COUNTA(DATA_ENERO_2025[AL_AC])/5),0)</f>
        <v>5</v>
      </c>
      <c r="O19" t="s">
        <v>6</v>
      </c>
      <c r="P19">
        <f>SUM(DATA_ENERO_2025[[#This Row],[1]:[31]])</f>
        <v>33850</v>
      </c>
      <c r="Q19">
        <v>21000</v>
      </c>
      <c r="R19" t="s">
        <v>118</v>
      </c>
      <c r="U19">
        <v>3000</v>
      </c>
      <c r="W19">
        <v>500</v>
      </c>
      <c r="Y19">
        <v>500</v>
      </c>
      <c r="AE19">
        <v>1400</v>
      </c>
      <c r="AF19">
        <v>200</v>
      </c>
      <c r="AH19">
        <v>250</v>
      </c>
      <c r="AI19">
        <v>500</v>
      </c>
      <c r="AM19">
        <v>6500</v>
      </c>
      <c r="AN19">
        <v>4500</v>
      </c>
      <c r="AS19">
        <v>4300</v>
      </c>
      <c r="AV19">
        <v>6500</v>
      </c>
      <c r="AW19">
        <v>5700</v>
      </c>
      <c r="AX19" t="s">
        <v>152</v>
      </c>
    </row>
    <row r="20" spans="1:50" x14ac:dyDescent="0.25">
      <c r="A20" t="str">
        <f>D1_ENERO_2025[[#This Row],[SUPER2]]</f>
        <v>JORGE</v>
      </c>
      <c r="B20" t="s">
        <v>117</v>
      </c>
      <c r="C20">
        <f>VLOOKUP(D1_ENERO_2025[[#This Row],[SUPER]],DATA_ENERO_2025[[SUPERVISOR]:[META]],3,0)</f>
        <v>22000</v>
      </c>
      <c r="D20">
        <f>D1_ENERO_2025[[#This Row],[RECUPERO]]/C20</f>
        <v>0.13309090909090909</v>
      </c>
      <c r="E20" t="s">
        <v>2</v>
      </c>
      <c r="F20" t="s">
        <v>117</v>
      </c>
      <c r="G20">
        <v>2928</v>
      </c>
      <c r="H20" t="s">
        <v>396</v>
      </c>
      <c r="I20" s="55">
        <v>45668</v>
      </c>
      <c r="J20" s="55" t="s">
        <v>501</v>
      </c>
      <c r="K20" s="55"/>
      <c r="M20" s="1">
        <f>DATA_ENERO_2025[[#This Row],[RECUPERO]]/DATA_ENERO_2025[[#This Row],[META]]</f>
        <v>0.65238095238095239</v>
      </c>
      <c r="N20">
        <f>6-ROUNDUP(_xlfn.RANK.EQ(DATA_ENERO_2025[[#This Row],[AL_AC]],DATA_ENERO_2025[AL_AC],0)/(COUNTA(DATA_ENERO_2025[AL_AC])/5),0)</f>
        <v>3</v>
      </c>
      <c r="O20" t="s">
        <v>6</v>
      </c>
      <c r="P20">
        <f>SUM(DATA_ENERO_2025[[#This Row],[1]:[31]])</f>
        <v>13700</v>
      </c>
      <c r="Q20">
        <v>21000</v>
      </c>
      <c r="R20" t="s">
        <v>19</v>
      </c>
      <c r="X20">
        <v>2000</v>
      </c>
      <c r="Z20">
        <v>500</v>
      </c>
      <c r="AC20">
        <v>100</v>
      </c>
      <c r="AF20">
        <v>250</v>
      </c>
      <c r="AG20">
        <v>350</v>
      </c>
      <c r="AM20">
        <v>3500</v>
      </c>
      <c r="AV20">
        <v>7000</v>
      </c>
      <c r="AX20" t="s">
        <v>152</v>
      </c>
    </row>
    <row r="21" spans="1:50" x14ac:dyDescent="0.25">
      <c r="A21" t="str">
        <f>D1_ENERO_2025[[#This Row],[SUPER2]]</f>
        <v>JORGE</v>
      </c>
      <c r="B21" t="s">
        <v>78</v>
      </c>
      <c r="C21">
        <f>VLOOKUP(D1_ENERO_2025[[#This Row],[SUPER]],DATA_ENERO_2025[[SUPERVISOR]:[META]],3,0)</f>
        <v>22000</v>
      </c>
      <c r="D21">
        <f>D1_ENERO_2025[[#This Row],[RECUPERO]]/C21</f>
        <v>0.36845454545454548</v>
      </c>
      <c r="E21" t="s">
        <v>2</v>
      </c>
      <c r="F21" t="s">
        <v>78</v>
      </c>
      <c r="G21">
        <v>8106</v>
      </c>
      <c r="H21" t="s">
        <v>397</v>
      </c>
      <c r="I21" s="55">
        <v>44945</v>
      </c>
      <c r="J21" s="55" t="s">
        <v>501</v>
      </c>
      <c r="K21" s="55"/>
      <c r="M21" s="1">
        <f>DATA_ENERO_2025[[#This Row],[RECUPERO]]/DATA_ENERO_2025[[#This Row],[META]]</f>
        <v>0.30009090909090907</v>
      </c>
      <c r="N21">
        <f>6-ROUNDUP(_xlfn.RANK.EQ(DATA_ENERO_2025[[#This Row],[AL_AC]],DATA_ENERO_2025[AL_AC],0)/(COUNTA(DATA_ENERO_2025[AL_AC])/5),0)</f>
        <v>1</v>
      </c>
      <c r="O21" t="s">
        <v>2</v>
      </c>
      <c r="P21">
        <f>SUM(DATA_ENERO_2025[[#This Row],[1]:[31]])</f>
        <v>6602</v>
      </c>
      <c r="Q21">
        <v>22000</v>
      </c>
      <c r="R21" t="s">
        <v>41</v>
      </c>
      <c r="AA21">
        <v>1000</v>
      </c>
      <c r="AF21">
        <v>1200</v>
      </c>
      <c r="AG21">
        <v>200</v>
      </c>
      <c r="AJ21">
        <v>150</v>
      </c>
      <c r="AL21">
        <v>950</v>
      </c>
      <c r="AM21">
        <v>1800</v>
      </c>
      <c r="AS21">
        <v>400</v>
      </c>
      <c r="AT21">
        <v>450</v>
      </c>
      <c r="AW21">
        <v>452</v>
      </c>
      <c r="AX21" t="s">
        <v>151</v>
      </c>
    </row>
    <row r="22" spans="1:50" x14ac:dyDescent="0.25">
      <c r="A22" t="str">
        <f>D1_ENERO_2025[[#This Row],[SUPER2]]</f>
        <v>KENNETH</v>
      </c>
      <c r="B22" t="s">
        <v>118</v>
      </c>
      <c r="C22">
        <f>VLOOKUP(D1_ENERO_2025[[#This Row],[SUPER]],DATA_ENERO_2025[[SUPERVISOR]:[META]],3,0)</f>
        <v>21000</v>
      </c>
      <c r="D22">
        <f>D1_ENERO_2025[[#This Row],[RECUPERO]]/C22</f>
        <v>1.611904761904762</v>
      </c>
      <c r="E22" t="s">
        <v>6</v>
      </c>
      <c r="F22" t="s">
        <v>118</v>
      </c>
      <c r="G22">
        <v>33850</v>
      </c>
      <c r="H22" t="s">
        <v>398</v>
      </c>
      <c r="I22" s="55">
        <v>44357</v>
      </c>
      <c r="J22" s="55" t="s">
        <v>501</v>
      </c>
      <c r="K22" s="55"/>
      <c r="L22" s="55"/>
      <c r="M22" s="1">
        <f>DATA_ENERO_2025[[#This Row],[RECUPERO]]/DATA_ENERO_2025[[#This Row],[META]]</f>
        <v>0</v>
      </c>
      <c r="N22">
        <f>6-ROUNDUP(_xlfn.RANK.EQ(DATA_ENERO_2025[[#This Row],[AL_AC]],DATA_ENERO_2025[AL_AC],0)/(COUNTA(DATA_ENERO_2025[AL_AC])/5),0)</f>
        <v>1</v>
      </c>
      <c r="O22" t="s">
        <v>9</v>
      </c>
      <c r="P22">
        <f>SUM(DATA_ENERO_2025[[#This Row],[1]:[31]])</f>
        <v>0</v>
      </c>
      <c r="Q22">
        <v>21000</v>
      </c>
      <c r="R22" t="s">
        <v>61</v>
      </c>
      <c r="AX22" t="s">
        <v>153</v>
      </c>
    </row>
    <row r="23" spans="1:50" x14ac:dyDescent="0.25">
      <c r="A23" t="str">
        <f>D1_ENERO_2025[[#This Row],[SUPER2]]</f>
        <v>KENNETH</v>
      </c>
      <c r="B23" t="s">
        <v>19</v>
      </c>
      <c r="C23">
        <f>VLOOKUP(D1_ENERO_2025[[#This Row],[SUPER]],DATA_ENERO_2025[[SUPERVISOR]:[META]],3,0)</f>
        <v>21000</v>
      </c>
      <c r="D23">
        <f>D1_ENERO_2025[[#This Row],[RECUPERO]]/C23</f>
        <v>0.65238095238095239</v>
      </c>
      <c r="E23" t="s">
        <v>6</v>
      </c>
      <c r="F23" t="s">
        <v>19</v>
      </c>
      <c r="G23">
        <v>13700</v>
      </c>
      <c r="H23" t="s">
        <v>399</v>
      </c>
      <c r="I23" s="55">
        <v>44673</v>
      </c>
      <c r="J23" s="55" t="s">
        <v>501</v>
      </c>
      <c r="K23" s="55"/>
      <c r="L23" s="55"/>
      <c r="M23" s="1">
        <f>DATA_ENERO_2025[[#This Row],[RECUPERO]]/DATA_ENERO_2025[[#This Row],[META]]</f>
        <v>1.196</v>
      </c>
      <c r="N23">
        <f>6-ROUNDUP(_xlfn.RANK.EQ(DATA_ENERO_2025[[#This Row],[AL_AC]],DATA_ENERO_2025[AL_AC],0)/(COUNTA(DATA_ENERO_2025[AL_AC])/5),0)</f>
        <v>5</v>
      </c>
      <c r="O23" t="s">
        <v>115</v>
      </c>
      <c r="P23">
        <f>SUM(DATA_ENERO_2025[[#This Row],[1]:[31]])</f>
        <v>19734</v>
      </c>
      <c r="Q23">
        <v>16500</v>
      </c>
      <c r="R23" t="s">
        <v>80</v>
      </c>
      <c r="T23">
        <v>100</v>
      </c>
      <c r="U23">
        <v>547</v>
      </c>
      <c r="X23">
        <v>1300</v>
      </c>
      <c r="Z23">
        <v>550</v>
      </c>
      <c r="AB23">
        <v>1652</v>
      </c>
      <c r="AF23">
        <v>174</v>
      </c>
      <c r="AI23">
        <v>1000</v>
      </c>
      <c r="AJ23">
        <v>236</v>
      </c>
      <c r="AL23">
        <v>847</v>
      </c>
      <c r="AM23">
        <v>280</v>
      </c>
      <c r="AN23">
        <v>1207</v>
      </c>
      <c r="AO23">
        <v>844</v>
      </c>
      <c r="AP23">
        <v>1300</v>
      </c>
      <c r="AS23">
        <v>2650</v>
      </c>
      <c r="AT23">
        <v>1553</v>
      </c>
      <c r="AU23">
        <v>279</v>
      </c>
      <c r="AV23">
        <v>1501</v>
      </c>
      <c r="AW23">
        <v>3714</v>
      </c>
      <c r="AX23" t="s">
        <v>151</v>
      </c>
    </row>
    <row r="24" spans="1:50" x14ac:dyDescent="0.25">
      <c r="A24" t="str">
        <f>D1_ENERO_2025[[#This Row],[SUPER2]]</f>
        <v>KENNETH</v>
      </c>
      <c r="B24" t="s">
        <v>37</v>
      </c>
      <c r="C24">
        <f>VLOOKUP(D1_ENERO_2025[[#This Row],[SUPER]],DATA_ENERO_2025[[SUPERVISOR]:[META]],3,0)</f>
        <v>21000</v>
      </c>
      <c r="D24">
        <f>D1_ENERO_2025[[#This Row],[RECUPERO]]/C24</f>
        <v>1.0635238095238095</v>
      </c>
      <c r="E24" t="s">
        <v>6</v>
      </c>
      <c r="F24" t="s">
        <v>37</v>
      </c>
      <c r="G24">
        <v>22334</v>
      </c>
      <c r="H24" t="s">
        <v>400</v>
      </c>
      <c r="I24" s="55">
        <v>43132</v>
      </c>
      <c r="J24" s="55" t="s">
        <v>501</v>
      </c>
      <c r="K24" s="55"/>
      <c r="L24" s="55"/>
      <c r="M24" s="1">
        <f>DATA_ENERO_2025[[#This Row],[RECUPERO]]/DATA_ENERO_2025[[#This Row],[META]]</f>
        <v>0.37945879310344827</v>
      </c>
      <c r="N24">
        <f>6-ROUNDUP(_xlfn.RANK.EQ(DATA_ENERO_2025[[#This Row],[AL_AC]],DATA_ENERO_2025[AL_AC],0)/(COUNTA(DATA_ENERO_2025[AL_AC])/5),0)</f>
        <v>2</v>
      </c>
      <c r="O24" t="s">
        <v>4</v>
      </c>
      <c r="P24">
        <f>SUM(DATA_ENERO_2025[[#This Row],[1]:[31]])</f>
        <v>22008.61</v>
      </c>
      <c r="Q24">
        <v>58000</v>
      </c>
      <c r="R24" t="s">
        <v>40</v>
      </c>
      <c r="T24">
        <v>721.75</v>
      </c>
      <c r="AA24">
        <v>130</v>
      </c>
      <c r="AG24">
        <v>4666.8600000000006</v>
      </c>
      <c r="AP24">
        <v>2390</v>
      </c>
      <c r="AS24">
        <v>7600</v>
      </c>
      <c r="AT24">
        <v>1500</v>
      </c>
      <c r="AV24">
        <v>5000</v>
      </c>
      <c r="AX24" t="s">
        <v>150</v>
      </c>
    </row>
    <row r="25" spans="1:50" x14ac:dyDescent="0.25">
      <c r="A25" t="str">
        <f>D1_ENERO_2025[[#This Row],[SUPER2]]</f>
        <v>KENNETH</v>
      </c>
      <c r="B25" t="s">
        <v>35</v>
      </c>
      <c r="C25">
        <f>VLOOKUP(D1_ENERO_2025[[#This Row],[SUPER]],DATA_ENERO_2025[[SUPERVISOR]:[META]],3,0)</f>
        <v>21000</v>
      </c>
      <c r="D25">
        <f>D1_ENERO_2025[[#This Row],[RECUPERO]]/C25</f>
        <v>1.0185714285714285</v>
      </c>
      <c r="E25" t="s">
        <v>6</v>
      </c>
      <c r="F25" t="s">
        <v>35</v>
      </c>
      <c r="G25">
        <v>21390</v>
      </c>
      <c r="H25" t="s">
        <v>401</v>
      </c>
      <c r="I25" s="55">
        <v>44748</v>
      </c>
      <c r="J25" s="55" t="s">
        <v>501</v>
      </c>
      <c r="K25" s="55"/>
      <c r="L25" s="55"/>
      <c r="M25" s="1">
        <f>DATA_ENERO_2025[[#This Row],[RECUPERO]]/DATA_ENERO_2025[[#This Row],[META]]</f>
        <v>0.40105172413793105</v>
      </c>
      <c r="N25">
        <f>6-ROUNDUP(_xlfn.RANK.EQ(DATA_ENERO_2025[[#This Row],[AL_AC]],DATA_ENERO_2025[AL_AC],0)/(COUNTA(DATA_ENERO_2025[AL_AC])/5),0)</f>
        <v>2</v>
      </c>
      <c r="O25" t="s">
        <v>4</v>
      </c>
      <c r="P25">
        <f>SUM(DATA_ENERO_2025[[#This Row],[1]:[31]])</f>
        <v>23261</v>
      </c>
      <c r="Q25">
        <v>58000</v>
      </c>
      <c r="R25" t="s">
        <v>81</v>
      </c>
      <c r="Z25">
        <v>50</v>
      </c>
      <c r="AF25">
        <v>10000</v>
      </c>
      <c r="AG25">
        <v>337</v>
      </c>
      <c r="AH25">
        <v>274</v>
      </c>
      <c r="AM25">
        <v>4000</v>
      </c>
      <c r="AN25">
        <v>7000</v>
      </c>
      <c r="AO25">
        <v>1000</v>
      </c>
      <c r="AQ25">
        <v>600</v>
      </c>
      <c r="AX25" t="s">
        <v>150</v>
      </c>
    </row>
    <row r="26" spans="1:50" x14ac:dyDescent="0.25">
      <c r="A26" t="str">
        <f>D1_ENERO_2025[[#This Row],[SUPER2]]</f>
        <v>KENNETH</v>
      </c>
      <c r="B26" t="s">
        <v>50</v>
      </c>
      <c r="C26">
        <f>VLOOKUP(D1_ENERO_2025[[#This Row],[SUPER]],DATA_ENERO_2025[[SUPERVISOR]:[META]],3,0)</f>
        <v>21000</v>
      </c>
      <c r="D26">
        <f>D1_ENERO_2025[[#This Row],[RECUPERO]]/C26</f>
        <v>0.24771428571428572</v>
      </c>
      <c r="E26" t="s">
        <v>6</v>
      </c>
      <c r="F26" t="s">
        <v>50</v>
      </c>
      <c r="G26">
        <v>5202</v>
      </c>
      <c r="H26" t="s">
        <v>402</v>
      </c>
      <c r="I26" s="55">
        <v>45523</v>
      </c>
      <c r="J26" s="55" t="s">
        <v>501</v>
      </c>
      <c r="K26" s="55"/>
      <c r="L26" s="55"/>
      <c r="M26" s="1">
        <f>DATA_ENERO_2025[[#This Row],[RECUPERO]]/DATA_ENERO_2025[[#This Row],[META]]</f>
        <v>0</v>
      </c>
      <c r="N26">
        <f>6-ROUNDUP(_xlfn.RANK.EQ(DATA_ENERO_2025[[#This Row],[AL_AC]],DATA_ENERO_2025[AL_AC],0)/(COUNTA(DATA_ENERO_2025[AL_AC])/5),0)</f>
        <v>1</v>
      </c>
      <c r="O26" t="s">
        <v>3</v>
      </c>
      <c r="P26">
        <f>SUM(DATA_ENERO_2025[[#This Row],[1]:[31]])</f>
        <v>0</v>
      </c>
      <c r="Q26">
        <v>58000</v>
      </c>
      <c r="R26" t="s">
        <v>22</v>
      </c>
      <c r="AX26" t="s">
        <v>150</v>
      </c>
    </row>
    <row r="27" spans="1:50" x14ac:dyDescent="0.25">
      <c r="A27" t="str">
        <f>D1_ENERO_2025[[#This Row],[SUPER2]]</f>
        <v>KENNETH</v>
      </c>
      <c r="B27" t="s">
        <v>31</v>
      </c>
      <c r="C27">
        <f>VLOOKUP(D1_ENERO_2025[[#This Row],[SUPER]],DATA_ENERO_2025[[SUPERVISOR]:[META]],3,0)</f>
        <v>21000</v>
      </c>
      <c r="D27">
        <f>D1_ENERO_2025[[#This Row],[RECUPERO]]/C27</f>
        <v>1.1061904761904762</v>
      </c>
      <c r="E27" t="s">
        <v>6</v>
      </c>
      <c r="F27" t="s">
        <v>31</v>
      </c>
      <c r="G27">
        <v>23230</v>
      </c>
      <c r="H27" t="s">
        <v>403</v>
      </c>
      <c r="I27" s="55">
        <v>45334</v>
      </c>
      <c r="J27" s="55" t="s">
        <v>501</v>
      </c>
      <c r="K27" s="55"/>
      <c r="L27" s="55"/>
      <c r="M27" s="1">
        <f>DATA_ENERO_2025[[#This Row],[RECUPERO]]/DATA_ENERO_2025[[#This Row],[META]]</f>
        <v>0</v>
      </c>
      <c r="N27">
        <f>6-ROUNDUP(_xlfn.RANK.EQ(DATA_ENERO_2025[[#This Row],[AL_AC]],DATA_ENERO_2025[AL_AC],0)/(COUNTA(DATA_ENERO_2025[AL_AC])/5),0)</f>
        <v>1</v>
      </c>
      <c r="O27" t="s">
        <v>115</v>
      </c>
      <c r="P27">
        <f>SUM(DATA_ENERO_2025[[#This Row],[1]:[31]])</f>
        <v>0</v>
      </c>
      <c r="Q27">
        <v>16500</v>
      </c>
      <c r="R27" t="s">
        <v>24</v>
      </c>
      <c r="AX27" t="s">
        <v>151</v>
      </c>
    </row>
    <row r="28" spans="1:50" x14ac:dyDescent="0.25">
      <c r="A28" t="str">
        <f>D1_ENERO_2025[[#This Row],[SUPER2]]</f>
        <v>KENNETH</v>
      </c>
      <c r="B28" t="s">
        <v>119</v>
      </c>
      <c r="C28">
        <f>VLOOKUP(D1_ENERO_2025[[#This Row],[SUPER]],DATA_ENERO_2025[[SUPERVISOR]:[META]],3,0)</f>
        <v>21000</v>
      </c>
      <c r="D28">
        <f>D1_ENERO_2025[[#This Row],[RECUPERO]]/C28</f>
        <v>1.7141904761904763</v>
      </c>
      <c r="E28" t="s">
        <v>6</v>
      </c>
      <c r="F28" t="s">
        <v>119</v>
      </c>
      <c r="G28">
        <v>35998</v>
      </c>
      <c r="H28" t="s">
        <v>404</v>
      </c>
      <c r="I28" s="55">
        <v>45441</v>
      </c>
      <c r="J28" s="55" t="s">
        <v>501</v>
      </c>
      <c r="K28" s="55"/>
      <c r="L28" s="55"/>
      <c r="M28" s="1">
        <f>DATA_ENERO_2025[[#This Row],[RECUPERO]]/DATA_ENERO_2025[[#This Row],[META]]</f>
        <v>0.50140909090909092</v>
      </c>
      <c r="N28">
        <f>6-ROUNDUP(_xlfn.RANK.EQ(DATA_ENERO_2025[[#This Row],[AL_AC]],DATA_ENERO_2025[AL_AC],0)/(COUNTA(DATA_ENERO_2025[AL_AC])/5),0)</f>
        <v>2</v>
      </c>
      <c r="O28" t="s">
        <v>2</v>
      </c>
      <c r="P28">
        <f>SUM(DATA_ENERO_2025[[#This Row],[1]:[31]])</f>
        <v>11031</v>
      </c>
      <c r="Q28">
        <v>22000</v>
      </c>
      <c r="R28" t="s">
        <v>16</v>
      </c>
      <c r="T28">
        <v>500</v>
      </c>
      <c r="U28">
        <v>1600</v>
      </c>
      <c r="Y28">
        <v>500</v>
      </c>
      <c r="AA28">
        <v>200</v>
      </c>
      <c r="AB28">
        <v>700</v>
      </c>
      <c r="AE28">
        <v>800</v>
      </c>
      <c r="AF28">
        <v>100</v>
      </c>
      <c r="AI28">
        <v>410</v>
      </c>
      <c r="AL28">
        <v>1100</v>
      </c>
      <c r="AM28">
        <v>1100</v>
      </c>
      <c r="AN28">
        <v>300</v>
      </c>
      <c r="AS28">
        <v>2611</v>
      </c>
      <c r="AT28">
        <v>50</v>
      </c>
      <c r="AU28">
        <v>260</v>
      </c>
      <c r="AW28">
        <v>800</v>
      </c>
      <c r="AX28" t="s">
        <v>151</v>
      </c>
    </row>
    <row r="29" spans="1:50" x14ac:dyDescent="0.25">
      <c r="A29" t="str">
        <f>D1_ENERO_2025[[#This Row],[SUPER2]]</f>
        <v>KENNETH</v>
      </c>
      <c r="B29" t="s">
        <v>120</v>
      </c>
      <c r="C29">
        <f>VLOOKUP(D1_ENERO_2025[[#This Row],[SUPER]],DATA_ENERO_2025[[SUPERVISOR]:[META]],3,0)</f>
        <v>21000</v>
      </c>
      <c r="D29">
        <f>D1_ENERO_2025[[#This Row],[RECUPERO]]/C29</f>
        <v>1.1242857142857143</v>
      </c>
      <c r="E29" t="s">
        <v>6</v>
      </c>
      <c r="F29" t="s">
        <v>120</v>
      </c>
      <c r="G29">
        <v>23610</v>
      </c>
      <c r="H29" t="s">
        <v>405</v>
      </c>
      <c r="I29" s="55">
        <v>45471</v>
      </c>
      <c r="J29" s="55" t="s">
        <v>501</v>
      </c>
      <c r="K29" s="55"/>
      <c r="L29" s="55"/>
      <c r="M29" s="1">
        <f>DATA_ENERO_2025[[#This Row],[RECUPERO]]/DATA_ENERO_2025[[#This Row],[META]]</f>
        <v>6.1904761904761907E-2</v>
      </c>
      <c r="N29">
        <f>6-ROUNDUP(_xlfn.RANK.EQ(DATA_ENERO_2025[[#This Row],[AL_AC]],DATA_ENERO_2025[AL_AC],0)/(COUNTA(DATA_ENERO_2025[AL_AC])/5),0)</f>
        <v>1</v>
      </c>
      <c r="O29" t="s">
        <v>9</v>
      </c>
      <c r="P29">
        <f>SUM(DATA_ENERO_2025[[#This Row],[1]:[31]])</f>
        <v>1300</v>
      </c>
      <c r="Q29">
        <v>21000</v>
      </c>
      <c r="R29" t="s">
        <v>27</v>
      </c>
      <c r="AO29">
        <v>100</v>
      </c>
      <c r="AT29">
        <v>200</v>
      </c>
      <c r="AV29">
        <v>1000</v>
      </c>
      <c r="AX29" t="s">
        <v>153</v>
      </c>
    </row>
    <row r="30" spans="1:50" x14ac:dyDescent="0.25">
      <c r="A30" t="str">
        <f>D1_ENERO_2025[[#This Row],[SUPER2]]</f>
        <v>KENNETH</v>
      </c>
      <c r="B30" t="s">
        <v>36</v>
      </c>
      <c r="C30">
        <f>VLOOKUP(D1_ENERO_2025[[#This Row],[SUPER]],DATA_ENERO_2025[[SUPERVISOR]:[META]],3,0)</f>
        <v>21000</v>
      </c>
      <c r="D30">
        <f>D1_ENERO_2025[[#This Row],[RECUPERO]]/C30</f>
        <v>1.0646666666666667</v>
      </c>
      <c r="E30" t="s">
        <v>6</v>
      </c>
      <c r="F30" t="s">
        <v>36</v>
      </c>
      <c r="G30">
        <v>22358</v>
      </c>
      <c r="H30" t="s">
        <v>406</v>
      </c>
      <c r="I30" s="55">
        <v>44941</v>
      </c>
      <c r="J30" s="55" t="s">
        <v>501</v>
      </c>
      <c r="K30" s="55"/>
      <c r="L30" s="55"/>
      <c r="M30" s="1">
        <f>DATA_ENERO_2025[[#This Row],[RECUPERO]]/DATA_ENERO_2025[[#This Row],[META]]</f>
        <v>1.0436363636363637</v>
      </c>
      <c r="N30">
        <f>6-ROUNDUP(_xlfn.RANK.EQ(DATA_ENERO_2025[[#This Row],[AL_AC]],DATA_ENERO_2025[AL_AC],0)/(COUNTA(DATA_ENERO_2025[AL_AC])/5),0)</f>
        <v>4</v>
      </c>
      <c r="O30" t="s">
        <v>2</v>
      </c>
      <c r="P30">
        <f>SUM(DATA_ENERO_2025[[#This Row],[1]:[31]])</f>
        <v>22960</v>
      </c>
      <c r="Q30">
        <v>22000</v>
      </c>
      <c r="R30" t="s">
        <v>12</v>
      </c>
      <c r="T30">
        <v>200</v>
      </c>
      <c r="X30">
        <v>50</v>
      </c>
      <c r="Y30">
        <v>250</v>
      </c>
      <c r="Z30">
        <v>998</v>
      </c>
      <c r="AA30">
        <v>2400</v>
      </c>
      <c r="AB30">
        <v>200</v>
      </c>
      <c r="AC30">
        <v>420</v>
      </c>
      <c r="AF30">
        <v>400</v>
      </c>
      <c r="AH30">
        <v>500</v>
      </c>
      <c r="AI30">
        <v>270</v>
      </c>
      <c r="AJ30">
        <v>70</v>
      </c>
      <c r="AL30">
        <v>120</v>
      </c>
      <c r="AM30">
        <v>380</v>
      </c>
      <c r="AN30">
        <v>80</v>
      </c>
      <c r="AS30">
        <v>5200</v>
      </c>
      <c r="AT30">
        <v>1096</v>
      </c>
      <c r="AV30">
        <v>2650</v>
      </c>
      <c r="AW30">
        <v>7676</v>
      </c>
      <c r="AX30" t="s">
        <v>151</v>
      </c>
    </row>
    <row r="31" spans="1:50" x14ac:dyDescent="0.25">
      <c r="A31" t="str">
        <f>D1_ENERO_2025[[#This Row],[SUPER2]]</f>
        <v>KENNETH</v>
      </c>
      <c r="B31" t="s">
        <v>34</v>
      </c>
      <c r="C31">
        <f>VLOOKUP(D1_ENERO_2025[[#This Row],[SUPER]],DATA_ENERO_2025[[SUPERVISOR]:[META]],3,0)</f>
        <v>21000</v>
      </c>
      <c r="D31">
        <f>D1_ENERO_2025[[#This Row],[RECUPERO]]/C31</f>
        <v>0.74604761904761907</v>
      </c>
      <c r="E31" t="s">
        <v>6</v>
      </c>
      <c r="F31" t="s">
        <v>34</v>
      </c>
      <c r="G31">
        <v>15667</v>
      </c>
      <c r="H31" t="s">
        <v>407</v>
      </c>
      <c r="I31" s="55">
        <v>45175</v>
      </c>
      <c r="J31" s="55" t="s">
        <v>501</v>
      </c>
      <c r="K31" s="55"/>
      <c r="L31" s="55"/>
      <c r="M31" s="1">
        <f>DATA_ENERO_2025[[#This Row],[RECUPERO]]/DATA_ENERO_2025[[#This Row],[META]]</f>
        <v>7.6190476190476197E-2</v>
      </c>
      <c r="N31">
        <f>6-ROUNDUP(_xlfn.RANK.EQ(DATA_ENERO_2025[[#This Row],[AL_AC]],DATA_ENERO_2025[AL_AC],0)/(COUNTA(DATA_ENERO_2025[AL_AC])/5),0)</f>
        <v>1</v>
      </c>
      <c r="O31" t="s">
        <v>9</v>
      </c>
      <c r="P31">
        <f>SUM(DATA_ENERO_2025[[#This Row],[1]:[31]])</f>
        <v>1600</v>
      </c>
      <c r="Q31">
        <v>21000</v>
      </c>
      <c r="R31" t="s">
        <v>51</v>
      </c>
      <c r="AN31">
        <v>400</v>
      </c>
      <c r="AV31">
        <v>800</v>
      </c>
      <c r="AW31">
        <v>400</v>
      </c>
      <c r="AX31" t="s">
        <v>153</v>
      </c>
    </row>
    <row r="32" spans="1:50" x14ac:dyDescent="0.25">
      <c r="A32" t="str">
        <f>D1_ENERO_2025[[#This Row],[SUPER2]]</f>
        <v>KENNETH</v>
      </c>
      <c r="B32" t="s">
        <v>76</v>
      </c>
      <c r="C32">
        <f>VLOOKUP(D1_ENERO_2025[[#This Row],[SUPER]],DATA_ENERO_2025[[SUPERVISOR]:[META]],3,0)</f>
        <v>21000</v>
      </c>
      <c r="D32">
        <f>D1_ENERO_2025[[#This Row],[RECUPERO]]/C32</f>
        <v>0</v>
      </c>
      <c r="E32" t="s">
        <v>6</v>
      </c>
      <c r="F32" t="s">
        <v>76</v>
      </c>
      <c r="G32">
        <v>0</v>
      </c>
      <c r="H32" t="s">
        <v>408</v>
      </c>
      <c r="I32" s="55">
        <v>44819</v>
      </c>
      <c r="J32" s="55" t="s">
        <v>501</v>
      </c>
      <c r="K32" s="55"/>
      <c r="L32" s="55"/>
      <c r="M32" s="1">
        <f>DATA_ENERO_2025[[#This Row],[RECUPERO]]/DATA_ENERO_2025[[#This Row],[META]]</f>
        <v>0.85236206896551725</v>
      </c>
      <c r="N32">
        <f>6-ROUNDUP(_xlfn.RANK.EQ(DATA_ENERO_2025[[#This Row],[AL_AC]],DATA_ENERO_2025[AL_AC],0)/(COUNTA(DATA_ENERO_2025[AL_AC])/5),0)</f>
        <v>4</v>
      </c>
      <c r="O32" t="s">
        <v>5</v>
      </c>
      <c r="P32">
        <f>SUM(DATA_ENERO_2025[[#This Row],[1]:[31]])</f>
        <v>49437</v>
      </c>
      <c r="Q32">
        <v>58000</v>
      </c>
      <c r="R32" t="s">
        <v>13</v>
      </c>
      <c r="T32">
        <v>300</v>
      </c>
      <c r="Y32">
        <v>3000</v>
      </c>
      <c r="Z32">
        <v>1850</v>
      </c>
      <c r="AA32">
        <v>530</v>
      </c>
      <c r="AF32">
        <v>5000</v>
      </c>
      <c r="AH32">
        <v>1000</v>
      </c>
      <c r="AM32">
        <v>592</v>
      </c>
      <c r="AN32">
        <v>700</v>
      </c>
      <c r="AO32">
        <v>10060</v>
      </c>
      <c r="AP32">
        <v>10200</v>
      </c>
      <c r="AQ32">
        <v>1000</v>
      </c>
      <c r="AT32">
        <v>300</v>
      </c>
      <c r="AU32">
        <v>6730</v>
      </c>
      <c r="AV32">
        <v>5825</v>
      </c>
      <c r="AW32">
        <v>2350</v>
      </c>
      <c r="AX32" t="s">
        <v>150</v>
      </c>
    </row>
    <row r="33" spans="1:50" x14ac:dyDescent="0.25">
      <c r="A33" t="str">
        <f>D1_ENERO_2025[[#This Row],[SUPER2]]</f>
        <v>LUIS</v>
      </c>
      <c r="B33" t="s">
        <v>21</v>
      </c>
      <c r="C33">
        <f>VLOOKUP(D1_ENERO_2025[[#This Row],[SUPER]],DATA_ENERO_2025[[SUPERVISOR]:[META]],3,0)</f>
        <v>21000</v>
      </c>
      <c r="D33">
        <f>D1_ENERO_2025[[#This Row],[RECUPERO]]/C33</f>
        <v>0.47914285714285715</v>
      </c>
      <c r="E33" t="s">
        <v>9</v>
      </c>
      <c r="F33" t="s">
        <v>21</v>
      </c>
      <c r="G33">
        <v>10062</v>
      </c>
      <c r="H33" t="s">
        <v>409</v>
      </c>
      <c r="I33" s="55">
        <v>44301</v>
      </c>
      <c r="J33" s="55" t="s">
        <v>501</v>
      </c>
      <c r="K33" s="55"/>
      <c r="L33" s="55"/>
      <c r="M33" s="1">
        <f>DATA_ENERO_2025[[#This Row],[RECUPERO]]/DATA_ENERO_2025[[#This Row],[META]]</f>
        <v>0.54387272727272729</v>
      </c>
      <c r="N33">
        <f>6-ROUNDUP(_xlfn.RANK.EQ(DATA_ENERO_2025[[#This Row],[AL_AC]],DATA_ENERO_2025[AL_AC],0)/(COUNTA(DATA_ENERO_2025[AL_AC])/5),0)</f>
        <v>2</v>
      </c>
      <c r="O33" t="s">
        <v>2</v>
      </c>
      <c r="P33">
        <f>SUM(DATA_ENERO_2025[[#This Row],[1]:[31]])</f>
        <v>11965.2</v>
      </c>
      <c r="Q33">
        <v>22000</v>
      </c>
      <c r="R33" t="s">
        <v>32</v>
      </c>
      <c r="T33">
        <v>200</v>
      </c>
      <c r="U33">
        <v>200</v>
      </c>
      <c r="X33">
        <v>2400</v>
      </c>
      <c r="Z33">
        <v>300</v>
      </c>
      <c r="AG33">
        <v>200</v>
      </c>
      <c r="AL33">
        <v>400</v>
      </c>
      <c r="AN33">
        <v>600</v>
      </c>
      <c r="AO33">
        <v>880</v>
      </c>
      <c r="AP33">
        <v>1200</v>
      </c>
      <c r="AT33">
        <v>100</v>
      </c>
      <c r="AU33">
        <v>3585.2</v>
      </c>
      <c r="AV33">
        <v>1600</v>
      </c>
      <c r="AW33">
        <v>300</v>
      </c>
      <c r="AX33" t="s">
        <v>151</v>
      </c>
    </row>
    <row r="34" spans="1:50" x14ac:dyDescent="0.25">
      <c r="A34" t="str">
        <f>D1_ENERO_2025[[#This Row],[SUPER2]]</f>
        <v>LUIS</v>
      </c>
      <c r="B34" t="s">
        <v>15</v>
      </c>
      <c r="C34">
        <f>VLOOKUP(D1_ENERO_2025[[#This Row],[SUPER]],DATA_ENERO_2025[[SUPERVISOR]:[META]],3,0)</f>
        <v>21000</v>
      </c>
      <c r="D34">
        <f>D1_ENERO_2025[[#This Row],[RECUPERO]]/C34</f>
        <v>0.61953809523809522</v>
      </c>
      <c r="E34" t="s">
        <v>9</v>
      </c>
      <c r="F34" t="s">
        <v>15</v>
      </c>
      <c r="G34">
        <v>13010.3</v>
      </c>
      <c r="H34" t="s">
        <v>410</v>
      </c>
      <c r="I34" s="55">
        <v>44735</v>
      </c>
      <c r="J34" s="55" t="s">
        <v>501</v>
      </c>
      <c r="K34" s="55"/>
      <c r="L34" s="55"/>
      <c r="M34" s="1">
        <f>DATA_ENERO_2025[[#This Row],[RECUPERO]]/DATA_ENERO_2025[[#This Row],[META]]</f>
        <v>0.74841379310344824</v>
      </c>
      <c r="N34">
        <f>6-ROUNDUP(_xlfn.RANK.EQ(DATA_ENERO_2025[[#This Row],[AL_AC]],DATA_ENERO_2025[AL_AC],0)/(COUNTA(DATA_ENERO_2025[AL_AC])/5),0)</f>
        <v>3</v>
      </c>
      <c r="O34" t="s">
        <v>5</v>
      </c>
      <c r="P34">
        <f>SUM(DATA_ENERO_2025[[#This Row],[1]:[31]])</f>
        <v>43408</v>
      </c>
      <c r="Q34">
        <v>58000</v>
      </c>
      <c r="R34" t="s">
        <v>66</v>
      </c>
      <c r="AL34">
        <v>9500</v>
      </c>
      <c r="AN34">
        <v>2500</v>
      </c>
      <c r="AP34">
        <v>3000</v>
      </c>
      <c r="AT34">
        <v>16000</v>
      </c>
      <c r="AV34">
        <v>798</v>
      </c>
      <c r="AW34">
        <v>11610</v>
      </c>
      <c r="AX34" t="s">
        <v>150</v>
      </c>
    </row>
    <row r="35" spans="1:50" x14ac:dyDescent="0.25">
      <c r="A35" t="str">
        <f>D1_ENERO_2025[[#This Row],[SUPER2]]</f>
        <v>LUIS</v>
      </c>
      <c r="B35" t="s">
        <v>61</v>
      </c>
      <c r="C35">
        <f>VLOOKUP(D1_ENERO_2025[[#This Row],[SUPER]],DATA_ENERO_2025[[SUPERVISOR]:[META]],3,0)</f>
        <v>21000</v>
      </c>
      <c r="D35">
        <f>D1_ENERO_2025[[#This Row],[RECUPERO]]/C35</f>
        <v>0</v>
      </c>
      <c r="E35" t="s">
        <v>9</v>
      </c>
      <c r="F35" t="s">
        <v>61</v>
      </c>
      <c r="G35">
        <v>0</v>
      </c>
      <c r="H35" t="s">
        <v>411</v>
      </c>
      <c r="I35" s="55">
        <v>44909</v>
      </c>
      <c r="J35" s="55" t="s">
        <v>501</v>
      </c>
      <c r="K35" s="55"/>
      <c r="L35" s="55"/>
      <c r="M35" s="1">
        <f>DATA_ENERO_2025[[#This Row],[RECUPERO]]/DATA_ENERO_2025[[#This Row],[META]]</f>
        <v>0.9167333333333334</v>
      </c>
      <c r="N35">
        <f>6-ROUNDUP(_xlfn.RANK.EQ(DATA_ENERO_2025[[#This Row],[AL_AC]],DATA_ENERO_2025[AL_AC],0)/(COUNTA(DATA_ENERO_2025[AL_AC])/5),0)</f>
        <v>4</v>
      </c>
      <c r="O35" t="s">
        <v>9</v>
      </c>
      <c r="P35">
        <f>SUM(DATA_ENERO_2025[[#This Row],[1]:[31]])</f>
        <v>19251.400000000001</v>
      </c>
      <c r="Q35">
        <v>21000</v>
      </c>
      <c r="R35" t="s">
        <v>71</v>
      </c>
      <c r="T35">
        <v>500</v>
      </c>
      <c r="U35">
        <v>200</v>
      </c>
      <c r="Y35">
        <v>450</v>
      </c>
      <c r="Z35">
        <v>1000</v>
      </c>
      <c r="AA35">
        <v>200</v>
      </c>
      <c r="AB35">
        <v>1196.4000000000001</v>
      </c>
      <c r="AE35">
        <v>805</v>
      </c>
      <c r="AG35">
        <v>800</v>
      </c>
      <c r="AH35">
        <v>600</v>
      </c>
      <c r="AI35">
        <v>1500</v>
      </c>
      <c r="AL35">
        <v>5700</v>
      </c>
      <c r="AN35">
        <v>200</v>
      </c>
      <c r="AS35">
        <v>2700</v>
      </c>
      <c r="AV35">
        <v>2000</v>
      </c>
      <c r="AW35">
        <v>1400</v>
      </c>
      <c r="AX35" t="s">
        <v>153</v>
      </c>
    </row>
    <row r="36" spans="1:50" x14ac:dyDescent="0.25">
      <c r="A36" t="str">
        <f>D1_ENERO_2025[[#This Row],[SUPER2]]</f>
        <v>LUIS</v>
      </c>
      <c r="B36" t="s">
        <v>27</v>
      </c>
      <c r="C36">
        <f>VLOOKUP(D1_ENERO_2025[[#This Row],[SUPER]],DATA_ENERO_2025[[SUPERVISOR]:[META]],3,0)</f>
        <v>21000</v>
      </c>
      <c r="D36">
        <f>D1_ENERO_2025[[#This Row],[RECUPERO]]/C36</f>
        <v>6.1904761904761907E-2</v>
      </c>
      <c r="E36" t="s">
        <v>9</v>
      </c>
      <c r="F36" t="s">
        <v>27</v>
      </c>
      <c r="G36">
        <v>1300</v>
      </c>
      <c r="H36" t="s">
        <v>412</v>
      </c>
      <c r="I36" s="55">
        <v>45675</v>
      </c>
      <c r="J36" s="55" t="s">
        <v>501</v>
      </c>
      <c r="K36" s="55"/>
      <c r="L36" s="55"/>
      <c r="M36" s="1">
        <f>DATA_ENERO_2025[[#This Row],[RECUPERO]]/DATA_ENERO_2025[[#This Row],[META]]</f>
        <v>0.50987142857142853</v>
      </c>
      <c r="N36">
        <f>6-ROUNDUP(_xlfn.RANK.EQ(DATA_ENERO_2025[[#This Row],[AL_AC]],DATA_ENERO_2025[AL_AC],0)/(COUNTA(DATA_ENERO_2025[AL_AC])/5),0)</f>
        <v>2</v>
      </c>
      <c r="O36" t="s">
        <v>9</v>
      </c>
      <c r="P36">
        <f>SUM(DATA_ENERO_2025[[#This Row],[1]:[31]])</f>
        <v>10707.3</v>
      </c>
      <c r="Q36">
        <v>21000</v>
      </c>
      <c r="R36" t="s">
        <v>42</v>
      </c>
      <c r="T36">
        <v>3055</v>
      </c>
      <c r="Y36">
        <v>1507.3</v>
      </c>
      <c r="Z36">
        <v>645</v>
      </c>
      <c r="AG36">
        <v>1250</v>
      </c>
      <c r="AH36">
        <v>1170</v>
      </c>
      <c r="AM36">
        <v>300</v>
      </c>
      <c r="AO36">
        <v>500</v>
      </c>
      <c r="AP36">
        <v>600</v>
      </c>
      <c r="AQ36">
        <v>1000</v>
      </c>
      <c r="AS36">
        <v>180</v>
      </c>
      <c r="AW36">
        <v>500</v>
      </c>
      <c r="AX36" t="s">
        <v>153</v>
      </c>
    </row>
    <row r="37" spans="1:50" x14ac:dyDescent="0.25">
      <c r="A37" t="str">
        <f>D1_ENERO_2025[[#This Row],[SUPER2]]</f>
        <v>LUIS</v>
      </c>
      <c r="B37" t="s">
        <v>51</v>
      </c>
      <c r="C37">
        <f>VLOOKUP(D1_ENERO_2025[[#This Row],[SUPER]],DATA_ENERO_2025[[SUPERVISOR]:[META]],3,0)</f>
        <v>21000</v>
      </c>
      <c r="D37">
        <f>D1_ENERO_2025[[#This Row],[RECUPERO]]/C37</f>
        <v>7.6190476190476197E-2</v>
      </c>
      <c r="E37" t="s">
        <v>9</v>
      </c>
      <c r="F37" t="s">
        <v>51</v>
      </c>
      <c r="G37">
        <v>1600</v>
      </c>
      <c r="H37" t="s">
        <v>413</v>
      </c>
      <c r="I37" s="55">
        <v>45674</v>
      </c>
      <c r="J37" s="55" t="s">
        <v>501</v>
      </c>
      <c r="K37" s="55"/>
      <c r="L37" s="55"/>
      <c r="M37" s="1">
        <f>DATA_ENERO_2025[[#This Row],[RECUPERO]]/DATA_ENERO_2025[[#This Row],[META]]</f>
        <v>0.86575757575757573</v>
      </c>
      <c r="N37">
        <f>6-ROUNDUP(_xlfn.RANK.EQ(DATA_ENERO_2025[[#This Row],[AL_AC]],DATA_ENERO_2025[AL_AC],0)/(COUNTA(DATA_ENERO_2025[AL_AC])/5),0)</f>
        <v>4</v>
      </c>
      <c r="O37" t="s">
        <v>115</v>
      </c>
      <c r="P37">
        <f>SUM(DATA_ENERO_2025[[#This Row],[1]:[31]])</f>
        <v>14285</v>
      </c>
      <c r="Q37">
        <v>16500</v>
      </c>
      <c r="R37" t="s">
        <v>83</v>
      </c>
      <c r="U37">
        <v>180</v>
      </c>
      <c r="V37">
        <v>186</v>
      </c>
      <c r="Z37">
        <v>105</v>
      </c>
      <c r="AB37">
        <v>220</v>
      </c>
      <c r="AE37">
        <v>184</v>
      </c>
      <c r="AF37">
        <v>1210</v>
      </c>
      <c r="AG37">
        <v>150</v>
      </c>
      <c r="AH37">
        <v>457</v>
      </c>
      <c r="AI37">
        <v>550</v>
      </c>
      <c r="AL37">
        <v>437</v>
      </c>
      <c r="AM37">
        <v>324</v>
      </c>
      <c r="AN37">
        <v>961</v>
      </c>
      <c r="AO37">
        <v>2408</v>
      </c>
      <c r="AP37">
        <v>1013</v>
      </c>
      <c r="AS37">
        <v>2200</v>
      </c>
      <c r="AT37">
        <v>1835</v>
      </c>
      <c r="AU37">
        <v>395</v>
      </c>
      <c r="AV37">
        <v>955</v>
      </c>
      <c r="AW37">
        <v>515</v>
      </c>
      <c r="AX37" t="s">
        <v>151</v>
      </c>
    </row>
    <row r="38" spans="1:50" x14ac:dyDescent="0.25">
      <c r="A38" t="str">
        <f>D1_ENERO_2025[[#This Row],[SUPER2]]</f>
        <v>LUIS</v>
      </c>
      <c r="B38" t="s">
        <v>71</v>
      </c>
      <c r="C38">
        <f>VLOOKUP(D1_ENERO_2025[[#This Row],[SUPER]],DATA_ENERO_2025[[SUPERVISOR]:[META]],3,0)</f>
        <v>21000</v>
      </c>
      <c r="D38">
        <f>D1_ENERO_2025[[#This Row],[RECUPERO]]/C38</f>
        <v>0.9167333333333334</v>
      </c>
      <c r="E38" t="s">
        <v>9</v>
      </c>
      <c r="F38" t="s">
        <v>71</v>
      </c>
      <c r="G38">
        <v>19251.400000000001</v>
      </c>
      <c r="H38" t="s">
        <v>414</v>
      </c>
      <c r="I38" s="55">
        <v>45423</v>
      </c>
      <c r="J38" s="55" t="s">
        <v>501</v>
      </c>
      <c r="K38" s="55"/>
      <c r="L38" s="55"/>
      <c r="M38" s="1">
        <f>DATA_ENERO_2025[[#This Row],[RECUPERO]]/DATA_ENERO_2025[[#This Row],[META]]</f>
        <v>0.63682241379310345</v>
      </c>
      <c r="N38">
        <f>6-ROUNDUP(_xlfn.RANK.EQ(DATA_ENERO_2025[[#This Row],[AL_AC]],DATA_ENERO_2025[AL_AC],0)/(COUNTA(DATA_ENERO_2025[AL_AC])/5),0)</f>
        <v>3</v>
      </c>
      <c r="O38" t="s">
        <v>3</v>
      </c>
      <c r="P38">
        <f>SUM(DATA_ENERO_2025[[#This Row],[1]:[31]])</f>
        <v>36935.699999999997</v>
      </c>
      <c r="Q38">
        <v>58000</v>
      </c>
      <c r="R38" t="s">
        <v>57</v>
      </c>
      <c r="T38">
        <v>2800</v>
      </c>
      <c r="V38">
        <v>1043</v>
      </c>
      <c r="X38">
        <v>1000</v>
      </c>
      <c r="Y38">
        <v>666</v>
      </c>
      <c r="Z38">
        <v>2262.6999999999998</v>
      </c>
      <c r="AF38">
        <v>3100</v>
      </c>
      <c r="AN38">
        <v>332</v>
      </c>
      <c r="AO38">
        <v>4000</v>
      </c>
      <c r="AP38">
        <v>3068</v>
      </c>
      <c r="AQ38">
        <v>3472</v>
      </c>
      <c r="AS38">
        <v>1200</v>
      </c>
      <c r="AT38">
        <v>2377</v>
      </c>
      <c r="AU38">
        <v>260</v>
      </c>
      <c r="AV38">
        <v>9104</v>
      </c>
      <c r="AW38">
        <v>2251</v>
      </c>
      <c r="AX38" t="s">
        <v>150</v>
      </c>
    </row>
    <row r="39" spans="1:50" x14ac:dyDescent="0.25">
      <c r="A39" t="str">
        <f>D1_ENERO_2025[[#This Row],[SUPER2]]</f>
        <v>LUIS</v>
      </c>
      <c r="B39" t="s">
        <v>42</v>
      </c>
      <c r="C39">
        <f>VLOOKUP(D1_ENERO_2025[[#This Row],[SUPER]],DATA_ENERO_2025[[SUPERVISOR]:[META]],3,0)</f>
        <v>21000</v>
      </c>
      <c r="D39">
        <f>D1_ENERO_2025[[#This Row],[RECUPERO]]/C39</f>
        <v>0.50987142857142853</v>
      </c>
      <c r="E39" t="s">
        <v>9</v>
      </c>
      <c r="F39" t="s">
        <v>42</v>
      </c>
      <c r="G39">
        <v>10707.3</v>
      </c>
      <c r="H39" t="s">
        <v>415</v>
      </c>
      <c r="I39" s="55">
        <v>45399</v>
      </c>
      <c r="J39" s="55" t="s">
        <v>501</v>
      </c>
      <c r="K39" s="55"/>
      <c r="L39" s="55"/>
      <c r="M39" s="1">
        <f>DATA_ENERO_2025[[#This Row],[RECUPERO]]/DATA_ENERO_2025[[#This Row],[META]]</f>
        <v>1.1492121212121211</v>
      </c>
      <c r="N39">
        <f>6-ROUNDUP(_xlfn.RANK.EQ(DATA_ENERO_2025[[#This Row],[AL_AC]],DATA_ENERO_2025[AL_AC],0)/(COUNTA(DATA_ENERO_2025[AL_AC])/5),0)</f>
        <v>5</v>
      </c>
      <c r="O39" t="s">
        <v>115</v>
      </c>
      <c r="P39">
        <f>SUM(DATA_ENERO_2025[[#This Row],[1]:[31]])</f>
        <v>18962</v>
      </c>
      <c r="Q39">
        <v>16500</v>
      </c>
      <c r="R39" t="s">
        <v>49</v>
      </c>
      <c r="T39">
        <v>590</v>
      </c>
      <c r="U39">
        <v>250</v>
      </c>
      <c r="Y39">
        <v>300</v>
      </c>
      <c r="Z39">
        <v>450</v>
      </c>
      <c r="AA39">
        <v>5000</v>
      </c>
      <c r="AE39">
        <v>470</v>
      </c>
      <c r="AF39">
        <v>1010</v>
      </c>
      <c r="AG39">
        <v>2142</v>
      </c>
      <c r="AH39">
        <v>1100</v>
      </c>
      <c r="AL39">
        <v>100</v>
      </c>
      <c r="AM39">
        <v>5900</v>
      </c>
      <c r="AP39">
        <v>650</v>
      </c>
      <c r="AQ39">
        <v>350</v>
      </c>
      <c r="AS39">
        <v>300</v>
      </c>
      <c r="AV39">
        <v>150</v>
      </c>
      <c r="AW39">
        <v>200</v>
      </c>
      <c r="AX39" t="s">
        <v>151</v>
      </c>
    </row>
    <row r="40" spans="1:50" x14ac:dyDescent="0.25">
      <c r="A40" t="str">
        <f>D1_ENERO_2025[[#This Row],[SUPER2]]</f>
        <v>LUIS</v>
      </c>
      <c r="B40" t="s">
        <v>29</v>
      </c>
      <c r="C40">
        <f>VLOOKUP(D1_ENERO_2025[[#This Row],[SUPER]],DATA_ENERO_2025[[SUPERVISOR]:[META]],3,0)</f>
        <v>21000</v>
      </c>
      <c r="D40">
        <f>D1_ENERO_2025[[#This Row],[RECUPERO]]/C40</f>
        <v>1.2143095238095238</v>
      </c>
      <c r="E40" t="s">
        <v>9</v>
      </c>
      <c r="F40" t="s">
        <v>29</v>
      </c>
      <c r="G40">
        <v>25500.5</v>
      </c>
      <c r="H40" t="s">
        <v>416</v>
      </c>
      <c r="I40" s="55">
        <v>44687</v>
      </c>
      <c r="J40" s="55" t="s">
        <v>501</v>
      </c>
      <c r="K40" s="55"/>
      <c r="L40" s="55"/>
      <c r="M40" s="1">
        <f>DATA_ENERO_2025[[#This Row],[RECUPERO]]/DATA_ENERO_2025[[#This Row],[META]]</f>
        <v>1.1077272727272727</v>
      </c>
      <c r="N40">
        <f>6-ROUNDUP(_xlfn.RANK.EQ(DATA_ENERO_2025[[#This Row],[AL_AC]],DATA_ENERO_2025[AL_AC],0)/(COUNTA(DATA_ENERO_2025[AL_AC])/5),0)</f>
        <v>5</v>
      </c>
      <c r="O40" t="s">
        <v>2</v>
      </c>
      <c r="P40">
        <f>SUM(DATA_ENERO_2025[[#This Row],[1]:[31]])</f>
        <v>24370</v>
      </c>
      <c r="Q40">
        <v>22000</v>
      </c>
      <c r="R40" t="s">
        <v>26</v>
      </c>
      <c r="T40">
        <v>580</v>
      </c>
      <c r="V40">
        <v>350</v>
      </c>
      <c r="X40">
        <v>370</v>
      </c>
      <c r="Y40">
        <v>4000</v>
      </c>
      <c r="Z40">
        <v>2200</v>
      </c>
      <c r="AB40">
        <v>550</v>
      </c>
      <c r="AF40">
        <v>1110</v>
      </c>
      <c r="AG40">
        <v>1050</v>
      </c>
      <c r="AH40">
        <v>1360</v>
      </c>
      <c r="AJ40">
        <v>310</v>
      </c>
      <c r="AL40">
        <v>1700</v>
      </c>
      <c r="AN40">
        <v>150</v>
      </c>
      <c r="AP40">
        <v>1000</v>
      </c>
      <c r="AS40">
        <v>2430</v>
      </c>
      <c r="AT40">
        <v>2200</v>
      </c>
      <c r="AU40">
        <v>1000</v>
      </c>
      <c r="AV40">
        <v>1850</v>
      </c>
      <c r="AW40">
        <v>2160</v>
      </c>
      <c r="AX40" t="s">
        <v>151</v>
      </c>
    </row>
    <row r="41" spans="1:50" x14ac:dyDescent="0.25">
      <c r="A41" t="str">
        <f>D1_ENERO_2025[[#This Row],[SUPER2]]</f>
        <v>LUIS</v>
      </c>
      <c r="B41" t="s">
        <v>121</v>
      </c>
      <c r="C41">
        <f>VLOOKUP(D1_ENERO_2025[[#This Row],[SUPER]],DATA_ENERO_2025[[SUPERVISOR]:[META]],3,0)</f>
        <v>21000</v>
      </c>
      <c r="D41">
        <f>D1_ENERO_2025[[#This Row],[RECUPERO]]/C41</f>
        <v>0</v>
      </c>
      <c r="E41" t="s">
        <v>9</v>
      </c>
      <c r="F41" t="s">
        <v>121</v>
      </c>
      <c r="G41">
        <v>0</v>
      </c>
      <c r="H41" t="s">
        <v>417</v>
      </c>
      <c r="I41" s="55">
        <v>44510</v>
      </c>
      <c r="J41" s="55" t="s">
        <v>501</v>
      </c>
      <c r="K41" s="55"/>
      <c r="L41" s="55"/>
      <c r="M41" s="1">
        <f>DATA_ENERO_2025[[#This Row],[RECUPERO]]/DATA_ENERO_2025[[#This Row],[META]]</f>
        <v>0.8398736206896551</v>
      </c>
      <c r="N41">
        <f>6-ROUNDUP(_xlfn.RANK.EQ(DATA_ENERO_2025[[#This Row],[AL_AC]],DATA_ENERO_2025[AL_AC],0)/(COUNTA(DATA_ENERO_2025[AL_AC])/5),0)</f>
        <v>4</v>
      </c>
      <c r="O41" t="s">
        <v>4</v>
      </c>
      <c r="P41">
        <f>SUM(DATA_ENERO_2025[[#This Row],[1]:[31]])</f>
        <v>48712.67</v>
      </c>
      <c r="Q41">
        <v>58000</v>
      </c>
      <c r="R41" t="s">
        <v>122</v>
      </c>
      <c r="U41">
        <v>0</v>
      </c>
      <c r="V41">
        <v>4065</v>
      </c>
      <c r="AF41">
        <v>11800</v>
      </c>
      <c r="AG41">
        <v>10337.67</v>
      </c>
      <c r="AH41">
        <v>600</v>
      </c>
      <c r="AL41">
        <v>3000</v>
      </c>
      <c r="AM41">
        <v>1870</v>
      </c>
      <c r="AP41">
        <v>2000</v>
      </c>
      <c r="AS41">
        <v>2540</v>
      </c>
      <c r="AT41">
        <v>2200</v>
      </c>
      <c r="AV41">
        <v>1000</v>
      </c>
      <c r="AW41">
        <v>9300</v>
      </c>
      <c r="AX41" t="s">
        <v>150</v>
      </c>
    </row>
    <row r="42" spans="1:50" x14ac:dyDescent="0.25">
      <c r="A42" t="str">
        <f>D1_ENERO_2025[[#This Row],[SUPER2]]</f>
        <v>LUIS</v>
      </c>
      <c r="B42" t="s">
        <v>70</v>
      </c>
      <c r="C42">
        <f>VLOOKUP(D1_ENERO_2025[[#This Row],[SUPER]],DATA_ENERO_2025[[SUPERVISOR]:[META]],3,0)</f>
        <v>21000</v>
      </c>
      <c r="D42">
        <f>D1_ENERO_2025[[#This Row],[RECUPERO]]/C42</f>
        <v>0.82548095238095232</v>
      </c>
      <c r="E42" t="s">
        <v>9</v>
      </c>
      <c r="F42" t="s">
        <v>70</v>
      </c>
      <c r="G42">
        <v>17335.099999999999</v>
      </c>
      <c r="H42" t="s">
        <v>418</v>
      </c>
      <c r="I42" s="55">
        <v>44971</v>
      </c>
      <c r="J42" s="55" t="s">
        <v>501</v>
      </c>
      <c r="K42" s="55"/>
      <c r="L42" s="55"/>
      <c r="M42" s="1">
        <f>DATA_ENERO_2025[[#This Row],[RECUPERO]]/DATA_ENERO_2025[[#This Row],[META]]</f>
        <v>0.65124137931034487</v>
      </c>
      <c r="N42">
        <f>6-ROUNDUP(_xlfn.RANK.EQ(DATA_ENERO_2025[[#This Row],[AL_AC]],DATA_ENERO_2025[AL_AC],0)/(COUNTA(DATA_ENERO_2025[AL_AC])/5),0)</f>
        <v>3</v>
      </c>
      <c r="O42" t="s">
        <v>5</v>
      </c>
      <c r="P42">
        <f>SUM(DATA_ENERO_2025[[#This Row],[1]:[31]])</f>
        <v>37772</v>
      </c>
      <c r="Q42">
        <v>58000</v>
      </c>
      <c r="R42" t="s">
        <v>116</v>
      </c>
      <c r="W42">
        <v>700</v>
      </c>
      <c r="AA42">
        <v>852</v>
      </c>
      <c r="AH42">
        <v>500</v>
      </c>
      <c r="AI42">
        <v>450</v>
      </c>
      <c r="AJ42">
        <v>6000</v>
      </c>
      <c r="AP42">
        <v>1000</v>
      </c>
      <c r="AT42">
        <v>800</v>
      </c>
      <c r="AU42">
        <v>9000</v>
      </c>
      <c r="AV42">
        <v>12470</v>
      </c>
      <c r="AW42">
        <v>6000</v>
      </c>
      <c r="AX42" t="s">
        <v>150</v>
      </c>
    </row>
    <row r="43" spans="1:50" x14ac:dyDescent="0.25">
      <c r="A43" t="str">
        <f>D1_ENERO_2025[[#This Row],[SUPER2]]</f>
        <v>LUIS</v>
      </c>
      <c r="B43" t="s">
        <v>103</v>
      </c>
      <c r="C43">
        <f>VLOOKUP(D1_ENERO_2025[[#This Row],[SUPER]],DATA_ENERO_2025[[SUPERVISOR]:[META]],3,0)</f>
        <v>21000</v>
      </c>
      <c r="D43">
        <f>D1_ENERO_2025[[#This Row],[RECUPERO]]/C43</f>
        <v>0.56958571428571425</v>
      </c>
      <c r="E43" t="s">
        <v>9</v>
      </c>
      <c r="F43" t="s">
        <v>103</v>
      </c>
      <c r="G43">
        <v>11961.3</v>
      </c>
      <c r="H43" t="s">
        <v>419</v>
      </c>
      <c r="I43" s="55">
        <v>45451</v>
      </c>
      <c r="J43" s="55" t="s">
        <v>501</v>
      </c>
      <c r="K43" s="55"/>
      <c r="L43" s="55"/>
      <c r="M43" s="1">
        <f>DATA_ENERO_2025[[#This Row],[RECUPERO]]/DATA_ENERO_2025[[#This Row],[META]]</f>
        <v>0.57030303030303031</v>
      </c>
      <c r="N43">
        <f>6-ROUNDUP(_xlfn.RANK.EQ(DATA_ENERO_2025[[#This Row],[AL_AC]],DATA_ENERO_2025[AL_AC],0)/(COUNTA(DATA_ENERO_2025[AL_AC])/5),0)</f>
        <v>2</v>
      </c>
      <c r="O43" t="s">
        <v>115</v>
      </c>
      <c r="P43">
        <f>SUM(DATA_ENERO_2025[[#This Row],[1]:[31]])</f>
        <v>9410</v>
      </c>
      <c r="Q43">
        <v>16500</v>
      </c>
      <c r="R43" t="s">
        <v>96</v>
      </c>
      <c r="AB43">
        <v>100</v>
      </c>
      <c r="AE43">
        <v>300</v>
      </c>
      <c r="AG43">
        <v>1260</v>
      </c>
      <c r="AH43">
        <v>3050</v>
      </c>
      <c r="AI43">
        <v>400</v>
      </c>
      <c r="AJ43">
        <v>320</v>
      </c>
      <c r="AL43">
        <v>182</v>
      </c>
      <c r="AM43">
        <v>1300</v>
      </c>
      <c r="AO43">
        <v>985</v>
      </c>
      <c r="AT43">
        <v>1113</v>
      </c>
      <c r="AW43">
        <v>400</v>
      </c>
      <c r="AX43" t="s">
        <v>151</v>
      </c>
    </row>
    <row r="44" spans="1:50" x14ac:dyDescent="0.25">
      <c r="A44" t="str">
        <f>D1_ENERO_2025[[#This Row],[SUPER2]]</f>
        <v>LUIS</v>
      </c>
      <c r="B44" t="s">
        <v>73</v>
      </c>
      <c r="C44">
        <f>VLOOKUP(D1_ENERO_2025[[#This Row],[SUPER]],DATA_ENERO_2025[[SUPERVISOR]:[META]],3,0)</f>
        <v>21000</v>
      </c>
      <c r="D44">
        <f>D1_ENERO_2025[[#This Row],[RECUPERO]]/C44</f>
        <v>0.42004761904761906</v>
      </c>
      <c r="E44" t="s">
        <v>9</v>
      </c>
      <c r="F44" t="s">
        <v>73</v>
      </c>
      <c r="G44">
        <v>8821</v>
      </c>
      <c r="H44" t="s">
        <v>420</v>
      </c>
      <c r="I44" s="55">
        <v>45145</v>
      </c>
      <c r="J44" s="55" t="s">
        <v>501</v>
      </c>
      <c r="K44" s="55"/>
      <c r="L44" s="55"/>
      <c r="M44" s="1">
        <f>DATA_ENERO_2025[[#This Row],[RECUPERO]]/DATA_ENERO_2025[[#This Row],[META]]</f>
        <v>0.15939393939393939</v>
      </c>
      <c r="N44">
        <f>6-ROUNDUP(_xlfn.RANK.EQ(DATA_ENERO_2025[[#This Row],[AL_AC]],DATA_ENERO_2025[AL_AC],0)/(COUNTA(DATA_ENERO_2025[AL_AC])/5),0)</f>
        <v>1</v>
      </c>
      <c r="O44" t="s">
        <v>115</v>
      </c>
      <c r="P44">
        <f>SUM(DATA_ENERO_2025[[#This Row],[1]:[31]])</f>
        <v>2630</v>
      </c>
      <c r="Q44">
        <v>16500</v>
      </c>
      <c r="R44" t="s">
        <v>65</v>
      </c>
      <c r="AF44">
        <v>1105</v>
      </c>
      <c r="AG44">
        <v>175</v>
      </c>
      <c r="AN44">
        <v>200</v>
      </c>
      <c r="AS44">
        <v>250</v>
      </c>
      <c r="AT44">
        <v>150</v>
      </c>
      <c r="AV44">
        <v>55</v>
      </c>
      <c r="AW44">
        <v>695</v>
      </c>
      <c r="AX44" t="s">
        <v>151</v>
      </c>
    </row>
    <row r="45" spans="1:50" x14ac:dyDescent="0.25">
      <c r="A45" t="str">
        <f>D1_ENERO_2025[[#This Row],[SUPER2]]</f>
        <v>LUIS</v>
      </c>
      <c r="B45" t="s">
        <v>48</v>
      </c>
      <c r="C45">
        <f>VLOOKUP(D1_ENERO_2025[[#This Row],[SUPER]],DATA_ENERO_2025[[SUPERVISOR]:[META]],3,0)</f>
        <v>21000</v>
      </c>
      <c r="D45">
        <f>D1_ENERO_2025[[#This Row],[RECUPERO]]/C45</f>
        <v>0.44082380952380951</v>
      </c>
      <c r="E45" t="s">
        <v>9</v>
      </c>
      <c r="F45" t="s">
        <v>48</v>
      </c>
      <c r="G45">
        <v>9257.2999999999993</v>
      </c>
      <c r="H45" t="s">
        <v>421</v>
      </c>
      <c r="I45" s="55">
        <v>44748</v>
      </c>
      <c r="J45" s="55" t="s">
        <v>501</v>
      </c>
      <c r="K45" s="55"/>
      <c r="L45" s="55"/>
      <c r="M45" s="1">
        <f>DATA_ENERO_2025[[#This Row],[RECUPERO]]/DATA_ENERO_2025[[#This Row],[META]]</f>
        <v>0.41710189655172414</v>
      </c>
      <c r="N45">
        <f>6-ROUNDUP(_xlfn.RANK.EQ(DATA_ENERO_2025[[#This Row],[AL_AC]],DATA_ENERO_2025[AL_AC],0)/(COUNTA(DATA_ENERO_2025[AL_AC])/5),0)</f>
        <v>2</v>
      </c>
      <c r="O45" t="s">
        <v>4</v>
      </c>
      <c r="P45">
        <f>SUM(DATA_ENERO_2025[[#This Row],[1]:[31]])</f>
        <v>24191.91</v>
      </c>
      <c r="Q45">
        <v>58000</v>
      </c>
      <c r="R45" t="s">
        <v>20</v>
      </c>
      <c r="T45">
        <v>590</v>
      </c>
      <c r="X45">
        <v>554</v>
      </c>
      <c r="Y45">
        <v>1100</v>
      </c>
      <c r="AE45">
        <v>14600</v>
      </c>
      <c r="AG45">
        <v>1632.91</v>
      </c>
      <c r="AM45">
        <v>200</v>
      </c>
      <c r="AP45">
        <v>3800</v>
      </c>
      <c r="AT45">
        <v>115</v>
      </c>
      <c r="AV45">
        <v>1600</v>
      </c>
      <c r="AX45" t="s">
        <v>150</v>
      </c>
    </row>
    <row r="46" spans="1:50" x14ac:dyDescent="0.25">
      <c r="A46" t="str">
        <f>D1_ENERO_2025[[#This Row],[SUPER2]]</f>
        <v>MELINA</v>
      </c>
      <c r="B46" t="s">
        <v>109</v>
      </c>
      <c r="C46">
        <f>VLOOKUP(D1_ENERO_2025[[#This Row],[SUPER]],DATA_ENERO_2025[[SUPERVISOR]:[META]],3,0)</f>
        <v>58000</v>
      </c>
      <c r="D46">
        <f>D1_ENERO_2025[[#This Row],[RECUPERO]]/C46</f>
        <v>0</v>
      </c>
      <c r="E46" t="s">
        <v>4</v>
      </c>
      <c r="F46" t="s">
        <v>109</v>
      </c>
      <c r="G46">
        <v>0</v>
      </c>
      <c r="H46" t="s">
        <v>422</v>
      </c>
      <c r="I46" s="55">
        <v>45334</v>
      </c>
      <c r="J46" s="55" t="s">
        <v>501</v>
      </c>
      <c r="K46" s="55"/>
      <c r="L46" s="55"/>
      <c r="M46" s="1">
        <f>DATA_ENERO_2025[[#This Row],[RECUPERO]]/DATA_ENERO_2025[[#This Row],[META]]</f>
        <v>1.0635238095238095</v>
      </c>
      <c r="N46">
        <f>6-ROUNDUP(_xlfn.RANK.EQ(DATA_ENERO_2025[[#This Row],[AL_AC]],DATA_ENERO_2025[AL_AC],0)/(COUNTA(DATA_ENERO_2025[AL_AC])/5),0)</f>
        <v>4</v>
      </c>
      <c r="O46" t="s">
        <v>6</v>
      </c>
      <c r="P46">
        <f>SUM(DATA_ENERO_2025[[#This Row],[1]:[31]])</f>
        <v>22334</v>
      </c>
      <c r="Q46">
        <v>21000</v>
      </c>
      <c r="R46" t="s">
        <v>37</v>
      </c>
      <c r="T46">
        <v>100</v>
      </c>
      <c r="U46">
        <v>4000</v>
      </c>
      <c r="X46">
        <v>1150</v>
      </c>
      <c r="Y46">
        <v>1700</v>
      </c>
      <c r="Z46">
        <v>284</v>
      </c>
      <c r="AA46">
        <v>308</v>
      </c>
      <c r="AC46">
        <v>50</v>
      </c>
      <c r="AE46">
        <v>397</v>
      </c>
      <c r="AG46">
        <v>6927</v>
      </c>
      <c r="AM46">
        <v>3300</v>
      </c>
      <c r="AP46">
        <v>390</v>
      </c>
      <c r="AQ46">
        <v>578</v>
      </c>
      <c r="AW46">
        <v>3150</v>
      </c>
      <c r="AX46" t="s">
        <v>152</v>
      </c>
    </row>
    <row r="47" spans="1:50" x14ac:dyDescent="0.25">
      <c r="A47" t="str">
        <f>D1_ENERO_2025[[#This Row],[SUPER2]]</f>
        <v>MELINA</v>
      </c>
      <c r="B47" t="s">
        <v>60</v>
      </c>
      <c r="C47">
        <f>VLOOKUP(D1_ENERO_2025[[#This Row],[SUPER]],DATA_ENERO_2025[[SUPERVISOR]:[META]],3,0)</f>
        <v>58000</v>
      </c>
      <c r="D47">
        <f>D1_ENERO_2025[[#This Row],[RECUPERO]]/C47</f>
        <v>1.3566206896551725</v>
      </c>
      <c r="E47" t="s">
        <v>4</v>
      </c>
      <c r="F47" t="s">
        <v>60</v>
      </c>
      <c r="G47">
        <v>78684</v>
      </c>
      <c r="H47" t="s">
        <v>423</v>
      </c>
      <c r="I47" s="55">
        <v>45323</v>
      </c>
      <c r="J47" s="55" t="s">
        <v>501</v>
      </c>
      <c r="K47" s="55"/>
      <c r="L47" s="55"/>
      <c r="M47" s="1">
        <f>DATA_ENERO_2025[[#This Row],[RECUPERO]]/DATA_ENERO_2025[[#This Row],[META]]</f>
        <v>0.65109090909090905</v>
      </c>
      <c r="N47">
        <f>6-ROUNDUP(_xlfn.RANK.EQ(DATA_ENERO_2025[[#This Row],[AL_AC]],DATA_ENERO_2025[AL_AC],0)/(COUNTA(DATA_ENERO_2025[AL_AC])/5),0)</f>
        <v>3</v>
      </c>
      <c r="O47" t="s">
        <v>2</v>
      </c>
      <c r="P47">
        <f>SUM(DATA_ENERO_2025[[#This Row],[1]:[31]])</f>
        <v>14324</v>
      </c>
      <c r="Q47">
        <v>22000</v>
      </c>
      <c r="R47" t="s">
        <v>106</v>
      </c>
      <c r="T47">
        <v>1300</v>
      </c>
      <c r="Y47">
        <v>330</v>
      </c>
      <c r="Z47">
        <v>600</v>
      </c>
      <c r="AE47">
        <v>315</v>
      </c>
      <c r="AI47">
        <v>232</v>
      </c>
      <c r="AJ47">
        <v>286</v>
      </c>
      <c r="AN47">
        <v>210</v>
      </c>
      <c r="AO47">
        <v>500</v>
      </c>
      <c r="AP47">
        <v>252</v>
      </c>
      <c r="AS47">
        <v>1200</v>
      </c>
      <c r="AT47">
        <v>799</v>
      </c>
      <c r="AU47">
        <v>800</v>
      </c>
      <c r="AV47">
        <v>650</v>
      </c>
      <c r="AW47">
        <v>6850</v>
      </c>
      <c r="AX47" t="s">
        <v>151</v>
      </c>
    </row>
    <row r="48" spans="1:50" x14ac:dyDescent="0.25">
      <c r="A48" t="str">
        <f>D1_ENERO_2025[[#This Row],[SUPER2]]</f>
        <v>MELINA</v>
      </c>
      <c r="B48" t="s">
        <v>40</v>
      </c>
      <c r="C48">
        <f>VLOOKUP(D1_ENERO_2025[[#This Row],[SUPER]],DATA_ENERO_2025[[SUPERVISOR]:[META]],3,0)</f>
        <v>58000</v>
      </c>
      <c r="D48">
        <f>D1_ENERO_2025[[#This Row],[RECUPERO]]/C48</f>
        <v>0.37945879310344827</v>
      </c>
      <c r="E48" t="s">
        <v>4</v>
      </c>
      <c r="F48" t="s">
        <v>40</v>
      </c>
      <c r="G48">
        <v>22008.61</v>
      </c>
      <c r="H48" t="s">
        <v>424</v>
      </c>
      <c r="I48" s="55">
        <v>45429</v>
      </c>
      <c r="J48" s="55" t="s">
        <v>501</v>
      </c>
      <c r="K48" s="55"/>
      <c r="L48" s="55"/>
      <c r="M48" s="1">
        <f>DATA_ENERO_2025[[#This Row],[RECUPERO]]/DATA_ENERO_2025[[#This Row],[META]]</f>
        <v>0.15022413793103448</v>
      </c>
      <c r="N48">
        <f>6-ROUNDUP(_xlfn.RANK.EQ(DATA_ENERO_2025[[#This Row],[AL_AC]],DATA_ENERO_2025[AL_AC],0)/(COUNTA(DATA_ENERO_2025[AL_AC])/5),0)</f>
        <v>1</v>
      </c>
      <c r="O48" t="s">
        <v>3</v>
      </c>
      <c r="P48">
        <f>SUM(DATA_ENERO_2025[[#This Row],[1]:[31]])</f>
        <v>8713</v>
      </c>
      <c r="Q48">
        <v>58000</v>
      </c>
      <c r="R48" t="s">
        <v>123</v>
      </c>
      <c r="U48">
        <v>600</v>
      </c>
      <c r="AG48">
        <v>800</v>
      </c>
      <c r="AL48">
        <v>0</v>
      </c>
      <c r="AN48">
        <v>1410</v>
      </c>
      <c r="AP48">
        <v>5000</v>
      </c>
      <c r="AS48">
        <v>0</v>
      </c>
      <c r="AV48">
        <v>400</v>
      </c>
      <c r="AW48">
        <v>503</v>
      </c>
      <c r="AX48" t="s">
        <v>150</v>
      </c>
    </row>
    <row r="49" spans="1:50" x14ac:dyDescent="0.25">
      <c r="A49" t="str">
        <f>D1_ENERO_2025[[#This Row],[SUPER2]]</f>
        <v>MELINA</v>
      </c>
      <c r="B49" t="s">
        <v>81</v>
      </c>
      <c r="C49">
        <f>VLOOKUP(D1_ENERO_2025[[#This Row],[SUPER]],DATA_ENERO_2025[[SUPERVISOR]:[META]],3,0)</f>
        <v>58000</v>
      </c>
      <c r="D49">
        <f>D1_ENERO_2025[[#This Row],[RECUPERO]]/C49</f>
        <v>0.40105172413793105</v>
      </c>
      <c r="E49" t="s">
        <v>4</v>
      </c>
      <c r="F49" t="s">
        <v>81</v>
      </c>
      <c r="G49">
        <v>23261</v>
      </c>
      <c r="H49" t="s">
        <v>425</v>
      </c>
      <c r="I49" s="55">
        <v>45506</v>
      </c>
      <c r="J49" s="55" t="s">
        <v>501</v>
      </c>
      <c r="K49" s="55"/>
      <c r="L49" s="55"/>
      <c r="M49" s="1">
        <f>DATA_ENERO_2025[[#This Row],[RECUPERO]]/DATA_ENERO_2025[[#This Row],[META]]</f>
        <v>0.57263636363636361</v>
      </c>
      <c r="N49">
        <f>6-ROUNDUP(_xlfn.RANK.EQ(DATA_ENERO_2025[[#This Row],[AL_AC]],DATA_ENERO_2025[AL_AC],0)/(COUNTA(DATA_ENERO_2025[AL_AC])/5),0)</f>
        <v>3</v>
      </c>
      <c r="O49" t="s">
        <v>2</v>
      </c>
      <c r="P49">
        <f>SUM(DATA_ENERO_2025[[#This Row],[1]:[31]])</f>
        <v>12598</v>
      </c>
      <c r="Q49">
        <v>22000</v>
      </c>
      <c r="R49" t="s">
        <v>77</v>
      </c>
      <c r="X49">
        <v>266</v>
      </c>
      <c r="Y49">
        <v>1000</v>
      </c>
      <c r="AH49">
        <v>1100</v>
      </c>
      <c r="AI49">
        <v>234</v>
      </c>
      <c r="AL49">
        <v>1000</v>
      </c>
      <c r="AN49">
        <v>500</v>
      </c>
      <c r="AO49">
        <v>330</v>
      </c>
      <c r="AQ49">
        <v>100</v>
      </c>
      <c r="AS49">
        <v>620</v>
      </c>
      <c r="AT49">
        <v>448</v>
      </c>
      <c r="AU49">
        <v>2597</v>
      </c>
      <c r="AW49">
        <v>4403</v>
      </c>
      <c r="AX49" t="s">
        <v>151</v>
      </c>
    </row>
    <row r="50" spans="1:50" x14ac:dyDescent="0.25">
      <c r="A50" t="str">
        <f>D1_ENERO_2025[[#This Row],[SUPER2]]</f>
        <v>MELINA</v>
      </c>
      <c r="B50" t="s">
        <v>122</v>
      </c>
      <c r="C50">
        <f>VLOOKUP(D1_ENERO_2025[[#This Row],[SUPER]],DATA_ENERO_2025[[SUPERVISOR]:[META]],3,0)</f>
        <v>58000</v>
      </c>
      <c r="D50">
        <f>D1_ENERO_2025[[#This Row],[RECUPERO]]/C50</f>
        <v>0.8398736206896551</v>
      </c>
      <c r="E50" t="s">
        <v>4</v>
      </c>
      <c r="F50" t="s">
        <v>122</v>
      </c>
      <c r="G50">
        <v>48712.67</v>
      </c>
      <c r="H50" t="s">
        <v>426</v>
      </c>
      <c r="I50" s="55">
        <v>45082</v>
      </c>
      <c r="J50" s="55" t="s">
        <v>501</v>
      </c>
      <c r="K50" s="55"/>
      <c r="L50" s="55"/>
      <c r="M50" s="1">
        <f>DATA_ENERO_2025[[#This Row],[RECUPERO]]/DATA_ENERO_2025[[#This Row],[META]]</f>
        <v>1.0185714285714285</v>
      </c>
      <c r="N50">
        <f>6-ROUNDUP(_xlfn.RANK.EQ(DATA_ENERO_2025[[#This Row],[AL_AC]],DATA_ENERO_2025[AL_AC],0)/(COUNTA(DATA_ENERO_2025[AL_AC])/5),0)</f>
        <v>4</v>
      </c>
      <c r="O50" t="s">
        <v>6</v>
      </c>
      <c r="P50">
        <f>SUM(DATA_ENERO_2025[[#This Row],[1]:[31]])</f>
        <v>21390</v>
      </c>
      <c r="Q50">
        <v>21000</v>
      </c>
      <c r="R50" t="s">
        <v>35</v>
      </c>
      <c r="Z50">
        <v>8000</v>
      </c>
      <c r="AB50">
        <v>400</v>
      </c>
      <c r="AE50">
        <v>1350</v>
      </c>
      <c r="AG50">
        <v>900</v>
      </c>
      <c r="AH50">
        <v>400</v>
      </c>
      <c r="AI50">
        <v>1600</v>
      </c>
      <c r="AL50">
        <v>3000</v>
      </c>
      <c r="AN50">
        <v>2100</v>
      </c>
      <c r="AS50">
        <v>1800</v>
      </c>
      <c r="AV50">
        <v>300</v>
      </c>
      <c r="AW50">
        <v>1540</v>
      </c>
      <c r="AX50" t="s">
        <v>152</v>
      </c>
    </row>
    <row r="51" spans="1:50" x14ac:dyDescent="0.25">
      <c r="A51" t="str">
        <f>D1_ENERO_2025[[#This Row],[SUPER2]]</f>
        <v>MELINA</v>
      </c>
      <c r="B51" t="s">
        <v>20</v>
      </c>
      <c r="C51">
        <f>VLOOKUP(D1_ENERO_2025[[#This Row],[SUPER]],DATA_ENERO_2025[[SUPERVISOR]:[META]],3,0)</f>
        <v>58000</v>
      </c>
      <c r="D51">
        <f>D1_ENERO_2025[[#This Row],[RECUPERO]]/C51</f>
        <v>0.41710189655172414</v>
      </c>
      <c r="E51" t="s">
        <v>4</v>
      </c>
      <c r="F51" t="s">
        <v>20</v>
      </c>
      <c r="G51">
        <v>24191.91</v>
      </c>
      <c r="H51" t="s">
        <v>427</v>
      </c>
      <c r="I51" s="55">
        <v>45142</v>
      </c>
      <c r="J51" s="55" t="s">
        <v>501</v>
      </c>
      <c r="K51" s="55"/>
      <c r="L51" s="55"/>
      <c r="M51" s="1">
        <f>DATA_ENERO_2025[[#This Row],[RECUPERO]]/DATA_ENERO_2025[[#This Row],[META]]</f>
        <v>0.38954545454545453</v>
      </c>
      <c r="N51">
        <f>6-ROUNDUP(_xlfn.RANK.EQ(DATA_ENERO_2025[[#This Row],[AL_AC]],DATA_ENERO_2025[AL_AC],0)/(COUNTA(DATA_ENERO_2025[AL_AC])/5),0)</f>
        <v>2</v>
      </c>
      <c r="O51" t="s">
        <v>2</v>
      </c>
      <c r="P51">
        <f>SUM(DATA_ENERO_2025[[#This Row],[1]:[31]])</f>
        <v>8570</v>
      </c>
      <c r="Q51">
        <v>22000</v>
      </c>
      <c r="R51" t="s">
        <v>46</v>
      </c>
      <c r="AA51">
        <v>250</v>
      </c>
      <c r="AB51">
        <v>1500</v>
      </c>
      <c r="AG51">
        <v>570</v>
      </c>
      <c r="AO51">
        <v>4000</v>
      </c>
      <c r="AS51">
        <v>500</v>
      </c>
      <c r="AU51">
        <v>200</v>
      </c>
      <c r="AV51">
        <v>550</v>
      </c>
      <c r="AW51">
        <v>1000</v>
      </c>
      <c r="AX51" t="s">
        <v>151</v>
      </c>
    </row>
    <row r="52" spans="1:50" x14ac:dyDescent="0.25">
      <c r="A52" t="str">
        <f>D1_ENERO_2025[[#This Row],[SUPER2]]</f>
        <v>MELINA</v>
      </c>
      <c r="B52" t="s">
        <v>75</v>
      </c>
      <c r="C52">
        <f>VLOOKUP(D1_ENERO_2025[[#This Row],[SUPER]],DATA_ENERO_2025[[SUPERVISOR]:[META]],3,0)</f>
        <v>58000</v>
      </c>
      <c r="D52">
        <f>D1_ENERO_2025[[#This Row],[RECUPERO]]/C52</f>
        <v>1.4346522413793104</v>
      </c>
      <c r="E52" t="s">
        <v>4</v>
      </c>
      <c r="F52" t="s">
        <v>75</v>
      </c>
      <c r="G52">
        <v>83209.83</v>
      </c>
      <c r="H52" t="s">
        <v>428</v>
      </c>
      <c r="I52" s="55">
        <v>44716</v>
      </c>
      <c r="J52" s="55" t="s">
        <v>501</v>
      </c>
      <c r="K52" s="55"/>
      <c r="L52" s="55"/>
      <c r="M52" s="1">
        <f>DATA_ENERO_2025[[#This Row],[RECUPERO]]/DATA_ENERO_2025[[#This Row],[META]]</f>
        <v>0.24771428571428572</v>
      </c>
      <c r="N52">
        <f>6-ROUNDUP(_xlfn.RANK.EQ(DATA_ENERO_2025[[#This Row],[AL_AC]],DATA_ENERO_2025[AL_AC],0)/(COUNTA(DATA_ENERO_2025[AL_AC])/5),0)</f>
        <v>1</v>
      </c>
      <c r="O52" t="s">
        <v>6</v>
      </c>
      <c r="P52">
        <f>SUM(DATA_ENERO_2025[[#This Row],[1]:[31]])</f>
        <v>5202</v>
      </c>
      <c r="Q52">
        <v>21000</v>
      </c>
      <c r="R52" t="s">
        <v>50</v>
      </c>
      <c r="Y52">
        <v>532</v>
      </c>
      <c r="Z52">
        <v>850</v>
      </c>
      <c r="AA52">
        <v>300</v>
      </c>
      <c r="AL52">
        <v>1000</v>
      </c>
      <c r="AN52">
        <v>270</v>
      </c>
      <c r="AO52">
        <v>1350</v>
      </c>
      <c r="AS52">
        <v>400</v>
      </c>
      <c r="AV52">
        <v>500</v>
      </c>
      <c r="AX52" t="s">
        <v>152</v>
      </c>
    </row>
    <row r="53" spans="1:50" x14ac:dyDescent="0.25">
      <c r="A53" t="str">
        <f>D1_ENERO_2025[[#This Row],[SUPER2]]</f>
        <v>MELINA</v>
      </c>
      <c r="B53" t="s">
        <v>11</v>
      </c>
      <c r="C53">
        <f>VLOOKUP(D1_ENERO_2025[[#This Row],[SUPER]],DATA_ENERO_2025[[SUPERVISOR]:[META]],3,0)</f>
        <v>58000</v>
      </c>
      <c r="D53">
        <f>D1_ENERO_2025[[#This Row],[RECUPERO]]/C53</f>
        <v>0.82920689655172419</v>
      </c>
      <c r="E53" t="s">
        <v>4</v>
      </c>
      <c r="F53" t="s">
        <v>11</v>
      </c>
      <c r="G53">
        <v>48094</v>
      </c>
      <c r="H53" t="s">
        <v>429</v>
      </c>
      <c r="I53" s="55">
        <v>45371</v>
      </c>
      <c r="J53" s="55" t="s">
        <v>501</v>
      </c>
      <c r="K53" s="55"/>
      <c r="L53" s="55"/>
      <c r="M53" s="1">
        <f>DATA_ENERO_2025[[#This Row],[RECUPERO]]/DATA_ENERO_2025[[#This Row],[META]]</f>
        <v>0.7518424242424242</v>
      </c>
      <c r="N53">
        <f>6-ROUNDUP(_xlfn.RANK.EQ(DATA_ENERO_2025[[#This Row],[AL_AC]],DATA_ENERO_2025[AL_AC],0)/(COUNTA(DATA_ENERO_2025[AL_AC])/5),0)</f>
        <v>3</v>
      </c>
      <c r="O53" t="s">
        <v>115</v>
      </c>
      <c r="P53">
        <f>SUM(DATA_ENERO_2025[[#This Row],[1]:[31]])</f>
        <v>12405.4</v>
      </c>
      <c r="Q53">
        <v>16500</v>
      </c>
      <c r="R53" t="s">
        <v>33</v>
      </c>
      <c r="Y53">
        <v>610</v>
      </c>
      <c r="AB53">
        <v>540</v>
      </c>
      <c r="AE53">
        <v>708.4</v>
      </c>
      <c r="AF53">
        <v>1300</v>
      </c>
      <c r="AG53">
        <v>850</v>
      </c>
      <c r="AH53">
        <v>210</v>
      </c>
      <c r="AI53">
        <v>516</v>
      </c>
      <c r="AJ53">
        <v>194</v>
      </c>
      <c r="AL53">
        <v>1950</v>
      </c>
      <c r="AM53">
        <v>600</v>
      </c>
      <c r="AO53">
        <v>1000</v>
      </c>
      <c r="AP53">
        <v>1377</v>
      </c>
      <c r="AQ53">
        <v>1600</v>
      </c>
      <c r="AU53">
        <v>450</v>
      </c>
      <c r="AV53">
        <v>500</v>
      </c>
      <c r="AX53" t="s">
        <v>151</v>
      </c>
    </row>
    <row r="54" spans="1:50" x14ac:dyDescent="0.25">
      <c r="A54" t="str">
        <f>D1_ENERO_2025[[#This Row],[SUPER2]]</f>
        <v>MELINA</v>
      </c>
      <c r="B54" t="s">
        <v>59</v>
      </c>
      <c r="C54">
        <f>VLOOKUP(D1_ENERO_2025[[#This Row],[SUPER]],DATA_ENERO_2025[[SUPERVISOR]:[META]],3,0)</f>
        <v>58000</v>
      </c>
      <c r="D54">
        <f>D1_ENERO_2025[[#This Row],[RECUPERO]]/C54</f>
        <v>1.9124344827586206</v>
      </c>
      <c r="E54" t="s">
        <v>4</v>
      </c>
      <c r="F54" t="s">
        <v>59</v>
      </c>
      <c r="G54">
        <v>110921.2</v>
      </c>
      <c r="H54" t="s">
        <v>430</v>
      </c>
      <c r="I54" s="55">
        <v>45348</v>
      </c>
      <c r="J54" s="55" t="s">
        <v>501</v>
      </c>
      <c r="K54" s="55"/>
      <c r="L54" s="55"/>
      <c r="M54" s="1">
        <f>DATA_ENERO_2025[[#This Row],[RECUPERO]]/DATA_ENERO_2025[[#This Row],[META]]</f>
        <v>3.4913793103448276E-2</v>
      </c>
      <c r="N54">
        <f>6-ROUNDUP(_xlfn.RANK.EQ(DATA_ENERO_2025[[#This Row],[AL_AC]],DATA_ENERO_2025[AL_AC],0)/(COUNTA(DATA_ENERO_2025[AL_AC])/5),0)</f>
        <v>1</v>
      </c>
      <c r="O54" t="s">
        <v>5</v>
      </c>
      <c r="P54">
        <f>SUM(DATA_ENERO_2025[[#This Row],[1]:[31]])</f>
        <v>2025</v>
      </c>
      <c r="Q54">
        <v>58000</v>
      </c>
      <c r="R54" t="s">
        <v>541</v>
      </c>
      <c r="U54">
        <v>72</v>
      </c>
      <c r="AA54">
        <v>800</v>
      </c>
      <c r="AE54">
        <v>120</v>
      </c>
      <c r="AG54">
        <v>450</v>
      </c>
      <c r="AT54">
        <v>360</v>
      </c>
      <c r="AU54">
        <v>223</v>
      </c>
      <c r="AX54" t="s">
        <v>150</v>
      </c>
    </row>
    <row r="55" spans="1:50" x14ac:dyDescent="0.25">
      <c r="A55" t="str">
        <f>D1_ENERO_2025[[#This Row],[SUPER2]]</f>
        <v>MELITA</v>
      </c>
      <c r="B55" t="s">
        <v>18</v>
      </c>
      <c r="C55">
        <f>VLOOKUP(D1_ENERO_2025[[#This Row],[SUPER]],DATA_ENERO_2025[[SUPERVISOR]:[META]],3,0)</f>
        <v>16500</v>
      </c>
      <c r="D55">
        <f>D1_ENERO_2025[[#This Row],[RECUPERO]]/C55</f>
        <v>1.1067878787878789</v>
      </c>
      <c r="E55" t="s">
        <v>115</v>
      </c>
      <c r="F55" t="s">
        <v>18</v>
      </c>
      <c r="G55">
        <v>18262</v>
      </c>
      <c r="H55" t="s">
        <v>431</v>
      </c>
      <c r="I55" s="55">
        <v>45133</v>
      </c>
      <c r="J55" s="55" t="s">
        <v>501</v>
      </c>
      <c r="K55" s="55"/>
      <c r="L55" s="55"/>
      <c r="M55" s="1">
        <f>DATA_ENERO_2025[[#This Row],[RECUPERO]]/DATA_ENERO_2025[[#This Row],[META]]</f>
        <v>1.2074137931034483</v>
      </c>
      <c r="N55">
        <f>6-ROUNDUP(_xlfn.RANK.EQ(DATA_ENERO_2025[[#This Row],[AL_AC]],DATA_ENERO_2025[AL_AC],0)/(COUNTA(DATA_ENERO_2025[AL_AC])/5),0)</f>
        <v>5</v>
      </c>
      <c r="O55" t="s">
        <v>3</v>
      </c>
      <c r="P55">
        <f>SUM(DATA_ENERO_2025[[#This Row],[1]:[31]])</f>
        <v>70030</v>
      </c>
      <c r="Q55">
        <v>58000</v>
      </c>
      <c r="R55" t="s">
        <v>23</v>
      </c>
      <c r="S55">
        <v>480</v>
      </c>
      <c r="T55">
        <v>4200</v>
      </c>
      <c r="U55">
        <v>10340</v>
      </c>
      <c r="Z55">
        <v>259</v>
      </c>
      <c r="AA55">
        <v>7000</v>
      </c>
      <c r="AB55">
        <v>385</v>
      </c>
      <c r="AE55">
        <v>180</v>
      </c>
      <c r="AF55">
        <v>800</v>
      </c>
      <c r="AG55">
        <v>10900</v>
      </c>
      <c r="AH55">
        <v>205</v>
      </c>
      <c r="AI55">
        <v>220</v>
      </c>
      <c r="AL55">
        <v>4000</v>
      </c>
      <c r="AM55">
        <v>6500</v>
      </c>
      <c r="AN55">
        <v>2000</v>
      </c>
      <c r="AO55">
        <v>3223</v>
      </c>
      <c r="AP55">
        <v>1150</v>
      </c>
      <c r="AS55">
        <v>625</v>
      </c>
      <c r="AT55">
        <v>1500</v>
      </c>
      <c r="AU55">
        <v>600</v>
      </c>
      <c r="AV55">
        <v>4472</v>
      </c>
      <c r="AW55">
        <v>10991</v>
      </c>
      <c r="AX55" t="s">
        <v>150</v>
      </c>
    </row>
    <row r="56" spans="1:50" x14ac:dyDescent="0.25">
      <c r="A56" t="str">
        <f>D1_ENERO_2025[[#This Row],[SUPER2]]</f>
        <v>MELITA</v>
      </c>
      <c r="B56" t="s">
        <v>14</v>
      </c>
      <c r="C56">
        <f>VLOOKUP(D1_ENERO_2025[[#This Row],[SUPER]],DATA_ENERO_2025[[SUPERVISOR]:[META]],3,0)</f>
        <v>16500</v>
      </c>
      <c r="D56">
        <f>D1_ENERO_2025[[#This Row],[RECUPERO]]/C56</f>
        <v>1.1386666666666667</v>
      </c>
      <c r="E56" t="s">
        <v>115</v>
      </c>
      <c r="F56" t="s">
        <v>14</v>
      </c>
      <c r="G56">
        <v>18788</v>
      </c>
      <c r="H56" t="s">
        <v>432</v>
      </c>
      <c r="I56" s="55">
        <v>45133</v>
      </c>
      <c r="J56" s="55" t="s">
        <v>501</v>
      </c>
      <c r="K56" s="55"/>
      <c r="L56" s="55"/>
      <c r="M56" s="1">
        <f>DATA_ENERO_2025[[#This Row],[RECUPERO]]/DATA_ENERO_2025[[#This Row],[META]]</f>
        <v>1.0626060606060606</v>
      </c>
      <c r="N56">
        <f>6-ROUNDUP(_xlfn.RANK.EQ(DATA_ENERO_2025[[#This Row],[AL_AC]],DATA_ENERO_2025[AL_AC],0)/(COUNTA(DATA_ENERO_2025[AL_AC])/5),0)</f>
        <v>4</v>
      </c>
      <c r="O56" t="s">
        <v>115</v>
      </c>
      <c r="P56">
        <f>SUM(DATA_ENERO_2025[[#This Row],[1]:[31]])</f>
        <v>17533</v>
      </c>
      <c r="Q56">
        <v>16500</v>
      </c>
      <c r="R56" t="s">
        <v>68</v>
      </c>
      <c r="T56">
        <v>50</v>
      </c>
      <c r="U56">
        <v>800</v>
      </c>
      <c r="Z56">
        <v>285</v>
      </c>
      <c r="AA56">
        <v>500</v>
      </c>
      <c r="AB56">
        <v>200</v>
      </c>
      <c r="AE56">
        <v>500</v>
      </c>
      <c r="AG56">
        <v>400</v>
      </c>
      <c r="AH56">
        <v>1703.5</v>
      </c>
      <c r="AI56">
        <v>194</v>
      </c>
      <c r="AJ56">
        <v>159</v>
      </c>
      <c r="AL56">
        <v>708</v>
      </c>
      <c r="AM56">
        <v>500</v>
      </c>
      <c r="AN56">
        <v>200</v>
      </c>
      <c r="AO56">
        <v>1256</v>
      </c>
      <c r="AP56">
        <v>2422</v>
      </c>
      <c r="AT56">
        <v>3800</v>
      </c>
      <c r="AU56">
        <v>360</v>
      </c>
      <c r="AV56">
        <v>350</v>
      </c>
      <c r="AW56">
        <v>3145.5</v>
      </c>
      <c r="AX56" t="s">
        <v>151</v>
      </c>
    </row>
    <row r="57" spans="1:50" x14ac:dyDescent="0.25">
      <c r="A57" t="str">
        <f>D1_ENERO_2025[[#This Row],[SUPER2]]</f>
        <v>MELITA</v>
      </c>
      <c r="B57" t="s">
        <v>80</v>
      </c>
      <c r="C57">
        <f>VLOOKUP(D1_ENERO_2025[[#This Row],[SUPER]],DATA_ENERO_2025[[SUPERVISOR]:[META]],3,0)</f>
        <v>16500</v>
      </c>
      <c r="D57">
        <f>D1_ENERO_2025[[#This Row],[RECUPERO]]/C57</f>
        <v>1.196</v>
      </c>
      <c r="E57" t="s">
        <v>115</v>
      </c>
      <c r="F57" t="s">
        <v>80</v>
      </c>
      <c r="G57">
        <v>19734</v>
      </c>
      <c r="H57" t="s">
        <v>433</v>
      </c>
      <c r="I57" s="55">
        <v>45285</v>
      </c>
      <c r="J57" s="55" t="s">
        <v>501</v>
      </c>
      <c r="K57" s="55"/>
      <c r="L57" s="55"/>
      <c r="M57" s="1">
        <f>DATA_ENERO_2025[[#This Row],[RECUPERO]]/DATA_ENERO_2025[[#This Row],[META]]</f>
        <v>1.1061904761904762</v>
      </c>
      <c r="N57">
        <f>6-ROUNDUP(_xlfn.RANK.EQ(DATA_ENERO_2025[[#This Row],[AL_AC]],DATA_ENERO_2025[AL_AC],0)/(COUNTA(DATA_ENERO_2025[AL_AC])/5),0)</f>
        <v>4</v>
      </c>
      <c r="O57" t="s">
        <v>6</v>
      </c>
      <c r="P57">
        <f>SUM(DATA_ENERO_2025[[#This Row],[1]:[31]])</f>
        <v>23230</v>
      </c>
      <c r="Q57">
        <v>21000</v>
      </c>
      <c r="R57" t="s">
        <v>31</v>
      </c>
      <c r="T57">
        <v>3000</v>
      </c>
      <c r="Z57">
        <v>2000</v>
      </c>
      <c r="AA57">
        <v>3500</v>
      </c>
      <c r="AB57">
        <v>350</v>
      </c>
      <c r="AE57">
        <v>1400</v>
      </c>
      <c r="AF57">
        <v>600</v>
      </c>
      <c r="AG57">
        <v>4700</v>
      </c>
      <c r="AH57">
        <v>500</v>
      </c>
      <c r="AS57">
        <v>580</v>
      </c>
      <c r="AT57">
        <v>400</v>
      </c>
      <c r="AV57">
        <v>2500</v>
      </c>
      <c r="AW57">
        <v>3700</v>
      </c>
      <c r="AX57" t="s">
        <v>152</v>
      </c>
    </row>
    <row r="58" spans="1:50" x14ac:dyDescent="0.25">
      <c r="A58" t="str">
        <f>D1_ENERO_2025[[#This Row],[SUPER2]]</f>
        <v>MELITA</v>
      </c>
      <c r="B58" t="s">
        <v>24</v>
      </c>
      <c r="C58">
        <f>VLOOKUP(D1_ENERO_2025[[#This Row],[SUPER]],DATA_ENERO_2025[[SUPERVISOR]:[META]],3,0)</f>
        <v>16500</v>
      </c>
      <c r="D58">
        <f>D1_ENERO_2025[[#This Row],[RECUPERO]]/C58</f>
        <v>0</v>
      </c>
      <c r="E58" t="s">
        <v>115</v>
      </c>
      <c r="F58" t="s">
        <v>24</v>
      </c>
      <c r="G58">
        <v>0</v>
      </c>
      <c r="H58" t="s">
        <v>434</v>
      </c>
      <c r="I58" s="55">
        <v>45334</v>
      </c>
      <c r="J58" s="55" t="s">
        <v>501</v>
      </c>
      <c r="K58" s="55"/>
      <c r="L58" s="55"/>
      <c r="M58" s="1">
        <f>DATA_ENERO_2025[[#This Row],[RECUPERO]]/DATA_ENERO_2025[[#This Row],[META]]</f>
        <v>1.2143095238095238</v>
      </c>
      <c r="N58">
        <f>6-ROUNDUP(_xlfn.RANK.EQ(DATA_ENERO_2025[[#This Row],[AL_AC]],DATA_ENERO_2025[AL_AC],0)/(COUNTA(DATA_ENERO_2025[AL_AC])/5),0)</f>
        <v>5</v>
      </c>
      <c r="O58" t="s">
        <v>9</v>
      </c>
      <c r="P58">
        <f>SUM(DATA_ENERO_2025[[#This Row],[1]:[31]])</f>
        <v>25500.5</v>
      </c>
      <c r="Q58">
        <v>21000</v>
      </c>
      <c r="R58" t="s">
        <v>29</v>
      </c>
      <c r="T58">
        <v>200</v>
      </c>
      <c r="U58">
        <v>1430</v>
      </c>
      <c r="X58">
        <v>200</v>
      </c>
      <c r="AA58">
        <v>2000</v>
      </c>
      <c r="AB58">
        <v>2250</v>
      </c>
      <c r="AE58">
        <v>300</v>
      </c>
      <c r="AG58">
        <v>600</v>
      </c>
      <c r="AH58">
        <v>500</v>
      </c>
      <c r="AI58">
        <v>100</v>
      </c>
      <c r="AJ58">
        <v>200</v>
      </c>
      <c r="AL58">
        <v>2675</v>
      </c>
      <c r="AM58">
        <v>1500</v>
      </c>
      <c r="AO58">
        <v>400</v>
      </c>
      <c r="AP58">
        <v>200</v>
      </c>
      <c r="AQ58">
        <v>700</v>
      </c>
      <c r="AS58">
        <v>1360</v>
      </c>
      <c r="AT58">
        <v>1450</v>
      </c>
      <c r="AU58">
        <v>1240</v>
      </c>
      <c r="AV58">
        <v>4810</v>
      </c>
      <c r="AW58">
        <v>3385.5</v>
      </c>
      <c r="AX58" t="s">
        <v>153</v>
      </c>
    </row>
    <row r="59" spans="1:50" x14ac:dyDescent="0.25">
      <c r="A59" t="str">
        <f>D1_ENERO_2025[[#This Row],[SUPER2]]</f>
        <v>MELITA</v>
      </c>
      <c r="B59" t="s">
        <v>83</v>
      </c>
      <c r="C59">
        <f>VLOOKUP(D1_ENERO_2025[[#This Row],[SUPER]],DATA_ENERO_2025[[SUPERVISOR]:[META]],3,0)</f>
        <v>16500</v>
      </c>
      <c r="D59">
        <f>D1_ENERO_2025[[#This Row],[RECUPERO]]/C59</f>
        <v>0.86575757575757573</v>
      </c>
      <c r="E59" t="s">
        <v>115</v>
      </c>
      <c r="F59" t="s">
        <v>83</v>
      </c>
      <c r="G59">
        <v>14285</v>
      </c>
      <c r="H59" t="s">
        <v>435</v>
      </c>
      <c r="I59" s="55">
        <v>44937</v>
      </c>
      <c r="J59" s="55" t="s">
        <v>501</v>
      </c>
      <c r="K59" s="55"/>
      <c r="L59" s="55"/>
      <c r="M59" s="1">
        <f>DATA_ENERO_2025[[#This Row],[RECUPERO]]/DATA_ENERO_2025[[#This Row],[META]]</f>
        <v>0.91737931034482756</v>
      </c>
      <c r="N59">
        <f>6-ROUNDUP(_xlfn.RANK.EQ(DATA_ENERO_2025[[#This Row],[AL_AC]],DATA_ENERO_2025[AL_AC],0)/(COUNTA(DATA_ENERO_2025[AL_AC])/5),0)</f>
        <v>4</v>
      </c>
      <c r="O59" t="s">
        <v>3</v>
      </c>
      <c r="P59">
        <f>SUM(DATA_ENERO_2025[[#This Row],[1]:[31]])</f>
        <v>53208</v>
      </c>
      <c r="Q59">
        <v>58000</v>
      </c>
      <c r="R59" t="s">
        <v>25</v>
      </c>
      <c r="S59">
        <v>370</v>
      </c>
      <c r="T59">
        <v>5310</v>
      </c>
      <c r="U59">
        <v>2000</v>
      </c>
      <c r="X59">
        <v>2500</v>
      </c>
      <c r="Y59">
        <v>1600</v>
      </c>
      <c r="Z59">
        <v>699</v>
      </c>
      <c r="AA59">
        <v>8800</v>
      </c>
      <c r="AB59">
        <v>4600</v>
      </c>
      <c r="AE59">
        <v>5500</v>
      </c>
      <c r="AH59">
        <v>928</v>
      </c>
      <c r="AM59">
        <v>3507</v>
      </c>
      <c r="AN59">
        <v>1500</v>
      </c>
      <c r="AO59">
        <v>1000</v>
      </c>
      <c r="AP59">
        <v>1650</v>
      </c>
      <c r="AQ59">
        <v>537</v>
      </c>
      <c r="AR59">
        <v>300</v>
      </c>
      <c r="AS59">
        <v>1100</v>
      </c>
      <c r="AT59">
        <v>1300</v>
      </c>
      <c r="AU59">
        <v>500</v>
      </c>
      <c r="AV59">
        <v>3302</v>
      </c>
      <c r="AW59">
        <v>6205</v>
      </c>
      <c r="AX59" t="s">
        <v>150</v>
      </c>
    </row>
    <row r="60" spans="1:50" x14ac:dyDescent="0.25">
      <c r="A60" t="str">
        <f>D1_ENERO_2025[[#This Row],[SUPER2]]</f>
        <v>MELITA</v>
      </c>
      <c r="B60" t="s">
        <v>49</v>
      </c>
      <c r="C60">
        <f>VLOOKUP(D1_ENERO_2025[[#This Row],[SUPER]],DATA_ENERO_2025[[SUPERVISOR]:[META]],3,0)</f>
        <v>16500</v>
      </c>
      <c r="D60">
        <f>D1_ENERO_2025[[#This Row],[RECUPERO]]/C60</f>
        <v>1.1492121212121211</v>
      </c>
      <c r="E60" t="s">
        <v>115</v>
      </c>
      <c r="F60" t="s">
        <v>49</v>
      </c>
      <c r="G60">
        <v>18962</v>
      </c>
      <c r="H60" t="s">
        <v>436</v>
      </c>
      <c r="I60" s="55">
        <v>42814</v>
      </c>
      <c r="J60" s="55" t="s">
        <v>501</v>
      </c>
      <c r="K60" s="55"/>
      <c r="L60" s="55"/>
      <c r="M60" s="1">
        <f>DATA_ENERO_2025[[#This Row],[RECUPERO]]/DATA_ENERO_2025[[#This Row],[META]]</f>
        <v>0</v>
      </c>
      <c r="N60">
        <f>6-ROUNDUP(_xlfn.RANK.EQ(DATA_ENERO_2025[[#This Row],[AL_AC]],DATA_ENERO_2025[AL_AC],0)/(COUNTA(DATA_ENERO_2025[AL_AC])/5),0)</f>
        <v>1</v>
      </c>
      <c r="O60" t="s">
        <v>9</v>
      </c>
      <c r="P60">
        <f>SUM(DATA_ENERO_2025[[#This Row],[1]:[31]])</f>
        <v>0</v>
      </c>
      <c r="Q60">
        <v>21000</v>
      </c>
      <c r="R60" t="s">
        <v>121</v>
      </c>
      <c r="AX60" t="s">
        <v>153</v>
      </c>
    </row>
    <row r="61" spans="1:50" x14ac:dyDescent="0.25">
      <c r="A61" t="str">
        <f>D1_ENERO_2025[[#This Row],[SUPER2]]</f>
        <v>MELITA</v>
      </c>
      <c r="B61" t="s">
        <v>96</v>
      </c>
      <c r="C61">
        <f>VLOOKUP(D1_ENERO_2025[[#This Row],[SUPER]],DATA_ENERO_2025[[SUPERVISOR]:[META]],3,0)</f>
        <v>16500</v>
      </c>
      <c r="D61">
        <f>D1_ENERO_2025[[#This Row],[RECUPERO]]/C61</f>
        <v>0.57030303030303031</v>
      </c>
      <c r="E61" t="s">
        <v>115</v>
      </c>
      <c r="F61" t="s">
        <v>96</v>
      </c>
      <c r="G61">
        <v>9410</v>
      </c>
      <c r="H61" t="s">
        <v>437</v>
      </c>
      <c r="I61" s="55">
        <v>45671</v>
      </c>
      <c r="J61" s="55" t="s">
        <v>501</v>
      </c>
      <c r="K61" s="55"/>
      <c r="L61" s="55"/>
      <c r="M61" s="1">
        <f>DATA_ENERO_2025[[#This Row],[RECUPERO]]/DATA_ENERO_2025[[#This Row],[META]]</f>
        <v>0.71658620689655173</v>
      </c>
      <c r="N61">
        <f>6-ROUNDUP(_xlfn.RANK.EQ(DATA_ENERO_2025[[#This Row],[AL_AC]],DATA_ENERO_2025[AL_AC],0)/(COUNTA(DATA_ENERO_2025[AL_AC])/5),0)</f>
        <v>3</v>
      </c>
      <c r="O61" t="s">
        <v>5</v>
      </c>
      <c r="P61">
        <f>SUM(DATA_ENERO_2025[[#This Row],[1]:[31]])</f>
        <v>41562</v>
      </c>
      <c r="Q61">
        <v>58000</v>
      </c>
      <c r="R61" t="s">
        <v>17</v>
      </c>
      <c r="S61">
        <v>300</v>
      </c>
      <c r="U61">
        <v>7162</v>
      </c>
      <c r="AB61">
        <v>1000</v>
      </c>
      <c r="AG61">
        <v>1600</v>
      </c>
      <c r="AN61">
        <v>3500</v>
      </c>
      <c r="AO61">
        <v>6000</v>
      </c>
      <c r="AQ61">
        <v>3500</v>
      </c>
      <c r="AS61">
        <v>3000</v>
      </c>
      <c r="AU61">
        <v>14600</v>
      </c>
      <c r="AV61">
        <v>600</v>
      </c>
      <c r="AW61">
        <v>300</v>
      </c>
      <c r="AX61" t="s">
        <v>150</v>
      </c>
    </row>
    <row r="62" spans="1:50" x14ac:dyDescent="0.25">
      <c r="A62" t="str">
        <f>D1_ENERO_2025[[#This Row],[SUPER2]]</f>
        <v>MELITA</v>
      </c>
      <c r="B62" t="s">
        <v>65</v>
      </c>
      <c r="C62">
        <f>VLOOKUP(D1_ENERO_2025[[#This Row],[SUPER]],DATA_ENERO_2025[[SUPERVISOR]:[META]],3,0)</f>
        <v>16500</v>
      </c>
      <c r="D62">
        <f>D1_ENERO_2025[[#This Row],[RECUPERO]]/C62</f>
        <v>0.15939393939393939</v>
      </c>
      <c r="E62" t="s">
        <v>115</v>
      </c>
      <c r="F62" t="s">
        <v>65</v>
      </c>
      <c r="G62">
        <v>2630</v>
      </c>
      <c r="H62" t="s">
        <v>438</v>
      </c>
      <c r="I62" s="55">
        <v>45021</v>
      </c>
      <c r="J62" s="55" t="s">
        <v>501</v>
      </c>
      <c r="K62" s="55"/>
      <c r="L62" s="55"/>
      <c r="M62" s="1">
        <f>DATA_ENERO_2025[[#This Row],[RECUPERO]]/DATA_ENERO_2025[[#This Row],[META]]</f>
        <v>1.7141904761904763</v>
      </c>
      <c r="N62">
        <f>6-ROUNDUP(_xlfn.RANK.EQ(DATA_ENERO_2025[[#This Row],[AL_AC]],DATA_ENERO_2025[AL_AC],0)/(COUNTA(DATA_ENERO_2025[AL_AC])/5),0)</f>
        <v>5</v>
      </c>
      <c r="O62" t="s">
        <v>6</v>
      </c>
      <c r="P62">
        <f>SUM(DATA_ENERO_2025[[#This Row],[1]:[31]])</f>
        <v>35998</v>
      </c>
      <c r="Q62">
        <v>21000</v>
      </c>
      <c r="R62" t="s">
        <v>119</v>
      </c>
      <c r="X62">
        <v>450</v>
      </c>
      <c r="Y62">
        <v>3200</v>
      </c>
      <c r="Z62">
        <v>298</v>
      </c>
      <c r="AA62">
        <v>2500</v>
      </c>
      <c r="AF62">
        <v>300</v>
      </c>
      <c r="AL62">
        <v>3000</v>
      </c>
      <c r="AN62">
        <v>20600</v>
      </c>
      <c r="AT62">
        <v>5200</v>
      </c>
      <c r="AU62">
        <v>450</v>
      </c>
      <c r="AX62" t="s">
        <v>152</v>
      </c>
    </row>
    <row r="63" spans="1:50" x14ac:dyDescent="0.25">
      <c r="A63" t="str">
        <f>D1_ENERO_2025[[#This Row],[SUPER2]]</f>
        <v>MELITA</v>
      </c>
      <c r="B63" t="s">
        <v>33</v>
      </c>
      <c r="C63">
        <f>VLOOKUP(D1_ENERO_2025[[#This Row],[SUPER]],DATA_ENERO_2025[[SUPERVISOR]:[META]],3,0)</f>
        <v>16500</v>
      </c>
      <c r="D63">
        <f>D1_ENERO_2025[[#This Row],[RECUPERO]]/C63</f>
        <v>0.7518424242424242</v>
      </c>
      <c r="E63" t="s">
        <v>115</v>
      </c>
      <c r="F63" t="s">
        <v>33</v>
      </c>
      <c r="G63">
        <v>12405.4</v>
      </c>
      <c r="H63" t="s">
        <v>439</v>
      </c>
      <c r="I63" s="55">
        <v>44869</v>
      </c>
      <c r="J63" s="55" t="s">
        <v>501</v>
      </c>
      <c r="K63" s="55"/>
      <c r="L63" s="55"/>
      <c r="M63" s="1">
        <f>DATA_ENERO_2025[[#This Row],[RECUPERO]]/DATA_ENERO_2025[[#This Row],[META]]</f>
        <v>1.4346522413793104</v>
      </c>
      <c r="N63">
        <f>6-ROUNDUP(_xlfn.RANK.EQ(DATA_ENERO_2025[[#This Row],[AL_AC]],DATA_ENERO_2025[AL_AC],0)/(COUNTA(DATA_ENERO_2025[AL_AC])/5),0)</f>
        <v>5</v>
      </c>
      <c r="O63" t="s">
        <v>4</v>
      </c>
      <c r="P63">
        <f>SUM(DATA_ENERO_2025[[#This Row],[1]:[31]])</f>
        <v>83209.83</v>
      </c>
      <c r="Q63">
        <v>58000</v>
      </c>
      <c r="R63" t="s">
        <v>75</v>
      </c>
      <c r="T63">
        <v>600</v>
      </c>
      <c r="U63">
        <v>2100</v>
      </c>
      <c r="X63">
        <v>4000</v>
      </c>
      <c r="Y63">
        <v>200</v>
      </c>
      <c r="Z63">
        <v>450</v>
      </c>
      <c r="AF63">
        <v>59</v>
      </c>
      <c r="AG63">
        <v>680</v>
      </c>
      <c r="AH63">
        <v>2900</v>
      </c>
      <c r="AI63">
        <v>7500</v>
      </c>
      <c r="AL63">
        <v>14600.05</v>
      </c>
      <c r="AM63">
        <v>992</v>
      </c>
      <c r="AN63">
        <v>700</v>
      </c>
      <c r="AO63">
        <v>5000</v>
      </c>
      <c r="AP63">
        <v>17000</v>
      </c>
      <c r="AQ63">
        <v>2000</v>
      </c>
      <c r="AS63">
        <v>1000.08</v>
      </c>
      <c r="AT63">
        <v>400</v>
      </c>
      <c r="AU63">
        <v>600</v>
      </c>
      <c r="AV63">
        <v>6158.7</v>
      </c>
      <c r="AW63">
        <v>16270</v>
      </c>
      <c r="AX63" t="s">
        <v>150</v>
      </c>
    </row>
    <row r="64" spans="1:50" x14ac:dyDescent="0.25">
      <c r="A64" t="str">
        <f>D1_ENERO_2025[[#This Row],[SUPER2]]</f>
        <v>MELITA</v>
      </c>
      <c r="B64" t="s">
        <v>68</v>
      </c>
      <c r="C64">
        <f>VLOOKUP(D1_ENERO_2025[[#This Row],[SUPER]],DATA_ENERO_2025[[SUPERVISOR]:[META]],3,0)</f>
        <v>16500</v>
      </c>
      <c r="D64">
        <f>D1_ENERO_2025[[#This Row],[RECUPERO]]/C64</f>
        <v>1.0626060606060606</v>
      </c>
      <c r="E64" t="s">
        <v>115</v>
      </c>
      <c r="F64" t="s">
        <v>68</v>
      </c>
      <c r="G64">
        <v>17533</v>
      </c>
      <c r="H64" t="s">
        <v>440</v>
      </c>
      <c r="I64" s="55">
        <v>45364</v>
      </c>
      <c r="J64" s="55" t="s">
        <v>501</v>
      </c>
      <c r="K64" s="55"/>
      <c r="L64" s="55"/>
      <c r="M64" s="1">
        <f>DATA_ENERO_2025[[#This Row],[RECUPERO]]/DATA_ENERO_2025[[#This Row],[META]]</f>
        <v>0.5896818181818182</v>
      </c>
      <c r="N64">
        <f>6-ROUNDUP(_xlfn.RANK.EQ(DATA_ENERO_2025[[#This Row],[AL_AC]],DATA_ENERO_2025[AL_AC],0)/(COUNTA(DATA_ENERO_2025[AL_AC])/5),0)</f>
        <v>3</v>
      </c>
      <c r="O64" t="s">
        <v>2</v>
      </c>
      <c r="P64">
        <f>SUM(DATA_ENERO_2025[[#This Row],[1]:[31]])</f>
        <v>12973</v>
      </c>
      <c r="Q64">
        <v>22000</v>
      </c>
      <c r="R64" t="s">
        <v>537</v>
      </c>
      <c r="T64">
        <v>2400</v>
      </c>
      <c r="AB64">
        <v>200</v>
      </c>
      <c r="AC64">
        <v>3000</v>
      </c>
      <c r="AF64">
        <v>0</v>
      </c>
      <c r="AH64">
        <v>1791</v>
      </c>
      <c r="AM64">
        <v>300</v>
      </c>
      <c r="AN64">
        <v>250</v>
      </c>
      <c r="AP64">
        <v>222</v>
      </c>
      <c r="AS64">
        <v>3000</v>
      </c>
      <c r="AT64">
        <v>1810</v>
      </c>
      <c r="AX64" t="s">
        <v>151</v>
      </c>
    </row>
    <row r="65" spans="1:50" x14ac:dyDescent="0.25">
      <c r="A65" t="str">
        <f>D1_ENERO_2025[[#This Row],[SUPER2]]</f>
        <v>SANDY</v>
      </c>
      <c r="B65" t="s">
        <v>58</v>
      </c>
      <c r="C65">
        <f>VLOOKUP(D1_ENERO_2025[[#This Row],[SUPER]],DATA_ENERO_2025[[SUPERVISOR]:[META]],3,0)</f>
        <v>58000</v>
      </c>
      <c r="D65">
        <f>D1_ENERO_2025[[#This Row],[RECUPERO]]/C65</f>
        <v>0.59640517241379309</v>
      </c>
      <c r="E65" t="s">
        <v>3</v>
      </c>
      <c r="F65" t="s">
        <v>58</v>
      </c>
      <c r="G65">
        <v>34591.5</v>
      </c>
      <c r="H65" t="s">
        <v>441</v>
      </c>
      <c r="I65" s="55">
        <v>43035</v>
      </c>
      <c r="J65" s="55" t="s">
        <v>501</v>
      </c>
      <c r="K65" s="55"/>
      <c r="L65" s="55"/>
      <c r="M65" s="1">
        <f>DATA_ENERO_2025[[#This Row],[RECUPERO]]/DATA_ENERO_2025[[#This Row],[META]]</f>
        <v>1.1242857142857143</v>
      </c>
      <c r="N65">
        <f>6-ROUNDUP(_xlfn.RANK.EQ(DATA_ENERO_2025[[#This Row],[AL_AC]],DATA_ENERO_2025[AL_AC],0)/(COUNTA(DATA_ENERO_2025[AL_AC])/5),0)</f>
        <v>5</v>
      </c>
      <c r="O65" t="s">
        <v>6</v>
      </c>
      <c r="P65">
        <f>SUM(DATA_ENERO_2025[[#This Row],[1]:[31]])</f>
        <v>23610</v>
      </c>
      <c r="Q65">
        <v>21000</v>
      </c>
      <c r="R65" t="s">
        <v>120</v>
      </c>
      <c r="U65">
        <v>1000</v>
      </c>
      <c r="X65">
        <v>500</v>
      </c>
      <c r="Z65">
        <v>4200</v>
      </c>
      <c r="AG65">
        <v>500</v>
      </c>
      <c r="AM65">
        <v>400</v>
      </c>
      <c r="AN65">
        <v>2000</v>
      </c>
      <c r="AO65">
        <v>3000</v>
      </c>
      <c r="AV65">
        <v>2010</v>
      </c>
      <c r="AW65">
        <v>10000</v>
      </c>
      <c r="AX65" t="s">
        <v>152</v>
      </c>
    </row>
    <row r="66" spans="1:50" x14ac:dyDescent="0.25">
      <c r="A66" t="str">
        <f>D1_ENERO_2025[[#This Row],[SUPER2]]</f>
        <v>SANDY</v>
      </c>
      <c r="B66" t="s">
        <v>22</v>
      </c>
      <c r="C66">
        <f>VLOOKUP(D1_ENERO_2025[[#This Row],[SUPER]],DATA_ENERO_2025[[SUPERVISOR]:[META]],3,0)</f>
        <v>58000</v>
      </c>
      <c r="D66">
        <f>D1_ENERO_2025[[#This Row],[RECUPERO]]/C66</f>
        <v>0</v>
      </c>
      <c r="E66" t="s">
        <v>3</v>
      </c>
      <c r="F66" t="s">
        <v>22</v>
      </c>
      <c r="G66">
        <v>0</v>
      </c>
      <c r="H66" t="s">
        <v>442</v>
      </c>
      <c r="I66" s="55">
        <v>45299</v>
      </c>
      <c r="J66" s="55" t="s">
        <v>501</v>
      </c>
      <c r="K66" s="55"/>
      <c r="L66" s="55"/>
      <c r="M66" s="1">
        <f>DATA_ENERO_2025[[#This Row],[RECUPERO]]/DATA_ENERO_2025[[#This Row],[META]]</f>
        <v>1.0646666666666667</v>
      </c>
      <c r="N66">
        <f>6-ROUNDUP(_xlfn.RANK.EQ(DATA_ENERO_2025[[#This Row],[AL_AC]],DATA_ENERO_2025[AL_AC],0)/(COUNTA(DATA_ENERO_2025[AL_AC])/5),0)</f>
        <v>4</v>
      </c>
      <c r="O66" t="s">
        <v>6</v>
      </c>
      <c r="P66">
        <f>SUM(DATA_ENERO_2025[[#This Row],[1]:[31]])</f>
        <v>22358</v>
      </c>
      <c r="Q66">
        <v>21000</v>
      </c>
      <c r="R66" t="s">
        <v>36</v>
      </c>
      <c r="T66">
        <v>600</v>
      </c>
      <c r="X66">
        <v>300</v>
      </c>
      <c r="AA66">
        <v>10000</v>
      </c>
      <c r="AC66">
        <v>250</v>
      </c>
      <c r="AG66">
        <v>798</v>
      </c>
      <c r="AH66">
        <v>6000</v>
      </c>
      <c r="AL66">
        <v>500</v>
      </c>
      <c r="AM66">
        <v>500</v>
      </c>
      <c r="AT66">
        <v>300</v>
      </c>
      <c r="AU66">
        <v>1900</v>
      </c>
      <c r="AV66">
        <v>1210</v>
      </c>
      <c r="AX66" t="s">
        <v>152</v>
      </c>
    </row>
    <row r="67" spans="1:50" x14ac:dyDescent="0.25">
      <c r="A67" t="str">
        <f>D1_ENERO_2025[[#This Row],[SUPER2]]</f>
        <v>SANDY</v>
      </c>
      <c r="B67" t="s">
        <v>57</v>
      </c>
      <c r="C67">
        <f>VLOOKUP(D1_ENERO_2025[[#This Row],[SUPER]],DATA_ENERO_2025[[SUPERVISOR]:[META]],3,0)</f>
        <v>58000</v>
      </c>
      <c r="D67">
        <f>D1_ENERO_2025[[#This Row],[RECUPERO]]/C67</f>
        <v>0.63682241379310345</v>
      </c>
      <c r="E67" t="s">
        <v>3</v>
      </c>
      <c r="F67" t="s">
        <v>57</v>
      </c>
      <c r="G67">
        <v>36935.699999999997</v>
      </c>
      <c r="H67" t="s">
        <v>443</v>
      </c>
      <c r="I67" s="55">
        <v>45590</v>
      </c>
      <c r="J67" s="55" t="s">
        <v>501</v>
      </c>
      <c r="K67" s="55"/>
      <c r="L67" s="55"/>
      <c r="M67" s="1">
        <f>DATA_ENERO_2025[[#This Row],[RECUPERO]]/DATA_ENERO_2025[[#This Row],[META]]</f>
        <v>1.0109827586206896</v>
      </c>
      <c r="N67">
        <f>6-ROUNDUP(_xlfn.RANK.EQ(DATA_ENERO_2025[[#This Row],[AL_AC]],DATA_ENERO_2025[AL_AC],0)/(COUNTA(DATA_ENERO_2025[AL_AC])/5),0)</f>
        <v>4</v>
      </c>
      <c r="O67" t="s">
        <v>5</v>
      </c>
      <c r="P67">
        <f>SUM(DATA_ENERO_2025[[#This Row],[1]:[31]])</f>
        <v>58637</v>
      </c>
      <c r="Q67">
        <v>58000</v>
      </c>
      <c r="R67" t="s">
        <v>62</v>
      </c>
      <c r="S67">
        <v>935</v>
      </c>
      <c r="U67">
        <v>700</v>
      </c>
      <c r="X67">
        <v>600</v>
      </c>
      <c r="Y67">
        <v>6800</v>
      </c>
      <c r="AI67">
        <v>810</v>
      </c>
      <c r="AM67">
        <v>376</v>
      </c>
      <c r="AN67">
        <v>611</v>
      </c>
      <c r="AO67">
        <v>205</v>
      </c>
      <c r="AP67">
        <v>25600</v>
      </c>
      <c r="AS67">
        <v>3500</v>
      </c>
      <c r="AU67">
        <v>10400</v>
      </c>
      <c r="AV67">
        <v>700</v>
      </c>
      <c r="AW67">
        <v>7400</v>
      </c>
      <c r="AX67" t="s">
        <v>150</v>
      </c>
    </row>
    <row r="68" spans="1:50" x14ac:dyDescent="0.25">
      <c r="A68" t="str">
        <f>D1_ENERO_2025[[#This Row],[SUPER2]]</f>
        <v>SANDY</v>
      </c>
      <c r="B68" t="s">
        <v>123</v>
      </c>
      <c r="C68">
        <f>VLOOKUP(D1_ENERO_2025[[#This Row],[SUPER]],DATA_ENERO_2025[[SUPERVISOR]:[META]],3,0)</f>
        <v>58000</v>
      </c>
      <c r="D68">
        <f>D1_ENERO_2025[[#This Row],[RECUPERO]]/C68</f>
        <v>0.15022413793103448</v>
      </c>
      <c r="E68" t="s">
        <v>3</v>
      </c>
      <c r="F68" t="s">
        <v>123</v>
      </c>
      <c r="G68">
        <v>8713</v>
      </c>
      <c r="H68" t="s">
        <v>444</v>
      </c>
      <c r="I68" s="55">
        <v>0</v>
      </c>
      <c r="J68" s="55" t="s">
        <v>501</v>
      </c>
      <c r="K68" s="55"/>
      <c r="L68" s="55"/>
      <c r="M68" s="1">
        <f>DATA_ENERO_2025[[#This Row],[RECUPERO]]/DATA_ENERO_2025[[#This Row],[META]]</f>
        <v>0.82548095238095232</v>
      </c>
      <c r="N68">
        <f>6-ROUNDUP(_xlfn.RANK.EQ(DATA_ENERO_2025[[#This Row],[AL_AC]],DATA_ENERO_2025[AL_AC],0)/(COUNTA(DATA_ENERO_2025[AL_AC])/5),0)</f>
        <v>3</v>
      </c>
      <c r="O68" t="s">
        <v>9</v>
      </c>
      <c r="P68">
        <f>SUM(DATA_ENERO_2025[[#This Row],[1]:[31]])</f>
        <v>17335.099999999999</v>
      </c>
      <c r="Q68">
        <v>21000</v>
      </c>
      <c r="R68" t="s">
        <v>70</v>
      </c>
      <c r="T68">
        <v>450</v>
      </c>
      <c r="V68">
        <v>200</v>
      </c>
      <c r="X68">
        <v>720</v>
      </c>
      <c r="AA68">
        <v>830</v>
      </c>
      <c r="AE68">
        <v>500</v>
      </c>
      <c r="AF68">
        <v>3800</v>
      </c>
      <c r="AG68">
        <v>200</v>
      </c>
      <c r="AH68">
        <v>553</v>
      </c>
      <c r="AL68">
        <v>600</v>
      </c>
      <c r="AN68">
        <v>1230</v>
      </c>
      <c r="AO68">
        <v>200</v>
      </c>
      <c r="AP68">
        <v>1900.1</v>
      </c>
      <c r="AQ68">
        <v>350</v>
      </c>
      <c r="AS68">
        <v>3602</v>
      </c>
      <c r="AU68">
        <v>200</v>
      </c>
      <c r="AV68">
        <v>300</v>
      </c>
      <c r="AW68">
        <v>1700</v>
      </c>
      <c r="AX68" t="s">
        <v>153</v>
      </c>
    </row>
    <row r="69" spans="1:50" x14ac:dyDescent="0.25">
      <c r="A69" t="str">
        <f>D1_ENERO_2025[[#This Row],[SUPER2]]</f>
        <v>SANDY</v>
      </c>
      <c r="B69" t="s">
        <v>23</v>
      </c>
      <c r="C69">
        <f>VLOOKUP(D1_ENERO_2025[[#This Row],[SUPER]],DATA_ENERO_2025[[SUPERVISOR]:[META]],3,0)</f>
        <v>58000</v>
      </c>
      <c r="D69">
        <f>D1_ENERO_2025[[#This Row],[RECUPERO]]/C69</f>
        <v>1.2074137931034483</v>
      </c>
      <c r="E69" t="s">
        <v>3</v>
      </c>
      <c r="F69" t="s">
        <v>23</v>
      </c>
      <c r="G69">
        <v>70030</v>
      </c>
      <c r="H69" t="s">
        <v>445</v>
      </c>
      <c r="I69" s="55">
        <v>44111</v>
      </c>
      <c r="J69" s="55" t="s">
        <v>501</v>
      </c>
      <c r="K69" s="55"/>
      <c r="L69" s="55"/>
      <c r="M69" s="1">
        <f>DATA_ENERO_2025[[#This Row],[RECUPERO]]/DATA_ENERO_2025[[#This Row],[META]]</f>
        <v>0.82920689655172419</v>
      </c>
      <c r="N69">
        <f>6-ROUNDUP(_xlfn.RANK.EQ(DATA_ENERO_2025[[#This Row],[AL_AC]],DATA_ENERO_2025[AL_AC],0)/(COUNTA(DATA_ENERO_2025[AL_AC])/5),0)</f>
        <v>3</v>
      </c>
      <c r="O69" t="s">
        <v>4</v>
      </c>
      <c r="P69">
        <f>SUM(DATA_ENERO_2025[[#This Row],[1]:[31]])</f>
        <v>48094</v>
      </c>
      <c r="Q69">
        <v>58000</v>
      </c>
      <c r="R69" t="s">
        <v>11</v>
      </c>
      <c r="T69">
        <v>2700</v>
      </c>
      <c r="U69">
        <v>14430</v>
      </c>
      <c r="Y69">
        <v>5000</v>
      </c>
      <c r="Z69">
        <v>523</v>
      </c>
      <c r="AA69">
        <v>1220</v>
      </c>
      <c r="AE69">
        <v>84</v>
      </c>
      <c r="AF69">
        <v>12000</v>
      </c>
      <c r="AG69">
        <v>809</v>
      </c>
      <c r="AH69">
        <v>300</v>
      </c>
      <c r="AJ69">
        <v>650</v>
      </c>
      <c r="AM69">
        <v>1990</v>
      </c>
      <c r="AP69">
        <v>1200</v>
      </c>
      <c r="AS69">
        <v>905</v>
      </c>
      <c r="AU69">
        <v>3885</v>
      </c>
      <c r="AV69">
        <v>498</v>
      </c>
      <c r="AW69">
        <v>1900</v>
      </c>
      <c r="AX69" t="s">
        <v>150</v>
      </c>
    </row>
    <row r="70" spans="1:50" x14ac:dyDescent="0.25">
      <c r="A70" t="str">
        <f>D1_ENERO_2025[[#This Row],[SUPER2]]</f>
        <v>SANDY</v>
      </c>
      <c r="B70" t="s">
        <v>25</v>
      </c>
      <c r="C70">
        <f>VLOOKUP(D1_ENERO_2025[[#This Row],[SUPER]],DATA_ENERO_2025[[SUPERVISOR]:[META]],3,0)</f>
        <v>58000</v>
      </c>
      <c r="D70">
        <f>D1_ENERO_2025[[#This Row],[RECUPERO]]/C70</f>
        <v>0.91737931034482756</v>
      </c>
      <c r="E70" t="s">
        <v>3</v>
      </c>
      <c r="F70" t="s">
        <v>25</v>
      </c>
      <c r="G70">
        <v>53208</v>
      </c>
      <c r="H70" t="s">
        <v>446</v>
      </c>
      <c r="I70" s="55">
        <v>44820</v>
      </c>
      <c r="J70" s="55" t="s">
        <v>501</v>
      </c>
      <c r="K70" s="55"/>
      <c r="L70" s="55"/>
      <c r="M70" s="1">
        <f>DATA_ENERO_2025[[#This Row],[RECUPERO]]/DATA_ENERO_2025[[#This Row],[META]]</f>
        <v>0.35457272727272726</v>
      </c>
      <c r="N70">
        <f>6-ROUNDUP(_xlfn.RANK.EQ(DATA_ENERO_2025[[#This Row],[AL_AC]],DATA_ENERO_2025[AL_AC],0)/(COUNTA(DATA_ENERO_2025[AL_AC])/5),0)</f>
        <v>2</v>
      </c>
      <c r="O70" t="s">
        <v>2</v>
      </c>
      <c r="P70">
        <f>SUM(DATA_ENERO_2025[[#This Row],[1]:[31]])</f>
        <v>7800.6</v>
      </c>
      <c r="Q70">
        <v>22000</v>
      </c>
      <c r="R70" t="s">
        <v>74</v>
      </c>
      <c r="T70">
        <v>200</v>
      </c>
      <c r="V70">
        <v>210</v>
      </c>
      <c r="Y70">
        <v>200</v>
      </c>
      <c r="AB70">
        <v>300</v>
      </c>
      <c r="AC70">
        <v>241</v>
      </c>
      <c r="AF70">
        <v>2045</v>
      </c>
      <c r="AG70">
        <v>350</v>
      </c>
      <c r="AH70">
        <v>605</v>
      </c>
      <c r="AL70">
        <v>400</v>
      </c>
      <c r="AO70">
        <v>1009.6</v>
      </c>
      <c r="AP70">
        <v>360</v>
      </c>
      <c r="AQ70">
        <v>400</v>
      </c>
      <c r="AU70">
        <v>200</v>
      </c>
      <c r="AV70">
        <v>500</v>
      </c>
      <c r="AW70">
        <v>780</v>
      </c>
      <c r="AX70" t="s">
        <v>151</v>
      </c>
    </row>
    <row r="71" spans="1:50" x14ac:dyDescent="0.25">
      <c r="A71" t="str">
        <f>D1_ENERO_2025[[#This Row],[SUPER2]]</f>
        <v>SANDY</v>
      </c>
      <c r="B71" t="s">
        <v>63</v>
      </c>
      <c r="C71">
        <f>VLOOKUP(D1_ENERO_2025[[#This Row],[SUPER]],DATA_ENERO_2025[[SUPERVISOR]:[META]],3,0)</f>
        <v>58000</v>
      </c>
      <c r="D71">
        <f>D1_ENERO_2025[[#This Row],[RECUPERO]]/C71</f>
        <v>0.86987758620689659</v>
      </c>
      <c r="E71" t="s">
        <v>3</v>
      </c>
      <c r="F71" t="s">
        <v>63</v>
      </c>
      <c r="G71">
        <v>50452.9</v>
      </c>
      <c r="H71" t="s">
        <v>447</v>
      </c>
      <c r="I71" s="55">
        <v>45316</v>
      </c>
      <c r="J71" s="55" t="s">
        <v>501</v>
      </c>
      <c r="K71" s="55"/>
      <c r="L71" s="55"/>
      <c r="M71" s="1">
        <f>DATA_ENERO_2025[[#This Row],[RECUPERO]]/DATA_ENERO_2025[[#This Row],[META]]</f>
        <v>0.13309090909090909</v>
      </c>
      <c r="N71">
        <f>6-ROUNDUP(_xlfn.RANK.EQ(DATA_ENERO_2025[[#This Row],[AL_AC]],DATA_ENERO_2025[AL_AC],0)/(COUNTA(DATA_ENERO_2025[AL_AC])/5),0)</f>
        <v>1</v>
      </c>
      <c r="O71" t="s">
        <v>2</v>
      </c>
      <c r="P71">
        <f>SUM(DATA_ENERO_2025[[#This Row],[1]:[31]])</f>
        <v>2928</v>
      </c>
      <c r="Q71">
        <v>22000</v>
      </c>
      <c r="R71" t="s">
        <v>117</v>
      </c>
      <c r="AM71">
        <v>200</v>
      </c>
      <c r="AS71">
        <v>500</v>
      </c>
      <c r="AU71">
        <v>1638</v>
      </c>
      <c r="AW71">
        <v>590</v>
      </c>
      <c r="AX71" t="s">
        <v>151</v>
      </c>
    </row>
    <row r="72" spans="1:50" x14ac:dyDescent="0.25">
      <c r="A72" t="str">
        <f>D1_ENERO_2025[[#This Row],[SUPER2]]</f>
        <v>SANDY</v>
      </c>
      <c r="B72" t="s">
        <v>30</v>
      </c>
      <c r="C72">
        <f>VLOOKUP(D1_ENERO_2025[[#This Row],[SUPER]],DATA_ENERO_2025[[SUPERVISOR]:[META]],3,0)</f>
        <v>58000</v>
      </c>
      <c r="D72">
        <f>D1_ENERO_2025[[#This Row],[RECUPERO]]/C72</f>
        <v>0.57218965517241382</v>
      </c>
      <c r="E72" t="s">
        <v>3</v>
      </c>
      <c r="F72" t="s">
        <v>30</v>
      </c>
      <c r="G72">
        <v>33187</v>
      </c>
      <c r="H72" t="s">
        <v>448</v>
      </c>
      <c r="I72" s="55">
        <v>45399</v>
      </c>
      <c r="J72" s="55" t="s">
        <v>501</v>
      </c>
      <c r="K72" s="55"/>
      <c r="L72" s="55"/>
      <c r="M72" s="1">
        <f>DATA_ENERO_2025[[#This Row],[RECUPERO]]/DATA_ENERO_2025[[#This Row],[META]]</f>
        <v>0.15571428571428572</v>
      </c>
      <c r="N72">
        <f>6-ROUNDUP(_xlfn.RANK.EQ(DATA_ENERO_2025[[#This Row],[AL_AC]],DATA_ENERO_2025[AL_AC],0)/(COUNTA(DATA_ENERO_2025[AL_AC])/5),0)</f>
        <v>1</v>
      </c>
      <c r="O72" t="s">
        <v>9</v>
      </c>
      <c r="P72">
        <f>SUM(DATA_ENERO_2025[[#This Row],[1]:[31]])</f>
        <v>3270</v>
      </c>
      <c r="Q72">
        <v>21000</v>
      </c>
      <c r="R72" t="s">
        <v>538</v>
      </c>
      <c r="X72">
        <v>500</v>
      </c>
      <c r="AE72">
        <v>800</v>
      </c>
      <c r="AI72">
        <v>400</v>
      </c>
      <c r="AQ72">
        <v>150</v>
      </c>
      <c r="AS72">
        <v>720</v>
      </c>
      <c r="AU72">
        <v>500</v>
      </c>
      <c r="AV72">
        <v>200</v>
      </c>
      <c r="AX72" t="s">
        <v>153</v>
      </c>
    </row>
    <row r="73" spans="1:50" x14ac:dyDescent="0.25">
      <c r="A73" t="str">
        <f>D1_ENERO_2025[[#This Row],[SUPER2]]</f>
        <v>SANDY</v>
      </c>
      <c r="B73" t="s">
        <v>10</v>
      </c>
      <c r="C73">
        <f>VLOOKUP(D1_ENERO_2025[[#This Row],[SUPER]],DATA_ENERO_2025[[SUPERVISOR]:[META]],3,0)</f>
        <v>58000</v>
      </c>
      <c r="D73">
        <f>D1_ENERO_2025[[#This Row],[RECUPERO]]/C73</f>
        <v>0.58684482758620693</v>
      </c>
      <c r="E73" t="s">
        <v>3</v>
      </c>
      <c r="F73" t="s">
        <v>10</v>
      </c>
      <c r="G73">
        <v>34037</v>
      </c>
      <c r="H73" t="s">
        <v>449</v>
      </c>
      <c r="I73" s="55">
        <v>44706</v>
      </c>
      <c r="J73" s="55" t="s">
        <v>501</v>
      </c>
      <c r="K73" s="55"/>
      <c r="L73" s="55"/>
      <c r="M73" s="1">
        <f>DATA_ENERO_2025[[#This Row],[RECUPERO]]/DATA_ENERO_2025[[#This Row],[META]]</f>
        <v>1.9124344827586206</v>
      </c>
      <c r="N73">
        <f>6-ROUNDUP(_xlfn.RANK.EQ(DATA_ENERO_2025[[#This Row],[AL_AC]],DATA_ENERO_2025[AL_AC],0)/(COUNTA(DATA_ENERO_2025[AL_AC])/5),0)</f>
        <v>5</v>
      </c>
      <c r="O73" t="s">
        <v>4</v>
      </c>
      <c r="P73">
        <f>SUM(DATA_ENERO_2025[[#This Row],[1]:[31]])</f>
        <v>110921.2</v>
      </c>
      <c r="Q73">
        <v>58000</v>
      </c>
      <c r="R73" t="s">
        <v>59</v>
      </c>
      <c r="T73">
        <v>265</v>
      </c>
      <c r="Y73">
        <v>1000.1</v>
      </c>
      <c r="Z73">
        <v>3600</v>
      </c>
      <c r="AA73">
        <v>0</v>
      </c>
      <c r="AB73">
        <v>19589</v>
      </c>
      <c r="AC73">
        <v>1155</v>
      </c>
      <c r="AF73">
        <v>1000.1</v>
      </c>
      <c r="AG73">
        <v>3500</v>
      </c>
      <c r="AH73">
        <v>2100</v>
      </c>
      <c r="AI73">
        <v>6800</v>
      </c>
      <c r="AL73">
        <v>312</v>
      </c>
      <c r="AM73">
        <v>20000</v>
      </c>
      <c r="AN73">
        <v>200</v>
      </c>
      <c r="AO73">
        <v>10000</v>
      </c>
      <c r="AS73">
        <v>6000</v>
      </c>
      <c r="AT73">
        <v>1850</v>
      </c>
      <c r="AU73">
        <v>6700</v>
      </c>
      <c r="AV73">
        <v>9600</v>
      </c>
      <c r="AW73">
        <v>17250</v>
      </c>
      <c r="AX73" t="s">
        <v>150</v>
      </c>
    </row>
    <row r="74" spans="1:50" x14ac:dyDescent="0.25">
      <c r="A74" t="str">
        <f>D1_ENERO_2025[[#This Row],[SUPER2]]</f>
        <v>JORGE</v>
      </c>
      <c r="B74" t="s">
        <v>537</v>
      </c>
      <c r="C74">
        <f>VLOOKUP(D1_ENERO_2025[[#This Row],[SUPER]],DATA_ENERO_2025[[SUPERVISOR]:[META]],3,0)</f>
        <v>22000</v>
      </c>
      <c r="D74">
        <f>D1_ENERO_2025[[#This Row],[RECUPERO]]/C74</f>
        <v>0.5896818181818182</v>
      </c>
      <c r="E74" t="s">
        <v>2</v>
      </c>
      <c r="F74" t="s">
        <v>537</v>
      </c>
      <c r="G74">
        <v>12973</v>
      </c>
      <c r="H74" t="s">
        <v>539</v>
      </c>
      <c r="I74" s="55">
        <v>44716</v>
      </c>
      <c r="J74" s="55" t="s">
        <v>501</v>
      </c>
      <c r="M74" s="1">
        <f>DATA_ENERO_2025[[#This Row],[RECUPERO]]/DATA_ENERO_2025[[#This Row],[META]]</f>
        <v>0.86987758620689659</v>
      </c>
      <c r="N74">
        <f>6-ROUNDUP(_xlfn.RANK.EQ(DATA_ENERO_2025[[#This Row],[AL_AC]],DATA_ENERO_2025[AL_AC],0)/(COUNTA(DATA_ENERO_2025[AL_AC])/5),0)</f>
        <v>4</v>
      </c>
      <c r="O74" t="s">
        <v>3</v>
      </c>
      <c r="P74">
        <f>SUM(DATA_ENERO_2025[[#This Row],[1]:[31]])</f>
        <v>50452.9</v>
      </c>
      <c r="Q74">
        <v>58000</v>
      </c>
      <c r="R74" t="s">
        <v>63</v>
      </c>
      <c r="U74">
        <v>880</v>
      </c>
      <c r="X74">
        <v>310</v>
      </c>
      <c r="Y74">
        <v>262</v>
      </c>
      <c r="Z74">
        <v>1680</v>
      </c>
      <c r="AA74">
        <v>12000</v>
      </c>
      <c r="AB74">
        <v>600</v>
      </c>
      <c r="AF74">
        <v>3785</v>
      </c>
      <c r="AG74">
        <v>5907</v>
      </c>
      <c r="AH74">
        <v>3800</v>
      </c>
      <c r="AI74">
        <v>380</v>
      </c>
      <c r="AJ74">
        <v>150</v>
      </c>
      <c r="AL74">
        <v>6500</v>
      </c>
      <c r="AP74">
        <v>600</v>
      </c>
      <c r="AQ74">
        <v>1040.9000000000001</v>
      </c>
      <c r="AT74">
        <v>1000</v>
      </c>
      <c r="AV74">
        <v>6221</v>
      </c>
      <c r="AW74">
        <v>5337</v>
      </c>
      <c r="AX74" t="s">
        <v>150</v>
      </c>
    </row>
    <row r="75" spans="1:50" x14ac:dyDescent="0.25">
      <c r="A75" t="str">
        <f>D1_ENERO_2025[[#This Row],[SUPER2]]</f>
        <v>LUIS</v>
      </c>
      <c r="B75" t="s">
        <v>538</v>
      </c>
      <c r="C75">
        <f>VLOOKUP(D1_ENERO_2025[[#This Row],[SUPER]],DATA_ENERO_2025[[SUPERVISOR]:[META]],3,0)</f>
        <v>21000</v>
      </c>
      <c r="D75">
        <f>D1_ENERO_2025[[#This Row],[RECUPERO]]/C75</f>
        <v>0.15571428571428572</v>
      </c>
      <c r="E75" t="s">
        <v>9</v>
      </c>
      <c r="F75" t="s">
        <v>538</v>
      </c>
      <c r="G75">
        <v>3270</v>
      </c>
      <c r="H75" t="s">
        <v>540</v>
      </c>
      <c r="I75" s="55">
        <v>45343</v>
      </c>
      <c r="J75" s="55" t="s">
        <v>501</v>
      </c>
      <c r="M75" s="1">
        <f>DATA_ENERO_2025[[#This Row],[RECUPERO]]/DATA_ENERO_2025[[#This Row],[META]]</f>
        <v>0.56958571428571425</v>
      </c>
      <c r="N75">
        <f>6-ROUNDUP(_xlfn.RANK.EQ(DATA_ENERO_2025[[#This Row],[AL_AC]],DATA_ENERO_2025[AL_AC],0)/(COUNTA(DATA_ENERO_2025[AL_AC])/5),0)</f>
        <v>2</v>
      </c>
      <c r="O75" t="s">
        <v>9</v>
      </c>
      <c r="P75">
        <f>SUM(DATA_ENERO_2025[[#This Row],[1]:[31]])</f>
        <v>11961.3</v>
      </c>
      <c r="Q75">
        <v>21000</v>
      </c>
      <c r="R75" t="s">
        <v>103</v>
      </c>
      <c r="T75">
        <v>270</v>
      </c>
      <c r="X75">
        <v>400</v>
      </c>
      <c r="AC75">
        <v>3200</v>
      </c>
      <c r="AF75">
        <v>434</v>
      </c>
      <c r="AI75">
        <v>1007.3</v>
      </c>
      <c r="AJ75">
        <v>1500</v>
      </c>
      <c r="AL75">
        <v>1200</v>
      </c>
      <c r="AM75">
        <v>1000</v>
      </c>
      <c r="AO75">
        <v>550</v>
      </c>
      <c r="AT75">
        <v>1200</v>
      </c>
      <c r="AU75">
        <v>430</v>
      </c>
      <c r="AV75">
        <v>500</v>
      </c>
      <c r="AW75">
        <v>270</v>
      </c>
      <c r="AX75" t="s">
        <v>153</v>
      </c>
    </row>
    <row r="76" spans="1:50" x14ac:dyDescent="0.25">
      <c r="A76" t="str">
        <f>D1_ENERO_2025[[#This Row],[SUPER2]]</f>
        <v>JORDAN</v>
      </c>
      <c r="B76" t="s">
        <v>541</v>
      </c>
      <c r="C76">
        <f>VLOOKUP(D1_ENERO_2025[[#This Row],[SUPER]],DATA_ENERO_2025[[SUPERVISOR]:[META]],3,0)</f>
        <v>58000</v>
      </c>
      <c r="D76">
        <f>D1_ENERO_2025[[#This Row],[RECUPERO]]/C76</f>
        <v>3.4913793103448276E-2</v>
      </c>
      <c r="E76" t="s">
        <v>5</v>
      </c>
      <c r="F76" t="s">
        <v>541</v>
      </c>
      <c r="G76">
        <v>2025</v>
      </c>
      <c r="H76" t="s">
        <v>542</v>
      </c>
      <c r="I76" s="55">
        <v>45131</v>
      </c>
      <c r="J76" s="55" t="s">
        <v>501</v>
      </c>
      <c r="M76" s="1">
        <f>DATA_ENERO_2025[[#This Row],[RECUPERO]]/DATA_ENERO_2025[[#This Row],[META]]</f>
        <v>0.42004761904761906</v>
      </c>
      <c r="N76">
        <f>6-ROUNDUP(_xlfn.RANK.EQ(DATA_ENERO_2025[[#This Row],[AL_AC]],DATA_ENERO_2025[AL_AC],0)/(COUNTA(DATA_ENERO_2025[AL_AC])/5),0)</f>
        <v>2</v>
      </c>
      <c r="O76" t="s">
        <v>9</v>
      </c>
      <c r="P76">
        <f>SUM(DATA_ENERO_2025[[#This Row],[1]:[31]])</f>
        <v>8821</v>
      </c>
      <c r="Q76">
        <v>21000</v>
      </c>
      <c r="R76" t="s">
        <v>73</v>
      </c>
      <c r="T76">
        <v>250</v>
      </c>
      <c r="Z76">
        <v>200</v>
      </c>
      <c r="AE76">
        <v>220</v>
      </c>
      <c r="AF76">
        <v>200</v>
      </c>
      <c r="AG76">
        <v>150</v>
      </c>
      <c r="AH76">
        <v>1000</v>
      </c>
      <c r="AI76">
        <v>2301</v>
      </c>
      <c r="AL76">
        <v>850</v>
      </c>
      <c r="AO76">
        <v>500</v>
      </c>
      <c r="AP76">
        <v>400</v>
      </c>
      <c r="AS76">
        <v>1200</v>
      </c>
      <c r="AT76">
        <v>150</v>
      </c>
      <c r="AU76">
        <v>200</v>
      </c>
      <c r="AV76">
        <v>50</v>
      </c>
      <c r="AW76">
        <v>1150</v>
      </c>
      <c r="AX76" t="s">
        <v>153</v>
      </c>
    </row>
    <row r="77" spans="1:50" x14ac:dyDescent="0.25">
      <c r="M77" s="1">
        <f>DATA_ENERO_2025[[#This Row],[RECUPERO]]/DATA_ENERO_2025[[#This Row],[META]]</f>
        <v>0.74604761904761907</v>
      </c>
      <c r="N77">
        <f>6-ROUNDUP(_xlfn.RANK.EQ(DATA_ENERO_2025[[#This Row],[AL_AC]],DATA_ENERO_2025[AL_AC],0)/(COUNTA(DATA_ENERO_2025[AL_AC])/5),0)</f>
        <v>3</v>
      </c>
      <c r="O77" t="s">
        <v>6</v>
      </c>
      <c r="P77">
        <f>SUM(DATA_ENERO_2025[[#This Row],[1]:[31]])</f>
        <v>15667</v>
      </c>
      <c r="Q77">
        <v>21000</v>
      </c>
      <c r="R77" t="s">
        <v>34</v>
      </c>
      <c r="T77">
        <v>1000</v>
      </c>
      <c r="U77">
        <v>700</v>
      </c>
      <c r="X77">
        <v>2300</v>
      </c>
      <c r="Y77">
        <v>500</v>
      </c>
      <c r="Z77">
        <v>267</v>
      </c>
      <c r="AA77">
        <v>1000</v>
      </c>
      <c r="AG77">
        <v>250</v>
      </c>
      <c r="AL77">
        <v>900</v>
      </c>
      <c r="AO77">
        <v>1900</v>
      </c>
      <c r="AQ77">
        <v>1000</v>
      </c>
      <c r="AT77">
        <v>4700</v>
      </c>
      <c r="AV77">
        <v>350</v>
      </c>
      <c r="AW77">
        <v>800</v>
      </c>
      <c r="AX77" t="s">
        <v>152</v>
      </c>
    </row>
    <row r="78" spans="1:50" x14ac:dyDescent="0.25">
      <c r="M78" s="1">
        <f>DATA_ENERO_2025[[#This Row],[RECUPERO]]/DATA_ENERO_2025[[#This Row],[META]]</f>
        <v>0.57218965517241382</v>
      </c>
      <c r="N78">
        <f>6-ROUNDUP(_xlfn.RANK.EQ(DATA_ENERO_2025[[#This Row],[AL_AC]],DATA_ENERO_2025[AL_AC],0)/(COUNTA(DATA_ENERO_2025[AL_AC])/5),0)</f>
        <v>2</v>
      </c>
      <c r="O78" t="s">
        <v>3</v>
      </c>
      <c r="P78">
        <f>SUM(DATA_ENERO_2025[[#This Row],[1]:[31]])</f>
        <v>33187</v>
      </c>
      <c r="Q78">
        <v>58000</v>
      </c>
      <c r="R78" t="s">
        <v>30</v>
      </c>
      <c r="T78">
        <v>6100</v>
      </c>
      <c r="U78">
        <v>340</v>
      </c>
      <c r="V78">
        <v>570</v>
      </c>
      <c r="Y78">
        <v>1255</v>
      </c>
      <c r="AA78">
        <v>1100</v>
      </c>
      <c r="AB78">
        <v>600</v>
      </c>
      <c r="AG78">
        <v>3600</v>
      </c>
      <c r="AM78">
        <v>5000</v>
      </c>
      <c r="AO78">
        <v>1375</v>
      </c>
      <c r="AP78">
        <v>700</v>
      </c>
      <c r="AS78">
        <v>6300</v>
      </c>
      <c r="AT78">
        <v>2437</v>
      </c>
      <c r="AW78">
        <v>3810</v>
      </c>
      <c r="AX78" t="s">
        <v>150</v>
      </c>
    </row>
    <row r="79" spans="1:50" x14ac:dyDescent="0.25">
      <c r="M79" s="1">
        <f>DATA_ENERO_2025[[#This Row],[RECUPERO]]/DATA_ENERO_2025[[#This Row],[META]]</f>
        <v>0.36845454545454548</v>
      </c>
      <c r="N79">
        <f>6-ROUNDUP(_xlfn.RANK.EQ(DATA_ENERO_2025[[#This Row],[AL_AC]],DATA_ENERO_2025[AL_AC],0)/(COUNTA(DATA_ENERO_2025[AL_AC])/5),0)</f>
        <v>2</v>
      </c>
      <c r="O79" t="s">
        <v>2</v>
      </c>
      <c r="P79">
        <f>SUM(DATA_ENERO_2025[[#This Row],[1]:[31]])</f>
        <v>8106</v>
      </c>
      <c r="Q79">
        <v>22000</v>
      </c>
      <c r="R79" t="s">
        <v>78</v>
      </c>
      <c r="X79">
        <v>1700</v>
      </c>
      <c r="Z79">
        <v>250</v>
      </c>
      <c r="AA79">
        <v>200</v>
      </c>
      <c r="AB79">
        <v>530</v>
      </c>
      <c r="AF79">
        <v>750</v>
      </c>
      <c r="AG79">
        <v>626</v>
      </c>
      <c r="AL79">
        <v>200</v>
      </c>
      <c r="AS79">
        <v>615</v>
      </c>
      <c r="AV79">
        <v>1615</v>
      </c>
      <c r="AW79">
        <v>1620</v>
      </c>
      <c r="AX79" t="s">
        <v>151</v>
      </c>
    </row>
    <row r="80" spans="1:50" x14ac:dyDescent="0.25">
      <c r="M80" s="1">
        <f>DATA_ENERO_2025[[#This Row],[RECUPERO]]/DATA_ENERO_2025[[#This Row],[META]]</f>
        <v>0.44082380952380951</v>
      </c>
      <c r="N80">
        <f>6-ROUNDUP(_xlfn.RANK.EQ(DATA_ENERO_2025[[#This Row],[AL_AC]],DATA_ENERO_2025[AL_AC],0)/(COUNTA(DATA_ENERO_2025[AL_AC])/5),0)</f>
        <v>2</v>
      </c>
      <c r="O80" t="s">
        <v>9</v>
      </c>
      <c r="P80">
        <f>SUM(DATA_ENERO_2025[[#This Row],[1]:[31]])</f>
        <v>9257.2999999999993</v>
      </c>
      <c r="Q80">
        <v>21000</v>
      </c>
      <c r="R80" t="s">
        <v>48</v>
      </c>
      <c r="T80">
        <v>200</v>
      </c>
      <c r="X80">
        <v>300</v>
      </c>
      <c r="Z80">
        <v>3000</v>
      </c>
      <c r="AB80">
        <v>3200</v>
      </c>
      <c r="AI80">
        <v>200</v>
      </c>
      <c r="AJ80">
        <v>150</v>
      </c>
      <c r="AL80">
        <v>657.3</v>
      </c>
      <c r="AO80">
        <v>1000</v>
      </c>
      <c r="AV80">
        <v>200</v>
      </c>
      <c r="AW80">
        <v>350</v>
      </c>
      <c r="AX80" t="s">
        <v>153</v>
      </c>
    </row>
    <row r="81" spans="13:50" x14ac:dyDescent="0.25">
      <c r="M81" s="1">
        <f>DATA_ENERO_2025[[#This Row],[RECUPERO]]/DATA_ENERO_2025[[#This Row],[META]]</f>
        <v>0.58684482758620693</v>
      </c>
      <c r="N81">
        <f>6-ROUNDUP(_xlfn.RANK.EQ(DATA_ENERO_2025[[#This Row],[AL_AC]],DATA_ENERO_2025[AL_AC],0)/(COUNTA(DATA_ENERO_2025[AL_AC])/5),0)</f>
        <v>3</v>
      </c>
      <c r="O81" t="s">
        <v>3</v>
      </c>
      <c r="P81">
        <f>SUM(DATA_ENERO_2025[[#This Row],[1]:[31]])</f>
        <v>34037</v>
      </c>
      <c r="Q81">
        <v>58000</v>
      </c>
      <c r="R81" t="s">
        <v>10</v>
      </c>
      <c r="U81">
        <v>1221</v>
      </c>
      <c r="V81">
        <v>675</v>
      </c>
      <c r="X81">
        <v>1262</v>
      </c>
      <c r="Y81">
        <v>4350</v>
      </c>
      <c r="AA81">
        <v>4790</v>
      </c>
      <c r="AG81">
        <v>210</v>
      </c>
      <c r="AI81">
        <v>324</v>
      </c>
      <c r="AO81">
        <v>600</v>
      </c>
      <c r="AP81">
        <v>3200</v>
      </c>
      <c r="AQ81">
        <v>5870</v>
      </c>
      <c r="AS81">
        <v>4150</v>
      </c>
      <c r="AT81">
        <v>485</v>
      </c>
      <c r="AV81">
        <v>4000</v>
      </c>
      <c r="AW81">
        <v>2900</v>
      </c>
      <c r="AX81" t="s">
        <v>150</v>
      </c>
    </row>
    <row r="82" spans="13:50" x14ac:dyDescent="0.25">
      <c r="M82" s="1">
        <f>DATA_ENERO_2025[[#This Row],[RECUPERO]]/DATA_ENERO_2025[[#This Row],[META]]</f>
        <v>0</v>
      </c>
      <c r="N82">
        <f>6-ROUNDUP(_xlfn.RANK.EQ(DATA_ENERO_2025[[#This Row],[AL_AC]],DATA_ENERO_2025[AL_AC],0)/(COUNTA(DATA_ENERO_2025[AL_AC])/5),0)</f>
        <v>1</v>
      </c>
      <c r="O82" t="s">
        <v>6</v>
      </c>
      <c r="P82">
        <f>SUM(DATA_ENERO_2025[[#This Row],[1]:[31]])</f>
        <v>0</v>
      </c>
      <c r="Q82">
        <v>21000</v>
      </c>
      <c r="R82" t="s">
        <v>76</v>
      </c>
      <c r="AX82" t="s">
        <v>152</v>
      </c>
    </row>
  </sheetData>
  <phoneticPr fontId="2" type="noConversion"/>
  <pageMargins left="0.7" right="0.7" top="0.75" bottom="0.75" header="0.3" footer="0.3"/>
  <tableParts count="4">
    <tablePart r:id="rId1"/>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1F067-5D57-4517-A902-3CBF7ADCC840}">
  <dimension ref="A1:CO78"/>
  <sheetViews>
    <sheetView zoomScale="70" zoomScaleNormal="70"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12" customWidth="1"/>
    <col min="7" max="7" width="10.28515625" customWidth="1"/>
    <col min="8" max="12" width="11.42578125" customWidth="1"/>
    <col min="13" max="13" width="10" customWidth="1"/>
    <col min="14" max="14" width="16.42578125" bestFit="1" customWidth="1"/>
    <col min="15" max="15" width="22.7109375" customWidth="1"/>
    <col min="16" max="16" width="11.42578125" customWidth="1"/>
    <col min="18" max="18" width="27.28515625" bestFit="1" customWidth="1"/>
    <col min="19" max="19" width="6" bestFit="1" customWidth="1"/>
    <col min="20" max="27" width="6.42578125" bestFit="1" customWidth="1"/>
    <col min="28" max="28" width="7.42578125" bestFit="1" customWidth="1"/>
    <col min="29" max="29" width="7.140625" bestFit="1" customWidth="1"/>
    <col min="30" max="37" width="7.42578125" bestFit="1" customWidth="1"/>
    <col min="38" max="38" width="7.85546875" bestFit="1" customWidth="1"/>
    <col min="39" max="39" width="7.42578125" bestFit="1" customWidth="1"/>
    <col min="40" max="48" width="7.85546875" bestFit="1" customWidth="1"/>
    <col min="49" max="49" width="7.42578125" bestFit="1" customWidth="1"/>
    <col min="89" max="89" width="17.7109375" bestFit="1" customWidth="1"/>
    <col min="90" max="90" width="12" bestFit="1" customWidth="1"/>
    <col min="91" max="91" width="10.7109375" bestFit="1" customWidth="1"/>
    <col min="92" max="92" width="11" bestFit="1" customWidth="1"/>
    <col min="93" max="93" width="10.7109375"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t="str">
        <f>D1_FEBRERO_2025[[#This Row],[SUPER2]]</f>
        <v>SANDY</v>
      </c>
      <c r="B3" t="s">
        <v>58</v>
      </c>
      <c r="C3">
        <f>VLOOKUP(D1_FEBRERO_2025[[#This Row],[SUPER]],DATA_FEBRERO_2025[[SUPERVISOR]:[META]],3,0)</f>
        <v>58000</v>
      </c>
      <c r="D3">
        <f>D1_FEBRERO_2025[[#This Row],[RECUPERO]]/C3</f>
        <v>0.56788793103448276</v>
      </c>
      <c r="E3" t="s">
        <v>3</v>
      </c>
      <c r="F3" t="s">
        <v>58</v>
      </c>
      <c r="G3">
        <v>32937.5</v>
      </c>
      <c r="H3" t="s">
        <v>441</v>
      </c>
      <c r="I3" s="55">
        <v>43035</v>
      </c>
      <c r="J3" t="s">
        <v>501</v>
      </c>
      <c r="L3" s="55"/>
      <c r="M3" s="33">
        <v>2025</v>
      </c>
      <c r="N3" s="33" t="s">
        <v>140</v>
      </c>
      <c r="O3" s="33">
        <v>20</v>
      </c>
    </row>
    <row r="4" spans="1:93" x14ac:dyDescent="0.25">
      <c r="A4" t="str">
        <f>D1_FEBRERO_2025[[#This Row],[SUPER2]]</f>
        <v>SANDY</v>
      </c>
      <c r="B4" t="s">
        <v>72</v>
      </c>
      <c r="C4">
        <f>VLOOKUP(D1_FEBRERO_2025[[#This Row],[SUPER]],DATA_FEBRERO_2025[[SUPERVISOR]:[META]],3,0)</f>
        <v>58000</v>
      </c>
      <c r="D4">
        <f>D1_FEBRERO_2025[[#This Row],[RECUPERO]]/C4</f>
        <v>0.63732758620689656</v>
      </c>
      <c r="E4" t="s">
        <v>3</v>
      </c>
      <c r="F4" t="s">
        <v>72</v>
      </c>
      <c r="G4">
        <v>36965</v>
      </c>
      <c r="H4" t="s">
        <v>450</v>
      </c>
      <c r="I4" s="55">
        <v>45084</v>
      </c>
      <c r="J4" t="s">
        <v>501</v>
      </c>
      <c r="L4" s="55"/>
    </row>
    <row r="5" spans="1:93" x14ac:dyDescent="0.25">
      <c r="A5" t="str">
        <f>D1_FEBRERO_2025[[#This Row],[SUPER2]]</f>
        <v>SANDY</v>
      </c>
      <c r="B5" t="s">
        <v>22</v>
      </c>
      <c r="C5">
        <f>VLOOKUP(D1_FEBRERO_2025[[#This Row],[SUPER]],DATA_FEBRERO_2025[[SUPERVISOR]:[META]],3,0)</f>
        <v>58000</v>
      </c>
      <c r="D5">
        <f>D1_FEBRERO_2025[[#This Row],[RECUPERO]]/C5</f>
        <v>1.2610482758620689</v>
      </c>
      <c r="E5" t="s">
        <v>3</v>
      </c>
      <c r="F5" t="s">
        <v>22</v>
      </c>
      <c r="G5">
        <v>73140.800000000003</v>
      </c>
      <c r="H5" t="s">
        <v>442</v>
      </c>
      <c r="I5" s="55">
        <v>45299</v>
      </c>
      <c r="J5" t="s">
        <v>501</v>
      </c>
      <c r="L5" s="55"/>
    </row>
    <row r="6" spans="1:93" x14ac:dyDescent="0.25">
      <c r="A6" t="str">
        <f>D1_FEBRERO_2025[[#This Row],[SUPER2]]</f>
        <v>SANDY</v>
      </c>
      <c r="B6" t="s">
        <v>57</v>
      </c>
      <c r="C6">
        <f>VLOOKUP(D1_FEBRERO_2025[[#This Row],[SUPER]],DATA_FEBRERO_2025[[SUPERVISOR]:[META]],3,0)</f>
        <v>58000</v>
      </c>
      <c r="D6">
        <f>D1_FEBRERO_2025[[#This Row],[RECUPERO]]/C6</f>
        <v>0.85294827586206901</v>
      </c>
      <c r="E6" t="s">
        <v>3</v>
      </c>
      <c r="F6" t="s">
        <v>57</v>
      </c>
      <c r="G6">
        <v>49471</v>
      </c>
      <c r="H6" t="s">
        <v>443</v>
      </c>
      <c r="I6" s="55">
        <v>45590</v>
      </c>
      <c r="J6" t="s">
        <v>501</v>
      </c>
      <c r="L6" s="55"/>
    </row>
    <row r="7" spans="1:93" x14ac:dyDescent="0.25">
      <c r="A7" t="str">
        <f>D1_FEBRERO_2025[[#This Row],[SUPER2]]</f>
        <v>SANDY</v>
      </c>
      <c r="B7" t="s">
        <v>23</v>
      </c>
      <c r="C7">
        <f>VLOOKUP(D1_FEBRERO_2025[[#This Row],[SUPER]],DATA_FEBRERO_2025[[SUPERVISOR]:[META]],3,0)</f>
        <v>58000</v>
      </c>
      <c r="D7">
        <f>D1_FEBRERO_2025[[#This Row],[RECUPERO]]/C7</f>
        <v>1.9456465517241379</v>
      </c>
      <c r="E7" t="s">
        <v>3</v>
      </c>
      <c r="F7" t="s">
        <v>23</v>
      </c>
      <c r="G7">
        <v>112847.5</v>
      </c>
      <c r="H7" t="s">
        <v>445</v>
      </c>
      <c r="I7" s="55">
        <v>44111</v>
      </c>
      <c r="J7" t="s">
        <v>501</v>
      </c>
      <c r="L7" s="55"/>
      <c r="CK7" t="s">
        <v>626</v>
      </c>
      <c r="CL7" t="s">
        <v>149</v>
      </c>
      <c r="CM7" t="s">
        <v>176</v>
      </c>
      <c r="CN7" t="s">
        <v>139</v>
      </c>
      <c r="CO7" t="s">
        <v>140</v>
      </c>
    </row>
    <row r="8" spans="1:93" x14ac:dyDescent="0.25">
      <c r="A8" t="str">
        <f>D1_FEBRERO_2025[[#This Row],[SUPER2]]</f>
        <v>SANDY</v>
      </c>
      <c r="B8" t="s">
        <v>63</v>
      </c>
      <c r="C8">
        <f>VLOOKUP(D1_FEBRERO_2025[[#This Row],[SUPER]],DATA_FEBRERO_2025[[SUPERVISOR]:[META]],3,0)</f>
        <v>58000</v>
      </c>
      <c r="D8">
        <f>D1_FEBRERO_2025[[#This Row],[RECUPERO]]/C8</f>
        <v>0.62852931034482751</v>
      </c>
      <c r="E8" t="s">
        <v>3</v>
      </c>
      <c r="F8" t="s">
        <v>63</v>
      </c>
      <c r="G8">
        <v>36454.699999999997</v>
      </c>
      <c r="H8" t="s">
        <v>447</v>
      </c>
      <c r="I8" s="55">
        <v>45316</v>
      </c>
      <c r="J8" t="s">
        <v>501</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tr">
        <f>D1_FEBRERO_2025[[#This Row],[SUPER2]]</f>
        <v>SANDY</v>
      </c>
      <c r="B9" t="s">
        <v>30</v>
      </c>
      <c r="C9">
        <f>VLOOKUP(D1_FEBRERO_2025[[#This Row],[SUPER]],DATA_FEBRERO_2025[[SUPERVISOR]:[META]],3,0)</f>
        <v>58000</v>
      </c>
      <c r="D9">
        <f>D1_FEBRERO_2025[[#This Row],[RECUPERO]]/C9</f>
        <v>0.52382758620689651</v>
      </c>
      <c r="E9" t="s">
        <v>3</v>
      </c>
      <c r="F9" t="s">
        <v>30</v>
      </c>
      <c r="G9">
        <v>30382</v>
      </c>
      <c r="H9" t="s">
        <v>448</v>
      </c>
      <c r="I9" s="55">
        <v>45399</v>
      </c>
      <c r="J9" t="s">
        <v>501</v>
      </c>
      <c r="L9" s="55"/>
      <c r="M9" s="1">
        <f>DATA_FEBRERO_2025[[#This Row],[RECUPERO]]/DATA_FEBRERO_2025[[#This Row],[META]]</f>
        <v>1.1286060606060606</v>
      </c>
      <c r="N9">
        <f>6-ROUNDUP(_xlfn.RANK.EQ(DATA_FEBRERO_2025[[#This Row],[AL_AC]],DATA_FEBRERO_2025[AL_AC],0)/(COUNTA(DATA_FEBRERO_2025[AL_AC])/5),0)</f>
        <v>5</v>
      </c>
      <c r="O9" t="s">
        <v>115</v>
      </c>
      <c r="P9">
        <f>SUM(DATA_FEBRERO_2025[[#This Row],[1]:[31]])</f>
        <v>18622</v>
      </c>
      <c r="Q9">
        <v>16500</v>
      </c>
      <c r="R9" t="s">
        <v>18</v>
      </c>
      <c r="U9">
        <v>600</v>
      </c>
      <c r="V9">
        <v>733</v>
      </c>
      <c r="W9">
        <v>1336</v>
      </c>
      <c r="AB9">
        <v>1038</v>
      </c>
      <c r="AD9">
        <v>2100</v>
      </c>
      <c r="AE9">
        <v>702</v>
      </c>
      <c r="AF9">
        <v>435</v>
      </c>
      <c r="AI9">
        <v>264</v>
      </c>
      <c r="AJ9">
        <v>3327</v>
      </c>
      <c r="AK9">
        <v>1507</v>
      </c>
      <c r="AL9">
        <v>400</v>
      </c>
      <c r="AN9">
        <v>380</v>
      </c>
      <c r="AP9">
        <v>500</v>
      </c>
      <c r="AS9">
        <v>3800</v>
      </c>
      <c r="AT9">
        <v>1500</v>
      </c>
      <c r="AX9" t="s">
        <v>154</v>
      </c>
      <c r="AZ9">
        <v>499600</v>
      </c>
      <c r="BA9" s="11">
        <f>MAX(DITE_FEBRERO_2025[[#This Row],[1]:[31]])</f>
        <v>389069.42</v>
      </c>
      <c r="BB9" s="17">
        <f>DITE_FEBRERO_2025[[#This Row],[RECUPERO SUPERVISOR]]/DITE_FEBRERO_2025[[#This Row],[META SUPER]]</f>
        <v>0.7787618494795836</v>
      </c>
      <c r="BC9" t="s">
        <v>5</v>
      </c>
      <c r="BD9">
        <v>1090</v>
      </c>
      <c r="BE9">
        <v>2490</v>
      </c>
      <c r="BF9">
        <v>19461</v>
      </c>
      <c r="BG9">
        <v>26790</v>
      </c>
      <c r="BH9">
        <v>48721</v>
      </c>
      <c r="BI9">
        <v>59361</v>
      </c>
      <c r="BJ9">
        <v>61961</v>
      </c>
      <c r="BK9">
        <v>63961</v>
      </c>
      <c r="BL9">
        <v>63961</v>
      </c>
      <c r="BM9">
        <v>84401</v>
      </c>
      <c r="BN9">
        <v>91401</v>
      </c>
      <c r="BO9">
        <v>101016.5</v>
      </c>
      <c r="BP9">
        <v>131978.5</v>
      </c>
      <c r="BQ9">
        <v>148290.5</v>
      </c>
      <c r="BR9">
        <v>150180.5</v>
      </c>
      <c r="BS9">
        <v>150180.5</v>
      </c>
      <c r="BT9">
        <v>161917.5</v>
      </c>
      <c r="BU9">
        <v>174107.5</v>
      </c>
      <c r="BV9">
        <v>206605.5</v>
      </c>
      <c r="BW9">
        <v>221005.5</v>
      </c>
      <c r="BX9">
        <v>230245.5</v>
      </c>
      <c r="BY9">
        <v>234007.5</v>
      </c>
      <c r="BZ9">
        <v>234007.5</v>
      </c>
      <c r="CA9">
        <v>244197.5</v>
      </c>
      <c r="CB9">
        <v>279242.89</v>
      </c>
      <c r="CC9">
        <v>318542.89</v>
      </c>
      <c r="CD9">
        <v>339960.32000000001</v>
      </c>
      <c r="CE9">
        <v>389069.42</v>
      </c>
      <c r="CF9">
        <v>389069.42</v>
      </c>
      <c r="CG9">
        <v>389069.42</v>
      </c>
      <c r="CH9">
        <v>389069.42</v>
      </c>
      <c r="CI9" s="11" t="s">
        <v>150</v>
      </c>
      <c r="CK9" t="s">
        <v>5</v>
      </c>
      <c r="CL9" t="s">
        <v>5</v>
      </c>
      <c r="CM9" t="s">
        <v>5</v>
      </c>
      <c r="CN9" t="s">
        <v>5</v>
      </c>
      <c r="CO9" t="s">
        <v>5</v>
      </c>
    </row>
    <row r="10" spans="1:93" x14ac:dyDescent="0.25">
      <c r="A10" t="str">
        <f>D1_FEBRERO_2025[[#This Row],[SUPER2]]</f>
        <v>SANDY</v>
      </c>
      <c r="B10" t="s">
        <v>10</v>
      </c>
      <c r="C10">
        <f>VLOOKUP(D1_FEBRERO_2025[[#This Row],[SUPER]],DATA_FEBRERO_2025[[SUPERVISOR]:[META]],3,0)</f>
        <v>58000</v>
      </c>
      <c r="D10">
        <f>D1_FEBRERO_2025[[#This Row],[RECUPERO]]/C10</f>
        <v>0.60139655172413797</v>
      </c>
      <c r="E10" t="s">
        <v>3</v>
      </c>
      <c r="F10" t="s">
        <v>10</v>
      </c>
      <c r="G10">
        <v>34881</v>
      </c>
      <c r="H10" t="s">
        <v>449</v>
      </c>
      <c r="I10" s="55">
        <v>44706</v>
      </c>
      <c r="J10" t="s">
        <v>501</v>
      </c>
      <c r="L10" s="55"/>
      <c r="M10" s="1">
        <f>DATA_FEBRERO_2025[[#This Row],[RECUPERO]]/DATA_FEBRERO_2025[[#This Row],[META]]</f>
        <v>0.68619047619047624</v>
      </c>
      <c r="N10">
        <f>6-ROUNDUP(_xlfn.RANK.EQ(DATA_FEBRERO_2025[[#This Row],[AL_AC]],DATA_FEBRERO_2025[AL_AC],0)/(COUNTA(DATA_FEBRERO_2025[AL_AC])/5),0)</f>
        <v>4</v>
      </c>
      <c r="O10" t="s">
        <v>9</v>
      </c>
      <c r="P10">
        <f>SUM(DATA_FEBRERO_2025[[#This Row],[1]:[31]])</f>
        <v>14410</v>
      </c>
      <c r="Q10">
        <v>21000</v>
      </c>
      <c r="R10" t="s">
        <v>21</v>
      </c>
      <c r="U10">
        <v>740</v>
      </c>
      <c r="AD10">
        <v>100</v>
      </c>
      <c r="AG10">
        <v>400</v>
      </c>
      <c r="AK10">
        <v>1400</v>
      </c>
      <c r="AL10">
        <v>400</v>
      </c>
      <c r="AM10">
        <v>1000</v>
      </c>
      <c r="AP10">
        <v>300</v>
      </c>
      <c r="AQ10">
        <v>540</v>
      </c>
      <c r="AR10">
        <v>200</v>
      </c>
      <c r="AS10">
        <v>6130</v>
      </c>
      <c r="AT10">
        <v>3200</v>
      </c>
      <c r="AX10" t="s">
        <v>153</v>
      </c>
      <c r="AZ10">
        <v>174200</v>
      </c>
      <c r="BA10" s="11">
        <f>MAX(DITE_FEBRERO_2025[[#This Row],[1]:[31]])</f>
        <v>152761.60000000001</v>
      </c>
      <c r="BB10" s="17">
        <f>DITE_FEBRERO_2025[[#This Row],[RECUPERO SUPERVISOR]]/DITE_FEBRERO_2025[[#This Row],[META SUPER]]</f>
        <v>0.8769322617680827</v>
      </c>
      <c r="BC10" t="s">
        <v>2</v>
      </c>
      <c r="BD10">
        <v>726</v>
      </c>
      <c r="BE10">
        <v>1076</v>
      </c>
      <c r="BF10">
        <v>2886</v>
      </c>
      <c r="BG10">
        <v>6275</v>
      </c>
      <c r="BH10">
        <v>10501</v>
      </c>
      <c r="BI10">
        <v>18388</v>
      </c>
      <c r="BJ10">
        <v>29078</v>
      </c>
      <c r="BK10">
        <v>29619</v>
      </c>
      <c r="BL10">
        <v>29619</v>
      </c>
      <c r="BM10">
        <v>39939</v>
      </c>
      <c r="BN10">
        <v>55438</v>
      </c>
      <c r="BO10">
        <v>56538</v>
      </c>
      <c r="BP10">
        <v>60604.800000000003</v>
      </c>
      <c r="BQ10">
        <v>75908.800000000003</v>
      </c>
      <c r="BR10">
        <v>76208.800000000003</v>
      </c>
      <c r="BS10">
        <v>76208.800000000003</v>
      </c>
      <c r="BT10">
        <v>82613</v>
      </c>
      <c r="BU10">
        <v>84366.8</v>
      </c>
      <c r="BV10">
        <v>85986.8</v>
      </c>
      <c r="BW10">
        <v>90780.800000000003</v>
      </c>
      <c r="BX10">
        <v>101917</v>
      </c>
      <c r="BY10">
        <v>104087</v>
      </c>
      <c r="BZ10">
        <v>104087</v>
      </c>
      <c r="CA10">
        <v>108723.6</v>
      </c>
      <c r="CB10">
        <v>114790.6</v>
      </c>
      <c r="CC10">
        <v>121215.6</v>
      </c>
      <c r="CD10">
        <v>130239.6</v>
      </c>
      <c r="CE10">
        <v>152761.60000000001</v>
      </c>
      <c r="CF10">
        <v>152761.60000000001</v>
      </c>
      <c r="CG10">
        <v>152761.60000000001</v>
      </c>
      <c r="CH10">
        <v>152761.60000000001</v>
      </c>
      <c r="CI10" s="11" t="s">
        <v>151</v>
      </c>
      <c r="CK10" t="s">
        <v>2</v>
      </c>
      <c r="CL10" t="s">
        <v>2</v>
      </c>
      <c r="CM10" t="s">
        <v>2</v>
      </c>
      <c r="CN10" t="s">
        <v>2</v>
      </c>
      <c r="CO10" t="s">
        <v>2</v>
      </c>
    </row>
    <row r="11" spans="1:93" x14ac:dyDescent="0.25">
      <c r="A11" t="str">
        <f>D1_FEBRERO_2025[[#This Row],[SUPER2]]</f>
        <v>SANDY</v>
      </c>
      <c r="B11" t="s">
        <v>76</v>
      </c>
      <c r="C11">
        <f>VLOOKUP(D1_FEBRERO_2025[[#This Row],[SUPER]],DATA_FEBRERO_2025[[SUPERVISOR]:[META]],3,0)</f>
        <v>58000</v>
      </c>
      <c r="D11">
        <f>D1_FEBRERO_2025[[#This Row],[RECUPERO]]/C11</f>
        <v>1.1860344827586207</v>
      </c>
      <c r="E11" t="s">
        <v>3</v>
      </c>
      <c r="F11" t="s">
        <v>76</v>
      </c>
      <c r="G11">
        <v>68790</v>
      </c>
      <c r="H11" t="s">
        <v>408</v>
      </c>
      <c r="I11" s="55">
        <v>44819</v>
      </c>
      <c r="J11" t="s">
        <v>501</v>
      </c>
      <c r="L11" s="55"/>
      <c r="M11" s="1">
        <f>DATA_FEBRERO_2025[[#This Row],[RECUPERO]]/DATA_FEBRERO_2025[[#This Row],[META]]</f>
        <v>0.56788793103448276</v>
      </c>
      <c r="N11">
        <f>6-ROUNDUP(_xlfn.RANK.EQ(DATA_FEBRERO_2025[[#This Row],[AL_AC]],DATA_FEBRERO_2025[AL_AC],0)/(COUNTA(DATA_FEBRERO_2025[AL_AC])/5),0)</f>
        <v>3</v>
      </c>
      <c r="O11" t="s">
        <v>3</v>
      </c>
      <c r="P11">
        <f>SUM(DATA_FEBRERO_2025[[#This Row],[1]:[31]])</f>
        <v>32937.5</v>
      </c>
      <c r="Q11">
        <v>58000</v>
      </c>
      <c r="R11" t="s">
        <v>58</v>
      </c>
      <c r="V11">
        <v>250</v>
      </c>
      <c r="W11">
        <v>3500</v>
      </c>
      <c r="AB11">
        <v>700</v>
      </c>
      <c r="AC11">
        <v>7015.25</v>
      </c>
      <c r="AE11">
        <v>1015.25</v>
      </c>
      <c r="AF11">
        <v>700</v>
      </c>
      <c r="AJ11">
        <v>240</v>
      </c>
      <c r="AL11">
        <v>637</v>
      </c>
      <c r="AM11">
        <v>5000</v>
      </c>
      <c r="AN11">
        <v>1500</v>
      </c>
      <c r="AP11">
        <v>4600</v>
      </c>
      <c r="AQ11">
        <v>5000</v>
      </c>
      <c r="AR11">
        <v>2000</v>
      </c>
      <c r="AT11">
        <v>780</v>
      </c>
      <c r="AX11" t="s">
        <v>150</v>
      </c>
      <c r="AZ11">
        <v>209900</v>
      </c>
      <c r="BA11" s="11">
        <f>MAX(DITE_FEBRERO_2025[[#This Row],[1]:[31]])</f>
        <v>154755.32</v>
      </c>
      <c r="BB11" s="17">
        <f>DITE_FEBRERO_2025[[#This Row],[RECUPERO SUPERVISOR]]/DITE_FEBRERO_2025[[#This Row],[META SUPER]]</f>
        <v>0.73728118151500721</v>
      </c>
      <c r="BC11" t="s">
        <v>6</v>
      </c>
      <c r="BD11">
        <v>700</v>
      </c>
      <c r="BE11">
        <v>700</v>
      </c>
      <c r="BF11">
        <v>8400</v>
      </c>
      <c r="BG11">
        <v>10400</v>
      </c>
      <c r="BH11">
        <v>14000</v>
      </c>
      <c r="BI11">
        <v>18811</v>
      </c>
      <c r="BJ11">
        <v>21908</v>
      </c>
      <c r="BK11">
        <v>22229</v>
      </c>
      <c r="BL11">
        <v>22229</v>
      </c>
      <c r="BM11">
        <v>30229</v>
      </c>
      <c r="BN11">
        <v>32079</v>
      </c>
      <c r="BO11">
        <v>36341.5</v>
      </c>
      <c r="BP11">
        <v>38971.5</v>
      </c>
      <c r="BQ11">
        <v>46661.5</v>
      </c>
      <c r="BR11">
        <v>48761.5</v>
      </c>
      <c r="BS11">
        <v>48761.5</v>
      </c>
      <c r="BT11">
        <v>57611.5</v>
      </c>
      <c r="BU11">
        <v>68841.5</v>
      </c>
      <c r="BV11">
        <v>81741.5</v>
      </c>
      <c r="BW11">
        <v>100241.5</v>
      </c>
      <c r="BX11">
        <v>104441.5</v>
      </c>
      <c r="BY11">
        <v>109385.32</v>
      </c>
      <c r="BZ11">
        <v>109385.32</v>
      </c>
      <c r="CA11">
        <v>110425.32</v>
      </c>
      <c r="CB11">
        <v>114025.32</v>
      </c>
      <c r="CC11">
        <v>132025.32</v>
      </c>
      <c r="CD11">
        <v>147905.32</v>
      </c>
      <c r="CE11">
        <v>154755.32</v>
      </c>
      <c r="CF11">
        <v>154755.32</v>
      </c>
      <c r="CG11">
        <v>154755.32</v>
      </c>
      <c r="CH11">
        <v>154755.32</v>
      </c>
      <c r="CI11" s="11" t="s">
        <v>152</v>
      </c>
      <c r="CK11" t="s">
        <v>6</v>
      </c>
      <c r="CL11" t="s">
        <v>6</v>
      </c>
      <c r="CM11" t="s">
        <v>6</v>
      </c>
      <c r="CN11" t="s">
        <v>6</v>
      </c>
      <c r="CO11" t="s">
        <v>6</v>
      </c>
    </row>
    <row r="12" spans="1:93" x14ac:dyDescent="0.25">
      <c r="A12" t="str">
        <f>D1_FEBRERO_2025[[#This Row],[SUPER2]]</f>
        <v>MELINA</v>
      </c>
      <c r="B12" t="s">
        <v>109</v>
      </c>
      <c r="C12">
        <f>VLOOKUP(D1_FEBRERO_2025[[#This Row],[SUPER]],DATA_FEBRERO_2025[[SUPERVISOR]:[META]],3,0)</f>
        <v>58000</v>
      </c>
      <c r="D12">
        <f>D1_FEBRERO_2025[[#This Row],[RECUPERO]]/C12</f>
        <v>0.3851551724137931</v>
      </c>
      <c r="E12" t="s">
        <v>4</v>
      </c>
      <c r="F12" t="s">
        <v>109</v>
      </c>
      <c r="G12">
        <v>22339</v>
      </c>
      <c r="H12" t="s">
        <v>422</v>
      </c>
      <c r="I12" s="55">
        <v>45334</v>
      </c>
      <c r="J12" t="s">
        <v>501</v>
      </c>
      <c r="L12" s="55"/>
      <c r="M12" s="1">
        <f>DATA_FEBRERO_2025[[#This Row],[RECUPERO]]/DATA_FEBRERO_2025[[#This Row],[META]]</f>
        <v>0.3851551724137931</v>
      </c>
      <c r="N12">
        <f>6-ROUNDUP(_xlfn.RANK.EQ(DATA_FEBRERO_2025[[#This Row],[AL_AC]],DATA_FEBRERO_2025[AL_AC],0)/(COUNTA(DATA_FEBRERO_2025[AL_AC])/5),0)</f>
        <v>2</v>
      </c>
      <c r="O12" t="s">
        <v>4</v>
      </c>
      <c r="P12">
        <f>SUM(DATA_FEBRERO_2025[[#This Row],[1]:[31]])</f>
        <v>22339</v>
      </c>
      <c r="Q12">
        <v>58000</v>
      </c>
      <c r="R12" t="s">
        <v>109</v>
      </c>
      <c r="AD12">
        <v>8500</v>
      </c>
      <c r="AI12">
        <v>274</v>
      </c>
      <c r="AK12">
        <v>1300</v>
      </c>
      <c r="AM12">
        <v>400</v>
      </c>
      <c r="AN12">
        <v>1000</v>
      </c>
      <c r="AP12">
        <v>665</v>
      </c>
      <c r="AR12">
        <v>6000</v>
      </c>
      <c r="AT12">
        <v>4200</v>
      </c>
      <c r="AX12" t="s">
        <v>150</v>
      </c>
      <c r="AZ12">
        <v>200500</v>
      </c>
      <c r="BA12" s="11">
        <f>MAX(DITE_FEBRERO_2025[[#This Row],[1]:[31]])</f>
        <v>135252.25</v>
      </c>
      <c r="BB12" s="17">
        <f>DITE_FEBRERO_2025[[#This Row],[RECUPERO SUPERVISOR]]/DITE_FEBRERO_2025[[#This Row],[META SUPER]]</f>
        <v>0.67457481296758104</v>
      </c>
      <c r="BC12" t="s">
        <v>9</v>
      </c>
      <c r="BD12">
        <v>400</v>
      </c>
      <c r="BE12">
        <v>400</v>
      </c>
      <c r="BF12">
        <v>2540</v>
      </c>
      <c r="BG12">
        <v>4240</v>
      </c>
      <c r="BH12">
        <v>5808</v>
      </c>
      <c r="BI12">
        <v>21432</v>
      </c>
      <c r="BJ12">
        <v>25812</v>
      </c>
      <c r="BK12">
        <v>27228</v>
      </c>
      <c r="BL12">
        <v>27428</v>
      </c>
      <c r="BM12">
        <v>29928</v>
      </c>
      <c r="BN12">
        <v>31678</v>
      </c>
      <c r="BO12">
        <v>36072</v>
      </c>
      <c r="BP12">
        <v>48872.05</v>
      </c>
      <c r="BQ12">
        <v>61123.05</v>
      </c>
      <c r="BR12">
        <v>61523.05</v>
      </c>
      <c r="BS12">
        <v>61523.05</v>
      </c>
      <c r="BT12">
        <v>68257.05</v>
      </c>
      <c r="BU12">
        <v>71588.05</v>
      </c>
      <c r="BV12">
        <v>79570.05</v>
      </c>
      <c r="BW12">
        <v>87070.05</v>
      </c>
      <c r="BX12">
        <v>96433.150000000009</v>
      </c>
      <c r="BY12">
        <v>97645.150000000009</v>
      </c>
      <c r="BZ12">
        <v>97645.150000000009</v>
      </c>
      <c r="CA12">
        <v>102845.15000000001</v>
      </c>
      <c r="CB12">
        <v>105465.15000000001</v>
      </c>
      <c r="CC12">
        <v>108132.25000000001</v>
      </c>
      <c r="CD12">
        <v>116512.25000000001</v>
      </c>
      <c r="CE12">
        <v>135252.25</v>
      </c>
      <c r="CF12">
        <v>135252.25</v>
      </c>
      <c r="CG12">
        <v>135252.25</v>
      </c>
      <c r="CH12">
        <v>135252.25</v>
      </c>
      <c r="CI12" s="11" t="s">
        <v>153</v>
      </c>
      <c r="CK12" t="s">
        <v>9</v>
      </c>
      <c r="CL12" t="s">
        <v>9</v>
      </c>
      <c r="CM12" t="s">
        <v>9</v>
      </c>
      <c r="CN12" t="s">
        <v>9</v>
      </c>
      <c r="CO12" t="s">
        <v>9</v>
      </c>
    </row>
    <row r="13" spans="1:93" x14ac:dyDescent="0.25">
      <c r="A13" t="str">
        <f>D1_FEBRERO_2025[[#This Row],[SUPER2]]</f>
        <v>MELINA</v>
      </c>
      <c r="B13" t="s">
        <v>60</v>
      </c>
      <c r="C13">
        <f>VLOOKUP(D1_FEBRERO_2025[[#This Row],[SUPER]],DATA_FEBRERO_2025[[SUPERVISOR]:[META]],3,0)</f>
        <v>58000</v>
      </c>
      <c r="D13">
        <f>D1_FEBRERO_2025[[#This Row],[RECUPERO]]/C13</f>
        <v>0.66041379310344828</v>
      </c>
      <c r="E13" t="s">
        <v>4</v>
      </c>
      <c r="F13" t="s">
        <v>60</v>
      </c>
      <c r="G13">
        <v>38304</v>
      </c>
      <c r="H13" t="s">
        <v>423</v>
      </c>
      <c r="I13" s="55">
        <v>45323</v>
      </c>
      <c r="J13" t="s">
        <v>501</v>
      </c>
      <c r="L13" s="55"/>
      <c r="M13" s="1">
        <f>DATA_FEBRERO_2025[[#This Row],[RECUPERO]]/DATA_FEBRERO_2025[[#This Row],[META]]</f>
        <v>0.66041379310344828</v>
      </c>
      <c r="N13">
        <f>6-ROUNDUP(_xlfn.RANK.EQ(DATA_FEBRERO_2025[[#This Row],[AL_AC]],DATA_FEBRERO_2025[AL_AC],0)/(COUNTA(DATA_FEBRERO_2025[AL_AC])/5),0)</f>
        <v>3</v>
      </c>
      <c r="O13" t="s">
        <v>4</v>
      </c>
      <c r="P13">
        <f>SUM(DATA_FEBRERO_2025[[#This Row],[1]:[31]])</f>
        <v>38304</v>
      </c>
      <c r="Q13">
        <v>58000</v>
      </c>
      <c r="R13" t="s">
        <v>60</v>
      </c>
      <c r="AD13">
        <v>1000</v>
      </c>
      <c r="AF13">
        <v>62</v>
      </c>
      <c r="AG13">
        <v>500</v>
      </c>
      <c r="AJ13">
        <v>14150</v>
      </c>
      <c r="AK13">
        <v>3500</v>
      </c>
      <c r="AL13">
        <v>371</v>
      </c>
      <c r="AP13">
        <v>6900</v>
      </c>
      <c r="AQ13">
        <v>246</v>
      </c>
      <c r="AR13">
        <v>4800</v>
      </c>
      <c r="AT13">
        <v>6775</v>
      </c>
      <c r="AX13" t="s">
        <v>150</v>
      </c>
      <c r="AZ13">
        <v>499600</v>
      </c>
      <c r="BA13" s="11">
        <f>MAX(DITE_FEBRERO_2025[[#This Row],[1]:[31]])</f>
        <v>321457.37</v>
      </c>
      <c r="BB13" s="17">
        <f>DITE_FEBRERO_2025[[#This Row],[RECUPERO SUPERVISOR]]/DITE_FEBRERO_2025[[#This Row],[META SUPER]]</f>
        <v>0.64342948358686947</v>
      </c>
      <c r="BC13" t="s">
        <v>4</v>
      </c>
      <c r="BD13">
        <v>320</v>
      </c>
      <c r="BE13">
        <v>320</v>
      </c>
      <c r="BF13">
        <v>6586</v>
      </c>
      <c r="BG13">
        <v>15176</v>
      </c>
      <c r="BH13">
        <v>17676</v>
      </c>
      <c r="BI13">
        <v>20176</v>
      </c>
      <c r="BJ13">
        <v>51776</v>
      </c>
      <c r="BK13">
        <v>51776</v>
      </c>
      <c r="BL13">
        <v>51776</v>
      </c>
      <c r="BM13">
        <v>71622</v>
      </c>
      <c r="BN13">
        <v>72227</v>
      </c>
      <c r="BO13">
        <v>84777</v>
      </c>
      <c r="BP13">
        <v>90127</v>
      </c>
      <c r="BQ13">
        <v>107110.75</v>
      </c>
      <c r="BR13">
        <v>114210.75</v>
      </c>
      <c r="BS13">
        <v>114210.75</v>
      </c>
      <c r="BT13">
        <v>143664.75</v>
      </c>
      <c r="BU13">
        <v>166445.75</v>
      </c>
      <c r="BV13">
        <v>186515.85</v>
      </c>
      <c r="BW13">
        <v>192686.85</v>
      </c>
      <c r="BX13">
        <v>198911.85</v>
      </c>
      <c r="BY13">
        <v>202011.85</v>
      </c>
      <c r="BZ13">
        <v>202011.85</v>
      </c>
      <c r="CA13">
        <v>226086.85</v>
      </c>
      <c r="CB13">
        <v>246513.85</v>
      </c>
      <c r="CC13">
        <v>269213.84999999998</v>
      </c>
      <c r="CD13">
        <v>280464.84999999998</v>
      </c>
      <c r="CE13">
        <v>321457.37</v>
      </c>
      <c r="CF13">
        <v>321457.37</v>
      </c>
      <c r="CG13">
        <v>321457.37</v>
      </c>
      <c r="CH13">
        <v>321457.37</v>
      </c>
      <c r="CI13" s="11" t="s">
        <v>150</v>
      </c>
      <c r="CK13" t="s">
        <v>4</v>
      </c>
      <c r="CL13" t="s">
        <v>4</v>
      </c>
      <c r="CM13" t="s">
        <v>4</v>
      </c>
      <c r="CN13" t="s">
        <v>4</v>
      </c>
      <c r="CO13" t="s">
        <v>4</v>
      </c>
    </row>
    <row r="14" spans="1:93" x14ac:dyDescent="0.25">
      <c r="A14" t="str">
        <f>D1_FEBRERO_2025[[#This Row],[SUPER2]]</f>
        <v>MELINA</v>
      </c>
      <c r="B14" t="s">
        <v>40</v>
      </c>
      <c r="C14">
        <f>VLOOKUP(D1_FEBRERO_2025[[#This Row],[SUPER]],DATA_FEBRERO_2025[[SUPERVISOR]:[META]],3,0)</f>
        <v>58000</v>
      </c>
      <c r="D14">
        <f>D1_FEBRERO_2025[[#This Row],[RECUPERO]]/C14</f>
        <v>0.40197844827586204</v>
      </c>
      <c r="E14" t="s">
        <v>4</v>
      </c>
      <c r="F14" t="s">
        <v>40</v>
      </c>
      <c r="G14">
        <v>23314.75</v>
      </c>
      <c r="H14" t="s">
        <v>424</v>
      </c>
      <c r="I14" s="55">
        <v>45429</v>
      </c>
      <c r="J14" t="s">
        <v>501</v>
      </c>
      <c r="L14" s="55"/>
      <c r="M14" s="1">
        <f>DATA_FEBRERO_2025[[#This Row],[RECUPERO]]/DATA_FEBRERO_2025[[#This Row],[META]]</f>
        <v>0.79371428571428571</v>
      </c>
      <c r="N14">
        <f>6-ROUNDUP(_xlfn.RANK.EQ(DATA_FEBRERO_2025[[#This Row],[AL_AC]],DATA_FEBRERO_2025[AL_AC],0)/(COUNTA(DATA_FEBRERO_2025[AL_AC])/5),0)</f>
        <v>4</v>
      </c>
      <c r="O14" t="s">
        <v>9</v>
      </c>
      <c r="P14">
        <f>SUM(DATA_FEBRERO_2025[[#This Row],[1]:[31]])</f>
        <v>16668</v>
      </c>
      <c r="Q14">
        <v>21000</v>
      </c>
      <c r="R14" t="s">
        <v>15</v>
      </c>
      <c r="W14">
        <v>368</v>
      </c>
      <c r="X14">
        <v>280</v>
      </c>
      <c r="Z14">
        <v>1000</v>
      </c>
      <c r="AF14">
        <v>4200</v>
      </c>
      <c r="AK14">
        <v>4620</v>
      </c>
      <c r="AM14">
        <v>5000</v>
      </c>
      <c r="AN14">
        <v>200</v>
      </c>
      <c r="AR14">
        <v>150</v>
      </c>
      <c r="AS14">
        <v>850</v>
      </c>
      <c r="AX14" t="s">
        <v>153</v>
      </c>
      <c r="AZ14">
        <v>108600</v>
      </c>
      <c r="BA14" s="11">
        <f>MAX(DITE_FEBRERO_2025[[#This Row],[1]:[31]])</f>
        <v>111163.13</v>
      </c>
      <c r="BB14" s="17">
        <f>DITE_FEBRERO_2025[[#This Row],[RECUPERO SUPERVISOR]]/DITE_FEBRERO_2025[[#This Row],[META SUPER]]</f>
        <v>1.0236015653775323</v>
      </c>
      <c r="BC14" t="s">
        <v>115</v>
      </c>
      <c r="BD14">
        <v>655</v>
      </c>
      <c r="BE14">
        <v>655</v>
      </c>
      <c r="BF14">
        <v>3182</v>
      </c>
      <c r="BG14">
        <v>5831</v>
      </c>
      <c r="BH14">
        <v>8949</v>
      </c>
      <c r="BI14">
        <v>13164</v>
      </c>
      <c r="BJ14">
        <v>18382</v>
      </c>
      <c r="BK14">
        <v>18494</v>
      </c>
      <c r="BL14">
        <v>18494</v>
      </c>
      <c r="BM14">
        <v>26231</v>
      </c>
      <c r="BN14">
        <v>26741</v>
      </c>
      <c r="BO14">
        <v>32985</v>
      </c>
      <c r="BP14">
        <v>35061.83</v>
      </c>
      <c r="BQ14">
        <v>40695.83</v>
      </c>
      <c r="BR14">
        <v>40700.83</v>
      </c>
      <c r="BS14">
        <v>40700.83</v>
      </c>
      <c r="BT14">
        <v>46621.83</v>
      </c>
      <c r="BU14">
        <v>51307.83</v>
      </c>
      <c r="BV14">
        <v>57239.83</v>
      </c>
      <c r="BW14">
        <v>61704.33</v>
      </c>
      <c r="BX14">
        <v>62388.33</v>
      </c>
      <c r="BY14">
        <v>63876.73</v>
      </c>
      <c r="BZ14">
        <v>64026.73</v>
      </c>
      <c r="CA14">
        <v>69026.73000000001</v>
      </c>
      <c r="CB14">
        <v>73785.73000000001</v>
      </c>
      <c r="CC14">
        <v>77634.13</v>
      </c>
      <c r="CD14">
        <v>88753.13</v>
      </c>
      <c r="CE14">
        <v>111163.13</v>
      </c>
      <c r="CF14">
        <v>111163.13</v>
      </c>
      <c r="CG14">
        <v>111163.13</v>
      </c>
      <c r="CH14">
        <v>111163.13</v>
      </c>
      <c r="CI14" s="11" t="s">
        <v>154</v>
      </c>
      <c r="CK14" t="s">
        <v>115</v>
      </c>
      <c r="CL14" t="s">
        <v>115</v>
      </c>
      <c r="CM14" t="s">
        <v>115</v>
      </c>
      <c r="CN14" t="s">
        <v>115</v>
      </c>
      <c r="CO14" t="s">
        <v>115</v>
      </c>
    </row>
    <row r="15" spans="1:93" x14ac:dyDescent="0.25">
      <c r="A15" t="str">
        <f>D1_FEBRERO_2025[[#This Row],[SUPER2]]</f>
        <v>MELINA</v>
      </c>
      <c r="B15" t="s">
        <v>81</v>
      </c>
      <c r="C15">
        <f>VLOOKUP(D1_FEBRERO_2025[[#This Row],[SUPER]],DATA_FEBRERO_2025[[SUPERVISOR]:[META]],3,0)</f>
        <v>58000</v>
      </c>
      <c r="D15">
        <f>D1_FEBRERO_2025[[#This Row],[RECUPERO]]/C15</f>
        <v>0.19591379310344828</v>
      </c>
      <c r="E15" t="s">
        <v>4</v>
      </c>
      <c r="F15" t="s">
        <v>81</v>
      </c>
      <c r="G15">
        <v>11363</v>
      </c>
      <c r="H15" t="s">
        <v>425</v>
      </c>
      <c r="I15" s="55">
        <v>45506</v>
      </c>
      <c r="J15" t="s">
        <v>501</v>
      </c>
      <c r="L15" s="55"/>
      <c r="M15" s="1">
        <f>DATA_FEBRERO_2025[[#This Row],[RECUPERO]]/DATA_FEBRERO_2025[[#This Row],[META]]</f>
        <v>1.1166982758620689</v>
      </c>
      <c r="N15">
        <f>6-ROUNDUP(_xlfn.RANK.EQ(DATA_FEBRERO_2025[[#This Row],[AL_AC]],DATA_FEBRERO_2025[AL_AC],0)/(COUNTA(DATA_FEBRERO_2025[AL_AC])/5),0)</f>
        <v>5</v>
      </c>
      <c r="O15" t="s">
        <v>5</v>
      </c>
      <c r="P15">
        <f>SUM(DATA_FEBRERO_2025[[#This Row],[1]:[31]])</f>
        <v>64768.5</v>
      </c>
      <c r="Q15">
        <v>58000</v>
      </c>
      <c r="R15" t="s">
        <v>85</v>
      </c>
      <c r="T15">
        <v>1400</v>
      </c>
      <c r="U15">
        <v>33</v>
      </c>
      <c r="V15">
        <v>1175</v>
      </c>
      <c r="W15">
        <v>2050</v>
      </c>
      <c r="X15">
        <v>440</v>
      </c>
      <c r="AB15">
        <v>4500</v>
      </c>
      <c r="AC15">
        <v>650</v>
      </c>
      <c r="AD15">
        <v>2117.5</v>
      </c>
      <c r="AE15">
        <v>20782</v>
      </c>
      <c r="AF15">
        <v>1480</v>
      </c>
      <c r="AG15">
        <v>265</v>
      </c>
      <c r="AI15">
        <v>279</v>
      </c>
      <c r="AJ15">
        <v>600</v>
      </c>
      <c r="AK15">
        <v>4150</v>
      </c>
      <c r="AL15">
        <v>5000</v>
      </c>
      <c r="AP15">
        <v>3190</v>
      </c>
      <c r="AQ15">
        <v>1480</v>
      </c>
      <c r="AR15">
        <v>1300</v>
      </c>
      <c r="AS15">
        <v>1962</v>
      </c>
      <c r="AT15">
        <v>11915</v>
      </c>
      <c r="AX15" t="s">
        <v>150</v>
      </c>
      <c r="AZ15">
        <v>499600</v>
      </c>
      <c r="BA15" s="11">
        <f>MAX(DITE_FEBRERO_2025[[#This Row],[1]:[31]])</f>
        <v>490869.5</v>
      </c>
      <c r="BB15" s="17">
        <f>DITE_FEBRERO_2025[[#This Row],[RECUPERO SUPERVISOR]]/DITE_FEBRERO_2025[[#This Row],[META SUPER]]</f>
        <v>0.98252502001601283</v>
      </c>
      <c r="BC15" t="s">
        <v>3</v>
      </c>
      <c r="BD15">
        <v>5530</v>
      </c>
      <c r="BE15">
        <v>5530</v>
      </c>
      <c r="BF15">
        <v>11648</v>
      </c>
      <c r="BG15">
        <v>14138</v>
      </c>
      <c r="BH15">
        <v>50013.1</v>
      </c>
      <c r="BI15">
        <v>59985.1</v>
      </c>
      <c r="BJ15">
        <v>64720.1</v>
      </c>
      <c r="BK15">
        <v>64720.1</v>
      </c>
      <c r="BL15">
        <v>64720.1</v>
      </c>
      <c r="BM15">
        <v>73633.100000000006</v>
      </c>
      <c r="BN15">
        <v>104213.05</v>
      </c>
      <c r="BO15">
        <v>112213.05</v>
      </c>
      <c r="BP15">
        <v>130778.3</v>
      </c>
      <c r="BQ15">
        <v>157283.29999999999</v>
      </c>
      <c r="BR15">
        <v>157976.29999999999</v>
      </c>
      <c r="BS15">
        <v>158302.29999999999</v>
      </c>
      <c r="BT15">
        <v>174852.3</v>
      </c>
      <c r="BU15">
        <v>187274.3</v>
      </c>
      <c r="BV15">
        <v>209624.3</v>
      </c>
      <c r="BW15">
        <v>228615.3</v>
      </c>
      <c r="BX15">
        <v>266477.3</v>
      </c>
      <c r="BY15">
        <v>271077.3</v>
      </c>
      <c r="BZ15">
        <v>272027.3</v>
      </c>
      <c r="CA15">
        <v>306672.8</v>
      </c>
      <c r="CB15">
        <v>360845.8</v>
      </c>
      <c r="CC15">
        <v>396706.8</v>
      </c>
      <c r="CD15">
        <v>421848.8</v>
      </c>
      <c r="CE15">
        <v>490869.5</v>
      </c>
      <c r="CF15">
        <v>490869.5</v>
      </c>
      <c r="CG15">
        <v>490869.5</v>
      </c>
      <c r="CH15">
        <v>490869.5</v>
      </c>
      <c r="CI15" s="11" t="s">
        <v>150</v>
      </c>
      <c r="CK15" t="s">
        <v>3</v>
      </c>
      <c r="CL15" t="s">
        <v>3</v>
      </c>
      <c r="CM15" t="s">
        <v>3</v>
      </c>
      <c r="CN15" t="s">
        <v>3</v>
      </c>
      <c r="CO15" t="s">
        <v>3</v>
      </c>
    </row>
    <row r="16" spans="1:93" x14ac:dyDescent="0.25">
      <c r="A16" t="str">
        <f>D1_FEBRERO_2025[[#This Row],[SUPER2]]</f>
        <v>MELINA</v>
      </c>
      <c r="B16" t="s">
        <v>20</v>
      </c>
      <c r="C16">
        <f>VLOOKUP(D1_FEBRERO_2025[[#This Row],[SUPER]],DATA_FEBRERO_2025[[SUPERVISOR]:[META]],3,0)</f>
        <v>58000</v>
      </c>
      <c r="D16">
        <f>D1_FEBRERO_2025[[#This Row],[RECUPERO]]/C16</f>
        <v>0.2413793103448276</v>
      </c>
      <c r="E16" t="s">
        <v>4</v>
      </c>
      <c r="F16" t="s">
        <v>20</v>
      </c>
      <c r="G16">
        <v>14000</v>
      </c>
      <c r="H16" t="s">
        <v>427</v>
      </c>
      <c r="I16" s="55">
        <v>45142</v>
      </c>
      <c r="J16" t="s">
        <v>501</v>
      </c>
      <c r="L16" s="55"/>
      <c r="M16" s="1">
        <f>DATA_FEBRERO_2025[[#This Row],[RECUPERO]]/DATA_FEBRERO_2025[[#This Row],[META]]</f>
        <v>1.0160862068965517</v>
      </c>
      <c r="N16">
        <f>6-ROUNDUP(_xlfn.RANK.EQ(DATA_FEBRERO_2025[[#This Row],[AL_AC]],DATA_FEBRERO_2025[AL_AC],0)/(COUNTA(DATA_FEBRERO_2025[AL_AC])/5),0)</f>
        <v>5</v>
      </c>
      <c r="O16" t="s">
        <v>5</v>
      </c>
      <c r="P16">
        <f>SUM(DATA_FEBRERO_2025[[#This Row],[1]:[31]])</f>
        <v>58933</v>
      </c>
      <c r="Q16">
        <v>58000</v>
      </c>
      <c r="R16" t="s">
        <v>67</v>
      </c>
      <c r="W16">
        <v>935</v>
      </c>
      <c r="X16">
        <v>4200</v>
      </c>
      <c r="Z16">
        <v>2000</v>
      </c>
      <c r="AB16">
        <v>1380</v>
      </c>
      <c r="AC16">
        <v>2300</v>
      </c>
      <c r="AD16">
        <v>6000</v>
      </c>
      <c r="AE16">
        <v>600</v>
      </c>
      <c r="AF16">
        <v>3400</v>
      </c>
      <c r="AI16">
        <v>353</v>
      </c>
      <c r="AK16">
        <v>2000</v>
      </c>
      <c r="AM16">
        <v>3100</v>
      </c>
      <c r="AP16">
        <v>400</v>
      </c>
      <c r="AQ16">
        <v>8000</v>
      </c>
      <c r="AR16">
        <v>2000</v>
      </c>
      <c r="AS16">
        <v>9520</v>
      </c>
      <c r="AT16">
        <v>12745</v>
      </c>
      <c r="AX16" t="s">
        <v>150</v>
      </c>
    </row>
    <row r="17" spans="1:50" x14ac:dyDescent="0.25">
      <c r="A17" t="str">
        <f>D1_FEBRERO_2025[[#This Row],[SUPER2]]</f>
        <v>MELINA</v>
      </c>
      <c r="B17" t="s">
        <v>29</v>
      </c>
      <c r="C17">
        <f>VLOOKUP(D1_FEBRERO_2025[[#This Row],[SUPER]],DATA_FEBRERO_2025[[SUPERVISOR]:[META]],3,0)</f>
        <v>58000</v>
      </c>
      <c r="D17">
        <f>D1_FEBRERO_2025[[#This Row],[RECUPERO]]/C17</f>
        <v>0.4911224137931034</v>
      </c>
      <c r="E17" t="s">
        <v>4</v>
      </c>
      <c r="F17" t="s">
        <v>29</v>
      </c>
      <c r="G17">
        <v>28485.1</v>
      </c>
      <c r="H17" t="s">
        <v>416</v>
      </c>
      <c r="I17" s="55">
        <v>44687</v>
      </c>
      <c r="J17" t="s">
        <v>501</v>
      </c>
      <c r="L17" s="55"/>
      <c r="M17" s="1">
        <f>DATA_FEBRERO_2025[[#This Row],[RECUPERO]]/DATA_FEBRERO_2025[[#This Row],[META]]</f>
        <v>1.1507878787878787</v>
      </c>
      <c r="N17">
        <f>6-ROUNDUP(_xlfn.RANK.EQ(DATA_FEBRERO_2025[[#This Row],[AL_AC]],DATA_FEBRERO_2025[AL_AC],0)/(COUNTA(DATA_FEBRERO_2025[AL_AC])/5),0)</f>
        <v>5</v>
      </c>
      <c r="O17" t="s">
        <v>115</v>
      </c>
      <c r="P17">
        <f>SUM(DATA_FEBRERO_2025[[#This Row],[1]:[31]])</f>
        <v>18988</v>
      </c>
      <c r="Q17">
        <v>16500</v>
      </c>
      <c r="R17" t="s">
        <v>14</v>
      </c>
      <c r="S17">
        <v>655</v>
      </c>
      <c r="V17">
        <v>200</v>
      </c>
      <c r="X17">
        <v>50</v>
      </c>
      <c r="Y17">
        <v>2272</v>
      </c>
      <c r="Z17">
        <v>112</v>
      </c>
      <c r="AB17">
        <v>2901</v>
      </c>
      <c r="AC17">
        <v>150</v>
      </c>
      <c r="AF17">
        <v>150</v>
      </c>
      <c r="AG17">
        <v>5</v>
      </c>
      <c r="AI17">
        <v>468</v>
      </c>
      <c r="AJ17">
        <v>429</v>
      </c>
      <c r="AK17">
        <v>1667</v>
      </c>
      <c r="AL17">
        <v>1310</v>
      </c>
      <c r="AM17">
        <v>40</v>
      </c>
      <c r="AN17">
        <v>100</v>
      </c>
      <c r="AP17">
        <v>1940</v>
      </c>
      <c r="AQ17">
        <v>390</v>
      </c>
      <c r="AR17">
        <v>475</v>
      </c>
      <c r="AS17">
        <v>1460</v>
      </c>
      <c r="AT17">
        <v>4214</v>
      </c>
      <c r="AX17" t="s">
        <v>154</v>
      </c>
    </row>
    <row r="18" spans="1:50" x14ac:dyDescent="0.25">
      <c r="A18" t="str">
        <f>D1_FEBRERO_2025[[#This Row],[SUPER2]]</f>
        <v>MELINA</v>
      </c>
      <c r="B18" t="s">
        <v>75</v>
      </c>
      <c r="C18">
        <f>VLOOKUP(D1_FEBRERO_2025[[#This Row],[SUPER]],DATA_FEBRERO_2025[[SUPERVISOR]:[META]],3,0)</f>
        <v>58000</v>
      </c>
      <c r="D18">
        <f>D1_FEBRERO_2025[[#This Row],[RECUPERO]]/C18</f>
        <v>0.89168965517241383</v>
      </c>
      <c r="E18" t="s">
        <v>4</v>
      </c>
      <c r="F18" t="s">
        <v>75</v>
      </c>
      <c r="G18">
        <v>51718</v>
      </c>
      <c r="H18" t="s">
        <v>428</v>
      </c>
      <c r="I18" s="55">
        <v>44716</v>
      </c>
      <c r="J18" t="s">
        <v>501</v>
      </c>
      <c r="L18" s="55"/>
      <c r="M18" s="1">
        <f>DATA_FEBRERO_2025[[#This Row],[RECUPERO]]/DATA_FEBRERO_2025[[#This Row],[META]]</f>
        <v>0.8</v>
      </c>
      <c r="N18">
        <f>6-ROUNDUP(_xlfn.RANK.EQ(DATA_FEBRERO_2025[[#This Row],[AL_AC]],DATA_FEBRERO_2025[AL_AC],0)/(COUNTA(DATA_FEBRERO_2025[AL_AC])/5),0)</f>
        <v>4</v>
      </c>
      <c r="O18" t="s">
        <v>6</v>
      </c>
      <c r="P18">
        <f>SUM(DATA_FEBRERO_2025[[#This Row],[1]:[31]])</f>
        <v>16800</v>
      </c>
      <c r="Q18">
        <v>21000</v>
      </c>
      <c r="R18" t="s">
        <v>118</v>
      </c>
      <c r="U18">
        <v>300</v>
      </c>
      <c r="AF18">
        <v>400</v>
      </c>
      <c r="AG18">
        <v>600</v>
      </c>
      <c r="AJ18">
        <v>2500</v>
      </c>
      <c r="AK18">
        <v>100</v>
      </c>
      <c r="AL18">
        <v>3500</v>
      </c>
      <c r="AQ18">
        <v>3200</v>
      </c>
      <c r="AR18">
        <v>3000</v>
      </c>
      <c r="AT18">
        <v>3200</v>
      </c>
      <c r="AX18" t="s">
        <v>152</v>
      </c>
    </row>
    <row r="19" spans="1:50" x14ac:dyDescent="0.25">
      <c r="A19" t="str">
        <f>D1_FEBRERO_2025[[#This Row],[SUPER2]]</f>
        <v>MELINA</v>
      </c>
      <c r="B19" t="s">
        <v>11</v>
      </c>
      <c r="C19">
        <f>VLOOKUP(D1_FEBRERO_2025[[#This Row],[SUPER]],DATA_FEBRERO_2025[[SUPERVISOR]:[META]],3,0)</f>
        <v>58000</v>
      </c>
      <c r="D19">
        <f>D1_FEBRERO_2025[[#This Row],[RECUPERO]]/C19</f>
        <v>0.84617241379310348</v>
      </c>
      <c r="E19" t="s">
        <v>4</v>
      </c>
      <c r="F19" t="s">
        <v>11</v>
      </c>
      <c r="G19">
        <v>49078</v>
      </c>
      <c r="H19" t="s">
        <v>429</v>
      </c>
      <c r="I19" s="55">
        <v>45371</v>
      </c>
      <c r="J19" t="s">
        <v>501</v>
      </c>
      <c r="L19" s="55"/>
      <c r="M19" s="1">
        <f>DATA_FEBRERO_2025[[#This Row],[RECUPERO]]/DATA_FEBRERO_2025[[#This Row],[META]]</f>
        <v>0.1672121212121212</v>
      </c>
      <c r="N19">
        <f>6-ROUNDUP(_xlfn.RANK.EQ(DATA_FEBRERO_2025[[#This Row],[AL_AC]],DATA_FEBRERO_2025[AL_AC],0)/(COUNTA(DATA_FEBRERO_2025[AL_AC])/5),0)</f>
        <v>1</v>
      </c>
      <c r="O19" t="s">
        <v>115</v>
      </c>
      <c r="P19">
        <f>SUM(DATA_FEBRERO_2025[[#This Row],[1]:[31]])</f>
        <v>2759</v>
      </c>
      <c r="Q19">
        <v>16500</v>
      </c>
      <c r="R19" t="s">
        <v>104</v>
      </c>
      <c r="AF19">
        <v>1800</v>
      </c>
      <c r="AI19">
        <v>209</v>
      </c>
      <c r="AJ19">
        <v>300</v>
      </c>
      <c r="AT19">
        <v>450</v>
      </c>
      <c r="AX19" t="s">
        <v>154</v>
      </c>
    </row>
    <row r="20" spans="1:50" x14ac:dyDescent="0.25">
      <c r="A20" t="str">
        <f>D1_FEBRERO_2025[[#This Row],[SUPER2]]</f>
        <v>MELINA</v>
      </c>
      <c r="B20" t="s">
        <v>59</v>
      </c>
      <c r="C20">
        <f>VLOOKUP(D1_FEBRERO_2025[[#This Row],[SUPER]],DATA_FEBRERO_2025[[SUPERVISOR]:[META]],3,0)</f>
        <v>58000</v>
      </c>
      <c r="D20">
        <f>D1_FEBRERO_2025[[#This Row],[RECUPERO]]/C20</f>
        <v>1.0940606896551726</v>
      </c>
      <c r="E20" t="s">
        <v>4</v>
      </c>
      <c r="F20" t="s">
        <v>59</v>
      </c>
      <c r="G20">
        <v>63455.520000000004</v>
      </c>
      <c r="H20" t="s">
        <v>430</v>
      </c>
      <c r="I20" s="55">
        <v>45348</v>
      </c>
      <c r="J20" t="s">
        <v>501</v>
      </c>
      <c r="L20" s="55"/>
      <c r="M20" s="1">
        <f>DATA_FEBRERO_2025[[#This Row],[RECUPERO]]/DATA_FEBRERO_2025[[#This Row],[META]]</f>
        <v>1.2687533333333334</v>
      </c>
      <c r="N20">
        <f>6-ROUNDUP(_xlfn.RANK.EQ(DATA_FEBRERO_2025[[#This Row],[AL_AC]],DATA_FEBRERO_2025[AL_AC],0)/(COUNTA(DATA_FEBRERO_2025[AL_AC])/5),0)</f>
        <v>5</v>
      </c>
      <c r="O20" t="s">
        <v>6</v>
      </c>
      <c r="P20">
        <f>SUM(DATA_FEBRERO_2025[[#This Row],[1]:[31]])</f>
        <v>26643.82</v>
      </c>
      <c r="Q20">
        <v>21000</v>
      </c>
      <c r="R20" t="s">
        <v>19</v>
      </c>
      <c r="AB20">
        <v>4500</v>
      </c>
      <c r="AC20">
        <v>100</v>
      </c>
      <c r="AD20">
        <v>3000</v>
      </c>
      <c r="AG20">
        <v>600</v>
      </c>
      <c r="AL20">
        <v>10000</v>
      </c>
      <c r="AN20">
        <v>4943.82</v>
      </c>
      <c r="AR20">
        <v>3000</v>
      </c>
      <c r="AS20">
        <v>500</v>
      </c>
      <c r="AX20" t="s">
        <v>152</v>
      </c>
    </row>
    <row r="21" spans="1:50" x14ac:dyDescent="0.25">
      <c r="A21" t="str">
        <f>D1_FEBRERO_2025[[#This Row],[SUPER2]]</f>
        <v>JORGE</v>
      </c>
      <c r="B21" t="s">
        <v>41</v>
      </c>
      <c r="C21">
        <f>VLOOKUP(D1_FEBRERO_2025[[#This Row],[SUPER]],DATA_FEBRERO_2025[[SUPERVISOR]:[META]],3,0)</f>
        <v>22000</v>
      </c>
      <c r="D21">
        <f>D1_FEBRERO_2025[[#This Row],[RECUPERO]]/C21</f>
        <v>0.62618181818181817</v>
      </c>
      <c r="E21" t="s">
        <v>2</v>
      </c>
      <c r="F21" t="s">
        <v>41</v>
      </c>
      <c r="G21">
        <v>13776</v>
      </c>
      <c r="H21" t="s">
        <v>387</v>
      </c>
      <c r="I21" s="55">
        <v>45304</v>
      </c>
      <c r="J21" t="s">
        <v>501</v>
      </c>
      <c r="L21" s="55"/>
      <c r="M21" s="1">
        <f>DATA_FEBRERO_2025[[#This Row],[RECUPERO]]/DATA_FEBRERO_2025[[#This Row],[META]]</f>
        <v>0.62618181818181817</v>
      </c>
      <c r="N21">
        <f>6-ROUNDUP(_xlfn.RANK.EQ(DATA_FEBRERO_2025[[#This Row],[AL_AC]],DATA_FEBRERO_2025[AL_AC],0)/(COUNTA(DATA_FEBRERO_2025[AL_AC])/5),0)</f>
        <v>3</v>
      </c>
      <c r="O21" t="s">
        <v>2</v>
      </c>
      <c r="P21">
        <f>SUM(DATA_FEBRERO_2025[[#This Row],[1]:[31]])</f>
        <v>13776</v>
      </c>
      <c r="Q21">
        <v>22000</v>
      </c>
      <c r="R21" t="s">
        <v>41</v>
      </c>
      <c r="S21">
        <v>268</v>
      </c>
      <c r="W21">
        <v>300</v>
      </c>
      <c r="X21">
        <v>300</v>
      </c>
      <c r="Y21">
        <v>1300</v>
      </c>
      <c r="AD21">
        <v>500</v>
      </c>
      <c r="AF21">
        <v>400</v>
      </c>
      <c r="AI21">
        <v>200</v>
      </c>
      <c r="AJ21">
        <v>995</v>
      </c>
      <c r="AM21">
        <v>3850</v>
      </c>
      <c r="AP21">
        <v>1278</v>
      </c>
      <c r="AQ21">
        <v>800</v>
      </c>
      <c r="AR21">
        <v>2280</v>
      </c>
      <c r="AT21">
        <v>1305</v>
      </c>
      <c r="AX21" t="s">
        <v>151</v>
      </c>
    </row>
    <row r="22" spans="1:50" x14ac:dyDescent="0.25">
      <c r="A22" t="str">
        <f>D1_FEBRERO_2025[[#This Row],[SUPER2]]</f>
        <v>JORGE</v>
      </c>
      <c r="B22" t="s">
        <v>16</v>
      </c>
      <c r="C22">
        <f>VLOOKUP(D1_FEBRERO_2025[[#This Row],[SUPER]],DATA_FEBRERO_2025[[SUPERVISOR]:[META]],3,0)</f>
        <v>22000</v>
      </c>
      <c r="D22">
        <f>D1_FEBRERO_2025[[#This Row],[RECUPERO]]/C22</f>
        <v>1.3257272727272726</v>
      </c>
      <c r="E22" t="s">
        <v>2</v>
      </c>
      <c r="F22" t="s">
        <v>16</v>
      </c>
      <c r="G22">
        <v>29166</v>
      </c>
      <c r="H22" t="s">
        <v>388</v>
      </c>
      <c r="I22" s="55">
        <v>45334</v>
      </c>
      <c r="J22" t="s">
        <v>501</v>
      </c>
      <c r="L22" s="55"/>
      <c r="M22" s="1">
        <f>DATA_FEBRERO_2025[[#This Row],[RECUPERO]]/DATA_FEBRERO_2025[[#This Row],[META]]</f>
        <v>0.38085714285714284</v>
      </c>
      <c r="N22">
        <f>6-ROUNDUP(_xlfn.RANK.EQ(DATA_FEBRERO_2025[[#This Row],[AL_AC]],DATA_FEBRERO_2025[AL_AC],0)/(COUNTA(DATA_FEBRERO_2025[AL_AC])/5),0)</f>
        <v>1</v>
      </c>
      <c r="O22" t="s">
        <v>9</v>
      </c>
      <c r="P22">
        <f>SUM(DATA_FEBRERO_2025[[#This Row],[1]:[31]])</f>
        <v>7998</v>
      </c>
      <c r="Q22">
        <v>21000</v>
      </c>
      <c r="R22" t="s">
        <v>61</v>
      </c>
      <c r="Z22">
        <v>416</v>
      </c>
      <c r="AB22">
        <v>200</v>
      </c>
      <c r="AD22">
        <v>200</v>
      </c>
      <c r="AE22">
        <v>4000</v>
      </c>
      <c r="AI22">
        <v>217</v>
      </c>
      <c r="AR22">
        <v>365</v>
      </c>
      <c r="AS22">
        <v>200</v>
      </c>
      <c r="AT22">
        <v>2400</v>
      </c>
      <c r="AX22" t="s">
        <v>153</v>
      </c>
    </row>
    <row r="23" spans="1:50" x14ac:dyDescent="0.25">
      <c r="A23" t="str">
        <f>D1_FEBRERO_2025[[#This Row],[SUPER2]]</f>
        <v>JORGE</v>
      </c>
      <c r="B23" t="s">
        <v>12</v>
      </c>
      <c r="C23">
        <f>VLOOKUP(D1_FEBRERO_2025[[#This Row],[SUPER]],DATA_FEBRERO_2025[[SUPERVISOR]:[META]],3,0)</f>
        <v>22000</v>
      </c>
      <c r="D23">
        <f>D1_FEBRERO_2025[[#This Row],[RECUPERO]]/C23</f>
        <v>1.0019363636363636</v>
      </c>
      <c r="E23" t="s">
        <v>2</v>
      </c>
      <c r="F23" t="s">
        <v>12</v>
      </c>
      <c r="G23">
        <v>22042.6</v>
      </c>
      <c r="H23" t="s">
        <v>389</v>
      </c>
      <c r="I23" s="55">
        <v>44870</v>
      </c>
      <c r="J23" t="s">
        <v>501</v>
      </c>
      <c r="L23" s="55"/>
      <c r="M23" s="1">
        <f>DATA_FEBRERO_2025[[#This Row],[RECUPERO]]/DATA_FEBRERO_2025[[#This Row],[META]]</f>
        <v>1.2287878787878788</v>
      </c>
      <c r="N23">
        <f>6-ROUNDUP(_xlfn.RANK.EQ(DATA_FEBRERO_2025[[#This Row],[AL_AC]],DATA_FEBRERO_2025[AL_AC],0)/(COUNTA(DATA_FEBRERO_2025[AL_AC])/5),0)</f>
        <v>5</v>
      </c>
      <c r="O23" t="s">
        <v>115</v>
      </c>
      <c r="P23">
        <f>SUM(DATA_FEBRERO_2025[[#This Row],[1]:[31]])</f>
        <v>20275</v>
      </c>
      <c r="Q23">
        <v>16500</v>
      </c>
      <c r="R23" t="s">
        <v>80</v>
      </c>
      <c r="V23">
        <v>680</v>
      </c>
      <c r="W23">
        <v>282</v>
      </c>
      <c r="X23">
        <v>2147</v>
      </c>
      <c r="Y23">
        <v>736</v>
      </c>
      <c r="AB23">
        <v>3348</v>
      </c>
      <c r="AD23">
        <v>2000</v>
      </c>
      <c r="AF23">
        <v>1899</v>
      </c>
      <c r="AJ23">
        <v>230</v>
      </c>
      <c r="AK23">
        <v>450</v>
      </c>
      <c r="AL23">
        <v>647</v>
      </c>
      <c r="AM23">
        <v>222</v>
      </c>
      <c r="AN23">
        <v>800</v>
      </c>
      <c r="AP23">
        <v>560</v>
      </c>
      <c r="AQ23">
        <v>1135</v>
      </c>
      <c r="AS23">
        <v>1909</v>
      </c>
      <c r="AT23">
        <v>3230</v>
      </c>
      <c r="AX23" t="s">
        <v>154</v>
      </c>
    </row>
    <row r="24" spans="1:50" x14ac:dyDescent="0.25">
      <c r="A24" t="str">
        <f>D1_FEBRERO_2025[[#This Row],[SUPER2]]</f>
        <v>JORGE</v>
      </c>
      <c r="B24" t="s">
        <v>32</v>
      </c>
      <c r="C24">
        <f>VLOOKUP(D1_FEBRERO_2025[[#This Row],[SUPER]],DATA_FEBRERO_2025[[SUPERVISOR]:[META]],3,0)</f>
        <v>22000</v>
      </c>
      <c r="D24">
        <f>D1_FEBRERO_2025[[#This Row],[RECUPERO]]/C24</f>
        <v>0.56200000000000006</v>
      </c>
      <c r="E24" t="s">
        <v>2</v>
      </c>
      <c r="F24" t="s">
        <v>32</v>
      </c>
      <c r="G24">
        <v>12364</v>
      </c>
      <c r="H24" t="s">
        <v>390</v>
      </c>
      <c r="I24" s="55">
        <v>45530</v>
      </c>
      <c r="J24" t="s">
        <v>501</v>
      </c>
      <c r="L24" s="55"/>
      <c r="M24" s="1">
        <f>DATA_FEBRERO_2025[[#This Row],[RECUPERO]]/DATA_FEBRERO_2025[[#This Row],[META]]</f>
        <v>0.40197844827586204</v>
      </c>
      <c r="N24">
        <f>6-ROUNDUP(_xlfn.RANK.EQ(DATA_FEBRERO_2025[[#This Row],[AL_AC]],DATA_FEBRERO_2025[AL_AC],0)/(COUNTA(DATA_FEBRERO_2025[AL_AC])/5),0)</f>
        <v>2</v>
      </c>
      <c r="O24" t="s">
        <v>4</v>
      </c>
      <c r="P24">
        <f>SUM(DATA_FEBRERO_2025[[#This Row],[1]:[31]])</f>
        <v>23314.75</v>
      </c>
      <c r="Q24">
        <v>58000</v>
      </c>
      <c r="R24" t="s">
        <v>40</v>
      </c>
      <c r="AB24">
        <v>18323</v>
      </c>
      <c r="AC24">
        <v>350</v>
      </c>
      <c r="AE24">
        <v>550</v>
      </c>
      <c r="AF24">
        <v>721.75</v>
      </c>
      <c r="AM24">
        <v>354</v>
      </c>
      <c r="AN24">
        <v>1500</v>
      </c>
      <c r="AQ24">
        <v>600</v>
      </c>
      <c r="AS24">
        <v>916</v>
      </c>
      <c r="AX24" t="s">
        <v>150</v>
      </c>
    </row>
    <row r="25" spans="1:50" x14ac:dyDescent="0.25">
      <c r="A25" t="str">
        <f>D1_FEBRERO_2025[[#This Row],[SUPER2]]</f>
        <v>JORGE</v>
      </c>
      <c r="B25" t="s">
        <v>26</v>
      </c>
      <c r="C25">
        <f>VLOOKUP(D1_FEBRERO_2025[[#This Row],[SUPER]],DATA_FEBRERO_2025[[SUPERVISOR]:[META]],3,0)</f>
        <v>22000</v>
      </c>
      <c r="D25">
        <f>D1_FEBRERO_2025[[#This Row],[RECUPERO]]/C25</f>
        <v>0.87387272727272736</v>
      </c>
      <c r="E25" t="s">
        <v>2</v>
      </c>
      <c r="F25" t="s">
        <v>26</v>
      </c>
      <c r="G25">
        <v>19225.2</v>
      </c>
      <c r="H25" t="s">
        <v>391</v>
      </c>
      <c r="I25" s="55">
        <v>44259</v>
      </c>
      <c r="J25" t="s">
        <v>501</v>
      </c>
      <c r="L25" s="55"/>
      <c r="M25" s="1">
        <f>DATA_FEBRERO_2025[[#This Row],[RECUPERO]]/DATA_FEBRERO_2025[[#This Row],[META]]</f>
        <v>0.19591379310344828</v>
      </c>
      <c r="N25">
        <f>6-ROUNDUP(_xlfn.RANK.EQ(DATA_FEBRERO_2025[[#This Row],[AL_AC]],DATA_FEBRERO_2025[AL_AC],0)/(COUNTA(DATA_FEBRERO_2025[AL_AC])/5),0)</f>
        <v>1</v>
      </c>
      <c r="O25" t="s">
        <v>4</v>
      </c>
      <c r="P25">
        <f>SUM(DATA_FEBRERO_2025[[#This Row],[1]:[31]])</f>
        <v>11363</v>
      </c>
      <c r="Q25">
        <v>58000</v>
      </c>
      <c r="R25" t="s">
        <v>81</v>
      </c>
      <c r="AJ25">
        <v>650</v>
      </c>
      <c r="AM25">
        <v>3171</v>
      </c>
      <c r="AN25">
        <v>600</v>
      </c>
      <c r="AQ25">
        <v>600</v>
      </c>
      <c r="AT25">
        <v>6342</v>
      </c>
      <c r="AX25" t="s">
        <v>150</v>
      </c>
    </row>
    <row r="26" spans="1:50" x14ac:dyDescent="0.25">
      <c r="A26" t="str">
        <f>D1_FEBRERO_2025[[#This Row],[SUPER2]]</f>
        <v>JORGE</v>
      </c>
      <c r="B26" t="s">
        <v>77</v>
      </c>
      <c r="C26">
        <f>VLOOKUP(D1_FEBRERO_2025[[#This Row],[SUPER]],DATA_FEBRERO_2025[[SUPERVISOR]:[META]],3,0)</f>
        <v>22000</v>
      </c>
      <c r="D26">
        <f>D1_FEBRERO_2025[[#This Row],[RECUPERO]]/C26</f>
        <v>0.49286363636363634</v>
      </c>
      <c r="E26" t="s">
        <v>2</v>
      </c>
      <c r="F26" t="s">
        <v>77</v>
      </c>
      <c r="G26">
        <v>10843</v>
      </c>
      <c r="H26" t="s">
        <v>393</v>
      </c>
      <c r="I26" s="55">
        <v>44840</v>
      </c>
      <c r="J26" t="s">
        <v>501</v>
      </c>
      <c r="L26" s="55"/>
      <c r="M26" s="1">
        <f>DATA_FEBRERO_2025[[#This Row],[RECUPERO]]/DATA_FEBRERO_2025[[#This Row],[META]]</f>
        <v>0.63732758620689656</v>
      </c>
      <c r="N26">
        <f>6-ROUNDUP(_xlfn.RANK.EQ(DATA_FEBRERO_2025[[#This Row],[AL_AC]],DATA_FEBRERO_2025[AL_AC],0)/(COUNTA(DATA_FEBRERO_2025[AL_AC])/5),0)</f>
        <v>3</v>
      </c>
      <c r="O26" t="s">
        <v>3</v>
      </c>
      <c r="P26">
        <f>SUM(DATA_FEBRERO_2025[[#This Row],[1]:[31]])</f>
        <v>36965</v>
      </c>
      <c r="Q26">
        <v>58000</v>
      </c>
      <c r="R26" t="s">
        <v>72</v>
      </c>
      <c r="W26">
        <v>2000</v>
      </c>
      <c r="AF26">
        <v>600</v>
      </c>
      <c r="AK26">
        <v>7632</v>
      </c>
      <c r="AM26">
        <v>10000</v>
      </c>
      <c r="AR26">
        <v>600</v>
      </c>
      <c r="AS26">
        <v>2500</v>
      </c>
      <c r="AT26">
        <v>13633</v>
      </c>
      <c r="AX26" t="s">
        <v>150</v>
      </c>
    </row>
    <row r="27" spans="1:50" x14ac:dyDescent="0.25">
      <c r="A27" t="str">
        <f>D1_FEBRERO_2025[[#This Row],[SUPER2]]</f>
        <v>JORGE</v>
      </c>
      <c r="B27" t="s">
        <v>46</v>
      </c>
      <c r="C27">
        <f>VLOOKUP(D1_FEBRERO_2025[[#This Row],[SUPER]],DATA_FEBRERO_2025[[SUPERVISOR]:[META]],3,0)</f>
        <v>22000</v>
      </c>
      <c r="D27">
        <f>D1_FEBRERO_2025[[#This Row],[RECUPERO]]/C27</f>
        <v>0.1</v>
      </c>
      <c r="E27" t="s">
        <v>2</v>
      </c>
      <c r="F27" t="s">
        <v>46</v>
      </c>
      <c r="G27">
        <v>2200</v>
      </c>
      <c r="H27" t="s">
        <v>394</v>
      </c>
      <c r="I27" s="55">
        <v>45344</v>
      </c>
      <c r="J27" t="s">
        <v>501</v>
      </c>
      <c r="L27" s="55"/>
      <c r="M27" s="1">
        <f>DATA_FEBRERO_2025[[#This Row],[RECUPERO]]/DATA_FEBRERO_2025[[#This Row],[META]]</f>
        <v>1.2610482758620689</v>
      </c>
      <c r="N27">
        <f>6-ROUNDUP(_xlfn.RANK.EQ(DATA_FEBRERO_2025[[#This Row],[AL_AC]],DATA_FEBRERO_2025[AL_AC],0)/(COUNTA(DATA_FEBRERO_2025[AL_AC])/5),0)</f>
        <v>5</v>
      </c>
      <c r="O27" t="s">
        <v>3</v>
      </c>
      <c r="P27">
        <f>SUM(DATA_FEBRERO_2025[[#This Row],[1]:[31]])</f>
        <v>73140.800000000003</v>
      </c>
      <c r="Q27">
        <v>58000</v>
      </c>
      <c r="R27" t="s">
        <v>22</v>
      </c>
      <c r="S27">
        <v>1250</v>
      </c>
      <c r="U27">
        <v>2050</v>
      </c>
      <c r="W27">
        <v>1370.1</v>
      </c>
      <c r="X27">
        <v>700</v>
      </c>
      <c r="Y27">
        <v>1878</v>
      </c>
      <c r="AB27">
        <v>503</v>
      </c>
      <c r="AC27">
        <v>6554.7</v>
      </c>
      <c r="AE27">
        <v>6500</v>
      </c>
      <c r="AF27">
        <v>10000</v>
      </c>
      <c r="AJ27">
        <v>3402</v>
      </c>
      <c r="AK27">
        <v>5550</v>
      </c>
      <c r="AL27">
        <v>2886</v>
      </c>
      <c r="AM27">
        <v>1332</v>
      </c>
      <c r="AO27">
        <v>950</v>
      </c>
      <c r="AP27">
        <v>2068</v>
      </c>
      <c r="AQ27">
        <v>8450</v>
      </c>
      <c r="AR27">
        <v>7941</v>
      </c>
      <c r="AS27">
        <v>1886</v>
      </c>
      <c r="AT27">
        <v>7870</v>
      </c>
      <c r="AX27" t="s">
        <v>150</v>
      </c>
    </row>
    <row r="28" spans="1:50" x14ac:dyDescent="0.25">
      <c r="A28" t="str">
        <f>D1_FEBRERO_2025[[#This Row],[SUPER2]]</f>
        <v>JORGE</v>
      </c>
      <c r="B28" t="s">
        <v>74</v>
      </c>
      <c r="C28">
        <f>VLOOKUP(D1_FEBRERO_2025[[#This Row],[SUPER]],DATA_FEBRERO_2025[[SUPERVISOR]:[META]],3,0)</f>
        <v>22000</v>
      </c>
      <c r="D28">
        <f>D1_FEBRERO_2025[[#This Row],[RECUPERO]]/C28</f>
        <v>0.67694545454545452</v>
      </c>
      <c r="E28" t="s">
        <v>2</v>
      </c>
      <c r="F28" t="s">
        <v>74</v>
      </c>
      <c r="G28">
        <v>14892.8</v>
      </c>
      <c r="H28" t="s">
        <v>395</v>
      </c>
      <c r="I28" s="55">
        <v>44470</v>
      </c>
      <c r="J28" t="s">
        <v>501</v>
      </c>
      <c r="L28" s="55"/>
      <c r="M28" s="1">
        <f>DATA_FEBRERO_2025[[#This Row],[RECUPERO]]/DATA_FEBRERO_2025[[#This Row],[META]]</f>
        <v>0.48145454545454547</v>
      </c>
      <c r="N28">
        <f>6-ROUNDUP(_xlfn.RANK.EQ(DATA_FEBRERO_2025[[#This Row],[AL_AC]],DATA_FEBRERO_2025[AL_AC],0)/(COUNTA(DATA_FEBRERO_2025[AL_AC])/5),0)</f>
        <v>2</v>
      </c>
      <c r="O28" t="s">
        <v>115</v>
      </c>
      <c r="P28">
        <f>SUM(DATA_FEBRERO_2025[[#This Row],[1]:[31]])</f>
        <v>7944</v>
      </c>
      <c r="Q28">
        <v>16500</v>
      </c>
      <c r="R28" t="s">
        <v>24</v>
      </c>
      <c r="U28">
        <v>300</v>
      </c>
      <c r="V28">
        <v>200</v>
      </c>
      <c r="W28">
        <v>400</v>
      </c>
      <c r="X28">
        <v>1000</v>
      </c>
      <c r="AD28">
        <v>1014</v>
      </c>
      <c r="AE28">
        <v>410</v>
      </c>
      <c r="AI28">
        <v>300</v>
      </c>
      <c r="AK28">
        <v>250</v>
      </c>
      <c r="AL28">
        <v>1670</v>
      </c>
      <c r="AM28">
        <v>150</v>
      </c>
      <c r="AP28">
        <v>200</v>
      </c>
      <c r="AQ28">
        <v>955</v>
      </c>
      <c r="AS28">
        <v>400</v>
      </c>
      <c r="AT28">
        <v>695</v>
      </c>
      <c r="AX28" t="s">
        <v>154</v>
      </c>
    </row>
    <row r="29" spans="1:50" x14ac:dyDescent="0.25">
      <c r="A29" t="str">
        <f>D1_FEBRERO_2025[[#This Row],[SUPER2]]</f>
        <v>JORGE</v>
      </c>
      <c r="B29" t="s">
        <v>126</v>
      </c>
      <c r="C29">
        <f>VLOOKUP(D1_FEBRERO_2025[[#This Row],[SUPER]],DATA_FEBRERO_2025[[SUPERVISOR]:[META]],3,0)</f>
        <v>22000</v>
      </c>
      <c r="D29">
        <f>D1_FEBRERO_2025[[#This Row],[RECUPERO]]/C29</f>
        <v>2.7272727272727271E-2</v>
      </c>
      <c r="E29" t="s">
        <v>2</v>
      </c>
      <c r="F29" t="s">
        <v>126</v>
      </c>
      <c r="G29">
        <v>600</v>
      </c>
      <c r="H29" t="s">
        <v>451</v>
      </c>
      <c r="I29" s="55">
        <v>45714</v>
      </c>
      <c r="J29" t="s">
        <v>501</v>
      </c>
      <c r="L29" s="55"/>
      <c r="M29" s="1">
        <f>DATA_FEBRERO_2025[[#This Row],[RECUPERO]]/DATA_FEBRERO_2025[[#This Row],[META]]</f>
        <v>1.3257272727272726</v>
      </c>
      <c r="N29">
        <f>6-ROUNDUP(_xlfn.RANK.EQ(DATA_FEBRERO_2025[[#This Row],[AL_AC]],DATA_FEBRERO_2025[AL_AC],0)/(COUNTA(DATA_FEBRERO_2025[AL_AC])/5),0)</f>
        <v>5</v>
      </c>
      <c r="O29" t="s">
        <v>2</v>
      </c>
      <c r="P29">
        <f>SUM(DATA_FEBRERO_2025[[#This Row],[1]:[31]])</f>
        <v>29166</v>
      </c>
      <c r="Q29">
        <v>22000</v>
      </c>
      <c r="R29" t="s">
        <v>16</v>
      </c>
      <c r="U29">
        <v>1000</v>
      </c>
      <c r="W29">
        <v>600</v>
      </c>
      <c r="X29">
        <v>1100</v>
      </c>
      <c r="AB29">
        <v>200</v>
      </c>
      <c r="AC29">
        <v>10366</v>
      </c>
      <c r="AD29">
        <v>500</v>
      </c>
      <c r="AF29">
        <v>50</v>
      </c>
      <c r="AG29">
        <v>100</v>
      </c>
      <c r="AI29">
        <v>2000</v>
      </c>
      <c r="AL29">
        <v>400</v>
      </c>
      <c r="AP29">
        <v>600</v>
      </c>
      <c r="AQ29">
        <v>400</v>
      </c>
      <c r="AR29">
        <v>600</v>
      </c>
      <c r="AS29">
        <v>2300</v>
      </c>
      <c r="AT29">
        <v>8950</v>
      </c>
      <c r="AX29" t="s">
        <v>151</v>
      </c>
    </row>
    <row r="30" spans="1:50" x14ac:dyDescent="0.25">
      <c r="A30" t="str">
        <f>D1_FEBRERO_2025[[#This Row],[SUPER2]]</f>
        <v>JORGE</v>
      </c>
      <c r="B30" t="s">
        <v>117</v>
      </c>
      <c r="C30">
        <f>VLOOKUP(D1_FEBRERO_2025[[#This Row],[SUPER]],DATA_FEBRERO_2025[[SUPERVISOR]:[META]],3,0)</f>
        <v>22000</v>
      </c>
      <c r="D30">
        <f>D1_FEBRERO_2025[[#This Row],[RECUPERO]]/C30</f>
        <v>0.35418181818181821</v>
      </c>
      <c r="E30" t="s">
        <v>2</v>
      </c>
      <c r="F30" t="s">
        <v>117</v>
      </c>
      <c r="G30">
        <v>7792</v>
      </c>
      <c r="H30" t="s">
        <v>396</v>
      </c>
      <c r="I30" s="55">
        <v>45668</v>
      </c>
      <c r="J30" t="s">
        <v>501</v>
      </c>
      <c r="L30" s="55"/>
      <c r="M30" s="1">
        <f>DATA_FEBRERO_2025[[#This Row],[RECUPERO]]/DATA_FEBRERO_2025[[#This Row],[META]]</f>
        <v>0.4819761904761905</v>
      </c>
      <c r="N30">
        <f>6-ROUNDUP(_xlfn.RANK.EQ(DATA_FEBRERO_2025[[#This Row],[AL_AC]],DATA_FEBRERO_2025[AL_AC],0)/(COUNTA(DATA_FEBRERO_2025[AL_AC])/5),0)</f>
        <v>2</v>
      </c>
      <c r="O30" t="s">
        <v>9</v>
      </c>
      <c r="P30">
        <f>SUM(DATA_FEBRERO_2025[[#This Row],[1]:[31]])</f>
        <v>10121.5</v>
      </c>
      <c r="Q30">
        <v>21000</v>
      </c>
      <c r="R30" t="s">
        <v>27</v>
      </c>
      <c r="S30">
        <v>400</v>
      </c>
      <c r="U30">
        <v>200</v>
      </c>
      <c r="W30">
        <v>0</v>
      </c>
      <c r="AA30">
        <v>200</v>
      </c>
      <c r="AC30">
        <v>250</v>
      </c>
      <c r="AD30">
        <v>3000</v>
      </c>
      <c r="AI30">
        <v>3117</v>
      </c>
      <c r="AL30">
        <v>1300</v>
      </c>
      <c r="AT30">
        <v>1654.5</v>
      </c>
      <c r="AX30" t="s">
        <v>153</v>
      </c>
    </row>
    <row r="31" spans="1:50" x14ac:dyDescent="0.25">
      <c r="A31" t="str">
        <f>D1_FEBRERO_2025[[#This Row],[SUPER2]]</f>
        <v>JORGE</v>
      </c>
      <c r="B31" t="s">
        <v>78</v>
      </c>
      <c r="C31">
        <f>VLOOKUP(D1_FEBRERO_2025[[#This Row],[SUPER]],DATA_FEBRERO_2025[[SUPERVISOR]:[META]],3,0)</f>
        <v>22000</v>
      </c>
      <c r="D31">
        <f>D1_FEBRERO_2025[[#This Row],[RECUPERO]]/C31</f>
        <v>0.70727272727272728</v>
      </c>
      <c r="E31" t="s">
        <v>2</v>
      </c>
      <c r="F31" t="s">
        <v>78</v>
      </c>
      <c r="G31">
        <v>15560</v>
      </c>
      <c r="H31" t="s">
        <v>397</v>
      </c>
      <c r="I31" s="55">
        <v>44945</v>
      </c>
      <c r="J31" t="s">
        <v>501</v>
      </c>
      <c r="L31" s="55"/>
      <c r="M31" s="1">
        <f>DATA_FEBRERO_2025[[#This Row],[RECUPERO]]/DATA_FEBRERO_2025[[#This Row],[META]]</f>
        <v>1.0019363636363636</v>
      </c>
      <c r="N31">
        <f>6-ROUNDUP(_xlfn.RANK.EQ(DATA_FEBRERO_2025[[#This Row],[AL_AC]],DATA_FEBRERO_2025[AL_AC],0)/(COUNTA(DATA_FEBRERO_2025[AL_AC])/5),0)</f>
        <v>5</v>
      </c>
      <c r="O31" t="s">
        <v>2</v>
      </c>
      <c r="P31">
        <f>SUM(DATA_FEBRERO_2025[[#This Row],[1]:[31]])</f>
        <v>22042.6</v>
      </c>
      <c r="Q31">
        <v>22000</v>
      </c>
      <c r="R31" t="s">
        <v>12</v>
      </c>
      <c r="S31">
        <v>200</v>
      </c>
      <c r="V31">
        <v>307</v>
      </c>
      <c r="W31">
        <v>450</v>
      </c>
      <c r="AC31">
        <v>100</v>
      </c>
      <c r="AF31">
        <v>10250</v>
      </c>
      <c r="AI31">
        <v>691</v>
      </c>
      <c r="AL31">
        <v>300</v>
      </c>
      <c r="AM31">
        <v>405</v>
      </c>
      <c r="AP31">
        <v>708.6</v>
      </c>
      <c r="AQ31">
        <v>1867</v>
      </c>
      <c r="AR31">
        <v>2120</v>
      </c>
      <c r="AS31">
        <v>3000</v>
      </c>
      <c r="AT31">
        <v>1644</v>
      </c>
      <c r="AX31" t="s">
        <v>151</v>
      </c>
    </row>
    <row r="32" spans="1:50" x14ac:dyDescent="0.25">
      <c r="A32" t="str">
        <f>D1_FEBRERO_2025[[#This Row],[SUPER2]]</f>
        <v>JORGE</v>
      </c>
      <c r="B32" t="s">
        <v>39</v>
      </c>
      <c r="C32">
        <f>VLOOKUP(D1_FEBRERO_2025[[#This Row],[SUPER]],DATA_FEBRERO_2025[[SUPERVISOR]:[META]],3,0)</f>
        <v>22000</v>
      </c>
      <c r="D32">
        <f>D1_FEBRERO_2025[[#This Row],[RECUPERO]]/C32</f>
        <v>0.19545454545454546</v>
      </c>
      <c r="E32" t="s">
        <v>2</v>
      </c>
      <c r="F32" t="s">
        <v>39</v>
      </c>
      <c r="G32">
        <v>4300</v>
      </c>
      <c r="H32" t="s">
        <v>452</v>
      </c>
      <c r="I32" s="55">
        <v>44951</v>
      </c>
      <c r="J32" t="s">
        <v>501</v>
      </c>
      <c r="L32" s="55"/>
      <c r="M32" s="1">
        <f>DATA_FEBRERO_2025[[#This Row],[RECUPERO]]/DATA_FEBRERO_2025[[#This Row],[META]]</f>
        <v>0.30476190476190479</v>
      </c>
      <c r="N32">
        <f>6-ROUNDUP(_xlfn.RANK.EQ(DATA_FEBRERO_2025[[#This Row],[AL_AC]],DATA_FEBRERO_2025[AL_AC],0)/(COUNTA(DATA_FEBRERO_2025[AL_AC])/5),0)</f>
        <v>1</v>
      </c>
      <c r="O32" t="s">
        <v>9</v>
      </c>
      <c r="P32">
        <f>SUM(DATA_FEBRERO_2025[[#This Row],[1]:[31]])</f>
        <v>6400</v>
      </c>
      <c r="Q32">
        <v>21000</v>
      </c>
      <c r="R32" t="s">
        <v>51</v>
      </c>
      <c r="W32">
        <v>100</v>
      </c>
      <c r="Y32">
        <v>150</v>
      </c>
      <c r="AC32">
        <v>500</v>
      </c>
      <c r="AD32">
        <v>700</v>
      </c>
      <c r="AF32">
        <v>700</v>
      </c>
      <c r="AJ32">
        <v>2500</v>
      </c>
      <c r="AK32">
        <v>700</v>
      </c>
      <c r="AL32">
        <v>400</v>
      </c>
      <c r="AP32">
        <v>100</v>
      </c>
      <c r="AS32">
        <v>250</v>
      </c>
      <c r="AT32">
        <v>300</v>
      </c>
      <c r="AX32" t="s">
        <v>153</v>
      </c>
    </row>
    <row r="33" spans="1:50" x14ac:dyDescent="0.25">
      <c r="A33" t="str">
        <f>D1_FEBRERO_2025[[#This Row],[SUPER2]]</f>
        <v>JORDAN</v>
      </c>
      <c r="B33" t="s">
        <v>85</v>
      </c>
      <c r="C33">
        <f>VLOOKUP(D1_FEBRERO_2025[[#This Row],[SUPER]],DATA_FEBRERO_2025[[SUPERVISOR]:[META]],3,0)</f>
        <v>58000</v>
      </c>
      <c r="D33">
        <f>D1_FEBRERO_2025[[#This Row],[RECUPERO]]/C33</f>
        <v>1.1166982758620689</v>
      </c>
      <c r="E33" t="s">
        <v>5</v>
      </c>
      <c r="F33" t="s">
        <v>85</v>
      </c>
      <c r="G33">
        <v>64768.5</v>
      </c>
      <c r="H33" t="s">
        <v>380</v>
      </c>
      <c r="I33" s="55">
        <v>44811</v>
      </c>
      <c r="J33" t="s">
        <v>501</v>
      </c>
      <c r="L33" s="55"/>
      <c r="M33" s="1">
        <f>DATA_FEBRERO_2025[[#This Row],[RECUPERO]]/DATA_FEBRERO_2025[[#This Row],[META]]</f>
        <v>0.8280936206896552</v>
      </c>
      <c r="N33">
        <f>6-ROUNDUP(_xlfn.RANK.EQ(DATA_FEBRERO_2025[[#This Row],[AL_AC]],DATA_FEBRERO_2025[AL_AC],0)/(COUNTA(DATA_FEBRERO_2025[AL_AC])/5),0)</f>
        <v>4</v>
      </c>
      <c r="O33" t="s">
        <v>5</v>
      </c>
      <c r="P33">
        <f>SUM(DATA_FEBRERO_2025[[#This Row],[1]:[31]])</f>
        <v>48029.43</v>
      </c>
      <c r="Q33">
        <v>58000</v>
      </c>
      <c r="R33" t="s">
        <v>13</v>
      </c>
      <c r="V33">
        <v>4007</v>
      </c>
      <c r="W33">
        <v>500</v>
      </c>
      <c r="Y33">
        <v>1000</v>
      </c>
      <c r="AB33">
        <v>7420</v>
      </c>
      <c r="AD33">
        <v>1498</v>
      </c>
      <c r="AI33">
        <v>1600</v>
      </c>
      <c r="AJ33">
        <v>730</v>
      </c>
      <c r="AL33">
        <v>700</v>
      </c>
      <c r="AM33">
        <v>500</v>
      </c>
      <c r="AP33">
        <v>1200</v>
      </c>
      <c r="AQ33">
        <v>13000</v>
      </c>
      <c r="AR33">
        <v>5000</v>
      </c>
      <c r="AS33">
        <v>4928.43</v>
      </c>
      <c r="AT33">
        <v>5946</v>
      </c>
      <c r="AX33" t="s">
        <v>150</v>
      </c>
    </row>
    <row r="34" spans="1:50" x14ac:dyDescent="0.25">
      <c r="A34" t="str">
        <f>D1_FEBRERO_2025[[#This Row],[SUPER2]]</f>
        <v>JORDAN</v>
      </c>
      <c r="B34" t="s">
        <v>67</v>
      </c>
      <c r="C34">
        <f>VLOOKUP(D1_FEBRERO_2025[[#This Row],[SUPER]],DATA_FEBRERO_2025[[SUPERVISOR]:[META]],3,0)</f>
        <v>58000</v>
      </c>
      <c r="D34">
        <f>D1_FEBRERO_2025[[#This Row],[RECUPERO]]/C34</f>
        <v>1.0160862068965517</v>
      </c>
      <c r="E34" t="s">
        <v>5</v>
      </c>
      <c r="F34" t="s">
        <v>67</v>
      </c>
      <c r="G34">
        <v>58933</v>
      </c>
      <c r="H34" t="s">
        <v>381</v>
      </c>
      <c r="I34" s="55">
        <v>44811</v>
      </c>
      <c r="J34" t="s">
        <v>501</v>
      </c>
      <c r="L34" s="55"/>
      <c r="M34" s="1">
        <f>DATA_FEBRERO_2025[[#This Row],[RECUPERO]]/DATA_FEBRERO_2025[[#This Row],[META]]</f>
        <v>0.56200000000000006</v>
      </c>
      <c r="N34">
        <f>6-ROUNDUP(_xlfn.RANK.EQ(DATA_FEBRERO_2025[[#This Row],[AL_AC]],DATA_FEBRERO_2025[AL_AC],0)/(COUNTA(DATA_FEBRERO_2025[AL_AC])/5),0)</f>
        <v>3</v>
      </c>
      <c r="O34" t="s">
        <v>2</v>
      </c>
      <c r="P34">
        <f>SUM(DATA_FEBRERO_2025[[#This Row],[1]:[31]])</f>
        <v>12364</v>
      </c>
      <c r="Q34">
        <v>22000</v>
      </c>
      <c r="R34" t="s">
        <v>32</v>
      </c>
      <c r="V34">
        <v>500</v>
      </c>
      <c r="W34">
        <v>150</v>
      </c>
      <c r="X34">
        <v>200</v>
      </c>
      <c r="Y34">
        <v>1200</v>
      </c>
      <c r="AB34">
        <v>4700</v>
      </c>
      <c r="AI34">
        <v>200</v>
      </c>
      <c r="AK34">
        <v>920</v>
      </c>
      <c r="AL34">
        <v>1094</v>
      </c>
      <c r="AQ34">
        <v>1700</v>
      </c>
      <c r="AT34">
        <v>1700</v>
      </c>
      <c r="AX34" t="s">
        <v>151</v>
      </c>
    </row>
    <row r="35" spans="1:50" x14ac:dyDescent="0.25">
      <c r="A35" t="str">
        <f>D1_FEBRERO_2025[[#This Row],[SUPER2]]</f>
        <v>JORDAN</v>
      </c>
      <c r="B35" t="s">
        <v>13</v>
      </c>
      <c r="C35">
        <f>VLOOKUP(D1_FEBRERO_2025[[#This Row],[SUPER]],DATA_FEBRERO_2025[[SUPERVISOR]:[META]],3,0)</f>
        <v>58000</v>
      </c>
      <c r="D35">
        <f>D1_FEBRERO_2025[[#This Row],[RECUPERO]]/C35</f>
        <v>0.8280936206896552</v>
      </c>
      <c r="E35" t="s">
        <v>5</v>
      </c>
      <c r="F35" t="s">
        <v>13</v>
      </c>
      <c r="G35">
        <v>48029.43</v>
      </c>
      <c r="H35" t="s">
        <v>382</v>
      </c>
      <c r="I35" s="55">
        <v>44811</v>
      </c>
      <c r="J35" t="s">
        <v>501</v>
      </c>
      <c r="L35" s="55"/>
      <c r="M35" s="1">
        <f>DATA_FEBRERO_2025[[#This Row],[RECUPERO]]/DATA_FEBRERO_2025[[#This Row],[META]]</f>
        <v>0.68544827586206891</v>
      </c>
      <c r="N35">
        <f>6-ROUNDUP(_xlfn.RANK.EQ(DATA_FEBRERO_2025[[#This Row],[AL_AC]],DATA_FEBRERO_2025[AL_AC],0)/(COUNTA(DATA_FEBRERO_2025[AL_AC])/5),0)</f>
        <v>3</v>
      </c>
      <c r="O35" t="s">
        <v>5</v>
      </c>
      <c r="P35">
        <f>SUM(DATA_FEBRERO_2025[[#This Row],[1]:[31]])</f>
        <v>39756</v>
      </c>
      <c r="Q35">
        <v>58000</v>
      </c>
      <c r="R35" t="s">
        <v>66</v>
      </c>
      <c r="U35">
        <v>6261</v>
      </c>
      <c r="AJ35">
        <v>4100</v>
      </c>
      <c r="AK35">
        <v>19415</v>
      </c>
      <c r="AL35">
        <v>7000</v>
      </c>
      <c r="AM35">
        <v>1013</v>
      </c>
      <c r="AS35">
        <v>807</v>
      </c>
      <c r="AT35">
        <v>1160</v>
      </c>
      <c r="AX35" t="s">
        <v>150</v>
      </c>
    </row>
    <row r="36" spans="1:50" x14ac:dyDescent="0.25">
      <c r="A36" t="str">
        <f>D1_FEBRERO_2025[[#This Row],[SUPER2]]</f>
        <v>JORDAN</v>
      </c>
      <c r="B36" t="s">
        <v>66</v>
      </c>
      <c r="C36">
        <f>VLOOKUP(D1_FEBRERO_2025[[#This Row],[SUPER]],DATA_FEBRERO_2025[[SUPERVISOR]:[META]],3,0)</f>
        <v>58000</v>
      </c>
      <c r="D36">
        <f>D1_FEBRERO_2025[[#This Row],[RECUPERO]]/C36</f>
        <v>0.68544827586206891</v>
      </c>
      <c r="E36" t="s">
        <v>5</v>
      </c>
      <c r="F36" t="s">
        <v>66</v>
      </c>
      <c r="G36">
        <v>39756</v>
      </c>
      <c r="H36" t="s">
        <v>383</v>
      </c>
      <c r="I36" s="55">
        <v>45457</v>
      </c>
      <c r="J36" t="s">
        <v>501</v>
      </c>
      <c r="L36" s="55"/>
      <c r="M36" s="1">
        <f>DATA_FEBRERO_2025[[#This Row],[RECUPERO]]/DATA_FEBRERO_2025[[#This Row],[META]]</f>
        <v>0.4204761904761905</v>
      </c>
      <c r="N36">
        <f>6-ROUNDUP(_xlfn.RANK.EQ(DATA_FEBRERO_2025[[#This Row],[AL_AC]],DATA_FEBRERO_2025[AL_AC],0)/(COUNTA(DATA_FEBRERO_2025[AL_AC])/5),0)</f>
        <v>2</v>
      </c>
      <c r="O36" t="s">
        <v>9</v>
      </c>
      <c r="P36">
        <f>SUM(DATA_FEBRERO_2025[[#This Row],[1]:[31]])</f>
        <v>8830</v>
      </c>
      <c r="Q36">
        <v>21000</v>
      </c>
      <c r="R36" t="s">
        <v>71</v>
      </c>
      <c r="U36">
        <v>800</v>
      </c>
      <c r="V36">
        <v>500</v>
      </c>
      <c r="Y36">
        <v>150</v>
      </c>
      <c r="AB36">
        <v>250</v>
      </c>
      <c r="AE36">
        <v>800</v>
      </c>
      <c r="AF36">
        <v>650</v>
      </c>
      <c r="AI36">
        <v>1300</v>
      </c>
      <c r="AN36">
        <v>330</v>
      </c>
      <c r="AP36">
        <v>700</v>
      </c>
      <c r="AQ36">
        <v>200</v>
      </c>
      <c r="AS36">
        <v>200</v>
      </c>
      <c r="AT36">
        <v>2950</v>
      </c>
      <c r="AX36" t="s">
        <v>153</v>
      </c>
    </row>
    <row r="37" spans="1:50" x14ac:dyDescent="0.25">
      <c r="A37" t="str">
        <f>D1_FEBRERO_2025[[#This Row],[SUPER2]]</f>
        <v>JORDAN</v>
      </c>
      <c r="B37" t="s">
        <v>116</v>
      </c>
      <c r="C37">
        <f>VLOOKUP(D1_FEBRERO_2025[[#This Row],[SUPER]],DATA_FEBRERO_2025[[SUPERVISOR]:[META]],3,0)</f>
        <v>58000</v>
      </c>
      <c r="D37">
        <f>D1_FEBRERO_2025[[#This Row],[RECUPERO]]/C37</f>
        <v>0.42706896551724138</v>
      </c>
      <c r="E37" t="s">
        <v>5</v>
      </c>
      <c r="F37" t="s">
        <v>116</v>
      </c>
      <c r="G37">
        <v>24770</v>
      </c>
      <c r="H37" t="s">
        <v>384</v>
      </c>
      <c r="I37" s="55">
        <v>45075</v>
      </c>
      <c r="J37" t="s">
        <v>501</v>
      </c>
      <c r="L37" s="55"/>
      <c r="M37" s="1">
        <f>DATA_FEBRERO_2025[[#This Row],[RECUPERO]]/DATA_FEBRERO_2025[[#This Row],[META]]</f>
        <v>0.30840714285714288</v>
      </c>
      <c r="N37">
        <f>6-ROUNDUP(_xlfn.RANK.EQ(DATA_FEBRERO_2025[[#This Row],[AL_AC]],DATA_FEBRERO_2025[AL_AC],0)/(COUNTA(DATA_FEBRERO_2025[AL_AC])/5),0)</f>
        <v>1</v>
      </c>
      <c r="O37" t="s">
        <v>9</v>
      </c>
      <c r="P37">
        <f>SUM(DATA_FEBRERO_2025[[#This Row],[1]:[31]])</f>
        <v>6476.55</v>
      </c>
      <c r="Q37">
        <v>21000</v>
      </c>
      <c r="R37" t="s">
        <v>42</v>
      </c>
      <c r="Y37">
        <v>500</v>
      </c>
      <c r="AC37">
        <v>800</v>
      </c>
      <c r="AE37">
        <v>2000.05</v>
      </c>
      <c r="AF37">
        <v>1000</v>
      </c>
      <c r="AJ37">
        <v>281</v>
      </c>
      <c r="AM37">
        <v>863</v>
      </c>
      <c r="AT37">
        <v>1032.5</v>
      </c>
      <c r="AX37" t="s">
        <v>153</v>
      </c>
    </row>
    <row r="38" spans="1:50" x14ac:dyDescent="0.25">
      <c r="A38" t="str">
        <f>D1_FEBRERO_2025[[#This Row],[SUPER2]]</f>
        <v>JORDAN</v>
      </c>
      <c r="B38" t="s">
        <v>106</v>
      </c>
      <c r="C38">
        <f>VLOOKUP(D1_FEBRERO_2025[[#This Row],[SUPER]],DATA_FEBRERO_2025[[SUPERVISOR]:[META]],3,0)</f>
        <v>58000</v>
      </c>
      <c r="D38">
        <f>D1_FEBRERO_2025[[#This Row],[RECUPERO]]/C38</f>
        <v>0.44837931034482759</v>
      </c>
      <c r="E38" t="s">
        <v>5</v>
      </c>
      <c r="F38" t="s">
        <v>106</v>
      </c>
      <c r="G38">
        <v>26006</v>
      </c>
      <c r="H38" t="s">
        <v>392</v>
      </c>
      <c r="I38" s="55">
        <v>44748</v>
      </c>
      <c r="J38" t="s">
        <v>501</v>
      </c>
      <c r="L38" s="55"/>
      <c r="M38" s="1">
        <f>DATA_FEBRERO_2025[[#This Row],[RECUPERO]]/DATA_FEBRERO_2025[[#This Row],[META]]</f>
        <v>0.41769696969696968</v>
      </c>
      <c r="N38">
        <f>6-ROUNDUP(_xlfn.RANK.EQ(DATA_FEBRERO_2025[[#This Row],[AL_AC]],DATA_FEBRERO_2025[AL_AC],0)/(COUNTA(DATA_FEBRERO_2025[AL_AC])/5),0)</f>
        <v>2</v>
      </c>
      <c r="O38" t="s">
        <v>115</v>
      </c>
      <c r="P38">
        <f>SUM(DATA_FEBRERO_2025[[#This Row],[1]:[31]])</f>
        <v>6892</v>
      </c>
      <c r="Q38">
        <v>16500</v>
      </c>
      <c r="R38" t="s">
        <v>83</v>
      </c>
      <c r="U38">
        <v>1127</v>
      </c>
      <c r="V38">
        <v>336</v>
      </c>
      <c r="W38">
        <v>650</v>
      </c>
      <c r="AI38">
        <v>184</v>
      </c>
      <c r="AJ38">
        <v>300</v>
      </c>
      <c r="AK38">
        <v>500</v>
      </c>
      <c r="AO38">
        <v>150</v>
      </c>
      <c r="AP38">
        <v>1000</v>
      </c>
      <c r="AQ38">
        <v>150</v>
      </c>
      <c r="AR38">
        <v>485</v>
      </c>
      <c r="AS38">
        <v>650</v>
      </c>
      <c r="AT38">
        <v>1360</v>
      </c>
      <c r="AX38" t="s">
        <v>154</v>
      </c>
    </row>
    <row r="39" spans="1:50" x14ac:dyDescent="0.25">
      <c r="A39" t="str">
        <f>D1_FEBRERO_2025[[#This Row],[SUPER2]]</f>
        <v>JORDAN</v>
      </c>
      <c r="B39" t="s">
        <v>17</v>
      </c>
      <c r="C39">
        <f>VLOOKUP(D1_FEBRERO_2025[[#This Row],[SUPER]],DATA_FEBRERO_2025[[SUPERVISOR]:[META]],3,0)</f>
        <v>58000</v>
      </c>
      <c r="D39">
        <f>D1_FEBRERO_2025[[#This Row],[RECUPERO]]/C39</f>
        <v>0.53391379310344833</v>
      </c>
      <c r="E39" t="s">
        <v>5</v>
      </c>
      <c r="F39" t="s">
        <v>17</v>
      </c>
      <c r="G39">
        <v>30967</v>
      </c>
      <c r="H39" t="s">
        <v>385</v>
      </c>
      <c r="I39" s="55">
        <v>44888</v>
      </c>
      <c r="J39" t="s">
        <v>501</v>
      </c>
      <c r="L39" s="55"/>
      <c r="M39" s="1">
        <f>DATA_FEBRERO_2025[[#This Row],[RECUPERO]]/DATA_FEBRERO_2025[[#This Row],[META]]</f>
        <v>0.85294827586206901</v>
      </c>
      <c r="N39">
        <f>6-ROUNDUP(_xlfn.RANK.EQ(DATA_FEBRERO_2025[[#This Row],[AL_AC]],DATA_FEBRERO_2025[AL_AC],0)/(COUNTA(DATA_FEBRERO_2025[AL_AC])/5),0)</f>
        <v>4</v>
      </c>
      <c r="O39" t="s">
        <v>3</v>
      </c>
      <c r="P39">
        <f>SUM(DATA_FEBRERO_2025[[#This Row],[1]:[31]])</f>
        <v>49471</v>
      </c>
      <c r="Q39">
        <v>58000</v>
      </c>
      <c r="R39" t="s">
        <v>57</v>
      </c>
      <c r="Y39">
        <v>275</v>
      </c>
      <c r="AB39">
        <v>5500</v>
      </c>
      <c r="AC39">
        <v>1103</v>
      </c>
      <c r="AD39">
        <v>5000</v>
      </c>
      <c r="AF39">
        <v>8100</v>
      </c>
      <c r="AJ39">
        <v>5730</v>
      </c>
      <c r="AM39">
        <v>530</v>
      </c>
      <c r="AQ39">
        <v>8563</v>
      </c>
      <c r="AR39">
        <v>2270</v>
      </c>
      <c r="AS39">
        <v>7600</v>
      </c>
      <c r="AT39">
        <v>4800</v>
      </c>
      <c r="AX39" t="s">
        <v>150</v>
      </c>
    </row>
    <row r="40" spans="1:50" x14ac:dyDescent="0.25">
      <c r="A40" t="str">
        <f>D1_FEBRERO_2025[[#This Row],[SUPER2]]</f>
        <v>JORDAN</v>
      </c>
      <c r="B40" t="s">
        <v>62</v>
      </c>
      <c r="C40">
        <f>VLOOKUP(D1_FEBRERO_2025[[#This Row],[SUPER]],DATA_FEBRERO_2025[[SUPERVISOR]:[META]],3,0)</f>
        <v>58000</v>
      </c>
      <c r="D40">
        <f>D1_FEBRERO_2025[[#This Row],[RECUPERO]]/C40</f>
        <v>0.77317241379310342</v>
      </c>
      <c r="E40" t="s">
        <v>5</v>
      </c>
      <c r="F40" t="s">
        <v>62</v>
      </c>
      <c r="G40">
        <v>44844</v>
      </c>
      <c r="H40" t="s">
        <v>386</v>
      </c>
      <c r="I40" s="55">
        <v>45334</v>
      </c>
      <c r="J40" t="s">
        <v>501</v>
      </c>
      <c r="L40" s="55"/>
      <c r="M40" s="1">
        <f>DATA_FEBRERO_2025[[#This Row],[RECUPERO]]/DATA_FEBRERO_2025[[#This Row],[META]]</f>
        <v>0.7533333333333333</v>
      </c>
      <c r="N40">
        <f>6-ROUNDUP(_xlfn.RANK.EQ(DATA_FEBRERO_2025[[#This Row],[AL_AC]],DATA_FEBRERO_2025[AL_AC],0)/(COUNTA(DATA_FEBRERO_2025[AL_AC])/5),0)</f>
        <v>4</v>
      </c>
      <c r="O40" t="s">
        <v>115</v>
      </c>
      <c r="P40">
        <f>SUM(DATA_FEBRERO_2025[[#This Row],[1]:[31]])</f>
        <v>12430</v>
      </c>
      <c r="Q40">
        <v>16500</v>
      </c>
      <c r="R40" t="s">
        <v>49</v>
      </c>
      <c r="U40">
        <v>500</v>
      </c>
      <c r="X40">
        <v>250</v>
      </c>
      <c r="Y40">
        <v>600</v>
      </c>
      <c r="AB40">
        <v>350</v>
      </c>
      <c r="AD40">
        <v>1130</v>
      </c>
      <c r="AF40">
        <v>200</v>
      </c>
      <c r="AI40">
        <v>1700</v>
      </c>
      <c r="AL40">
        <v>100</v>
      </c>
      <c r="AP40">
        <v>800</v>
      </c>
      <c r="AQ40">
        <v>1500</v>
      </c>
      <c r="AS40">
        <v>2300</v>
      </c>
      <c r="AT40">
        <v>3000</v>
      </c>
      <c r="AX40" t="s">
        <v>154</v>
      </c>
    </row>
    <row r="41" spans="1:50" x14ac:dyDescent="0.25">
      <c r="A41" t="str">
        <f>D1_FEBRERO_2025[[#This Row],[SUPER2]]</f>
        <v>JORDAN</v>
      </c>
      <c r="B41" t="s">
        <v>79</v>
      </c>
      <c r="C41">
        <f>VLOOKUP(D1_FEBRERO_2025[[#This Row],[SUPER]],DATA_FEBRERO_2025[[SUPERVISOR]:[META]],3,0)</f>
        <v>58000</v>
      </c>
      <c r="D41">
        <f>D1_FEBRERO_2025[[#This Row],[RECUPERO]]/C41</f>
        <v>0.71406017241379305</v>
      </c>
      <c r="E41" t="s">
        <v>5</v>
      </c>
      <c r="F41" t="s">
        <v>79</v>
      </c>
      <c r="G41">
        <v>41415.49</v>
      </c>
      <c r="H41" t="s">
        <v>453</v>
      </c>
      <c r="I41" s="55">
        <v>44566</v>
      </c>
      <c r="J41" t="s">
        <v>501</v>
      </c>
      <c r="L41" s="55"/>
      <c r="M41" s="1">
        <f>DATA_FEBRERO_2025[[#This Row],[RECUPERO]]/DATA_FEBRERO_2025[[#This Row],[META]]</f>
        <v>0.87387272727272736</v>
      </c>
      <c r="N41">
        <f>6-ROUNDUP(_xlfn.RANK.EQ(DATA_FEBRERO_2025[[#This Row],[AL_AC]],DATA_FEBRERO_2025[AL_AC],0)/(COUNTA(DATA_FEBRERO_2025[AL_AC])/5),0)</f>
        <v>4</v>
      </c>
      <c r="O41" t="s">
        <v>2</v>
      </c>
      <c r="P41">
        <f>SUM(DATA_FEBRERO_2025[[#This Row],[1]:[31]])</f>
        <v>19225.2</v>
      </c>
      <c r="Q41">
        <v>22000</v>
      </c>
      <c r="R41" t="s">
        <v>26</v>
      </c>
      <c r="T41">
        <v>350</v>
      </c>
      <c r="V41">
        <v>1000</v>
      </c>
      <c r="X41">
        <v>200</v>
      </c>
      <c r="Y41">
        <v>3480</v>
      </c>
      <c r="AB41">
        <v>1480</v>
      </c>
      <c r="AC41">
        <v>2300</v>
      </c>
      <c r="AE41">
        <v>410</v>
      </c>
      <c r="AI41">
        <v>400</v>
      </c>
      <c r="AK41">
        <v>200</v>
      </c>
      <c r="AM41">
        <v>4480.2</v>
      </c>
      <c r="AP41">
        <v>230</v>
      </c>
      <c r="AQ41">
        <v>350</v>
      </c>
      <c r="AR41">
        <v>315</v>
      </c>
      <c r="AS41">
        <v>1780</v>
      </c>
      <c r="AT41">
        <v>2250</v>
      </c>
      <c r="AX41" t="s">
        <v>151</v>
      </c>
    </row>
    <row r="42" spans="1:50" x14ac:dyDescent="0.25">
      <c r="A42" t="str">
        <f>D1_FEBRERO_2025[[#This Row],[SUPER2]]</f>
        <v>KENNETH</v>
      </c>
      <c r="B42" t="s">
        <v>118</v>
      </c>
      <c r="C42">
        <f>VLOOKUP(D1_FEBRERO_2025[[#This Row],[SUPER]],DATA_FEBRERO_2025[[SUPERVISOR]:[META]],3,0)</f>
        <v>21000</v>
      </c>
      <c r="D42">
        <f>D1_FEBRERO_2025[[#This Row],[RECUPERO]]/C42</f>
        <v>0.8</v>
      </c>
      <c r="E42" t="s">
        <v>6</v>
      </c>
      <c r="F42" t="s">
        <v>118</v>
      </c>
      <c r="G42">
        <v>16800</v>
      </c>
      <c r="H42" t="s">
        <v>398</v>
      </c>
      <c r="I42" s="55">
        <v>44357</v>
      </c>
      <c r="J42" t="s">
        <v>501</v>
      </c>
      <c r="L42" s="55"/>
      <c r="M42" s="1">
        <f>DATA_FEBRERO_2025[[#This Row],[RECUPERO]]/DATA_FEBRERO_2025[[#This Row],[META]]</f>
        <v>0.42706896551724138</v>
      </c>
      <c r="N42">
        <f>6-ROUNDUP(_xlfn.RANK.EQ(DATA_FEBRERO_2025[[#This Row],[AL_AC]],DATA_FEBRERO_2025[AL_AC],0)/(COUNTA(DATA_FEBRERO_2025[AL_AC])/5),0)</f>
        <v>2</v>
      </c>
      <c r="O42" t="s">
        <v>5</v>
      </c>
      <c r="P42">
        <f>SUM(DATA_FEBRERO_2025[[#This Row],[1]:[31]])</f>
        <v>24770</v>
      </c>
      <c r="Q42">
        <v>58000</v>
      </c>
      <c r="R42" t="s">
        <v>116</v>
      </c>
      <c r="W42">
        <v>3200</v>
      </c>
      <c r="X42">
        <v>2500</v>
      </c>
      <c r="AC42">
        <v>1250</v>
      </c>
      <c r="AF42">
        <v>9000</v>
      </c>
      <c r="AG42">
        <v>700</v>
      </c>
      <c r="AI42">
        <v>700</v>
      </c>
      <c r="AJ42">
        <v>450</v>
      </c>
      <c r="AM42">
        <v>3000</v>
      </c>
      <c r="AQ42">
        <v>1000</v>
      </c>
      <c r="AT42">
        <v>2970</v>
      </c>
      <c r="AX42" t="s">
        <v>150</v>
      </c>
    </row>
    <row r="43" spans="1:50" x14ac:dyDescent="0.25">
      <c r="A43" t="str">
        <f>D1_FEBRERO_2025[[#This Row],[SUPER2]]</f>
        <v>KENNETH</v>
      </c>
      <c r="B43" t="s">
        <v>19</v>
      </c>
      <c r="C43">
        <f>VLOOKUP(D1_FEBRERO_2025[[#This Row],[SUPER]],DATA_FEBRERO_2025[[SUPERVISOR]:[META]],3,0)</f>
        <v>21000</v>
      </c>
      <c r="D43">
        <f>D1_FEBRERO_2025[[#This Row],[RECUPERO]]/C43</f>
        <v>1.2687533333333334</v>
      </c>
      <c r="E43" t="s">
        <v>6</v>
      </c>
      <c r="F43" t="s">
        <v>19</v>
      </c>
      <c r="G43">
        <v>26643.82</v>
      </c>
      <c r="H43" t="s">
        <v>399</v>
      </c>
      <c r="I43" s="55">
        <v>44673</v>
      </c>
      <c r="J43" t="s">
        <v>501</v>
      </c>
      <c r="L43" s="55"/>
      <c r="M43" s="1">
        <f>DATA_FEBRERO_2025[[#This Row],[RECUPERO]]/DATA_FEBRERO_2025[[#This Row],[META]]</f>
        <v>0.29459575757575757</v>
      </c>
      <c r="N43">
        <f>6-ROUNDUP(_xlfn.RANK.EQ(DATA_FEBRERO_2025[[#This Row],[AL_AC]],DATA_FEBRERO_2025[AL_AC],0)/(COUNTA(DATA_FEBRERO_2025[AL_AC])/5),0)</f>
        <v>1</v>
      </c>
      <c r="O43" t="s">
        <v>115</v>
      </c>
      <c r="P43">
        <f>SUM(DATA_FEBRERO_2025[[#This Row],[1]:[31]])</f>
        <v>4860.83</v>
      </c>
      <c r="Q43">
        <v>16500</v>
      </c>
      <c r="R43" t="s">
        <v>96</v>
      </c>
      <c r="X43">
        <v>628</v>
      </c>
      <c r="AB43">
        <v>100</v>
      </c>
      <c r="AC43">
        <v>260</v>
      </c>
      <c r="AE43">
        <v>964.82999999999993</v>
      </c>
      <c r="AF43">
        <v>550</v>
      </c>
      <c r="AI43">
        <v>600</v>
      </c>
      <c r="AK43">
        <v>378</v>
      </c>
      <c r="AR43">
        <v>450</v>
      </c>
      <c r="AS43">
        <v>500</v>
      </c>
      <c r="AT43">
        <v>430</v>
      </c>
      <c r="AX43" t="s">
        <v>154</v>
      </c>
    </row>
    <row r="44" spans="1:50" x14ac:dyDescent="0.25">
      <c r="A44" t="str">
        <f>D1_FEBRERO_2025[[#This Row],[SUPER2]]</f>
        <v>KENNETH</v>
      </c>
      <c r="B44" t="s">
        <v>37</v>
      </c>
      <c r="C44">
        <f>VLOOKUP(D1_FEBRERO_2025[[#This Row],[SUPER]],DATA_FEBRERO_2025[[SUPERVISOR]:[META]],3,0)</f>
        <v>21000</v>
      </c>
      <c r="D44">
        <f>D1_FEBRERO_2025[[#This Row],[RECUPERO]]/C44</f>
        <v>0.40904761904761905</v>
      </c>
      <c r="E44" t="s">
        <v>6</v>
      </c>
      <c r="F44" t="s">
        <v>37</v>
      </c>
      <c r="G44">
        <v>8590</v>
      </c>
      <c r="H44" t="s">
        <v>400</v>
      </c>
      <c r="I44" s="55">
        <v>43132</v>
      </c>
      <c r="J44" t="s">
        <v>501</v>
      </c>
      <c r="L44" s="55"/>
      <c r="M44" s="1">
        <f>DATA_FEBRERO_2025[[#This Row],[RECUPERO]]/DATA_FEBRERO_2025[[#This Row],[META]]</f>
        <v>0.2413793103448276</v>
      </c>
      <c r="N44">
        <f>6-ROUNDUP(_xlfn.RANK.EQ(DATA_FEBRERO_2025[[#This Row],[AL_AC]],DATA_FEBRERO_2025[AL_AC],0)/(COUNTA(DATA_FEBRERO_2025[AL_AC])/5),0)</f>
        <v>1</v>
      </c>
      <c r="O44" t="s">
        <v>4</v>
      </c>
      <c r="P44">
        <f>SUM(DATA_FEBRERO_2025[[#This Row],[1]:[31]])</f>
        <v>14000</v>
      </c>
      <c r="Q44">
        <v>58000</v>
      </c>
      <c r="R44" t="s">
        <v>20</v>
      </c>
      <c r="V44">
        <v>590</v>
      </c>
      <c r="AF44">
        <v>8000</v>
      </c>
      <c r="AI44">
        <v>800</v>
      </c>
      <c r="AK44">
        <v>3000</v>
      </c>
      <c r="AP44">
        <v>510</v>
      </c>
      <c r="AQ44">
        <v>300</v>
      </c>
      <c r="AT44">
        <v>800</v>
      </c>
      <c r="AX44" t="s">
        <v>150</v>
      </c>
    </row>
    <row r="45" spans="1:50" x14ac:dyDescent="0.25">
      <c r="A45" t="str">
        <f>D1_FEBRERO_2025[[#This Row],[SUPER2]]</f>
        <v>KENNETH</v>
      </c>
      <c r="B45" t="s">
        <v>35</v>
      </c>
      <c r="C45">
        <f>VLOOKUP(D1_FEBRERO_2025[[#This Row],[SUPER]],DATA_FEBRERO_2025[[SUPERVISOR]:[META]],3,0)</f>
        <v>21000</v>
      </c>
      <c r="D45">
        <f>D1_FEBRERO_2025[[#This Row],[RECUPERO]]/C45</f>
        <v>0.3638095238095238</v>
      </c>
      <c r="E45" t="s">
        <v>6</v>
      </c>
      <c r="F45" t="s">
        <v>35</v>
      </c>
      <c r="G45">
        <v>7640</v>
      </c>
      <c r="H45" t="s">
        <v>401</v>
      </c>
      <c r="I45" s="55">
        <v>44748</v>
      </c>
      <c r="J45" t="s">
        <v>501</v>
      </c>
      <c r="L45" s="55"/>
      <c r="M45" s="1">
        <f>DATA_FEBRERO_2025[[#This Row],[RECUPERO]]/DATA_FEBRERO_2025[[#This Row],[META]]</f>
        <v>0.40904761904761905</v>
      </c>
      <c r="N45">
        <f>6-ROUNDUP(_xlfn.RANK.EQ(DATA_FEBRERO_2025[[#This Row],[AL_AC]],DATA_FEBRERO_2025[AL_AC],0)/(COUNTA(DATA_FEBRERO_2025[AL_AC])/5),0)</f>
        <v>2</v>
      </c>
      <c r="O45" t="s">
        <v>6</v>
      </c>
      <c r="P45">
        <f>SUM(DATA_FEBRERO_2025[[#This Row],[1]:[31]])</f>
        <v>8590</v>
      </c>
      <c r="Q45">
        <v>21000</v>
      </c>
      <c r="R45" t="s">
        <v>37</v>
      </c>
      <c r="V45">
        <v>500</v>
      </c>
      <c r="W45">
        <v>700</v>
      </c>
      <c r="AJ45">
        <v>600</v>
      </c>
      <c r="AK45">
        <v>5000</v>
      </c>
      <c r="AL45">
        <v>500</v>
      </c>
      <c r="AM45">
        <v>900</v>
      </c>
      <c r="AP45">
        <v>240</v>
      </c>
      <c r="AT45">
        <v>150</v>
      </c>
      <c r="AX45" t="s">
        <v>152</v>
      </c>
    </row>
    <row r="46" spans="1:50" x14ac:dyDescent="0.25">
      <c r="A46" t="str">
        <f>D1_FEBRERO_2025[[#This Row],[SUPER2]]</f>
        <v>KENNETH</v>
      </c>
      <c r="B46" t="s">
        <v>31</v>
      </c>
      <c r="C46">
        <f>VLOOKUP(D1_FEBRERO_2025[[#This Row],[SUPER]],DATA_FEBRERO_2025[[SUPERVISOR]:[META]],3,0)</f>
        <v>21000</v>
      </c>
      <c r="D46">
        <f>D1_FEBRERO_2025[[#This Row],[RECUPERO]]/C46</f>
        <v>0.77047619047619043</v>
      </c>
      <c r="E46" t="s">
        <v>6</v>
      </c>
      <c r="F46" t="s">
        <v>31</v>
      </c>
      <c r="G46">
        <v>16180</v>
      </c>
      <c r="H46" t="s">
        <v>403</v>
      </c>
      <c r="I46" s="55">
        <v>45334</v>
      </c>
      <c r="J46" t="s">
        <v>501</v>
      </c>
      <c r="L46" s="55"/>
      <c r="M46" s="1">
        <f>DATA_FEBRERO_2025[[#This Row],[RECUPERO]]/DATA_FEBRERO_2025[[#This Row],[META]]</f>
        <v>0.44837931034482759</v>
      </c>
      <c r="N46">
        <f>6-ROUNDUP(_xlfn.RANK.EQ(DATA_FEBRERO_2025[[#This Row],[AL_AC]],DATA_FEBRERO_2025[AL_AC],0)/(COUNTA(DATA_FEBRERO_2025[AL_AC])/5),0)</f>
        <v>2</v>
      </c>
      <c r="O46" t="s">
        <v>5</v>
      </c>
      <c r="P46">
        <f>SUM(DATA_FEBRERO_2025[[#This Row],[1]:[31]])</f>
        <v>26006</v>
      </c>
      <c r="Q46">
        <v>58000</v>
      </c>
      <c r="R46" t="s">
        <v>106</v>
      </c>
      <c r="U46">
        <v>2100</v>
      </c>
      <c r="V46">
        <v>600</v>
      </c>
      <c r="AB46">
        <v>1660</v>
      </c>
      <c r="AF46">
        <v>740</v>
      </c>
      <c r="AG46">
        <v>475</v>
      </c>
      <c r="AI46">
        <v>600</v>
      </c>
      <c r="AJ46">
        <v>6000</v>
      </c>
      <c r="AM46">
        <v>370</v>
      </c>
      <c r="AN46">
        <v>261</v>
      </c>
      <c r="AP46">
        <v>1000</v>
      </c>
      <c r="AQ46">
        <v>850</v>
      </c>
      <c r="AR46">
        <v>7700</v>
      </c>
      <c r="AT46">
        <v>3650</v>
      </c>
      <c r="AX46" t="s">
        <v>150</v>
      </c>
    </row>
    <row r="47" spans="1:50" x14ac:dyDescent="0.25">
      <c r="A47" t="str">
        <f>D1_FEBRERO_2025[[#This Row],[SUPER2]]</f>
        <v>KENNETH</v>
      </c>
      <c r="B47" t="s">
        <v>110</v>
      </c>
      <c r="C47">
        <f>VLOOKUP(D1_FEBRERO_2025[[#This Row],[SUPER]],DATA_FEBRERO_2025[[SUPERVISOR]:[META]],3,0)</f>
        <v>21000</v>
      </c>
      <c r="D47">
        <f>D1_FEBRERO_2025[[#This Row],[RECUPERO]]/C47</f>
        <v>0.38476190476190475</v>
      </c>
      <c r="E47" t="s">
        <v>6</v>
      </c>
      <c r="F47" t="s">
        <v>110</v>
      </c>
      <c r="G47">
        <v>8080</v>
      </c>
      <c r="H47" t="s">
        <v>454</v>
      </c>
      <c r="I47" s="55">
        <v>44993</v>
      </c>
      <c r="J47" t="s">
        <v>501</v>
      </c>
      <c r="L47" s="55"/>
      <c r="M47" s="1">
        <f>DATA_FEBRERO_2025[[#This Row],[RECUPERO]]/DATA_FEBRERO_2025[[#This Row],[META]]</f>
        <v>0.49286363636363634</v>
      </c>
      <c r="N47">
        <f>6-ROUNDUP(_xlfn.RANK.EQ(DATA_FEBRERO_2025[[#This Row],[AL_AC]],DATA_FEBRERO_2025[AL_AC],0)/(COUNTA(DATA_FEBRERO_2025[AL_AC])/5),0)</f>
        <v>3</v>
      </c>
      <c r="O47" t="s">
        <v>2</v>
      </c>
      <c r="P47">
        <f>SUM(DATA_FEBRERO_2025[[#This Row],[1]:[31]])</f>
        <v>10843</v>
      </c>
      <c r="Q47">
        <v>22000</v>
      </c>
      <c r="R47" t="s">
        <v>77</v>
      </c>
      <c r="V47">
        <v>732</v>
      </c>
      <c r="W47">
        <v>526</v>
      </c>
      <c r="X47">
        <v>5000</v>
      </c>
      <c r="AC47">
        <v>780</v>
      </c>
      <c r="AF47">
        <v>328</v>
      </c>
      <c r="AP47">
        <v>220</v>
      </c>
      <c r="AQ47">
        <v>950</v>
      </c>
      <c r="AR47">
        <v>300</v>
      </c>
      <c r="AS47">
        <v>650</v>
      </c>
      <c r="AT47">
        <v>1357</v>
      </c>
      <c r="AX47" t="s">
        <v>151</v>
      </c>
    </row>
    <row r="48" spans="1:50" x14ac:dyDescent="0.25">
      <c r="A48" t="str">
        <f>D1_FEBRERO_2025[[#This Row],[SUPER2]]</f>
        <v>KENNETH</v>
      </c>
      <c r="B48" t="s">
        <v>119</v>
      </c>
      <c r="C48">
        <f>VLOOKUP(D1_FEBRERO_2025[[#This Row],[SUPER]],DATA_FEBRERO_2025[[SUPERVISOR]:[META]],3,0)</f>
        <v>21000</v>
      </c>
      <c r="D48">
        <f>D1_FEBRERO_2025[[#This Row],[RECUPERO]]/C48</f>
        <v>0.14345238095238094</v>
      </c>
      <c r="E48" t="s">
        <v>6</v>
      </c>
      <c r="F48" t="s">
        <v>119</v>
      </c>
      <c r="G48">
        <v>3012.5</v>
      </c>
      <c r="H48" t="s">
        <v>404</v>
      </c>
      <c r="I48" s="55">
        <v>45441</v>
      </c>
      <c r="J48" t="s">
        <v>501</v>
      </c>
      <c r="L48" s="55"/>
      <c r="M48" s="1">
        <f>DATA_FEBRERO_2025[[#This Row],[RECUPERO]]/DATA_FEBRERO_2025[[#This Row],[META]]</f>
        <v>0.3638095238095238</v>
      </c>
      <c r="N48">
        <f>6-ROUNDUP(_xlfn.RANK.EQ(DATA_FEBRERO_2025[[#This Row],[AL_AC]],DATA_FEBRERO_2025[AL_AC],0)/(COUNTA(DATA_FEBRERO_2025[AL_AC])/5),0)</f>
        <v>1</v>
      </c>
      <c r="O48" t="s">
        <v>6</v>
      </c>
      <c r="P48">
        <f>SUM(DATA_FEBRERO_2025[[#This Row],[1]:[31]])</f>
        <v>7640</v>
      </c>
      <c r="Q48">
        <v>21000</v>
      </c>
      <c r="R48" t="s">
        <v>35</v>
      </c>
      <c r="U48">
        <v>400</v>
      </c>
      <c r="V48">
        <v>1200</v>
      </c>
      <c r="Y48">
        <v>100</v>
      </c>
      <c r="AB48">
        <v>2600</v>
      </c>
      <c r="AF48">
        <v>290</v>
      </c>
      <c r="AI48">
        <v>400</v>
      </c>
      <c r="AJ48">
        <v>1400</v>
      </c>
      <c r="AS48">
        <v>300</v>
      </c>
      <c r="AT48">
        <v>950</v>
      </c>
      <c r="AX48" t="s">
        <v>152</v>
      </c>
    </row>
    <row r="49" spans="1:50" x14ac:dyDescent="0.25">
      <c r="A49" t="str">
        <f>D1_FEBRERO_2025[[#This Row],[SUPER2]]</f>
        <v>KENNETH</v>
      </c>
      <c r="B49" t="s">
        <v>120</v>
      </c>
      <c r="C49">
        <f>VLOOKUP(D1_FEBRERO_2025[[#This Row],[SUPER]],DATA_FEBRERO_2025[[SUPERVISOR]:[META]],3,0)</f>
        <v>21000</v>
      </c>
      <c r="D49">
        <f>D1_FEBRERO_2025[[#This Row],[RECUPERO]]/C49</f>
        <v>1.5892857142857142</v>
      </c>
      <c r="E49" t="s">
        <v>6</v>
      </c>
      <c r="F49" t="s">
        <v>120</v>
      </c>
      <c r="G49">
        <v>33375</v>
      </c>
      <c r="H49" t="s">
        <v>405</v>
      </c>
      <c r="I49" s="55">
        <v>45471</v>
      </c>
      <c r="J49" t="s">
        <v>501</v>
      </c>
      <c r="L49" s="55"/>
      <c r="M49" s="1">
        <f>DATA_FEBRERO_2025[[#This Row],[RECUPERO]]/DATA_FEBRERO_2025[[#This Row],[META]]</f>
        <v>0.1</v>
      </c>
      <c r="N49">
        <f>6-ROUNDUP(_xlfn.RANK.EQ(DATA_FEBRERO_2025[[#This Row],[AL_AC]],DATA_FEBRERO_2025[AL_AC],0)/(COUNTA(DATA_FEBRERO_2025[AL_AC])/5),0)</f>
        <v>1</v>
      </c>
      <c r="O49" t="s">
        <v>2</v>
      </c>
      <c r="P49">
        <f>SUM(DATA_FEBRERO_2025[[#This Row],[1]:[31]])</f>
        <v>2200</v>
      </c>
      <c r="Q49">
        <v>22000</v>
      </c>
      <c r="R49" t="s">
        <v>46</v>
      </c>
      <c r="U49">
        <v>500</v>
      </c>
      <c r="Y49">
        <v>350</v>
      </c>
      <c r="Z49">
        <v>300</v>
      </c>
      <c r="AB49">
        <v>1050</v>
      </c>
      <c r="AX49" t="s">
        <v>151</v>
      </c>
    </row>
    <row r="50" spans="1:50" x14ac:dyDescent="0.25">
      <c r="A50" t="str">
        <f>D1_FEBRERO_2025[[#This Row],[SUPER2]]</f>
        <v>KENNETH</v>
      </c>
      <c r="B50" t="s">
        <v>64</v>
      </c>
      <c r="C50">
        <f>VLOOKUP(D1_FEBRERO_2025[[#This Row],[SUPER]],DATA_FEBRERO_2025[[SUPERVISOR]:[META]],3,0)</f>
        <v>21000</v>
      </c>
      <c r="D50">
        <f>D1_FEBRERO_2025[[#This Row],[RECUPERO]]/C50</f>
        <v>0.38571428571428573</v>
      </c>
      <c r="E50" t="s">
        <v>6</v>
      </c>
      <c r="F50" t="s">
        <v>64</v>
      </c>
      <c r="G50">
        <v>8100</v>
      </c>
      <c r="H50" t="s">
        <v>455</v>
      </c>
      <c r="I50" s="55">
        <v>45700</v>
      </c>
      <c r="J50" t="s">
        <v>501</v>
      </c>
      <c r="L50" s="55"/>
      <c r="M50" s="1">
        <f>DATA_FEBRERO_2025[[#This Row],[RECUPERO]]/DATA_FEBRERO_2025[[#This Row],[META]]</f>
        <v>0.4498060606060606</v>
      </c>
      <c r="N50">
        <f>6-ROUNDUP(_xlfn.RANK.EQ(DATA_FEBRERO_2025[[#This Row],[AL_AC]],DATA_FEBRERO_2025[AL_AC],0)/(COUNTA(DATA_FEBRERO_2025[AL_AC])/5),0)</f>
        <v>2</v>
      </c>
      <c r="O50" t="s">
        <v>115</v>
      </c>
      <c r="P50">
        <f>SUM(DATA_FEBRERO_2025[[#This Row],[1]:[31]])</f>
        <v>7421.8</v>
      </c>
      <c r="Q50">
        <v>16500</v>
      </c>
      <c r="R50" t="s">
        <v>33</v>
      </c>
      <c r="U50">
        <v>0</v>
      </c>
      <c r="W50">
        <v>450</v>
      </c>
      <c r="X50">
        <v>140</v>
      </c>
      <c r="Y50">
        <v>1610</v>
      </c>
      <c r="AF50">
        <v>200</v>
      </c>
      <c r="AI50">
        <v>700</v>
      </c>
      <c r="AK50">
        <v>180</v>
      </c>
      <c r="AL50">
        <v>150</v>
      </c>
      <c r="AN50">
        <v>108.4</v>
      </c>
      <c r="AQ50">
        <v>100</v>
      </c>
      <c r="AR50">
        <v>583.4</v>
      </c>
      <c r="AS50">
        <v>100</v>
      </c>
      <c r="AT50">
        <v>3100</v>
      </c>
      <c r="AX50" t="s">
        <v>154</v>
      </c>
    </row>
    <row r="51" spans="1:50" x14ac:dyDescent="0.25">
      <c r="A51" t="str">
        <f>D1_FEBRERO_2025[[#This Row],[SUPER2]]</f>
        <v>KENNETH</v>
      </c>
      <c r="B51" t="s">
        <v>34</v>
      </c>
      <c r="C51">
        <f>VLOOKUP(D1_FEBRERO_2025[[#This Row],[SUPER]],DATA_FEBRERO_2025[[SUPERVISOR]:[META]],3,0)</f>
        <v>21000</v>
      </c>
      <c r="D51">
        <f>D1_FEBRERO_2025[[#This Row],[RECUPERO]]/C51</f>
        <v>0.97723809523809524</v>
      </c>
      <c r="E51" t="s">
        <v>6</v>
      </c>
      <c r="F51" t="s">
        <v>34</v>
      </c>
      <c r="G51">
        <v>20522</v>
      </c>
      <c r="H51" t="s">
        <v>407</v>
      </c>
      <c r="I51" s="55">
        <v>45175</v>
      </c>
      <c r="J51" t="s">
        <v>501</v>
      </c>
      <c r="L51" s="55"/>
      <c r="M51" s="1">
        <f>DATA_FEBRERO_2025[[#This Row],[RECUPERO]]/DATA_FEBRERO_2025[[#This Row],[META]]</f>
        <v>1.9456465517241379</v>
      </c>
      <c r="N51">
        <f>6-ROUNDUP(_xlfn.RANK.EQ(DATA_FEBRERO_2025[[#This Row],[AL_AC]],DATA_FEBRERO_2025[AL_AC],0)/(COUNTA(DATA_FEBRERO_2025[AL_AC])/5),0)</f>
        <v>5</v>
      </c>
      <c r="O51" t="s">
        <v>3</v>
      </c>
      <c r="P51">
        <f>SUM(DATA_FEBRERO_2025[[#This Row],[1]:[31]])</f>
        <v>112847.5</v>
      </c>
      <c r="Q51">
        <v>58000</v>
      </c>
      <c r="R51" t="s">
        <v>23</v>
      </c>
      <c r="S51">
        <v>3605</v>
      </c>
      <c r="U51">
        <v>687</v>
      </c>
      <c r="W51">
        <v>28100</v>
      </c>
      <c r="X51">
        <v>1000</v>
      </c>
      <c r="AB51">
        <v>385</v>
      </c>
      <c r="AE51">
        <v>2050</v>
      </c>
      <c r="AF51">
        <v>1045</v>
      </c>
      <c r="AG51">
        <v>368</v>
      </c>
      <c r="AH51">
        <v>326</v>
      </c>
      <c r="AI51">
        <v>4750</v>
      </c>
      <c r="AJ51">
        <v>2000</v>
      </c>
      <c r="AK51">
        <v>595</v>
      </c>
      <c r="AL51">
        <v>5700</v>
      </c>
      <c r="AM51">
        <v>21000</v>
      </c>
      <c r="AN51">
        <v>1600</v>
      </c>
      <c r="AP51">
        <v>428.5</v>
      </c>
      <c r="AQ51">
        <v>13068</v>
      </c>
      <c r="AS51">
        <v>556</v>
      </c>
      <c r="AT51">
        <v>25584</v>
      </c>
      <c r="AX51" t="s">
        <v>150</v>
      </c>
    </row>
    <row r="52" spans="1:50" x14ac:dyDescent="0.25">
      <c r="A52" t="str">
        <f>D1_FEBRERO_2025[[#This Row],[SUPER2]]</f>
        <v>MELITA</v>
      </c>
      <c r="B52" t="s">
        <v>18</v>
      </c>
      <c r="C52">
        <f>VLOOKUP(D1_FEBRERO_2025[[#This Row],[SUPER]],DATA_FEBRERO_2025[[SUPERVISOR]:[META]],3,0)</f>
        <v>16500</v>
      </c>
      <c r="D52">
        <f>D1_FEBRERO_2025[[#This Row],[RECUPERO]]/C52</f>
        <v>1.1286060606060606</v>
      </c>
      <c r="E52" t="s">
        <v>115</v>
      </c>
      <c r="F52" t="s">
        <v>18</v>
      </c>
      <c r="G52">
        <v>18622</v>
      </c>
      <c r="H52" t="s">
        <v>431</v>
      </c>
      <c r="I52" s="55">
        <v>45133</v>
      </c>
      <c r="J52" t="s">
        <v>501</v>
      </c>
      <c r="L52" s="55"/>
      <c r="M52" s="1">
        <f>DATA_FEBRERO_2025[[#This Row],[RECUPERO]]/DATA_FEBRERO_2025[[#This Row],[META]]</f>
        <v>0.66487878787878785</v>
      </c>
      <c r="N52">
        <f>6-ROUNDUP(_xlfn.RANK.EQ(DATA_FEBRERO_2025[[#This Row],[AL_AC]],DATA_FEBRERO_2025[AL_AC],0)/(COUNTA(DATA_FEBRERO_2025[AL_AC])/5),0)</f>
        <v>3</v>
      </c>
      <c r="O52" t="s">
        <v>115</v>
      </c>
      <c r="P52">
        <f>SUM(DATA_FEBRERO_2025[[#This Row],[1]:[31]])</f>
        <v>10970.5</v>
      </c>
      <c r="Q52">
        <v>16500</v>
      </c>
      <c r="R52" t="s">
        <v>68</v>
      </c>
      <c r="V52">
        <v>500</v>
      </c>
      <c r="AC52">
        <v>100</v>
      </c>
      <c r="AF52">
        <v>400</v>
      </c>
      <c r="AI52">
        <v>1496</v>
      </c>
      <c r="AJ52">
        <v>100</v>
      </c>
      <c r="AK52">
        <v>1000</v>
      </c>
      <c r="AL52">
        <v>187.5</v>
      </c>
      <c r="AM52">
        <v>272</v>
      </c>
      <c r="AN52">
        <v>100</v>
      </c>
      <c r="AQ52">
        <v>529</v>
      </c>
      <c r="AR52">
        <v>1855</v>
      </c>
      <c r="AT52">
        <v>4431</v>
      </c>
      <c r="AX52" t="s">
        <v>154</v>
      </c>
    </row>
    <row r="53" spans="1:50" x14ac:dyDescent="0.25">
      <c r="A53" t="str">
        <f>D1_FEBRERO_2025[[#This Row],[SUPER2]]</f>
        <v>MELITA</v>
      </c>
      <c r="B53" t="s">
        <v>14</v>
      </c>
      <c r="C53">
        <f>VLOOKUP(D1_FEBRERO_2025[[#This Row],[SUPER]],DATA_FEBRERO_2025[[SUPERVISOR]:[META]],3,0)</f>
        <v>16500</v>
      </c>
      <c r="D53">
        <f>D1_FEBRERO_2025[[#This Row],[RECUPERO]]/C53</f>
        <v>1.1507878787878787</v>
      </c>
      <c r="E53" t="s">
        <v>115</v>
      </c>
      <c r="F53" t="s">
        <v>14</v>
      </c>
      <c r="G53">
        <v>18988</v>
      </c>
      <c r="H53" t="s">
        <v>432</v>
      </c>
      <c r="I53" s="55">
        <v>45133</v>
      </c>
      <c r="J53" t="s">
        <v>501</v>
      </c>
      <c r="L53" s="55"/>
      <c r="M53" s="1">
        <f>DATA_FEBRERO_2025[[#This Row],[RECUPERO]]/DATA_FEBRERO_2025[[#This Row],[META]]</f>
        <v>0.77047619047619043</v>
      </c>
      <c r="N53">
        <f>6-ROUNDUP(_xlfn.RANK.EQ(DATA_FEBRERO_2025[[#This Row],[AL_AC]],DATA_FEBRERO_2025[AL_AC],0)/(COUNTA(DATA_FEBRERO_2025[AL_AC])/5),0)</f>
        <v>4</v>
      </c>
      <c r="O53" t="s">
        <v>6</v>
      </c>
      <c r="P53">
        <f>SUM(DATA_FEBRERO_2025[[#This Row],[1]:[31]])</f>
        <v>16180</v>
      </c>
      <c r="Q53">
        <v>21000</v>
      </c>
      <c r="R53" t="s">
        <v>31</v>
      </c>
      <c r="W53">
        <v>1000</v>
      </c>
      <c r="Y53">
        <v>1600</v>
      </c>
      <c r="AE53">
        <v>250</v>
      </c>
      <c r="AF53">
        <v>500</v>
      </c>
      <c r="AG53">
        <v>500</v>
      </c>
      <c r="AI53">
        <v>2500</v>
      </c>
      <c r="AJ53">
        <v>5000</v>
      </c>
      <c r="AS53">
        <v>4580</v>
      </c>
      <c r="AT53">
        <v>250</v>
      </c>
      <c r="AX53" t="s">
        <v>152</v>
      </c>
    </row>
    <row r="54" spans="1:50" x14ac:dyDescent="0.25">
      <c r="A54" t="str">
        <f>D1_FEBRERO_2025[[#This Row],[SUPER2]]</f>
        <v>MELITA</v>
      </c>
      <c r="B54" t="s">
        <v>104</v>
      </c>
      <c r="C54">
        <f>VLOOKUP(D1_FEBRERO_2025[[#This Row],[SUPER]],DATA_FEBRERO_2025[[SUPERVISOR]:[META]],3,0)</f>
        <v>16500</v>
      </c>
      <c r="D54">
        <f>D1_FEBRERO_2025[[#This Row],[RECUPERO]]/C54</f>
        <v>0.1672121212121212</v>
      </c>
      <c r="E54" t="s">
        <v>115</v>
      </c>
      <c r="F54" t="s">
        <v>104</v>
      </c>
      <c r="G54">
        <v>2759</v>
      </c>
      <c r="H54" t="s">
        <v>456</v>
      </c>
      <c r="I54" s="55">
        <v>44104</v>
      </c>
      <c r="J54" t="s">
        <v>501</v>
      </c>
      <c r="L54" s="55"/>
      <c r="M54" s="1">
        <f>DATA_FEBRERO_2025[[#This Row],[RECUPERO]]/DATA_FEBRERO_2025[[#This Row],[META]]</f>
        <v>0.4911224137931034</v>
      </c>
      <c r="N54">
        <f>6-ROUNDUP(_xlfn.RANK.EQ(DATA_FEBRERO_2025[[#This Row],[AL_AC]],DATA_FEBRERO_2025[AL_AC],0)/(COUNTA(DATA_FEBRERO_2025[AL_AC])/5),0)</f>
        <v>3</v>
      </c>
      <c r="O54" t="s">
        <v>4</v>
      </c>
      <c r="P54">
        <f>SUM(DATA_FEBRERO_2025[[#This Row],[1]:[31]])</f>
        <v>28485.1</v>
      </c>
      <c r="Q54">
        <v>58000</v>
      </c>
      <c r="R54" t="s">
        <v>29</v>
      </c>
      <c r="S54">
        <v>320</v>
      </c>
      <c r="AE54">
        <v>1500</v>
      </c>
      <c r="AF54">
        <v>1200</v>
      </c>
      <c r="AG54">
        <v>0</v>
      </c>
      <c r="AI54">
        <v>5900</v>
      </c>
      <c r="AJ54">
        <v>2000</v>
      </c>
      <c r="AK54">
        <v>1170.0999999999999</v>
      </c>
      <c r="AL54">
        <v>5000</v>
      </c>
      <c r="AM54">
        <v>1500</v>
      </c>
      <c r="AQ54">
        <v>6700</v>
      </c>
      <c r="AR54">
        <v>1000</v>
      </c>
      <c r="AS54">
        <v>335</v>
      </c>
      <c r="AT54">
        <v>1860</v>
      </c>
      <c r="AX54" t="s">
        <v>150</v>
      </c>
    </row>
    <row r="55" spans="1:50" x14ac:dyDescent="0.25">
      <c r="A55" t="str">
        <f>D1_FEBRERO_2025[[#This Row],[SUPER2]]</f>
        <v>MELITA</v>
      </c>
      <c r="B55" t="s">
        <v>80</v>
      </c>
      <c r="C55">
        <f>VLOOKUP(D1_FEBRERO_2025[[#This Row],[SUPER]],DATA_FEBRERO_2025[[SUPERVISOR]:[META]],3,0)</f>
        <v>16500</v>
      </c>
      <c r="D55">
        <f>D1_FEBRERO_2025[[#This Row],[RECUPERO]]/C55</f>
        <v>1.2287878787878788</v>
      </c>
      <c r="E55" t="s">
        <v>115</v>
      </c>
      <c r="F55" t="s">
        <v>80</v>
      </c>
      <c r="G55">
        <v>20275</v>
      </c>
      <c r="H55" t="s">
        <v>433</v>
      </c>
      <c r="I55" s="55">
        <v>45285</v>
      </c>
      <c r="J55" t="s">
        <v>501</v>
      </c>
      <c r="L55" s="55"/>
      <c r="M55" s="1">
        <f>DATA_FEBRERO_2025[[#This Row],[RECUPERO]]/DATA_FEBRERO_2025[[#This Row],[META]]</f>
        <v>0.74561904761904763</v>
      </c>
      <c r="N55">
        <f>6-ROUNDUP(_xlfn.RANK.EQ(DATA_FEBRERO_2025[[#This Row],[AL_AC]],DATA_FEBRERO_2025[AL_AC],0)/(COUNTA(DATA_FEBRERO_2025[AL_AC])/5),0)</f>
        <v>4</v>
      </c>
      <c r="O55" t="s">
        <v>9</v>
      </c>
      <c r="P55">
        <f>SUM(DATA_FEBRERO_2025[[#This Row],[1]:[31]])</f>
        <v>15658</v>
      </c>
      <c r="Q55">
        <v>21000</v>
      </c>
      <c r="R55" t="s">
        <v>121</v>
      </c>
      <c r="U55">
        <v>200</v>
      </c>
      <c r="W55">
        <v>300</v>
      </c>
      <c r="Y55">
        <v>180</v>
      </c>
      <c r="AD55">
        <v>160</v>
      </c>
      <c r="AF55">
        <v>5351</v>
      </c>
      <c r="AI55">
        <v>900</v>
      </c>
      <c r="AJ55">
        <v>200</v>
      </c>
      <c r="AK55">
        <v>180</v>
      </c>
      <c r="AL55">
        <v>2000</v>
      </c>
      <c r="AN55">
        <v>682</v>
      </c>
      <c r="AP55">
        <v>2200</v>
      </c>
      <c r="AR55">
        <v>602</v>
      </c>
      <c r="AS55">
        <v>750</v>
      </c>
      <c r="AT55">
        <v>1953</v>
      </c>
      <c r="AX55" t="s">
        <v>153</v>
      </c>
    </row>
    <row r="56" spans="1:50" x14ac:dyDescent="0.25">
      <c r="A56" t="str">
        <f>D1_FEBRERO_2025[[#This Row],[SUPER2]]</f>
        <v>MELITA</v>
      </c>
      <c r="B56" t="s">
        <v>24</v>
      </c>
      <c r="C56">
        <f>VLOOKUP(D1_FEBRERO_2025[[#This Row],[SUPER]],DATA_FEBRERO_2025[[SUPERVISOR]:[META]],3,0)</f>
        <v>16500</v>
      </c>
      <c r="D56">
        <f>D1_FEBRERO_2025[[#This Row],[RECUPERO]]/C56</f>
        <v>0.48145454545454547</v>
      </c>
      <c r="E56" t="s">
        <v>115</v>
      </c>
      <c r="F56" t="s">
        <v>24</v>
      </c>
      <c r="G56">
        <v>7944</v>
      </c>
      <c r="H56" t="s">
        <v>434</v>
      </c>
      <c r="I56" s="55">
        <v>45334</v>
      </c>
      <c r="J56" t="s">
        <v>501</v>
      </c>
      <c r="L56" s="55"/>
      <c r="M56" s="1">
        <f>DATA_FEBRERO_2025[[#This Row],[RECUPERO]]/DATA_FEBRERO_2025[[#This Row],[META]]</f>
        <v>0.38476190476190475</v>
      </c>
      <c r="N56">
        <f>6-ROUNDUP(_xlfn.RANK.EQ(DATA_FEBRERO_2025[[#This Row],[AL_AC]],DATA_FEBRERO_2025[AL_AC],0)/(COUNTA(DATA_FEBRERO_2025[AL_AC])/5),0)</f>
        <v>2</v>
      </c>
      <c r="O56" t="s">
        <v>6</v>
      </c>
      <c r="P56">
        <f>SUM(DATA_FEBRERO_2025[[#This Row],[1]:[31]])</f>
        <v>8080</v>
      </c>
      <c r="Q56">
        <v>21000</v>
      </c>
      <c r="R56" t="s">
        <v>110</v>
      </c>
      <c r="AE56">
        <v>380</v>
      </c>
      <c r="AI56">
        <v>5000</v>
      </c>
      <c r="AK56">
        <v>2300</v>
      </c>
      <c r="AQ56">
        <v>400</v>
      </c>
      <c r="AX56" t="s">
        <v>152</v>
      </c>
    </row>
    <row r="57" spans="1:50" x14ac:dyDescent="0.25">
      <c r="A57" t="str">
        <f>D1_FEBRERO_2025[[#This Row],[SUPER2]]</f>
        <v>MELITA</v>
      </c>
      <c r="B57" t="s">
        <v>83</v>
      </c>
      <c r="C57">
        <f>VLOOKUP(D1_FEBRERO_2025[[#This Row],[SUPER]],DATA_FEBRERO_2025[[SUPERVISOR]:[META]],3,0)</f>
        <v>16500</v>
      </c>
      <c r="D57">
        <f>D1_FEBRERO_2025[[#This Row],[RECUPERO]]/C57</f>
        <v>0.41769696969696968</v>
      </c>
      <c r="E57" t="s">
        <v>115</v>
      </c>
      <c r="F57" t="s">
        <v>83</v>
      </c>
      <c r="G57">
        <v>6892</v>
      </c>
      <c r="H57" t="s">
        <v>435</v>
      </c>
      <c r="I57" s="55">
        <v>44937</v>
      </c>
      <c r="J57" t="s">
        <v>501</v>
      </c>
      <c r="L57" s="55"/>
      <c r="M57" s="1">
        <f>DATA_FEBRERO_2025[[#This Row],[RECUPERO]]/DATA_FEBRERO_2025[[#This Row],[META]]</f>
        <v>0.53391379310344833</v>
      </c>
      <c r="N57">
        <f>6-ROUNDUP(_xlfn.RANK.EQ(DATA_FEBRERO_2025[[#This Row],[AL_AC]],DATA_FEBRERO_2025[AL_AC],0)/(COUNTA(DATA_FEBRERO_2025[AL_AC])/5),0)</f>
        <v>3</v>
      </c>
      <c r="O57" t="s">
        <v>5</v>
      </c>
      <c r="P57">
        <f>SUM(DATA_FEBRERO_2025[[#This Row],[1]:[31]])</f>
        <v>30967</v>
      </c>
      <c r="Q57">
        <v>58000</v>
      </c>
      <c r="R57" t="s">
        <v>17</v>
      </c>
      <c r="U57">
        <v>3700</v>
      </c>
      <c r="V57">
        <v>1441</v>
      </c>
      <c r="X57">
        <v>3500</v>
      </c>
      <c r="AB57">
        <v>4000</v>
      </c>
      <c r="AF57">
        <v>692</v>
      </c>
      <c r="AI57">
        <v>4000</v>
      </c>
      <c r="AK57">
        <v>1333</v>
      </c>
      <c r="AL57">
        <v>1000</v>
      </c>
      <c r="AM57">
        <v>600</v>
      </c>
      <c r="AN57">
        <v>3501</v>
      </c>
      <c r="AR57">
        <v>3800</v>
      </c>
      <c r="AS57">
        <v>2200</v>
      </c>
      <c r="AT57">
        <v>1200</v>
      </c>
      <c r="AX57" t="s">
        <v>150</v>
      </c>
    </row>
    <row r="58" spans="1:50" x14ac:dyDescent="0.25">
      <c r="A58" t="str">
        <f>D1_FEBRERO_2025[[#This Row],[SUPER2]]</f>
        <v>MELITA</v>
      </c>
      <c r="B58" t="s">
        <v>49</v>
      </c>
      <c r="C58">
        <f>VLOOKUP(D1_FEBRERO_2025[[#This Row],[SUPER]],DATA_FEBRERO_2025[[SUPERVISOR]:[META]],3,0)</f>
        <v>16500</v>
      </c>
      <c r="D58">
        <f>D1_FEBRERO_2025[[#This Row],[RECUPERO]]/C58</f>
        <v>0.7533333333333333</v>
      </c>
      <c r="E58" t="s">
        <v>115</v>
      </c>
      <c r="F58" t="s">
        <v>49</v>
      </c>
      <c r="G58">
        <v>12430</v>
      </c>
      <c r="H58" t="s">
        <v>436</v>
      </c>
      <c r="I58" s="55">
        <v>42814</v>
      </c>
      <c r="J58" t="s">
        <v>501</v>
      </c>
      <c r="L58" s="55"/>
      <c r="M58" s="1">
        <f>DATA_FEBRERO_2025[[#This Row],[RECUPERO]]/DATA_FEBRERO_2025[[#This Row],[META]]</f>
        <v>0.14345238095238094</v>
      </c>
      <c r="N58">
        <f>6-ROUNDUP(_xlfn.RANK.EQ(DATA_FEBRERO_2025[[#This Row],[AL_AC]],DATA_FEBRERO_2025[AL_AC],0)/(COUNTA(DATA_FEBRERO_2025[AL_AC])/5),0)</f>
        <v>1</v>
      </c>
      <c r="O58" t="s">
        <v>6</v>
      </c>
      <c r="P58">
        <f>SUM(DATA_FEBRERO_2025[[#This Row],[1]:[31]])</f>
        <v>3012.5</v>
      </c>
      <c r="Q58">
        <v>21000</v>
      </c>
      <c r="R58" t="s">
        <v>119</v>
      </c>
      <c r="W58">
        <v>300</v>
      </c>
      <c r="X58">
        <v>450</v>
      </c>
      <c r="AB58">
        <v>400</v>
      </c>
      <c r="AC58">
        <v>700</v>
      </c>
      <c r="AD58">
        <v>862.5</v>
      </c>
      <c r="AF58">
        <v>300</v>
      </c>
      <c r="AX58" t="s">
        <v>152</v>
      </c>
    </row>
    <row r="59" spans="1:50" x14ac:dyDescent="0.25">
      <c r="A59" t="str">
        <f>D1_FEBRERO_2025[[#This Row],[SUPER2]]</f>
        <v>MELITA</v>
      </c>
      <c r="B59" t="s">
        <v>96</v>
      </c>
      <c r="C59">
        <f>VLOOKUP(D1_FEBRERO_2025[[#This Row],[SUPER]],DATA_FEBRERO_2025[[SUPERVISOR]:[META]],3,0)</f>
        <v>16500</v>
      </c>
      <c r="D59">
        <f>D1_FEBRERO_2025[[#This Row],[RECUPERO]]/C59</f>
        <v>0.29459575757575757</v>
      </c>
      <c r="E59" t="s">
        <v>115</v>
      </c>
      <c r="F59" t="s">
        <v>96</v>
      </c>
      <c r="G59">
        <v>4860.83</v>
      </c>
      <c r="H59" t="s">
        <v>437</v>
      </c>
      <c r="I59" s="55">
        <v>45671</v>
      </c>
      <c r="J59" t="s">
        <v>501</v>
      </c>
      <c r="L59" s="55"/>
      <c r="M59" s="1">
        <f>DATA_FEBRERO_2025[[#This Row],[RECUPERO]]/DATA_FEBRERO_2025[[#This Row],[META]]</f>
        <v>0.89168965517241383</v>
      </c>
      <c r="N59">
        <f>6-ROUNDUP(_xlfn.RANK.EQ(DATA_FEBRERO_2025[[#This Row],[AL_AC]],DATA_FEBRERO_2025[AL_AC],0)/(COUNTA(DATA_FEBRERO_2025[AL_AC])/5),0)</f>
        <v>4</v>
      </c>
      <c r="O59" t="s">
        <v>4</v>
      </c>
      <c r="P59">
        <f>SUM(DATA_FEBRERO_2025[[#This Row],[1]:[31]])</f>
        <v>51718</v>
      </c>
      <c r="Q59">
        <v>58000</v>
      </c>
      <c r="R59" t="s">
        <v>75</v>
      </c>
      <c r="U59">
        <v>1001</v>
      </c>
      <c r="V59">
        <v>6500</v>
      </c>
      <c r="AB59">
        <v>1000</v>
      </c>
      <c r="AD59">
        <v>500</v>
      </c>
      <c r="AE59">
        <v>1300</v>
      </c>
      <c r="AF59">
        <v>2000</v>
      </c>
      <c r="AI59">
        <v>19680</v>
      </c>
      <c r="AJ59">
        <v>992</v>
      </c>
      <c r="AK59">
        <v>400</v>
      </c>
      <c r="AL59">
        <v>800</v>
      </c>
      <c r="AP59">
        <v>3200</v>
      </c>
      <c r="AQ59">
        <v>320</v>
      </c>
      <c r="AS59">
        <v>7000</v>
      </c>
      <c r="AT59">
        <v>7025</v>
      </c>
      <c r="AX59" t="s">
        <v>150</v>
      </c>
    </row>
    <row r="60" spans="1:50" x14ac:dyDescent="0.25">
      <c r="A60" t="str">
        <f>D1_FEBRERO_2025[[#This Row],[SUPER2]]</f>
        <v>MELITA</v>
      </c>
      <c r="B60" t="s">
        <v>33</v>
      </c>
      <c r="C60">
        <f>VLOOKUP(D1_FEBRERO_2025[[#This Row],[SUPER]],DATA_FEBRERO_2025[[SUPERVISOR]:[META]],3,0)</f>
        <v>16500</v>
      </c>
      <c r="D60">
        <f>D1_FEBRERO_2025[[#This Row],[RECUPERO]]/C60</f>
        <v>0.4498060606060606</v>
      </c>
      <c r="E60" t="s">
        <v>115</v>
      </c>
      <c r="F60" t="s">
        <v>33</v>
      </c>
      <c r="G60">
        <v>7421.8</v>
      </c>
      <c r="H60" t="s">
        <v>439</v>
      </c>
      <c r="I60" s="55">
        <v>44869</v>
      </c>
      <c r="J60" t="s">
        <v>501</v>
      </c>
      <c r="L60" s="55"/>
      <c r="M60" s="1">
        <f>DATA_FEBRERO_2025[[#This Row],[RECUPERO]]/DATA_FEBRERO_2025[[#This Row],[META]]</f>
        <v>1.5892857142857142</v>
      </c>
      <c r="N60">
        <f>6-ROUNDUP(_xlfn.RANK.EQ(DATA_FEBRERO_2025[[#This Row],[AL_AC]],DATA_FEBRERO_2025[AL_AC],0)/(COUNTA(DATA_FEBRERO_2025[AL_AC])/5),0)</f>
        <v>5</v>
      </c>
      <c r="O60" t="s">
        <v>6</v>
      </c>
      <c r="P60">
        <f>SUM(DATA_FEBRERO_2025[[#This Row],[1]:[31]])</f>
        <v>33375</v>
      </c>
      <c r="Q60">
        <v>21000</v>
      </c>
      <c r="R60" t="s">
        <v>120</v>
      </c>
      <c r="W60">
        <v>500</v>
      </c>
      <c r="Y60">
        <v>575</v>
      </c>
      <c r="AD60">
        <v>400</v>
      </c>
      <c r="AF60">
        <v>2200</v>
      </c>
      <c r="AG60">
        <v>400</v>
      </c>
      <c r="AK60">
        <v>5500</v>
      </c>
      <c r="AL60">
        <v>1000</v>
      </c>
      <c r="AM60">
        <v>3300</v>
      </c>
      <c r="AR60">
        <v>9000</v>
      </c>
      <c r="AS60">
        <v>10000</v>
      </c>
      <c r="AT60">
        <v>500</v>
      </c>
      <c r="AX60" t="s">
        <v>152</v>
      </c>
    </row>
    <row r="61" spans="1:50" x14ac:dyDescent="0.25">
      <c r="A61" t="str">
        <f>D1_FEBRERO_2025[[#This Row],[SUPER2]]</f>
        <v>MELITA</v>
      </c>
      <c r="B61" t="s">
        <v>68</v>
      </c>
      <c r="C61">
        <f>VLOOKUP(D1_FEBRERO_2025[[#This Row],[SUPER]],DATA_FEBRERO_2025[[SUPERVISOR]:[META]],3,0)</f>
        <v>16500</v>
      </c>
      <c r="D61">
        <f>D1_FEBRERO_2025[[#This Row],[RECUPERO]]/C61</f>
        <v>0.66487878787878785</v>
      </c>
      <c r="E61" t="s">
        <v>115</v>
      </c>
      <c r="F61" t="s">
        <v>68</v>
      </c>
      <c r="G61">
        <v>10970.5</v>
      </c>
      <c r="H61" t="s">
        <v>440</v>
      </c>
      <c r="I61" s="55">
        <v>45364</v>
      </c>
      <c r="J61" t="s">
        <v>501</v>
      </c>
      <c r="L61" s="55"/>
      <c r="M61" s="1">
        <f>DATA_FEBRERO_2025[[#This Row],[RECUPERO]]/DATA_FEBRERO_2025[[#This Row],[META]]</f>
        <v>0.77317241379310342</v>
      </c>
      <c r="N61">
        <f>6-ROUNDUP(_xlfn.RANK.EQ(DATA_FEBRERO_2025[[#This Row],[AL_AC]],DATA_FEBRERO_2025[AL_AC],0)/(COUNTA(DATA_FEBRERO_2025[AL_AC])/5),0)</f>
        <v>4</v>
      </c>
      <c r="O61" t="s">
        <v>5</v>
      </c>
      <c r="P61">
        <f>SUM(DATA_FEBRERO_2025[[#This Row],[1]:[31]])</f>
        <v>44844</v>
      </c>
      <c r="Q61">
        <v>58000</v>
      </c>
      <c r="R61" t="s">
        <v>62</v>
      </c>
      <c r="S61">
        <v>1090</v>
      </c>
      <c r="U61">
        <v>4877</v>
      </c>
      <c r="V61">
        <v>106</v>
      </c>
      <c r="W61">
        <v>15246</v>
      </c>
      <c r="Y61">
        <v>1600</v>
      </c>
      <c r="AB61">
        <v>1480</v>
      </c>
      <c r="AG61">
        <v>450</v>
      </c>
      <c r="AI61">
        <v>205</v>
      </c>
      <c r="AJ61">
        <v>310</v>
      </c>
      <c r="AK61">
        <v>5600</v>
      </c>
      <c r="AL61">
        <v>600</v>
      </c>
      <c r="AM61">
        <v>657</v>
      </c>
      <c r="AP61">
        <v>1300</v>
      </c>
      <c r="AR61">
        <v>4500</v>
      </c>
      <c r="AS61">
        <v>2000</v>
      </c>
      <c r="AT61">
        <v>4823</v>
      </c>
      <c r="AX61" t="s">
        <v>150</v>
      </c>
    </row>
    <row r="62" spans="1:50" x14ac:dyDescent="0.25">
      <c r="A62" t="str">
        <f>D1_FEBRERO_2025[[#This Row],[SUPER2]]</f>
        <v>LUIS</v>
      </c>
      <c r="B62" t="s">
        <v>21</v>
      </c>
      <c r="C62">
        <f>VLOOKUP(D1_FEBRERO_2025[[#This Row],[SUPER]],DATA_FEBRERO_2025[[SUPERVISOR]:[META]],3,0)</f>
        <v>21000</v>
      </c>
      <c r="D62">
        <f>D1_FEBRERO_2025[[#This Row],[RECUPERO]]/C62</f>
        <v>0.68619047619047624</v>
      </c>
      <c r="E62" t="s">
        <v>9</v>
      </c>
      <c r="F62" t="s">
        <v>21</v>
      </c>
      <c r="G62">
        <v>14410</v>
      </c>
      <c r="H62" t="s">
        <v>409</v>
      </c>
      <c r="I62" s="55">
        <v>44301</v>
      </c>
      <c r="J62" t="s">
        <v>501</v>
      </c>
      <c r="L62" s="55"/>
      <c r="M62" s="1">
        <f>DATA_FEBRERO_2025[[#This Row],[RECUPERO]]/DATA_FEBRERO_2025[[#This Row],[META]]</f>
        <v>0.38571428571428573</v>
      </c>
      <c r="N62">
        <f>6-ROUNDUP(_xlfn.RANK.EQ(DATA_FEBRERO_2025[[#This Row],[AL_AC]],DATA_FEBRERO_2025[AL_AC],0)/(COUNTA(DATA_FEBRERO_2025[AL_AC])/5),0)</f>
        <v>2</v>
      </c>
      <c r="O62" t="s">
        <v>6</v>
      </c>
      <c r="P62">
        <f>SUM(DATA_FEBRERO_2025[[#This Row],[1]:[31]])</f>
        <v>8100</v>
      </c>
      <c r="Q62">
        <v>21000</v>
      </c>
      <c r="R62" t="s">
        <v>64</v>
      </c>
      <c r="AC62">
        <v>800</v>
      </c>
      <c r="AE62">
        <v>2000</v>
      </c>
      <c r="AF62">
        <v>3000</v>
      </c>
      <c r="AI62">
        <v>800</v>
      </c>
      <c r="AJ62">
        <v>1500</v>
      </c>
      <c r="AX62" t="s">
        <v>152</v>
      </c>
    </row>
    <row r="63" spans="1:50" x14ac:dyDescent="0.25">
      <c r="A63" t="str">
        <f>D1_FEBRERO_2025[[#This Row],[SUPER2]]</f>
        <v>LUIS</v>
      </c>
      <c r="B63" t="s">
        <v>15</v>
      </c>
      <c r="C63">
        <f>VLOOKUP(D1_FEBRERO_2025[[#This Row],[SUPER]],DATA_FEBRERO_2025[[SUPERVISOR]:[META]],3,0)</f>
        <v>21000</v>
      </c>
      <c r="D63">
        <f>D1_FEBRERO_2025[[#This Row],[RECUPERO]]/C63</f>
        <v>0.79371428571428571</v>
      </c>
      <c r="E63" t="s">
        <v>9</v>
      </c>
      <c r="F63" t="s">
        <v>15</v>
      </c>
      <c r="G63">
        <v>16668</v>
      </c>
      <c r="H63" t="s">
        <v>410</v>
      </c>
      <c r="I63" s="55">
        <v>44735</v>
      </c>
      <c r="J63" t="s">
        <v>501</v>
      </c>
      <c r="L63" s="55"/>
      <c r="M63" s="1">
        <f>DATA_FEBRERO_2025[[#This Row],[RECUPERO]]/DATA_FEBRERO_2025[[#This Row],[META]]</f>
        <v>0.84617241379310348</v>
      </c>
      <c r="N63">
        <f>6-ROUNDUP(_xlfn.RANK.EQ(DATA_FEBRERO_2025[[#This Row],[AL_AC]],DATA_FEBRERO_2025[AL_AC],0)/(COUNTA(DATA_FEBRERO_2025[AL_AC])/5),0)</f>
        <v>4</v>
      </c>
      <c r="O63" t="s">
        <v>4</v>
      </c>
      <c r="P63">
        <f>SUM(DATA_FEBRERO_2025[[#This Row],[1]:[31]])</f>
        <v>49078</v>
      </c>
      <c r="Q63">
        <v>58000</v>
      </c>
      <c r="R63" t="s">
        <v>11</v>
      </c>
      <c r="U63">
        <v>5000</v>
      </c>
      <c r="V63">
        <v>1500</v>
      </c>
      <c r="Y63">
        <v>20500</v>
      </c>
      <c r="AB63">
        <v>523</v>
      </c>
      <c r="AC63">
        <v>255</v>
      </c>
      <c r="AD63">
        <v>1150</v>
      </c>
      <c r="AE63">
        <v>2000</v>
      </c>
      <c r="AG63">
        <v>600</v>
      </c>
      <c r="AI63">
        <v>300</v>
      </c>
      <c r="AJ63">
        <v>3489</v>
      </c>
      <c r="AK63">
        <v>700</v>
      </c>
      <c r="AP63">
        <v>2800</v>
      </c>
      <c r="AQ63">
        <v>7261</v>
      </c>
      <c r="AR63">
        <v>900</v>
      </c>
      <c r="AT63">
        <v>2100</v>
      </c>
      <c r="AX63" t="s">
        <v>150</v>
      </c>
    </row>
    <row r="64" spans="1:50" x14ac:dyDescent="0.25">
      <c r="A64" t="str">
        <f>D1_FEBRERO_2025[[#This Row],[SUPER2]]</f>
        <v>LUIS</v>
      </c>
      <c r="B64" t="s">
        <v>61</v>
      </c>
      <c r="C64">
        <f>VLOOKUP(D1_FEBRERO_2025[[#This Row],[SUPER]],DATA_FEBRERO_2025[[SUPERVISOR]:[META]],3,0)</f>
        <v>21000</v>
      </c>
      <c r="D64">
        <f>D1_FEBRERO_2025[[#This Row],[RECUPERO]]/C64</f>
        <v>0.38085714285714284</v>
      </c>
      <c r="E64" t="s">
        <v>9</v>
      </c>
      <c r="F64" t="s">
        <v>61</v>
      </c>
      <c r="G64">
        <v>7998</v>
      </c>
      <c r="H64" t="s">
        <v>411</v>
      </c>
      <c r="I64" s="55">
        <v>44909</v>
      </c>
      <c r="J64" t="s">
        <v>501</v>
      </c>
      <c r="L64" s="55"/>
      <c r="M64" s="1">
        <f>DATA_FEBRERO_2025[[#This Row],[RECUPERO]]/DATA_FEBRERO_2025[[#This Row],[META]]</f>
        <v>0.67694545454545452</v>
      </c>
      <c r="N64">
        <f>6-ROUNDUP(_xlfn.RANK.EQ(DATA_FEBRERO_2025[[#This Row],[AL_AC]],DATA_FEBRERO_2025[AL_AC],0)/(COUNTA(DATA_FEBRERO_2025[AL_AC])/5),0)</f>
        <v>3</v>
      </c>
      <c r="O64" t="s">
        <v>2</v>
      </c>
      <c r="P64">
        <f>SUM(DATA_FEBRERO_2025[[#This Row],[1]:[31]])</f>
        <v>14892.8</v>
      </c>
      <c r="Q64">
        <v>22000</v>
      </c>
      <c r="R64" t="s">
        <v>74</v>
      </c>
      <c r="S64">
        <v>258</v>
      </c>
      <c r="U64">
        <v>210</v>
      </c>
      <c r="V64">
        <v>550</v>
      </c>
      <c r="X64">
        <v>892</v>
      </c>
      <c r="Y64">
        <v>2036</v>
      </c>
      <c r="Z64">
        <v>241</v>
      </c>
      <c r="AB64">
        <v>210</v>
      </c>
      <c r="AC64">
        <v>950</v>
      </c>
      <c r="AE64">
        <v>2505.8000000000002</v>
      </c>
      <c r="AF64">
        <v>500</v>
      </c>
      <c r="AI64">
        <v>950</v>
      </c>
      <c r="AL64">
        <v>2800</v>
      </c>
      <c r="AP64">
        <v>1600</v>
      </c>
      <c r="AR64">
        <v>210</v>
      </c>
      <c r="AT64">
        <v>980</v>
      </c>
      <c r="AX64" t="s">
        <v>151</v>
      </c>
    </row>
    <row r="65" spans="1:50" x14ac:dyDescent="0.25">
      <c r="A65" t="str">
        <f>D1_FEBRERO_2025[[#This Row],[SUPER2]]</f>
        <v>LUIS</v>
      </c>
      <c r="B65" t="s">
        <v>27</v>
      </c>
      <c r="C65">
        <f>VLOOKUP(D1_FEBRERO_2025[[#This Row],[SUPER]],DATA_FEBRERO_2025[[SUPERVISOR]:[META]],3,0)</f>
        <v>21000</v>
      </c>
      <c r="D65">
        <f>D1_FEBRERO_2025[[#This Row],[RECUPERO]]/C65</f>
        <v>0.4819761904761905</v>
      </c>
      <c r="E65" t="s">
        <v>9</v>
      </c>
      <c r="F65" t="s">
        <v>27</v>
      </c>
      <c r="G65">
        <v>10121.5</v>
      </c>
      <c r="H65" t="s">
        <v>412</v>
      </c>
      <c r="I65" s="55">
        <v>45675</v>
      </c>
      <c r="J65" t="s">
        <v>501</v>
      </c>
      <c r="L65" s="55"/>
      <c r="M65" s="1">
        <f>DATA_FEBRERO_2025[[#This Row],[RECUPERO]]/DATA_FEBRERO_2025[[#This Row],[META]]</f>
        <v>0.71406017241379305</v>
      </c>
      <c r="N65">
        <f>6-ROUNDUP(_xlfn.RANK.EQ(DATA_FEBRERO_2025[[#This Row],[AL_AC]],DATA_FEBRERO_2025[AL_AC],0)/(COUNTA(DATA_FEBRERO_2025[AL_AC])/5),0)</f>
        <v>4</v>
      </c>
      <c r="O65" t="s">
        <v>5</v>
      </c>
      <c r="P65">
        <f>SUM(DATA_FEBRERO_2025[[#This Row],[1]:[31]])</f>
        <v>41415.49</v>
      </c>
      <c r="Q65">
        <v>58000</v>
      </c>
      <c r="R65" t="s">
        <v>79</v>
      </c>
      <c r="AC65">
        <v>2800</v>
      </c>
      <c r="AF65">
        <v>1000</v>
      </c>
      <c r="AI65">
        <v>4000</v>
      </c>
      <c r="AL65">
        <v>100</v>
      </c>
      <c r="AP65">
        <v>3100</v>
      </c>
      <c r="AQ65">
        <v>10715.39</v>
      </c>
      <c r="AR65">
        <v>15000</v>
      </c>
      <c r="AT65">
        <v>4700.1000000000004</v>
      </c>
      <c r="AX65" t="s">
        <v>150</v>
      </c>
    </row>
    <row r="66" spans="1:50" x14ac:dyDescent="0.25">
      <c r="A66" t="str">
        <f>D1_FEBRERO_2025[[#This Row],[SUPER2]]</f>
        <v>LUIS</v>
      </c>
      <c r="B66" t="s">
        <v>51</v>
      </c>
      <c r="C66">
        <f>VLOOKUP(D1_FEBRERO_2025[[#This Row],[SUPER]],DATA_FEBRERO_2025[[SUPERVISOR]:[META]],3,0)</f>
        <v>21000</v>
      </c>
      <c r="D66">
        <f>D1_FEBRERO_2025[[#This Row],[RECUPERO]]/C66</f>
        <v>0.30476190476190479</v>
      </c>
      <c r="E66" t="s">
        <v>9</v>
      </c>
      <c r="F66" t="s">
        <v>51</v>
      </c>
      <c r="G66">
        <v>6400</v>
      </c>
      <c r="H66" t="s">
        <v>413</v>
      </c>
      <c r="I66" s="55">
        <v>45674</v>
      </c>
      <c r="J66" t="s">
        <v>501</v>
      </c>
      <c r="L66" s="55"/>
      <c r="M66" s="1">
        <f>DATA_FEBRERO_2025[[#This Row],[RECUPERO]]/DATA_FEBRERO_2025[[#This Row],[META]]</f>
        <v>2.7272727272727271E-2</v>
      </c>
      <c r="N66">
        <f>6-ROUNDUP(_xlfn.RANK.EQ(DATA_FEBRERO_2025[[#This Row],[AL_AC]],DATA_FEBRERO_2025[AL_AC],0)/(COUNTA(DATA_FEBRERO_2025[AL_AC])/5),0)</f>
        <v>1</v>
      </c>
      <c r="O66" t="s">
        <v>2</v>
      </c>
      <c r="P66">
        <f>SUM(DATA_FEBRERO_2025[[#This Row],[1]:[31]])</f>
        <v>600</v>
      </c>
      <c r="Q66">
        <v>22000</v>
      </c>
      <c r="R66" t="s">
        <v>126</v>
      </c>
      <c r="AR66">
        <v>600</v>
      </c>
      <c r="AX66" t="s">
        <v>151</v>
      </c>
    </row>
    <row r="67" spans="1:50" x14ac:dyDescent="0.25">
      <c r="A67" t="str">
        <f>D1_FEBRERO_2025[[#This Row],[SUPER2]]</f>
        <v>LUIS</v>
      </c>
      <c r="B67" t="s">
        <v>71</v>
      </c>
      <c r="C67">
        <f>VLOOKUP(D1_FEBRERO_2025[[#This Row],[SUPER]],DATA_FEBRERO_2025[[SUPERVISOR]:[META]],3,0)</f>
        <v>21000</v>
      </c>
      <c r="D67">
        <f>D1_FEBRERO_2025[[#This Row],[RECUPERO]]/C67</f>
        <v>0.4204761904761905</v>
      </c>
      <c r="E67" t="s">
        <v>9</v>
      </c>
      <c r="F67" t="s">
        <v>71</v>
      </c>
      <c r="G67">
        <v>8830</v>
      </c>
      <c r="H67" t="s">
        <v>414</v>
      </c>
      <c r="I67" s="55">
        <v>45423</v>
      </c>
      <c r="J67" t="s">
        <v>501</v>
      </c>
      <c r="L67" s="55"/>
      <c r="M67" s="1">
        <f>DATA_FEBRERO_2025[[#This Row],[RECUPERO]]/DATA_FEBRERO_2025[[#This Row],[META]]</f>
        <v>0.35418181818181821</v>
      </c>
      <c r="N67">
        <f>6-ROUNDUP(_xlfn.RANK.EQ(DATA_FEBRERO_2025[[#This Row],[AL_AC]],DATA_FEBRERO_2025[AL_AC],0)/(COUNTA(DATA_FEBRERO_2025[AL_AC])/5),0)</f>
        <v>1</v>
      </c>
      <c r="O67" t="s">
        <v>2</v>
      </c>
      <c r="P67">
        <f>SUM(DATA_FEBRERO_2025[[#This Row],[1]:[31]])</f>
        <v>7792</v>
      </c>
      <c r="Q67">
        <v>22000</v>
      </c>
      <c r="R67" t="s">
        <v>117</v>
      </c>
      <c r="U67">
        <v>100</v>
      </c>
      <c r="W67">
        <v>2200</v>
      </c>
      <c r="X67">
        <v>195</v>
      </c>
      <c r="Y67">
        <v>2324</v>
      </c>
      <c r="AB67">
        <v>600</v>
      </c>
      <c r="AC67">
        <v>803</v>
      </c>
      <c r="AD67">
        <v>100</v>
      </c>
      <c r="AF67">
        <v>800</v>
      </c>
      <c r="AN67">
        <v>670</v>
      </c>
      <c r="AX67" t="s">
        <v>151</v>
      </c>
    </row>
    <row r="68" spans="1:50" x14ac:dyDescent="0.25">
      <c r="A68" t="str">
        <f>D1_FEBRERO_2025[[#This Row],[SUPER2]]</f>
        <v>LUIS</v>
      </c>
      <c r="B68" t="s">
        <v>42</v>
      </c>
      <c r="C68">
        <f>VLOOKUP(D1_FEBRERO_2025[[#This Row],[SUPER]],DATA_FEBRERO_2025[[SUPERVISOR]:[META]],3,0)</f>
        <v>21000</v>
      </c>
      <c r="D68">
        <f>D1_FEBRERO_2025[[#This Row],[RECUPERO]]/C68</f>
        <v>0.30840714285714288</v>
      </c>
      <c r="E68" t="s">
        <v>9</v>
      </c>
      <c r="F68" t="s">
        <v>42</v>
      </c>
      <c r="G68">
        <v>6476.55</v>
      </c>
      <c r="H68" t="s">
        <v>415</v>
      </c>
      <c r="I68" s="55">
        <v>45399</v>
      </c>
      <c r="J68" t="s">
        <v>501</v>
      </c>
      <c r="L68" s="55"/>
      <c r="M68" s="1">
        <f>DATA_FEBRERO_2025[[#This Row],[RECUPERO]]/DATA_FEBRERO_2025[[#This Row],[META]]</f>
        <v>1.0940606896551726</v>
      </c>
      <c r="N68">
        <f>6-ROUNDUP(_xlfn.RANK.EQ(DATA_FEBRERO_2025[[#This Row],[AL_AC]],DATA_FEBRERO_2025[AL_AC],0)/(COUNTA(DATA_FEBRERO_2025[AL_AC])/5),0)</f>
        <v>5</v>
      </c>
      <c r="O68" t="s">
        <v>4</v>
      </c>
      <c r="P68">
        <f>SUM(DATA_FEBRERO_2025[[#This Row],[1]:[31]])</f>
        <v>63455.520000000004</v>
      </c>
      <c r="Q68">
        <v>58000</v>
      </c>
      <c r="R68" t="s">
        <v>59</v>
      </c>
      <c r="U68">
        <v>265</v>
      </c>
      <c r="W68">
        <v>2500</v>
      </c>
      <c r="X68">
        <v>2500</v>
      </c>
      <c r="Y68">
        <v>6100</v>
      </c>
      <c r="AD68">
        <v>1400</v>
      </c>
      <c r="AF68">
        <v>5000</v>
      </c>
      <c r="AG68">
        <v>6000</v>
      </c>
      <c r="AI68">
        <v>2500</v>
      </c>
      <c r="AJ68">
        <v>1500</v>
      </c>
      <c r="AK68">
        <v>10000</v>
      </c>
      <c r="AM68">
        <v>800</v>
      </c>
      <c r="AR68">
        <v>10000</v>
      </c>
      <c r="AS68">
        <v>3000</v>
      </c>
      <c r="AT68">
        <v>11890.52</v>
      </c>
      <c r="AX68" t="s">
        <v>150</v>
      </c>
    </row>
    <row r="69" spans="1:50" x14ac:dyDescent="0.25">
      <c r="A69" t="str">
        <f>D1_FEBRERO_2025[[#This Row],[SUPER2]]</f>
        <v>LUIS</v>
      </c>
      <c r="B69" t="s">
        <v>121</v>
      </c>
      <c r="C69">
        <f>VLOOKUP(D1_FEBRERO_2025[[#This Row],[SUPER]],DATA_FEBRERO_2025[[SUPERVISOR]:[META]],3,0)</f>
        <v>21000</v>
      </c>
      <c r="D69">
        <f>D1_FEBRERO_2025[[#This Row],[RECUPERO]]/C69</f>
        <v>0.74561904761904763</v>
      </c>
      <c r="E69" t="s">
        <v>9</v>
      </c>
      <c r="F69" t="s">
        <v>121</v>
      </c>
      <c r="G69">
        <v>15658</v>
      </c>
      <c r="H69" t="s">
        <v>417</v>
      </c>
      <c r="I69" s="55">
        <v>44510</v>
      </c>
      <c r="J69" t="s">
        <v>501</v>
      </c>
      <c r="L69" s="55"/>
      <c r="M69" s="1">
        <f>DATA_FEBRERO_2025[[#This Row],[RECUPERO]]/DATA_FEBRERO_2025[[#This Row],[META]]</f>
        <v>0.62852931034482751</v>
      </c>
      <c r="N69">
        <f>6-ROUNDUP(_xlfn.RANK.EQ(DATA_FEBRERO_2025[[#This Row],[AL_AC]],DATA_FEBRERO_2025[AL_AC],0)/(COUNTA(DATA_FEBRERO_2025[AL_AC])/5),0)</f>
        <v>3</v>
      </c>
      <c r="O69" t="s">
        <v>3</v>
      </c>
      <c r="P69">
        <f>SUM(DATA_FEBRERO_2025[[#This Row],[1]:[31]])</f>
        <v>36454.699999999997</v>
      </c>
      <c r="Q69">
        <v>58000</v>
      </c>
      <c r="R69" t="s">
        <v>63</v>
      </c>
      <c r="U69">
        <v>2120</v>
      </c>
      <c r="V69">
        <v>1270</v>
      </c>
      <c r="X69">
        <v>1110</v>
      </c>
      <c r="Y69">
        <v>262</v>
      </c>
      <c r="AB69">
        <v>225</v>
      </c>
      <c r="AC69">
        <v>907</v>
      </c>
      <c r="AE69">
        <v>5000</v>
      </c>
      <c r="AF69">
        <v>460</v>
      </c>
      <c r="AG69">
        <v>325</v>
      </c>
      <c r="AK69">
        <v>7973</v>
      </c>
      <c r="AP69">
        <v>674</v>
      </c>
      <c r="AQ69">
        <v>4870</v>
      </c>
      <c r="AR69">
        <v>7115</v>
      </c>
      <c r="AT69">
        <v>4143.7</v>
      </c>
      <c r="AX69" t="s">
        <v>150</v>
      </c>
    </row>
    <row r="70" spans="1:50" x14ac:dyDescent="0.25">
      <c r="A70" t="str">
        <f>D1_FEBRERO_2025[[#This Row],[SUPER2]]</f>
        <v>LUIS</v>
      </c>
      <c r="B70" t="s">
        <v>103</v>
      </c>
      <c r="C70">
        <f>VLOOKUP(D1_FEBRERO_2025[[#This Row],[SUPER]],DATA_FEBRERO_2025[[SUPERVISOR]:[META]],3,0)</f>
        <v>21000</v>
      </c>
      <c r="D70">
        <f>D1_FEBRERO_2025[[#This Row],[RECUPERO]]/C70</f>
        <v>0.46733809523809527</v>
      </c>
      <c r="E70" t="s">
        <v>9</v>
      </c>
      <c r="F70" t="s">
        <v>103</v>
      </c>
      <c r="G70">
        <v>9814.1</v>
      </c>
      <c r="H70" t="s">
        <v>419</v>
      </c>
      <c r="I70" s="55">
        <v>45451</v>
      </c>
      <c r="J70" t="s">
        <v>501</v>
      </c>
      <c r="L70" s="55"/>
      <c r="M70" s="1">
        <f>DATA_FEBRERO_2025[[#This Row],[RECUPERO]]/DATA_FEBRERO_2025[[#This Row],[META]]</f>
        <v>0.46733809523809527</v>
      </c>
      <c r="N70">
        <f>6-ROUNDUP(_xlfn.RANK.EQ(DATA_FEBRERO_2025[[#This Row],[AL_AC]],DATA_FEBRERO_2025[AL_AC],0)/(COUNTA(DATA_FEBRERO_2025[AL_AC])/5),0)</f>
        <v>2</v>
      </c>
      <c r="O70" t="s">
        <v>9</v>
      </c>
      <c r="P70">
        <f>SUM(DATA_FEBRERO_2025[[#This Row],[1]:[31]])</f>
        <v>9814.1</v>
      </c>
      <c r="Q70">
        <v>21000</v>
      </c>
      <c r="R70" t="s">
        <v>103</v>
      </c>
      <c r="V70">
        <v>1000</v>
      </c>
      <c r="W70">
        <v>300</v>
      </c>
      <c r="AD70">
        <v>234</v>
      </c>
      <c r="AF70">
        <v>350</v>
      </c>
      <c r="AJ70">
        <v>350</v>
      </c>
      <c r="AK70">
        <v>500</v>
      </c>
      <c r="AL70">
        <v>400</v>
      </c>
      <c r="AM70">
        <v>2000.1</v>
      </c>
      <c r="AP70">
        <v>1500</v>
      </c>
      <c r="AQ70">
        <v>700</v>
      </c>
      <c r="AR70">
        <v>550</v>
      </c>
      <c r="AT70">
        <v>1930</v>
      </c>
      <c r="AX70" t="s">
        <v>153</v>
      </c>
    </row>
    <row r="71" spans="1:50" x14ac:dyDescent="0.25">
      <c r="A71" t="str">
        <f>D1_FEBRERO_2025[[#This Row],[SUPER2]]</f>
        <v>LUIS</v>
      </c>
      <c r="B71" t="s">
        <v>73</v>
      </c>
      <c r="C71">
        <f>VLOOKUP(D1_FEBRERO_2025[[#This Row],[SUPER]],DATA_FEBRERO_2025[[SUPERVISOR]:[META]],3,0)</f>
        <v>21000</v>
      </c>
      <c r="D71">
        <f>D1_FEBRERO_2025[[#This Row],[RECUPERO]]/C71</f>
        <v>0.40857142857142859</v>
      </c>
      <c r="E71" t="s">
        <v>9</v>
      </c>
      <c r="F71" t="s">
        <v>73</v>
      </c>
      <c r="G71">
        <v>8580</v>
      </c>
      <c r="H71" t="s">
        <v>420</v>
      </c>
      <c r="I71" s="55">
        <v>45145</v>
      </c>
      <c r="J71" t="s">
        <v>501</v>
      </c>
      <c r="L71" s="55"/>
      <c r="M71" s="1">
        <f>DATA_FEBRERO_2025[[#This Row],[RECUPERO]]/DATA_FEBRERO_2025[[#This Row],[META]]</f>
        <v>0.40857142857142859</v>
      </c>
      <c r="N71">
        <f>6-ROUNDUP(_xlfn.RANK.EQ(DATA_FEBRERO_2025[[#This Row],[AL_AC]],DATA_FEBRERO_2025[AL_AC],0)/(COUNTA(DATA_FEBRERO_2025[AL_AC])/5),0)</f>
        <v>2</v>
      </c>
      <c r="O71" t="s">
        <v>9</v>
      </c>
      <c r="P71">
        <f>SUM(DATA_FEBRERO_2025[[#This Row],[1]:[31]])</f>
        <v>8580</v>
      </c>
      <c r="Q71">
        <v>21000</v>
      </c>
      <c r="R71" t="s">
        <v>73</v>
      </c>
      <c r="U71">
        <v>200</v>
      </c>
      <c r="AB71">
        <v>2050</v>
      </c>
      <c r="AI71">
        <v>1000</v>
      </c>
      <c r="AK71">
        <v>250</v>
      </c>
      <c r="AL71">
        <v>1000</v>
      </c>
      <c r="AP71">
        <v>400</v>
      </c>
      <c r="AQ71">
        <v>1180</v>
      </c>
      <c r="AR71">
        <v>500</v>
      </c>
      <c r="AT71">
        <v>2000</v>
      </c>
      <c r="AX71" t="s">
        <v>153</v>
      </c>
    </row>
    <row r="72" spans="1:50" x14ac:dyDescent="0.25">
      <c r="A72" t="str">
        <f>D1_FEBRERO_2025[[#This Row],[SUPER2]]</f>
        <v>LUIS</v>
      </c>
      <c r="B72" t="s">
        <v>48</v>
      </c>
      <c r="C72">
        <f>VLOOKUP(D1_FEBRERO_2025[[#This Row],[SUPER]],DATA_FEBRERO_2025[[SUPERVISOR]:[META]],3,0)</f>
        <v>21000</v>
      </c>
      <c r="D72">
        <f>D1_FEBRERO_2025[[#This Row],[RECUPERO]]/C72</f>
        <v>0.27714285714285714</v>
      </c>
      <c r="E72" t="s">
        <v>9</v>
      </c>
      <c r="F72" t="s">
        <v>48</v>
      </c>
      <c r="G72">
        <v>5820</v>
      </c>
      <c r="H72" t="s">
        <v>421</v>
      </c>
      <c r="I72" s="55">
        <v>44748</v>
      </c>
      <c r="J72" t="s">
        <v>501</v>
      </c>
      <c r="L72" s="55"/>
      <c r="M72" s="1">
        <f>DATA_FEBRERO_2025[[#This Row],[RECUPERO]]/DATA_FEBRERO_2025[[#This Row],[META]]</f>
        <v>0.97723809523809524</v>
      </c>
      <c r="N72">
        <f>6-ROUNDUP(_xlfn.RANK.EQ(DATA_FEBRERO_2025[[#This Row],[AL_AC]],DATA_FEBRERO_2025[AL_AC],0)/(COUNTA(DATA_FEBRERO_2025[AL_AC])/5),0)</f>
        <v>5</v>
      </c>
      <c r="O72" t="s">
        <v>6</v>
      </c>
      <c r="P72">
        <f>SUM(DATA_FEBRERO_2025[[#This Row],[1]:[31]])</f>
        <v>20522</v>
      </c>
      <c r="Q72">
        <v>21000</v>
      </c>
      <c r="R72" t="s">
        <v>34</v>
      </c>
      <c r="U72">
        <v>7000</v>
      </c>
      <c r="W72">
        <v>1100</v>
      </c>
      <c r="X72">
        <v>500</v>
      </c>
      <c r="Y72">
        <v>822</v>
      </c>
      <c r="AB72">
        <v>500</v>
      </c>
      <c r="AF72">
        <v>1000</v>
      </c>
      <c r="AL72">
        <v>3500</v>
      </c>
      <c r="AP72">
        <v>800</v>
      </c>
      <c r="AR72">
        <v>3000</v>
      </c>
      <c r="AS72">
        <v>500</v>
      </c>
      <c r="AT72">
        <v>1800</v>
      </c>
      <c r="AX72" t="s">
        <v>152</v>
      </c>
    </row>
    <row r="73" spans="1:50" x14ac:dyDescent="0.25">
      <c r="M73" s="1">
        <f>DATA_FEBRERO_2025[[#This Row],[RECUPERO]]/DATA_FEBRERO_2025[[#This Row],[META]]</f>
        <v>0.52382758620689651</v>
      </c>
      <c r="N73">
        <f>6-ROUNDUP(_xlfn.RANK.EQ(DATA_FEBRERO_2025[[#This Row],[AL_AC]],DATA_FEBRERO_2025[AL_AC],0)/(COUNTA(DATA_FEBRERO_2025[AL_AC])/5),0)</f>
        <v>3</v>
      </c>
      <c r="O73" t="s">
        <v>3</v>
      </c>
      <c r="P73">
        <f>SUM(DATA_FEBRERO_2025[[#This Row],[1]:[31]])</f>
        <v>30382</v>
      </c>
      <c r="Q73">
        <v>58000</v>
      </c>
      <c r="R73" t="s">
        <v>30</v>
      </c>
      <c r="U73">
        <v>340</v>
      </c>
      <c r="W73">
        <v>905</v>
      </c>
      <c r="Y73">
        <v>1100</v>
      </c>
      <c r="AF73">
        <v>0</v>
      </c>
      <c r="AJ73">
        <v>700</v>
      </c>
      <c r="AL73">
        <v>9500</v>
      </c>
      <c r="AP73">
        <v>575</v>
      </c>
      <c r="AQ73">
        <v>5852</v>
      </c>
      <c r="AR73">
        <v>1500</v>
      </c>
      <c r="AS73">
        <v>2600</v>
      </c>
      <c r="AT73">
        <v>7310</v>
      </c>
      <c r="AX73" t="s">
        <v>150</v>
      </c>
    </row>
    <row r="74" spans="1:50" x14ac:dyDescent="0.25">
      <c r="M74" s="1">
        <f>DATA_FEBRERO_2025[[#This Row],[RECUPERO]]/DATA_FEBRERO_2025[[#This Row],[META]]</f>
        <v>0.70727272727272728</v>
      </c>
      <c r="N74">
        <f>6-ROUNDUP(_xlfn.RANK.EQ(DATA_FEBRERO_2025[[#This Row],[AL_AC]],DATA_FEBRERO_2025[AL_AC],0)/(COUNTA(DATA_FEBRERO_2025[AL_AC])/5),0)</f>
        <v>4</v>
      </c>
      <c r="O74" t="s">
        <v>2</v>
      </c>
      <c r="P74">
        <f>SUM(DATA_FEBRERO_2025[[#This Row],[1]:[31]])</f>
        <v>15560</v>
      </c>
      <c r="Q74">
        <v>22000</v>
      </c>
      <c r="R74" t="s">
        <v>78</v>
      </c>
      <c r="V74">
        <v>300</v>
      </c>
      <c r="AB74">
        <v>2080</v>
      </c>
      <c r="AC74">
        <v>200</v>
      </c>
      <c r="AE74">
        <v>1151</v>
      </c>
      <c r="AF74">
        <v>2976</v>
      </c>
      <c r="AG74">
        <v>200</v>
      </c>
      <c r="AI74">
        <v>1963.2</v>
      </c>
      <c r="AJ74">
        <v>758.8</v>
      </c>
      <c r="AK74">
        <v>500</v>
      </c>
      <c r="AM74">
        <v>2201</v>
      </c>
      <c r="AN74">
        <v>1500</v>
      </c>
      <c r="AS74">
        <v>310</v>
      </c>
      <c r="AT74">
        <v>1420</v>
      </c>
      <c r="AX74" t="s">
        <v>151</v>
      </c>
    </row>
    <row r="75" spans="1:50" x14ac:dyDescent="0.25">
      <c r="M75" s="1">
        <f>DATA_FEBRERO_2025[[#This Row],[RECUPERO]]/DATA_FEBRERO_2025[[#This Row],[META]]</f>
        <v>0.27714285714285714</v>
      </c>
      <c r="N75">
        <f>6-ROUNDUP(_xlfn.RANK.EQ(DATA_FEBRERO_2025[[#This Row],[AL_AC]],DATA_FEBRERO_2025[AL_AC],0)/(COUNTA(DATA_FEBRERO_2025[AL_AC])/5),0)</f>
        <v>1</v>
      </c>
      <c r="O75" t="s">
        <v>9</v>
      </c>
      <c r="P75">
        <f>SUM(DATA_FEBRERO_2025[[#This Row],[1]:[31]])</f>
        <v>5820</v>
      </c>
      <c r="Q75">
        <v>21000</v>
      </c>
      <c r="R75" t="s">
        <v>48</v>
      </c>
      <c r="V75">
        <v>200</v>
      </c>
      <c r="Y75">
        <v>3400</v>
      </c>
      <c r="AC75">
        <v>200</v>
      </c>
      <c r="AI75">
        <v>200</v>
      </c>
      <c r="AM75">
        <v>500</v>
      </c>
      <c r="AT75">
        <v>1320</v>
      </c>
      <c r="AX75" t="s">
        <v>153</v>
      </c>
    </row>
    <row r="76" spans="1:50" x14ac:dyDescent="0.25">
      <c r="M76" s="1">
        <f>DATA_FEBRERO_2025[[#This Row],[RECUPERO]]/DATA_FEBRERO_2025[[#This Row],[META]]</f>
        <v>0.60139655172413797</v>
      </c>
      <c r="N76">
        <f>6-ROUNDUP(_xlfn.RANK.EQ(DATA_FEBRERO_2025[[#This Row],[AL_AC]],DATA_FEBRERO_2025[AL_AC],0)/(COUNTA(DATA_FEBRERO_2025[AL_AC])/5),0)</f>
        <v>3</v>
      </c>
      <c r="O76" t="s">
        <v>3</v>
      </c>
      <c r="P76">
        <f>SUM(DATA_FEBRERO_2025[[#This Row],[1]:[31]])</f>
        <v>34881</v>
      </c>
      <c r="Q76">
        <v>58000</v>
      </c>
      <c r="R76" t="s">
        <v>10</v>
      </c>
      <c r="S76">
        <v>675</v>
      </c>
      <c r="U76">
        <v>521</v>
      </c>
      <c r="X76">
        <v>1262</v>
      </c>
      <c r="AD76">
        <v>2000</v>
      </c>
      <c r="AE76">
        <v>4000</v>
      </c>
      <c r="AF76">
        <v>5600</v>
      </c>
      <c r="AI76">
        <v>8000</v>
      </c>
      <c r="AJ76">
        <v>350</v>
      </c>
      <c r="AL76">
        <v>268</v>
      </c>
      <c r="AN76">
        <v>1500</v>
      </c>
      <c r="AP76">
        <v>2300</v>
      </c>
      <c r="AQ76">
        <v>5370</v>
      </c>
      <c r="AR76">
        <v>1435</v>
      </c>
      <c r="AT76">
        <v>1600</v>
      </c>
      <c r="AX76" t="s">
        <v>150</v>
      </c>
    </row>
    <row r="77" spans="1:50" x14ac:dyDescent="0.25">
      <c r="M77" s="1">
        <f>DATA_FEBRERO_2025[[#This Row],[RECUPERO]]/DATA_FEBRERO_2025[[#This Row],[META]]</f>
        <v>1.1860344827586207</v>
      </c>
      <c r="N77">
        <f>6-ROUNDUP(_xlfn.RANK.EQ(DATA_FEBRERO_2025[[#This Row],[AL_AC]],DATA_FEBRERO_2025[AL_AC],0)/(COUNTA(DATA_FEBRERO_2025[AL_AC])/5),0)</f>
        <v>5</v>
      </c>
      <c r="O77" t="s">
        <v>3</v>
      </c>
      <c r="P77">
        <f>SUM(DATA_FEBRERO_2025[[#This Row],[1]:[31]])</f>
        <v>68790</v>
      </c>
      <c r="Q77">
        <v>58000</v>
      </c>
      <c r="R77" t="s">
        <v>76</v>
      </c>
      <c r="U77">
        <v>400</v>
      </c>
      <c r="V77">
        <v>970</v>
      </c>
      <c r="X77">
        <v>5900</v>
      </c>
      <c r="Y77">
        <v>1220</v>
      </c>
      <c r="AB77">
        <v>1600</v>
      </c>
      <c r="AD77">
        <v>1000</v>
      </c>
      <c r="AI77">
        <v>3800</v>
      </c>
      <c r="AK77">
        <v>600</v>
      </c>
      <c r="AP77">
        <v>24000</v>
      </c>
      <c r="AQ77">
        <v>3000</v>
      </c>
      <c r="AR77">
        <v>13000</v>
      </c>
      <c r="AS77">
        <v>10000</v>
      </c>
      <c r="AT77">
        <v>3300</v>
      </c>
      <c r="AX77" t="s">
        <v>150</v>
      </c>
    </row>
    <row r="78" spans="1:50" x14ac:dyDescent="0.25">
      <c r="M78" s="1">
        <f>DATA_FEBRERO_2025[[#This Row],[RECUPERO]]/DATA_FEBRERO_2025[[#This Row],[META]]</f>
        <v>0.19545454545454546</v>
      </c>
      <c r="N78">
        <f>6-ROUNDUP(_xlfn.RANK.EQ(DATA_FEBRERO_2025[[#This Row],[AL_AC]],DATA_FEBRERO_2025[AL_AC],0)/(COUNTA(DATA_FEBRERO_2025[AL_AC])/5),0)</f>
        <v>1</v>
      </c>
      <c r="O78" t="s">
        <v>2</v>
      </c>
      <c r="P78">
        <f>SUM(DATA_FEBRERO_2025[[#This Row],[1]:[31]])</f>
        <v>4300</v>
      </c>
      <c r="Q78">
        <v>22000</v>
      </c>
      <c r="R78" t="s">
        <v>39</v>
      </c>
      <c r="AL78">
        <v>200</v>
      </c>
      <c r="AM78">
        <v>200</v>
      </c>
      <c r="AS78">
        <v>984</v>
      </c>
      <c r="AT78">
        <v>2916</v>
      </c>
      <c r="AX78" t="s">
        <v>151</v>
      </c>
    </row>
  </sheetData>
  <phoneticPr fontId="2" type="noConversion"/>
  <pageMargins left="0.7" right="0.7" top="0.75" bottom="0.75" header="0.3" footer="0.3"/>
  <tableParts count="4">
    <tablePart r:id="rId1"/>
    <tablePart r:id="rId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65A01-4B55-4884-A85D-3AD0FA031401}">
  <dimension ref="A2:CO85"/>
  <sheetViews>
    <sheetView topLeftCell="K1" zoomScale="85" zoomScaleNormal="85"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27.28515625" bestFit="1" customWidth="1"/>
    <col min="7" max="7" width="10.28515625" customWidth="1"/>
    <col min="8" max="8" width="11.140625" bestFit="1" customWidth="1"/>
    <col min="9" max="9" width="27.85546875" bestFit="1" customWidth="1"/>
    <col min="10" max="12" width="27.85546875" customWidth="1"/>
    <col min="13" max="13" width="10" customWidth="1"/>
    <col min="14" max="14" width="13.140625" bestFit="1" customWidth="1"/>
    <col min="15" max="15" width="19.85546875" customWidth="1"/>
    <col min="16" max="16" width="22.7109375" customWidth="1"/>
    <col min="17" max="17" width="11.42578125" customWidth="1"/>
    <col min="18" max="18" width="27.28515625" bestFit="1" customWidth="1"/>
    <col min="19" max="19" width="6" bestFit="1" customWidth="1"/>
    <col min="20" max="20" width="12.42578125" bestFit="1" customWidth="1"/>
    <col min="21" max="27" width="6.42578125" bestFit="1" customWidth="1"/>
    <col min="28" max="28" width="7.42578125" bestFit="1" customWidth="1"/>
    <col min="29" max="29" width="7.140625" bestFit="1" customWidth="1"/>
    <col min="30" max="37" width="7.42578125" bestFit="1" customWidth="1"/>
    <col min="38" max="38" width="7.85546875" bestFit="1" customWidth="1"/>
    <col min="39" max="39" width="7.42578125" bestFit="1" customWidth="1"/>
    <col min="40" max="48" width="7.85546875" bestFit="1" customWidth="1"/>
    <col min="49" max="49" width="7.42578125" bestFit="1" customWidth="1"/>
  </cols>
  <sheetData>
    <row r="2" spans="1:93" x14ac:dyDescent="0.25">
      <c r="A2" s="8" t="s">
        <v>94</v>
      </c>
      <c r="B2" s="8" t="s">
        <v>108</v>
      </c>
      <c r="C2" s="31" t="s">
        <v>90</v>
      </c>
      <c r="D2" s="31" t="s">
        <v>1</v>
      </c>
      <c r="E2" s="31" t="s">
        <v>202</v>
      </c>
      <c r="F2" s="37" t="s">
        <v>0</v>
      </c>
      <c r="G2" s="37" t="s">
        <v>95</v>
      </c>
      <c r="H2" s="8" t="s">
        <v>376</v>
      </c>
      <c r="I2" s="8" t="s">
        <v>558</v>
      </c>
      <c r="J2" s="58" t="s">
        <v>499</v>
      </c>
      <c r="K2" s="58" t="s">
        <v>567</v>
      </c>
      <c r="M2" s="32" t="s">
        <v>166</v>
      </c>
      <c r="N2" s="32" t="s">
        <v>136</v>
      </c>
      <c r="O2" s="32" t="s">
        <v>205</v>
      </c>
    </row>
    <row r="3" spans="1:93" ht="26.25" x14ac:dyDescent="0.4">
      <c r="A3" t="s">
        <v>3</v>
      </c>
      <c r="B3" t="s">
        <v>58</v>
      </c>
      <c r="C3">
        <f>VLOOKUP(D1_MARZO_2025[[#This Row],[SUPER]],DATA_MARZO_2025[[SUPERVISOR]:[META]],3,0)</f>
        <v>62000</v>
      </c>
      <c r="D3">
        <f>D1_MARZO_2025[[#This Row],[RECUPERO]]/D1_MARZO_2025[[#This Row],[META]]</f>
        <v>0</v>
      </c>
      <c r="E3" t="s">
        <v>3</v>
      </c>
      <c r="F3" t="s">
        <v>58</v>
      </c>
      <c r="G3">
        <v>0</v>
      </c>
      <c r="H3" t="s">
        <v>441</v>
      </c>
      <c r="I3" s="55">
        <v>43035</v>
      </c>
      <c r="J3" t="s">
        <v>501</v>
      </c>
      <c r="K3" s="73"/>
      <c r="L3" s="55"/>
      <c r="M3" s="33">
        <v>2025</v>
      </c>
      <c r="N3" s="33" t="s">
        <v>141</v>
      </c>
      <c r="O3" s="33">
        <v>21</v>
      </c>
    </row>
    <row r="4" spans="1:93" x14ac:dyDescent="0.25">
      <c r="A4" t="s">
        <v>3</v>
      </c>
      <c r="B4" t="s">
        <v>53</v>
      </c>
      <c r="C4">
        <f>VLOOKUP(D1_MARZO_2025[[#This Row],[SUPER]],DATA_MARZO_2025[[SUPERVISOR]:[META]],3,0)</f>
        <v>62000</v>
      </c>
      <c r="D4">
        <f>D1_MARZO_2025[[#This Row],[RECUPERO]]/D1_MARZO_2025[[#This Row],[META]]</f>
        <v>0.45325806451612904</v>
      </c>
      <c r="E4" t="s">
        <v>3</v>
      </c>
      <c r="F4" t="s">
        <v>53</v>
      </c>
      <c r="G4">
        <v>28102</v>
      </c>
      <c r="H4" t="s">
        <v>457</v>
      </c>
      <c r="I4" s="55">
        <v>45727</v>
      </c>
      <c r="J4" t="s">
        <v>501</v>
      </c>
      <c r="L4" s="55"/>
    </row>
    <row r="5" spans="1:93" x14ac:dyDescent="0.25">
      <c r="A5" t="s">
        <v>3</v>
      </c>
      <c r="B5" t="s">
        <v>72</v>
      </c>
      <c r="C5">
        <f>VLOOKUP(D1_MARZO_2025[[#This Row],[SUPER]],DATA_MARZO_2025[[SUPERVISOR]:[META]],3,0)</f>
        <v>62000</v>
      </c>
      <c r="D5">
        <f>D1_MARZO_2025[[#This Row],[RECUPERO]]/D1_MARZO_2025[[#This Row],[META]]</f>
        <v>0.69497580645161294</v>
      </c>
      <c r="E5" t="s">
        <v>3</v>
      </c>
      <c r="F5" t="s">
        <v>72</v>
      </c>
      <c r="G5">
        <v>43088.5</v>
      </c>
      <c r="H5" t="s">
        <v>450</v>
      </c>
      <c r="I5" s="55">
        <v>45084</v>
      </c>
      <c r="J5" t="s">
        <v>501</v>
      </c>
      <c r="L5" s="55"/>
    </row>
    <row r="6" spans="1:93" x14ac:dyDescent="0.25">
      <c r="A6" t="s">
        <v>3</v>
      </c>
      <c r="B6" t="s">
        <v>22</v>
      </c>
      <c r="C6">
        <f>VLOOKUP(D1_MARZO_2025[[#This Row],[SUPER]],DATA_MARZO_2025[[SUPERVISOR]:[META]],3,0)</f>
        <v>62000</v>
      </c>
      <c r="D6">
        <f>D1_MARZO_2025[[#This Row],[RECUPERO]]/D1_MARZO_2025[[#This Row],[META]]</f>
        <v>1.3166403225806451</v>
      </c>
      <c r="E6" t="s">
        <v>3</v>
      </c>
      <c r="F6" t="s">
        <v>22</v>
      </c>
      <c r="G6">
        <v>81631.7</v>
      </c>
      <c r="H6" t="s">
        <v>442</v>
      </c>
      <c r="I6" s="55">
        <v>45299</v>
      </c>
      <c r="J6" t="s">
        <v>501</v>
      </c>
      <c r="L6" s="55"/>
    </row>
    <row r="7" spans="1:93" x14ac:dyDescent="0.25">
      <c r="A7" t="s">
        <v>3</v>
      </c>
      <c r="B7" t="s">
        <v>57</v>
      </c>
      <c r="C7">
        <f>VLOOKUP(D1_MARZO_2025[[#This Row],[SUPER]],DATA_MARZO_2025[[SUPERVISOR]:[META]],3,0)</f>
        <v>62000</v>
      </c>
      <c r="D7">
        <f>D1_MARZO_2025[[#This Row],[RECUPERO]]/D1_MARZO_2025[[#This Row],[META]]</f>
        <v>0.85046774193548391</v>
      </c>
      <c r="E7" t="s">
        <v>3</v>
      </c>
      <c r="F7" t="s">
        <v>57</v>
      </c>
      <c r="G7">
        <v>52729</v>
      </c>
      <c r="H7" t="s">
        <v>443</v>
      </c>
      <c r="I7" s="55">
        <v>45590</v>
      </c>
      <c r="J7" t="s">
        <v>501</v>
      </c>
      <c r="L7" s="55"/>
      <c r="CK7" t="s">
        <v>626</v>
      </c>
      <c r="CL7" t="s">
        <v>176</v>
      </c>
      <c r="CM7" t="s">
        <v>139</v>
      </c>
      <c r="CN7" t="s">
        <v>140</v>
      </c>
      <c r="CO7" t="s">
        <v>141</v>
      </c>
    </row>
    <row r="8" spans="1:93" x14ac:dyDescent="0.25">
      <c r="A8" t="s">
        <v>3</v>
      </c>
      <c r="B8" t="s">
        <v>23</v>
      </c>
      <c r="C8">
        <f>VLOOKUP(D1_MARZO_2025[[#This Row],[SUPER]],DATA_MARZO_2025[[SUPERVISOR]:[META]],3,0)</f>
        <v>62000</v>
      </c>
      <c r="D8">
        <f>D1_MARZO_2025[[#This Row],[RECUPERO]]/D1_MARZO_2025[[#This Row],[META]]</f>
        <v>2.134415322580645</v>
      </c>
      <c r="E8" t="s">
        <v>3</v>
      </c>
      <c r="F8" t="s">
        <v>23</v>
      </c>
      <c r="G8">
        <v>132333.75</v>
      </c>
      <c r="H8" t="s">
        <v>445</v>
      </c>
      <c r="I8" s="55">
        <v>44111</v>
      </c>
      <c r="J8" t="s">
        <v>501</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25</v>
      </c>
      <c r="C9">
        <f>VLOOKUP(D1_MARZO_2025[[#This Row],[SUPER]],DATA_MARZO_2025[[SUPERVISOR]:[META]],3,0)</f>
        <v>62000</v>
      </c>
      <c r="D9">
        <f>D1_MARZO_2025[[#This Row],[RECUPERO]]/D1_MARZO_2025[[#This Row],[META]]</f>
        <v>0</v>
      </c>
      <c r="E9" t="s">
        <v>3</v>
      </c>
      <c r="F9" t="s">
        <v>25</v>
      </c>
      <c r="G9">
        <v>0</v>
      </c>
      <c r="H9" t="s">
        <v>446</v>
      </c>
      <c r="I9" s="55">
        <v>44820</v>
      </c>
      <c r="J9" t="s">
        <v>501</v>
      </c>
      <c r="L9" s="55"/>
      <c r="M9" s="1">
        <f>DATA_MARZO_2025[[#This Row],[RECUPERO]]/DATA_MARZO_2025[[#This Row],[META]]</f>
        <v>1.2612121212121212</v>
      </c>
      <c r="N9">
        <f>6-ROUNDUP(_xlfn.RANK.EQ(DATA_MARZO_2025[[#This Row],[AL_AC]],DATA_MARZO_2025[AL_AC],0)/(COUNTA(DATA_MARZO_2025[AL_AC])/5),0)</f>
        <v>5</v>
      </c>
      <c r="O9" t="s">
        <v>115</v>
      </c>
      <c r="P9">
        <f>SUM(DATA_MARZO_2025[[#This Row],[1]:[31]])</f>
        <v>20810</v>
      </c>
      <c r="Q9">
        <v>16500</v>
      </c>
      <c r="R9" t="s">
        <v>18</v>
      </c>
      <c r="S9">
        <v>200</v>
      </c>
      <c r="U9">
        <v>4506</v>
      </c>
      <c r="V9">
        <v>900</v>
      </c>
      <c r="W9">
        <v>1456</v>
      </c>
      <c r="X9">
        <v>1020</v>
      </c>
      <c r="AB9">
        <v>590</v>
      </c>
      <c r="AC9">
        <v>500</v>
      </c>
      <c r="AD9">
        <v>1321</v>
      </c>
      <c r="AF9">
        <v>632</v>
      </c>
      <c r="AI9">
        <v>1100</v>
      </c>
      <c r="AJ9">
        <v>350</v>
      </c>
      <c r="AK9">
        <v>400</v>
      </c>
      <c r="AL9">
        <v>2500</v>
      </c>
      <c r="AM9">
        <v>900</v>
      </c>
      <c r="AQ9">
        <v>300</v>
      </c>
      <c r="AR9">
        <v>2890</v>
      </c>
      <c r="AS9">
        <v>845</v>
      </c>
      <c r="AW9">
        <v>400</v>
      </c>
      <c r="AX9" t="s">
        <v>154</v>
      </c>
      <c r="AZ9">
        <v>531100</v>
      </c>
      <c r="BA9" s="11">
        <f>MAX(DITE_MARZO_2025[[#This Row],[1]:[31]])</f>
        <v>422359.64</v>
      </c>
      <c r="BB9" s="17">
        <f>DITE_MARZO_2025[[#This Row],[RECUPERO SUPERVISOR]]/DITE_MARZO_2025[[#This Row],[META SUPER]]</f>
        <v>0.79525445302202979</v>
      </c>
      <c r="BC9" t="s">
        <v>5</v>
      </c>
      <c r="BD9">
        <v>981</v>
      </c>
      <c r="BE9">
        <v>981</v>
      </c>
      <c r="BF9">
        <v>4104</v>
      </c>
      <c r="BG9">
        <v>10739</v>
      </c>
      <c r="BH9">
        <v>18777</v>
      </c>
      <c r="BI9">
        <v>27917</v>
      </c>
      <c r="BJ9">
        <v>56459</v>
      </c>
      <c r="BK9">
        <v>57659</v>
      </c>
      <c r="BL9">
        <v>60309</v>
      </c>
      <c r="BM9">
        <v>64785</v>
      </c>
      <c r="BN9">
        <v>78285</v>
      </c>
      <c r="BO9">
        <v>92567</v>
      </c>
      <c r="BP9">
        <v>104317.1</v>
      </c>
      <c r="BQ9">
        <v>169169.65000000002</v>
      </c>
      <c r="BR9">
        <v>178152.55000000002</v>
      </c>
      <c r="BS9">
        <v>179060.55000000002</v>
      </c>
      <c r="BT9">
        <v>193956.55000000002</v>
      </c>
      <c r="BU9">
        <v>203156.55000000002</v>
      </c>
      <c r="BV9">
        <v>223295.64</v>
      </c>
      <c r="BW9">
        <v>236371.64</v>
      </c>
      <c r="BX9">
        <v>247396.64</v>
      </c>
      <c r="BY9">
        <v>247749.64</v>
      </c>
      <c r="BZ9">
        <v>247749.64</v>
      </c>
      <c r="CA9">
        <v>257239.64</v>
      </c>
      <c r="CB9">
        <v>293381.64</v>
      </c>
      <c r="CC9">
        <v>313861.64</v>
      </c>
      <c r="CD9">
        <v>328605.64</v>
      </c>
      <c r="CE9">
        <v>344807.14</v>
      </c>
      <c r="CF9">
        <v>358322.14</v>
      </c>
      <c r="CG9">
        <v>358322.14</v>
      </c>
      <c r="CH9">
        <v>422359.64</v>
      </c>
      <c r="CI9" s="11" t="s">
        <v>150</v>
      </c>
      <c r="CK9" t="s">
        <v>5</v>
      </c>
      <c r="CL9" t="s">
        <v>5</v>
      </c>
      <c r="CM9" t="s">
        <v>5</v>
      </c>
      <c r="CN9" t="s">
        <v>5</v>
      </c>
      <c r="CO9" t="s">
        <v>5</v>
      </c>
    </row>
    <row r="10" spans="1:93" x14ac:dyDescent="0.25">
      <c r="A10" t="s">
        <v>3</v>
      </c>
      <c r="B10" t="s">
        <v>107</v>
      </c>
      <c r="C10">
        <f>VLOOKUP(D1_MARZO_2025[[#This Row],[SUPER]],DATA_MARZO_2025[[SUPERVISOR]:[META]],3,0)</f>
        <v>62000</v>
      </c>
      <c r="D10">
        <f>D1_MARZO_2025[[#This Row],[RECUPERO]]/D1_MARZO_2025[[#This Row],[META]]</f>
        <v>0.12419354838709677</v>
      </c>
      <c r="E10" t="s">
        <v>3</v>
      </c>
      <c r="F10" t="s">
        <v>107</v>
      </c>
      <c r="G10">
        <v>7700</v>
      </c>
      <c r="H10" t="s">
        <v>458</v>
      </c>
      <c r="I10" s="55">
        <v>45727</v>
      </c>
      <c r="J10" t="s">
        <v>501</v>
      </c>
      <c r="L10" s="55"/>
      <c r="M10" s="1">
        <f>DATA_MARZO_2025[[#This Row],[RECUPERO]]/DATA_MARZO_2025[[#This Row],[META]]</f>
        <v>0.69114285714285717</v>
      </c>
      <c r="N10">
        <f>6-ROUNDUP(_xlfn.RANK.EQ(DATA_MARZO_2025[[#This Row],[AL_AC]],DATA_MARZO_2025[AL_AC],0)/(COUNTA(DATA_MARZO_2025[AL_AC])/5),0)</f>
        <v>4</v>
      </c>
      <c r="O10" t="s">
        <v>9</v>
      </c>
      <c r="P10">
        <f>SUM(DATA_MARZO_2025[[#This Row],[1]:[31]])</f>
        <v>14514</v>
      </c>
      <c r="Q10">
        <v>21000</v>
      </c>
      <c r="R10" t="s">
        <v>21</v>
      </c>
      <c r="U10">
        <v>600</v>
      </c>
      <c r="V10">
        <v>150</v>
      </c>
      <c r="W10">
        <v>1000</v>
      </c>
      <c r="Y10">
        <v>500</v>
      </c>
      <c r="Z10">
        <v>1400</v>
      </c>
      <c r="AB10">
        <v>200</v>
      </c>
      <c r="AJ10">
        <v>564</v>
      </c>
      <c r="AK10">
        <v>2200</v>
      </c>
      <c r="AL10">
        <v>200</v>
      </c>
      <c r="AN10">
        <v>200</v>
      </c>
      <c r="AP10">
        <v>400</v>
      </c>
      <c r="AQ10">
        <v>200</v>
      </c>
      <c r="AR10">
        <v>200</v>
      </c>
      <c r="AS10">
        <v>2100</v>
      </c>
      <c r="AT10">
        <v>500</v>
      </c>
      <c r="AW10">
        <v>4100</v>
      </c>
      <c r="AX10" t="s">
        <v>153</v>
      </c>
      <c r="AZ10">
        <v>174200</v>
      </c>
      <c r="BA10" s="11">
        <f>MAX(DITE_MARZO_2025[[#This Row],[1]:[31]])</f>
        <v>101864</v>
      </c>
      <c r="BB10" s="17">
        <f>DITE_MARZO_2025[[#This Row],[RECUPERO SUPERVISOR]]/DITE_MARZO_2025[[#This Row],[META SUPER]]</f>
        <v>0.58475315729047073</v>
      </c>
      <c r="BC10" t="s">
        <v>2</v>
      </c>
      <c r="BD10">
        <v>200</v>
      </c>
      <c r="BE10">
        <v>200</v>
      </c>
      <c r="BF10">
        <v>3061</v>
      </c>
      <c r="BG10">
        <v>4978</v>
      </c>
      <c r="BH10">
        <v>8744</v>
      </c>
      <c r="BI10">
        <v>13423</v>
      </c>
      <c r="BJ10">
        <v>15398</v>
      </c>
      <c r="BK10">
        <v>16248</v>
      </c>
      <c r="BL10">
        <v>16548</v>
      </c>
      <c r="BM10">
        <v>23267</v>
      </c>
      <c r="BN10">
        <v>31527</v>
      </c>
      <c r="BO10">
        <v>33305</v>
      </c>
      <c r="BP10">
        <v>34295</v>
      </c>
      <c r="BQ10">
        <v>38145</v>
      </c>
      <c r="BR10">
        <v>38395</v>
      </c>
      <c r="BS10">
        <v>38395</v>
      </c>
      <c r="BT10">
        <v>44756</v>
      </c>
      <c r="BU10">
        <v>46256</v>
      </c>
      <c r="BV10">
        <v>48246</v>
      </c>
      <c r="BW10">
        <v>51696</v>
      </c>
      <c r="BX10">
        <v>54413</v>
      </c>
      <c r="BY10">
        <v>54413</v>
      </c>
      <c r="BZ10">
        <v>54413</v>
      </c>
      <c r="CA10">
        <v>59644</v>
      </c>
      <c r="CB10">
        <v>61944</v>
      </c>
      <c r="CC10">
        <v>66544</v>
      </c>
      <c r="CD10">
        <v>71388</v>
      </c>
      <c r="CE10">
        <v>82415</v>
      </c>
      <c r="CF10">
        <v>83565</v>
      </c>
      <c r="CG10">
        <v>84265</v>
      </c>
      <c r="CH10">
        <v>101864</v>
      </c>
      <c r="CI10" s="11" t="s">
        <v>151</v>
      </c>
      <c r="CK10" t="s">
        <v>2</v>
      </c>
      <c r="CL10" t="s">
        <v>2</v>
      </c>
      <c r="CM10" t="s">
        <v>2</v>
      </c>
      <c r="CN10" t="s">
        <v>2</v>
      </c>
      <c r="CO10" t="s">
        <v>2</v>
      </c>
    </row>
    <row r="11" spans="1:93" x14ac:dyDescent="0.25">
      <c r="A11" t="s">
        <v>3</v>
      </c>
      <c r="B11" t="s">
        <v>63</v>
      </c>
      <c r="C11">
        <f>VLOOKUP(D1_MARZO_2025[[#This Row],[SUPER]],DATA_MARZO_2025[[SUPERVISOR]:[META]],3,0)</f>
        <v>62000</v>
      </c>
      <c r="D11">
        <f>D1_MARZO_2025[[#This Row],[RECUPERO]]/D1_MARZO_2025[[#This Row],[META]]</f>
        <v>1.1488274193548387</v>
      </c>
      <c r="E11" t="s">
        <v>3</v>
      </c>
      <c r="F11" t="s">
        <v>63</v>
      </c>
      <c r="G11">
        <v>71227.3</v>
      </c>
      <c r="H11" t="s">
        <v>447</v>
      </c>
      <c r="I11" s="55">
        <v>45316</v>
      </c>
      <c r="J11" t="s">
        <v>501</v>
      </c>
      <c r="L11" s="55"/>
      <c r="M11" s="1">
        <f>DATA_MARZO_2025[[#This Row],[RECUPERO]]/DATA_MARZO_2025[[#This Row],[META]]</f>
        <v>0</v>
      </c>
      <c r="N11">
        <f>6-ROUNDUP(_xlfn.RANK.EQ(DATA_MARZO_2025[[#This Row],[AL_AC]],DATA_MARZO_2025[AL_AC],0)/(COUNTA(DATA_MARZO_2025[AL_AC])/5),0)</f>
        <v>1</v>
      </c>
      <c r="O11" t="s">
        <v>3</v>
      </c>
      <c r="P11">
        <f>SUM(DATA_MARZO_2025[[#This Row],[1]:[31]])</f>
        <v>0</v>
      </c>
      <c r="Q11">
        <v>62000</v>
      </c>
      <c r="R11" t="s">
        <v>58</v>
      </c>
      <c r="AX11" t="s">
        <v>150</v>
      </c>
      <c r="AZ11">
        <v>209900</v>
      </c>
      <c r="BA11" s="11">
        <f>MAX(DITE_MARZO_2025[[#This Row],[1]:[31]])</f>
        <v>166576</v>
      </c>
      <c r="BB11" s="17">
        <f>DITE_MARZO_2025[[#This Row],[RECUPERO SUPERVISOR]]/DITE_MARZO_2025[[#This Row],[META SUPER]]</f>
        <v>0.79359695092901383</v>
      </c>
      <c r="BC11" t="s">
        <v>6</v>
      </c>
      <c r="BD11">
        <v>337</v>
      </c>
      <c r="BE11">
        <v>337</v>
      </c>
      <c r="BF11">
        <v>1377</v>
      </c>
      <c r="BG11">
        <v>14557</v>
      </c>
      <c r="BH11">
        <v>18424</v>
      </c>
      <c r="BI11">
        <v>25114</v>
      </c>
      <c r="BJ11">
        <v>29114</v>
      </c>
      <c r="BK11">
        <v>29614</v>
      </c>
      <c r="BL11">
        <v>29614</v>
      </c>
      <c r="BM11">
        <v>35114</v>
      </c>
      <c r="BN11">
        <v>41964</v>
      </c>
      <c r="BO11">
        <v>49114</v>
      </c>
      <c r="BP11">
        <v>59824</v>
      </c>
      <c r="BQ11">
        <v>68524</v>
      </c>
      <c r="BR11">
        <v>68524</v>
      </c>
      <c r="BS11">
        <v>68524</v>
      </c>
      <c r="BT11">
        <v>94154</v>
      </c>
      <c r="BU11">
        <v>95954</v>
      </c>
      <c r="BV11">
        <v>98054</v>
      </c>
      <c r="BW11">
        <v>99254</v>
      </c>
      <c r="BX11">
        <v>100254</v>
      </c>
      <c r="BY11">
        <v>100254</v>
      </c>
      <c r="BZ11">
        <v>100254</v>
      </c>
      <c r="CA11">
        <v>124914</v>
      </c>
      <c r="CB11">
        <v>125614</v>
      </c>
      <c r="CC11">
        <v>131016</v>
      </c>
      <c r="CD11">
        <v>153846</v>
      </c>
      <c r="CE11">
        <v>155596</v>
      </c>
      <c r="CF11">
        <v>156296</v>
      </c>
      <c r="CG11">
        <v>156846</v>
      </c>
      <c r="CH11">
        <v>166576</v>
      </c>
      <c r="CI11" s="11" t="s">
        <v>152</v>
      </c>
      <c r="CK11" t="s">
        <v>6</v>
      </c>
      <c r="CL11" t="s">
        <v>6</v>
      </c>
      <c r="CM11" t="s">
        <v>6</v>
      </c>
      <c r="CN11" t="s">
        <v>6</v>
      </c>
      <c r="CO11" t="s">
        <v>6</v>
      </c>
    </row>
    <row r="12" spans="1:93" x14ac:dyDescent="0.25">
      <c r="A12" t="s">
        <v>3</v>
      </c>
      <c r="B12" t="s">
        <v>10</v>
      </c>
      <c r="C12">
        <f>VLOOKUP(D1_MARZO_2025[[#This Row],[SUPER]],DATA_MARZO_2025[[SUPERVISOR]:[META]],3,0)</f>
        <v>62000</v>
      </c>
      <c r="D12">
        <f>D1_MARZO_2025[[#This Row],[RECUPERO]]/D1_MARZO_2025[[#This Row],[META]]</f>
        <v>0.57990322580645159</v>
      </c>
      <c r="E12" t="s">
        <v>3</v>
      </c>
      <c r="F12" t="s">
        <v>10</v>
      </c>
      <c r="G12">
        <v>35954</v>
      </c>
      <c r="H12" t="s">
        <v>449</v>
      </c>
      <c r="I12" s="55">
        <v>44706</v>
      </c>
      <c r="J12" t="s">
        <v>501</v>
      </c>
      <c r="L12" s="55"/>
      <c r="M12" s="1">
        <f>DATA_MARZO_2025[[#This Row],[RECUPERO]]/DATA_MARZO_2025[[#This Row],[META]]</f>
        <v>0.40633870967741936</v>
      </c>
      <c r="N12">
        <f>6-ROUNDUP(_xlfn.RANK.EQ(DATA_MARZO_2025[[#This Row],[AL_AC]],DATA_MARZO_2025[AL_AC],0)/(COUNTA(DATA_MARZO_2025[AL_AC])/5),0)</f>
        <v>3</v>
      </c>
      <c r="O12" t="s">
        <v>4</v>
      </c>
      <c r="P12">
        <f>SUM(DATA_MARZO_2025[[#This Row],[1]:[31]])</f>
        <v>25193</v>
      </c>
      <c r="Q12">
        <v>62000</v>
      </c>
      <c r="R12" t="s">
        <v>109</v>
      </c>
      <c r="AG12">
        <v>274</v>
      </c>
      <c r="AI12">
        <v>8000</v>
      </c>
      <c r="AL12">
        <v>7500</v>
      </c>
      <c r="AM12">
        <v>7165</v>
      </c>
      <c r="AN12">
        <v>600</v>
      </c>
      <c r="AQ12">
        <v>1000</v>
      </c>
      <c r="AR12">
        <v>654</v>
      </c>
      <c r="AX12" t="s">
        <v>150</v>
      </c>
      <c r="AZ12">
        <v>200500</v>
      </c>
      <c r="BA12" s="11">
        <f>MAX(DITE_MARZO_2025[[#This Row],[1]:[31]])</f>
        <v>127003.4</v>
      </c>
      <c r="BB12" s="17">
        <f>DITE_MARZO_2025[[#This Row],[RECUPERO SUPERVISOR]]/DITE_MARZO_2025[[#This Row],[META SUPER]]</f>
        <v>0.63343341645885287</v>
      </c>
      <c r="BC12" t="s">
        <v>9</v>
      </c>
      <c r="BD12">
        <v>150</v>
      </c>
      <c r="BE12">
        <v>150</v>
      </c>
      <c r="BF12">
        <v>5339</v>
      </c>
      <c r="BG12">
        <v>6954</v>
      </c>
      <c r="BH12">
        <v>11534</v>
      </c>
      <c r="BI12">
        <v>13444</v>
      </c>
      <c r="BJ12">
        <v>19644</v>
      </c>
      <c r="BK12">
        <v>21244</v>
      </c>
      <c r="BL12">
        <v>21244</v>
      </c>
      <c r="BM12">
        <v>25344</v>
      </c>
      <c r="BN12">
        <v>25744</v>
      </c>
      <c r="BO12">
        <v>27494</v>
      </c>
      <c r="BP12">
        <v>32370</v>
      </c>
      <c r="BQ12">
        <v>40780</v>
      </c>
      <c r="BR12">
        <v>41180</v>
      </c>
      <c r="BS12">
        <v>41180</v>
      </c>
      <c r="BT12">
        <v>45126</v>
      </c>
      <c r="BU12">
        <v>49365</v>
      </c>
      <c r="BV12">
        <v>58565</v>
      </c>
      <c r="BW12">
        <v>63745</v>
      </c>
      <c r="BX12">
        <v>66545</v>
      </c>
      <c r="BY12">
        <v>66945</v>
      </c>
      <c r="BZ12">
        <v>66945</v>
      </c>
      <c r="CA12">
        <v>73700</v>
      </c>
      <c r="CB12">
        <v>78236</v>
      </c>
      <c r="CC12">
        <v>82722</v>
      </c>
      <c r="CD12">
        <v>87072</v>
      </c>
      <c r="CE12">
        <v>91442</v>
      </c>
      <c r="CF12">
        <v>96401</v>
      </c>
      <c r="CG12">
        <v>96801</v>
      </c>
      <c r="CH12">
        <v>127003.4</v>
      </c>
      <c r="CI12" s="11" t="s">
        <v>153</v>
      </c>
      <c r="CK12" t="s">
        <v>9</v>
      </c>
      <c r="CL12" t="s">
        <v>9</v>
      </c>
      <c r="CM12" t="s">
        <v>9</v>
      </c>
      <c r="CN12" t="s">
        <v>9</v>
      </c>
      <c r="CO12" t="s">
        <v>9</v>
      </c>
    </row>
    <row r="13" spans="1:93" x14ac:dyDescent="0.25">
      <c r="A13" t="s">
        <v>3</v>
      </c>
      <c r="B13" t="s">
        <v>76</v>
      </c>
      <c r="C13">
        <f>VLOOKUP(D1_MARZO_2025[[#This Row],[SUPER]],DATA_MARZO_2025[[SUPERVISOR]:[META]],3,0)</f>
        <v>62000</v>
      </c>
      <c r="D13">
        <f>D1_MARZO_2025[[#This Row],[RECUPERO]]/D1_MARZO_2025[[#This Row],[META]]</f>
        <v>1.4439354838709677</v>
      </c>
      <c r="E13" t="s">
        <v>3</v>
      </c>
      <c r="F13" t="s">
        <v>76</v>
      </c>
      <c r="G13">
        <v>89524</v>
      </c>
      <c r="H13" t="s">
        <v>408</v>
      </c>
      <c r="I13" s="55">
        <v>44819</v>
      </c>
      <c r="J13" t="s">
        <v>501</v>
      </c>
      <c r="L13" s="55"/>
      <c r="M13" s="1">
        <f>DATA_MARZO_2025[[#This Row],[RECUPERO]]/DATA_MARZO_2025[[#This Row],[META]]</f>
        <v>0.59080645161290324</v>
      </c>
      <c r="N13">
        <f>6-ROUNDUP(_xlfn.RANK.EQ(DATA_MARZO_2025[[#This Row],[AL_AC]],DATA_MARZO_2025[AL_AC],0)/(COUNTA(DATA_MARZO_2025[AL_AC])/5),0)</f>
        <v>4</v>
      </c>
      <c r="O13" t="s">
        <v>4</v>
      </c>
      <c r="P13">
        <f>SUM(DATA_MARZO_2025[[#This Row],[1]:[31]])</f>
        <v>36630</v>
      </c>
      <c r="Q13">
        <v>62000</v>
      </c>
      <c r="R13" t="s">
        <v>60</v>
      </c>
      <c r="U13">
        <v>271</v>
      </c>
      <c r="X13">
        <v>4000</v>
      </c>
      <c r="Y13">
        <v>1500</v>
      </c>
      <c r="AB13">
        <v>523</v>
      </c>
      <c r="AD13">
        <v>35</v>
      </c>
      <c r="AE13">
        <v>13762</v>
      </c>
      <c r="AF13">
        <v>6000</v>
      </c>
      <c r="AI13">
        <v>800</v>
      </c>
      <c r="AJ13">
        <v>60</v>
      </c>
      <c r="AQ13">
        <v>586</v>
      </c>
      <c r="AS13">
        <v>600</v>
      </c>
      <c r="AT13">
        <v>2000</v>
      </c>
      <c r="AU13">
        <v>800</v>
      </c>
      <c r="AW13">
        <v>5693</v>
      </c>
      <c r="AX13" t="s">
        <v>150</v>
      </c>
      <c r="AZ13">
        <v>531100</v>
      </c>
      <c r="BA13" s="11">
        <f>MAX(DITE_MARZO_2025[[#This Row],[1]:[31]])</f>
        <v>333396.75</v>
      </c>
      <c r="BB13" s="17">
        <f>DITE_MARZO_2025[[#This Row],[RECUPERO SUPERVISOR]]/DITE_MARZO_2025[[#This Row],[META SUPER]]</f>
        <v>0.62774759932216151</v>
      </c>
      <c r="BC13" t="s">
        <v>4</v>
      </c>
      <c r="BD13">
        <v>2184</v>
      </c>
      <c r="BE13">
        <v>2184</v>
      </c>
      <c r="BF13">
        <v>2455</v>
      </c>
      <c r="BG13">
        <v>3825</v>
      </c>
      <c r="BH13">
        <v>4979</v>
      </c>
      <c r="BI13">
        <v>9979</v>
      </c>
      <c r="BJ13">
        <v>17534</v>
      </c>
      <c r="BK13">
        <v>17534</v>
      </c>
      <c r="BL13">
        <v>17534</v>
      </c>
      <c r="BM13">
        <v>28157</v>
      </c>
      <c r="BN13">
        <v>29730</v>
      </c>
      <c r="BO13">
        <v>48865</v>
      </c>
      <c r="BP13">
        <v>67627</v>
      </c>
      <c r="BQ13">
        <v>92957</v>
      </c>
      <c r="BR13">
        <v>94631</v>
      </c>
      <c r="BS13">
        <v>95031</v>
      </c>
      <c r="BT13">
        <v>107368</v>
      </c>
      <c r="BU13">
        <v>122320</v>
      </c>
      <c r="BV13">
        <v>136420</v>
      </c>
      <c r="BW13">
        <v>150562</v>
      </c>
      <c r="BX13">
        <v>196652</v>
      </c>
      <c r="BY13">
        <v>200852</v>
      </c>
      <c r="BZ13">
        <v>202352</v>
      </c>
      <c r="CA13">
        <v>208152</v>
      </c>
      <c r="CB13">
        <v>237076</v>
      </c>
      <c r="CC13">
        <v>250442</v>
      </c>
      <c r="CD13">
        <v>256098.75</v>
      </c>
      <c r="CE13">
        <v>275290.75</v>
      </c>
      <c r="CF13">
        <v>288890.75</v>
      </c>
      <c r="CG13">
        <v>289490.75</v>
      </c>
      <c r="CH13">
        <v>333396.75</v>
      </c>
      <c r="CI13" s="11" t="s">
        <v>150</v>
      </c>
      <c r="CK13" t="s">
        <v>4</v>
      </c>
      <c r="CL13" t="s">
        <v>4</v>
      </c>
      <c r="CM13" t="s">
        <v>4</v>
      </c>
      <c r="CN13" t="s">
        <v>4</v>
      </c>
      <c r="CO13" t="s">
        <v>4</v>
      </c>
    </row>
    <row r="14" spans="1:93" x14ac:dyDescent="0.25">
      <c r="A14" t="s">
        <v>4</v>
      </c>
      <c r="B14" t="s">
        <v>109</v>
      </c>
      <c r="C14">
        <f>VLOOKUP(D1_MARZO_2025[[#This Row],[SUPER]],DATA_MARZO_2025[[SUPERVISOR]:[META]],3,0)</f>
        <v>62000</v>
      </c>
      <c r="D14">
        <f>D1_MARZO_2025[[#This Row],[RECUPERO]]/D1_MARZO_2025[[#This Row],[META]]</f>
        <v>0.40633870967741936</v>
      </c>
      <c r="E14" t="s">
        <v>4</v>
      </c>
      <c r="F14" t="s">
        <v>109</v>
      </c>
      <c r="G14">
        <v>25193</v>
      </c>
      <c r="H14" t="s">
        <v>422</v>
      </c>
      <c r="I14" s="55">
        <v>45334</v>
      </c>
      <c r="J14" t="s">
        <v>501</v>
      </c>
      <c r="L14" s="55"/>
      <c r="M14" s="1">
        <f>DATA_MARZO_2025[[#This Row],[RECUPERO]]/DATA_MARZO_2025[[#This Row],[META]]</f>
        <v>0</v>
      </c>
      <c r="N14">
        <f>6-ROUNDUP(_xlfn.RANK.EQ(DATA_MARZO_2025[[#This Row],[AL_AC]],DATA_MARZO_2025[AL_AC],0)/(COUNTA(DATA_MARZO_2025[AL_AC])/5),0)</f>
        <v>1</v>
      </c>
      <c r="O14" t="s">
        <v>9</v>
      </c>
      <c r="P14">
        <f>SUM(DATA_MARZO_2025[[#This Row],[1]:[31]])</f>
        <v>0</v>
      </c>
      <c r="Q14">
        <v>21000</v>
      </c>
      <c r="R14" t="s">
        <v>15</v>
      </c>
      <c r="AX14" t="s">
        <v>153</v>
      </c>
      <c r="AZ14">
        <v>108600</v>
      </c>
      <c r="BA14" s="11">
        <f>MAX(DITE_MARZO_2025[[#This Row],[1]:[31]])</f>
        <v>119608.9</v>
      </c>
      <c r="BB14" s="17">
        <f>DITE_MARZO_2025[[#This Row],[RECUPERO SUPERVISOR]]/DITE_MARZO_2025[[#This Row],[META SUPER]]</f>
        <v>1.1013710865561694</v>
      </c>
      <c r="BC14" t="s">
        <v>115</v>
      </c>
      <c r="BD14">
        <v>2550</v>
      </c>
      <c r="BE14">
        <v>2800</v>
      </c>
      <c r="BF14">
        <v>8536</v>
      </c>
      <c r="BG14">
        <v>12352</v>
      </c>
      <c r="BH14">
        <v>17938.5</v>
      </c>
      <c r="BI14">
        <v>22592.5</v>
      </c>
      <c r="BJ14">
        <v>24931.5</v>
      </c>
      <c r="BK14">
        <v>25399.5</v>
      </c>
      <c r="BL14">
        <v>25399.5</v>
      </c>
      <c r="BM14">
        <v>31459.5</v>
      </c>
      <c r="BN14">
        <v>34906.5</v>
      </c>
      <c r="BO14">
        <v>41612.5</v>
      </c>
      <c r="BP14">
        <v>45212.5</v>
      </c>
      <c r="BQ14">
        <v>47756.5</v>
      </c>
      <c r="BR14">
        <v>47756.5</v>
      </c>
      <c r="BS14">
        <v>47906.5</v>
      </c>
      <c r="BT14">
        <v>53642.5</v>
      </c>
      <c r="BU14">
        <v>58730.5</v>
      </c>
      <c r="BV14">
        <v>60827.5</v>
      </c>
      <c r="BW14">
        <v>66171.5</v>
      </c>
      <c r="BX14">
        <v>74982.5</v>
      </c>
      <c r="BY14">
        <v>76282.5</v>
      </c>
      <c r="BZ14">
        <v>76282.5</v>
      </c>
      <c r="CA14">
        <v>83435.5</v>
      </c>
      <c r="CB14">
        <v>87425.5</v>
      </c>
      <c r="CC14">
        <v>95543.9</v>
      </c>
      <c r="CD14">
        <v>103633.9</v>
      </c>
      <c r="CE14">
        <v>111352.9</v>
      </c>
      <c r="CF14">
        <v>113180.9</v>
      </c>
      <c r="CG14">
        <v>113180.9</v>
      </c>
      <c r="CH14">
        <v>119608.9</v>
      </c>
      <c r="CI14" s="11" t="s">
        <v>154</v>
      </c>
      <c r="CK14" t="s">
        <v>115</v>
      </c>
      <c r="CL14" t="s">
        <v>115</v>
      </c>
      <c r="CM14" t="s">
        <v>115</v>
      </c>
      <c r="CN14" t="s">
        <v>115</v>
      </c>
      <c r="CO14" t="s">
        <v>115</v>
      </c>
    </row>
    <row r="15" spans="1:93" x14ac:dyDescent="0.25">
      <c r="A15" t="s">
        <v>4</v>
      </c>
      <c r="B15" t="s">
        <v>40</v>
      </c>
      <c r="C15">
        <f>VLOOKUP(D1_MARZO_2025[[#This Row],[SUPER]],DATA_MARZO_2025[[SUPERVISOR]:[META]],3,0)</f>
        <v>62000</v>
      </c>
      <c r="D15">
        <f>D1_MARZO_2025[[#This Row],[RECUPERO]]/D1_MARZO_2025[[#This Row],[META]]</f>
        <v>0.44693548387096776</v>
      </c>
      <c r="E15" t="s">
        <v>4</v>
      </c>
      <c r="F15" t="s">
        <v>40</v>
      </c>
      <c r="G15">
        <v>27710</v>
      </c>
      <c r="H15" t="s">
        <v>424</v>
      </c>
      <c r="I15" s="55">
        <v>45429</v>
      </c>
      <c r="J15" t="s">
        <v>501</v>
      </c>
      <c r="L15" s="55"/>
      <c r="M15" s="1">
        <f>DATA_MARZO_2025[[#This Row],[RECUPERO]]/DATA_MARZO_2025[[#This Row],[META]]</f>
        <v>0.65578225806451618</v>
      </c>
      <c r="N15">
        <f>6-ROUNDUP(_xlfn.RANK.EQ(DATA_MARZO_2025[[#This Row],[AL_AC]],DATA_MARZO_2025[AL_AC],0)/(COUNTA(DATA_MARZO_2025[AL_AC])/5),0)</f>
        <v>4</v>
      </c>
      <c r="O15" t="s">
        <v>5</v>
      </c>
      <c r="P15">
        <f>SUM(DATA_MARZO_2025[[#This Row],[1]:[31]])</f>
        <v>40658.5</v>
      </c>
      <c r="Q15">
        <v>62000</v>
      </c>
      <c r="R15" t="s">
        <v>85</v>
      </c>
      <c r="V15">
        <v>3500</v>
      </c>
      <c r="W15">
        <v>1490</v>
      </c>
      <c r="X15">
        <v>440</v>
      </c>
      <c r="Y15">
        <v>342</v>
      </c>
      <c r="AA15">
        <v>650</v>
      </c>
      <c r="AB15">
        <v>2600</v>
      </c>
      <c r="AD15">
        <v>1282</v>
      </c>
      <c r="AF15">
        <v>6310</v>
      </c>
      <c r="AG15">
        <v>132.5</v>
      </c>
      <c r="AI15">
        <v>1279</v>
      </c>
      <c r="AK15">
        <v>10000</v>
      </c>
      <c r="AM15">
        <v>600</v>
      </c>
      <c r="AQ15">
        <v>2282</v>
      </c>
      <c r="AS15">
        <v>280</v>
      </c>
      <c r="AT15">
        <v>1742.5</v>
      </c>
      <c r="AW15">
        <v>7728.5</v>
      </c>
      <c r="AX15" t="s">
        <v>150</v>
      </c>
      <c r="AZ15">
        <v>531100</v>
      </c>
      <c r="BA15" s="11">
        <f>MAX(DITE_MARZO_2025[[#This Row],[1]:[31]])</f>
        <v>552290.25</v>
      </c>
      <c r="BB15" s="17">
        <f>DITE_MARZO_2025[[#This Row],[RECUPERO SUPERVISOR]]/DITE_MARZO_2025[[#This Row],[META SUPER]]</f>
        <v>1.0398987949538694</v>
      </c>
      <c r="BC15" t="s">
        <v>3</v>
      </c>
      <c r="BD15">
        <v>748</v>
      </c>
      <c r="BE15">
        <v>1445.3</v>
      </c>
      <c r="BF15">
        <v>24385.3</v>
      </c>
      <c r="BG15">
        <v>32953.300000000003</v>
      </c>
      <c r="BH15">
        <v>69075.3</v>
      </c>
      <c r="BI15">
        <v>137915.29999999999</v>
      </c>
      <c r="BJ15">
        <v>147338.79999999999</v>
      </c>
      <c r="BK15">
        <v>153920.79999999999</v>
      </c>
      <c r="BL15">
        <v>153920.79999999999</v>
      </c>
      <c r="BM15">
        <v>167684.79999999999</v>
      </c>
      <c r="BN15">
        <v>171020.5</v>
      </c>
      <c r="BO15">
        <v>206377.5</v>
      </c>
      <c r="BP15">
        <v>218308</v>
      </c>
      <c r="BQ15">
        <v>241266</v>
      </c>
      <c r="BR15">
        <v>242392</v>
      </c>
      <c r="BS15">
        <v>242392</v>
      </c>
      <c r="BT15">
        <v>271723</v>
      </c>
      <c r="BU15">
        <v>290873.25</v>
      </c>
      <c r="BV15">
        <v>350199.25</v>
      </c>
      <c r="BW15">
        <v>361136.25</v>
      </c>
      <c r="BX15">
        <v>380703.25</v>
      </c>
      <c r="BY15">
        <v>392462.25</v>
      </c>
      <c r="BZ15">
        <v>392462.25</v>
      </c>
      <c r="CA15">
        <v>398092.25</v>
      </c>
      <c r="CB15">
        <v>409999.25</v>
      </c>
      <c r="CC15">
        <v>434677.25</v>
      </c>
      <c r="CD15">
        <v>470998.25</v>
      </c>
      <c r="CE15">
        <v>498681.25</v>
      </c>
      <c r="CF15">
        <v>507573.25</v>
      </c>
      <c r="CG15">
        <v>509279.25</v>
      </c>
      <c r="CH15">
        <v>552290.25</v>
      </c>
      <c r="CI15" s="11" t="s">
        <v>150</v>
      </c>
      <c r="CK15" t="s">
        <v>3</v>
      </c>
      <c r="CL15" t="s">
        <v>3</v>
      </c>
      <c r="CM15" t="s">
        <v>3</v>
      </c>
      <c r="CN15" t="s">
        <v>3</v>
      </c>
      <c r="CO15" t="s">
        <v>3</v>
      </c>
    </row>
    <row r="16" spans="1:93" x14ac:dyDescent="0.25">
      <c r="A16" t="s">
        <v>4</v>
      </c>
      <c r="B16" t="s">
        <v>20</v>
      </c>
      <c r="C16">
        <f>VLOOKUP(D1_MARZO_2025[[#This Row],[SUPER]],DATA_MARZO_2025[[SUPERVISOR]:[META]],3,0)</f>
        <v>62000</v>
      </c>
      <c r="D16">
        <f>D1_MARZO_2025[[#This Row],[RECUPERO]]/D1_MARZO_2025[[#This Row],[META]]</f>
        <v>0.2983064516129032</v>
      </c>
      <c r="E16" t="s">
        <v>4</v>
      </c>
      <c r="F16" t="s">
        <v>20</v>
      </c>
      <c r="G16">
        <v>18495</v>
      </c>
      <c r="H16" t="s">
        <v>427</v>
      </c>
      <c r="I16" s="55">
        <v>45142</v>
      </c>
      <c r="J16" t="s">
        <v>501</v>
      </c>
      <c r="L16" s="55"/>
      <c r="M16" s="1">
        <f>DATA_MARZO_2025[[#This Row],[RECUPERO]]/DATA_MARZO_2025[[#This Row],[META]]</f>
        <v>1.6418725806451613</v>
      </c>
      <c r="N16">
        <f>6-ROUNDUP(_xlfn.RANK.EQ(DATA_MARZO_2025[[#This Row],[AL_AC]],DATA_MARZO_2025[AL_AC],0)/(COUNTA(DATA_MARZO_2025[AL_AC])/5),0)</f>
        <v>5</v>
      </c>
      <c r="O16" t="s">
        <v>5</v>
      </c>
      <c r="P16">
        <f>SUM(DATA_MARZO_2025[[#This Row],[1]:[31]])</f>
        <v>101796.1</v>
      </c>
      <c r="Q16">
        <v>62000</v>
      </c>
      <c r="R16" t="s">
        <v>67</v>
      </c>
      <c r="S16">
        <v>521</v>
      </c>
      <c r="U16">
        <v>498</v>
      </c>
      <c r="V16">
        <v>935</v>
      </c>
      <c r="X16">
        <v>700</v>
      </c>
      <c r="Y16">
        <v>5000</v>
      </c>
      <c r="AA16">
        <v>2000</v>
      </c>
      <c r="AB16">
        <v>500</v>
      </c>
      <c r="AC16">
        <v>8500</v>
      </c>
      <c r="AF16">
        <v>15800.7</v>
      </c>
      <c r="AG16">
        <v>8000.4</v>
      </c>
      <c r="AI16">
        <v>8957</v>
      </c>
      <c r="AJ16">
        <v>300</v>
      </c>
      <c r="AK16">
        <v>2500</v>
      </c>
      <c r="AL16">
        <v>3000</v>
      </c>
      <c r="AM16">
        <v>1920</v>
      </c>
      <c r="AN16">
        <v>353</v>
      </c>
      <c r="AR16">
        <v>2000</v>
      </c>
      <c r="AS16">
        <v>2498</v>
      </c>
      <c r="AT16">
        <v>4000</v>
      </c>
      <c r="AU16">
        <v>4820</v>
      </c>
      <c r="AW16">
        <v>28993</v>
      </c>
      <c r="AX16" t="s">
        <v>150</v>
      </c>
    </row>
    <row r="17" spans="1:50" x14ac:dyDescent="0.25">
      <c r="A17" t="s">
        <v>4</v>
      </c>
      <c r="B17" t="s">
        <v>29</v>
      </c>
      <c r="C17">
        <f>VLOOKUP(D1_MARZO_2025[[#This Row],[SUPER]],DATA_MARZO_2025[[SUPERVISOR]:[META]],3,0)</f>
        <v>62000</v>
      </c>
      <c r="D17">
        <f>D1_MARZO_2025[[#This Row],[RECUPERO]]/D1_MARZO_2025[[#This Row],[META]]</f>
        <v>0.35506048387096772</v>
      </c>
      <c r="E17" t="s">
        <v>4</v>
      </c>
      <c r="F17" t="s">
        <v>29</v>
      </c>
      <c r="G17">
        <v>22013.75</v>
      </c>
      <c r="H17" t="s">
        <v>416</v>
      </c>
      <c r="I17" s="55">
        <v>44687</v>
      </c>
      <c r="J17" t="s">
        <v>501</v>
      </c>
      <c r="L17" s="55"/>
      <c r="M17" s="1">
        <f>DATA_MARZO_2025[[#This Row],[RECUPERO]]/DATA_MARZO_2025[[#This Row],[META]]</f>
        <v>1.2121212121212121E-2</v>
      </c>
      <c r="N17">
        <f>6-ROUNDUP(_xlfn.RANK.EQ(DATA_MARZO_2025[[#This Row],[AL_AC]],DATA_MARZO_2025[AL_AC],0)/(COUNTA(DATA_MARZO_2025[AL_AC])/5),0)</f>
        <v>1</v>
      </c>
      <c r="O17" t="s">
        <v>115</v>
      </c>
      <c r="P17">
        <f>SUM(DATA_MARZO_2025[[#This Row],[1]:[31]])</f>
        <v>200</v>
      </c>
      <c r="Q17">
        <v>16500</v>
      </c>
      <c r="R17" t="s">
        <v>14</v>
      </c>
      <c r="S17">
        <v>200</v>
      </c>
      <c r="AX17" t="s">
        <v>154</v>
      </c>
    </row>
    <row r="18" spans="1:50" x14ac:dyDescent="0.25">
      <c r="A18" t="s">
        <v>4</v>
      </c>
      <c r="B18" t="s">
        <v>75</v>
      </c>
      <c r="C18">
        <f>VLOOKUP(D1_MARZO_2025[[#This Row],[SUPER]],DATA_MARZO_2025[[SUPERVISOR]:[META]],3,0)</f>
        <v>62000</v>
      </c>
      <c r="D18">
        <f>D1_MARZO_2025[[#This Row],[RECUPERO]]/D1_MARZO_2025[[#This Row],[META]]</f>
        <v>1.1865483870967741</v>
      </c>
      <c r="E18" t="s">
        <v>4</v>
      </c>
      <c r="F18" t="s">
        <v>75</v>
      </c>
      <c r="G18">
        <v>73566</v>
      </c>
      <c r="H18" t="s">
        <v>428</v>
      </c>
      <c r="I18" s="55">
        <v>44716</v>
      </c>
      <c r="J18" t="s">
        <v>501</v>
      </c>
      <c r="L18" s="55"/>
      <c r="M18" s="1">
        <f>DATA_MARZO_2025[[#This Row],[RECUPERO]]/DATA_MARZO_2025[[#This Row],[META]]</f>
        <v>1.0904761904761904</v>
      </c>
      <c r="N18">
        <f>6-ROUNDUP(_xlfn.RANK.EQ(DATA_MARZO_2025[[#This Row],[AL_AC]],DATA_MARZO_2025[AL_AC],0)/(COUNTA(DATA_MARZO_2025[AL_AC])/5),0)</f>
        <v>5</v>
      </c>
      <c r="O18" t="s">
        <v>6</v>
      </c>
      <c r="P18">
        <f>SUM(DATA_MARZO_2025[[#This Row],[1]:[31]])</f>
        <v>22900</v>
      </c>
      <c r="Q18">
        <v>21000</v>
      </c>
      <c r="R18" t="s">
        <v>118</v>
      </c>
      <c r="X18">
        <v>1000</v>
      </c>
      <c r="AC18">
        <v>3000</v>
      </c>
      <c r="AD18">
        <v>5000</v>
      </c>
      <c r="AE18">
        <v>400</v>
      </c>
      <c r="AF18">
        <v>1750</v>
      </c>
      <c r="AI18">
        <v>850</v>
      </c>
      <c r="AS18">
        <v>3250</v>
      </c>
      <c r="AT18">
        <v>300</v>
      </c>
      <c r="AW18">
        <v>7350</v>
      </c>
      <c r="AX18" t="s">
        <v>152</v>
      </c>
    </row>
    <row r="19" spans="1:50" x14ac:dyDescent="0.25">
      <c r="A19" t="s">
        <v>4</v>
      </c>
      <c r="B19" t="s">
        <v>64</v>
      </c>
      <c r="C19">
        <f>VLOOKUP(D1_MARZO_2025[[#This Row],[SUPER]],DATA_MARZO_2025[[SUPERVISOR]:[META]],3,0)</f>
        <v>62000</v>
      </c>
      <c r="D19">
        <f>D1_MARZO_2025[[#This Row],[RECUPERO]]/D1_MARZO_2025[[#This Row],[META]]</f>
        <v>0.29919354838709677</v>
      </c>
      <c r="E19" t="s">
        <v>4</v>
      </c>
      <c r="F19" t="s">
        <v>64</v>
      </c>
      <c r="G19">
        <v>18550</v>
      </c>
      <c r="H19" t="s">
        <v>455</v>
      </c>
      <c r="I19" s="55">
        <v>45700</v>
      </c>
      <c r="J19" t="s">
        <v>501</v>
      </c>
      <c r="L19" s="55"/>
      <c r="M19" s="1">
        <f>DATA_MARZO_2025[[#This Row],[RECUPERO]]/DATA_MARZO_2025[[#This Row],[META]]</f>
        <v>0.48303030303030303</v>
      </c>
      <c r="N19">
        <f>6-ROUNDUP(_xlfn.RANK.EQ(DATA_MARZO_2025[[#This Row],[AL_AC]],DATA_MARZO_2025[AL_AC],0)/(COUNTA(DATA_MARZO_2025[AL_AC])/5),0)</f>
        <v>3</v>
      </c>
      <c r="O19" t="s">
        <v>115</v>
      </c>
      <c r="P19">
        <f>SUM(DATA_MARZO_2025[[#This Row],[1]:[31]])</f>
        <v>7970</v>
      </c>
      <c r="Q19">
        <v>16500</v>
      </c>
      <c r="R19" t="s">
        <v>104</v>
      </c>
      <c r="V19">
        <v>90</v>
      </c>
      <c r="AB19">
        <v>175</v>
      </c>
      <c r="AE19">
        <v>850</v>
      </c>
      <c r="AF19">
        <v>300</v>
      </c>
      <c r="AI19">
        <v>2000</v>
      </c>
      <c r="AJ19">
        <v>550</v>
      </c>
      <c r="AK19">
        <v>650</v>
      </c>
      <c r="AL19">
        <v>35</v>
      </c>
      <c r="AP19">
        <v>900</v>
      </c>
      <c r="AR19">
        <v>420</v>
      </c>
      <c r="AS19">
        <v>1250</v>
      </c>
      <c r="AT19">
        <v>650</v>
      </c>
      <c r="AW19">
        <v>100</v>
      </c>
      <c r="AX19" t="s">
        <v>154</v>
      </c>
    </row>
    <row r="20" spans="1:50" x14ac:dyDescent="0.25">
      <c r="A20" t="s">
        <v>4</v>
      </c>
      <c r="B20" t="s">
        <v>11</v>
      </c>
      <c r="C20">
        <f>VLOOKUP(D1_MARZO_2025[[#This Row],[SUPER]],DATA_MARZO_2025[[SUPERVISOR]:[META]],3,0)</f>
        <v>62000</v>
      </c>
      <c r="D20">
        <f>D1_MARZO_2025[[#This Row],[RECUPERO]]/D1_MARZO_2025[[#This Row],[META]]</f>
        <v>0</v>
      </c>
      <c r="E20" t="s">
        <v>4</v>
      </c>
      <c r="F20" t="s">
        <v>11</v>
      </c>
      <c r="G20">
        <v>0</v>
      </c>
      <c r="H20" t="s">
        <v>429</v>
      </c>
      <c r="I20" s="55">
        <v>45371</v>
      </c>
      <c r="J20" t="s">
        <v>501</v>
      </c>
      <c r="L20" s="55"/>
      <c r="M20" s="1">
        <f>DATA_MARZO_2025[[#This Row],[RECUPERO]]/DATA_MARZO_2025[[#This Row],[META]]</f>
        <v>1.8139047619047619</v>
      </c>
      <c r="N20">
        <f>6-ROUNDUP(_xlfn.RANK.EQ(DATA_MARZO_2025[[#This Row],[AL_AC]],DATA_MARZO_2025[AL_AC],0)/(COUNTA(DATA_MARZO_2025[AL_AC])/5),0)</f>
        <v>5</v>
      </c>
      <c r="O20" t="s">
        <v>6</v>
      </c>
      <c r="P20">
        <f>SUM(DATA_MARZO_2025[[#This Row],[1]:[31]])</f>
        <v>38092</v>
      </c>
      <c r="Q20">
        <v>21000</v>
      </c>
      <c r="R20" t="s">
        <v>19</v>
      </c>
      <c r="V20">
        <v>1000</v>
      </c>
      <c r="Z20">
        <v>500</v>
      </c>
      <c r="AD20">
        <v>100</v>
      </c>
      <c r="AE20">
        <v>8710</v>
      </c>
      <c r="AI20">
        <v>600</v>
      </c>
      <c r="AK20">
        <v>1000</v>
      </c>
      <c r="AP20">
        <v>20000</v>
      </c>
      <c r="AR20">
        <v>1182</v>
      </c>
      <c r="AS20">
        <v>5000</v>
      </c>
      <c r="AX20" t="s">
        <v>152</v>
      </c>
    </row>
    <row r="21" spans="1:50" x14ac:dyDescent="0.25">
      <c r="A21" t="s">
        <v>4</v>
      </c>
      <c r="B21" t="s">
        <v>59</v>
      </c>
      <c r="C21">
        <f>VLOOKUP(D1_MARZO_2025[[#This Row],[SUPER]],DATA_MARZO_2025[[SUPERVISOR]:[META]],3,0)</f>
        <v>62000</v>
      </c>
      <c r="D21">
        <f>D1_MARZO_2025[[#This Row],[RECUPERO]]/D1_MARZO_2025[[#This Row],[META]]</f>
        <v>1.4399354838709677</v>
      </c>
      <c r="E21" t="s">
        <v>4</v>
      </c>
      <c r="F21" t="s">
        <v>59</v>
      </c>
      <c r="G21">
        <v>89276</v>
      </c>
      <c r="H21" t="s">
        <v>430</v>
      </c>
      <c r="I21" s="55">
        <v>45348</v>
      </c>
      <c r="J21" t="s">
        <v>501</v>
      </c>
      <c r="L21" s="55"/>
      <c r="M21" s="1">
        <f>DATA_MARZO_2025[[#This Row],[RECUPERO]]/DATA_MARZO_2025[[#This Row],[META]]</f>
        <v>0.45325806451612904</v>
      </c>
      <c r="N21">
        <f>6-ROUNDUP(_xlfn.RANK.EQ(DATA_MARZO_2025[[#This Row],[AL_AC]],DATA_MARZO_2025[AL_AC],0)/(COUNTA(DATA_MARZO_2025[AL_AC])/5),0)</f>
        <v>3</v>
      </c>
      <c r="O21" t="s">
        <v>3</v>
      </c>
      <c r="P21">
        <f>SUM(DATA_MARZO_2025[[#This Row],[1]:[31]])</f>
        <v>28102</v>
      </c>
      <c r="Q21">
        <v>62000</v>
      </c>
      <c r="R21" t="s">
        <v>53</v>
      </c>
      <c r="AB21">
        <v>700</v>
      </c>
      <c r="AF21">
        <v>4000</v>
      </c>
      <c r="AK21">
        <v>10300</v>
      </c>
      <c r="AM21">
        <v>600</v>
      </c>
      <c r="AR21">
        <v>1500</v>
      </c>
      <c r="AU21">
        <v>4002</v>
      </c>
      <c r="AW21">
        <v>7000</v>
      </c>
      <c r="AX21" t="s">
        <v>150</v>
      </c>
    </row>
    <row r="22" spans="1:50" x14ac:dyDescent="0.25">
      <c r="A22" t="s">
        <v>2</v>
      </c>
      <c r="B22" t="s">
        <v>41</v>
      </c>
      <c r="C22">
        <f>VLOOKUP(D1_MARZO_2025[[#This Row],[SUPER]],DATA_MARZO_2025[[SUPERVISOR]:[META]],3,0)</f>
        <v>24000</v>
      </c>
      <c r="D22">
        <f>D1_MARZO_2025[[#This Row],[RECUPERO]]/D1_MARZO_2025[[#This Row],[META]]</f>
        <v>0.25620833333333332</v>
      </c>
      <c r="E22" t="s">
        <v>2</v>
      </c>
      <c r="F22" t="s">
        <v>41</v>
      </c>
      <c r="G22">
        <v>6149</v>
      </c>
      <c r="H22" t="s">
        <v>387</v>
      </c>
      <c r="I22" s="55">
        <v>45304</v>
      </c>
      <c r="J22" t="s">
        <v>501</v>
      </c>
      <c r="L22" s="55"/>
      <c r="M22" s="1">
        <f>DATA_MARZO_2025[[#This Row],[RECUPERO]]/DATA_MARZO_2025[[#This Row],[META]]</f>
        <v>0.25620833333333332</v>
      </c>
      <c r="N22">
        <f>6-ROUNDUP(_xlfn.RANK.EQ(DATA_MARZO_2025[[#This Row],[AL_AC]],DATA_MARZO_2025[AL_AC],0)/(COUNTA(DATA_MARZO_2025[AL_AC])/5),0)</f>
        <v>2</v>
      </c>
      <c r="O22" t="s">
        <v>2</v>
      </c>
      <c r="P22">
        <f>SUM(DATA_MARZO_2025[[#This Row],[1]:[31]])</f>
        <v>6149</v>
      </c>
      <c r="Q22">
        <v>24000</v>
      </c>
      <c r="R22" t="s">
        <v>41</v>
      </c>
      <c r="U22">
        <v>300</v>
      </c>
      <c r="V22">
        <v>150</v>
      </c>
      <c r="W22">
        <v>160</v>
      </c>
      <c r="AB22">
        <v>869</v>
      </c>
      <c r="AC22">
        <v>100</v>
      </c>
      <c r="AF22">
        <v>1000</v>
      </c>
      <c r="AJ22">
        <v>300</v>
      </c>
      <c r="AK22">
        <v>860</v>
      </c>
      <c r="AP22">
        <v>150</v>
      </c>
      <c r="AQ22">
        <v>550</v>
      </c>
      <c r="AR22">
        <v>1000</v>
      </c>
      <c r="AT22">
        <v>160</v>
      </c>
      <c r="AU22">
        <v>350</v>
      </c>
      <c r="AW22">
        <v>200</v>
      </c>
      <c r="AX22" t="s">
        <v>151</v>
      </c>
    </row>
    <row r="23" spans="1:50" x14ac:dyDescent="0.25">
      <c r="A23" t="s">
        <v>2</v>
      </c>
      <c r="B23" t="s">
        <v>16</v>
      </c>
      <c r="C23">
        <f>VLOOKUP(D1_MARZO_2025[[#This Row],[SUPER]],DATA_MARZO_2025[[SUPERVISOR]:[META]],3,0)</f>
        <v>24000</v>
      </c>
      <c r="D23">
        <f>D1_MARZO_2025[[#This Row],[RECUPERO]]/D1_MARZO_2025[[#This Row],[META]]</f>
        <v>0.21875</v>
      </c>
      <c r="E23" t="s">
        <v>2</v>
      </c>
      <c r="F23" t="s">
        <v>16</v>
      </c>
      <c r="G23">
        <v>5250</v>
      </c>
      <c r="H23" t="s">
        <v>388</v>
      </c>
      <c r="I23" s="55">
        <v>45334</v>
      </c>
      <c r="J23" t="s">
        <v>501</v>
      </c>
      <c r="L23" s="55"/>
      <c r="M23" s="1">
        <f>DATA_MARZO_2025[[#This Row],[RECUPERO]]/DATA_MARZO_2025[[#This Row],[META]]</f>
        <v>0.51538095238095238</v>
      </c>
      <c r="N23">
        <f>6-ROUNDUP(_xlfn.RANK.EQ(DATA_MARZO_2025[[#This Row],[AL_AC]],DATA_MARZO_2025[AL_AC],0)/(COUNTA(DATA_MARZO_2025[AL_AC])/5),0)</f>
        <v>3</v>
      </c>
      <c r="O23" t="s">
        <v>9</v>
      </c>
      <c r="P23">
        <f>SUM(DATA_MARZO_2025[[#This Row],[1]:[31]])</f>
        <v>10823</v>
      </c>
      <c r="Q23">
        <v>21000</v>
      </c>
      <c r="R23" t="s">
        <v>61</v>
      </c>
      <c r="U23">
        <v>321</v>
      </c>
      <c r="V23">
        <v>400</v>
      </c>
      <c r="W23">
        <v>130</v>
      </c>
      <c r="X23">
        <v>900</v>
      </c>
      <c r="AD23">
        <v>400</v>
      </c>
      <c r="AE23">
        <v>800</v>
      </c>
      <c r="AF23">
        <v>200</v>
      </c>
      <c r="AI23">
        <v>217</v>
      </c>
      <c r="AJ23">
        <v>370</v>
      </c>
      <c r="AK23">
        <v>1000</v>
      </c>
      <c r="AL23">
        <v>500</v>
      </c>
      <c r="AP23">
        <v>850</v>
      </c>
      <c r="AQ23">
        <v>1000</v>
      </c>
      <c r="AR23">
        <v>635</v>
      </c>
      <c r="AS23">
        <v>500</v>
      </c>
      <c r="AT23">
        <v>400</v>
      </c>
      <c r="AV23">
        <v>400</v>
      </c>
      <c r="AW23">
        <v>1800</v>
      </c>
      <c r="AX23" t="s">
        <v>153</v>
      </c>
    </row>
    <row r="24" spans="1:50" x14ac:dyDescent="0.25">
      <c r="A24" t="s">
        <v>2</v>
      </c>
      <c r="B24" t="s">
        <v>12</v>
      </c>
      <c r="C24">
        <f>VLOOKUP(D1_MARZO_2025[[#This Row],[SUPER]],DATA_MARZO_2025[[SUPERVISOR]:[META]],3,0)</f>
        <v>24000</v>
      </c>
      <c r="D24">
        <f>D1_MARZO_2025[[#This Row],[RECUPERO]]/D1_MARZO_2025[[#This Row],[META]]</f>
        <v>0.45379166666666665</v>
      </c>
      <c r="E24" t="s">
        <v>2</v>
      </c>
      <c r="F24" t="s">
        <v>12</v>
      </c>
      <c r="G24">
        <v>10891</v>
      </c>
      <c r="H24" t="s">
        <v>389</v>
      </c>
      <c r="I24" s="55">
        <v>44870</v>
      </c>
      <c r="J24" t="s">
        <v>501</v>
      </c>
      <c r="L24" s="55"/>
      <c r="M24" s="1">
        <f>DATA_MARZO_2025[[#This Row],[RECUPERO]]/DATA_MARZO_2025[[#This Row],[META]]</f>
        <v>1.2472121212121212</v>
      </c>
      <c r="N24">
        <f>6-ROUNDUP(_xlfn.RANK.EQ(DATA_MARZO_2025[[#This Row],[AL_AC]],DATA_MARZO_2025[AL_AC],0)/(COUNTA(DATA_MARZO_2025[AL_AC])/5),0)</f>
        <v>5</v>
      </c>
      <c r="O24" t="s">
        <v>115</v>
      </c>
      <c r="P24">
        <f>SUM(DATA_MARZO_2025[[#This Row],[1]:[31]])</f>
        <v>20579</v>
      </c>
      <c r="Q24">
        <v>16500</v>
      </c>
      <c r="R24" t="s">
        <v>80</v>
      </c>
      <c r="V24">
        <v>350</v>
      </c>
      <c r="W24">
        <v>2312</v>
      </c>
      <c r="X24">
        <v>2644</v>
      </c>
      <c r="AB24">
        <v>2551</v>
      </c>
      <c r="AC24">
        <v>450</v>
      </c>
      <c r="AF24">
        <v>160</v>
      </c>
      <c r="AI24">
        <v>1300</v>
      </c>
      <c r="AJ24">
        <v>2500</v>
      </c>
      <c r="AL24">
        <v>547</v>
      </c>
      <c r="AM24">
        <v>2500</v>
      </c>
      <c r="AP24">
        <v>1160</v>
      </c>
      <c r="AR24">
        <v>700</v>
      </c>
      <c r="AS24">
        <v>875</v>
      </c>
      <c r="AT24">
        <v>2100</v>
      </c>
      <c r="AU24">
        <v>100</v>
      </c>
      <c r="AW24">
        <v>330</v>
      </c>
      <c r="AX24" t="s">
        <v>154</v>
      </c>
    </row>
    <row r="25" spans="1:50" x14ac:dyDescent="0.25">
      <c r="A25" t="s">
        <v>2</v>
      </c>
      <c r="B25" t="s">
        <v>32</v>
      </c>
      <c r="C25">
        <f>VLOOKUP(D1_MARZO_2025[[#This Row],[SUPER]],DATA_MARZO_2025[[SUPERVISOR]:[META]],3,0)</f>
        <v>24000</v>
      </c>
      <c r="D25">
        <f>D1_MARZO_2025[[#This Row],[RECUPERO]]/D1_MARZO_2025[[#This Row],[META]]</f>
        <v>0.22791666666666666</v>
      </c>
      <c r="E25" t="s">
        <v>2</v>
      </c>
      <c r="F25" t="s">
        <v>32</v>
      </c>
      <c r="G25">
        <v>5470</v>
      </c>
      <c r="H25" t="s">
        <v>390</v>
      </c>
      <c r="I25" s="55">
        <v>45530</v>
      </c>
      <c r="J25" t="s">
        <v>501</v>
      </c>
      <c r="L25" s="55"/>
      <c r="M25" s="1">
        <f>DATA_MARZO_2025[[#This Row],[RECUPERO]]/DATA_MARZO_2025[[#This Row],[META]]</f>
        <v>0.44693548387096776</v>
      </c>
      <c r="N25">
        <f>6-ROUNDUP(_xlfn.RANK.EQ(DATA_MARZO_2025[[#This Row],[AL_AC]],DATA_MARZO_2025[AL_AC],0)/(COUNTA(DATA_MARZO_2025[AL_AC])/5),0)</f>
        <v>3</v>
      </c>
      <c r="O25" t="s">
        <v>4</v>
      </c>
      <c r="P25">
        <f>SUM(DATA_MARZO_2025[[#This Row],[1]:[31]])</f>
        <v>27710</v>
      </c>
      <c r="Q25">
        <v>62000</v>
      </c>
      <c r="R25" t="s">
        <v>40</v>
      </c>
      <c r="V25">
        <v>780</v>
      </c>
      <c r="W25">
        <v>354</v>
      </c>
      <c r="Y25">
        <v>4200</v>
      </c>
      <c r="AC25">
        <v>323</v>
      </c>
      <c r="AF25">
        <v>280</v>
      </c>
      <c r="AI25">
        <v>937</v>
      </c>
      <c r="AJ25">
        <v>650</v>
      </c>
      <c r="AK25">
        <v>4800</v>
      </c>
      <c r="AL25">
        <v>1000</v>
      </c>
      <c r="AM25">
        <v>8000</v>
      </c>
      <c r="AP25">
        <v>1300</v>
      </c>
      <c r="AQ25">
        <v>2700</v>
      </c>
      <c r="AR25">
        <v>200</v>
      </c>
      <c r="AT25">
        <v>609</v>
      </c>
      <c r="AW25">
        <v>1577</v>
      </c>
      <c r="AX25" t="s">
        <v>150</v>
      </c>
    </row>
    <row r="26" spans="1:50" x14ac:dyDescent="0.25">
      <c r="A26" t="s">
        <v>2</v>
      </c>
      <c r="B26" t="s">
        <v>127</v>
      </c>
      <c r="C26">
        <f>VLOOKUP(D1_MARZO_2025[[#This Row],[SUPER]],DATA_MARZO_2025[[SUPERVISOR]:[META]],3,0)</f>
        <v>24000</v>
      </c>
      <c r="D26">
        <f>D1_MARZO_2025[[#This Row],[RECUPERO]]/D1_MARZO_2025[[#This Row],[META]]</f>
        <v>0.110625</v>
      </c>
      <c r="E26" t="s">
        <v>2</v>
      </c>
      <c r="F26" t="s">
        <v>127</v>
      </c>
      <c r="G26">
        <v>2655</v>
      </c>
      <c r="H26" t="s">
        <v>459</v>
      </c>
      <c r="I26" s="55">
        <v>45721</v>
      </c>
      <c r="J26" t="s">
        <v>501</v>
      </c>
      <c r="L26" s="55"/>
      <c r="M26" s="1">
        <f>DATA_MARZO_2025[[#This Row],[RECUPERO]]/DATA_MARZO_2025[[#This Row],[META]]</f>
        <v>0.74128571428571433</v>
      </c>
      <c r="N26">
        <f>6-ROUNDUP(_xlfn.RANK.EQ(DATA_MARZO_2025[[#This Row],[AL_AC]],DATA_MARZO_2025[AL_AC],0)/(COUNTA(DATA_MARZO_2025[AL_AC])/5),0)</f>
        <v>4</v>
      </c>
      <c r="O26" t="s">
        <v>6</v>
      </c>
      <c r="P26">
        <f>SUM(DATA_MARZO_2025[[#This Row],[1]:[31]])</f>
        <v>15567</v>
      </c>
      <c r="Q26">
        <v>21000</v>
      </c>
      <c r="R26" t="s">
        <v>81</v>
      </c>
      <c r="S26">
        <v>337</v>
      </c>
      <c r="AD26">
        <v>300</v>
      </c>
      <c r="AI26">
        <v>13500</v>
      </c>
      <c r="AJ26">
        <v>250</v>
      </c>
      <c r="AP26">
        <v>350</v>
      </c>
      <c r="AS26">
        <v>580</v>
      </c>
      <c r="AW26">
        <v>250</v>
      </c>
      <c r="AX26" t="s">
        <v>152</v>
      </c>
    </row>
    <row r="27" spans="1:50" x14ac:dyDescent="0.25">
      <c r="A27" t="s">
        <v>2</v>
      </c>
      <c r="B27" t="s">
        <v>26</v>
      </c>
      <c r="C27">
        <f>VLOOKUP(D1_MARZO_2025[[#This Row],[SUPER]],DATA_MARZO_2025[[SUPERVISOR]:[META]],3,0)</f>
        <v>24000</v>
      </c>
      <c r="D27">
        <f>D1_MARZO_2025[[#This Row],[RECUPERO]]/D1_MARZO_2025[[#This Row],[META]]</f>
        <v>0.77920833333333328</v>
      </c>
      <c r="E27" t="s">
        <v>2</v>
      </c>
      <c r="F27" t="s">
        <v>26</v>
      </c>
      <c r="G27">
        <v>18701</v>
      </c>
      <c r="H27" t="s">
        <v>391</v>
      </c>
      <c r="I27" s="55">
        <v>44259</v>
      </c>
      <c r="J27" t="s">
        <v>501</v>
      </c>
      <c r="L27" s="55"/>
      <c r="M27" s="1">
        <f>DATA_MARZO_2025[[#This Row],[RECUPERO]]/DATA_MARZO_2025[[#This Row],[META]]</f>
        <v>0.27395238095238095</v>
      </c>
      <c r="N27">
        <f>6-ROUNDUP(_xlfn.RANK.EQ(DATA_MARZO_2025[[#This Row],[AL_AC]],DATA_MARZO_2025[AL_AC],0)/(COUNTA(DATA_MARZO_2025[AL_AC])/5),0)</f>
        <v>2</v>
      </c>
      <c r="O27" t="s">
        <v>9</v>
      </c>
      <c r="P27">
        <f>SUM(DATA_MARZO_2025[[#This Row],[1]:[31]])</f>
        <v>5753</v>
      </c>
      <c r="Q27">
        <v>21000</v>
      </c>
      <c r="R27" t="s">
        <v>129</v>
      </c>
      <c r="AJ27">
        <v>338</v>
      </c>
      <c r="AK27">
        <v>1450</v>
      </c>
      <c r="AL27">
        <v>400</v>
      </c>
      <c r="AP27">
        <v>1065</v>
      </c>
      <c r="AT27">
        <v>2500</v>
      </c>
      <c r="AX27" t="s">
        <v>153</v>
      </c>
    </row>
    <row r="28" spans="1:50" x14ac:dyDescent="0.25">
      <c r="A28" t="s">
        <v>2</v>
      </c>
      <c r="B28" t="s">
        <v>77</v>
      </c>
      <c r="C28">
        <f>VLOOKUP(D1_MARZO_2025[[#This Row],[SUPER]],DATA_MARZO_2025[[SUPERVISOR]:[META]],3,0)</f>
        <v>24000</v>
      </c>
      <c r="D28">
        <f>D1_MARZO_2025[[#This Row],[RECUPERO]]/D1_MARZO_2025[[#This Row],[META]]</f>
        <v>0.43883333333333335</v>
      </c>
      <c r="E28" t="s">
        <v>2</v>
      </c>
      <c r="F28" t="s">
        <v>77</v>
      </c>
      <c r="G28">
        <v>10532</v>
      </c>
      <c r="H28" t="s">
        <v>393</v>
      </c>
      <c r="I28" s="55">
        <v>44840</v>
      </c>
      <c r="J28" t="s">
        <v>501</v>
      </c>
      <c r="L28" s="55"/>
      <c r="M28" s="1">
        <f>DATA_MARZO_2025[[#This Row],[RECUPERO]]/DATA_MARZO_2025[[#This Row],[META]]</f>
        <v>0.69497580645161294</v>
      </c>
      <c r="N28">
        <f>6-ROUNDUP(_xlfn.RANK.EQ(DATA_MARZO_2025[[#This Row],[AL_AC]],DATA_MARZO_2025[AL_AC],0)/(COUNTA(DATA_MARZO_2025[AL_AC])/5),0)</f>
        <v>4</v>
      </c>
      <c r="O28" t="s">
        <v>3</v>
      </c>
      <c r="P28">
        <f>SUM(DATA_MARZO_2025[[#This Row],[1]:[31]])</f>
        <v>43088.5</v>
      </c>
      <c r="Q28">
        <v>62000</v>
      </c>
      <c r="R28" t="s">
        <v>72</v>
      </c>
      <c r="U28">
        <v>416</v>
      </c>
      <c r="W28">
        <v>292</v>
      </c>
      <c r="Y28">
        <v>6000</v>
      </c>
      <c r="Z28">
        <v>2000</v>
      </c>
      <c r="AB28">
        <v>400</v>
      </c>
      <c r="AE28">
        <v>7030.5</v>
      </c>
      <c r="AF28">
        <v>11000</v>
      </c>
      <c r="AI28">
        <v>352</v>
      </c>
      <c r="AJ28">
        <v>4500</v>
      </c>
      <c r="AL28">
        <v>0</v>
      </c>
      <c r="AM28">
        <v>5500</v>
      </c>
      <c r="AP28">
        <v>630</v>
      </c>
      <c r="AQ28">
        <v>600</v>
      </c>
      <c r="AS28">
        <v>2235</v>
      </c>
      <c r="AT28">
        <v>433</v>
      </c>
      <c r="AW28">
        <v>1700</v>
      </c>
      <c r="AX28" t="s">
        <v>150</v>
      </c>
    </row>
    <row r="29" spans="1:50" x14ac:dyDescent="0.25">
      <c r="A29" t="s">
        <v>2</v>
      </c>
      <c r="B29" t="s">
        <v>74</v>
      </c>
      <c r="C29">
        <f>VLOOKUP(D1_MARZO_2025[[#This Row],[SUPER]],DATA_MARZO_2025[[SUPERVISOR]:[META]],3,0)</f>
        <v>24000</v>
      </c>
      <c r="D29">
        <f>D1_MARZO_2025[[#This Row],[RECUPERO]]/D1_MARZO_2025[[#This Row],[META]]</f>
        <v>0.44091666666666668</v>
      </c>
      <c r="E29" t="s">
        <v>2</v>
      </c>
      <c r="F29" t="s">
        <v>74</v>
      </c>
      <c r="G29">
        <v>10582</v>
      </c>
      <c r="H29" t="s">
        <v>395</v>
      </c>
      <c r="I29" s="55">
        <v>44470</v>
      </c>
      <c r="J29" t="s">
        <v>501</v>
      </c>
      <c r="L29" s="55"/>
      <c r="M29" s="1">
        <f>DATA_MARZO_2025[[#This Row],[RECUPERO]]/DATA_MARZO_2025[[#This Row],[META]]</f>
        <v>1.3166403225806451</v>
      </c>
      <c r="N29">
        <f>6-ROUNDUP(_xlfn.RANK.EQ(DATA_MARZO_2025[[#This Row],[AL_AC]],DATA_MARZO_2025[AL_AC],0)/(COUNTA(DATA_MARZO_2025[AL_AC])/5),0)</f>
        <v>5</v>
      </c>
      <c r="O29" t="s">
        <v>3</v>
      </c>
      <c r="P29">
        <f>SUM(DATA_MARZO_2025[[#This Row],[1]:[31]])</f>
        <v>81631.7</v>
      </c>
      <c r="Q29">
        <v>62000</v>
      </c>
      <c r="R29" t="s">
        <v>22</v>
      </c>
      <c r="U29">
        <v>1224</v>
      </c>
      <c r="V29">
        <v>500</v>
      </c>
      <c r="W29">
        <v>20000</v>
      </c>
      <c r="Y29">
        <v>296</v>
      </c>
      <c r="Z29">
        <v>1582</v>
      </c>
      <c r="AB29">
        <v>503</v>
      </c>
      <c r="AC29">
        <v>554.70000000000005</v>
      </c>
      <c r="AD29">
        <v>7000</v>
      </c>
      <c r="AK29">
        <v>1126</v>
      </c>
      <c r="AM29">
        <v>1000</v>
      </c>
      <c r="AN29">
        <v>450</v>
      </c>
      <c r="AP29">
        <v>1400</v>
      </c>
      <c r="AQ29">
        <v>3000</v>
      </c>
      <c r="AR29">
        <v>8456</v>
      </c>
      <c r="AS29">
        <v>16636</v>
      </c>
      <c r="AT29">
        <v>11024</v>
      </c>
      <c r="AV29">
        <v>1706</v>
      </c>
      <c r="AW29">
        <v>5174</v>
      </c>
      <c r="AX29" t="s">
        <v>150</v>
      </c>
    </row>
    <row r="30" spans="1:50" x14ac:dyDescent="0.25">
      <c r="A30" t="s">
        <v>2</v>
      </c>
      <c r="B30" t="s">
        <v>78</v>
      </c>
      <c r="C30">
        <f>VLOOKUP(D1_MARZO_2025[[#This Row],[SUPER]],DATA_MARZO_2025[[SUPERVISOR]:[META]],3,0)</f>
        <v>24000</v>
      </c>
      <c r="D30">
        <f>D1_MARZO_2025[[#This Row],[RECUPERO]]/D1_MARZO_2025[[#This Row],[META]]</f>
        <v>0.36379166666666668</v>
      </c>
      <c r="E30" t="s">
        <v>2</v>
      </c>
      <c r="F30" t="s">
        <v>78</v>
      </c>
      <c r="G30">
        <v>8731</v>
      </c>
      <c r="H30" t="s">
        <v>397</v>
      </c>
      <c r="I30" s="55">
        <v>44945</v>
      </c>
      <c r="J30" t="s">
        <v>501</v>
      </c>
      <c r="L30" s="55"/>
      <c r="M30" s="1">
        <f>DATA_MARZO_2025[[#This Row],[RECUPERO]]/DATA_MARZO_2025[[#This Row],[META]]</f>
        <v>0.72109090909090912</v>
      </c>
      <c r="N30">
        <f>6-ROUNDUP(_xlfn.RANK.EQ(DATA_MARZO_2025[[#This Row],[AL_AC]],DATA_MARZO_2025[AL_AC],0)/(COUNTA(DATA_MARZO_2025[AL_AC])/5),0)</f>
        <v>4</v>
      </c>
      <c r="O30" t="s">
        <v>115</v>
      </c>
      <c r="P30">
        <f>SUM(DATA_MARZO_2025[[#This Row],[1]:[31]])</f>
        <v>11898</v>
      </c>
      <c r="Q30">
        <v>16500</v>
      </c>
      <c r="R30" t="s">
        <v>24</v>
      </c>
      <c r="AB30">
        <v>146</v>
      </c>
      <c r="AC30">
        <v>107</v>
      </c>
      <c r="AD30">
        <v>1823</v>
      </c>
      <c r="AE30">
        <v>2500</v>
      </c>
      <c r="AJ30">
        <v>600</v>
      </c>
      <c r="AK30">
        <v>436</v>
      </c>
      <c r="AM30">
        <v>2157</v>
      </c>
      <c r="AQ30">
        <v>2000</v>
      </c>
      <c r="AS30">
        <v>1150</v>
      </c>
      <c r="AT30">
        <v>479</v>
      </c>
      <c r="AW30">
        <v>500</v>
      </c>
      <c r="AX30" t="s">
        <v>154</v>
      </c>
    </row>
    <row r="31" spans="1:50" x14ac:dyDescent="0.25">
      <c r="A31" t="s">
        <v>2</v>
      </c>
      <c r="B31" t="s">
        <v>39</v>
      </c>
      <c r="C31">
        <f>VLOOKUP(D1_MARZO_2025[[#This Row],[SUPER]],DATA_MARZO_2025[[SUPERVISOR]:[META]],3,0)</f>
        <v>24000</v>
      </c>
      <c r="D31">
        <f>D1_MARZO_2025[[#This Row],[RECUPERO]]/D1_MARZO_2025[[#This Row],[META]]</f>
        <v>0.33024999999999999</v>
      </c>
      <c r="E31" t="s">
        <v>2</v>
      </c>
      <c r="F31" t="s">
        <v>39</v>
      </c>
      <c r="G31">
        <v>7926</v>
      </c>
      <c r="H31" t="s">
        <v>452</v>
      </c>
      <c r="I31" s="55">
        <v>44951</v>
      </c>
      <c r="J31" t="s">
        <v>501</v>
      </c>
      <c r="L31" s="55"/>
      <c r="M31" s="1">
        <f>DATA_MARZO_2025[[#This Row],[RECUPERO]]/DATA_MARZO_2025[[#This Row],[META]]</f>
        <v>0.21875</v>
      </c>
      <c r="N31">
        <f>6-ROUNDUP(_xlfn.RANK.EQ(DATA_MARZO_2025[[#This Row],[AL_AC]],DATA_MARZO_2025[AL_AC],0)/(COUNTA(DATA_MARZO_2025[AL_AC])/5),0)</f>
        <v>1</v>
      </c>
      <c r="O31" t="s">
        <v>2</v>
      </c>
      <c r="P31">
        <f>SUM(DATA_MARZO_2025[[#This Row],[1]:[31]])</f>
        <v>5250</v>
      </c>
      <c r="Q31">
        <v>24000</v>
      </c>
      <c r="R31" t="s">
        <v>16</v>
      </c>
      <c r="X31">
        <v>750</v>
      </c>
      <c r="AB31">
        <v>200</v>
      </c>
      <c r="AF31">
        <v>400</v>
      </c>
      <c r="AP31">
        <v>3100</v>
      </c>
      <c r="AQ31">
        <v>300</v>
      </c>
      <c r="AS31">
        <v>100</v>
      </c>
      <c r="AW31">
        <v>400</v>
      </c>
      <c r="AX31" t="s">
        <v>151</v>
      </c>
    </row>
    <row r="32" spans="1:50" x14ac:dyDescent="0.25">
      <c r="A32" t="s">
        <v>5</v>
      </c>
      <c r="B32" t="s">
        <v>85</v>
      </c>
      <c r="C32">
        <f>VLOOKUP(D1_MARZO_2025[[#This Row],[SUPER]],DATA_MARZO_2025[[SUPERVISOR]:[META]],3,0)</f>
        <v>62000</v>
      </c>
      <c r="D32">
        <f>D1_MARZO_2025[[#This Row],[RECUPERO]]/D1_MARZO_2025[[#This Row],[META]]</f>
        <v>0.65578225806451618</v>
      </c>
      <c r="E32" t="s">
        <v>5</v>
      </c>
      <c r="F32" t="s">
        <v>85</v>
      </c>
      <c r="G32">
        <v>40658.5</v>
      </c>
      <c r="H32" t="s">
        <v>380</v>
      </c>
      <c r="I32" s="55">
        <v>44811</v>
      </c>
      <c r="J32" t="s">
        <v>501</v>
      </c>
      <c r="L32" s="55"/>
      <c r="M32" s="1">
        <f>DATA_MARZO_2025[[#This Row],[RECUPERO]]/DATA_MARZO_2025[[#This Row],[META]]</f>
        <v>0.22504761904761905</v>
      </c>
      <c r="N32">
        <f>6-ROUNDUP(_xlfn.RANK.EQ(DATA_MARZO_2025[[#This Row],[AL_AC]],DATA_MARZO_2025[AL_AC],0)/(COUNTA(DATA_MARZO_2025[AL_AC])/5),0)</f>
        <v>1</v>
      </c>
      <c r="O32" t="s">
        <v>9</v>
      </c>
      <c r="P32">
        <f>SUM(DATA_MARZO_2025[[#This Row],[1]:[31]])</f>
        <v>4726</v>
      </c>
      <c r="Q32">
        <v>21000</v>
      </c>
      <c r="R32" t="s">
        <v>27</v>
      </c>
      <c r="W32">
        <v>500</v>
      </c>
      <c r="X32">
        <v>400</v>
      </c>
      <c r="AI32">
        <v>1200</v>
      </c>
      <c r="AJ32">
        <v>499</v>
      </c>
      <c r="AL32">
        <v>200</v>
      </c>
      <c r="AP32">
        <v>291</v>
      </c>
      <c r="AQ32">
        <v>386</v>
      </c>
      <c r="AU32">
        <v>1250</v>
      </c>
      <c r="AX32" t="s">
        <v>153</v>
      </c>
    </row>
    <row r="33" spans="1:50" x14ac:dyDescent="0.25">
      <c r="A33" t="s">
        <v>5</v>
      </c>
      <c r="B33" t="s">
        <v>67</v>
      </c>
      <c r="C33">
        <f>VLOOKUP(D1_MARZO_2025[[#This Row],[SUPER]],DATA_MARZO_2025[[SUPERVISOR]:[META]],3,0)</f>
        <v>62000</v>
      </c>
      <c r="D33">
        <f>D1_MARZO_2025[[#This Row],[RECUPERO]]/D1_MARZO_2025[[#This Row],[META]]</f>
        <v>1.6418725806451613</v>
      </c>
      <c r="E33" t="s">
        <v>5</v>
      </c>
      <c r="F33" t="s">
        <v>67</v>
      </c>
      <c r="G33">
        <v>101796.1</v>
      </c>
      <c r="H33" t="s">
        <v>381</v>
      </c>
      <c r="I33" s="55">
        <v>44811</v>
      </c>
      <c r="J33" t="s">
        <v>501</v>
      </c>
      <c r="L33" s="55"/>
      <c r="M33" s="1">
        <f>DATA_MARZO_2025[[#This Row],[RECUPERO]]/DATA_MARZO_2025[[#This Row],[META]]</f>
        <v>0.45379166666666665</v>
      </c>
      <c r="N33">
        <f>6-ROUNDUP(_xlfn.RANK.EQ(DATA_MARZO_2025[[#This Row],[AL_AC]],DATA_MARZO_2025[AL_AC],0)/(COUNTA(DATA_MARZO_2025[AL_AC])/5),0)</f>
        <v>3</v>
      </c>
      <c r="O33" t="s">
        <v>2</v>
      </c>
      <c r="P33">
        <f>SUM(DATA_MARZO_2025[[#This Row],[1]:[31]])</f>
        <v>10891</v>
      </c>
      <c r="Q33">
        <v>24000</v>
      </c>
      <c r="R33" t="s">
        <v>12</v>
      </c>
      <c r="S33">
        <v>200</v>
      </c>
      <c r="U33">
        <v>320</v>
      </c>
      <c r="W33">
        <v>2020</v>
      </c>
      <c r="X33">
        <v>731</v>
      </c>
      <c r="AB33">
        <v>500</v>
      </c>
      <c r="AD33">
        <v>202</v>
      </c>
      <c r="AF33">
        <v>100</v>
      </c>
      <c r="AG33">
        <v>250</v>
      </c>
      <c r="AI33">
        <v>250</v>
      </c>
      <c r="AM33">
        <v>717</v>
      </c>
      <c r="AP33">
        <v>400</v>
      </c>
      <c r="AQ33">
        <v>400</v>
      </c>
      <c r="AS33">
        <v>575</v>
      </c>
      <c r="AT33">
        <v>3500</v>
      </c>
      <c r="AW33">
        <v>726</v>
      </c>
      <c r="AX33" t="s">
        <v>151</v>
      </c>
    </row>
    <row r="34" spans="1:50" x14ac:dyDescent="0.25">
      <c r="A34" t="s">
        <v>5</v>
      </c>
      <c r="B34" t="s">
        <v>13</v>
      </c>
      <c r="C34">
        <f>VLOOKUP(D1_MARZO_2025[[#This Row],[SUPER]],DATA_MARZO_2025[[SUPERVISOR]:[META]],3,0)</f>
        <v>62000</v>
      </c>
      <c r="D34">
        <f>D1_MARZO_2025[[#This Row],[RECUPERO]]/D1_MARZO_2025[[#This Row],[META]]</f>
        <v>0.8414677419354839</v>
      </c>
      <c r="E34" t="s">
        <v>5</v>
      </c>
      <c r="F34" t="s">
        <v>13</v>
      </c>
      <c r="G34">
        <v>52171</v>
      </c>
      <c r="H34" t="s">
        <v>382</v>
      </c>
      <c r="I34" s="55">
        <v>44811</v>
      </c>
      <c r="J34" t="s">
        <v>501</v>
      </c>
      <c r="L34" s="55"/>
      <c r="M34" s="1">
        <f>DATA_MARZO_2025[[#This Row],[RECUPERO]]/DATA_MARZO_2025[[#This Row],[META]]</f>
        <v>0.33585714285714285</v>
      </c>
      <c r="N34">
        <f>6-ROUNDUP(_xlfn.RANK.EQ(DATA_MARZO_2025[[#This Row],[AL_AC]],DATA_MARZO_2025[AL_AC],0)/(COUNTA(DATA_MARZO_2025[AL_AC])/5),0)</f>
        <v>2</v>
      </c>
      <c r="O34" t="s">
        <v>9</v>
      </c>
      <c r="P34">
        <f>SUM(DATA_MARZO_2025[[#This Row],[1]:[31]])</f>
        <v>7053</v>
      </c>
      <c r="Q34">
        <v>21000</v>
      </c>
      <c r="R34" t="s">
        <v>51</v>
      </c>
      <c r="U34">
        <v>353</v>
      </c>
      <c r="Y34">
        <v>2200</v>
      </c>
      <c r="AE34">
        <v>500</v>
      </c>
      <c r="AF34">
        <v>350</v>
      </c>
      <c r="AM34">
        <v>300</v>
      </c>
      <c r="AP34">
        <v>100</v>
      </c>
      <c r="AQ34">
        <v>750</v>
      </c>
      <c r="AR34">
        <v>2500</v>
      </c>
      <c r="AX34" t="s">
        <v>153</v>
      </c>
    </row>
    <row r="35" spans="1:50" x14ac:dyDescent="0.25">
      <c r="A35" t="s">
        <v>5</v>
      </c>
      <c r="B35" t="s">
        <v>66</v>
      </c>
      <c r="C35">
        <f>VLOOKUP(D1_MARZO_2025[[#This Row],[SUPER]],DATA_MARZO_2025[[SUPERVISOR]:[META]],3,0)</f>
        <v>62000</v>
      </c>
      <c r="D35">
        <f>D1_MARZO_2025[[#This Row],[RECUPERO]]/D1_MARZO_2025[[#This Row],[META]]</f>
        <v>0.95954596774193546</v>
      </c>
      <c r="E35" t="s">
        <v>5</v>
      </c>
      <c r="F35" t="s">
        <v>66</v>
      </c>
      <c r="G35">
        <v>59491.85</v>
      </c>
      <c r="H35" t="s">
        <v>383</v>
      </c>
      <c r="I35" s="55">
        <v>45457</v>
      </c>
      <c r="J35" t="s">
        <v>501</v>
      </c>
      <c r="L35" s="55"/>
      <c r="M35" s="1">
        <f>DATA_MARZO_2025[[#This Row],[RECUPERO]]/DATA_MARZO_2025[[#This Row],[META]]</f>
        <v>0.8414677419354839</v>
      </c>
      <c r="N35">
        <f>6-ROUNDUP(_xlfn.RANK.EQ(DATA_MARZO_2025[[#This Row],[AL_AC]],DATA_MARZO_2025[AL_AC],0)/(COUNTA(DATA_MARZO_2025[AL_AC])/5),0)</f>
        <v>4</v>
      </c>
      <c r="O35" t="s">
        <v>5</v>
      </c>
      <c r="P35">
        <f>SUM(DATA_MARZO_2025[[#This Row],[1]:[31]])</f>
        <v>52171</v>
      </c>
      <c r="Q35">
        <v>62000</v>
      </c>
      <c r="R35" t="s">
        <v>13</v>
      </c>
      <c r="U35">
        <v>730</v>
      </c>
      <c r="V35">
        <v>1000</v>
      </c>
      <c r="W35">
        <v>2092</v>
      </c>
      <c r="AE35">
        <v>700</v>
      </c>
      <c r="AF35">
        <v>15350</v>
      </c>
      <c r="AH35">
        <v>908</v>
      </c>
      <c r="AI35">
        <v>1000</v>
      </c>
      <c r="AJ35">
        <v>1500</v>
      </c>
      <c r="AM35">
        <v>4700</v>
      </c>
      <c r="AP35">
        <v>590</v>
      </c>
      <c r="AQ35">
        <v>7960</v>
      </c>
      <c r="AR35">
        <v>1500</v>
      </c>
      <c r="AS35">
        <v>2016</v>
      </c>
      <c r="AT35">
        <v>3200</v>
      </c>
      <c r="AW35">
        <v>8925</v>
      </c>
      <c r="AX35" t="s">
        <v>150</v>
      </c>
    </row>
    <row r="36" spans="1:50" x14ac:dyDescent="0.25">
      <c r="A36" t="s">
        <v>5</v>
      </c>
      <c r="B36" t="s">
        <v>116</v>
      </c>
      <c r="C36">
        <f>VLOOKUP(D1_MARZO_2025[[#This Row],[SUPER]],DATA_MARZO_2025[[SUPERVISOR]:[META]],3,0)</f>
        <v>62000</v>
      </c>
      <c r="D36">
        <f>D1_MARZO_2025[[#This Row],[RECUPERO]]/D1_MARZO_2025[[#This Row],[META]]</f>
        <v>0</v>
      </c>
      <c r="E36" t="s">
        <v>5</v>
      </c>
      <c r="F36" t="s">
        <v>116</v>
      </c>
      <c r="G36">
        <v>0</v>
      </c>
      <c r="H36" t="s">
        <v>384</v>
      </c>
      <c r="I36" s="55">
        <v>45075</v>
      </c>
      <c r="J36" t="s">
        <v>501</v>
      </c>
      <c r="L36" s="55"/>
      <c r="M36" s="1">
        <f>DATA_MARZO_2025[[#This Row],[RECUPERO]]/DATA_MARZO_2025[[#This Row],[META]]</f>
        <v>0.22791666666666666</v>
      </c>
      <c r="N36">
        <f>6-ROUNDUP(_xlfn.RANK.EQ(DATA_MARZO_2025[[#This Row],[AL_AC]],DATA_MARZO_2025[AL_AC],0)/(COUNTA(DATA_MARZO_2025[AL_AC])/5),0)</f>
        <v>2</v>
      </c>
      <c r="O36" t="s">
        <v>2</v>
      </c>
      <c r="P36">
        <f>SUM(DATA_MARZO_2025[[#This Row],[1]:[31]])</f>
        <v>5470</v>
      </c>
      <c r="Q36">
        <v>24000</v>
      </c>
      <c r="R36" t="s">
        <v>32</v>
      </c>
      <c r="V36">
        <v>600</v>
      </c>
      <c r="W36">
        <v>400</v>
      </c>
      <c r="X36">
        <v>1820</v>
      </c>
      <c r="Y36">
        <v>100</v>
      </c>
      <c r="AC36">
        <v>700</v>
      </c>
      <c r="AI36">
        <v>350</v>
      </c>
      <c r="AK36">
        <v>500</v>
      </c>
      <c r="AM36">
        <v>300</v>
      </c>
      <c r="AW36">
        <v>700</v>
      </c>
      <c r="AX36" t="s">
        <v>151</v>
      </c>
    </row>
    <row r="37" spans="1:50" x14ac:dyDescent="0.25">
      <c r="A37" t="s">
        <v>5</v>
      </c>
      <c r="B37" t="s">
        <v>106</v>
      </c>
      <c r="C37">
        <f>VLOOKUP(D1_MARZO_2025[[#This Row],[SUPER]],DATA_MARZO_2025[[SUPERVISOR]:[META]],3,0)</f>
        <v>62000</v>
      </c>
      <c r="D37">
        <f>D1_MARZO_2025[[#This Row],[RECUPERO]]/D1_MARZO_2025[[#This Row],[META]]</f>
        <v>0.46983870967741936</v>
      </c>
      <c r="E37" t="s">
        <v>5</v>
      </c>
      <c r="F37" t="s">
        <v>106</v>
      </c>
      <c r="G37">
        <v>29130</v>
      </c>
      <c r="H37" t="s">
        <v>392</v>
      </c>
      <c r="I37" s="55">
        <v>44748</v>
      </c>
      <c r="J37" t="s">
        <v>501</v>
      </c>
      <c r="L37" s="55"/>
      <c r="M37" s="1">
        <f>DATA_MARZO_2025[[#This Row],[RECUPERO]]/DATA_MARZO_2025[[#This Row],[META]]</f>
        <v>0.95954596774193546</v>
      </c>
      <c r="N37">
        <f>6-ROUNDUP(_xlfn.RANK.EQ(DATA_MARZO_2025[[#This Row],[AL_AC]],DATA_MARZO_2025[AL_AC],0)/(COUNTA(DATA_MARZO_2025[AL_AC])/5),0)</f>
        <v>5</v>
      </c>
      <c r="O37" t="s">
        <v>5</v>
      </c>
      <c r="P37">
        <f>SUM(DATA_MARZO_2025[[#This Row],[1]:[31]])</f>
        <v>59491.85</v>
      </c>
      <c r="Q37">
        <v>62000</v>
      </c>
      <c r="R37" t="s">
        <v>66</v>
      </c>
      <c r="U37">
        <v>295</v>
      </c>
      <c r="W37">
        <v>3280</v>
      </c>
      <c r="X37">
        <v>800</v>
      </c>
      <c r="Y37">
        <v>8000</v>
      </c>
      <c r="AE37">
        <v>5000</v>
      </c>
      <c r="AF37">
        <v>17000.849999999999</v>
      </c>
      <c r="AI37">
        <v>1200</v>
      </c>
      <c r="AL37">
        <v>3500</v>
      </c>
      <c r="AR37">
        <v>12000</v>
      </c>
      <c r="AU37">
        <v>295</v>
      </c>
      <c r="AW37">
        <v>8121</v>
      </c>
      <c r="AX37" t="s">
        <v>150</v>
      </c>
    </row>
    <row r="38" spans="1:50" x14ac:dyDescent="0.25">
      <c r="A38" t="s">
        <v>5</v>
      </c>
      <c r="B38" t="s">
        <v>17</v>
      </c>
      <c r="C38">
        <f>VLOOKUP(D1_MARZO_2025[[#This Row],[SUPER]],DATA_MARZO_2025[[SUPERVISOR]:[META]],3,0)</f>
        <v>62000</v>
      </c>
      <c r="D38">
        <f>D1_MARZO_2025[[#This Row],[RECUPERO]]/D1_MARZO_2025[[#This Row],[META]]</f>
        <v>0.4863564516129032</v>
      </c>
      <c r="E38" t="s">
        <v>5</v>
      </c>
      <c r="F38" t="s">
        <v>17</v>
      </c>
      <c r="G38">
        <v>30154.1</v>
      </c>
      <c r="H38" t="s">
        <v>385</v>
      </c>
      <c r="I38" s="55">
        <v>44888</v>
      </c>
      <c r="J38" t="s">
        <v>501</v>
      </c>
      <c r="L38" s="55"/>
      <c r="M38" s="1">
        <f>DATA_MARZO_2025[[#This Row],[RECUPERO]]/DATA_MARZO_2025[[#This Row],[META]]</f>
        <v>0.31490476190476191</v>
      </c>
      <c r="N38">
        <f>6-ROUNDUP(_xlfn.RANK.EQ(DATA_MARZO_2025[[#This Row],[AL_AC]],DATA_MARZO_2025[AL_AC],0)/(COUNTA(DATA_MARZO_2025[AL_AC])/5),0)</f>
        <v>2</v>
      </c>
      <c r="O38" t="s">
        <v>9</v>
      </c>
      <c r="P38">
        <f>SUM(DATA_MARZO_2025[[#This Row],[1]:[31]])</f>
        <v>6613</v>
      </c>
      <c r="Q38">
        <v>21000</v>
      </c>
      <c r="R38" t="s">
        <v>71</v>
      </c>
      <c r="W38">
        <v>200</v>
      </c>
      <c r="Y38">
        <v>500</v>
      </c>
      <c r="AI38">
        <v>200</v>
      </c>
      <c r="AJ38">
        <v>2000</v>
      </c>
      <c r="AL38">
        <v>200</v>
      </c>
      <c r="AM38">
        <v>1500</v>
      </c>
      <c r="AP38">
        <v>813</v>
      </c>
      <c r="AR38">
        <v>200</v>
      </c>
      <c r="AS38">
        <v>200</v>
      </c>
      <c r="AU38">
        <v>200</v>
      </c>
      <c r="AW38">
        <v>600</v>
      </c>
      <c r="AX38" t="s">
        <v>153</v>
      </c>
    </row>
    <row r="39" spans="1:50" x14ac:dyDescent="0.25">
      <c r="A39" t="s">
        <v>5</v>
      </c>
      <c r="B39" t="s">
        <v>62</v>
      </c>
      <c r="C39">
        <f>VLOOKUP(D1_MARZO_2025[[#This Row],[SUPER]],DATA_MARZO_2025[[SUPERVISOR]:[META]],3,0)</f>
        <v>62000</v>
      </c>
      <c r="D39">
        <f>D1_MARZO_2025[[#This Row],[RECUPERO]]/D1_MARZO_2025[[#This Row],[META]]</f>
        <v>0.76293693548387087</v>
      </c>
      <c r="E39" t="s">
        <v>5</v>
      </c>
      <c r="F39" t="s">
        <v>62</v>
      </c>
      <c r="G39">
        <v>47302.09</v>
      </c>
      <c r="H39" t="s">
        <v>386</v>
      </c>
      <c r="I39" s="55">
        <v>45334</v>
      </c>
      <c r="J39" t="s">
        <v>501</v>
      </c>
      <c r="L39" s="55"/>
      <c r="M39" s="1">
        <f>DATA_MARZO_2025[[#This Row],[RECUPERO]]/DATA_MARZO_2025[[#This Row],[META]]</f>
        <v>0.110625</v>
      </c>
      <c r="N39">
        <f>6-ROUNDUP(_xlfn.RANK.EQ(DATA_MARZO_2025[[#This Row],[AL_AC]],DATA_MARZO_2025[AL_AC],0)/(COUNTA(DATA_MARZO_2025[AL_AC])/5),0)</f>
        <v>1</v>
      </c>
      <c r="O39" t="s">
        <v>2</v>
      </c>
      <c r="P39">
        <f>SUM(DATA_MARZO_2025[[#This Row],[1]:[31]])</f>
        <v>2655</v>
      </c>
      <c r="Q39">
        <v>24000</v>
      </c>
      <c r="R39" t="s">
        <v>127</v>
      </c>
      <c r="AA39">
        <v>300</v>
      </c>
      <c r="AB39">
        <v>800</v>
      </c>
      <c r="AI39">
        <v>480</v>
      </c>
      <c r="AK39">
        <v>375</v>
      </c>
      <c r="AT39">
        <v>700</v>
      </c>
      <c r="AX39" t="s">
        <v>151</v>
      </c>
    </row>
    <row r="40" spans="1:50" x14ac:dyDescent="0.25">
      <c r="A40" t="s">
        <v>5</v>
      </c>
      <c r="B40" t="s">
        <v>79</v>
      </c>
      <c r="C40">
        <f>VLOOKUP(D1_MARZO_2025[[#This Row],[SUPER]],DATA_MARZO_2025[[SUPERVISOR]:[META]],3,0)</f>
        <v>62000</v>
      </c>
      <c r="D40">
        <f>D1_MARZO_2025[[#This Row],[RECUPERO]]/D1_MARZO_2025[[#This Row],[META]]</f>
        <v>0.91170967741935482</v>
      </c>
      <c r="E40" t="s">
        <v>5</v>
      </c>
      <c r="F40" t="s">
        <v>79</v>
      </c>
      <c r="G40">
        <v>56526</v>
      </c>
      <c r="H40" t="s">
        <v>453</v>
      </c>
      <c r="I40" s="55">
        <v>44566</v>
      </c>
      <c r="J40" t="s">
        <v>501</v>
      </c>
      <c r="L40" s="55"/>
      <c r="M40" s="1">
        <f>DATA_MARZO_2025[[#This Row],[RECUPERO]]/DATA_MARZO_2025[[#This Row],[META]]</f>
        <v>0.29061904761904761</v>
      </c>
      <c r="N40">
        <f>6-ROUNDUP(_xlfn.RANK.EQ(DATA_MARZO_2025[[#This Row],[AL_AC]],DATA_MARZO_2025[AL_AC],0)/(COUNTA(DATA_MARZO_2025[AL_AC])/5),0)</f>
        <v>2</v>
      </c>
      <c r="O40" t="s">
        <v>9</v>
      </c>
      <c r="P40">
        <f>SUM(DATA_MARZO_2025[[#This Row],[1]:[31]])</f>
        <v>6103</v>
      </c>
      <c r="Q40">
        <v>21000</v>
      </c>
      <c r="R40" t="s">
        <v>42</v>
      </c>
      <c r="AD40">
        <v>400</v>
      </c>
      <c r="AE40">
        <v>476</v>
      </c>
      <c r="AF40">
        <v>400</v>
      </c>
      <c r="AI40">
        <v>435</v>
      </c>
      <c r="AJ40">
        <v>468</v>
      </c>
      <c r="AL40">
        <v>500</v>
      </c>
      <c r="AM40">
        <v>600</v>
      </c>
      <c r="AP40">
        <v>311</v>
      </c>
      <c r="AQ40">
        <v>500</v>
      </c>
      <c r="AU40">
        <v>1300</v>
      </c>
      <c r="AW40">
        <v>713</v>
      </c>
      <c r="AX40" t="s">
        <v>153</v>
      </c>
    </row>
    <row r="41" spans="1:50" x14ac:dyDescent="0.25">
      <c r="A41" t="s">
        <v>6</v>
      </c>
      <c r="B41" t="s">
        <v>118</v>
      </c>
      <c r="C41">
        <f>VLOOKUP(D1_MARZO_2025[[#This Row],[SUPER]],DATA_MARZO_2025[[SUPERVISOR]:[META]],3,0)</f>
        <v>21000</v>
      </c>
      <c r="D41">
        <f>D1_MARZO_2025[[#This Row],[RECUPERO]]/D1_MARZO_2025[[#This Row],[META]]</f>
        <v>1.0904761904761904</v>
      </c>
      <c r="E41" t="s">
        <v>6</v>
      </c>
      <c r="F41" t="s">
        <v>118</v>
      </c>
      <c r="G41">
        <v>22900</v>
      </c>
      <c r="H41" t="s">
        <v>398</v>
      </c>
      <c r="I41" s="55">
        <v>44357</v>
      </c>
      <c r="J41" t="s">
        <v>501</v>
      </c>
      <c r="L41" s="55"/>
      <c r="M41" s="1">
        <f>DATA_MARZO_2025[[#This Row],[RECUPERO]]/DATA_MARZO_2025[[#This Row],[META]]</f>
        <v>0.55709090909090908</v>
      </c>
      <c r="N41">
        <f>6-ROUNDUP(_xlfn.RANK.EQ(DATA_MARZO_2025[[#This Row],[AL_AC]],DATA_MARZO_2025[AL_AC],0)/(COUNTA(DATA_MARZO_2025[AL_AC])/5),0)</f>
        <v>3</v>
      </c>
      <c r="O41" t="s">
        <v>115</v>
      </c>
      <c r="P41">
        <f>SUM(DATA_MARZO_2025[[#This Row],[1]:[31]])</f>
        <v>9192</v>
      </c>
      <c r="Q41">
        <v>16500</v>
      </c>
      <c r="R41" t="s">
        <v>83</v>
      </c>
      <c r="U41">
        <v>150</v>
      </c>
      <c r="V41">
        <v>416</v>
      </c>
      <c r="X41">
        <v>100</v>
      </c>
      <c r="Y41">
        <v>669</v>
      </c>
      <c r="AC41">
        <v>250</v>
      </c>
      <c r="AD41">
        <v>112</v>
      </c>
      <c r="AE41">
        <v>250</v>
      </c>
      <c r="AJ41">
        <v>288</v>
      </c>
      <c r="AK41">
        <v>150</v>
      </c>
      <c r="AL41">
        <v>58</v>
      </c>
      <c r="AM41">
        <v>370</v>
      </c>
      <c r="AN41">
        <v>150</v>
      </c>
      <c r="AP41">
        <v>4000</v>
      </c>
      <c r="AR41">
        <v>400</v>
      </c>
      <c r="AT41">
        <v>150</v>
      </c>
      <c r="AU41">
        <v>774</v>
      </c>
      <c r="AW41">
        <v>905</v>
      </c>
      <c r="AX41" t="s">
        <v>154</v>
      </c>
    </row>
    <row r="42" spans="1:50" x14ac:dyDescent="0.25">
      <c r="A42" t="s">
        <v>6</v>
      </c>
      <c r="B42" t="s">
        <v>19</v>
      </c>
      <c r="C42">
        <f>VLOOKUP(D1_MARZO_2025[[#This Row],[SUPER]],DATA_MARZO_2025[[SUPERVISOR]:[META]],3,0)</f>
        <v>21000</v>
      </c>
      <c r="D42">
        <f>D1_MARZO_2025[[#This Row],[RECUPERO]]/D1_MARZO_2025[[#This Row],[META]]</f>
        <v>1.8139047619047619</v>
      </c>
      <c r="E42" t="s">
        <v>6</v>
      </c>
      <c r="F42" t="s">
        <v>19</v>
      </c>
      <c r="G42">
        <v>38092</v>
      </c>
      <c r="H42" t="s">
        <v>399</v>
      </c>
      <c r="I42" s="55">
        <v>44673</v>
      </c>
      <c r="J42" t="s">
        <v>501</v>
      </c>
      <c r="L42" s="55"/>
      <c r="M42" s="1">
        <f>DATA_MARZO_2025[[#This Row],[RECUPERO]]/DATA_MARZO_2025[[#This Row],[META]]</f>
        <v>0.85046774193548391</v>
      </c>
      <c r="N42">
        <f>6-ROUNDUP(_xlfn.RANK.EQ(DATA_MARZO_2025[[#This Row],[AL_AC]],DATA_MARZO_2025[AL_AC],0)/(COUNTA(DATA_MARZO_2025[AL_AC])/5),0)</f>
        <v>4</v>
      </c>
      <c r="O42" t="s">
        <v>3</v>
      </c>
      <c r="P42">
        <f>SUM(DATA_MARZO_2025[[#This Row],[1]:[31]])</f>
        <v>52729</v>
      </c>
      <c r="Q42">
        <v>62000</v>
      </c>
      <c r="R42" t="s">
        <v>57</v>
      </c>
      <c r="V42">
        <v>1000</v>
      </c>
      <c r="Y42">
        <v>275</v>
      </c>
      <c r="AC42">
        <v>1103</v>
      </c>
      <c r="AD42">
        <v>5000</v>
      </c>
      <c r="AE42">
        <v>0</v>
      </c>
      <c r="AI42">
        <v>7966</v>
      </c>
      <c r="AL42">
        <v>4000</v>
      </c>
      <c r="AN42">
        <v>7800</v>
      </c>
      <c r="AP42">
        <v>3500</v>
      </c>
      <c r="AQ42">
        <v>4737</v>
      </c>
      <c r="AR42">
        <v>270</v>
      </c>
      <c r="AS42">
        <v>10250</v>
      </c>
      <c r="AT42">
        <v>6563</v>
      </c>
      <c r="AU42">
        <v>265</v>
      </c>
      <c r="AX42" t="s">
        <v>150</v>
      </c>
    </row>
    <row r="43" spans="1:50" x14ac:dyDescent="0.25">
      <c r="A43" t="s">
        <v>6</v>
      </c>
      <c r="B43" t="s">
        <v>81</v>
      </c>
      <c r="C43">
        <f>VLOOKUP(D1_MARZO_2025[[#This Row],[SUPER]],DATA_MARZO_2025[[SUPERVISOR]:[META]],3,0)</f>
        <v>21000</v>
      </c>
      <c r="D43">
        <f>D1_MARZO_2025[[#This Row],[RECUPERO]]/D1_MARZO_2025[[#This Row],[META]]</f>
        <v>0.74128571428571433</v>
      </c>
      <c r="E43" t="s">
        <v>6</v>
      </c>
      <c r="F43" t="s">
        <v>81</v>
      </c>
      <c r="G43">
        <v>15567</v>
      </c>
      <c r="H43" t="s">
        <v>425</v>
      </c>
      <c r="I43" s="55">
        <v>45506</v>
      </c>
      <c r="J43" t="s">
        <v>501</v>
      </c>
      <c r="L43" s="55"/>
      <c r="M43" s="1">
        <f>DATA_MARZO_2025[[#This Row],[RECUPERO]]/DATA_MARZO_2025[[#This Row],[META]]</f>
        <v>0.52187878787878783</v>
      </c>
      <c r="N43">
        <f>6-ROUNDUP(_xlfn.RANK.EQ(DATA_MARZO_2025[[#This Row],[AL_AC]],DATA_MARZO_2025[AL_AC],0)/(COUNTA(DATA_MARZO_2025[AL_AC])/5),0)</f>
        <v>3</v>
      </c>
      <c r="O43" t="s">
        <v>115</v>
      </c>
      <c r="P43">
        <f>SUM(DATA_MARZO_2025[[#This Row],[1]:[31]])</f>
        <v>8611</v>
      </c>
      <c r="Q43">
        <v>16500</v>
      </c>
      <c r="R43" t="s">
        <v>49</v>
      </c>
      <c r="U43">
        <v>100</v>
      </c>
      <c r="V43">
        <v>250</v>
      </c>
      <c r="W43">
        <v>831</v>
      </c>
      <c r="X43">
        <v>600</v>
      </c>
      <c r="AC43">
        <v>1400</v>
      </c>
      <c r="AD43">
        <v>850</v>
      </c>
      <c r="AJ43">
        <v>600</v>
      </c>
      <c r="AM43">
        <v>200</v>
      </c>
      <c r="AP43">
        <v>300</v>
      </c>
      <c r="AR43">
        <v>2500</v>
      </c>
      <c r="AT43">
        <v>680</v>
      </c>
      <c r="AU43">
        <v>300</v>
      </c>
      <c r="AX43" t="s">
        <v>154</v>
      </c>
    </row>
    <row r="44" spans="1:50" x14ac:dyDescent="0.25">
      <c r="A44" t="s">
        <v>6</v>
      </c>
      <c r="B44" t="s">
        <v>37</v>
      </c>
      <c r="C44">
        <f>VLOOKUP(D1_MARZO_2025[[#This Row],[SUPER]],DATA_MARZO_2025[[SUPERVISOR]:[META]],3,0)</f>
        <v>21000</v>
      </c>
      <c r="D44">
        <f>D1_MARZO_2025[[#This Row],[RECUPERO]]/D1_MARZO_2025[[#This Row],[META]]</f>
        <v>0.28000000000000003</v>
      </c>
      <c r="E44" t="s">
        <v>6</v>
      </c>
      <c r="F44" t="s">
        <v>37</v>
      </c>
      <c r="G44">
        <v>5880</v>
      </c>
      <c r="H44" t="s">
        <v>400</v>
      </c>
      <c r="I44" s="55">
        <v>43132</v>
      </c>
      <c r="J44" t="s">
        <v>501</v>
      </c>
      <c r="L44" s="55"/>
      <c r="M44" s="1">
        <f>DATA_MARZO_2025[[#This Row],[RECUPERO]]/DATA_MARZO_2025[[#This Row],[META]]</f>
        <v>0.77920833333333328</v>
      </c>
      <c r="N44">
        <f>6-ROUNDUP(_xlfn.RANK.EQ(DATA_MARZO_2025[[#This Row],[AL_AC]],DATA_MARZO_2025[AL_AC],0)/(COUNTA(DATA_MARZO_2025[AL_AC])/5),0)</f>
        <v>4</v>
      </c>
      <c r="O44" t="s">
        <v>2</v>
      </c>
      <c r="P44">
        <f>SUM(DATA_MARZO_2025[[#This Row],[1]:[31]])</f>
        <v>18701</v>
      </c>
      <c r="Q44">
        <v>24000</v>
      </c>
      <c r="R44" t="s">
        <v>26</v>
      </c>
      <c r="U44">
        <v>2000</v>
      </c>
      <c r="V44">
        <v>507</v>
      </c>
      <c r="X44">
        <v>400</v>
      </c>
      <c r="Y44">
        <v>500</v>
      </c>
      <c r="Z44">
        <v>850</v>
      </c>
      <c r="AB44">
        <v>200</v>
      </c>
      <c r="AF44">
        <v>1500</v>
      </c>
      <c r="AI44">
        <v>3700</v>
      </c>
      <c r="AJ44">
        <v>200</v>
      </c>
      <c r="AM44">
        <v>700</v>
      </c>
      <c r="AP44">
        <v>200</v>
      </c>
      <c r="AQ44">
        <v>230</v>
      </c>
      <c r="AR44">
        <v>850</v>
      </c>
      <c r="AS44">
        <v>1614</v>
      </c>
      <c r="AT44">
        <v>2050</v>
      </c>
      <c r="AW44">
        <v>3200</v>
      </c>
      <c r="AX44" t="s">
        <v>151</v>
      </c>
    </row>
    <row r="45" spans="1:50" x14ac:dyDescent="0.25">
      <c r="A45" t="s">
        <v>6</v>
      </c>
      <c r="B45" t="s">
        <v>35</v>
      </c>
      <c r="C45">
        <f>VLOOKUP(D1_MARZO_2025[[#This Row],[SUPER]],DATA_MARZO_2025[[SUPERVISOR]:[META]],3,0)</f>
        <v>21000</v>
      </c>
      <c r="D45">
        <f>D1_MARZO_2025[[#This Row],[RECUPERO]]/D1_MARZO_2025[[#This Row],[META]]</f>
        <v>0.46619047619047621</v>
      </c>
      <c r="E45" t="s">
        <v>6</v>
      </c>
      <c r="F45" t="s">
        <v>35</v>
      </c>
      <c r="G45">
        <v>9790</v>
      </c>
      <c r="H45" t="s">
        <v>401</v>
      </c>
      <c r="I45" s="55">
        <v>44748</v>
      </c>
      <c r="J45" t="s">
        <v>501</v>
      </c>
      <c r="L45" s="55"/>
      <c r="M45" s="1">
        <f>DATA_MARZO_2025[[#This Row],[RECUPERO]]/DATA_MARZO_2025[[#This Row],[META]]</f>
        <v>0.30762903225806454</v>
      </c>
      <c r="N45">
        <f>6-ROUNDUP(_xlfn.RANK.EQ(DATA_MARZO_2025[[#This Row],[AL_AC]],DATA_MARZO_2025[AL_AC],0)/(COUNTA(DATA_MARZO_2025[AL_AC])/5),0)</f>
        <v>2</v>
      </c>
      <c r="O45" t="s">
        <v>4</v>
      </c>
      <c r="P45">
        <f>SUM(DATA_MARZO_2025[[#This Row],[1]:[31]])</f>
        <v>19073</v>
      </c>
      <c r="Q45">
        <v>62000</v>
      </c>
      <c r="R45" t="s">
        <v>122</v>
      </c>
      <c r="AB45">
        <v>1500</v>
      </c>
      <c r="AF45">
        <v>300</v>
      </c>
      <c r="AI45">
        <v>600</v>
      </c>
      <c r="AM45">
        <v>4670</v>
      </c>
      <c r="AN45">
        <v>1000</v>
      </c>
      <c r="AO45">
        <v>1500</v>
      </c>
      <c r="AR45">
        <v>7000</v>
      </c>
      <c r="AT45">
        <v>1203</v>
      </c>
      <c r="AW45">
        <v>1300</v>
      </c>
      <c r="AX45" t="s">
        <v>150</v>
      </c>
    </row>
    <row r="46" spans="1:50" x14ac:dyDescent="0.25">
      <c r="A46" t="s">
        <v>6</v>
      </c>
      <c r="B46" t="s">
        <v>31</v>
      </c>
      <c r="C46">
        <f>VLOOKUP(D1_MARZO_2025[[#This Row],[SUPER]],DATA_MARZO_2025[[SUPERVISOR]:[META]],3,0)</f>
        <v>21000</v>
      </c>
      <c r="D46">
        <f>D1_MARZO_2025[[#This Row],[RECUPERO]]/D1_MARZO_2025[[#This Row],[META]]</f>
        <v>0</v>
      </c>
      <c r="E46" t="s">
        <v>6</v>
      </c>
      <c r="F46" t="s">
        <v>31</v>
      </c>
      <c r="G46">
        <v>0</v>
      </c>
      <c r="H46" t="s">
        <v>403</v>
      </c>
      <c r="I46" s="55">
        <v>45334</v>
      </c>
      <c r="J46" t="s">
        <v>501</v>
      </c>
      <c r="L46" s="55"/>
      <c r="M46" s="1">
        <f>DATA_MARZO_2025[[#This Row],[RECUPERO]]/DATA_MARZO_2025[[#This Row],[META]]</f>
        <v>0</v>
      </c>
      <c r="N46">
        <f>6-ROUNDUP(_xlfn.RANK.EQ(DATA_MARZO_2025[[#This Row],[AL_AC]],DATA_MARZO_2025[AL_AC],0)/(COUNTA(DATA_MARZO_2025[AL_AC])/5),0)</f>
        <v>1</v>
      </c>
      <c r="O46" t="s">
        <v>5</v>
      </c>
      <c r="P46">
        <f>SUM(DATA_MARZO_2025[[#This Row],[1]:[31]])</f>
        <v>0</v>
      </c>
      <c r="Q46">
        <v>62000</v>
      </c>
      <c r="R46" t="s">
        <v>116</v>
      </c>
      <c r="AX46" t="s">
        <v>150</v>
      </c>
    </row>
    <row r="47" spans="1:50" x14ac:dyDescent="0.25">
      <c r="A47" t="s">
        <v>6</v>
      </c>
      <c r="B47" t="s">
        <v>110</v>
      </c>
      <c r="C47">
        <f>VLOOKUP(D1_MARZO_2025[[#This Row],[SUPER]],DATA_MARZO_2025[[SUPERVISOR]:[META]],3,0)</f>
        <v>21000</v>
      </c>
      <c r="D47">
        <f>D1_MARZO_2025[[#This Row],[RECUPERO]]/D1_MARZO_2025[[#This Row],[META]]</f>
        <v>0.44857142857142857</v>
      </c>
      <c r="E47" t="s">
        <v>6</v>
      </c>
      <c r="F47" t="s">
        <v>110</v>
      </c>
      <c r="G47">
        <v>9420</v>
      </c>
      <c r="H47" t="s">
        <v>454</v>
      </c>
      <c r="I47" s="55">
        <v>44993</v>
      </c>
      <c r="J47" t="s">
        <v>501</v>
      </c>
      <c r="L47" s="55"/>
      <c r="M47" s="1">
        <f>DATA_MARZO_2025[[#This Row],[RECUPERO]]/DATA_MARZO_2025[[#This Row],[META]]</f>
        <v>1.935483870967742E-2</v>
      </c>
      <c r="N47">
        <f>6-ROUNDUP(_xlfn.RANK.EQ(DATA_MARZO_2025[[#This Row],[AL_AC]],DATA_MARZO_2025[AL_AC],0)/(COUNTA(DATA_MARZO_2025[AL_AC])/5),0)</f>
        <v>1</v>
      </c>
      <c r="O47" t="s">
        <v>3</v>
      </c>
      <c r="P47">
        <f>SUM(DATA_MARZO_2025[[#This Row],[1]:[31]])</f>
        <v>1200</v>
      </c>
      <c r="Q47">
        <v>62000</v>
      </c>
      <c r="R47" t="s">
        <v>96</v>
      </c>
      <c r="U47">
        <v>600</v>
      </c>
      <c r="W47">
        <v>600</v>
      </c>
      <c r="AX47" t="s">
        <v>150</v>
      </c>
    </row>
    <row r="48" spans="1:50" x14ac:dyDescent="0.25">
      <c r="A48" t="s">
        <v>6</v>
      </c>
      <c r="B48" t="s">
        <v>119</v>
      </c>
      <c r="C48">
        <f>VLOOKUP(D1_MARZO_2025[[#This Row],[SUPER]],DATA_MARZO_2025[[SUPERVISOR]:[META]],3,0)</f>
        <v>21000</v>
      </c>
      <c r="D48">
        <f>D1_MARZO_2025[[#This Row],[RECUPERO]]/D1_MARZO_2025[[#This Row],[META]]</f>
        <v>0.73476190476190473</v>
      </c>
      <c r="E48" t="s">
        <v>6</v>
      </c>
      <c r="F48" t="s">
        <v>119</v>
      </c>
      <c r="G48">
        <v>15430</v>
      </c>
      <c r="H48" t="s">
        <v>404</v>
      </c>
      <c r="I48" s="55">
        <v>45441</v>
      </c>
      <c r="J48" t="s">
        <v>501</v>
      </c>
      <c r="L48" s="55"/>
      <c r="M48" s="1">
        <f>DATA_MARZO_2025[[#This Row],[RECUPERO]]/DATA_MARZO_2025[[#This Row],[META]]</f>
        <v>0.66200000000000003</v>
      </c>
      <c r="N48">
        <f>6-ROUNDUP(_xlfn.RANK.EQ(DATA_MARZO_2025[[#This Row],[AL_AC]],DATA_MARZO_2025[AL_AC],0)/(COUNTA(DATA_MARZO_2025[AL_AC])/5),0)</f>
        <v>4</v>
      </c>
      <c r="O48" t="s">
        <v>115</v>
      </c>
      <c r="P48">
        <f>SUM(DATA_MARZO_2025[[#This Row],[1]:[31]])</f>
        <v>10923</v>
      </c>
      <c r="Q48">
        <v>16500</v>
      </c>
      <c r="R48" t="s">
        <v>65</v>
      </c>
      <c r="U48">
        <v>650</v>
      </c>
      <c r="X48">
        <v>290</v>
      </c>
      <c r="Y48">
        <v>500</v>
      </c>
      <c r="Z48">
        <v>468</v>
      </c>
      <c r="AB48">
        <v>260</v>
      </c>
      <c r="AD48">
        <v>2600</v>
      </c>
      <c r="AF48">
        <v>487</v>
      </c>
      <c r="AJ48">
        <v>200</v>
      </c>
      <c r="AK48">
        <v>261</v>
      </c>
      <c r="AL48">
        <v>994</v>
      </c>
      <c r="AM48">
        <v>269</v>
      </c>
      <c r="AP48">
        <v>43</v>
      </c>
      <c r="AQ48">
        <v>690</v>
      </c>
      <c r="AR48">
        <v>593</v>
      </c>
      <c r="AS48">
        <v>500</v>
      </c>
      <c r="AT48">
        <v>660</v>
      </c>
      <c r="AU48">
        <v>529</v>
      </c>
      <c r="AW48">
        <v>929</v>
      </c>
      <c r="AX48" t="s">
        <v>154</v>
      </c>
    </row>
    <row r="49" spans="1:50" x14ac:dyDescent="0.25">
      <c r="A49" t="s">
        <v>6</v>
      </c>
      <c r="B49" t="s">
        <v>120</v>
      </c>
      <c r="C49">
        <f>VLOOKUP(D1_MARZO_2025[[#This Row],[SUPER]],DATA_MARZO_2025[[SUPERVISOR]:[META]],3,0)</f>
        <v>21000</v>
      </c>
      <c r="D49">
        <f>D1_MARZO_2025[[#This Row],[RECUPERO]]/D1_MARZO_2025[[#This Row],[META]]</f>
        <v>1.0309523809523808</v>
      </c>
      <c r="E49" t="s">
        <v>6</v>
      </c>
      <c r="F49" t="s">
        <v>120</v>
      </c>
      <c r="G49">
        <v>21650</v>
      </c>
      <c r="H49" t="s">
        <v>405</v>
      </c>
      <c r="I49" s="55">
        <v>45471</v>
      </c>
      <c r="J49" t="s">
        <v>501</v>
      </c>
      <c r="L49" s="55"/>
      <c r="M49" s="1">
        <f>DATA_MARZO_2025[[#This Row],[RECUPERO]]/DATA_MARZO_2025[[#This Row],[META]]</f>
        <v>0.2983064516129032</v>
      </c>
      <c r="N49">
        <f>6-ROUNDUP(_xlfn.RANK.EQ(DATA_MARZO_2025[[#This Row],[AL_AC]],DATA_MARZO_2025[AL_AC],0)/(COUNTA(DATA_MARZO_2025[AL_AC])/5),0)</f>
        <v>2</v>
      </c>
      <c r="O49" t="s">
        <v>4</v>
      </c>
      <c r="P49">
        <f>SUM(DATA_MARZO_2025[[#This Row],[1]:[31]])</f>
        <v>18495</v>
      </c>
      <c r="Q49">
        <v>62000</v>
      </c>
      <c r="R49" t="s">
        <v>20</v>
      </c>
      <c r="V49">
        <v>590</v>
      </c>
      <c r="W49">
        <v>800</v>
      </c>
      <c r="AB49">
        <v>200</v>
      </c>
      <c r="AJ49">
        <v>12600</v>
      </c>
      <c r="AR49">
        <v>4305</v>
      </c>
      <c r="AX49" t="s">
        <v>150</v>
      </c>
    </row>
    <row r="50" spans="1:50" x14ac:dyDescent="0.25">
      <c r="A50" t="s">
        <v>6</v>
      </c>
      <c r="B50" t="s">
        <v>36</v>
      </c>
      <c r="C50">
        <f>VLOOKUP(D1_MARZO_2025[[#This Row],[SUPER]],DATA_MARZO_2025[[SUPERVISOR]:[META]],3,0)</f>
        <v>21000</v>
      </c>
      <c r="D50">
        <f>D1_MARZO_2025[[#This Row],[RECUPERO]]/D1_MARZO_2025[[#This Row],[META]]</f>
        <v>0.26095238095238094</v>
      </c>
      <c r="E50" t="s">
        <v>6</v>
      </c>
      <c r="F50" t="s">
        <v>36</v>
      </c>
      <c r="G50">
        <v>5480</v>
      </c>
      <c r="H50" t="s">
        <v>406</v>
      </c>
      <c r="I50" s="55">
        <v>44941</v>
      </c>
      <c r="J50" t="s">
        <v>501</v>
      </c>
      <c r="L50" s="55"/>
      <c r="M50" s="1">
        <f>DATA_MARZO_2025[[#This Row],[RECUPERO]]/DATA_MARZO_2025[[#This Row],[META]]</f>
        <v>0.28000000000000003</v>
      </c>
      <c r="N50">
        <f>6-ROUNDUP(_xlfn.RANK.EQ(DATA_MARZO_2025[[#This Row],[AL_AC]],DATA_MARZO_2025[AL_AC],0)/(COUNTA(DATA_MARZO_2025[AL_AC])/5),0)</f>
        <v>2</v>
      </c>
      <c r="O50" t="s">
        <v>6</v>
      </c>
      <c r="P50">
        <f>SUM(DATA_MARZO_2025[[#This Row],[1]:[31]])</f>
        <v>5880</v>
      </c>
      <c r="Q50">
        <v>21000</v>
      </c>
      <c r="R50" t="s">
        <v>37</v>
      </c>
      <c r="V50">
        <v>1000</v>
      </c>
      <c r="X50">
        <v>190</v>
      </c>
      <c r="AB50">
        <v>500</v>
      </c>
      <c r="AC50">
        <v>1500</v>
      </c>
      <c r="AD50">
        <v>700</v>
      </c>
      <c r="AK50">
        <v>1100</v>
      </c>
      <c r="AP50">
        <v>590</v>
      </c>
      <c r="AR50">
        <v>300</v>
      </c>
      <c r="AX50" t="s">
        <v>152</v>
      </c>
    </row>
    <row r="51" spans="1:50" x14ac:dyDescent="0.25">
      <c r="A51" t="s">
        <v>6</v>
      </c>
      <c r="B51" t="s">
        <v>128</v>
      </c>
      <c r="C51">
        <f>VLOOKUP(D1_MARZO_2025[[#This Row],[SUPER]],DATA_MARZO_2025[[SUPERVISOR]:[META]],3,0)</f>
        <v>21000</v>
      </c>
      <c r="D51">
        <f>D1_MARZO_2025[[#This Row],[RECUPERO]]/D1_MARZO_2025[[#This Row],[META]]</f>
        <v>0.1761904761904762</v>
      </c>
      <c r="E51" t="s">
        <v>6</v>
      </c>
      <c r="F51" t="s">
        <v>128</v>
      </c>
      <c r="G51">
        <v>3700</v>
      </c>
      <c r="H51" t="s">
        <v>460</v>
      </c>
      <c r="I51" s="55">
        <v>45727</v>
      </c>
      <c r="J51" t="s">
        <v>501</v>
      </c>
      <c r="L51" s="55"/>
      <c r="M51" s="1">
        <f>DATA_MARZO_2025[[#This Row],[RECUPERO]]/DATA_MARZO_2025[[#This Row],[META]]</f>
        <v>0.46983870967741936</v>
      </c>
      <c r="N51">
        <f>6-ROUNDUP(_xlfn.RANK.EQ(DATA_MARZO_2025[[#This Row],[AL_AC]],DATA_MARZO_2025[AL_AC],0)/(COUNTA(DATA_MARZO_2025[AL_AC])/5),0)</f>
        <v>3</v>
      </c>
      <c r="O51" t="s">
        <v>5</v>
      </c>
      <c r="P51">
        <f>SUM(DATA_MARZO_2025[[#This Row],[1]:[31]])</f>
        <v>29130</v>
      </c>
      <c r="Q51">
        <v>62000</v>
      </c>
      <c r="R51" t="s">
        <v>106</v>
      </c>
      <c r="V51">
        <v>1200</v>
      </c>
      <c r="Y51">
        <v>7600</v>
      </c>
      <c r="Z51">
        <v>600</v>
      </c>
      <c r="AF51">
        <v>3100</v>
      </c>
      <c r="AG51">
        <v>400</v>
      </c>
      <c r="AI51">
        <v>2010</v>
      </c>
      <c r="AK51">
        <v>400</v>
      </c>
      <c r="AL51">
        <v>370</v>
      </c>
      <c r="AP51">
        <v>600</v>
      </c>
      <c r="AR51">
        <v>250</v>
      </c>
      <c r="AS51">
        <v>0</v>
      </c>
      <c r="AT51">
        <v>800</v>
      </c>
      <c r="AU51">
        <v>7000</v>
      </c>
      <c r="AW51">
        <v>4800</v>
      </c>
      <c r="AX51" t="s">
        <v>150</v>
      </c>
    </row>
    <row r="52" spans="1:50" x14ac:dyDescent="0.25">
      <c r="A52" t="s">
        <v>6</v>
      </c>
      <c r="B52" t="s">
        <v>34</v>
      </c>
      <c r="C52">
        <f>VLOOKUP(D1_MARZO_2025[[#This Row],[SUPER]],DATA_MARZO_2025[[SUPERVISOR]:[META]],3,0)</f>
        <v>21000</v>
      </c>
      <c r="D52">
        <f>D1_MARZO_2025[[#This Row],[RECUPERO]]/D1_MARZO_2025[[#This Row],[META]]</f>
        <v>0.22223809523809523</v>
      </c>
      <c r="E52" t="s">
        <v>6</v>
      </c>
      <c r="F52" t="s">
        <v>34</v>
      </c>
      <c r="G52">
        <v>4667</v>
      </c>
      <c r="H52" t="s">
        <v>407</v>
      </c>
      <c r="I52" s="55">
        <v>45175</v>
      </c>
      <c r="J52" t="s">
        <v>501</v>
      </c>
      <c r="L52" s="55"/>
      <c r="M52" s="1">
        <f>DATA_MARZO_2025[[#This Row],[RECUPERO]]/DATA_MARZO_2025[[#This Row],[META]]</f>
        <v>0.43883333333333335</v>
      </c>
      <c r="N52">
        <f>6-ROUNDUP(_xlfn.RANK.EQ(DATA_MARZO_2025[[#This Row],[AL_AC]],DATA_MARZO_2025[AL_AC],0)/(COUNTA(DATA_MARZO_2025[AL_AC])/5),0)</f>
        <v>3</v>
      </c>
      <c r="O52" t="s">
        <v>2</v>
      </c>
      <c r="P52">
        <f>SUM(DATA_MARZO_2025[[#This Row],[1]:[31]])</f>
        <v>10532</v>
      </c>
      <c r="Q52">
        <v>24000</v>
      </c>
      <c r="R52" t="s">
        <v>77</v>
      </c>
      <c r="W52">
        <v>886</v>
      </c>
      <c r="X52">
        <v>450</v>
      </c>
      <c r="AB52">
        <v>3600</v>
      </c>
      <c r="AD52">
        <v>466</v>
      </c>
      <c r="AE52">
        <v>190</v>
      </c>
      <c r="AF52">
        <v>250</v>
      </c>
      <c r="AL52">
        <v>350</v>
      </c>
      <c r="AQ52">
        <v>200</v>
      </c>
      <c r="AR52">
        <v>350</v>
      </c>
      <c r="AS52">
        <v>400</v>
      </c>
      <c r="AT52">
        <v>1877</v>
      </c>
      <c r="AW52">
        <v>1513</v>
      </c>
      <c r="AX52" t="s">
        <v>151</v>
      </c>
    </row>
    <row r="53" spans="1:50" x14ac:dyDescent="0.25">
      <c r="A53" t="s">
        <v>9</v>
      </c>
      <c r="B53" t="s">
        <v>21</v>
      </c>
      <c r="C53">
        <f>VLOOKUP(D1_MARZO_2025[[#This Row],[SUPER]],DATA_MARZO_2025[[SUPERVISOR]:[META]],3,0)</f>
        <v>21000</v>
      </c>
      <c r="D53">
        <f>D1_MARZO_2025[[#This Row],[RECUPERO]]/D1_MARZO_2025[[#This Row],[META]]</f>
        <v>0.69114285714285717</v>
      </c>
      <c r="E53" t="s">
        <v>9</v>
      </c>
      <c r="F53" t="s">
        <v>21</v>
      </c>
      <c r="G53">
        <v>14514</v>
      </c>
      <c r="H53" t="s">
        <v>409</v>
      </c>
      <c r="I53" s="55">
        <v>44301</v>
      </c>
      <c r="J53" t="s">
        <v>501</v>
      </c>
      <c r="L53" s="55"/>
      <c r="M53" s="1">
        <f>DATA_MARZO_2025[[#This Row],[RECUPERO]]/DATA_MARZO_2025[[#This Row],[META]]</f>
        <v>0.46619047619047621</v>
      </c>
      <c r="N53">
        <f>6-ROUNDUP(_xlfn.RANK.EQ(DATA_MARZO_2025[[#This Row],[AL_AC]],DATA_MARZO_2025[AL_AC],0)/(COUNTA(DATA_MARZO_2025[AL_AC])/5),0)</f>
        <v>3</v>
      </c>
      <c r="O53" t="s">
        <v>6</v>
      </c>
      <c r="P53">
        <f>SUM(DATA_MARZO_2025[[#This Row],[1]:[31]])</f>
        <v>9790</v>
      </c>
      <c r="Q53">
        <v>21000</v>
      </c>
      <c r="R53" t="s">
        <v>35</v>
      </c>
      <c r="U53">
        <v>240</v>
      </c>
      <c r="V53">
        <v>480</v>
      </c>
      <c r="W53">
        <v>400</v>
      </c>
      <c r="AB53">
        <v>500</v>
      </c>
      <c r="AD53">
        <v>300</v>
      </c>
      <c r="AE53">
        <v>350</v>
      </c>
      <c r="AF53">
        <v>4050</v>
      </c>
      <c r="AL53">
        <v>700</v>
      </c>
      <c r="AP53">
        <v>240</v>
      </c>
      <c r="AT53">
        <v>400</v>
      </c>
      <c r="AU53">
        <v>700</v>
      </c>
      <c r="AV53">
        <v>550</v>
      </c>
      <c r="AW53">
        <v>880</v>
      </c>
      <c r="AX53" t="s">
        <v>152</v>
      </c>
    </row>
    <row r="54" spans="1:50" x14ac:dyDescent="0.25">
      <c r="A54" t="s">
        <v>9</v>
      </c>
      <c r="B54" t="s">
        <v>15</v>
      </c>
      <c r="C54">
        <f>VLOOKUP(D1_MARZO_2025[[#This Row],[SUPER]],DATA_MARZO_2025[[SUPERVISOR]:[META]],3,0)</f>
        <v>21000</v>
      </c>
      <c r="D54">
        <f>D1_MARZO_2025[[#This Row],[RECUPERO]]/D1_MARZO_2025[[#This Row],[META]]</f>
        <v>0</v>
      </c>
      <c r="E54" t="s">
        <v>9</v>
      </c>
      <c r="F54" t="s">
        <v>15</v>
      </c>
      <c r="G54">
        <v>0</v>
      </c>
      <c r="H54" t="s">
        <v>410</v>
      </c>
      <c r="I54" s="55">
        <v>44735</v>
      </c>
      <c r="J54" t="s">
        <v>501</v>
      </c>
      <c r="L54" s="55"/>
      <c r="M54" s="1">
        <f>DATA_MARZO_2025[[#This Row],[RECUPERO]]/DATA_MARZO_2025[[#This Row],[META]]</f>
        <v>0.57875151515151513</v>
      </c>
      <c r="N54">
        <f>6-ROUNDUP(_xlfn.RANK.EQ(DATA_MARZO_2025[[#This Row],[AL_AC]],DATA_MARZO_2025[AL_AC],0)/(COUNTA(DATA_MARZO_2025[AL_AC])/5),0)</f>
        <v>4</v>
      </c>
      <c r="O54" t="s">
        <v>115</v>
      </c>
      <c r="P54">
        <f>SUM(DATA_MARZO_2025[[#This Row],[1]:[31]])</f>
        <v>9549.4</v>
      </c>
      <c r="Q54">
        <v>16500</v>
      </c>
      <c r="R54" t="s">
        <v>33</v>
      </c>
      <c r="V54">
        <v>1360</v>
      </c>
      <c r="Y54">
        <v>750</v>
      </c>
      <c r="AB54">
        <v>1000</v>
      </c>
      <c r="AF54">
        <v>480</v>
      </c>
      <c r="AH54">
        <v>150</v>
      </c>
      <c r="AK54">
        <v>200</v>
      </c>
      <c r="AM54">
        <v>801</v>
      </c>
      <c r="AN54">
        <v>1150</v>
      </c>
      <c r="AP54">
        <v>150</v>
      </c>
      <c r="AR54">
        <v>283.39999999999998</v>
      </c>
      <c r="AS54">
        <v>2300</v>
      </c>
      <c r="AW54">
        <v>925</v>
      </c>
      <c r="AX54" t="s">
        <v>154</v>
      </c>
    </row>
    <row r="55" spans="1:50" x14ac:dyDescent="0.25">
      <c r="A55" t="s">
        <v>9</v>
      </c>
      <c r="B55" t="s">
        <v>61</v>
      </c>
      <c r="C55">
        <f>VLOOKUP(D1_MARZO_2025[[#This Row],[SUPER]],DATA_MARZO_2025[[SUPERVISOR]:[META]],3,0)</f>
        <v>21000</v>
      </c>
      <c r="D55">
        <f>D1_MARZO_2025[[#This Row],[RECUPERO]]/D1_MARZO_2025[[#This Row],[META]]</f>
        <v>0.51538095238095238</v>
      </c>
      <c r="E55" t="s">
        <v>9</v>
      </c>
      <c r="F55" t="s">
        <v>61</v>
      </c>
      <c r="G55">
        <v>10823</v>
      </c>
      <c r="H55" t="s">
        <v>411</v>
      </c>
      <c r="I55" s="55">
        <v>44909</v>
      </c>
      <c r="J55" t="s">
        <v>501</v>
      </c>
      <c r="L55" s="55"/>
      <c r="M55" s="1">
        <f>DATA_MARZO_2025[[#This Row],[RECUPERO]]/DATA_MARZO_2025[[#This Row],[META]]</f>
        <v>2.134415322580645</v>
      </c>
      <c r="N55">
        <f>6-ROUNDUP(_xlfn.RANK.EQ(DATA_MARZO_2025[[#This Row],[AL_AC]],DATA_MARZO_2025[AL_AC],0)/(COUNTA(DATA_MARZO_2025[AL_AC])/5),0)</f>
        <v>5</v>
      </c>
      <c r="O55" t="s">
        <v>3</v>
      </c>
      <c r="P55">
        <f>SUM(DATA_MARZO_2025[[#This Row],[1]:[31]])</f>
        <v>132333.75</v>
      </c>
      <c r="Q55">
        <v>62000</v>
      </c>
      <c r="R55" t="s">
        <v>23</v>
      </c>
      <c r="S55">
        <v>480</v>
      </c>
      <c r="T55">
        <v>687</v>
      </c>
      <c r="U55">
        <v>5280</v>
      </c>
      <c r="W55">
        <v>1500</v>
      </c>
      <c r="X55">
        <v>2500</v>
      </c>
      <c r="Y55">
        <v>228.5</v>
      </c>
      <c r="AB55">
        <v>385</v>
      </c>
      <c r="AC55">
        <v>1678</v>
      </c>
      <c r="AD55">
        <v>12350</v>
      </c>
      <c r="AF55">
        <v>3007</v>
      </c>
      <c r="AG55">
        <v>1126</v>
      </c>
      <c r="AI55">
        <v>20146</v>
      </c>
      <c r="AJ55">
        <v>12540.25</v>
      </c>
      <c r="AK55">
        <v>47000</v>
      </c>
      <c r="AL55">
        <v>945</v>
      </c>
      <c r="AR55">
        <v>12032</v>
      </c>
      <c r="AT55">
        <v>2700</v>
      </c>
      <c r="AU55">
        <v>2500</v>
      </c>
      <c r="AW55">
        <v>5249</v>
      </c>
      <c r="AX55" t="s">
        <v>150</v>
      </c>
    </row>
    <row r="56" spans="1:50" x14ac:dyDescent="0.25">
      <c r="A56" t="s">
        <v>9</v>
      </c>
      <c r="B56" t="s">
        <v>129</v>
      </c>
      <c r="C56">
        <f>VLOOKUP(D1_MARZO_2025[[#This Row],[SUPER]],DATA_MARZO_2025[[SUPERVISOR]:[META]],3,0)</f>
        <v>21000</v>
      </c>
      <c r="D56">
        <f>D1_MARZO_2025[[#This Row],[RECUPERO]]/D1_MARZO_2025[[#This Row],[META]]</f>
        <v>0.27395238095238095</v>
      </c>
      <c r="E56" t="s">
        <v>9</v>
      </c>
      <c r="F56" t="s">
        <v>129</v>
      </c>
      <c r="G56">
        <v>5753</v>
      </c>
      <c r="H56" t="s">
        <v>461</v>
      </c>
      <c r="I56" s="55">
        <v>45727</v>
      </c>
      <c r="J56" t="s">
        <v>501</v>
      </c>
      <c r="L56" s="55"/>
      <c r="M56" s="1">
        <f>DATA_MARZO_2025[[#This Row],[RECUPERO]]/DATA_MARZO_2025[[#This Row],[META]]</f>
        <v>0.71172727272727276</v>
      </c>
      <c r="N56">
        <f>6-ROUNDUP(_xlfn.RANK.EQ(DATA_MARZO_2025[[#This Row],[AL_AC]],DATA_MARZO_2025[AL_AC],0)/(COUNTA(DATA_MARZO_2025[AL_AC])/5),0)</f>
        <v>4</v>
      </c>
      <c r="O56" t="s">
        <v>115</v>
      </c>
      <c r="P56">
        <f>SUM(DATA_MARZO_2025[[#This Row],[1]:[31]])</f>
        <v>11743.5</v>
      </c>
      <c r="Q56">
        <v>16500</v>
      </c>
      <c r="R56" t="s">
        <v>68</v>
      </c>
      <c r="T56">
        <v>250</v>
      </c>
      <c r="U56">
        <v>130</v>
      </c>
      <c r="V56">
        <v>450</v>
      </c>
      <c r="W56">
        <v>987.5</v>
      </c>
      <c r="AB56">
        <v>500</v>
      </c>
      <c r="AC56">
        <v>390</v>
      </c>
      <c r="AI56">
        <v>1336</v>
      </c>
      <c r="AL56">
        <v>500</v>
      </c>
      <c r="AM56">
        <v>1614</v>
      </c>
      <c r="AP56">
        <v>600</v>
      </c>
      <c r="AR56">
        <v>332</v>
      </c>
      <c r="AS56">
        <v>670</v>
      </c>
      <c r="AT56">
        <v>3000</v>
      </c>
      <c r="AU56">
        <v>125</v>
      </c>
      <c r="AW56">
        <v>859</v>
      </c>
      <c r="AX56" t="s">
        <v>154</v>
      </c>
    </row>
    <row r="57" spans="1:50" x14ac:dyDescent="0.25">
      <c r="A57" t="s">
        <v>9</v>
      </c>
      <c r="B57" t="s">
        <v>27</v>
      </c>
      <c r="C57">
        <f>VLOOKUP(D1_MARZO_2025[[#This Row],[SUPER]],DATA_MARZO_2025[[SUPERVISOR]:[META]],3,0)</f>
        <v>21000</v>
      </c>
      <c r="D57">
        <f>D1_MARZO_2025[[#This Row],[RECUPERO]]/D1_MARZO_2025[[#This Row],[META]]</f>
        <v>0.22504761904761905</v>
      </c>
      <c r="E57" t="s">
        <v>9</v>
      </c>
      <c r="F57" t="s">
        <v>27</v>
      </c>
      <c r="G57">
        <v>4726</v>
      </c>
      <c r="H57" t="s">
        <v>412</v>
      </c>
      <c r="I57" s="55">
        <v>45675</v>
      </c>
      <c r="J57" t="s">
        <v>501</v>
      </c>
      <c r="L57" s="55"/>
      <c r="M57" s="1">
        <f>DATA_MARZO_2025[[#This Row],[RECUPERO]]/DATA_MARZO_2025[[#This Row],[META]]</f>
        <v>0</v>
      </c>
      <c r="N57">
        <f>6-ROUNDUP(_xlfn.RANK.EQ(DATA_MARZO_2025[[#This Row],[AL_AC]],DATA_MARZO_2025[AL_AC],0)/(COUNTA(DATA_MARZO_2025[AL_AC])/5),0)</f>
        <v>1</v>
      </c>
      <c r="O57" t="s">
        <v>6</v>
      </c>
      <c r="P57">
        <f>SUM(DATA_MARZO_2025[[#This Row],[1]:[31]])</f>
        <v>0</v>
      </c>
      <c r="Q57">
        <v>21000</v>
      </c>
      <c r="R57" t="s">
        <v>31</v>
      </c>
      <c r="AX57" t="s">
        <v>152</v>
      </c>
    </row>
    <row r="58" spans="1:50" x14ac:dyDescent="0.25">
      <c r="A58" t="s">
        <v>9</v>
      </c>
      <c r="B58" t="s">
        <v>51</v>
      </c>
      <c r="C58">
        <f>VLOOKUP(D1_MARZO_2025[[#This Row],[SUPER]],DATA_MARZO_2025[[SUPERVISOR]:[META]],3,0)</f>
        <v>21000</v>
      </c>
      <c r="D58">
        <f>D1_MARZO_2025[[#This Row],[RECUPERO]]/D1_MARZO_2025[[#This Row],[META]]</f>
        <v>0.33585714285714285</v>
      </c>
      <c r="E58" t="s">
        <v>9</v>
      </c>
      <c r="F58" t="s">
        <v>51</v>
      </c>
      <c r="G58">
        <v>7053</v>
      </c>
      <c r="H58" t="s">
        <v>413</v>
      </c>
      <c r="I58" s="55">
        <v>45674</v>
      </c>
      <c r="J58" t="s">
        <v>501</v>
      </c>
      <c r="L58" s="55"/>
      <c r="M58" s="1">
        <f>DATA_MARZO_2025[[#This Row],[RECUPERO]]/DATA_MARZO_2025[[#This Row],[META]]</f>
        <v>0.35506048387096772</v>
      </c>
      <c r="N58">
        <f>6-ROUNDUP(_xlfn.RANK.EQ(DATA_MARZO_2025[[#This Row],[AL_AC]],DATA_MARZO_2025[AL_AC],0)/(COUNTA(DATA_MARZO_2025[AL_AC])/5),0)</f>
        <v>2</v>
      </c>
      <c r="O58" t="s">
        <v>4</v>
      </c>
      <c r="P58">
        <f>SUM(DATA_MARZO_2025[[#This Row],[1]:[31]])</f>
        <v>22013.75</v>
      </c>
      <c r="Q58">
        <v>62000</v>
      </c>
      <c r="R58" t="s">
        <v>29</v>
      </c>
      <c r="AF58">
        <v>600</v>
      </c>
      <c r="AG58">
        <v>800</v>
      </c>
      <c r="AJ58">
        <v>250</v>
      </c>
      <c r="AK58">
        <v>9300</v>
      </c>
      <c r="AM58">
        <v>3200</v>
      </c>
      <c r="AP58">
        <v>600</v>
      </c>
      <c r="AR58">
        <v>1207</v>
      </c>
      <c r="AS58">
        <v>1056.75</v>
      </c>
      <c r="AW58">
        <v>5000</v>
      </c>
      <c r="AX58" t="s">
        <v>150</v>
      </c>
    </row>
    <row r="59" spans="1:50" x14ac:dyDescent="0.25">
      <c r="A59" t="s">
        <v>9</v>
      </c>
      <c r="B59" t="s">
        <v>71</v>
      </c>
      <c r="C59">
        <f>VLOOKUP(D1_MARZO_2025[[#This Row],[SUPER]],DATA_MARZO_2025[[SUPERVISOR]:[META]],3,0)</f>
        <v>21000</v>
      </c>
      <c r="D59">
        <f>D1_MARZO_2025[[#This Row],[RECUPERO]]/D1_MARZO_2025[[#This Row],[META]]</f>
        <v>0.31490476190476191</v>
      </c>
      <c r="E59" t="s">
        <v>9</v>
      </c>
      <c r="F59" t="s">
        <v>71</v>
      </c>
      <c r="G59">
        <v>6613</v>
      </c>
      <c r="H59" t="s">
        <v>414</v>
      </c>
      <c r="I59" s="55">
        <v>45423</v>
      </c>
      <c r="J59" t="s">
        <v>501</v>
      </c>
      <c r="L59" s="55"/>
      <c r="M59" s="1">
        <f>DATA_MARZO_2025[[#This Row],[RECUPERO]]/DATA_MARZO_2025[[#This Row],[META]]</f>
        <v>0</v>
      </c>
      <c r="N59">
        <f>6-ROUNDUP(_xlfn.RANK.EQ(DATA_MARZO_2025[[#This Row],[AL_AC]],DATA_MARZO_2025[AL_AC],0)/(COUNTA(DATA_MARZO_2025[AL_AC])/5),0)</f>
        <v>1</v>
      </c>
      <c r="O59" t="s">
        <v>3</v>
      </c>
      <c r="P59">
        <f>SUM(DATA_MARZO_2025[[#This Row],[1]:[31]])</f>
        <v>0</v>
      </c>
      <c r="Q59">
        <v>62000</v>
      </c>
      <c r="R59" t="s">
        <v>25</v>
      </c>
      <c r="AX59" t="s">
        <v>150</v>
      </c>
    </row>
    <row r="60" spans="1:50" x14ac:dyDescent="0.25">
      <c r="A60" t="s">
        <v>9</v>
      </c>
      <c r="B60" t="s">
        <v>42</v>
      </c>
      <c r="C60">
        <f>VLOOKUP(D1_MARZO_2025[[#This Row],[SUPER]],DATA_MARZO_2025[[SUPERVISOR]:[META]],3,0)</f>
        <v>21000</v>
      </c>
      <c r="D60">
        <f>D1_MARZO_2025[[#This Row],[RECUPERO]]/D1_MARZO_2025[[#This Row],[META]]</f>
        <v>0.29061904761904761</v>
      </c>
      <c r="E60" t="s">
        <v>9</v>
      </c>
      <c r="F60" t="s">
        <v>42</v>
      </c>
      <c r="G60">
        <v>6103</v>
      </c>
      <c r="H60" t="s">
        <v>415</v>
      </c>
      <c r="I60" s="55">
        <v>45399</v>
      </c>
      <c r="J60" t="s">
        <v>501</v>
      </c>
      <c r="L60" s="55"/>
      <c r="M60" s="1">
        <f>DATA_MARZO_2025[[#This Row],[RECUPERO]]/DATA_MARZO_2025[[#This Row],[META]]</f>
        <v>0.21728571428571428</v>
      </c>
      <c r="N60">
        <f>6-ROUNDUP(_xlfn.RANK.EQ(DATA_MARZO_2025[[#This Row],[AL_AC]],DATA_MARZO_2025[AL_AC],0)/(COUNTA(DATA_MARZO_2025[AL_AC])/5),0)</f>
        <v>1</v>
      </c>
      <c r="O60" t="s">
        <v>9</v>
      </c>
      <c r="P60">
        <f>SUM(DATA_MARZO_2025[[#This Row],[1]:[31]])</f>
        <v>4563</v>
      </c>
      <c r="Q60">
        <v>21000</v>
      </c>
      <c r="R60" t="s">
        <v>121</v>
      </c>
      <c r="U60">
        <v>3500</v>
      </c>
      <c r="V60">
        <v>600</v>
      </c>
      <c r="AU60">
        <v>200</v>
      </c>
      <c r="AW60">
        <v>263</v>
      </c>
      <c r="AX60" t="s">
        <v>153</v>
      </c>
    </row>
    <row r="61" spans="1:50" x14ac:dyDescent="0.25">
      <c r="A61" t="s">
        <v>9</v>
      </c>
      <c r="B61" t="s">
        <v>70</v>
      </c>
      <c r="C61">
        <f>VLOOKUP(D1_MARZO_2025[[#This Row],[SUPER]],DATA_MARZO_2025[[SUPERVISOR]:[META]],3,0)</f>
        <v>21000</v>
      </c>
      <c r="D61">
        <f>D1_MARZO_2025[[#This Row],[RECUPERO]]/D1_MARZO_2025[[#This Row],[META]]</f>
        <v>1.0463333333333333</v>
      </c>
      <c r="E61" t="s">
        <v>9</v>
      </c>
      <c r="F61" t="s">
        <v>70</v>
      </c>
      <c r="G61">
        <v>21973</v>
      </c>
      <c r="H61" t="s">
        <v>418</v>
      </c>
      <c r="I61" s="55">
        <v>44971</v>
      </c>
      <c r="J61" t="s">
        <v>501</v>
      </c>
      <c r="L61" s="55"/>
      <c r="M61" s="1">
        <f>DATA_MARZO_2025[[#This Row],[RECUPERO]]/DATA_MARZO_2025[[#This Row],[META]]</f>
        <v>0.44857142857142857</v>
      </c>
      <c r="N61">
        <f>6-ROUNDUP(_xlfn.RANK.EQ(DATA_MARZO_2025[[#This Row],[AL_AC]],DATA_MARZO_2025[AL_AC],0)/(COUNTA(DATA_MARZO_2025[AL_AC])/5),0)</f>
        <v>3</v>
      </c>
      <c r="O61" t="s">
        <v>6</v>
      </c>
      <c r="P61">
        <f>SUM(DATA_MARZO_2025[[#This Row],[1]:[31]])</f>
        <v>9420</v>
      </c>
      <c r="Q61">
        <v>21000</v>
      </c>
      <c r="R61" t="s">
        <v>110</v>
      </c>
      <c r="V61">
        <v>1500</v>
      </c>
      <c r="W61">
        <v>300</v>
      </c>
      <c r="X61">
        <v>1500</v>
      </c>
      <c r="AC61">
        <v>1000</v>
      </c>
      <c r="AI61">
        <v>2000</v>
      </c>
      <c r="AR61">
        <v>1920</v>
      </c>
      <c r="AT61">
        <v>700</v>
      </c>
      <c r="AW61">
        <v>500</v>
      </c>
      <c r="AX61" t="s">
        <v>152</v>
      </c>
    </row>
    <row r="62" spans="1:50" x14ac:dyDescent="0.25">
      <c r="A62" t="s">
        <v>9</v>
      </c>
      <c r="B62" t="s">
        <v>103</v>
      </c>
      <c r="C62">
        <f>VLOOKUP(D1_MARZO_2025[[#This Row],[SUPER]],DATA_MARZO_2025[[SUPERVISOR]:[META]],3,0)</f>
        <v>21000</v>
      </c>
      <c r="D62">
        <f>D1_MARZO_2025[[#This Row],[RECUPERO]]/D1_MARZO_2025[[#This Row],[META]]</f>
        <v>0.45595714285714289</v>
      </c>
      <c r="E62" t="s">
        <v>9</v>
      </c>
      <c r="F62" t="s">
        <v>103</v>
      </c>
      <c r="G62">
        <v>9575.1</v>
      </c>
      <c r="H62" t="s">
        <v>419</v>
      </c>
      <c r="I62" s="55">
        <v>45451</v>
      </c>
      <c r="J62" t="s">
        <v>501</v>
      </c>
      <c r="L62" s="55"/>
      <c r="M62" s="1">
        <f>DATA_MARZO_2025[[#This Row],[RECUPERO]]/DATA_MARZO_2025[[#This Row],[META]]</f>
        <v>0.4863564516129032</v>
      </c>
      <c r="N62">
        <f>6-ROUNDUP(_xlfn.RANK.EQ(DATA_MARZO_2025[[#This Row],[AL_AC]],DATA_MARZO_2025[AL_AC],0)/(COUNTA(DATA_MARZO_2025[AL_AC])/5),0)</f>
        <v>3</v>
      </c>
      <c r="O62" t="s">
        <v>5</v>
      </c>
      <c r="P62">
        <f>SUM(DATA_MARZO_2025[[#This Row],[1]:[31]])</f>
        <v>30154.1</v>
      </c>
      <c r="Q62">
        <v>62000</v>
      </c>
      <c r="R62" t="s">
        <v>17</v>
      </c>
      <c r="X62">
        <v>3100</v>
      </c>
      <c r="AB62">
        <v>600</v>
      </c>
      <c r="AE62">
        <v>2000.1</v>
      </c>
      <c r="AF62">
        <v>791</v>
      </c>
      <c r="AI62">
        <v>450</v>
      </c>
      <c r="AJ62">
        <v>7000</v>
      </c>
      <c r="AK62">
        <v>3833</v>
      </c>
      <c r="AM62">
        <v>600</v>
      </c>
      <c r="AQ62">
        <v>4000</v>
      </c>
      <c r="AR62">
        <v>4130</v>
      </c>
      <c r="AS62">
        <v>950</v>
      </c>
      <c r="AT62">
        <v>1500</v>
      </c>
      <c r="AU62">
        <v>600</v>
      </c>
      <c r="AW62">
        <v>600</v>
      </c>
      <c r="AX62" t="s">
        <v>150</v>
      </c>
    </row>
    <row r="63" spans="1:50" x14ac:dyDescent="0.25">
      <c r="A63" t="s">
        <v>9</v>
      </c>
      <c r="B63" t="s">
        <v>73</v>
      </c>
      <c r="C63">
        <f>VLOOKUP(D1_MARZO_2025[[#This Row],[SUPER]],DATA_MARZO_2025[[SUPERVISOR]:[META]],3,0)</f>
        <v>21000</v>
      </c>
      <c r="D63">
        <f>D1_MARZO_2025[[#This Row],[RECUPERO]]/D1_MARZO_2025[[#This Row],[META]]</f>
        <v>0.39166666666666666</v>
      </c>
      <c r="E63" t="s">
        <v>9</v>
      </c>
      <c r="F63" t="s">
        <v>73</v>
      </c>
      <c r="G63">
        <v>8225</v>
      </c>
      <c r="H63" t="s">
        <v>420</v>
      </c>
      <c r="I63" s="55">
        <v>45145</v>
      </c>
      <c r="J63" t="s">
        <v>501</v>
      </c>
      <c r="L63" s="55"/>
      <c r="M63" s="1">
        <f>DATA_MARZO_2025[[#This Row],[RECUPERO]]/DATA_MARZO_2025[[#This Row],[META]]</f>
        <v>0.73476190476190473</v>
      </c>
      <c r="N63">
        <f>6-ROUNDUP(_xlfn.RANK.EQ(DATA_MARZO_2025[[#This Row],[AL_AC]],DATA_MARZO_2025[AL_AC],0)/(COUNTA(DATA_MARZO_2025[AL_AC])/5),0)</f>
        <v>4</v>
      </c>
      <c r="O63" t="s">
        <v>6</v>
      </c>
      <c r="P63">
        <f>SUM(DATA_MARZO_2025[[#This Row],[1]:[31]])</f>
        <v>15430</v>
      </c>
      <c r="Q63">
        <v>21000</v>
      </c>
      <c r="R63" t="s">
        <v>119</v>
      </c>
      <c r="V63">
        <v>8500</v>
      </c>
      <c r="AF63">
        <v>2500</v>
      </c>
      <c r="AI63">
        <v>4000</v>
      </c>
      <c r="AP63">
        <v>430</v>
      </c>
      <c r="AX63" t="s">
        <v>152</v>
      </c>
    </row>
    <row r="64" spans="1:50" x14ac:dyDescent="0.25">
      <c r="A64" t="s">
        <v>9</v>
      </c>
      <c r="B64" t="s">
        <v>48</v>
      </c>
      <c r="C64">
        <f>VLOOKUP(D1_MARZO_2025[[#This Row],[SUPER]],DATA_MARZO_2025[[SUPERVISOR]:[META]],3,0)</f>
        <v>21000</v>
      </c>
      <c r="D64">
        <f>D1_MARZO_2025[[#This Row],[RECUPERO]]/D1_MARZO_2025[[#This Row],[META]]</f>
        <v>0.38772857142857142</v>
      </c>
      <c r="E64" t="s">
        <v>9</v>
      </c>
      <c r="F64" t="s">
        <v>48</v>
      </c>
      <c r="G64">
        <v>8142.3</v>
      </c>
      <c r="H64" t="s">
        <v>421</v>
      </c>
      <c r="I64" s="55">
        <v>44748</v>
      </c>
      <c r="J64" t="s">
        <v>501</v>
      </c>
      <c r="L64" s="55"/>
      <c r="M64" s="1">
        <f>DATA_MARZO_2025[[#This Row],[RECUPERO]]/DATA_MARZO_2025[[#This Row],[META]]</f>
        <v>1.1865483870967741</v>
      </c>
      <c r="N64">
        <f>6-ROUNDUP(_xlfn.RANK.EQ(DATA_MARZO_2025[[#This Row],[AL_AC]],DATA_MARZO_2025[AL_AC],0)/(COUNTA(DATA_MARZO_2025[AL_AC])/5),0)</f>
        <v>5</v>
      </c>
      <c r="O64" t="s">
        <v>4</v>
      </c>
      <c r="P64">
        <f>SUM(DATA_MARZO_2025[[#This Row],[1]:[31]])</f>
        <v>73566</v>
      </c>
      <c r="Q64">
        <v>62000</v>
      </c>
      <c r="R64" t="s">
        <v>75</v>
      </c>
      <c r="S64">
        <v>2184</v>
      </c>
      <c r="Y64">
        <v>700</v>
      </c>
      <c r="AB64">
        <v>700</v>
      </c>
      <c r="AC64">
        <v>1250</v>
      </c>
      <c r="AD64">
        <v>12100</v>
      </c>
      <c r="AF64">
        <v>6850</v>
      </c>
      <c r="AH64">
        <v>400</v>
      </c>
      <c r="AJ64">
        <v>1392</v>
      </c>
      <c r="AL64">
        <v>505</v>
      </c>
      <c r="AM64">
        <v>705</v>
      </c>
      <c r="AP64">
        <v>3000</v>
      </c>
      <c r="AQ64">
        <v>11120</v>
      </c>
      <c r="AS64">
        <v>500</v>
      </c>
      <c r="AT64">
        <v>4980</v>
      </c>
      <c r="AU64">
        <v>9000</v>
      </c>
      <c r="AW64">
        <v>18180</v>
      </c>
      <c r="AX64" t="s">
        <v>150</v>
      </c>
    </row>
    <row r="65" spans="1:50" x14ac:dyDescent="0.25">
      <c r="A65" t="s">
        <v>115</v>
      </c>
      <c r="B65" t="s">
        <v>18</v>
      </c>
      <c r="C65">
        <f>VLOOKUP(D1_MARZO_2025[[#This Row],[SUPER]],DATA_MARZO_2025[[SUPERVISOR]:[META]],3,0)</f>
        <v>16500</v>
      </c>
      <c r="D65">
        <f>D1_MARZO_2025[[#This Row],[RECUPERO]]/D1_MARZO_2025[[#This Row],[META]]</f>
        <v>1.2612121212121212</v>
      </c>
      <c r="E65" t="s">
        <v>115</v>
      </c>
      <c r="F65" t="s">
        <v>18</v>
      </c>
      <c r="G65">
        <v>20810</v>
      </c>
      <c r="H65" t="s">
        <v>431</v>
      </c>
      <c r="I65" s="55">
        <v>45133</v>
      </c>
      <c r="J65" t="s">
        <v>501</v>
      </c>
      <c r="L65" s="55"/>
      <c r="M65" s="1">
        <f>DATA_MARZO_2025[[#This Row],[RECUPERO]]/DATA_MARZO_2025[[#This Row],[META]]</f>
        <v>1.0309523809523808</v>
      </c>
      <c r="N65">
        <f>6-ROUNDUP(_xlfn.RANK.EQ(DATA_MARZO_2025[[#This Row],[AL_AC]],DATA_MARZO_2025[AL_AC],0)/(COUNTA(DATA_MARZO_2025[AL_AC])/5),0)</f>
        <v>5</v>
      </c>
      <c r="O65" t="s">
        <v>6</v>
      </c>
      <c r="P65">
        <f>SUM(DATA_MARZO_2025[[#This Row],[1]:[31]])</f>
        <v>21650</v>
      </c>
      <c r="Q65">
        <v>21000</v>
      </c>
      <c r="R65" t="s">
        <v>120</v>
      </c>
      <c r="W65">
        <v>500</v>
      </c>
      <c r="X65">
        <v>3500</v>
      </c>
      <c r="Y65">
        <v>4000</v>
      </c>
      <c r="AB65">
        <v>3500</v>
      </c>
      <c r="AD65">
        <v>200</v>
      </c>
      <c r="AF65">
        <v>400</v>
      </c>
      <c r="AI65">
        <v>3000</v>
      </c>
      <c r="AJ65">
        <v>1550</v>
      </c>
      <c r="AP65">
        <v>2500</v>
      </c>
      <c r="AR65">
        <v>2000</v>
      </c>
      <c r="AW65">
        <v>500</v>
      </c>
      <c r="AX65" t="s">
        <v>152</v>
      </c>
    </row>
    <row r="66" spans="1:50" x14ac:dyDescent="0.25">
      <c r="A66" t="s">
        <v>115</v>
      </c>
      <c r="B66" t="s">
        <v>14</v>
      </c>
      <c r="C66">
        <f>VLOOKUP(D1_MARZO_2025[[#This Row],[SUPER]],DATA_MARZO_2025[[SUPERVISOR]:[META]],3,0)</f>
        <v>16500</v>
      </c>
      <c r="D66">
        <f>D1_MARZO_2025[[#This Row],[RECUPERO]]/D1_MARZO_2025[[#This Row],[META]]</f>
        <v>1.2121212121212121E-2</v>
      </c>
      <c r="E66" t="s">
        <v>115</v>
      </c>
      <c r="F66" t="s">
        <v>14</v>
      </c>
      <c r="G66">
        <v>200</v>
      </c>
      <c r="H66" t="s">
        <v>432</v>
      </c>
      <c r="I66" s="55">
        <v>45133</v>
      </c>
      <c r="J66" t="s">
        <v>501</v>
      </c>
      <c r="L66" s="55"/>
      <c r="M66" s="1">
        <f>DATA_MARZO_2025[[#This Row],[RECUPERO]]/DATA_MARZO_2025[[#This Row],[META]]</f>
        <v>0.26095238095238094</v>
      </c>
      <c r="N66">
        <f>6-ROUNDUP(_xlfn.RANK.EQ(DATA_MARZO_2025[[#This Row],[AL_AC]],DATA_MARZO_2025[AL_AC],0)/(COUNTA(DATA_MARZO_2025[AL_AC])/5),0)</f>
        <v>2</v>
      </c>
      <c r="O66" t="s">
        <v>6</v>
      </c>
      <c r="P66">
        <f>SUM(DATA_MARZO_2025[[#This Row],[1]:[31]])</f>
        <v>5480</v>
      </c>
      <c r="Q66">
        <v>21000</v>
      </c>
      <c r="R66" t="s">
        <v>36</v>
      </c>
      <c r="U66">
        <v>800</v>
      </c>
      <c r="V66">
        <v>700</v>
      </c>
      <c r="W66">
        <v>1000</v>
      </c>
      <c r="AC66">
        <v>650</v>
      </c>
      <c r="AE66">
        <v>1000</v>
      </c>
      <c r="AI66">
        <v>430</v>
      </c>
      <c r="AP66">
        <v>550</v>
      </c>
      <c r="AT66">
        <v>350</v>
      </c>
      <c r="AX66" t="s">
        <v>152</v>
      </c>
    </row>
    <row r="67" spans="1:50" x14ac:dyDescent="0.25">
      <c r="A67" t="s">
        <v>115</v>
      </c>
      <c r="B67" t="s">
        <v>104</v>
      </c>
      <c r="C67">
        <f>VLOOKUP(D1_MARZO_2025[[#This Row],[SUPER]],DATA_MARZO_2025[[SUPERVISOR]:[META]],3,0)</f>
        <v>16500</v>
      </c>
      <c r="D67">
        <f>D1_MARZO_2025[[#This Row],[RECUPERO]]/D1_MARZO_2025[[#This Row],[META]]</f>
        <v>0.48303030303030303</v>
      </c>
      <c r="E67" t="s">
        <v>115</v>
      </c>
      <c r="F67" t="s">
        <v>104</v>
      </c>
      <c r="G67">
        <v>7970</v>
      </c>
      <c r="H67" t="s">
        <v>456</v>
      </c>
      <c r="I67" s="55">
        <v>44104</v>
      </c>
      <c r="J67" t="s">
        <v>501</v>
      </c>
      <c r="L67" s="55"/>
      <c r="M67" s="1">
        <f>DATA_MARZO_2025[[#This Row],[RECUPERO]]/DATA_MARZO_2025[[#This Row],[META]]</f>
        <v>0.76293693548387087</v>
      </c>
      <c r="N67">
        <f>6-ROUNDUP(_xlfn.RANK.EQ(DATA_MARZO_2025[[#This Row],[AL_AC]],DATA_MARZO_2025[AL_AC],0)/(COUNTA(DATA_MARZO_2025[AL_AC])/5),0)</f>
        <v>4</v>
      </c>
      <c r="O67" t="s">
        <v>5</v>
      </c>
      <c r="P67">
        <f>SUM(DATA_MARZO_2025[[#This Row],[1]:[31]])</f>
        <v>47302.09</v>
      </c>
      <c r="Q67">
        <v>62000</v>
      </c>
      <c r="R67" t="s">
        <v>62</v>
      </c>
      <c r="S67">
        <v>460</v>
      </c>
      <c r="U67">
        <v>600</v>
      </c>
      <c r="W67">
        <v>1046</v>
      </c>
      <c r="X67">
        <v>1000</v>
      </c>
      <c r="Z67">
        <v>600</v>
      </c>
      <c r="AB67">
        <v>776</v>
      </c>
      <c r="AE67">
        <v>3350</v>
      </c>
      <c r="AG67">
        <v>450</v>
      </c>
      <c r="AK67">
        <v>3306.09</v>
      </c>
      <c r="AM67">
        <v>205</v>
      </c>
      <c r="AP67">
        <v>8300</v>
      </c>
      <c r="AQ67">
        <v>19350</v>
      </c>
      <c r="AR67">
        <v>600</v>
      </c>
      <c r="AT67">
        <v>4959</v>
      </c>
      <c r="AU67">
        <v>800</v>
      </c>
      <c r="AW67">
        <v>1500</v>
      </c>
      <c r="AX67" t="s">
        <v>150</v>
      </c>
    </row>
    <row r="68" spans="1:50" x14ac:dyDescent="0.25">
      <c r="A68" t="s">
        <v>115</v>
      </c>
      <c r="B68" t="s">
        <v>80</v>
      </c>
      <c r="C68">
        <f>VLOOKUP(D1_MARZO_2025[[#This Row],[SUPER]],DATA_MARZO_2025[[SUPERVISOR]:[META]],3,0)</f>
        <v>16500</v>
      </c>
      <c r="D68">
        <f>D1_MARZO_2025[[#This Row],[RECUPERO]]/D1_MARZO_2025[[#This Row],[META]]</f>
        <v>1.2472121212121212</v>
      </c>
      <c r="E68" t="s">
        <v>115</v>
      </c>
      <c r="F68" t="s">
        <v>80</v>
      </c>
      <c r="G68">
        <v>20579</v>
      </c>
      <c r="H68" t="s">
        <v>433</v>
      </c>
      <c r="I68" s="55">
        <v>45285</v>
      </c>
      <c r="J68" t="s">
        <v>501</v>
      </c>
      <c r="L68" s="55"/>
      <c r="M68" s="1">
        <f>DATA_MARZO_2025[[#This Row],[RECUPERO]]/DATA_MARZO_2025[[#This Row],[META]]</f>
        <v>1.0463333333333333</v>
      </c>
      <c r="N68">
        <f>6-ROUNDUP(_xlfn.RANK.EQ(DATA_MARZO_2025[[#This Row],[AL_AC]],DATA_MARZO_2025[AL_AC],0)/(COUNTA(DATA_MARZO_2025[AL_AC])/5),0)</f>
        <v>5</v>
      </c>
      <c r="O68" t="s">
        <v>9</v>
      </c>
      <c r="P68">
        <f>SUM(DATA_MARZO_2025[[#This Row],[1]:[31]])</f>
        <v>21973</v>
      </c>
      <c r="Q68">
        <v>21000</v>
      </c>
      <c r="R68" t="s">
        <v>70</v>
      </c>
      <c r="U68">
        <v>200</v>
      </c>
      <c r="V68">
        <v>215</v>
      </c>
      <c r="Y68">
        <v>3000</v>
      </c>
      <c r="AC68">
        <v>300</v>
      </c>
      <c r="AD68">
        <v>950</v>
      </c>
      <c r="AF68">
        <v>5360</v>
      </c>
      <c r="AI68">
        <v>1524</v>
      </c>
      <c r="AK68">
        <v>3400</v>
      </c>
      <c r="AL68">
        <v>2200</v>
      </c>
      <c r="AN68">
        <v>200</v>
      </c>
      <c r="AP68">
        <v>1300</v>
      </c>
      <c r="AR68">
        <v>150</v>
      </c>
      <c r="AS68">
        <v>1550</v>
      </c>
      <c r="AW68">
        <v>1624</v>
      </c>
      <c r="AX68" t="s">
        <v>153</v>
      </c>
    </row>
    <row r="69" spans="1:50" x14ac:dyDescent="0.25">
      <c r="A69" t="s">
        <v>115</v>
      </c>
      <c r="B69" t="s">
        <v>24</v>
      </c>
      <c r="C69">
        <f>VLOOKUP(D1_MARZO_2025[[#This Row],[SUPER]],DATA_MARZO_2025[[SUPERVISOR]:[META]],3,0)</f>
        <v>16500</v>
      </c>
      <c r="D69">
        <f>D1_MARZO_2025[[#This Row],[RECUPERO]]/D1_MARZO_2025[[#This Row],[META]]</f>
        <v>0.72109090909090912</v>
      </c>
      <c r="E69" t="s">
        <v>115</v>
      </c>
      <c r="F69" t="s">
        <v>24</v>
      </c>
      <c r="G69">
        <v>11898</v>
      </c>
      <c r="H69" t="s">
        <v>434</v>
      </c>
      <c r="I69" s="55">
        <v>45334</v>
      </c>
      <c r="J69" t="s">
        <v>501</v>
      </c>
      <c r="L69" s="55"/>
      <c r="M69" s="1">
        <f>DATA_MARZO_2025[[#This Row],[RECUPERO]]/DATA_MARZO_2025[[#This Row],[META]]</f>
        <v>0.29919354838709677</v>
      </c>
      <c r="N69">
        <f>6-ROUNDUP(_xlfn.RANK.EQ(DATA_MARZO_2025[[#This Row],[AL_AC]],DATA_MARZO_2025[AL_AC],0)/(COUNTA(DATA_MARZO_2025[AL_AC])/5),0)</f>
        <v>2</v>
      </c>
      <c r="O69" t="s">
        <v>4</v>
      </c>
      <c r="P69">
        <f>SUM(DATA_MARZO_2025[[#This Row],[1]:[31]])</f>
        <v>18550</v>
      </c>
      <c r="Q69">
        <v>62000</v>
      </c>
      <c r="R69" t="s">
        <v>64</v>
      </c>
      <c r="AB69">
        <v>2700</v>
      </c>
      <c r="AE69">
        <v>500</v>
      </c>
      <c r="AF69">
        <v>11300</v>
      </c>
      <c r="AM69">
        <v>2750</v>
      </c>
      <c r="AP69">
        <v>300</v>
      </c>
      <c r="AQ69">
        <v>1000</v>
      </c>
      <c r="AX69" t="s">
        <v>150</v>
      </c>
    </row>
    <row r="70" spans="1:50" x14ac:dyDescent="0.25">
      <c r="A70" t="s">
        <v>115</v>
      </c>
      <c r="B70" t="s">
        <v>83</v>
      </c>
      <c r="C70">
        <f>VLOOKUP(D1_MARZO_2025[[#This Row],[SUPER]],DATA_MARZO_2025[[SUPERVISOR]:[META]],3,0)</f>
        <v>16500</v>
      </c>
      <c r="D70">
        <f>D1_MARZO_2025[[#This Row],[RECUPERO]]/D1_MARZO_2025[[#This Row],[META]]</f>
        <v>0.55709090909090908</v>
      </c>
      <c r="E70" t="s">
        <v>115</v>
      </c>
      <c r="F70" t="s">
        <v>83</v>
      </c>
      <c r="G70">
        <v>9192</v>
      </c>
      <c r="H70" t="s">
        <v>435</v>
      </c>
      <c r="I70" s="55">
        <v>44937</v>
      </c>
      <c r="J70" t="s">
        <v>501</v>
      </c>
      <c r="L70" s="55"/>
      <c r="M70" s="1">
        <f>DATA_MARZO_2025[[#This Row],[RECUPERO]]/DATA_MARZO_2025[[#This Row],[META]]</f>
        <v>0.12419354838709677</v>
      </c>
      <c r="N70">
        <f>6-ROUNDUP(_xlfn.RANK.EQ(DATA_MARZO_2025[[#This Row],[AL_AC]],DATA_MARZO_2025[AL_AC],0)/(COUNTA(DATA_MARZO_2025[AL_AC])/5),0)</f>
        <v>1</v>
      </c>
      <c r="O70" t="s">
        <v>3</v>
      </c>
      <c r="P70">
        <f>SUM(DATA_MARZO_2025[[#This Row],[1]:[31]])</f>
        <v>7700</v>
      </c>
      <c r="Q70">
        <v>62000</v>
      </c>
      <c r="R70" t="s">
        <v>107</v>
      </c>
      <c r="AE70">
        <v>500</v>
      </c>
      <c r="AF70">
        <v>3000</v>
      </c>
      <c r="AL70">
        <v>300</v>
      </c>
      <c r="AR70">
        <v>2000</v>
      </c>
      <c r="AS70">
        <v>700</v>
      </c>
      <c r="AW70">
        <v>1200</v>
      </c>
      <c r="AX70" t="s">
        <v>150</v>
      </c>
    </row>
    <row r="71" spans="1:50" x14ac:dyDescent="0.25">
      <c r="A71" t="s">
        <v>115</v>
      </c>
      <c r="B71" t="s">
        <v>49</v>
      </c>
      <c r="C71">
        <f>VLOOKUP(D1_MARZO_2025[[#This Row],[SUPER]],DATA_MARZO_2025[[SUPERVISOR]:[META]],3,0)</f>
        <v>16500</v>
      </c>
      <c r="D71">
        <f>D1_MARZO_2025[[#This Row],[RECUPERO]]/D1_MARZO_2025[[#This Row],[META]]</f>
        <v>0.52187878787878783</v>
      </c>
      <c r="E71" t="s">
        <v>115</v>
      </c>
      <c r="F71" t="s">
        <v>49</v>
      </c>
      <c r="G71">
        <v>8611</v>
      </c>
      <c r="H71" t="s">
        <v>436</v>
      </c>
      <c r="I71" s="55">
        <v>42814</v>
      </c>
      <c r="J71" t="s">
        <v>501</v>
      </c>
      <c r="L71" s="55"/>
      <c r="M71" s="1">
        <f>DATA_MARZO_2025[[#This Row],[RECUPERO]]/DATA_MARZO_2025[[#This Row],[META]]</f>
        <v>0</v>
      </c>
      <c r="N71">
        <f>6-ROUNDUP(_xlfn.RANK.EQ(DATA_MARZO_2025[[#This Row],[AL_AC]],DATA_MARZO_2025[AL_AC],0)/(COUNTA(DATA_MARZO_2025[AL_AC])/5),0)</f>
        <v>1</v>
      </c>
      <c r="O71" t="s">
        <v>4</v>
      </c>
      <c r="P71">
        <f>SUM(DATA_MARZO_2025[[#This Row],[1]:[31]])</f>
        <v>0</v>
      </c>
      <c r="Q71">
        <v>62000</v>
      </c>
      <c r="R71" t="s">
        <v>11</v>
      </c>
      <c r="AX71" t="s">
        <v>150</v>
      </c>
    </row>
    <row r="72" spans="1:50" x14ac:dyDescent="0.25">
      <c r="A72" t="s">
        <v>115</v>
      </c>
      <c r="B72" t="s">
        <v>65</v>
      </c>
      <c r="C72">
        <f>VLOOKUP(D1_MARZO_2025[[#This Row],[SUPER]],DATA_MARZO_2025[[SUPERVISOR]:[META]],3,0)</f>
        <v>16500</v>
      </c>
      <c r="D72">
        <f>D1_MARZO_2025[[#This Row],[RECUPERO]]/D1_MARZO_2025[[#This Row],[META]]</f>
        <v>0.66200000000000003</v>
      </c>
      <c r="E72" t="s">
        <v>115</v>
      </c>
      <c r="F72" t="s">
        <v>65</v>
      </c>
      <c r="G72">
        <v>10923</v>
      </c>
      <c r="H72" t="s">
        <v>438</v>
      </c>
      <c r="I72" s="55">
        <v>45021</v>
      </c>
      <c r="J72" t="s">
        <v>501</v>
      </c>
      <c r="L72" s="55"/>
      <c r="M72" s="1">
        <f>DATA_MARZO_2025[[#This Row],[RECUPERO]]/DATA_MARZO_2025[[#This Row],[META]]</f>
        <v>0.44091666666666668</v>
      </c>
      <c r="N72">
        <f>6-ROUNDUP(_xlfn.RANK.EQ(DATA_MARZO_2025[[#This Row],[AL_AC]],DATA_MARZO_2025[AL_AC],0)/(COUNTA(DATA_MARZO_2025[AL_AC])/5),0)</f>
        <v>3</v>
      </c>
      <c r="O72" t="s">
        <v>2</v>
      </c>
      <c r="P72">
        <f>SUM(DATA_MARZO_2025[[#This Row],[1]:[31]])</f>
        <v>10582</v>
      </c>
      <c r="Q72">
        <v>24000</v>
      </c>
      <c r="R72" t="s">
        <v>74</v>
      </c>
      <c r="U72">
        <v>241</v>
      </c>
      <c r="V72">
        <v>460</v>
      </c>
      <c r="Y72">
        <v>636</v>
      </c>
      <c r="AB72">
        <v>250</v>
      </c>
      <c r="AF72">
        <v>250</v>
      </c>
      <c r="AI72">
        <v>200</v>
      </c>
      <c r="AK72">
        <v>155</v>
      </c>
      <c r="AL72">
        <v>200</v>
      </c>
      <c r="AM72">
        <v>400</v>
      </c>
      <c r="AR72">
        <v>200</v>
      </c>
      <c r="AS72">
        <v>400</v>
      </c>
      <c r="AT72">
        <v>1720</v>
      </c>
      <c r="AW72">
        <v>5470</v>
      </c>
      <c r="AX72" t="s">
        <v>151</v>
      </c>
    </row>
    <row r="73" spans="1:50" x14ac:dyDescent="0.25">
      <c r="A73" t="s">
        <v>115</v>
      </c>
      <c r="B73" t="s">
        <v>33</v>
      </c>
      <c r="C73">
        <f>VLOOKUP(D1_MARZO_2025[[#This Row],[SUPER]],DATA_MARZO_2025[[SUPERVISOR]:[META]],3,0)</f>
        <v>16500</v>
      </c>
      <c r="D73">
        <f>D1_MARZO_2025[[#This Row],[RECUPERO]]/D1_MARZO_2025[[#This Row],[META]]</f>
        <v>0.57875151515151513</v>
      </c>
      <c r="E73" t="s">
        <v>115</v>
      </c>
      <c r="F73" t="s">
        <v>33</v>
      </c>
      <c r="G73">
        <v>9549.4</v>
      </c>
      <c r="H73" t="s">
        <v>439</v>
      </c>
      <c r="I73" s="55">
        <v>44869</v>
      </c>
      <c r="J73" t="s">
        <v>501</v>
      </c>
      <c r="L73" s="55"/>
      <c r="M73" s="1">
        <f>DATA_MARZO_2025[[#This Row],[RECUPERO]]/DATA_MARZO_2025[[#This Row],[META]]</f>
        <v>0.91170967741935482</v>
      </c>
      <c r="N73">
        <f>6-ROUNDUP(_xlfn.RANK.EQ(DATA_MARZO_2025[[#This Row],[AL_AC]],DATA_MARZO_2025[AL_AC],0)/(COUNTA(DATA_MARZO_2025[AL_AC])/5),0)</f>
        <v>5</v>
      </c>
      <c r="O73" t="s">
        <v>5</v>
      </c>
      <c r="P73">
        <f>SUM(DATA_MARZO_2025[[#This Row],[1]:[31]])</f>
        <v>56526</v>
      </c>
      <c r="Q73">
        <v>62000</v>
      </c>
      <c r="R73" t="s">
        <v>79</v>
      </c>
      <c r="U73">
        <v>1000</v>
      </c>
      <c r="X73">
        <v>3100</v>
      </c>
      <c r="Y73">
        <v>7600</v>
      </c>
      <c r="AC73">
        <v>5000</v>
      </c>
      <c r="AD73">
        <v>13000</v>
      </c>
      <c r="AE73">
        <v>700</v>
      </c>
      <c r="AF73">
        <v>1500</v>
      </c>
      <c r="AJ73">
        <v>400</v>
      </c>
      <c r="AK73">
        <v>100</v>
      </c>
      <c r="AL73">
        <v>6206</v>
      </c>
      <c r="AM73">
        <v>3000</v>
      </c>
      <c r="AQ73">
        <v>2550</v>
      </c>
      <c r="AS73">
        <v>9000</v>
      </c>
      <c r="AW73">
        <v>3370</v>
      </c>
      <c r="AX73" t="s">
        <v>150</v>
      </c>
    </row>
    <row r="74" spans="1:50" x14ac:dyDescent="0.25">
      <c r="A74" t="s">
        <v>115</v>
      </c>
      <c r="B74" t="s">
        <v>68</v>
      </c>
      <c r="C74">
        <f>VLOOKUP(D1_MARZO_2025[[#This Row],[SUPER]],DATA_MARZO_2025[[SUPERVISOR]:[META]],3,0)</f>
        <v>16500</v>
      </c>
      <c r="D74">
        <f>D1_MARZO_2025[[#This Row],[RECUPERO]]/D1_MARZO_2025[[#This Row],[META]]</f>
        <v>0.71172727272727276</v>
      </c>
      <c r="E74" t="s">
        <v>115</v>
      </c>
      <c r="F74" t="s">
        <v>68</v>
      </c>
      <c r="G74">
        <v>11743.5</v>
      </c>
      <c r="H74" t="s">
        <v>440</v>
      </c>
      <c r="I74" s="55">
        <v>45364</v>
      </c>
      <c r="J74" t="s">
        <v>501</v>
      </c>
      <c r="L74" s="55"/>
      <c r="M74" s="1">
        <f>DATA_MARZO_2025[[#This Row],[RECUPERO]]/DATA_MARZO_2025[[#This Row],[META]]</f>
        <v>6.1124999999999999E-2</v>
      </c>
      <c r="N74">
        <f>6-ROUNDUP(_xlfn.RANK.EQ(DATA_MARZO_2025[[#This Row],[AL_AC]],DATA_MARZO_2025[AL_AC],0)/(COUNTA(DATA_MARZO_2025[AL_AC])/5),0)</f>
        <v>1</v>
      </c>
      <c r="O74" t="s">
        <v>2</v>
      </c>
      <c r="P74">
        <f>SUM(DATA_MARZO_2025[[#This Row],[1]:[31]])</f>
        <v>1467</v>
      </c>
      <c r="Q74">
        <v>24000</v>
      </c>
      <c r="R74" t="s">
        <v>117</v>
      </c>
      <c r="V74">
        <v>200</v>
      </c>
      <c r="X74">
        <v>528</v>
      </c>
      <c r="Y74">
        <v>739</v>
      </c>
      <c r="AX74" t="s">
        <v>151</v>
      </c>
    </row>
    <row r="75" spans="1:50" x14ac:dyDescent="0.25">
      <c r="A75" t="s">
        <v>4</v>
      </c>
      <c r="B75" t="str">
        <f>D1_MARZO_2025[[#This Row],[ASESOR]]</f>
        <v>ANALUCIA PONCE</v>
      </c>
      <c r="C75">
        <f>VLOOKUP(D1_MARZO_2025[[#This Row],[SUPER]],DATA_MARZO_2025[[SUPERVISOR]:[META]],3,0)</f>
        <v>62000</v>
      </c>
      <c r="D75">
        <f>D1_MARZO_2025[[#This Row],[RECUPERO]]/D1_MARZO_2025[[#This Row],[META]]</f>
        <v>0.59080645161290324</v>
      </c>
      <c r="E75" t="s">
        <v>4</v>
      </c>
      <c r="F75" t="s">
        <v>60</v>
      </c>
      <c r="G75">
        <v>36630</v>
      </c>
      <c r="H75" t="s">
        <v>423</v>
      </c>
      <c r="I75" s="55">
        <v>45323</v>
      </c>
      <c r="J75" t="s">
        <v>501</v>
      </c>
      <c r="M75" s="1">
        <f>DATA_MARZO_2025[[#This Row],[RECUPERO]]/DATA_MARZO_2025[[#This Row],[META]]</f>
        <v>1.4399354838709677</v>
      </c>
      <c r="N75">
        <f>6-ROUNDUP(_xlfn.RANK.EQ(DATA_MARZO_2025[[#This Row],[AL_AC]],DATA_MARZO_2025[AL_AC],0)/(COUNTA(DATA_MARZO_2025[AL_AC])/5),0)</f>
        <v>5</v>
      </c>
      <c r="O75" t="s">
        <v>4</v>
      </c>
      <c r="P75">
        <f>SUM(DATA_MARZO_2025[[#This Row],[1]:[31]])</f>
        <v>89276</v>
      </c>
      <c r="Q75">
        <v>62000</v>
      </c>
      <c r="R75" t="s">
        <v>59</v>
      </c>
      <c r="X75">
        <v>1000</v>
      </c>
      <c r="Y75">
        <v>1155</v>
      </c>
      <c r="AB75">
        <v>5000</v>
      </c>
      <c r="AD75">
        <v>7000</v>
      </c>
      <c r="AE75">
        <v>4500</v>
      </c>
      <c r="AG75">
        <v>600</v>
      </c>
      <c r="AI75">
        <v>2000</v>
      </c>
      <c r="AL75">
        <v>4765</v>
      </c>
      <c r="AM75">
        <v>19600</v>
      </c>
      <c r="AN75">
        <v>2600</v>
      </c>
      <c r="AP75">
        <v>600</v>
      </c>
      <c r="AQ75">
        <v>10000</v>
      </c>
      <c r="AS75">
        <v>3500</v>
      </c>
      <c r="AT75">
        <v>10400</v>
      </c>
      <c r="AU75">
        <v>3800</v>
      </c>
      <c r="AV75">
        <v>600</v>
      </c>
      <c r="AW75">
        <v>12156</v>
      </c>
      <c r="AX75" t="s">
        <v>150</v>
      </c>
    </row>
    <row r="76" spans="1:50" x14ac:dyDescent="0.25">
      <c r="A76" t="str">
        <f>D1_MARZO_2025[[#This Row],[SUPER2]]</f>
        <v>SANDY</v>
      </c>
      <c r="B76" t="str">
        <f>D1_MARZO_2025[[#This Row],[ASESOR]]</f>
        <v>JESSICA MELGAREJO</v>
      </c>
      <c r="C76">
        <f>VLOOKUP(D1_MARZO_2025[[#This Row],[SUPER]],DATA_MARZO_2025[[SUPERVISOR]:[META]],3,0)</f>
        <v>62000</v>
      </c>
      <c r="D76">
        <f>D1_MARZO_2025[[#This Row],[RECUPERO]]/D1_MARZO_2025[[#This Row],[META]]</f>
        <v>1.935483870967742E-2</v>
      </c>
      <c r="E76" t="s">
        <v>3</v>
      </c>
      <c r="F76" t="s">
        <v>96</v>
      </c>
      <c r="G76">
        <v>1200</v>
      </c>
      <c r="H76" t="s">
        <v>437</v>
      </c>
      <c r="I76" s="55">
        <v>45671</v>
      </c>
      <c r="J76" t="s">
        <v>501</v>
      </c>
      <c r="M76" s="1">
        <f>DATA_MARZO_2025[[#This Row],[RECUPERO]]/DATA_MARZO_2025[[#This Row],[META]]</f>
        <v>1.1488274193548387</v>
      </c>
      <c r="N76">
        <f>6-ROUNDUP(_xlfn.RANK.EQ(DATA_MARZO_2025[[#This Row],[AL_AC]],DATA_MARZO_2025[AL_AC],0)/(COUNTA(DATA_MARZO_2025[AL_AC])/5),0)</f>
        <v>5</v>
      </c>
      <c r="O76" t="s">
        <v>3</v>
      </c>
      <c r="P76">
        <f>SUM(DATA_MARZO_2025[[#This Row],[1]:[31]])</f>
        <v>71227.3</v>
      </c>
      <c r="Q76">
        <v>62000</v>
      </c>
      <c r="R76" t="s">
        <v>63</v>
      </c>
      <c r="S76">
        <v>268</v>
      </c>
      <c r="T76">
        <v>10.3</v>
      </c>
      <c r="U76">
        <v>2200</v>
      </c>
      <c r="V76">
        <v>868</v>
      </c>
      <c r="W76">
        <v>600</v>
      </c>
      <c r="X76">
        <v>50340</v>
      </c>
      <c r="Y76">
        <v>262</v>
      </c>
      <c r="AB76">
        <v>3498</v>
      </c>
      <c r="AE76">
        <v>1000</v>
      </c>
      <c r="AF76">
        <v>951</v>
      </c>
      <c r="AI76">
        <v>867</v>
      </c>
      <c r="AJ76">
        <v>460</v>
      </c>
      <c r="AK76">
        <v>300</v>
      </c>
      <c r="AL76">
        <v>424</v>
      </c>
      <c r="AM76">
        <v>987</v>
      </c>
      <c r="AN76">
        <v>509</v>
      </c>
      <c r="AP76">
        <v>100</v>
      </c>
      <c r="AQ76">
        <v>200</v>
      </c>
      <c r="AT76">
        <v>5178</v>
      </c>
      <c r="AU76">
        <v>1265</v>
      </c>
      <c r="AW76">
        <v>940</v>
      </c>
      <c r="AX76" t="s">
        <v>150</v>
      </c>
    </row>
    <row r="77" spans="1:50" x14ac:dyDescent="0.25">
      <c r="A77" t="str">
        <f>D1_MARZO_2025[[#This Row],[SUPER2]]</f>
        <v>LUIS</v>
      </c>
      <c r="B77" t="str">
        <f>D1_MARZO_2025[[#This Row],[ASESOR]]</f>
        <v>MARCELIT LOPEZ</v>
      </c>
      <c r="C77">
        <f>VLOOKUP(D1_MARZO_2025[[#This Row],[SUPER]],DATA_MARZO_2025[[SUPERVISOR]:[META]],3,0)</f>
        <v>21000</v>
      </c>
      <c r="D77">
        <f>D1_MARZO_2025[[#This Row],[RECUPERO]]/D1_MARZO_2025[[#This Row],[META]]</f>
        <v>0.21728571428571428</v>
      </c>
      <c r="E77" t="s">
        <v>9</v>
      </c>
      <c r="F77" t="s">
        <v>121</v>
      </c>
      <c r="G77">
        <v>4563</v>
      </c>
      <c r="H77" t="s">
        <v>417</v>
      </c>
      <c r="I77" s="55">
        <v>44510</v>
      </c>
      <c r="J77" t="s">
        <v>501</v>
      </c>
      <c r="M77" s="1">
        <f>DATA_MARZO_2025[[#This Row],[RECUPERO]]/DATA_MARZO_2025[[#This Row],[META]]</f>
        <v>0.45595714285714289</v>
      </c>
      <c r="N77">
        <f>6-ROUNDUP(_xlfn.RANK.EQ(DATA_MARZO_2025[[#This Row],[AL_AC]],DATA_MARZO_2025[AL_AC],0)/(COUNTA(DATA_MARZO_2025[AL_AC])/5),0)</f>
        <v>3</v>
      </c>
      <c r="O77" t="s">
        <v>9</v>
      </c>
      <c r="P77">
        <f>SUM(DATA_MARZO_2025[[#This Row],[1]:[31]])</f>
        <v>9575.1</v>
      </c>
      <c r="Q77">
        <v>21000</v>
      </c>
      <c r="R77" t="s">
        <v>103</v>
      </c>
      <c r="S77">
        <v>150</v>
      </c>
      <c r="V77">
        <v>200</v>
      </c>
      <c r="W77">
        <v>1800</v>
      </c>
      <c r="X77">
        <v>300</v>
      </c>
      <c r="AB77">
        <v>500</v>
      </c>
      <c r="AF77">
        <v>300</v>
      </c>
      <c r="AK77">
        <v>150</v>
      </c>
      <c r="AP77">
        <v>1200</v>
      </c>
      <c r="AT77">
        <v>500</v>
      </c>
      <c r="AW77">
        <v>4475.1000000000004</v>
      </c>
      <c r="AX77" t="s">
        <v>153</v>
      </c>
    </row>
    <row r="78" spans="1:50" x14ac:dyDescent="0.25">
      <c r="A78" t="str">
        <f>D1_MARZO_2025[[#This Row],[SUPER2]]</f>
        <v>JORGE</v>
      </c>
      <c r="B78" t="str">
        <f>D1_MARZO_2025[[#This Row],[ASESOR]]</f>
        <v>PAMELA ALBITES</v>
      </c>
      <c r="C78">
        <f>VLOOKUP(D1_MARZO_2025[[#This Row],[SUPER]],DATA_MARZO_2025[[SUPERVISOR]:[META]],3,0)</f>
        <v>24000</v>
      </c>
      <c r="D78">
        <f>D1_MARZO_2025[[#This Row],[RECUPERO]]/D1_MARZO_2025[[#This Row],[META]]</f>
        <v>6.1124999999999999E-2</v>
      </c>
      <c r="E78" t="s">
        <v>2</v>
      </c>
      <c r="F78" t="s">
        <v>117</v>
      </c>
      <c r="G78">
        <v>1467</v>
      </c>
      <c r="H78" t="s">
        <v>396</v>
      </c>
      <c r="I78" s="55">
        <v>45668</v>
      </c>
      <c r="J78" t="s">
        <v>501</v>
      </c>
      <c r="M78" s="1">
        <f>DATA_MARZO_2025[[#This Row],[RECUPERO]]/DATA_MARZO_2025[[#This Row],[META]]</f>
        <v>0.1761904761904762</v>
      </c>
      <c r="N78">
        <f>6-ROUNDUP(_xlfn.RANK.EQ(DATA_MARZO_2025[[#This Row],[AL_AC]],DATA_MARZO_2025[AL_AC],0)/(COUNTA(DATA_MARZO_2025[AL_AC])/5),0)</f>
        <v>1</v>
      </c>
      <c r="O78" t="s">
        <v>6</v>
      </c>
      <c r="P78">
        <f>SUM(DATA_MARZO_2025[[#This Row],[1]:[31]])</f>
        <v>3700</v>
      </c>
      <c r="Q78">
        <v>21000</v>
      </c>
      <c r="R78" t="s">
        <v>128</v>
      </c>
      <c r="AC78">
        <v>700</v>
      </c>
      <c r="AD78">
        <v>550</v>
      </c>
      <c r="AI78">
        <v>750</v>
      </c>
      <c r="AM78">
        <v>1000</v>
      </c>
      <c r="AQ78">
        <v>700</v>
      </c>
      <c r="AX78" t="s">
        <v>152</v>
      </c>
    </row>
    <row r="79" spans="1:50" x14ac:dyDescent="0.25">
      <c r="A79" t="str">
        <f>D1_MARZO_2025[[#This Row],[SUPER2]]</f>
        <v>MELINA</v>
      </c>
      <c r="B79" t="str">
        <f>D1_MARZO_2025[[#This Row],[ASESOR]]</f>
        <v>JEREMIAS ROJAS</v>
      </c>
      <c r="C79">
        <f>VLOOKUP(D1_MARZO_2025[[#This Row],[SUPER]],DATA_MARZO_2025[[SUPERVISOR]:[META]],3,0)</f>
        <v>62000</v>
      </c>
      <c r="D79">
        <f>D1_MARZO_2025[[#This Row],[RECUPERO]]/D1_MARZO_2025[[#This Row],[META]]</f>
        <v>0.30762903225806454</v>
      </c>
      <c r="E79" t="s">
        <v>4</v>
      </c>
      <c r="F79" t="s">
        <v>122</v>
      </c>
      <c r="G79">
        <v>19073</v>
      </c>
      <c r="H79" t="s">
        <v>426</v>
      </c>
      <c r="I79" s="55">
        <v>45082</v>
      </c>
      <c r="J79" t="s">
        <v>501</v>
      </c>
      <c r="M79" s="1">
        <f>DATA_MARZO_2025[[#This Row],[RECUPERO]]/DATA_MARZO_2025[[#This Row],[META]]</f>
        <v>0.39166666666666666</v>
      </c>
      <c r="N79">
        <f>6-ROUNDUP(_xlfn.RANK.EQ(DATA_MARZO_2025[[#This Row],[AL_AC]],DATA_MARZO_2025[AL_AC],0)/(COUNTA(DATA_MARZO_2025[AL_AC])/5),0)</f>
        <v>3</v>
      </c>
      <c r="O79" t="s">
        <v>9</v>
      </c>
      <c r="P79">
        <f>SUM(DATA_MARZO_2025[[#This Row],[1]:[31]])</f>
        <v>8225</v>
      </c>
      <c r="Q79">
        <v>21000</v>
      </c>
      <c r="R79" t="s">
        <v>73</v>
      </c>
      <c r="U79">
        <v>215</v>
      </c>
      <c r="V79">
        <v>50</v>
      </c>
      <c r="W79">
        <v>430</v>
      </c>
      <c r="X79">
        <v>310</v>
      </c>
      <c r="Z79">
        <v>200</v>
      </c>
      <c r="AB79">
        <v>1400</v>
      </c>
      <c r="AC79">
        <v>100</v>
      </c>
      <c r="AE79">
        <v>500</v>
      </c>
      <c r="AG79">
        <v>400</v>
      </c>
      <c r="AI79">
        <v>170</v>
      </c>
      <c r="AK79">
        <v>500</v>
      </c>
      <c r="AL79">
        <v>400</v>
      </c>
      <c r="AP79">
        <v>200</v>
      </c>
      <c r="AQ79">
        <v>1700</v>
      </c>
      <c r="AT79">
        <v>400</v>
      </c>
      <c r="AW79">
        <v>1250</v>
      </c>
      <c r="AX79" t="s">
        <v>153</v>
      </c>
    </row>
    <row r="80" spans="1:50" x14ac:dyDescent="0.25">
      <c r="M80" s="1">
        <f>DATA_MARZO_2025[[#This Row],[RECUPERO]]/DATA_MARZO_2025[[#This Row],[META]]</f>
        <v>0.22223809523809523</v>
      </c>
      <c r="N80">
        <f>6-ROUNDUP(_xlfn.RANK.EQ(DATA_MARZO_2025[[#This Row],[AL_AC]],DATA_MARZO_2025[AL_AC],0)/(COUNTA(DATA_MARZO_2025[AL_AC])/5),0)</f>
        <v>1</v>
      </c>
      <c r="O80" t="s">
        <v>6</v>
      </c>
      <c r="P80">
        <f>SUM(DATA_MARZO_2025[[#This Row],[1]:[31]])</f>
        <v>4667</v>
      </c>
      <c r="Q80">
        <v>21000</v>
      </c>
      <c r="R80" t="s">
        <v>34</v>
      </c>
      <c r="W80">
        <v>1667</v>
      </c>
      <c r="X80">
        <v>500</v>
      </c>
      <c r="AB80">
        <v>1000</v>
      </c>
      <c r="AE80">
        <v>250</v>
      </c>
      <c r="AL80">
        <v>500</v>
      </c>
      <c r="AS80">
        <v>500</v>
      </c>
      <c r="AW80">
        <v>250</v>
      </c>
      <c r="AX80" t="s">
        <v>152</v>
      </c>
    </row>
    <row r="81" spans="13:50" x14ac:dyDescent="0.25">
      <c r="M81" s="1">
        <f>DATA_MARZO_2025[[#This Row],[RECUPERO]]/DATA_MARZO_2025[[#This Row],[META]]</f>
        <v>0.36379166666666668</v>
      </c>
      <c r="N81">
        <f>6-ROUNDUP(_xlfn.RANK.EQ(DATA_MARZO_2025[[#This Row],[AL_AC]],DATA_MARZO_2025[AL_AC],0)/(COUNTA(DATA_MARZO_2025[AL_AC])/5),0)</f>
        <v>2</v>
      </c>
      <c r="O81" t="s">
        <v>2</v>
      </c>
      <c r="P81">
        <f>SUM(DATA_MARZO_2025[[#This Row],[1]:[31]])</f>
        <v>8731</v>
      </c>
      <c r="Q81">
        <v>24000</v>
      </c>
      <c r="R81" t="s">
        <v>78</v>
      </c>
      <c r="AC81">
        <v>1460</v>
      </c>
      <c r="AD81">
        <v>600</v>
      </c>
      <c r="AE81">
        <v>800</v>
      </c>
      <c r="AF81">
        <v>300</v>
      </c>
      <c r="AI81">
        <v>226</v>
      </c>
      <c r="AK81">
        <v>100</v>
      </c>
      <c r="AL81">
        <v>100</v>
      </c>
      <c r="AM81">
        <v>600</v>
      </c>
      <c r="AQ81">
        <v>510</v>
      </c>
      <c r="AS81">
        <v>1105</v>
      </c>
      <c r="AT81">
        <v>820</v>
      </c>
      <c r="AU81">
        <v>800</v>
      </c>
      <c r="AV81">
        <v>700</v>
      </c>
      <c r="AW81">
        <v>610</v>
      </c>
      <c r="AX81" t="s">
        <v>151</v>
      </c>
    </row>
    <row r="82" spans="13:50" x14ac:dyDescent="0.25">
      <c r="M82" s="1">
        <f>DATA_MARZO_2025[[#This Row],[RECUPERO]]/DATA_MARZO_2025[[#This Row],[META]]</f>
        <v>0.38772857142857142</v>
      </c>
      <c r="N82">
        <f>6-ROUNDUP(_xlfn.RANK.EQ(DATA_MARZO_2025[[#This Row],[AL_AC]],DATA_MARZO_2025[AL_AC],0)/(COUNTA(DATA_MARZO_2025[AL_AC])/5),0)</f>
        <v>2</v>
      </c>
      <c r="O82" t="s">
        <v>9</v>
      </c>
      <c r="P82">
        <f>SUM(DATA_MARZO_2025[[#This Row],[1]:[31]])</f>
        <v>8142.3</v>
      </c>
      <c r="Q82">
        <v>21000</v>
      </c>
      <c r="R82" t="s">
        <v>48</v>
      </c>
      <c r="AF82">
        <v>1800</v>
      </c>
      <c r="AI82">
        <v>200</v>
      </c>
      <c r="AK82">
        <v>500</v>
      </c>
      <c r="AL82">
        <v>580</v>
      </c>
      <c r="AP82">
        <v>225</v>
      </c>
      <c r="AR82">
        <v>451</v>
      </c>
      <c r="AU82">
        <v>2009</v>
      </c>
      <c r="AW82">
        <v>2377.3000000000002</v>
      </c>
      <c r="AX82" t="s">
        <v>153</v>
      </c>
    </row>
    <row r="83" spans="13:50" x14ac:dyDescent="0.25">
      <c r="M83" s="1">
        <f>DATA_MARZO_2025[[#This Row],[RECUPERO]]/DATA_MARZO_2025[[#This Row],[META]]</f>
        <v>0.57990322580645159</v>
      </c>
      <c r="N83">
        <f>6-ROUNDUP(_xlfn.RANK.EQ(DATA_MARZO_2025[[#This Row],[AL_AC]],DATA_MARZO_2025[AL_AC],0)/(COUNTA(DATA_MARZO_2025[AL_AC])/5),0)</f>
        <v>4</v>
      </c>
      <c r="O83" t="s">
        <v>3</v>
      </c>
      <c r="P83">
        <f>SUM(DATA_MARZO_2025[[#This Row],[1]:[31]])</f>
        <v>35954</v>
      </c>
      <c r="Q83">
        <v>62000</v>
      </c>
      <c r="R83" t="s">
        <v>10</v>
      </c>
      <c r="U83">
        <v>250</v>
      </c>
      <c r="W83">
        <v>521</v>
      </c>
      <c r="X83">
        <v>12000</v>
      </c>
      <c r="Y83">
        <v>1262</v>
      </c>
      <c r="AB83">
        <v>178</v>
      </c>
      <c r="AD83">
        <v>600</v>
      </c>
      <c r="AE83">
        <v>600</v>
      </c>
      <c r="AF83">
        <v>1000</v>
      </c>
      <c r="AJ83">
        <v>1650</v>
      </c>
      <c r="AK83">
        <v>600</v>
      </c>
      <c r="AL83">
        <v>5268</v>
      </c>
      <c r="AN83">
        <v>3000</v>
      </c>
      <c r="AQ83">
        <v>1970</v>
      </c>
      <c r="AS83">
        <v>500</v>
      </c>
      <c r="AT83">
        <v>1500</v>
      </c>
      <c r="AU83">
        <v>260</v>
      </c>
      <c r="AW83">
        <v>4795</v>
      </c>
      <c r="AX83" t="s">
        <v>150</v>
      </c>
    </row>
    <row r="84" spans="13:50" x14ac:dyDescent="0.25">
      <c r="M84" s="1">
        <f>DATA_MARZO_2025[[#This Row],[RECUPERO]]/DATA_MARZO_2025[[#This Row],[META]]</f>
        <v>1.4439354838709677</v>
      </c>
      <c r="N84">
        <f>6-ROUNDUP(_xlfn.RANK.EQ(DATA_MARZO_2025[[#This Row],[AL_AC]],DATA_MARZO_2025[AL_AC],0)/(COUNTA(DATA_MARZO_2025[AL_AC])/5),0)</f>
        <v>5</v>
      </c>
      <c r="O84" t="s">
        <v>3</v>
      </c>
      <c r="P84">
        <f>SUM(DATA_MARZO_2025[[#This Row],[1]:[31]])</f>
        <v>89524</v>
      </c>
      <c r="Q84">
        <v>62000</v>
      </c>
      <c r="R84" t="s">
        <v>76</v>
      </c>
      <c r="U84">
        <v>12970</v>
      </c>
      <c r="V84">
        <v>6200</v>
      </c>
      <c r="W84">
        <v>12609</v>
      </c>
      <c r="X84">
        <v>4000</v>
      </c>
      <c r="Y84">
        <v>1100</v>
      </c>
      <c r="Z84">
        <v>3000</v>
      </c>
      <c r="AB84">
        <v>8100</v>
      </c>
      <c r="AD84">
        <v>10407</v>
      </c>
      <c r="AE84">
        <v>2800</v>
      </c>
      <c r="AM84">
        <v>11320</v>
      </c>
      <c r="AQ84">
        <v>1400</v>
      </c>
      <c r="AR84">
        <v>420</v>
      </c>
      <c r="AT84">
        <v>285</v>
      </c>
      <c r="AU84">
        <v>600</v>
      </c>
      <c r="AW84">
        <v>14313</v>
      </c>
      <c r="AX84" t="s">
        <v>150</v>
      </c>
    </row>
    <row r="85" spans="13:50" x14ac:dyDescent="0.25">
      <c r="M85" s="1">
        <f>DATA_MARZO_2025[[#This Row],[RECUPERO]]/DATA_MARZO_2025[[#This Row],[META]]</f>
        <v>0.33024999999999999</v>
      </c>
      <c r="N85">
        <f>6-ROUNDUP(_xlfn.RANK.EQ(DATA_MARZO_2025[[#This Row],[AL_AC]],DATA_MARZO_2025[AL_AC],0)/(COUNTA(DATA_MARZO_2025[AL_AC])/5),0)</f>
        <v>2</v>
      </c>
      <c r="O85" t="s">
        <v>2</v>
      </c>
      <c r="P85">
        <f>SUM(DATA_MARZO_2025[[#This Row],[1]:[31]])</f>
        <v>7926</v>
      </c>
      <c r="Q85">
        <v>24000</v>
      </c>
      <c r="R85" t="s">
        <v>39</v>
      </c>
      <c r="W85">
        <v>300</v>
      </c>
      <c r="AB85">
        <v>300</v>
      </c>
      <c r="AF85">
        <v>50</v>
      </c>
      <c r="AI85">
        <v>1155</v>
      </c>
      <c r="AJ85">
        <v>1000</v>
      </c>
      <c r="AL85">
        <v>300</v>
      </c>
      <c r="AM85">
        <v>0</v>
      </c>
      <c r="AP85">
        <v>1381</v>
      </c>
      <c r="AQ85">
        <v>110</v>
      </c>
      <c r="AR85">
        <v>2200</v>
      </c>
      <c r="AS85">
        <v>650</v>
      </c>
      <c r="AT85">
        <v>200</v>
      </c>
      <c r="AW85">
        <v>280</v>
      </c>
      <c r="AX85" t="s">
        <v>151</v>
      </c>
    </row>
  </sheetData>
  <phoneticPr fontId="2" type="noConversion"/>
  <pageMargins left="0.7" right="0.7" top="0.75" bottom="0.75" header="0.3" footer="0.3"/>
  <tableParts count="4">
    <tablePart r:id="rId1"/>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F8C21-15ED-4BE7-B21B-586F188A536D}">
  <dimension ref="A1:CO75"/>
  <sheetViews>
    <sheetView zoomScale="70" zoomScaleNormal="70"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12" customWidth="1"/>
    <col min="7" max="7" width="10.28515625" customWidth="1"/>
    <col min="8" max="8" width="11.140625" bestFit="1" customWidth="1"/>
    <col min="9" max="9" width="27.85546875" bestFit="1" customWidth="1"/>
    <col min="10" max="10" width="14.5703125" bestFit="1" customWidth="1"/>
    <col min="11" max="12" width="27.85546875" customWidth="1"/>
    <col min="13" max="13" width="10" customWidth="1"/>
    <col min="14" max="14" width="12.140625" bestFit="1" customWidth="1"/>
    <col min="15" max="15" width="22.7109375" customWidth="1"/>
    <col min="16" max="16" width="11.42578125" customWidth="1"/>
    <col min="18" max="18" width="26.7109375" bestFit="1" customWidth="1"/>
    <col min="19" max="19" width="6" bestFit="1" customWidth="1"/>
    <col min="20" max="27" width="6.42578125" bestFit="1" customWidth="1"/>
    <col min="28" max="28" width="7.42578125" bestFit="1" customWidth="1"/>
    <col min="29" max="29" width="7.140625" bestFit="1" customWidth="1"/>
    <col min="30" max="37" width="7.42578125" bestFit="1" customWidth="1"/>
    <col min="38" max="38" width="7.85546875" bestFit="1" customWidth="1"/>
    <col min="39" max="39" width="7.42578125" bestFit="1" customWidth="1"/>
    <col min="40" max="48" width="7.85546875" bestFit="1" customWidth="1"/>
    <col min="49" max="49" width="7.42578125"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t="s">
        <v>3</v>
      </c>
      <c r="B3" t="s">
        <v>109</v>
      </c>
      <c r="C3">
        <f>VLOOKUP(D1_ABRIL_2025[[#This Row],[SUPER]],DATA_ABRIL_2025[[SUPERVISOR]:[META]],3,0)</f>
        <v>57000</v>
      </c>
      <c r="D3">
        <f>D1_ABRIL_2025[[#This Row],[RECUPERO]]/D1_ABRIL_2025[[#This Row],[META]]</f>
        <v>0.33740350877192982</v>
      </c>
      <c r="E3" t="s">
        <v>3</v>
      </c>
      <c r="F3" t="s">
        <v>109</v>
      </c>
      <c r="G3">
        <v>19232</v>
      </c>
      <c r="H3" t="s">
        <v>422</v>
      </c>
      <c r="I3" s="55">
        <v>45334</v>
      </c>
      <c r="J3" t="s">
        <v>501</v>
      </c>
      <c r="L3" s="55"/>
      <c r="M3" s="33">
        <v>2025</v>
      </c>
      <c r="N3" s="33" t="s">
        <v>142</v>
      </c>
      <c r="O3" s="33">
        <v>20</v>
      </c>
    </row>
    <row r="4" spans="1:93" x14ac:dyDescent="0.25">
      <c r="A4" t="s">
        <v>3</v>
      </c>
      <c r="B4" t="s">
        <v>53</v>
      </c>
      <c r="C4">
        <f>VLOOKUP(D1_ABRIL_2025[[#This Row],[SUPER]],DATA_ABRIL_2025[[SUPERVISOR]:[META]],3,0)</f>
        <v>57000</v>
      </c>
      <c r="D4">
        <f>D1_ABRIL_2025[[#This Row],[RECUPERO]]/D1_ABRIL_2025[[#This Row],[META]]</f>
        <v>0.33964912280701753</v>
      </c>
      <c r="E4" t="s">
        <v>3</v>
      </c>
      <c r="F4" t="s">
        <v>53</v>
      </c>
      <c r="G4">
        <v>19360</v>
      </c>
      <c r="H4" t="s">
        <v>457</v>
      </c>
      <c r="I4" s="55">
        <v>45727</v>
      </c>
      <c r="J4" t="s">
        <v>501</v>
      </c>
      <c r="L4" s="55"/>
    </row>
    <row r="5" spans="1:93" x14ac:dyDescent="0.25">
      <c r="A5" t="s">
        <v>3</v>
      </c>
      <c r="B5" t="s">
        <v>22</v>
      </c>
      <c r="C5">
        <f>VLOOKUP(D1_ABRIL_2025[[#This Row],[SUPER]],DATA_ABRIL_2025[[SUPERVISOR]:[META]],3,0)</f>
        <v>57000</v>
      </c>
      <c r="D5">
        <f>D1_ABRIL_2025[[#This Row],[RECUPERO]]/D1_ABRIL_2025[[#This Row],[META]]</f>
        <v>1.099661403508772</v>
      </c>
      <c r="E5" t="s">
        <v>3</v>
      </c>
      <c r="F5" t="s">
        <v>22</v>
      </c>
      <c r="G5">
        <v>62680.7</v>
      </c>
      <c r="H5" t="s">
        <v>442</v>
      </c>
      <c r="I5" s="55">
        <v>45299</v>
      </c>
      <c r="J5" t="s">
        <v>501</v>
      </c>
      <c r="L5" s="55"/>
    </row>
    <row r="6" spans="1:93" x14ac:dyDescent="0.25">
      <c r="A6" t="s">
        <v>3</v>
      </c>
      <c r="B6" t="s">
        <v>23</v>
      </c>
      <c r="C6">
        <f>VLOOKUP(D1_ABRIL_2025[[#This Row],[SUPER]],DATA_ABRIL_2025[[SUPERVISOR]:[META]],3,0)</f>
        <v>57000</v>
      </c>
      <c r="D6">
        <f>D1_ABRIL_2025[[#This Row],[RECUPERO]]/D1_ABRIL_2025[[#This Row],[META]]</f>
        <v>1.789719298245614</v>
      </c>
      <c r="E6" t="s">
        <v>3</v>
      </c>
      <c r="F6" t="s">
        <v>23</v>
      </c>
      <c r="G6">
        <v>102014</v>
      </c>
      <c r="H6" t="s">
        <v>445</v>
      </c>
      <c r="I6" s="55">
        <v>44111</v>
      </c>
      <c r="J6" t="s">
        <v>501</v>
      </c>
      <c r="L6" s="55"/>
    </row>
    <row r="7" spans="1:93" x14ac:dyDescent="0.25">
      <c r="A7" t="s">
        <v>3</v>
      </c>
      <c r="B7" t="s">
        <v>25</v>
      </c>
      <c r="C7">
        <f>VLOOKUP(D1_ABRIL_2025[[#This Row],[SUPER]],DATA_ABRIL_2025[[SUPERVISOR]:[META]],3,0)</f>
        <v>57000</v>
      </c>
      <c r="D7">
        <f>D1_ABRIL_2025[[#This Row],[RECUPERO]]/D1_ABRIL_2025[[#This Row],[META]]</f>
        <v>0.80991228070175436</v>
      </c>
      <c r="E7" t="s">
        <v>3</v>
      </c>
      <c r="F7" t="s">
        <v>25</v>
      </c>
      <c r="G7">
        <v>46165</v>
      </c>
      <c r="H7" t="s">
        <v>446</v>
      </c>
      <c r="I7" s="55">
        <v>44820</v>
      </c>
      <c r="J7" t="s">
        <v>501</v>
      </c>
      <c r="L7" s="55"/>
      <c r="CK7" t="s">
        <v>626</v>
      </c>
      <c r="CL7" t="s">
        <v>139</v>
      </c>
      <c r="CM7" t="s">
        <v>140</v>
      </c>
      <c r="CN7" t="s">
        <v>141</v>
      </c>
      <c r="CO7" t="s">
        <v>142</v>
      </c>
    </row>
    <row r="8" spans="1:93" x14ac:dyDescent="0.25">
      <c r="A8" t="s">
        <v>3</v>
      </c>
      <c r="B8" t="s">
        <v>107</v>
      </c>
      <c r="C8">
        <f>VLOOKUP(D1_ABRIL_2025[[#This Row],[SUPER]],DATA_ABRIL_2025[[SUPERVISOR]:[META]],3,0)</f>
        <v>57000</v>
      </c>
      <c r="D8">
        <f>D1_ABRIL_2025[[#This Row],[RECUPERO]]/D1_ABRIL_2025[[#This Row],[META]]</f>
        <v>0.26163157894736844</v>
      </c>
      <c r="E8" t="s">
        <v>3</v>
      </c>
      <c r="F8" t="s">
        <v>107</v>
      </c>
      <c r="G8">
        <v>14913</v>
      </c>
      <c r="H8" t="s">
        <v>458</v>
      </c>
      <c r="I8" s="55">
        <v>45727</v>
      </c>
      <c r="J8" t="s">
        <v>501</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103</v>
      </c>
      <c r="C9">
        <f>VLOOKUP(D1_ABRIL_2025[[#This Row],[SUPER]],DATA_ABRIL_2025[[SUPERVISOR]:[META]],3,0)</f>
        <v>57000</v>
      </c>
      <c r="D9">
        <f>D1_ABRIL_2025[[#This Row],[RECUPERO]]/D1_ABRIL_2025[[#This Row],[META]]</f>
        <v>0.31157894736842107</v>
      </c>
      <c r="E9" t="s">
        <v>3</v>
      </c>
      <c r="F9" t="s">
        <v>103</v>
      </c>
      <c r="G9">
        <v>17760</v>
      </c>
      <c r="H9" t="s">
        <v>419</v>
      </c>
      <c r="I9" s="55">
        <v>45451</v>
      </c>
      <c r="J9" t="s">
        <v>501</v>
      </c>
      <c r="L9" s="55"/>
      <c r="M9" s="1">
        <f>DATA_ABRIL_2025[[#This Row],[RECUPERO]]/DATA_ABRIL_2025[[#This Row],[META]]</f>
        <v>0.30588461538461537</v>
      </c>
      <c r="N9">
        <f>6-ROUNDUP(_xlfn.RANK.EQ(DATA_ABRIL_2025[[#This Row],[AL_AC]],DATA_ABRIL_2025[AL_AC],0)/(COUNTA(DATA_ABRIL_2025[AL_AC])/5),0)</f>
        <v>2</v>
      </c>
      <c r="O9" t="s">
        <v>6</v>
      </c>
      <c r="P9">
        <f>SUM(DATA_ABRIL_2025[[#This Row],[1]:[31]])</f>
        <v>7953</v>
      </c>
      <c r="Q9">
        <v>26000</v>
      </c>
      <c r="R9" t="s">
        <v>18</v>
      </c>
      <c r="Y9">
        <v>2112</v>
      </c>
      <c r="Z9">
        <v>250</v>
      </c>
      <c r="AA9">
        <v>187</v>
      </c>
      <c r="AB9">
        <v>100</v>
      </c>
      <c r="AC9">
        <v>2100</v>
      </c>
      <c r="AF9">
        <v>626</v>
      </c>
      <c r="AG9">
        <v>500</v>
      </c>
      <c r="AH9">
        <v>500</v>
      </c>
      <c r="AO9">
        <v>300</v>
      </c>
      <c r="AP9">
        <v>100</v>
      </c>
      <c r="AV9">
        <v>1178</v>
      </c>
      <c r="AX9" t="s">
        <v>152</v>
      </c>
      <c r="AZ9">
        <v>171900</v>
      </c>
      <c r="BA9" s="11">
        <f>MAX(DITE_ABRIL_2025[[#This Row],[1]:[31]])</f>
        <v>108935.8</v>
      </c>
      <c r="BB9" s="17">
        <f>BA9/DITE_ABRIL_2025[[#This Row],[META SUPER]]</f>
        <v>0.63371611401977901</v>
      </c>
      <c r="BC9" t="s">
        <v>8</v>
      </c>
      <c r="BD9">
        <v>2602</v>
      </c>
      <c r="BE9">
        <v>4242</v>
      </c>
      <c r="BF9">
        <v>6612</v>
      </c>
      <c r="BG9">
        <v>14048</v>
      </c>
      <c r="BH9">
        <v>14554</v>
      </c>
      <c r="BI9">
        <v>14554</v>
      </c>
      <c r="BJ9">
        <v>18554</v>
      </c>
      <c r="BK9">
        <v>19304</v>
      </c>
      <c r="BL9">
        <v>20486</v>
      </c>
      <c r="BM9">
        <v>27686</v>
      </c>
      <c r="BN9">
        <v>34297</v>
      </c>
      <c r="BO9">
        <v>34797</v>
      </c>
      <c r="BP9">
        <v>34797</v>
      </c>
      <c r="BQ9">
        <v>37777</v>
      </c>
      <c r="BR9">
        <v>42687</v>
      </c>
      <c r="BS9">
        <v>48027</v>
      </c>
      <c r="BT9">
        <v>48027</v>
      </c>
      <c r="BU9">
        <v>48027</v>
      </c>
      <c r="BV9">
        <v>48027</v>
      </c>
      <c r="BW9">
        <v>48227</v>
      </c>
      <c r="BX9">
        <v>71509</v>
      </c>
      <c r="BY9">
        <v>72309</v>
      </c>
      <c r="BZ9">
        <v>73050</v>
      </c>
      <c r="CA9">
        <v>75510</v>
      </c>
      <c r="CB9">
        <v>76822</v>
      </c>
      <c r="CC9">
        <v>78752</v>
      </c>
      <c r="CD9">
        <v>78952</v>
      </c>
      <c r="CE9">
        <v>88870</v>
      </c>
      <c r="CF9">
        <v>98585</v>
      </c>
      <c r="CG9">
        <v>108935.8</v>
      </c>
      <c r="CH9">
        <v>108935.8</v>
      </c>
      <c r="CI9" s="11" t="s">
        <v>153</v>
      </c>
      <c r="CK9" t="s">
        <v>8</v>
      </c>
      <c r="CL9" t="s">
        <v>115</v>
      </c>
      <c r="CM9" t="s">
        <v>115</v>
      </c>
      <c r="CN9" t="s">
        <v>115</v>
      </c>
      <c r="CO9" t="s">
        <v>8</v>
      </c>
    </row>
    <row r="10" spans="1:93" x14ac:dyDescent="0.25">
      <c r="A10" t="s">
        <v>3</v>
      </c>
      <c r="B10" t="s">
        <v>76</v>
      </c>
      <c r="C10">
        <f>VLOOKUP(D1_ABRIL_2025[[#This Row],[SUPER]],DATA_ABRIL_2025[[SUPERVISOR]:[META]],3,0)</f>
        <v>57000</v>
      </c>
      <c r="D10">
        <f>D1_ABRIL_2025[[#This Row],[RECUPERO]]/D1_ABRIL_2025[[#This Row],[META]]</f>
        <v>1.1149491228070174</v>
      </c>
      <c r="E10" t="s">
        <v>3</v>
      </c>
      <c r="F10" t="s">
        <v>76</v>
      </c>
      <c r="G10">
        <v>63552.1</v>
      </c>
      <c r="H10" t="s">
        <v>408</v>
      </c>
      <c r="I10" s="55">
        <v>44819</v>
      </c>
      <c r="J10" t="s">
        <v>501</v>
      </c>
      <c r="L10" s="55"/>
      <c r="M10" s="1">
        <f>DATA_ABRIL_2025[[#This Row],[RECUPERO]]/DATA_ABRIL_2025[[#This Row],[META]]</f>
        <v>0.86478536585365851</v>
      </c>
      <c r="N10">
        <f>6-ROUNDUP(_xlfn.RANK.EQ(DATA_ABRIL_2025[[#This Row],[AL_AC]],DATA_ABRIL_2025[AL_AC],0)/(COUNTA(DATA_ABRIL_2025[AL_AC])/5),0)</f>
        <v>5</v>
      </c>
      <c r="O10" t="s">
        <v>125</v>
      </c>
      <c r="P10">
        <f>SUM(DATA_ABRIL_2025[[#This Row],[1]:[31]])</f>
        <v>17728.099999999999</v>
      </c>
      <c r="Q10">
        <v>20500</v>
      </c>
      <c r="R10" t="s">
        <v>21</v>
      </c>
      <c r="T10">
        <v>500</v>
      </c>
      <c r="U10">
        <v>200</v>
      </c>
      <c r="V10">
        <v>2300.1</v>
      </c>
      <c r="Y10">
        <v>950</v>
      </c>
      <c r="Z10">
        <v>228</v>
      </c>
      <c r="AA10">
        <v>4000</v>
      </c>
      <c r="AB10">
        <v>350</v>
      </c>
      <c r="AC10">
        <v>3800</v>
      </c>
      <c r="AO10">
        <v>200</v>
      </c>
      <c r="AP10">
        <v>2300</v>
      </c>
      <c r="AQ10">
        <v>700</v>
      </c>
      <c r="AT10">
        <v>300</v>
      </c>
      <c r="AU10">
        <v>1700</v>
      </c>
      <c r="AV10">
        <v>200</v>
      </c>
      <c r="AX10" t="s">
        <v>153</v>
      </c>
      <c r="AZ10">
        <v>171900</v>
      </c>
      <c r="BA10" s="11">
        <f>MAX(DITE_ABRIL_2025[[#This Row],[1]:[31]])</f>
        <v>70751.8</v>
      </c>
      <c r="BB10" s="17">
        <f>BA10/DITE_ABRIL_2025[[#This Row],[META SUPER]]</f>
        <v>0.41158696916812104</v>
      </c>
      <c r="BC10" t="s">
        <v>124</v>
      </c>
      <c r="BD10">
        <v>2900</v>
      </c>
      <c r="BE10">
        <v>5400</v>
      </c>
      <c r="BF10">
        <v>7719</v>
      </c>
      <c r="BG10">
        <v>11333</v>
      </c>
      <c r="BH10">
        <v>11333</v>
      </c>
      <c r="BI10">
        <v>11638</v>
      </c>
      <c r="BJ10">
        <v>14259</v>
      </c>
      <c r="BK10">
        <v>15336</v>
      </c>
      <c r="BL10">
        <v>16846</v>
      </c>
      <c r="BM10">
        <v>20681</v>
      </c>
      <c r="BN10">
        <v>23381</v>
      </c>
      <c r="BO10">
        <v>23481</v>
      </c>
      <c r="BP10">
        <v>23481</v>
      </c>
      <c r="BQ10">
        <v>29026</v>
      </c>
      <c r="BR10">
        <v>34626</v>
      </c>
      <c r="BS10">
        <v>36201.300000000003</v>
      </c>
      <c r="BT10">
        <v>36201.300000000003</v>
      </c>
      <c r="BU10">
        <v>36418.300000000003</v>
      </c>
      <c r="BV10">
        <v>36418.300000000003</v>
      </c>
      <c r="BW10">
        <v>36418.300000000003</v>
      </c>
      <c r="BX10">
        <v>37640.300000000003</v>
      </c>
      <c r="BY10">
        <v>40598.300000000003</v>
      </c>
      <c r="BZ10">
        <v>41158.300000000003</v>
      </c>
      <c r="CA10">
        <v>44428.3</v>
      </c>
      <c r="CB10">
        <v>45648.3</v>
      </c>
      <c r="CC10">
        <v>46286.3</v>
      </c>
      <c r="CD10">
        <v>46486.3</v>
      </c>
      <c r="CE10">
        <v>47853.3</v>
      </c>
      <c r="CF10">
        <v>56830.8</v>
      </c>
      <c r="CG10">
        <v>70751.8</v>
      </c>
      <c r="CH10">
        <v>70751.8</v>
      </c>
      <c r="CI10" s="11" t="s">
        <v>153</v>
      </c>
      <c r="CK10" t="s">
        <v>125</v>
      </c>
      <c r="CL10" t="s">
        <v>115</v>
      </c>
      <c r="CM10" t="s">
        <v>115</v>
      </c>
      <c r="CN10" t="s">
        <v>115</v>
      </c>
      <c r="CO10" t="s">
        <v>125</v>
      </c>
    </row>
    <row r="11" spans="1:93" x14ac:dyDescent="0.25">
      <c r="A11" t="s">
        <v>9</v>
      </c>
      <c r="B11" t="s">
        <v>130</v>
      </c>
      <c r="C11">
        <f>VLOOKUP(D1_ABRIL_2025[[#This Row],[SUPER]],DATA_ABRIL_2025[[SUPERVISOR]:[META]],3,0)</f>
        <v>57000</v>
      </c>
      <c r="D11">
        <f>D1_ABRIL_2025[[#This Row],[RECUPERO]]/D1_ABRIL_2025[[#This Row],[META]]</f>
        <v>0</v>
      </c>
      <c r="E11" t="s">
        <v>9</v>
      </c>
      <c r="F11" t="s">
        <v>130</v>
      </c>
      <c r="G11">
        <v>0</v>
      </c>
      <c r="H11" t="s">
        <v>462</v>
      </c>
      <c r="I11" s="55">
        <v>45775</v>
      </c>
      <c r="J11" t="s">
        <v>501</v>
      </c>
      <c r="L11" s="55"/>
      <c r="M11" s="1">
        <f>DATA_ABRIL_2025[[#This Row],[RECUPERO]]/DATA_ABRIL_2025[[#This Row],[META]]</f>
        <v>0.7205789473684211</v>
      </c>
      <c r="N11">
        <f>6-ROUNDUP(_xlfn.RANK.EQ(DATA_ABRIL_2025[[#This Row],[AL_AC]],DATA_ABRIL_2025[AL_AC],0)/(COUNTA(DATA_ABRIL_2025[AL_AC])/5),0)</f>
        <v>4</v>
      </c>
      <c r="O11" t="s">
        <v>5</v>
      </c>
      <c r="P11">
        <f>SUM(DATA_ABRIL_2025[[#This Row],[1]:[31]])</f>
        <v>41073</v>
      </c>
      <c r="Q11">
        <v>57000</v>
      </c>
      <c r="R11" t="s">
        <v>58</v>
      </c>
      <c r="T11">
        <v>1687</v>
      </c>
      <c r="V11">
        <v>8500</v>
      </c>
      <c r="Z11">
        <v>400</v>
      </c>
      <c r="AB11">
        <v>873</v>
      </c>
      <c r="AF11">
        <v>5100</v>
      </c>
      <c r="AG11">
        <v>2000</v>
      </c>
      <c r="AH11">
        <v>240</v>
      </c>
      <c r="AM11">
        <v>300</v>
      </c>
      <c r="AO11">
        <v>2500</v>
      </c>
      <c r="AP11">
        <v>50</v>
      </c>
      <c r="AQ11">
        <v>3000</v>
      </c>
      <c r="AT11">
        <v>1500</v>
      </c>
      <c r="AU11">
        <v>12873</v>
      </c>
      <c r="AV11">
        <v>2050</v>
      </c>
      <c r="AX11" t="s">
        <v>150</v>
      </c>
      <c r="AZ11">
        <v>171900</v>
      </c>
      <c r="BA11" s="11">
        <f>MAX(DITE_ABRIL_2025[[#This Row],[1]:[31]])</f>
        <v>87182.6</v>
      </c>
      <c r="BB11" s="17">
        <f>BA11/DITE_ABRIL_2025[[#This Row],[META SUPER]]</f>
        <v>0.50717044793484589</v>
      </c>
      <c r="BC11" t="s">
        <v>125</v>
      </c>
      <c r="BD11">
        <v>3998</v>
      </c>
      <c r="BE11">
        <v>6198</v>
      </c>
      <c r="BF11">
        <v>8298</v>
      </c>
      <c r="BG11">
        <v>13369.1</v>
      </c>
      <c r="BH11">
        <v>13419.1</v>
      </c>
      <c r="BI11">
        <v>13419.1</v>
      </c>
      <c r="BJ11">
        <v>24799.1</v>
      </c>
      <c r="BK11">
        <v>25877.1</v>
      </c>
      <c r="BL11">
        <v>35077.1</v>
      </c>
      <c r="BM11">
        <v>37927.1</v>
      </c>
      <c r="BN11">
        <v>41927.1</v>
      </c>
      <c r="BO11">
        <v>41927.1</v>
      </c>
      <c r="BP11">
        <v>41927.1</v>
      </c>
      <c r="BQ11">
        <v>44444.1</v>
      </c>
      <c r="BR11">
        <v>47621.599999999999</v>
      </c>
      <c r="BS11">
        <v>48567.6</v>
      </c>
      <c r="BT11">
        <v>48567.6</v>
      </c>
      <c r="BU11">
        <v>48717.599999999999</v>
      </c>
      <c r="BV11">
        <v>48717.599999999999</v>
      </c>
      <c r="BW11">
        <v>48717.599999999999</v>
      </c>
      <c r="BX11">
        <v>52247.6</v>
      </c>
      <c r="BY11">
        <v>56467.6</v>
      </c>
      <c r="BZ11">
        <v>58567.6</v>
      </c>
      <c r="CA11">
        <v>62767.6</v>
      </c>
      <c r="CB11">
        <v>63648.6</v>
      </c>
      <c r="CC11">
        <v>64098.6</v>
      </c>
      <c r="CD11">
        <v>64098.6</v>
      </c>
      <c r="CE11">
        <v>68328.600000000006</v>
      </c>
      <c r="CF11">
        <v>75571.600000000006</v>
      </c>
      <c r="CG11">
        <v>87182.6</v>
      </c>
      <c r="CH11">
        <v>87182.6</v>
      </c>
      <c r="CI11" s="11" t="s">
        <v>153</v>
      </c>
      <c r="CK11" t="s">
        <v>5</v>
      </c>
      <c r="CL11" t="s">
        <v>5</v>
      </c>
      <c r="CM11" t="s">
        <v>5</v>
      </c>
      <c r="CN11" t="s">
        <v>5</v>
      </c>
      <c r="CO11" t="s">
        <v>5</v>
      </c>
    </row>
    <row r="12" spans="1:93" x14ac:dyDescent="0.25">
      <c r="A12" t="s">
        <v>9</v>
      </c>
      <c r="B12" t="s">
        <v>57</v>
      </c>
      <c r="C12">
        <f>VLOOKUP(D1_ABRIL_2025[[#This Row],[SUPER]],DATA_ABRIL_2025[[SUPERVISOR]:[META]],3,0)</f>
        <v>57000</v>
      </c>
      <c r="D12">
        <f>D1_ABRIL_2025[[#This Row],[RECUPERO]]/D1_ABRIL_2025[[#This Row],[META]]</f>
        <v>0.3453684210526316</v>
      </c>
      <c r="E12" t="s">
        <v>9</v>
      </c>
      <c r="F12" t="s">
        <v>57</v>
      </c>
      <c r="G12">
        <v>19686</v>
      </c>
      <c r="H12" t="s">
        <v>443</v>
      </c>
      <c r="I12" s="55">
        <v>45590</v>
      </c>
      <c r="J12" t="s">
        <v>501</v>
      </c>
      <c r="L12" s="55"/>
      <c r="M12" s="1">
        <f>DATA_ABRIL_2025[[#This Row],[RECUPERO]]/DATA_ABRIL_2025[[#This Row],[META]]</f>
        <v>0.33740350877192982</v>
      </c>
      <c r="N12">
        <f>6-ROUNDUP(_xlfn.RANK.EQ(DATA_ABRIL_2025[[#This Row],[AL_AC]],DATA_ABRIL_2025[AL_AC],0)/(COUNTA(DATA_ABRIL_2025[AL_AC])/5),0)</f>
        <v>2</v>
      </c>
      <c r="O12" t="s">
        <v>3</v>
      </c>
      <c r="P12">
        <f>SUM(DATA_ABRIL_2025[[#This Row],[1]:[31]])</f>
        <v>19232</v>
      </c>
      <c r="Q12">
        <v>57000</v>
      </c>
      <c r="R12" t="s">
        <v>109</v>
      </c>
      <c r="AG12">
        <v>770</v>
      </c>
      <c r="AM12">
        <v>362</v>
      </c>
      <c r="AN12">
        <v>3100</v>
      </c>
      <c r="AQ12">
        <v>8000</v>
      </c>
      <c r="AV12">
        <v>7000</v>
      </c>
      <c r="AX12" t="s">
        <v>150</v>
      </c>
      <c r="AZ12">
        <v>437325</v>
      </c>
      <c r="BA12" s="11">
        <f>MAX(DITE_ABRIL_2025[[#This Row],[1]:[31]])</f>
        <v>321643.17000000004</v>
      </c>
      <c r="BB12" s="17">
        <f>BA12/DITE_ABRIL_2025[[#This Row],[META SUPER]]</f>
        <v>0.73547858000343003</v>
      </c>
      <c r="BC12" t="s">
        <v>5</v>
      </c>
      <c r="BD12">
        <v>2662</v>
      </c>
      <c r="BE12">
        <v>6315</v>
      </c>
      <c r="BF12">
        <v>11590</v>
      </c>
      <c r="BG12">
        <v>20690</v>
      </c>
      <c r="BH12">
        <v>20690</v>
      </c>
      <c r="BI12">
        <v>21340</v>
      </c>
      <c r="BJ12">
        <v>26785</v>
      </c>
      <c r="BK12">
        <v>28863</v>
      </c>
      <c r="BL12">
        <v>39863</v>
      </c>
      <c r="BM12">
        <v>64560</v>
      </c>
      <c r="BN12">
        <v>96735</v>
      </c>
      <c r="BO12">
        <v>107335</v>
      </c>
      <c r="BP12">
        <v>107344.97</v>
      </c>
      <c r="BQ12">
        <v>127528.97</v>
      </c>
      <c r="BR12">
        <v>131431.97</v>
      </c>
      <c r="BS12">
        <v>149084.97</v>
      </c>
      <c r="BT12">
        <v>149084.97</v>
      </c>
      <c r="BU12">
        <v>149379.97</v>
      </c>
      <c r="BV12">
        <v>149379.97</v>
      </c>
      <c r="BW12">
        <v>149379.97</v>
      </c>
      <c r="BX12">
        <v>164305.17000000001</v>
      </c>
      <c r="BY12">
        <v>178243.17</v>
      </c>
      <c r="BZ12">
        <v>189050.17</v>
      </c>
      <c r="CA12">
        <v>197600.17</v>
      </c>
      <c r="CB12">
        <v>228530.17</v>
      </c>
      <c r="CC12">
        <v>232320.17</v>
      </c>
      <c r="CD12">
        <v>232320.17</v>
      </c>
      <c r="CE12">
        <v>247429.17</v>
      </c>
      <c r="CF12">
        <v>285865.17000000004</v>
      </c>
      <c r="CG12">
        <v>321643.17000000004</v>
      </c>
      <c r="CH12">
        <v>321643.17000000004</v>
      </c>
      <c r="CI12" s="11" t="s">
        <v>150</v>
      </c>
      <c r="CK12" t="s">
        <v>2</v>
      </c>
      <c r="CL12" t="s">
        <v>2</v>
      </c>
      <c r="CM12" t="s">
        <v>2</v>
      </c>
      <c r="CN12" t="s">
        <v>2</v>
      </c>
      <c r="CO12" t="s">
        <v>2</v>
      </c>
    </row>
    <row r="13" spans="1:93" x14ac:dyDescent="0.25">
      <c r="A13" t="s">
        <v>9</v>
      </c>
      <c r="B13" t="s">
        <v>65</v>
      </c>
      <c r="C13">
        <f>VLOOKUP(D1_ABRIL_2025[[#This Row],[SUPER]],DATA_ABRIL_2025[[SUPERVISOR]:[META]],3,0)</f>
        <v>57000</v>
      </c>
      <c r="D13">
        <f>D1_ABRIL_2025[[#This Row],[RECUPERO]]/D1_ABRIL_2025[[#This Row],[META]]</f>
        <v>0.31111403508771929</v>
      </c>
      <c r="E13" t="s">
        <v>9</v>
      </c>
      <c r="F13" t="s">
        <v>65</v>
      </c>
      <c r="G13">
        <v>17733.5</v>
      </c>
      <c r="H13" t="s">
        <v>438</v>
      </c>
      <c r="I13" s="55">
        <v>45021</v>
      </c>
      <c r="J13" t="s">
        <v>501</v>
      </c>
      <c r="L13" s="55"/>
      <c r="M13" s="1">
        <f>DATA_ABRIL_2025[[#This Row],[RECUPERO]]/DATA_ABRIL_2025[[#This Row],[META]]</f>
        <v>0.86068292682926828</v>
      </c>
      <c r="N13">
        <f>6-ROUNDUP(_xlfn.RANK.EQ(DATA_ABRIL_2025[[#This Row],[AL_AC]],DATA_ABRIL_2025[AL_AC],0)/(COUNTA(DATA_ABRIL_2025[AL_AC])/5),0)</f>
        <v>4</v>
      </c>
      <c r="O13" t="s">
        <v>125</v>
      </c>
      <c r="P13">
        <f>SUM(DATA_ABRIL_2025[[#This Row],[1]:[31]])</f>
        <v>17644</v>
      </c>
      <c r="Q13">
        <v>20500</v>
      </c>
      <c r="R13" t="s">
        <v>15</v>
      </c>
      <c r="S13">
        <v>1000</v>
      </c>
      <c r="Y13">
        <v>8000</v>
      </c>
      <c r="AA13">
        <v>950</v>
      </c>
      <c r="AB13">
        <v>550</v>
      </c>
      <c r="AF13">
        <v>497</v>
      </c>
      <c r="AG13">
        <v>500</v>
      </c>
      <c r="AM13">
        <v>1650</v>
      </c>
      <c r="AN13">
        <v>200</v>
      </c>
      <c r="AO13">
        <v>200</v>
      </c>
      <c r="AP13">
        <v>500</v>
      </c>
      <c r="AT13">
        <v>450</v>
      </c>
      <c r="AU13">
        <v>2847</v>
      </c>
      <c r="AV13">
        <v>300</v>
      </c>
      <c r="AX13" t="s">
        <v>153</v>
      </c>
      <c r="AZ13">
        <v>437325</v>
      </c>
      <c r="BA13" s="11">
        <f>MAX(DITE_ABRIL_2025[[#This Row],[1]:[31]])</f>
        <v>284381.75</v>
      </c>
      <c r="BB13" s="17">
        <f>BA13/DITE_ABRIL_2025[[#This Row],[META SUPER]]</f>
        <v>0.65027553878694333</v>
      </c>
      <c r="BC13" t="s">
        <v>2</v>
      </c>
      <c r="BD13">
        <v>3370</v>
      </c>
      <c r="BE13">
        <v>17470</v>
      </c>
      <c r="BF13">
        <v>25291</v>
      </c>
      <c r="BG13">
        <v>30709</v>
      </c>
      <c r="BH13">
        <v>32571</v>
      </c>
      <c r="BI13">
        <v>32571</v>
      </c>
      <c r="BJ13">
        <v>47594</v>
      </c>
      <c r="BK13">
        <v>85094</v>
      </c>
      <c r="BL13">
        <v>104099</v>
      </c>
      <c r="BM13">
        <v>122199</v>
      </c>
      <c r="BN13">
        <v>124299</v>
      </c>
      <c r="BO13">
        <v>125599</v>
      </c>
      <c r="BP13">
        <v>125599</v>
      </c>
      <c r="BQ13">
        <v>136098</v>
      </c>
      <c r="BR13">
        <v>143598</v>
      </c>
      <c r="BS13">
        <v>163590</v>
      </c>
      <c r="BT13">
        <v>164390</v>
      </c>
      <c r="BU13">
        <v>165590</v>
      </c>
      <c r="BV13">
        <v>165923</v>
      </c>
      <c r="BW13">
        <v>165923</v>
      </c>
      <c r="BX13">
        <v>178941</v>
      </c>
      <c r="BY13">
        <v>185907</v>
      </c>
      <c r="BZ13">
        <v>192557</v>
      </c>
      <c r="CA13">
        <v>197930</v>
      </c>
      <c r="CB13">
        <v>214749.75</v>
      </c>
      <c r="CC13">
        <v>218749.75</v>
      </c>
      <c r="CD13">
        <v>218749.75</v>
      </c>
      <c r="CE13">
        <v>235152.75</v>
      </c>
      <c r="CF13">
        <v>256611.75</v>
      </c>
      <c r="CG13">
        <v>284381.75</v>
      </c>
      <c r="CH13">
        <v>284381.75</v>
      </c>
      <c r="CI13" s="11" t="s">
        <v>150</v>
      </c>
      <c r="CK13" t="s">
        <v>6</v>
      </c>
      <c r="CL13" t="s">
        <v>6</v>
      </c>
      <c r="CM13" t="s">
        <v>6</v>
      </c>
      <c r="CN13" t="s">
        <v>6</v>
      </c>
      <c r="CO13" t="s">
        <v>6</v>
      </c>
    </row>
    <row r="14" spans="1:93" x14ac:dyDescent="0.25">
      <c r="A14" t="s">
        <v>9</v>
      </c>
      <c r="B14" t="s">
        <v>75</v>
      </c>
      <c r="C14">
        <f>VLOOKUP(D1_ABRIL_2025[[#This Row],[SUPER]],DATA_ABRIL_2025[[SUPERVISOR]:[META]],3,0)</f>
        <v>57000</v>
      </c>
      <c r="D14">
        <f>D1_ABRIL_2025[[#This Row],[RECUPERO]]/D1_ABRIL_2025[[#This Row],[META]]</f>
        <v>1.6714210526315789</v>
      </c>
      <c r="E14" t="s">
        <v>9</v>
      </c>
      <c r="F14" t="s">
        <v>75</v>
      </c>
      <c r="G14">
        <v>95271</v>
      </c>
      <c r="H14" t="s">
        <v>428</v>
      </c>
      <c r="I14" s="55">
        <v>44716</v>
      </c>
      <c r="J14" t="s">
        <v>501</v>
      </c>
      <c r="L14" s="55"/>
      <c r="M14" s="1">
        <f>DATA_ABRIL_2025[[#This Row],[RECUPERO]]/DATA_ABRIL_2025[[#This Row],[META]]</f>
        <v>0.46071929824561403</v>
      </c>
      <c r="N14">
        <f>6-ROUNDUP(_xlfn.RANK.EQ(DATA_ABRIL_2025[[#This Row],[AL_AC]],DATA_ABRIL_2025[AL_AC],0)/(COUNTA(DATA_ABRIL_2025[AL_AC])/5),0)</f>
        <v>3</v>
      </c>
      <c r="O14" t="s">
        <v>5</v>
      </c>
      <c r="P14">
        <f>SUM(DATA_ABRIL_2025[[#This Row],[1]:[31]])</f>
        <v>26261</v>
      </c>
      <c r="Q14">
        <v>57000</v>
      </c>
      <c r="R14" t="s">
        <v>85</v>
      </c>
      <c r="S14">
        <v>635</v>
      </c>
      <c r="X14">
        <v>650</v>
      </c>
      <c r="Y14">
        <v>440</v>
      </c>
      <c r="AC14">
        <v>15000</v>
      </c>
      <c r="AF14">
        <v>265</v>
      </c>
      <c r="AG14">
        <v>282</v>
      </c>
      <c r="AH14">
        <v>600</v>
      </c>
      <c r="AM14">
        <v>2600</v>
      </c>
      <c r="AN14">
        <v>1313</v>
      </c>
      <c r="AR14">
        <v>1280</v>
      </c>
      <c r="AT14">
        <v>982</v>
      </c>
      <c r="AU14">
        <v>530</v>
      </c>
      <c r="AV14">
        <v>1684</v>
      </c>
      <c r="AX14" t="s">
        <v>150</v>
      </c>
      <c r="AZ14">
        <v>257600</v>
      </c>
      <c r="BA14" s="11">
        <f>MAX(DITE_ABRIL_2025[[#This Row],[1]:[31]])</f>
        <v>128873.11</v>
      </c>
      <c r="BB14" s="17">
        <f>BA14/DITE_ABRIL_2025[[#This Row],[META SUPER]]</f>
        <v>0.50028381211180128</v>
      </c>
      <c r="BC14" t="s">
        <v>6</v>
      </c>
      <c r="BD14">
        <v>600</v>
      </c>
      <c r="BE14">
        <v>5500</v>
      </c>
      <c r="BF14">
        <v>6220</v>
      </c>
      <c r="BG14">
        <v>7586</v>
      </c>
      <c r="BH14">
        <v>8586</v>
      </c>
      <c r="BI14">
        <v>8586</v>
      </c>
      <c r="BJ14">
        <v>11868</v>
      </c>
      <c r="BK14">
        <v>20541</v>
      </c>
      <c r="BL14">
        <v>20728</v>
      </c>
      <c r="BM14">
        <v>29833</v>
      </c>
      <c r="BN14">
        <v>36523</v>
      </c>
      <c r="BO14">
        <v>36523</v>
      </c>
      <c r="BP14">
        <v>36923</v>
      </c>
      <c r="BQ14">
        <v>44249</v>
      </c>
      <c r="BR14">
        <v>51318</v>
      </c>
      <c r="BS14">
        <v>72129.11</v>
      </c>
      <c r="BT14">
        <v>72129.11</v>
      </c>
      <c r="BU14">
        <v>72379.11</v>
      </c>
      <c r="BV14">
        <v>72379.11</v>
      </c>
      <c r="BW14">
        <v>72379.11</v>
      </c>
      <c r="BX14">
        <v>88079.11</v>
      </c>
      <c r="BY14">
        <v>93780.11</v>
      </c>
      <c r="BZ14">
        <v>94230.11</v>
      </c>
      <c r="CA14">
        <v>99170.11</v>
      </c>
      <c r="CB14">
        <v>99295.11</v>
      </c>
      <c r="CC14">
        <v>99795.11</v>
      </c>
      <c r="CD14">
        <v>99795.11</v>
      </c>
      <c r="CE14">
        <v>109425.11</v>
      </c>
      <c r="CF14">
        <v>120175.11</v>
      </c>
      <c r="CG14">
        <v>128873.11</v>
      </c>
      <c r="CH14">
        <v>128873.11</v>
      </c>
      <c r="CI14" s="11" t="s">
        <v>152</v>
      </c>
      <c r="CK14" t="s">
        <v>9</v>
      </c>
      <c r="CL14" t="s">
        <v>9</v>
      </c>
      <c r="CM14" t="s">
        <v>9</v>
      </c>
      <c r="CN14" t="s">
        <v>9</v>
      </c>
      <c r="CO14" t="s">
        <v>9</v>
      </c>
    </row>
    <row r="15" spans="1:93" x14ac:dyDescent="0.25">
      <c r="A15" t="s">
        <v>9</v>
      </c>
      <c r="B15" t="s">
        <v>62</v>
      </c>
      <c r="C15">
        <f>VLOOKUP(D1_ABRIL_2025[[#This Row],[SUPER]],DATA_ABRIL_2025[[SUPERVISOR]:[META]],3,0)</f>
        <v>57000</v>
      </c>
      <c r="D15">
        <f>D1_ABRIL_2025[[#This Row],[RECUPERO]]/D1_ABRIL_2025[[#This Row],[META]]</f>
        <v>0.52330508771929829</v>
      </c>
      <c r="E15" t="s">
        <v>9</v>
      </c>
      <c r="F15" t="s">
        <v>62</v>
      </c>
      <c r="G15">
        <v>29828.39</v>
      </c>
      <c r="H15" t="s">
        <v>386</v>
      </c>
      <c r="I15" s="55">
        <v>45334</v>
      </c>
      <c r="J15" t="s">
        <v>501</v>
      </c>
      <c r="L15" s="55"/>
      <c r="M15" s="1">
        <f>DATA_ABRIL_2025[[#This Row],[RECUPERO]]/DATA_ABRIL_2025[[#This Row],[META]]</f>
        <v>0.99017894736842105</v>
      </c>
      <c r="N15">
        <f>6-ROUNDUP(_xlfn.RANK.EQ(DATA_ABRIL_2025[[#This Row],[AL_AC]],DATA_ABRIL_2025[AL_AC],0)/(COUNTA(DATA_ABRIL_2025[AL_AC])/5),0)</f>
        <v>5</v>
      </c>
      <c r="O15" t="s">
        <v>5</v>
      </c>
      <c r="P15">
        <f>SUM(DATA_ABRIL_2025[[#This Row],[1]:[31]])</f>
        <v>56440.2</v>
      </c>
      <c r="Q15">
        <v>57000</v>
      </c>
      <c r="R15" t="s">
        <v>67</v>
      </c>
      <c r="U15">
        <v>2935</v>
      </c>
      <c r="V15">
        <v>600</v>
      </c>
      <c r="Z15">
        <v>686</v>
      </c>
      <c r="AB15">
        <v>1624</v>
      </c>
      <c r="AC15">
        <v>1000</v>
      </c>
      <c r="AD15">
        <v>600</v>
      </c>
      <c r="AF15">
        <v>1200</v>
      </c>
      <c r="AH15">
        <v>290</v>
      </c>
      <c r="AM15">
        <v>8625.2000000000007</v>
      </c>
      <c r="AP15">
        <v>5200</v>
      </c>
      <c r="AQ15">
        <v>4600</v>
      </c>
      <c r="AR15">
        <v>2510</v>
      </c>
      <c r="AT15">
        <v>600</v>
      </c>
      <c r="AU15">
        <v>15500</v>
      </c>
      <c r="AV15">
        <v>10470</v>
      </c>
      <c r="AX15" t="s">
        <v>150</v>
      </c>
      <c r="AZ15">
        <v>437325</v>
      </c>
      <c r="BA15" s="11">
        <f>MAX(DITE_ABRIL_2025[[#This Row],[1]:[31]])</f>
        <v>313221.33999999997</v>
      </c>
      <c r="BB15" s="17">
        <f>BA15/DITE_ABRIL_2025[[#This Row],[META SUPER]]</f>
        <v>0.71622097982049959</v>
      </c>
      <c r="BC15" t="s">
        <v>9</v>
      </c>
      <c r="BD15">
        <v>4177</v>
      </c>
      <c r="BE15">
        <v>13216.939999999999</v>
      </c>
      <c r="BF15">
        <v>101074.94</v>
      </c>
      <c r="BG15">
        <v>102880.44</v>
      </c>
      <c r="BH15">
        <v>102880.44</v>
      </c>
      <c r="BI15">
        <v>103610.44</v>
      </c>
      <c r="BJ15">
        <v>105742.44</v>
      </c>
      <c r="BK15">
        <v>119542.44</v>
      </c>
      <c r="BL15">
        <v>120645.44</v>
      </c>
      <c r="BM15">
        <v>123623.44</v>
      </c>
      <c r="BN15">
        <v>134623.44</v>
      </c>
      <c r="BO15">
        <v>134623.44</v>
      </c>
      <c r="BP15">
        <v>134623.44</v>
      </c>
      <c r="BQ15">
        <v>137858.44</v>
      </c>
      <c r="BR15">
        <v>158848.85999999999</v>
      </c>
      <c r="BS15">
        <v>193847.33999999997</v>
      </c>
      <c r="BT15">
        <v>194847.33999999997</v>
      </c>
      <c r="BU15">
        <v>196347.33999999997</v>
      </c>
      <c r="BV15">
        <v>196807.33999999997</v>
      </c>
      <c r="BW15">
        <v>196807.33999999997</v>
      </c>
      <c r="BX15">
        <v>222248.33999999997</v>
      </c>
      <c r="BY15">
        <v>226948.33999999997</v>
      </c>
      <c r="BZ15">
        <v>235021.33999999997</v>
      </c>
      <c r="CA15">
        <v>239641.33999999997</v>
      </c>
      <c r="CB15">
        <v>245212.33999999997</v>
      </c>
      <c r="CC15">
        <v>246462.33999999997</v>
      </c>
      <c r="CD15">
        <v>246862.33999999997</v>
      </c>
      <c r="CE15">
        <v>264312.33999999997</v>
      </c>
      <c r="CF15">
        <v>287559.33999999997</v>
      </c>
      <c r="CG15">
        <v>313221.33999999997</v>
      </c>
      <c r="CH15">
        <v>313221.33999999997</v>
      </c>
      <c r="CI15" s="11" t="s">
        <v>150</v>
      </c>
      <c r="CK15" t="s">
        <v>4</v>
      </c>
      <c r="CL15" t="s">
        <v>4</v>
      </c>
      <c r="CM15" t="s">
        <v>4</v>
      </c>
      <c r="CN15" t="s">
        <v>4</v>
      </c>
      <c r="CO15" t="s">
        <v>124</v>
      </c>
    </row>
    <row r="16" spans="1:93" x14ac:dyDescent="0.25">
      <c r="A16" t="s">
        <v>9</v>
      </c>
      <c r="B16" t="s">
        <v>64</v>
      </c>
      <c r="C16">
        <f>VLOOKUP(D1_ABRIL_2025[[#This Row],[SUPER]],DATA_ABRIL_2025[[SUPERVISOR]:[META]],3,0)</f>
        <v>57000</v>
      </c>
      <c r="D16">
        <f>D1_ABRIL_2025[[#This Row],[RECUPERO]]/D1_ABRIL_2025[[#This Row],[META]]</f>
        <v>1.0634612280701754</v>
      </c>
      <c r="E16" t="s">
        <v>9</v>
      </c>
      <c r="F16" t="s">
        <v>64</v>
      </c>
      <c r="G16">
        <v>60617.29</v>
      </c>
      <c r="H16" t="s">
        <v>455</v>
      </c>
      <c r="I16" s="55">
        <v>45700</v>
      </c>
      <c r="J16" t="s">
        <v>501</v>
      </c>
      <c r="L16" s="55"/>
      <c r="M16" s="1">
        <f>DATA_ABRIL_2025[[#This Row],[RECUPERO]]/DATA_ABRIL_2025[[#This Row],[META]]</f>
        <v>0.32687804878048782</v>
      </c>
      <c r="N16">
        <f>6-ROUNDUP(_xlfn.RANK.EQ(DATA_ABRIL_2025[[#This Row],[AL_AC]],DATA_ABRIL_2025[AL_AC],0)/(COUNTA(DATA_ABRIL_2025[AL_AC])/5),0)</f>
        <v>2</v>
      </c>
      <c r="O16" t="s">
        <v>8</v>
      </c>
      <c r="P16">
        <f>SUM(DATA_ABRIL_2025[[#This Row],[1]:[31]])</f>
        <v>6701</v>
      </c>
      <c r="Q16">
        <v>20500</v>
      </c>
      <c r="R16" t="s">
        <v>14</v>
      </c>
      <c r="S16">
        <v>400</v>
      </c>
      <c r="T16">
        <v>550</v>
      </c>
      <c r="V16">
        <v>150</v>
      </c>
      <c r="Y16">
        <v>100</v>
      </c>
      <c r="AA16">
        <v>572</v>
      </c>
      <c r="AB16">
        <v>200</v>
      </c>
      <c r="AG16">
        <v>200</v>
      </c>
      <c r="AH16">
        <v>440</v>
      </c>
      <c r="AL16">
        <v>200</v>
      </c>
      <c r="AM16">
        <v>581</v>
      </c>
      <c r="AO16">
        <v>290</v>
      </c>
      <c r="AP16">
        <v>300</v>
      </c>
      <c r="AR16">
        <v>600</v>
      </c>
      <c r="AT16">
        <v>1138</v>
      </c>
      <c r="AU16">
        <v>150</v>
      </c>
      <c r="AV16">
        <v>830</v>
      </c>
      <c r="AX16" t="s">
        <v>153</v>
      </c>
      <c r="AZ16">
        <v>437325</v>
      </c>
      <c r="BA16" s="11">
        <f>MAX(DITE_ABRIL_2025[[#This Row],[1]:[31]])</f>
        <v>366419.38</v>
      </c>
      <c r="BB16" s="17">
        <f>BA16/DITE_ABRIL_2025[[#This Row],[META SUPER]]</f>
        <v>0.83786515749156809</v>
      </c>
      <c r="BC16" t="s">
        <v>3</v>
      </c>
      <c r="BD16">
        <v>21922</v>
      </c>
      <c r="BE16">
        <v>33012</v>
      </c>
      <c r="BF16">
        <v>37222</v>
      </c>
      <c r="BG16">
        <v>46052</v>
      </c>
      <c r="BH16">
        <v>46581</v>
      </c>
      <c r="BI16">
        <v>46581</v>
      </c>
      <c r="BJ16">
        <v>54059</v>
      </c>
      <c r="BK16">
        <v>56834</v>
      </c>
      <c r="BL16">
        <v>69134</v>
      </c>
      <c r="BM16">
        <v>84637</v>
      </c>
      <c r="BN16">
        <v>93776.7</v>
      </c>
      <c r="BO16">
        <v>112383.7</v>
      </c>
      <c r="BP16">
        <v>112383.7</v>
      </c>
      <c r="BQ16">
        <v>117283.7</v>
      </c>
      <c r="BR16">
        <v>144358.70000000001</v>
      </c>
      <c r="BS16">
        <v>153778.70000000001</v>
      </c>
      <c r="BT16">
        <v>153778.70000000001</v>
      </c>
      <c r="BU16">
        <v>153778.70000000001</v>
      </c>
      <c r="BV16">
        <v>155778.70000000001</v>
      </c>
      <c r="BW16">
        <v>155778.70000000001</v>
      </c>
      <c r="BX16">
        <v>170110.7</v>
      </c>
      <c r="BY16">
        <v>191052.7</v>
      </c>
      <c r="BZ16">
        <v>211032.7</v>
      </c>
      <c r="CA16">
        <v>218850.7</v>
      </c>
      <c r="CB16">
        <v>239709.28000000003</v>
      </c>
      <c r="CC16">
        <v>242638.28000000003</v>
      </c>
      <c r="CD16">
        <v>243062.28000000003</v>
      </c>
      <c r="CE16">
        <v>254705.28000000003</v>
      </c>
      <c r="CF16">
        <v>295212.28000000003</v>
      </c>
      <c r="CG16">
        <v>366419.38</v>
      </c>
      <c r="CH16">
        <v>366419.38</v>
      </c>
      <c r="CI16" s="11" t="s">
        <v>150</v>
      </c>
      <c r="CK16" t="s">
        <v>3</v>
      </c>
      <c r="CL16" t="s">
        <v>3</v>
      </c>
      <c r="CM16" t="s">
        <v>3</v>
      </c>
      <c r="CN16" t="s">
        <v>3</v>
      </c>
      <c r="CO16" t="s">
        <v>3</v>
      </c>
    </row>
    <row r="17" spans="1:50" x14ac:dyDescent="0.25">
      <c r="A17" t="s">
        <v>9</v>
      </c>
      <c r="B17" t="s">
        <v>59</v>
      </c>
      <c r="C17">
        <f>VLOOKUP(D1_ABRIL_2025[[#This Row],[SUPER]],DATA_ABRIL_2025[[SUPERVISOR]:[META]],3,0)</f>
        <v>57000</v>
      </c>
      <c r="D17">
        <f>D1_ABRIL_2025[[#This Row],[RECUPERO]]/D1_ABRIL_2025[[#This Row],[META]]</f>
        <v>0.79937982456140355</v>
      </c>
      <c r="E17" t="s">
        <v>9</v>
      </c>
      <c r="F17" t="s">
        <v>59</v>
      </c>
      <c r="G17">
        <v>45564.65</v>
      </c>
      <c r="H17" t="s">
        <v>430</v>
      </c>
      <c r="I17" s="55">
        <v>45348</v>
      </c>
      <c r="J17" t="s">
        <v>501</v>
      </c>
      <c r="L17" s="55"/>
      <c r="M17" s="1">
        <f>DATA_ABRIL_2025[[#This Row],[RECUPERO]]/DATA_ABRIL_2025[[#This Row],[META]]</f>
        <v>0.29565853658536584</v>
      </c>
      <c r="N17">
        <f>6-ROUNDUP(_xlfn.RANK.EQ(DATA_ABRIL_2025[[#This Row],[AL_AC]],DATA_ABRIL_2025[AL_AC],0)/(COUNTA(DATA_ABRIL_2025[AL_AC])/5),0)</f>
        <v>2</v>
      </c>
      <c r="O17" t="s">
        <v>125</v>
      </c>
      <c r="P17">
        <f>SUM(DATA_ABRIL_2025[[#This Row],[1]:[31]])</f>
        <v>6061</v>
      </c>
      <c r="Q17">
        <v>20500</v>
      </c>
      <c r="R17" t="s">
        <v>104</v>
      </c>
      <c r="U17">
        <v>750</v>
      </c>
      <c r="Y17">
        <v>730</v>
      </c>
      <c r="AA17">
        <v>2800</v>
      </c>
      <c r="AC17">
        <v>200</v>
      </c>
      <c r="AH17">
        <v>280</v>
      </c>
      <c r="AN17">
        <v>350</v>
      </c>
      <c r="AQ17">
        <v>181</v>
      </c>
      <c r="AU17">
        <v>420</v>
      </c>
      <c r="AV17">
        <v>350</v>
      </c>
      <c r="AX17" t="s">
        <v>153</v>
      </c>
    </row>
    <row r="18" spans="1:50" x14ac:dyDescent="0.25">
      <c r="A18" t="s">
        <v>9</v>
      </c>
      <c r="B18" t="s">
        <v>63</v>
      </c>
      <c r="C18">
        <f>VLOOKUP(D1_ABRIL_2025[[#This Row],[SUPER]],DATA_ABRIL_2025[[SUPERVISOR]:[META]],3,0)</f>
        <v>57000</v>
      </c>
      <c r="D18">
        <f>D1_ABRIL_2025[[#This Row],[RECUPERO]]/D1_ABRIL_2025[[#This Row],[META]]</f>
        <v>0.27421052631578946</v>
      </c>
      <c r="E18" t="s">
        <v>9</v>
      </c>
      <c r="F18" t="s">
        <v>63</v>
      </c>
      <c r="G18">
        <v>15630</v>
      </c>
      <c r="H18" t="s">
        <v>447</v>
      </c>
      <c r="I18" s="55">
        <v>45316</v>
      </c>
      <c r="J18" t="s">
        <v>501</v>
      </c>
      <c r="L18" s="55"/>
      <c r="M18" s="1">
        <f>DATA_ABRIL_2025[[#This Row],[RECUPERO]]/DATA_ABRIL_2025[[#This Row],[META]]</f>
        <v>0.33964912280701753</v>
      </c>
      <c r="N18">
        <f>6-ROUNDUP(_xlfn.RANK.EQ(DATA_ABRIL_2025[[#This Row],[AL_AC]],DATA_ABRIL_2025[AL_AC],0)/(COUNTA(DATA_ABRIL_2025[AL_AC])/5),0)</f>
        <v>3</v>
      </c>
      <c r="O18" t="s">
        <v>3</v>
      </c>
      <c r="P18">
        <f>SUM(DATA_ABRIL_2025[[#This Row],[1]:[31]])</f>
        <v>19360</v>
      </c>
      <c r="Q18">
        <v>57000</v>
      </c>
      <c r="R18" t="s">
        <v>53</v>
      </c>
      <c r="T18">
        <v>1370</v>
      </c>
      <c r="AG18">
        <v>5600</v>
      </c>
      <c r="AM18">
        <v>1190</v>
      </c>
      <c r="AT18">
        <v>1200</v>
      </c>
      <c r="AU18">
        <v>10000</v>
      </c>
      <c r="AX18" t="s">
        <v>150</v>
      </c>
    </row>
    <row r="19" spans="1:50" x14ac:dyDescent="0.25">
      <c r="A19" t="s">
        <v>2</v>
      </c>
      <c r="B19" t="s">
        <v>12</v>
      </c>
      <c r="C19">
        <f>VLOOKUP(D1_ABRIL_2025[[#This Row],[SUPER]],DATA_ABRIL_2025[[SUPERVISOR]:[META]],3,0)</f>
        <v>57000</v>
      </c>
      <c r="D19">
        <f>D1_ABRIL_2025[[#This Row],[RECUPERO]]/D1_ABRIL_2025[[#This Row],[META]]</f>
        <v>0.6333333333333333</v>
      </c>
      <c r="E19" t="s">
        <v>2</v>
      </c>
      <c r="F19" t="s">
        <v>12</v>
      </c>
      <c r="G19">
        <v>36100</v>
      </c>
      <c r="H19" t="s">
        <v>389</v>
      </c>
      <c r="I19" s="55">
        <v>44870</v>
      </c>
      <c r="J19" t="s">
        <v>501</v>
      </c>
      <c r="L19" s="55"/>
      <c r="M19" s="1">
        <f>DATA_ABRIL_2025[[#This Row],[RECUPERO]]/DATA_ABRIL_2025[[#This Row],[META]]</f>
        <v>0.14487804878048779</v>
      </c>
      <c r="N19">
        <f>6-ROUNDUP(_xlfn.RANK.EQ(DATA_ABRIL_2025[[#This Row],[AL_AC]],DATA_ABRIL_2025[AL_AC],0)/(COUNTA(DATA_ABRIL_2025[AL_AC])/5),0)</f>
        <v>1</v>
      </c>
      <c r="O19" t="s">
        <v>125</v>
      </c>
      <c r="P19">
        <f>SUM(DATA_ABRIL_2025[[#This Row],[1]:[31]])</f>
        <v>2970</v>
      </c>
      <c r="Q19">
        <v>20500</v>
      </c>
      <c r="R19" t="s">
        <v>41</v>
      </c>
      <c r="S19">
        <v>450</v>
      </c>
      <c r="T19">
        <v>450</v>
      </c>
      <c r="AA19">
        <v>500</v>
      </c>
      <c r="AF19">
        <v>320</v>
      </c>
      <c r="AJ19">
        <v>150</v>
      </c>
      <c r="AM19">
        <v>350</v>
      </c>
      <c r="AT19">
        <v>350</v>
      </c>
      <c r="AU19">
        <v>150</v>
      </c>
      <c r="AV19">
        <v>250</v>
      </c>
      <c r="AX19" t="s">
        <v>153</v>
      </c>
    </row>
    <row r="20" spans="1:50" x14ac:dyDescent="0.25">
      <c r="A20" t="s">
        <v>2</v>
      </c>
      <c r="B20" t="s">
        <v>13</v>
      </c>
      <c r="C20">
        <f>VLOOKUP(D1_ABRIL_2025[[#This Row],[SUPER]],DATA_ABRIL_2025[[SUPERVISOR]:[META]],3,0)</f>
        <v>57000</v>
      </c>
      <c r="D20">
        <f>D1_ABRIL_2025[[#This Row],[RECUPERO]]/D1_ABRIL_2025[[#This Row],[META]]</f>
        <v>0.43447368421052629</v>
      </c>
      <c r="E20" t="s">
        <v>2</v>
      </c>
      <c r="F20" t="s">
        <v>13</v>
      </c>
      <c r="G20">
        <v>24765</v>
      </c>
      <c r="H20" t="s">
        <v>382</v>
      </c>
      <c r="I20" s="55">
        <v>44811</v>
      </c>
      <c r="J20" t="s">
        <v>501</v>
      </c>
      <c r="L20" s="55"/>
      <c r="M20" s="1">
        <f>DATA_ABRIL_2025[[#This Row],[RECUPERO]]/DATA_ABRIL_2025[[#This Row],[META]]</f>
        <v>1.0503170731707316</v>
      </c>
      <c r="N20">
        <f>6-ROUNDUP(_xlfn.RANK.EQ(DATA_ABRIL_2025[[#This Row],[AL_AC]],DATA_ABRIL_2025[AL_AC],0)/(COUNTA(DATA_ABRIL_2025[AL_AC])/5),0)</f>
        <v>5</v>
      </c>
      <c r="O20" t="s">
        <v>124</v>
      </c>
      <c r="P20">
        <f>SUM(DATA_ABRIL_2025[[#This Row],[1]:[31]])</f>
        <v>21531.5</v>
      </c>
      <c r="Q20">
        <v>20500</v>
      </c>
      <c r="R20" t="s">
        <v>61</v>
      </c>
      <c r="S20">
        <v>1400</v>
      </c>
      <c r="T20">
        <v>1000</v>
      </c>
      <c r="V20">
        <v>221</v>
      </c>
      <c r="Y20">
        <v>321</v>
      </c>
      <c r="AB20">
        <v>1400</v>
      </c>
      <c r="AC20">
        <v>2700</v>
      </c>
      <c r="AF20">
        <v>1065</v>
      </c>
      <c r="AG20">
        <v>1600</v>
      </c>
      <c r="AJ20">
        <v>217</v>
      </c>
      <c r="AM20">
        <v>400</v>
      </c>
      <c r="AN20">
        <v>1643</v>
      </c>
      <c r="AP20">
        <v>600</v>
      </c>
      <c r="AS20">
        <v>200</v>
      </c>
      <c r="AT20">
        <v>352</v>
      </c>
      <c r="AU20">
        <v>6977.5</v>
      </c>
      <c r="AV20">
        <v>1435</v>
      </c>
      <c r="AX20" t="s">
        <v>153</v>
      </c>
    </row>
    <row r="21" spans="1:50" x14ac:dyDescent="0.25">
      <c r="A21" t="s">
        <v>2</v>
      </c>
      <c r="B21" t="s">
        <v>77</v>
      </c>
      <c r="C21">
        <f>VLOOKUP(D1_ABRIL_2025[[#This Row],[SUPER]],DATA_ABRIL_2025[[SUPERVISOR]:[META]],3,0)</f>
        <v>57000</v>
      </c>
      <c r="D21">
        <f>D1_ABRIL_2025[[#This Row],[RECUPERO]]/D1_ABRIL_2025[[#This Row],[META]]</f>
        <v>0.26666666666666666</v>
      </c>
      <c r="E21" t="s">
        <v>2</v>
      </c>
      <c r="F21" t="s">
        <v>77</v>
      </c>
      <c r="G21">
        <v>15200</v>
      </c>
      <c r="H21" t="s">
        <v>393</v>
      </c>
      <c r="I21" s="55">
        <v>44840</v>
      </c>
      <c r="J21" t="s">
        <v>501</v>
      </c>
      <c r="L21" s="55"/>
      <c r="M21" s="1">
        <f>DATA_ABRIL_2025[[#This Row],[RECUPERO]]/DATA_ABRIL_2025[[#This Row],[META]]</f>
        <v>0.47385365853658534</v>
      </c>
      <c r="N21">
        <f>6-ROUNDUP(_xlfn.RANK.EQ(DATA_ABRIL_2025[[#This Row],[AL_AC]],DATA_ABRIL_2025[AL_AC],0)/(COUNTA(DATA_ABRIL_2025[AL_AC])/5),0)</f>
        <v>3</v>
      </c>
      <c r="O21" t="s">
        <v>124</v>
      </c>
      <c r="P21">
        <f>SUM(DATA_ABRIL_2025[[#This Row],[1]:[31]])</f>
        <v>9714</v>
      </c>
      <c r="Q21">
        <v>20500</v>
      </c>
      <c r="R21" t="s">
        <v>80</v>
      </c>
      <c r="S21">
        <v>300</v>
      </c>
      <c r="V21">
        <v>1428</v>
      </c>
      <c r="X21">
        <v>305</v>
      </c>
      <c r="Y21">
        <v>1600</v>
      </c>
      <c r="AA21">
        <v>200</v>
      </c>
      <c r="AB21">
        <v>235</v>
      </c>
      <c r="AF21">
        <v>780</v>
      </c>
      <c r="AG21">
        <v>1570</v>
      </c>
      <c r="AN21">
        <v>160</v>
      </c>
      <c r="AO21">
        <v>160</v>
      </c>
      <c r="AU21">
        <v>200</v>
      </c>
      <c r="AV21">
        <v>2776</v>
      </c>
      <c r="AX21" t="s">
        <v>153</v>
      </c>
    </row>
    <row r="22" spans="1:50" x14ac:dyDescent="0.25">
      <c r="A22" t="s">
        <v>2</v>
      </c>
      <c r="B22" t="s">
        <v>29</v>
      </c>
      <c r="C22">
        <f>VLOOKUP(D1_ABRIL_2025[[#This Row],[SUPER]],DATA_ABRIL_2025[[SUPERVISOR]:[META]],3,0)</f>
        <v>57000</v>
      </c>
      <c r="D22">
        <f>D1_ABRIL_2025[[#This Row],[RECUPERO]]/D1_ABRIL_2025[[#This Row],[META]]</f>
        <v>0.6115570175438596</v>
      </c>
      <c r="E22" t="s">
        <v>2</v>
      </c>
      <c r="F22" t="s">
        <v>29</v>
      </c>
      <c r="G22">
        <v>34858.75</v>
      </c>
      <c r="H22" t="s">
        <v>416</v>
      </c>
      <c r="I22" s="55">
        <v>44687</v>
      </c>
      <c r="J22" t="s">
        <v>501</v>
      </c>
      <c r="L22" s="55"/>
      <c r="M22" s="1">
        <f>DATA_ABRIL_2025[[#This Row],[RECUPERO]]/DATA_ABRIL_2025[[#This Row],[META]]</f>
        <v>0.13846153846153847</v>
      </c>
      <c r="N22">
        <f>6-ROUNDUP(_xlfn.RANK.EQ(DATA_ABRIL_2025[[#This Row],[AL_AC]],DATA_ABRIL_2025[AL_AC],0)/(COUNTA(DATA_ABRIL_2025[AL_AC])/5),0)</f>
        <v>1</v>
      </c>
      <c r="O22" t="s">
        <v>6</v>
      </c>
      <c r="P22">
        <f>SUM(DATA_ABRIL_2025[[#This Row],[1]:[31]])</f>
        <v>3600</v>
      </c>
      <c r="Q22">
        <v>26000</v>
      </c>
      <c r="R22" t="s">
        <v>81</v>
      </c>
      <c r="V22">
        <v>100</v>
      </c>
      <c r="Z22">
        <v>2150</v>
      </c>
      <c r="AH22">
        <v>600</v>
      </c>
      <c r="AJ22">
        <v>250</v>
      </c>
      <c r="AN22">
        <v>500</v>
      </c>
      <c r="AX22" t="s">
        <v>152</v>
      </c>
    </row>
    <row r="23" spans="1:50" x14ac:dyDescent="0.25">
      <c r="A23" t="s">
        <v>2</v>
      </c>
      <c r="B23" t="s">
        <v>17</v>
      </c>
      <c r="C23">
        <f>VLOOKUP(D1_ABRIL_2025[[#This Row],[SUPER]],DATA_ABRIL_2025[[SUPERVISOR]:[META]],3,0)</f>
        <v>57000</v>
      </c>
      <c r="D23">
        <f>D1_ABRIL_2025[[#This Row],[RECUPERO]]/D1_ABRIL_2025[[#This Row],[META]]</f>
        <v>1.0407017543859649</v>
      </c>
      <c r="E23" t="s">
        <v>2</v>
      </c>
      <c r="F23" t="s">
        <v>17</v>
      </c>
      <c r="G23">
        <v>59320</v>
      </c>
      <c r="H23" t="s">
        <v>385</v>
      </c>
      <c r="I23" s="55">
        <v>44888</v>
      </c>
      <c r="J23" t="s">
        <v>501</v>
      </c>
      <c r="L23" s="55"/>
      <c r="M23" s="1">
        <f>DATA_ABRIL_2025[[#This Row],[RECUPERO]]/DATA_ABRIL_2025[[#This Row],[META]]</f>
        <v>0.2097560975609756</v>
      </c>
      <c r="N23">
        <f>6-ROUNDUP(_xlfn.RANK.EQ(DATA_ABRIL_2025[[#This Row],[AL_AC]],DATA_ABRIL_2025[AL_AC],0)/(COUNTA(DATA_ABRIL_2025[AL_AC])/5),0)</f>
        <v>1</v>
      </c>
      <c r="O23" t="s">
        <v>8</v>
      </c>
      <c r="P23">
        <f>SUM(DATA_ABRIL_2025[[#This Row],[1]:[31]])</f>
        <v>4300</v>
      </c>
      <c r="Q23">
        <v>20500</v>
      </c>
      <c r="R23" t="s">
        <v>129</v>
      </c>
      <c r="U23">
        <v>200</v>
      </c>
      <c r="AA23">
        <v>200</v>
      </c>
      <c r="AP23">
        <v>500</v>
      </c>
      <c r="AQ23">
        <v>100</v>
      </c>
      <c r="AR23">
        <v>100</v>
      </c>
      <c r="AT23">
        <v>3000</v>
      </c>
      <c r="AU23">
        <v>200</v>
      </c>
      <c r="AX23" t="s">
        <v>153</v>
      </c>
    </row>
    <row r="24" spans="1:50" x14ac:dyDescent="0.25">
      <c r="A24" t="s">
        <v>2</v>
      </c>
      <c r="B24" t="s">
        <v>11</v>
      </c>
      <c r="C24">
        <f>VLOOKUP(D1_ABRIL_2025[[#This Row],[SUPER]],DATA_ABRIL_2025[[SUPERVISOR]:[META]],3,0)</f>
        <v>57000</v>
      </c>
      <c r="D24">
        <f>D1_ABRIL_2025[[#This Row],[RECUPERO]]/D1_ABRIL_2025[[#This Row],[META]]</f>
        <v>0.33226315789473682</v>
      </c>
      <c r="E24" t="s">
        <v>2</v>
      </c>
      <c r="F24" t="s">
        <v>11</v>
      </c>
      <c r="G24">
        <v>18939</v>
      </c>
      <c r="H24" t="s">
        <v>429</v>
      </c>
      <c r="I24" s="55">
        <v>45371</v>
      </c>
      <c r="J24" t="s">
        <v>501</v>
      </c>
      <c r="L24" s="55"/>
      <c r="M24" s="1">
        <f>DATA_ABRIL_2025[[#This Row],[RECUPERO]]/DATA_ABRIL_2025[[#This Row],[META]]</f>
        <v>0.6498942105263158</v>
      </c>
      <c r="N24">
        <f>6-ROUNDUP(_xlfn.RANK.EQ(DATA_ABRIL_2025[[#This Row],[AL_AC]],DATA_ABRIL_2025[AL_AC],0)/(COUNTA(DATA_ABRIL_2025[AL_AC])/5),0)</f>
        <v>4</v>
      </c>
      <c r="O24" t="s">
        <v>5</v>
      </c>
      <c r="P24">
        <f>SUM(DATA_ABRIL_2025[[#This Row],[1]:[31]])</f>
        <v>37043.97</v>
      </c>
      <c r="Q24">
        <v>57000</v>
      </c>
      <c r="R24" t="s">
        <v>72</v>
      </c>
      <c r="S24">
        <v>416</v>
      </c>
      <c r="T24">
        <v>1246</v>
      </c>
      <c r="Y24">
        <v>805</v>
      </c>
      <c r="Z24">
        <v>392</v>
      </c>
      <c r="AB24">
        <v>2500</v>
      </c>
      <c r="AC24">
        <v>3500</v>
      </c>
      <c r="AE24">
        <v>9.9700000000000006</v>
      </c>
      <c r="AF24">
        <v>180</v>
      </c>
      <c r="AG24">
        <v>231</v>
      </c>
      <c r="AM24">
        <v>400</v>
      </c>
      <c r="AN24">
        <v>5235</v>
      </c>
      <c r="AO24">
        <v>2000</v>
      </c>
      <c r="AQ24">
        <v>5130</v>
      </c>
      <c r="AT24">
        <v>5000</v>
      </c>
      <c r="AU24">
        <v>7433</v>
      </c>
      <c r="AV24">
        <v>2566</v>
      </c>
      <c r="AX24" t="s">
        <v>150</v>
      </c>
    </row>
    <row r="25" spans="1:50" x14ac:dyDescent="0.25">
      <c r="A25" t="s">
        <v>2</v>
      </c>
      <c r="B25" t="s">
        <v>10</v>
      </c>
      <c r="C25">
        <f>VLOOKUP(D1_ABRIL_2025[[#This Row],[SUPER]],DATA_ABRIL_2025[[SUPERVISOR]:[META]],3,0)</f>
        <v>57000</v>
      </c>
      <c r="D25">
        <f>D1_ABRIL_2025[[#This Row],[RECUPERO]]/D1_ABRIL_2025[[#This Row],[META]]</f>
        <v>1.1982280701754386</v>
      </c>
      <c r="E25" t="s">
        <v>2</v>
      </c>
      <c r="F25" t="s">
        <v>10</v>
      </c>
      <c r="G25">
        <v>68299</v>
      </c>
      <c r="H25" t="s">
        <v>449</v>
      </c>
      <c r="I25" s="55">
        <v>44706</v>
      </c>
      <c r="J25" t="s">
        <v>501</v>
      </c>
      <c r="L25" s="55"/>
      <c r="M25" s="1">
        <f>DATA_ABRIL_2025[[#This Row],[RECUPERO]]/DATA_ABRIL_2025[[#This Row],[META]]</f>
        <v>0</v>
      </c>
      <c r="N25">
        <f>6-ROUNDUP(_xlfn.RANK.EQ(DATA_ABRIL_2025[[#This Row],[AL_AC]],DATA_ABRIL_2025[AL_AC],0)/(COUNTA(DATA_ABRIL_2025[AL_AC])/5),0)</f>
        <v>1</v>
      </c>
      <c r="O25" t="s">
        <v>9</v>
      </c>
      <c r="P25">
        <f>SUM(DATA_ABRIL_2025[[#This Row],[1]:[31]])</f>
        <v>0</v>
      </c>
      <c r="Q25">
        <v>57000</v>
      </c>
      <c r="R25" t="s">
        <v>130</v>
      </c>
      <c r="AX25" t="s">
        <v>150</v>
      </c>
    </row>
    <row r="26" spans="1:50" x14ac:dyDescent="0.25">
      <c r="A26" t="s">
        <v>5</v>
      </c>
      <c r="B26" t="s">
        <v>58</v>
      </c>
      <c r="C26">
        <f>VLOOKUP(D1_ABRIL_2025[[#This Row],[SUPER]],DATA_ABRIL_2025[[SUPERVISOR]:[META]],3,0)</f>
        <v>57000</v>
      </c>
      <c r="D26">
        <f>D1_ABRIL_2025[[#This Row],[RECUPERO]]/D1_ABRIL_2025[[#This Row],[META]]</f>
        <v>0.7205789473684211</v>
      </c>
      <c r="E26" t="s">
        <v>5</v>
      </c>
      <c r="F26" t="s">
        <v>58</v>
      </c>
      <c r="G26">
        <v>41073</v>
      </c>
      <c r="H26" t="s">
        <v>441</v>
      </c>
      <c r="I26" s="55">
        <v>43035</v>
      </c>
      <c r="J26" t="s">
        <v>501</v>
      </c>
      <c r="L26" s="55"/>
      <c r="M26" s="1">
        <f>DATA_ABRIL_2025[[#This Row],[RECUPERO]]/DATA_ABRIL_2025[[#This Row],[META]]</f>
        <v>1.099661403508772</v>
      </c>
      <c r="N26">
        <f>6-ROUNDUP(_xlfn.RANK.EQ(DATA_ABRIL_2025[[#This Row],[AL_AC]],DATA_ABRIL_2025[AL_AC],0)/(COUNTA(DATA_ABRIL_2025[AL_AC])/5),0)</f>
        <v>5</v>
      </c>
      <c r="O26" t="s">
        <v>3</v>
      </c>
      <c r="P26">
        <f>SUM(DATA_ABRIL_2025[[#This Row],[1]:[31]])</f>
        <v>62680.7</v>
      </c>
      <c r="Q26">
        <v>57000</v>
      </c>
      <c r="R26" t="s">
        <v>22</v>
      </c>
      <c r="S26">
        <v>7050</v>
      </c>
      <c r="U26">
        <v>900</v>
      </c>
      <c r="V26">
        <v>630</v>
      </c>
      <c r="W26">
        <v>529</v>
      </c>
      <c r="Y26">
        <v>1878</v>
      </c>
      <c r="AA26">
        <v>700</v>
      </c>
      <c r="AB26">
        <v>4503</v>
      </c>
      <c r="AC26">
        <v>554.70000000000005</v>
      </c>
      <c r="AG26">
        <v>386</v>
      </c>
      <c r="AH26">
        <v>1600</v>
      </c>
      <c r="AM26">
        <v>5800</v>
      </c>
      <c r="AN26">
        <v>2626</v>
      </c>
      <c r="AO26">
        <v>10160</v>
      </c>
      <c r="AP26">
        <v>6818</v>
      </c>
      <c r="AQ26">
        <v>1071</v>
      </c>
      <c r="AR26">
        <v>929</v>
      </c>
      <c r="AT26">
        <v>320</v>
      </c>
      <c r="AU26">
        <v>2132</v>
      </c>
      <c r="AV26">
        <v>14094</v>
      </c>
      <c r="AX26" t="s">
        <v>150</v>
      </c>
    </row>
    <row r="27" spans="1:50" x14ac:dyDescent="0.25">
      <c r="A27" t="s">
        <v>5</v>
      </c>
      <c r="B27" t="s">
        <v>85</v>
      </c>
      <c r="C27">
        <f>VLOOKUP(D1_ABRIL_2025[[#This Row],[SUPER]],DATA_ABRIL_2025[[SUPERVISOR]:[META]],3,0)</f>
        <v>57000</v>
      </c>
      <c r="D27">
        <f>D1_ABRIL_2025[[#This Row],[RECUPERO]]/D1_ABRIL_2025[[#This Row],[META]]</f>
        <v>0.46071929824561403</v>
      </c>
      <c r="E27" t="s">
        <v>5</v>
      </c>
      <c r="F27" t="s">
        <v>85</v>
      </c>
      <c r="G27">
        <v>26261</v>
      </c>
      <c r="H27" t="s">
        <v>380</v>
      </c>
      <c r="I27" s="55">
        <v>44811</v>
      </c>
      <c r="J27" t="s">
        <v>501</v>
      </c>
      <c r="L27" s="55"/>
      <c r="M27" s="1">
        <f>DATA_ABRIL_2025[[#This Row],[RECUPERO]]/DATA_ABRIL_2025[[#This Row],[META]]</f>
        <v>0.8056585365853659</v>
      </c>
      <c r="N27">
        <f>6-ROUNDUP(_xlfn.RANK.EQ(DATA_ABRIL_2025[[#This Row],[AL_AC]],DATA_ABRIL_2025[AL_AC],0)/(COUNTA(DATA_ABRIL_2025[AL_AC])/5),0)</f>
        <v>4</v>
      </c>
      <c r="O27" t="s">
        <v>8</v>
      </c>
      <c r="P27">
        <f>SUM(DATA_ABRIL_2025[[#This Row],[1]:[31]])</f>
        <v>16516</v>
      </c>
      <c r="Q27">
        <v>20500</v>
      </c>
      <c r="R27" t="s">
        <v>24</v>
      </c>
      <c r="T27">
        <v>190</v>
      </c>
      <c r="V27">
        <v>50</v>
      </c>
      <c r="AC27">
        <v>2450</v>
      </c>
      <c r="AF27">
        <v>1960</v>
      </c>
      <c r="AG27">
        <v>890</v>
      </c>
      <c r="AH27">
        <v>300</v>
      </c>
      <c r="AM27">
        <v>3200</v>
      </c>
      <c r="AO27">
        <v>100</v>
      </c>
      <c r="AP27">
        <v>310</v>
      </c>
      <c r="AQ27">
        <v>261</v>
      </c>
      <c r="AR27">
        <v>150</v>
      </c>
      <c r="AT27">
        <v>2355</v>
      </c>
      <c r="AU27">
        <v>100</v>
      </c>
      <c r="AV27">
        <v>4200</v>
      </c>
      <c r="AX27" t="s">
        <v>153</v>
      </c>
    </row>
    <row r="28" spans="1:50" x14ac:dyDescent="0.25">
      <c r="A28" t="s">
        <v>5</v>
      </c>
      <c r="B28" t="s">
        <v>67</v>
      </c>
      <c r="C28">
        <f>VLOOKUP(D1_ABRIL_2025[[#This Row],[SUPER]],DATA_ABRIL_2025[[SUPERVISOR]:[META]],3,0)</f>
        <v>57000</v>
      </c>
      <c r="D28">
        <f>D1_ABRIL_2025[[#This Row],[RECUPERO]]/D1_ABRIL_2025[[#This Row],[META]]</f>
        <v>0.99017894736842105</v>
      </c>
      <c r="E28" t="s">
        <v>5</v>
      </c>
      <c r="F28" t="s">
        <v>67</v>
      </c>
      <c r="G28">
        <v>56440.2</v>
      </c>
      <c r="H28" t="s">
        <v>381</v>
      </c>
      <c r="I28" s="55">
        <v>44811</v>
      </c>
      <c r="J28" t="s">
        <v>501</v>
      </c>
      <c r="L28" s="55"/>
      <c r="M28" s="1">
        <f>DATA_ABRIL_2025[[#This Row],[RECUPERO]]/DATA_ABRIL_2025[[#This Row],[META]]</f>
        <v>0.3</v>
      </c>
      <c r="N28">
        <f>6-ROUNDUP(_xlfn.RANK.EQ(DATA_ABRIL_2025[[#This Row],[AL_AC]],DATA_ABRIL_2025[AL_AC],0)/(COUNTA(DATA_ABRIL_2025[AL_AC])/5),0)</f>
        <v>2</v>
      </c>
      <c r="O28" t="s">
        <v>6</v>
      </c>
      <c r="P28">
        <f>SUM(DATA_ABRIL_2025[[#This Row],[1]:[31]])</f>
        <v>7800</v>
      </c>
      <c r="Q28">
        <v>26000</v>
      </c>
      <c r="R28" t="s">
        <v>105</v>
      </c>
      <c r="Y28">
        <v>1050</v>
      </c>
      <c r="AB28">
        <v>4000</v>
      </c>
      <c r="AF28">
        <v>2000</v>
      </c>
      <c r="AG28">
        <v>350</v>
      </c>
      <c r="AN28">
        <v>400</v>
      </c>
      <c r="AX28" t="s">
        <v>152</v>
      </c>
    </row>
    <row r="29" spans="1:50" x14ac:dyDescent="0.25">
      <c r="A29" t="s">
        <v>5</v>
      </c>
      <c r="B29" t="s">
        <v>72</v>
      </c>
      <c r="C29">
        <f>VLOOKUP(D1_ABRIL_2025[[#This Row],[SUPER]],DATA_ABRIL_2025[[SUPERVISOR]:[META]],3,0)</f>
        <v>57000</v>
      </c>
      <c r="D29">
        <f>D1_ABRIL_2025[[#This Row],[RECUPERO]]/D1_ABRIL_2025[[#This Row],[META]]</f>
        <v>0.6498942105263158</v>
      </c>
      <c r="E29" t="s">
        <v>5</v>
      </c>
      <c r="F29" t="s">
        <v>72</v>
      </c>
      <c r="G29">
        <v>37043.97</v>
      </c>
      <c r="H29" t="s">
        <v>450</v>
      </c>
      <c r="I29" s="55">
        <v>45084</v>
      </c>
      <c r="J29" t="s">
        <v>501</v>
      </c>
      <c r="L29" s="55"/>
      <c r="M29" s="1">
        <f>DATA_ABRIL_2025[[#This Row],[RECUPERO]]/DATA_ABRIL_2025[[#This Row],[META]]</f>
        <v>0.39595121951219514</v>
      </c>
      <c r="N29">
        <f>6-ROUNDUP(_xlfn.RANK.EQ(DATA_ABRIL_2025[[#This Row],[AL_AC]],DATA_ABRIL_2025[AL_AC],0)/(COUNTA(DATA_ABRIL_2025[AL_AC])/5),0)</f>
        <v>3</v>
      </c>
      <c r="O29" t="s">
        <v>124</v>
      </c>
      <c r="P29">
        <f>SUM(DATA_ABRIL_2025[[#This Row],[1]:[31]])</f>
        <v>8117</v>
      </c>
      <c r="Q29">
        <v>20500</v>
      </c>
      <c r="R29" t="s">
        <v>16</v>
      </c>
      <c r="S29">
        <v>200</v>
      </c>
      <c r="U29">
        <v>529</v>
      </c>
      <c r="V29">
        <v>1065</v>
      </c>
      <c r="Z29">
        <v>250</v>
      </c>
      <c r="AA29">
        <v>200</v>
      </c>
      <c r="AB29">
        <v>350</v>
      </c>
      <c r="AD29">
        <v>100</v>
      </c>
      <c r="AG29">
        <v>550</v>
      </c>
      <c r="AM29">
        <v>375</v>
      </c>
      <c r="AO29">
        <v>400</v>
      </c>
      <c r="AR29">
        <v>338</v>
      </c>
      <c r="AT29">
        <v>400</v>
      </c>
      <c r="AU29">
        <v>500</v>
      </c>
      <c r="AV29">
        <v>2860</v>
      </c>
      <c r="AX29" t="s">
        <v>153</v>
      </c>
    </row>
    <row r="30" spans="1:50" x14ac:dyDescent="0.25">
      <c r="A30" t="s">
        <v>5</v>
      </c>
      <c r="B30" t="s">
        <v>66</v>
      </c>
      <c r="C30">
        <f>VLOOKUP(D1_ABRIL_2025[[#This Row],[SUPER]],DATA_ABRIL_2025[[SUPERVISOR]:[META]],3,0)</f>
        <v>57000</v>
      </c>
      <c r="D30">
        <f>D1_ABRIL_2025[[#This Row],[RECUPERO]]/D1_ABRIL_2025[[#This Row],[META]]</f>
        <v>0.62885964912280701</v>
      </c>
      <c r="E30" t="s">
        <v>5</v>
      </c>
      <c r="F30" t="s">
        <v>66</v>
      </c>
      <c r="G30">
        <v>35845</v>
      </c>
      <c r="H30" t="s">
        <v>383</v>
      </c>
      <c r="I30" s="55">
        <v>45457</v>
      </c>
      <c r="J30" t="s">
        <v>501</v>
      </c>
      <c r="L30" s="55"/>
      <c r="M30" s="1">
        <f>DATA_ABRIL_2025[[#This Row],[RECUPERO]]/DATA_ABRIL_2025[[#This Row],[META]]</f>
        <v>0.28731707317073168</v>
      </c>
      <c r="N30">
        <f>6-ROUNDUP(_xlfn.RANK.EQ(DATA_ABRIL_2025[[#This Row],[AL_AC]],DATA_ABRIL_2025[AL_AC],0)/(COUNTA(DATA_ABRIL_2025[AL_AC])/5),0)</f>
        <v>2</v>
      </c>
      <c r="O30" t="s">
        <v>124</v>
      </c>
      <c r="P30">
        <f>SUM(DATA_ABRIL_2025[[#This Row],[1]:[31]])</f>
        <v>5890</v>
      </c>
      <c r="Q30">
        <v>20500</v>
      </c>
      <c r="R30" t="s">
        <v>27</v>
      </c>
      <c r="V30">
        <v>400</v>
      </c>
      <c r="Y30">
        <v>200</v>
      </c>
      <c r="AB30">
        <v>500</v>
      </c>
      <c r="AF30">
        <v>3700</v>
      </c>
      <c r="AG30">
        <v>390</v>
      </c>
      <c r="AR30">
        <v>300</v>
      </c>
      <c r="AU30">
        <v>400</v>
      </c>
      <c r="AX30" t="s">
        <v>153</v>
      </c>
    </row>
    <row r="31" spans="1:50" x14ac:dyDescent="0.25">
      <c r="A31" t="s">
        <v>5</v>
      </c>
      <c r="B31" t="s">
        <v>68</v>
      </c>
      <c r="C31">
        <f>VLOOKUP(D1_ABRIL_2025[[#This Row],[SUPER]],DATA_ABRIL_2025[[SUPERVISOR]:[META]],3,0)</f>
        <v>57000</v>
      </c>
      <c r="D31">
        <f>D1_ABRIL_2025[[#This Row],[RECUPERO]]/D1_ABRIL_2025[[#This Row],[META]]</f>
        <v>1.0424385964912282</v>
      </c>
      <c r="E31" t="s">
        <v>5</v>
      </c>
      <c r="F31" t="s">
        <v>68</v>
      </c>
      <c r="G31">
        <v>59419</v>
      </c>
      <c r="H31" t="s">
        <v>440</v>
      </c>
      <c r="I31" s="55">
        <v>45364</v>
      </c>
      <c r="J31" t="s">
        <v>501</v>
      </c>
      <c r="L31" s="55"/>
      <c r="M31" s="1">
        <f>DATA_ABRIL_2025[[#This Row],[RECUPERO]]/DATA_ABRIL_2025[[#This Row],[META]]</f>
        <v>0.6333333333333333</v>
      </c>
      <c r="N31">
        <f>6-ROUNDUP(_xlfn.RANK.EQ(DATA_ABRIL_2025[[#This Row],[AL_AC]],DATA_ABRIL_2025[AL_AC],0)/(COUNTA(DATA_ABRIL_2025[AL_AC])/5),0)</f>
        <v>4</v>
      </c>
      <c r="O31" t="s">
        <v>2</v>
      </c>
      <c r="P31">
        <f>SUM(DATA_ABRIL_2025[[#This Row],[1]:[31]])</f>
        <v>36100</v>
      </c>
      <c r="Q31">
        <v>57000</v>
      </c>
      <c r="R31" t="s">
        <v>12</v>
      </c>
      <c r="S31">
        <v>600</v>
      </c>
      <c r="W31">
        <v>600</v>
      </c>
      <c r="AA31">
        <v>6000</v>
      </c>
      <c r="AH31">
        <v>5000</v>
      </c>
      <c r="AM31">
        <v>900</v>
      </c>
      <c r="AO31">
        <v>300</v>
      </c>
      <c r="AQ31">
        <v>10600</v>
      </c>
      <c r="AR31">
        <v>4000</v>
      </c>
      <c r="AU31">
        <v>4600</v>
      </c>
      <c r="AV31">
        <v>3500</v>
      </c>
      <c r="AX31" t="s">
        <v>150</v>
      </c>
    </row>
    <row r="32" spans="1:50" x14ac:dyDescent="0.25">
      <c r="A32" t="s">
        <v>5</v>
      </c>
      <c r="B32" t="s">
        <v>70</v>
      </c>
      <c r="C32">
        <f>VLOOKUP(D1_ABRIL_2025[[#This Row],[SUPER]],DATA_ABRIL_2025[[SUPERVISOR]:[META]],3,0)</f>
        <v>57000</v>
      </c>
      <c r="D32">
        <f>D1_ABRIL_2025[[#This Row],[RECUPERO]]/D1_ABRIL_2025[[#This Row],[META]]</f>
        <v>0.66391228070175434</v>
      </c>
      <c r="E32" t="s">
        <v>5</v>
      </c>
      <c r="F32" t="s">
        <v>70</v>
      </c>
      <c r="G32">
        <v>37843</v>
      </c>
      <c r="H32" t="s">
        <v>418</v>
      </c>
      <c r="I32" s="55">
        <v>44971</v>
      </c>
      <c r="J32" t="s">
        <v>501</v>
      </c>
      <c r="L32" s="55"/>
      <c r="M32" s="1">
        <f>DATA_ABRIL_2025[[#This Row],[RECUPERO]]/DATA_ABRIL_2025[[#This Row],[META]]</f>
        <v>0.21614634146341463</v>
      </c>
      <c r="N32">
        <f>6-ROUNDUP(_xlfn.RANK.EQ(DATA_ABRIL_2025[[#This Row],[AL_AC]],DATA_ABRIL_2025[AL_AC],0)/(COUNTA(DATA_ABRIL_2025[AL_AC])/5),0)</f>
        <v>1</v>
      </c>
      <c r="O32" t="s">
        <v>8</v>
      </c>
      <c r="P32">
        <f>SUM(DATA_ABRIL_2025[[#This Row],[1]:[31]])</f>
        <v>4431</v>
      </c>
      <c r="Q32">
        <v>20500</v>
      </c>
      <c r="R32" t="s">
        <v>51</v>
      </c>
      <c r="T32">
        <v>200</v>
      </c>
      <c r="V32">
        <v>500</v>
      </c>
      <c r="AA32">
        <v>200</v>
      </c>
      <c r="AB32">
        <v>100</v>
      </c>
      <c r="AC32">
        <v>700</v>
      </c>
      <c r="AO32">
        <v>331</v>
      </c>
      <c r="AT32">
        <v>800</v>
      </c>
      <c r="AU32">
        <v>1000</v>
      </c>
      <c r="AV32">
        <v>600</v>
      </c>
      <c r="AX32" t="s">
        <v>153</v>
      </c>
    </row>
    <row r="33" spans="1:50" x14ac:dyDescent="0.25">
      <c r="A33" t="s">
        <v>5</v>
      </c>
      <c r="B33" t="s">
        <v>79</v>
      </c>
      <c r="C33">
        <f>VLOOKUP(D1_ABRIL_2025[[#This Row],[SUPER]],DATA_ABRIL_2025[[SUPERVISOR]:[META]],3,0)</f>
        <v>57000</v>
      </c>
      <c r="D33">
        <f>D1_ABRIL_2025[[#This Row],[RECUPERO]]/D1_ABRIL_2025[[#This Row],[META]]</f>
        <v>0.47192982456140353</v>
      </c>
      <c r="E33" t="s">
        <v>5</v>
      </c>
      <c r="F33" t="s">
        <v>79</v>
      </c>
      <c r="G33">
        <v>26900</v>
      </c>
      <c r="H33" t="s">
        <v>453</v>
      </c>
      <c r="I33" s="55">
        <v>44566</v>
      </c>
      <c r="J33" t="s">
        <v>501</v>
      </c>
      <c r="L33" s="55"/>
      <c r="M33" s="1">
        <f>DATA_ABRIL_2025[[#This Row],[RECUPERO]]/DATA_ABRIL_2025[[#This Row],[META]]</f>
        <v>0.43447368421052629</v>
      </c>
      <c r="N33">
        <f>6-ROUNDUP(_xlfn.RANK.EQ(DATA_ABRIL_2025[[#This Row],[AL_AC]],DATA_ABRIL_2025[AL_AC],0)/(COUNTA(DATA_ABRIL_2025[AL_AC])/5),0)</f>
        <v>3</v>
      </c>
      <c r="O33" t="s">
        <v>2</v>
      </c>
      <c r="P33">
        <f>SUM(DATA_ABRIL_2025[[#This Row],[1]:[31]])</f>
        <v>24765</v>
      </c>
      <c r="Q33">
        <v>57000</v>
      </c>
      <c r="R33" t="s">
        <v>13</v>
      </c>
      <c r="S33">
        <v>1600</v>
      </c>
      <c r="U33">
        <v>1500</v>
      </c>
      <c r="V33">
        <v>1600</v>
      </c>
      <c r="Y33">
        <v>1000</v>
      </c>
      <c r="AC33">
        <v>700</v>
      </c>
      <c r="AH33">
        <v>5300</v>
      </c>
      <c r="AM33">
        <v>2000</v>
      </c>
      <c r="AN33">
        <v>1700</v>
      </c>
      <c r="AO33">
        <v>1000</v>
      </c>
      <c r="AP33">
        <v>1200</v>
      </c>
      <c r="AT33">
        <v>800</v>
      </c>
      <c r="AU33">
        <v>700</v>
      </c>
      <c r="AV33">
        <v>5665</v>
      </c>
      <c r="AX33" t="s">
        <v>150</v>
      </c>
    </row>
    <row r="34" spans="1:50" x14ac:dyDescent="0.25">
      <c r="A34" t="s">
        <v>6</v>
      </c>
      <c r="B34" t="s">
        <v>18</v>
      </c>
      <c r="C34">
        <f>VLOOKUP(D1_ABRIL_2025[[#This Row],[SUPER]],DATA_ABRIL_2025[[SUPERVISOR]:[META]],3,0)</f>
        <v>26000</v>
      </c>
      <c r="D34">
        <f>D1_ABRIL_2025[[#This Row],[RECUPERO]]/D1_ABRIL_2025[[#This Row],[META]]</f>
        <v>0.30588461538461537</v>
      </c>
      <c r="E34" t="s">
        <v>6</v>
      </c>
      <c r="F34" t="s">
        <v>18</v>
      </c>
      <c r="G34">
        <v>7953</v>
      </c>
      <c r="H34" t="s">
        <v>431</v>
      </c>
      <c r="I34" s="55">
        <v>45133</v>
      </c>
      <c r="J34" t="s">
        <v>501</v>
      </c>
      <c r="L34" s="55"/>
      <c r="M34" s="1">
        <f>DATA_ABRIL_2025[[#This Row],[RECUPERO]]/DATA_ABRIL_2025[[#This Row],[META]]</f>
        <v>0.28375609756097558</v>
      </c>
      <c r="N34">
        <f>6-ROUNDUP(_xlfn.RANK.EQ(DATA_ABRIL_2025[[#This Row],[AL_AC]],DATA_ABRIL_2025[AL_AC],0)/(COUNTA(DATA_ABRIL_2025[AL_AC])/5),0)</f>
        <v>2</v>
      </c>
      <c r="O34" t="s">
        <v>124</v>
      </c>
      <c r="P34">
        <f>SUM(DATA_ABRIL_2025[[#This Row],[1]:[31]])</f>
        <v>5817</v>
      </c>
      <c r="Q34">
        <v>20500</v>
      </c>
      <c r="R34" t="s">
        <v>32</v>
      </c>
      <c r="T34">
        <v>1000</v>
      </c>
      <c r="U34">
        <v>600</v>
      </c>
      <c r="V34">
        <v>500</v>
      </c>
      <c r="Z34">
        <v>227</v>
      </c>
      <c r="AG34">
        <v>490</v>
      </c>
      <c r="AH34">
        <v>100</v>
      </c>
      <c r="AM34">
        <v>200</v>
      </c>
      <c r="AP34">
        <v>1550</v>
      </c>
      <c r="AQ34">
        <v>200</v>
      </c>
      <c r="AT34">
        <v>200</v>
      </c>
      <c r="AU34">
        <v>400</v>
      </c>
      <c r="AV34">
        <v>350</v>
      </c>
      <c r="AX34" t="s">
        <v>153</v>
      </c>
    </row>
    <row r="35" spans="1:50" x14ac:dyDescent="0.25">
      <c r="A35" t="s">
        <v>6</v>
      </c>
      <c r="B35" t="s">
        <v>81</v>
      </c>
      <c r="C35">
        <f>VLOOKUP(D1_ABRIL_2025[[#This Row],[SUPER]],DATA_ABRIL_2025[[SUPERVISOR]:[META]],3,0)</f>
        <v>26000</v>
      </c>
      <c r="D35">
        <f>D1_ABRIL_2025[[#This Row],[RECUPERO]]/D1_ABRIL_2025[[#This Row],[META]]</f>
        <v>0.13846153846153847</v>
      </c>
      <c r="E35" t="s">
        <v>6</v>
      </c>
      <c r="F35" t="s">
        <v>81</v>
      </c>
      <c r="G35">
        <v>3600</v>
      </c>
      <c r="H35" t="s">
        <v>425</v>
      </c>
      <c r="I35" s="55">
        <v>45506</v>
      </c>
      <c r="J35" t="s">
        <v>501</v>
      </c>
      <c r="L35" s="55"/>
      <c r="M35" s="1">
        <f>DATA_ABRIL_2025[[#This Row],[RECUPERO]]/DATA_ABRIL_2025[[#This Row],[META]]</f>
        <v>0.62885964912280701</v>
      </c>
      <c r="N35">
        <f>6-ROUNDUP(_xlfn.RANK.EQ(DATA_ABRIL_2025[[#This Row],[AL_AC]],DATA_ABRIL_2025[AL_AC],0)/(COUNTA(DATA_ABRIL_2025[AL_AC])/5),0)</f>
        <v>3</v>
      </c>
      <c r="O35" t="s">
        <v>5</v>
      </c>
      <c r="P35">
        <f>SUM(DATA_ABRIL_2025[[#This Row],[1]:[31]])</f>
        <v>35845</v>
      </c>
      <c r="Q35">
        <v>57000</v>
      </c>
      <c r="R35" t="s">
        <v>66</v>
      </c>
      <c r="T35">
        <v>720</v>
      </c>
      <c r="Y35">
        <v>3000</v>
      </c>
      <c r="AA35">
        <v>5000</v>
      </c>
      <c r="AB35">
        <v>9600</v>
      </c>
      <c r="AJ35">
        <v>295</v>
      </c>
      <c r="AM35">
        <v>3000</v>
      </c>
      <c r="AN35">
        <v>3920</v>
      </c>
      <c r="AO35">
        <v>3200</v>
      </c>
      <c r="AU35">
        <v>2100</v>
      </c>
      <c r="AV35">
        <v>5010</v>
      </c>
      <c r="AX35" t="s">
        <v>150</v>
      </c>
    </row>
    <row r="36" spans="1:50" x14ac:dyDescent="0.25">
      <c r="A36" t="s">
        <v>6</v>
      </c>
      <c r="B36" t="s">
        <v>105</v>
      </c>
      <c r="C36">
        <f>VLOOKUP(D1_ABRIL_2025[[#This Row],[SUPER]],DATA_ABRIL_2025[[SUPERVISOR]:[META]],3,0)</f>
        <v>26000</v>
      </c>
      <c r="D36">
        <f>D1_ABRIL_2025[[#This Row],[RECUPERO]]/D1_ABRIL_2025[[#This Row],[META]]</f>
        <v>0.3</v>
      </c>
      <c r="E36" t="s">
        <v>6</v>
      </c>
      <c r="F36" t="s">
        <v>105</v>
      </c>
      <c r="G36">
        <v>7800</v>
      </c>
      <c r="H36" t="s">
        <v>463</v>
      </c>
      <c r="I36" s="55">
        <v>45748</v>
      </c>
      <c r="J36" t="s">
        <v>501</v>
      </c>
      <c r="L36" s="55"/>
      <c r="M36" s="1">
        <f>DATA_ABRIL_2025[[#This Row],[RECUPERO]]/DATA_ABRIL_2025[[#This Row],[META]]</f>
        <v>0.55980487804878054</v>
      </c>
      <c r="N36">
        <f>6-ROUNDUP(_xlfn.RANK.EQ(DATA_ABRIL_2025[[#This Row],[AL_AC]],DATA_ABRIL_2025[AL_AC],0)/(COUNTA(DATA_ABRIL_2025[AL_AC])/5),0)</f>
        <v>3</v>
      </c>
      <c r="O36" t="s">
        <v>125</v>
      </c>
      <c r="P36">
        <f>SUM(DATA_ABRIL_2025[[#This Row],[1]:[31]])</f>
        <v>11476</v>
      </c>
      <c r="Q36">
        <v>20500</v>
      </c>
      <c r="R36" t="s">
        <v>71</v>
      </c>
      <c r="S36">
        <v>200</v>
      </c>
      <c r="T36">
        <v>300</v>
      </c>
      <c r="Y36">
        <v>200</v>
      </c>
      <c r="AA36">
        <v>400</v>
      </c>
      <c r="AB36">
        <v>550</v>
      </c>
      <c r="AF36">
        <v>1000</v>
      </c>
      <c r="AM36">
        <v>600</v>
      </c>
      <c r="AN36">
        <v>3250</v>
      </c>
      <c r="AR36">
        <v>200</v>
      </c>
      <c r="AT36">
        <v>1500</v>
      </c>
      <c r="AU36">
        <v>1226</v>
      </c>
      <c r="AV36">
        <v>2050</v>
      </c>
      <c r="AX36" t="s">
        <v>153</v>
      </c>
    </row>
    <row r="37" spans="1:50" x14ac:dyDescent="0.25">
      <c r="A37" t="s">
        <v>6</v>
      </c>
      <c r="B37" t="s">
        <v>37</v>
      </c>
      <c r="C37">
        <f>VLOOKUP(D1_ABRIL_2025[[#This Row],[SUPER]],DATA_ABRIL_2025[[SUPERVISOR]:[META]],3,0)</f>
        <v>26000</v>
      </c>
      <c r="D37">
        <f>D1_ABRIL_2025[[#This Row],[RECUPERO]]/D1_ABRIL_2025[[#This Row],[META]]</f>
        <v>0.2803846153846154</v>
      </c>
      <c r="E37" t="s">
        <v>6</v>
      </c>
      <c r="F37" t="s">
        <v>37</v>
      </c>
      <c r="G37">
        <v>7290</v>
      </c>
      <c r="H37" t="s">
        <v>400</v>
      </c>
      <c r="I37" s="55">
        <v>43132</v>
      </c>
      <c r="J37" t="s">
        <v>501</v>
      </c>
      <c r="L37" s="55"/>
      <c r="M37" s="1">
        <f>DATA_ABRIL_2025[[#This Row],[RECUPERO]]/DATA_ABRIL_2025[[#This Row],[META]]</f>
        <v>0.4682926829268293</v>
      </c>
      <c r="N37">
        <f>6-ROUNDUP(_xlfn.RANK.EQ(DATA_ABRIL_2025[[#This Row],[AL_AC]],DATA_ABRIL_2025[AL_AC],0)/(COUNTA(DATA_ABRIL_2025[AL_AC])/5),0)</f>
        <v>3</v>
      </c>
      <c r="O37" t="s">
        <v>124</v>
      </c>
      <c r="P37">
        <f>SUM(DATA_ABRIL_2025[[#This Row],[1]:[31]])</f>
        <v>9600</v>
      </c>
      <c r="Q37">
        <v>20500</v>
      </c>
      <c r="R37" t="s">
        <v>127</v>
      </c>
      <c r="S37">
        <v>700</v>
      </c>
      <c r="T37">
        <v>500</v>
      </c>
      <c r="Y37">
        <v>100</v>
      </c>
      <c r="AG37">
        <v>1000</v>
      </c>
      <c r="AN37">
        <v>100</v>
      </c>
      <c r="AP37">
        <v>700</v>
      </c>
      <c r="AQ37">
        <v>300</v>
      </c>
      <c r="AV37">
        <v>6200</v>
      </c>
      <c r="AX37" t="s">
        <v>153</v>
      </c>
    </row>
    <row r="38" spans="1:50" x14ac:dyDescent="0.25">
      <c r="A38" t="s">
        <v>6</v>
      </c>
      <c r="B38" t="s">
        <v>35</v>
      </c>
      <c r="C38">
        <f>VLOOKUP(D1_ABRIL_2025[[#This Row],[SUPER]],DATA_ABRIL_2025[[SUPERVISOR]:[META]],3,0)</f>
        <v>26000</v>
      </c>
      <c r="D38">
        <f>D1_ABRIL_2025[[#This Row],[RECUPERO]]/D1_ABRIL_2025[[#This Row],[META]]</f>
        <v>0.71696576923076927</v>
      </c>
      <c r="E38" t="s">
        <v>6</v>
      </c>
      <c r="F38" t="s">
        <v>35</v>
      </c>
      <c r="G38">
        <v>18641.11</v>
      </c>
      <c r="H38" t="s">
        <v>401</v>
      </c>
      <c r="I38" s="55">
        <v>44748</v>
      </c>
      <c r="J38" t="s">
        <v>501</v>
      </c>
      <c r="L38" s="55"/>
      <c r="M38" s="1">
        <f>DATA_ABRIL_2025[[#This Row],[RECUPERO]]/DATA_ABRIL_2025[[#This Row],[META]]</f>
        <v>0</v>
      </c>
      <c r="N38">
        <f>6-ROUNDUP(_xlfn.RANK.EQ(DATA_ABRIL_2025[[#This Row],[AL_AC]],DATA_ABRIL_2025[AL_AC],0)/(COUNTA(DATA_ABRIL_2025[AL_AC])/5),0)</f>
        <v>1</v>
      </c>
      <c r="O38" t="s">
        <v>125</v>
      </c>
      <c r="P38">
        <f>SUM(DATA_ABRIL_2025[[#This Row],[1]:[31]])</f>
        <v>0</v>
      </c>
      <c r="Q38">
        <v>20500</v>
      </c>
      <c r="R38" t="s">
        <v>42</v>
      </c>
      <c r="AX38" t="s">
        <v>153</v>
      </c>
    </row>
    <row r="39" spans="1:50" x14ac:dyDescent="0.25">
      <c r="A39" t="s">
        <v>6</v>
      </c>
      <c r="B39" t="s">
        <v>31</v>
      </c>
      <c r="C39">
        <f>VLOOKUP(D1_ABRIL_2025[[#This Row],[SUPER]],DATA_ABRIL_2025[[SUPERVISOR]:[META]],3,0)</f>
        <v>26000</v>
      </c>
      <c r="D39">
        <f>D1_ABRIL_2025[[#This Row],[RECUPERO]]/D1_ABRIL_2025[[#This Row],[META]]</f>
        <v>0.8453846153846154</v>
      </c>
      <c r="E39" t="s">
        <v>6</v>
      </c>
      <c r="F39" t="s">
        <v>31</v>
      </c>
      <c r="G39">
        <v>21980</v>
      </c>
      <c r="H39" t="s">
        <v>403</v>
      </c>
      <c r="I39" s="55">
        <v>45334</v>
      </c>
      <c r="J39" t="s">
        <v>501</v>
      </c>
      <c r="L39" s="55"/>
      <c r="M39" s="1">
        <f>DATA_ABRIL_2025[[#This Row],[RECUPERO]]/DATA_ABRIL_2025[[#This Row],[META]]</f>
        <v>0.72634146341463413</v>
      </c>
      <c r="N39">
        <f>6-ROUNDUP(_xlfn.RANK.EQ(DATA_ABRIL_2025[[#This Row],[AL_AC]],DATA_ABRIL_2025[AL_AC],0)/(COUNTA(DATA_ABRIL_2025[AL_AC])/5),0)</f>
        <v>4</v>
      </c>
      <c r="O39" t="s">
        <v>8</v>
      </c>
      <c r="P39">
        <f>SUM(DATA_ABRIL_2025[[#This Row],[1]:[31]])</f>
        <v>14890</v>
      </c>
      <c r="Q39">
        <v>20500</v>
      </c>
      <c r="R39" t="s">
        <v>83</v>
      </c>
      <c r="T39">
        <v>200</v>
      </c>
      <c r="U39">
        <v>300</v>
      </c>
      <c r="V39">
        <v>186</v>
      </c>
      <c r="Y39">
        <v>1800</v>
      </c>
      <c r="Z39">
        <v>400</v>
      </c>
      <c r="AB39">
        <v>400</v>
      </c>
      <c r="AH39">
        <v>400</v>
      </c>
      <c r="AM39">
        <v>150</v>
      </c>
      <c r="AP39">
        <v>1000</v>
      </c>
      <c r="AQ39">
        <v>300</v>
      </c>
      <c r="AR39">
        <v>950</v>
      </c>
      <c r="AU39">
        <v>6115</v>
      </c>
      <c r="AV39">
        <v>2689</v>
      </c>
      <c r="AX39" t="s">
        <v>153</v>
      </c>
    </row>
    <row r="40" spans="1:50" x14ac:dyDescent="0.25">
      <c r="A40" t="s">
        <v>6</v>
      </c>
      <c r="B40" t="s">
        <v>110</v>
      </c>
      <c r="C40">
        <f>VLOOKUP(D1_ABRIL_2025[[#This Row],[SUPER]],DATA_ABRIL_2025[[SUPERVISOR]:[META]],3,0)</f>
        <v>26000</v>
      </c>
      <c r="D40">
        <f>D1_ABRIL_2025[[#This Row],[RECUPERO]]/D1_ABRIL_2025[[#This Row],[META]]</f>
        <v>0.40246153846153848</v>
      </c>
      <c r="E40" t="s">
        <v>6</v>
      </c>
      <c r="F40" t="s">
        <v>110</v>
      </c>
      <c r="G40">
        <v>10464</v>
      </c>
      <c r="H40" t="s">
        <v>454</v>
      </c>
      <c r="I40" s="55">
        <v>44993</v>
      </c>
      <c r="J40" t="s">
        <v>501</v>
      </c>
      <c r="L40" s="55"/>
      <c r="M40" s="1">
        <f>DATA_ABRIL_2025[[#This Row],[RECUPERO]]/DATA_ABRIL_2025[[#This Row],[META]]</f>
        <v>0.3453684210526316</v>
      </c>
      <c r="N40">
        <f>6-ROUNDUP(_xlfn.RANK.EQ(DATA_ABRIL_2025[[#This Row],[AL_AC]],DATA_ABRIL_2025[AL_AC],0)/(COUNTA(DATA_ABRIL_2025[AL_AC])/5),0)</f>
        <v>3</v>
      </c>
      <c r="O40" t="s">
        <v>9</v>
      </c>
      <c r="P40">
        <f>SUM(DATA_ABRIL_2025[[#This Row],[1]:[31]])</f>
        <v>19686</v>
      </c>
      <c r="Q40">
        <v>57000</v>
      </c>
      <c r="R40" t="s">
        <v>57</v>
      </c>
      <c r="U40">
        <v>8700</v>
      </c>
      <c r="AA40">
        <v>1103</v>
      </c>
      <c r="AC40">
        <v>4000</v>
      </c>
      <c r="AH40">
        <v>3800</v>
      </c>
      <c r="AP40">
        <v>270</v>
      </c>
      <c r="AQ40">
        <v>563</v>
      </c>
      <c r="AR40">
        <v>1250</v>
      </c>
      <c r="AX40" t="s">
        <v>150</v>
      </c>
    </row>
    <row r="41" spans="1:50" x14ac:dyDescent="0.25">
      <c r="A41" t="s">
        <v>6</v>
      </c>
      <c r="B41" t="s">
        <v>36</v>
      </c>
      <c r="C41">
        <f>VLOOKUP(D1_ABRIL_2025[[#This Row],[SUPER]],DATA_ABRIL_2025[[SUPERVISOR]:[META]],3,0)</f>
        <v>26000</v>
      </c>
      <c r="D41">
        <f>D1_ABRIL_2025[[#This Row],[RECUPERO]]/D1_ABRIL_2025[[#This Row],[META]]</f>
        <v>0.3092692307692308</v>
      </c>
      <c r="E41" t="s">
        <v>6</v>
      </c>
      <c r="F41" t="s">
        <v>36</v>
      </c>
      <c r="G41">
        <v>8041</v>
      </c>
      <c r="H41" t="s">
        <v>406</v>
      </c>
      <c r="I41" s="55">
        <v>44941</v>
      </c>
      <c r="J41" t="s">
        <v>501</v>
      </c>
      <c r="L41" s="55"/>
      <c r="M41" s="1">
        <f>DATA_ABRIL_2025[[#This Row],[RECUPERO]]/DATA_ABRIL_2025[[#This Row],[META]]</f>
        <v>0.31111403508771929</v>
      </c>
      <c r="N41">
        <f>6-ROUNDUP(_xlfn.RANK.EQ(DATA_ABRIL_2025[[#This Row],[AL_AC]],DATA_ABRIL_2025[AL_AC],0)/(COUNTA(DATA_ABRIL_2025[AL_AC])/5),0)</f>
        <v>2</v>
      </c>
      <c r="O41" t="s">
        <v>9</v>
      </c>
      <c r="P41">
        <f>SUM(DATA_ABRIL_2025[[#This Row],[1]:[31]])</f>
        <v>17733.5</v>
      </c>
      <c r="Q41">
        <v>57000</v>
      </c>
      <c r="R41" t="s">
        <v>65</v>
      </c>
      <c r="U41">
        <v>216</v>
      </c>
      <c r="V41">
        <v>1.5</v>
      </c>
      <c r="Z41">
        <v>5000</v>
      </c>
      <c r="AB41">
        <v>1500</v>
      </c>
      <c r="AG41">
        <v>700</v>
      </c>
      <c r="AH41">
        <v>1562</v>
      </c>
      <c r="AJ41">
        <v>1500</v>
      </c>
      <c r="AO41">
        <v>665</v>
      </c>
      <c r="AQ41">
        <v>708</v>
      </c>
      <c r="AV41">
        <v>5881</v>
      </c>
      <c r="AX41" t="s">
        <v>150</v>
      </c>
    </row>
    <row r="42" spans="1:50" x14ac:dyDescent="0.25">
      <c r="A42" t="s">
        <v>6</v>
      </c>
      <c r="B42" t="s">
        <v>128</v>
      </c>
      <c r="C42">
        <f>VLOOKUP(D1_ABRIL_2025[[#This Row],[SUPER]],DATA_ABRIL_2025[[SUPERVISOR]:[META]],3,0)</f>
        <v>26000</v>
      </c>
      <c r="D42">
        <f>D1_ABRIL_2025[[#This Row],[RECUPERO]]/D1_ABRIL_2025[[#This Row],[META]]</f>
        <v>0.24307692307692308</v>
      </c>
      <c r="E42" t="s">
        <v>6</v>
      </c>
      <c r="F42" t="s">
        <v>128</v>
      </c>
      <c r="G42">
        <v>6320</v>
      </c>
      <c r="H42" t="s">
        <v>460</v>
      </c>
      <c r="I42" s="55">
        <v>45727</v>
      </c>
      <c r="J42" t="s">
        <v>501</v>
      </c>
      <c r="L42" s="55"/>
      <c r="M42" s="1">
        <f>DATA_ABRIL_2025[[#This Row],[RECUPERO]]/DATA_ABRIL_2025[[#This Row],[META]]</f>
        <v>0.71121951219512192</v>
      </c>
      <c r="N42">
        <f>6-ROUNDUP(_xlfn.RANK.EQ(DATA_ABRIL_2025[[#This Row],[AL_AC]],DATA_ABRIL_2025[AL_AC],0)/(COUNTA(DATA_ABRIL_2025[AL_AC])/5),0)</f>
        <v>4</v>
      </c>
      <c r="O42" t="s">
        <v>125</v>
      </c>
      <c r="P42">
        <f>SUM(DATA_ABRIL_2025[[#This Row],[1]:[31]])</f>
        <v>14580</v>
      </c>
      <c r="Q42">
        <v>20500</v>
      </c>
      <c r="R42" t="s">
        <v>20</v>
      </c>
      <c r="S42">
        <v>1398</v>
      </c>
      <c r="T42">
        <v>450</v>
      </c>
      <c r="U42">
        <v>550</v>
      </c>
      <c r="V42">
        <v>2551</v>
      </c>
      <c r="Y42">
        <v>1500</v>
      </c>
      <c r="AG42">
        <v>2000</v>
      </c>
      <c r="AT42">
        <v>200</v>
      </c>
      <c r="AV42">
        <v>5931</v>
      </c>
      <c r="AX42" t="s">
        <v>153</v>
      </c>
    </row>
    <row r="43" spans="1:50" x14ac:dyDescent="0.25">
      <c r="A43" t="s">
        <v>6</v>
      </c>
      <c r="B43" t="s">
        <v>34</v>
      </c>
      <c r="C43">
        <f>VLOOKUP(D1_ABRIL_2025[[#This Row],[SUPER]],DATA_ABRIL_2025[[SUPERVISOR]:[META]],3,0)</f>
        <v>26000</v>
      </c>
      <c r="D43">
        <f>D1_ABRIL_2025[[#This Row],[RECUPERO]]/D1_ABRIL_2025[[#This Row],[META]]</f>
        <v>0.75811538461538464</v>
      </c>
      <c r="E43" t="s">
        <v>6</v>
      </c>
      <c r="F43" t="s">
        <v>34</v>
      </c>
      <c r="G43">
        <v>19711</v>
      </c>
      <c r="H43" t="s">
        <v>407</v>
      </c>
      <c r="I43" s="55">
        <v>45175</v>
      </c>
      <c r="J43" t="s">
        <v>501</v>
      </c>
      <c r="L43" s="55"/>
      <c r="M43" s="1">
        <f>DATA_ABRIL_2025[[#This Row],[RECUPERO]]/DATA_ABRIL_2025[[#This Row],[META]]</f>
        <v>0.2803846153846154</v>
      </c>
      <c r="N43">
        <f>6-ROUNDUP(_xlfn.RANK.EQ(DATA_ABRIL_2025[[#This Row],[AL_AC]],DATA_ABRIL_2025[AL_AC],0)/(COUNTA(DATA_ABRIL_2025[AL_AC])/5),0)</f>
        <v>2</v>
      </c>
      <c r="O43" t="s">
        <v>6</v>
      </c>
      <c r="P43">
        <f>SUM(DATA_ABRIL_2025[[#This Row],[1]:[31]])</f>
        <v>7290</v>
      </c>
      <c r="Q43">
        <v>26000</v>
      </c>
      <c r="R43" t="s">
        <v>37</v>
      </c>
      <c r="Z43">
        <v>500</v>
      </c>
      <c r="AN43">
        <v>1300</v>
      </c>
      <c r="AP43">
        <v>240</v>
      </c>
      <c r="AU43">
        <v>5250</v>
      </c>
      <c r="AX43" t="s">
        <v>152</v>
      </c>
    </row>
    <row r="44" spans="1:50" x14ac:dyDescent="0.25">
      <c r="A44" t="s">
        <v>125</v>
      </c>
      <c r="B44" t="s">
        <v>21</v>
      </c>
      <c r="C44">
        <f>VLOOKUP(D1_ABRIL_2025[[#This Row],[SUPER]],DATA_ABRIL_2025[[SUPERVISOR]:[META]],3,0)</f>
        <v>20500</v>
      </c>
      <c r="D44">
        <f>D1_ABRIL_2025[[#This Row],[RECUPERO]]/D1_ABRIL_2025[[#This Row],[META]]</f>
        <v>0.86478536585365851</v>
      </c>
      <c r="E44" t="s">
        <v>125</v>
      </c>
      <c r="F44" t="s">
        <v>21</v>
      </c>
      <c r="G44">
        <v>17728.099999999999</v>
      </c>
      <c r="H44" t="s">
        <v>409</v>
      </c>
      <c r="I44" s="55">
        <v>44301</v>
      </c>
      <c r="J44" t="s">
        <v>501</v>
      </c>
      <c r="L44" s="55"/>
      <c r="M44" s="1">
        <f>DATA_ABRIL_2025[[#This Row],[RECUPERO]]/DATA_ABRIL_2025[[#This Row],[META]]</f>
        <v>0.31207317073170732</v>
      </c>
      <c r="N44">
        <f>6-ROUNDUP(_xlfn.RANK.EQ(DATA_ABRIL_2025[[#This Row],[AL_AC]],DATA_ABRIL_2025[AL_AC],0)/(COUNTA(DATA_ABRIL_2025[AL_AC])/5),0)</f>
        <v>2</v>
      </c>
      <c r="O44" t="s">
        <v>125</v>
      </c>
      <c r="P44">
        <f>SUM(DATA_ABRIL_2025[[#This Row],[1]:[31]])</f>
        <v>6397.5</v>
      </c>
      <c r="Q44">
        <v>20500</v>
      </c>
      <c r="R44" t="s">
        <v>106</v>
      </c>
      <c r="S44">
        <v>120</v>
      </c>
      <c r="U44">
        <v>100</v>
      </c>
      <c r="V44">
        <v>220</v>
      </c>
      <c r="W44">
        <v>50</v>
      </c>
      <c r="Z44">
        <v>850</v>
      </c>
      <c r="AA44">
        <v>550</v>
      </c>
      <c r="AB44">
        <v>100</v>
      </c>
      <c r="AG44">
        <v>477.5</v>
      </c>
      <c r="AH44">
        <v>350</v>
      </c>
      <c r="AM44">
        <v>930</v>
      </c>
      <c r="AN44">
        <v>70</v>
      </c>
      <c r="AO44">
        <v>300</v>
      </c>
      <c r="AP44">
        <v>700</v>
      </c>
      <c r="AR44">
        <v>250</v>
      </c>
      <c r="AU44">
        <v>700</v>
      </c>
      <c r="AV44">
        <v>630</v>
      </c>
      <c r="AX44" t="s">
        <v>153</v>
      </c>
    </row>
    <row r="45" spans="1:50" x14ac:dyDescent="0.25">
      <c r="A45" t="s">
        <v>125</v>
      </c>
      <c r="B45" t="s">
        <v>15</v>
      </c>
      <c r="C45">
        <f>VLOOKUP(D1_ABRIL_2025[[#This Row],[SUPER]],DATA_ABRIL_2025[[SUPERVISOR]:[META]],3,0)</f>
        <v>20500</v>
      </c>
      <c r="D45">
        <f>D1_ABRIL_2025[[#This Row],[RECUPERO]]/D1_ABRIL_2025[[#This Row],[META]]</f>
        <v>0.86068292682926828</v>
      </c>
      <c r="E45" t="s">
        <v>125</v>
      </c>
      <c r="F45" t="s">
        <v>15</v>
      </c>
      <c r="G45">
        <v>17644</v>
      </c>
      <c r="H45" t="s">
        <v>410</v>
      </c>
      <c r="I45" s="55">
        <v>44735</v>
      </c>
      <c r="J45" t="s">
        <v>501</v>
      </c>
      <c r="L45" s="55"/>
      <c r="M45" s="1">
        <f>DATA_ABRIL_2025[[#This Row],[RECUPERO]]/DATA_ABRIL_2025[[#This Row],[META]]</f>
        <v>0.26666666666666666</v>
      </c>
      <c r="N45">
        <f>6-ROUNDUP(_xlfn.RANK.EQ(DATA_ABRIL_2025[[#This Row],[AL_AC]],DATA_ABRIL_2025[AL_AC],0)/(COUNTA(DATA_ABRIL_2025[AL_AC])/5),0)</f>
        <v>1</v>
      </c>
      <c r="O45" t="s">
        <v>2</v>
      </c>
      <c r="P45">
        <f>SUM(DATA_ABRIL_2025[[#This Row],[1]:[31]])</f>
        <v>15200</v>
      </c>
      <c r="Q45">
        <v>57000</v>
      </c>
      <c r="R45" t="s">
        <v>77</v>
      </c>
      <c r="U45">
        <v>100</v>
      </c>
      <c r="Y45">
        <v>1700</v>
      </c>
      <c r="AA45">
        <v>1300</v>
      </c>
      <c r="AC45">
        <v>300</v>
      </c>
      <c r="AD45">
        <v>300</v>
      </c>
      <c r="AF45">
        <v>300</v>
      </c>
      <c r="AJ45">
        <v>1200</v>
      </c>
      <c r="AM45">
        <v>1500</v>
      </c>
      <c r="AO45">
        <v>350</v>
      </c>
      <c r="AP45">
        <v>350</v>
      </c>
      <c r="AT45">
        <v>7000</v>
      </c>
      <c r="AU45">
        <v>350</v>
      </c>
      <c r="AV45">
        <v>450</v>
      </c>
      <c r="AX45" t="s">
        <v>150</v>
      </c>
    </row>
    <row r="46" spans="1:50" x14ac:dyDescent="0.25">
      <c r="A46" t="s">
        <v>125</v>
      </c>
      <c r="B46" t="s">
        <v>104</v>
      </c>
      <c r="C46">
        <f>VLOOKUP(D1_ABRIL_2025[[#This Row],[SUPER]],DATA_ABRIL_2025[[SUPERVISOR]:[META]],3,0)</f>
        <v>20500</v>
      </c>
      <c r="D46">
        <f>D1_ABRIL_2025[[#This Row],[RECUPERO]]/D1_ABRIL_2025[[#This Row],[META]]</f>
        <v>0.29565853658536584</v>
      </c>
      <c r="E46" t="s">
        <v>125</v>
      </c>
      <c r="F46" t="s">
        <v>104</v>
      </c>
      <c r="G46">
        <v>6061</v>
      </c>
      <c r="H46" t="s">
        <v>456</v>
      </c>
      <c r="I46" s="55">
        <v>44104</v>
      </c>
      <c r="J46" t="s">
        <v>501</v>
      </c>
      <c r="L46" s="55"/>
      <c r="M46" s="1">
        <f>DATA_ABRIL_2025[[#This Row],[RECUPERO]]/DATA_ABRIL_2025[[#This Row],[META]]</f>
        <v>0.71696576923076927</v>
      </c>
      <c r="N46">
        <f>6-ROUNDUP(_xlfn.RANK.EQ(DATA_ABRIL_2025[[#This Row],[AL_AC]],DATA_ABRIL_2025[AL_AC],0)/(COUNTA(DATA_ABRIL_2025[AL_AC])/5),0)</f>
        <v>4</v>
      </c>
      <c r="O46" t="s">
        <v>6</v>
      </c>
      <c r="P46">
        <f>SUM(DATA_ABRIL_2025[[#This Row],[1]:[31]])</f>
        <v>18641.11</v>
      </c>
      <c r="Q46">
        <v>26000</v>
      </c>
      <c r="R46" t="s">
        <v>35</v>
      </c>
      <c r="U46">
        <v>720</v>
      </c>
      <c r="Z46">
        <v>500</v>
      </c>
      <c r="AB46">
        <v>2200</v>
      </c>
      <c r="AE46">
        <v>400</v>
      </c>
      <c r="AG46">
        <v>5000</v>
      </c>
      <c r="AH46">
        <v>2911.11</v>
      </c>
      <c r="AN46">
        <v>230</v>
      </c>
      <c r="AO46">
        <v>150</v>
      </c>
      <c r="AP46">
        <v>300</v>
      </c>
      <c r="AT46">
        <v>2550</v>
      </c>
      <c r="AU46">
        <v>2200</v>
      </c>
      <c r="AV46">
        <v>1480</v>
      </c>
      <c r="AX46" t="s">
        <v>152</v>
      </c>
    </row>
    <row r="47" spans="1:50" x14ac:dyDescent="0.25">
      <c r="A47" t="s">
        <v>125</v>
      </c>
      <c r="B47" t="s">
        <v>41</v>
      </c>
      <c r="C47">
        <f>VLOOKUP(D1_ABRIL_2025[[#This Row],[SUPER]],DATA_ABRIL_2025[[SUPERVISOR]:[META]],3,0)</f>
        <v>20500</v>
      </c>
      <c r="D47">
        <f>D1_ABRIL_2025[[#This Row],[RECUPERO]]/D1_ABRIL_2025[[#This Row],[META]]</f>
        <v>0.14487804878048779</v>
      </c>
      <c r="E47" t="s">
        <v>125</v>
      </c>
      <c r="F47" t="s">
        <v>41</v>
      </c>
      <c r="G47">
        <v>2970</v>
      </c>
      <c r="H47" t="s">
        <v>387</v>
      </c>
      <c r="I47" s="55">
        <v>45304</v>
      </c>
      <c r="J47" t="s">
        <v>501</v>
      </c>
      <c r="L47" s="55"/>
      <c r="M47" s="1">
        <f>DATA_ABRIL_2025[[#This Row],[RECUPERO]]/DATA_ABRIL_2025[[#This Row],[META]]</f>
        <v>0.22745365853658536</v>
      </c>
      <c r="N47">
        <f>6-ROUNDUP(_xlfn.RANK.EQ(DATA_ABRIL_2025[[#This Row],[AL_AC]],DATA_ABRIL_2025[AL_AC],0)/(COUNTA(DATA_ABRIL_2025[AL_AC])/5),0)</f>
        <v>1</v>
      </c>
      <c r="O47" t="s">
        <v>8</v>
      </c>
      <c r="P47">
        <f>SUM(DATA_ABRIL_2025[[#This Row],[1]:[31]])</f>
        <v>4662.8</v>
      </c>
      <c r="Q47">
        <v>20500</v>
      </c>
      <c r="R47" t="s">
        <v>33</v>
      </c>
      <c r="S47">
        <v>200</v>
      </c>
      <c r="T47">
        <v>250</v>
      </c>
      <c r="W47">
        <v>506</v>
      </c>
      <c r="Y47">
        <v>300</v>
      </c>
      <c r="AG47">
        <v>100</v>
      </c>
      <c r="AH47">
        <v>350</v>
      </c>
      <c r="AM47">
        <v>850</v>
      </c>
      <c r="AN47">
        <v>500</v>
      </c>
      <c r="AQ47">
        <v>300</v>
      </c>
      <c r="AV47">
        <v>1306.8</v>
      </c>
      <c r="AX47" t="s">
        <v>153</v>
      </c>
    </row>
    <row r="48" spans="1:50" x14ac:dyDescent="0.25">
      <c r="A48" t="s">
        <v>125</v>
      </c>
      <c r="B48" t="s">
        <v>71</v>
      </c>
      <c r="C48">
        <f>VLOOKUP(D1_ABRIL_2025[[#This Row],[SUPER]],DATA_ABRIL_2025[[SUPERVISOR]:[META]],3,0)</f>
        <v>20500</v>
      </c>
      <c r="D48">
        <f>D1_ABRIL_2025[[#This Row],[RECUPERO]]/D1_ABRIL_2025[[#This Row],[META]]</f>
        <v>0.55980487804878054</v>
      </c>
      <c r="E48" t="s">
        <v>125</v>
      </c>
      <c r="F48" t="s">
        <v>71</v>
      </c>
      <c r="G48">
        <v>11476</v>
      </c>
      <c r="H48" t="s">
        <v>414</v>
      </c>
      <c r="I48" s="55">
        <v>45423</v>
      </c>
      <c r="J48" t="s">
        <v>501</v>
      </c>
      <c r="L48" s="55"/>
      <c r="M48" s="1">
        <f>DATA_ABRIL_2025[[#This Row],[RECUPERO]]/DATA_ABRIL_2025[[#This Row],[META]]</f>
        <v>1.789719298245614</v>
      </c>
      <c r="N48">
        <f>6-ROUNDUP(_xlfn.RANK.EQ(DATA_ABRIL_2025[[#This Row],[AL_AC]],DATA_ABRIL_2025[AL_AC],0)/(COUNTA(DATA_ABRIL_2025[AL_AC])/5),0)</f>
        <v>5</v>
      </c>
      <c r="O48" t="s">
        <v>3</v>
      </c>
      <c r="P48">
        <f>SUM(DATA_ABRIL_2025[[#This Row],[1]:[31]])</f>
        <v>102014</v>
      </c>
      <c r="Q48">
        <v>57000</v>
      </c>
      <c r="R48" t="s">
        <v>23</v>
      </c>
      <c r="S48">
        <v>3667</v>
      </c>
      <c r="T48">
        <v>4830</v>
      </c>
      <c r="U48">
        <v>2400</v>
      </c>
      <c r="Y48">
        <v>5000</v>
      </c>
      <c r="AC48">
        <v>3085</v>
      </c>
      <c r="AD48">
        <v>17300</v>
      </c>
      <c r="AF48">
        <v>400</v>
      </c>
      <c r="AG48">
        <v>4345</v>
      </c>
      <c r="AH48">
        <v>2300</v>
      </c>
      <c r="AK48">
        <v>2000</v>
      </c>
      <c r="AM48">
        <v>2480</v>
      </c>
      <c r="AO48">
        <v>9000</v>
      </c>
      <c r="AQ48">
        <v>1500</v>
      </c>
      <c r="AR48">
        <v>500</v>
      </c>
      <c r="AT48">
        <v>2568</v>
      </c>
      <c r="AU48">
        <v>16675</v>
      </c>
      <c r="AV48">
        <v>23964</v>
      </c>
      <c r="AX48" t="s">
        <v>150</v>
      </c>
    </row>
    <row r="49" spans="1:50" x14ac:dyDescent="0.25">
      <c r="A49" t="s">
        <v>125</v>
      </c>
      <c r="B49" t="s">
        <v>42</v>
      </c>
      <c r="C49">
        <f>VLOOKUP(D1_ABRIL_2025[[#This Row],[SUPER]],DATA_ABRIL_2025[[SUPERVISOR]:[META]],3,0)</f>
        <v>20500</v>
      </c>
      <c r="D49">
        <f>D1_ABRIL_2025[[#This Row],[RECUPERO]]/D1_ABRIL_2025[[#This Row],[META]]</f>
        <v>0</v>
      </c>
      <c r="E49" t="s">
        <v>125</v>
      </c>
      <c r="F49" t="s">
        <v>42</v>
      </c>
      <c r="G49">
        <v>0</v>
      </c>
      <c r="H49" t="s">
        <v>415</v>
      </c>
      <c r="I49" s="55">
        <v>45399</v>
      </c>
      <c r="J49" t="s">
        <v>501</v>
      </c>
      <c r="L49" s="55"/>
      <c r="M49" s="1">
        <f>DATA_ABRIL_2025[[#This Row],[RECUPERO]]/DATA_ABRIL_2025[[#This Row],[META]]</f>
        <v>1.0424385964912282</v>
      </c>
      <c r="N49">
        <f>6-ROUNDUP(_xlfn.RANK.EQ(DATA_ABRIL_2025[[#This Row],[AL_AC]],DATA_ABRIL_2025[AL_AC],0)/(COUNTA(DATA_ABRIL_2025[AL_AC])/5),0)</f>
        <v>5</v>
      </c>
      <c r="O49" t="s">
        <v>5</v>
      </c>
      <c r="P49">
        <f>SUM(DATA_ABRIL_2025[[#This Row],[1]:[31]])</f>
        <v>59419</v>
      </c>
      <c r="Q49">
        <v>57000</v>
      </c>
      <c r="R49" t="s">
        <v>68</v>
      </c>
      <c r="S49">
        <v>1393</v>
      </c>
      <c r="U49">
        <v>890</v>
      </c>
      <c r="AB49">
        <v>4100</v>
      </c>
      <c r="AC49">
        <v>4000</v>
      </c>
      <c r="AF49">
        <v>3439</v>
      </c>
      <c r="AG49">
        <v>1390</v>
      </c>
      <c r="AH49">
        <v>16523</v>
      </c>
      <c r="AN49">
        <v>400</v>
      </c>
      <c r="AO49">
        <v>361</v>
      </c>
      <c r="AP49">
        <v>700</v>
      </c>
      <c r="AQ49">
        <v>18000</v>
      </c>
      <c r="AT49">
        <v>620</v>
      </c>
      <c r="AV49">
        <v>7603</v>
      </c>
      <c r="AX49" t="s">
        <v>150</v>
      </c>
    </row>
    <row r="50" spans="1:50" x14ac:dyDescent="0.25">
      <c r="A50" t="s">
        <v>125</v>
      </c>
      <c r="B50" t="s">
        <v>20</v>
      </c>
      <c r="C50">
        <f>VLOOKUP(D1_ABRIL_2025[[#This Row],[SUPER]],DATA_ABRIL_2025[[SUPERVISOR]:[META]],3,0)</f>
        <v>20500</v>
      </c>
      <c r="D50">
        <f>D1_ABRIL_2025[[#This Row],[RECUPERO]]/D1_ABRIL_2025[[#This Row],[META]]</f>
        <v>0.71121951219512192</v>
      </c>
      <c r="E50" t="s">
        <v>125</v>
      </c>
      <c r="F50" t="s">
        <v>20</v>
      </c>
      <c r="G50">
        <v>14580</v>
      </c>
      <c r="H50" t="s">
        <v>427</v>
      </c>
      <c r="I50" s="55">
        <v>45142</v>
      </c>
      <c r="J50" t="s">
        <v>501</v>
      </c>
      <c r="L50" s="55"/>
      <c r="M50" s="1">
        <f>DATA_ABRIL_2025[[#This Row],[RECUPERO]]/DATA_ABRIL_2025[[#This Row],[META]]</f>
        <v>0.8453846153846154</v>
      </c>
      <c r="N50">
        <f>6-ROUNDUP(_xlfn.RANK.EQ(DATA_ABRIL_2025[[#This Row],[AL_AC]],DATA_ABRIL_2025[AL_AC],0)/(COUNTA(DATA_ABRIL_2025[AL_AC])/5),0)</f>
        <v>4</v>
      </c>
      <c r="O50" t="s">
        <v>6</v>
      </c>
      <c r="P50">
        <f>SUM(DATA_ABRIL_2025[[#This Row],[1]:[31]])</f>
        <v>21980</v>
      </c>
      <c r="Q50">
        <v>26000</v>
      </c>
      <c r="R50" t="s">
        <v>31</v>
      </c>
      <c r="S50">
        <v>500</v>
      </c>
      <c r="T50">
        <v>4600</v>
      </c>
      <c r="AF50">
        <v>1200</v>
      </c>
      <c r="AH50">
        <v>500</v>
      </c>
      <c r="AM50">
        <v>11000</v>
      </c>
      <c r="AN50">
        <v>400</v>
      </c>
      <c r="AT50">
        <v>580</v>
      </c>
      <c r="AV50">
        <v>3200</v>
      </c>
      <c r="AX50" t="s">
        <v>152</v>
      </c>
    </row>
    <row r="51" spans="1:50" x14ac:dyDescent="0.25">
      <c r="A51" t="s">
        <v>125</v>
      </c>
      <c r="B51" t="s">
        <v>106</v>
      </c>
      <c r="C51">
        <f>VLOOKUP(D1_ABRIL_2025[[#This Row],[SUPER]],DATA_ABRIL_2025[[SUPERVISOR]:[META]],3,0)</f>
        <v>20500</v>
      </c>
      <c r="D51">
        <f>D1_ABRIL_2025[[#This Row],[RECUPERO]]/D1_ABRIL_2025[[#This Row],[META]]</f>
        <v>0.31207317073170732</v>
      </c>
      <c r="E51" t="s">
        <v>125</v>
      </c>
      <c r="F51" t="s">
        <v>106</v>
      </c>
      <c r="G51">
        <v>6397.5</v>
      </c>
      <c r="H51" t="s">
        <v>392</v>
      </c>
      <c r="I51" s="55">
        <v>44748</v>
      </c>
      <c r="J51" t="s">
        <v>501</v>
      </c>
      <c r="L51" s="55"/>
      <c r="M51" s="1">
        <f>DATA_ABRIL_2025[[#This Row],[RECUPERO]]/DATA_ABRIL_2025[[#This Row],[META]]</f>
        <v>0.6115570175438596</v>
      </c>
      <c r="N51">
        <f>6-ROUNDUP(_xlfn.RANK.EQ(DATA_ABRIL_2025[[#This Row],[AL_AC]],DATA_ABRIL_2025[AL_AC],0)/(COUNTA(DATA_ABRIL_2025[AL_AC])/5),0)</f>
        <v>3</v>
      </c>
      <c r="O51" t="s">
        <v>2</v>
      </c>
      <c r="P51">
        <f>SUM(DATA_ABRIL_2025[[#This Row],[1]:[31]])</f>
        <v>34858.75</v>
      </c>
      <c r="Q51">
        <v>57000</v>
      </c>
      <c r="R51" t="s">
        <v>29</v>
      </c>
      <c r="S51">
        <v>320</v>
      </c>
      <c r="T51">
        <v>5100</v>
      </c>
      <c r="Z51">
        <v>6000</v>
      </c>
      <c r="AB51">
        <v>600</v>
      </c>
      <c r="AF51">
        <v>300</v>
      </c>
      <c r="AG51">
        <v>600</v>
      </c>
      <c r="AH51">
        <v>2192</v>
      </c>
      <c r="AM51">
        <v>5400</v>
      </c>
      <c r="AN51">
        <v>5266</v>
      </c>
      <c r="AO51">
        <v>3000</v>
      </c>
      <c r="AP51">
        <v>935</v>
      </c>
      <c r="AQ51">
        <v>1621.75</v>
      </c>
      <c r="AU51">
        <v>1724</v>
      </c>
      <c r="AV51">
        <v>1800</v>
      </c>
      <c r="AX51" t="s">
        <v>150</v>
      </c>
    </row>
    <row r="52" spans="1:50" x14ac:dyDescent="0.25">
      <c r="A52" t="s">
        <v>125</v>
      </c>
      <c r="B52" t="s">
        <v>73</v>
      </c>
      <c r="C52">
        <f>VLOOKUP(D1_ABRIL_2025[[#This Row],[SUPER]],DATA_ABRIL_2025[[SUPERVISOR]:[META]],3,0)</f>
        <v>20500</v>
      </c>
      <c r="D52">
        <f>D1_ABRIL_2025[[#This Row],[RECUPERO]]/D1_ABRIL_2025[[#This Row],[META]]</f>
        <v>0.38907317073170733</v>
      </c>
      <c r="E52" t="s">
        <v>125</v>
      </c>
      <c r="F52" t="s">
        <v>73</v>
      </c>
      <c r="G52">
        <v>7976</v>
      </c>
      <c r="H52" t="s">
        <v>420</v>
      </c>
      <c r="I52" s="55">
        <v>45145</v>
      </c>
      <c r="J52" t="s">
        <v>501</v>
      </c>
      <c r="L52" s="55"/>
      <c r="M52" s="1">
        <f>DATA_ABRIL_2025[[#This Row],[RECUPERO]]/DATA_ABRIL_2025[[#This Row],[META]]</f>
        <v>0.80991228070175436</v>
      </c>
      <c r="N52">
        <f>6-ROUNDUP(_xlfn.RANK.EQ(DATA_ABRIL_2025[[#This Row],[AL_AC]],DATA_ABRIL_2025[AL_AC],0)/(COUNTA(DATA_ABRIL_2025[AL_AC])/5),0)</f>
        <v>4</v>
      </c>
      <c r="O52" t="s">
        <v>3</v>
      </c>
      <c r="P52">
        <f>SUM(DATA_ABRIL_2025[[#This Row],[1]:[31]])</f>
        <v>46165</v>
      </c>
      <c r="Q52">
        <v>57000</v>
      </c>
      <c r="R52" t="s">
        <v>25</v>
      </c>
      <c r="V52">
        <v>1600</v>
      </c>
      <c r="Y52">
        <v>600</v>
      </c>
      <c r="Z52">
        <v>2775</v>
      </c>
      <c r="AB52">
        <v>1500</v>
      </c>
      <c r="AC52">
        <v>5000</v>
      </c>
      <c r="AG52">
        <v>14500</v>
      </c>
      <c r="AN52">
        <v>4137</v>
      </c>
      <c r="AO52">
        <v>300</v>
      </c>
      <c r="AQ52">
        <v>10250</v>
      </c>
      <c r="AR52">
        <v>1500</v>
      </c>
      <c r="AS52">
        <v>424</v>
      </c>
      <c r="AT52">
        <v>1250</v>
      </c>
      <c r="AV52">
        <v>2329</v>
      </c>
      <c r="AX52" t="s">
        <v>150</v>
      </c>
    </row>
    <row r="53" spans="1:50" x14ac:dyDescent="0.25">
      <c r="A53" t="s">
        <v>8</v>
      </c>
      <c r="B53" t="s">
        <v>14</v>
      </c>
      <c r="C53">
        <f>VLOOKUP(D1_ABRIL_2025[[#This Row],[SUPER]],DATA_ABRIL_2025[[SUPERVISOR]:[META]],3,0)</f>
        <v>20500</v>
      </c>
      <c r="D53">
        <f>D1_ABRIL_2025[[#This Row],[RECUPERO]]/D1_ABRIL_2025[[#This Row],[META]]</f>
        <v>0.32687804878048782</v>
      </c>
      <c r="E53" t="s">
        <v>8</v>
      </c>
      <c r="F53" t="s">
        <v>14</v>
      </c>
      <c r="G53">
        <v>6701</v>
      </c>
      <c r="H53" t="s">
        <v>432</v>
      </c>
      <c r="I53" s="55">
        <v>45133</v>
      </c>
      <c r="J53" t="s">
        <v>501</v>
      </c>
      <c r="L53" s="55"/>
      <c r="M53" s="1">
        <f>DATA_ABRIL_2025[[#This Row],[RECUPERO]]/DATA_ABRIL_2025[[#This Row],[META]]</f>
        <v>0.40246153846153848</v>
      </c>
      <c r="N53">
        <f>6-ROUNDUP(_xlfn.RANK.EQ(DATA_ABRIL_2025[[#This Row],[AL_AC]],DATA_ABRIL_2025[AL_AC],0)/(COUNTA(DATA_ABRIL_2025[AL_AC])/5),0)</f>
        <v>3</v>
      </c>
      <c r="O53" t="s">
        <v>6</v>
      </c>
      <c r="P53">
        <f>SUM(DATA_ABRIL_2025[[#This Row],[1]:[31]])</f>
        <v>10464</v>
      </c>
      <c r="Q53">
        <v>26000</v>
      </c>
      <c r="R53" t="s">
        <v>110</v>
      </c>
      <c r="V53">
        <v>650</v>
      </c>
      <c r="AF53">
        <v>450</v>
      </c>
      <c r="AG53">
        <v>139</v>
      </c>
      <c r="AH53">
        <v>600</v>
      </c>
      <c r="AP53">
        <v>2000</v>
      </c>
      <c r="AQ53">
        <v>125</v>
      </c>
      <c r="AT53">
        <v>6500</v>
      </c>
      <c r="AX53" t="s">
        <v>152</v>
      </c>
    </row>
    <row r="54" spans="1:50" x14ac:dyDescent="0.25">
      <c r="A54" t="s">
        <v>8</v>
      </c>
      <c r="B54" t="s">
        <v>129</v>
      </c>
      <c r="C54">
        <f>VLOOKUP(D1_ABRIL_2025[[#This Row],[SUPER]],DATA_ABRIL_2025[[SUPERVISOR]:[META]],3,0)</f>
        <v>20500</v>
      </c>
      <c r="D54">
        <f>D1_ABRIL_2025[[#This Row],[RECUPERO]]/D1_ABRIL_2025[[#This Row],[META]]</f>
        <v>0.2097560975609756</v>
      </c>
      <c r="E54" t="s">
        <v>8</v>
      </c>
      <c r="F54" t="s">
        <v>129</v>
      </c>
      <c r="G54">
        <v>4300</v>
      </c>
      <c r="H54" t="s">
        <v>461</v>
      </c>
      <c r="I54" s="55">
        <v>45727</v>
      </c>
      <c r="J54" t="s">
        <v>501</v>
      </c>
      <c r="L54" s="55"/>
      <c r="M54" s="1">
        <f>DATA_ABRIL_2025[[#This Row],[RECUPERO]]/DATA_ABRIL_2025[[#This Row],[META]]</f>
        <v>1.0407017543859649</v>
      </c>
      <c r="N54">
        <f>6-ROUNDUP(_xlfn.RANK.EQ(DATA_ABRIL_2025[[#This Row],[AL_AC]],DATA_ABRIL_2025[AL_AC],0)/(COUNTA(DATA_ABRIL_2025[AL_AC])/5),0)</f>
        <v>5</v>
      </c>
      <c r="O54" t="s">
        <v>2</v>
      </c>
      <c r="P54">
        <f>SUM(DATA_ABRIL_2025[[#This Row],[1]:[31]])</f>
        <v>59320</v>
      </c>
      <c r="Q54">
        <v>57000</v>
      </c>
      <c r="R54" t="s">
        <v>17</v>
      </c>
      <c r="T54">
        <v>9000</v>
      </c>
      <c r="AA54">
        <v>9500</v>
      </c>
      <c r="AB54">
        <v>15000</v>
      </c>
      <c r="AF54">
        <v>491</v>
      </c>
      <c r="AK54">
        <v>333</v>
      </c>
      <c r="AM54">
        <v>1600</v>
      </c>
      <c r="AO54">
        <v>1000</v>
      </c>
      <c r="AP54">
        <v>1500</v>
      </c>
      <c r="AQ54">
        <v>666</v>
      </c>
      <c r="AT54">
        <v>8000</v>
      </c>
      <c r="AU54">
        <v>5000</v>
      </c>
      <c r="AV54">
        <v>7230</v>
      </c>
      <c r="AX54" t="s">
        <v>150</v>
      </c>
    </row>
    <row r="55" spans="1:50" x14ac:dyDescent="0.25">
      <c r="A55" t="s">
        <v>8</v>
      </c>
      <c r="B55" t="s">
        <v>24</v>
      </c>
      <c r="C55">
        <f>VLOOKUP(D1_ABRIL_2025[[#This Row],[SUPER]],DATA_ABRIL_2025[[SUPERVISOR]:[META]],3,0)</f>
        <v>20500</v>
      </c>
      <c r="D55">
        <f>D1_ABRIL_2025[[#This Row],[RECUPERO]]/D1_ABRIL_2025[[#This Row],[META]]</f>
        <v>0.8056585365853659</v>
      </c>
      <c r="E55" t="s">
        <v>8</v>
      </c>
      <c r="F55" t="s">
        <v>24</v>
      </c>
      <c r="G55">
        <v>16516</v>
      </c>
      <c r="H55" t="s">
        <v>434</v>
      </c>
      <c r="I55" s="55">
        <v>45334</v>
      </c>
      <c r="J55" t="s">
        <v>501</v>
      </c>
      <c r="L55" s="55"/>
      <c r="M55" s="1">
        <f>DATA_ABRIL_2025[[#This Row],[RECUPERO]]/DATA_ABRIL_2025[[#This Row],[META]]</f>
        <v>1.6714210526315789</v>
      </c>
      <c r="N55">
        <f>6-ROUNDUP(_xlfn.RANK.EQ(DATA_ABRIL_2025[[#This Row],[AL_AC]],DATA_ABRIL_2025[AL_AC],0)/(COUNTA(DATA_ABRIL_2025[AL_AC])/5),0)</f>
        <v>5</v>
      </c>
      <c r="O55" t="s">
        <v>9</v>
      </c>
      <c r="P55">
        <f>SUM(DATA_ABRIL_2025[[#This Row],[1]:[31]])</f>
        <v>95271</v>
      </c>
      <c r="Q55">
        <v>57000</v>
      </c>
      <c r="R55" t="s">
        <v>75</v>
      </c>
      <c r="S55">
        <v>2600</v>
      </c>
      <c r="T55">
        <v>2000</v>
      </c>
      <c r="U55">
        <v>45000</v>
      </c>
      <c r="V55">
        <v>1164</v>
      </c>
      <c r="AF55">
        <v>600</v>
      </c>
      <c r="AH55">
        <v>1700</v>
      </c>
      <c r="AI55">
        <v>400</v>
      </c>
      <c r="AM55">
        <v>11992</v>
      </c>
      <c r="AO55">
        <v>2100</v>
      </c>
      <c r="AP55">
        <v>3000</v>
      </c>
      <c r="AQ55">
        <v>800</v>
      </c>
      <c r="AT55">
        <v>15000</v>
      </c>
      <c r="AU55">
        <v>3600</v>
      </c>
      <c r="AV55">
        <v>5315</v>
      </c>
      <c r="AX55" t="s">
        <v>150</v>
      </c>
    </row>
    <row r="56" spans="1:50" x14ac:dyDescent="0.25">
      <c r="A56" t="s">
        <v>8</v>
      </c>
      <c r="B56" t="s">
        <v>51</v>
      </c>
      <c r="C56">
        <f>VLOOKUP(D1_ABRIL_2025[[#This Row],[SUPER]],DATA_ABRIL_2025[[SUPERVISOR]:[META]],3,0)</f>
        <v>20500</v>
      </c>
      <c r="D56">
        <f>D1_ABRIL_2025[[#This Row],[RECUPERO]]/D1_ABRIL_2025[[#This Row],[META]]</f>
        <v>0.21614634146341463</v>
      </c>
      <c r="E56" t="s">
        <v>8</v>
      </c>
      <c r="F56" t="s">
        <v>51</v>
      </c>
      <c r="G56">
        <v>4431</v>
      </c>
      <c r="H56" t="s">
        <v>413</v>
      </c>
      <c r="I56" s="55">
        <v>45674</v>
      </c>
      <c r="J56" t="s">
        <v>501</v>
      </c>
      <c r="L56" s="55"/>
      <c r="M56" s="1">
        <f>DATA_ABRIL_2025[[#This Row],[RECUPERO]]/DATA_ABRIL_2025[[#This Row],[META]]</f>
        <v>0.3092692307692308</v>
      </c>
      <c r="N56">
        <f>6-ROUNDUP(_xlfn.RANK.EQ(DATA_ABRIL_2025[[#This Row],[AL_AC]],DATA_ABRIL_2025[AL_AC],0)/(COUNTA(DATA_ABRIL_2025[AL_AC])/5),0)</f>
        <v>2</v>
      </c>
      <c r="O56" t="s">
        <v>6</v>
      </c>
      <c r="P56">
        <f>SUM(DATA_ABRIL_2025[[#This Row],[1]:[31]])</f>
        <v>8041</v>
      </c>
      <c r="Q56">
        <v>26000</v>
      </c>
      <c r="R56" t="s">
        <v>36</v>
      </c>
      <c r="T56">
        <v>300</v>
      </c>
      <c r="AB56">
        <v>200</v>
      </c>
      <c r="AC56">
        <v>250</v>
      </c>
      <c r="AF56">
        <v>300</v>
      </c>
      <c r="AG56">
        <v>480</v>
      </c>
      <c r="AM56">
        <v>4700</v>
      </c>
      <c r="AN56">
        <v>1371</v>
      </c>
      <c r="AV56">
        <v>440</v>
      </c>
      <c r="AX56" t="s">
        <v>152</v>
      </c>
    </row>
    <row r="57" spans="1:50" x14ac:dyDescent="0.25">
      <c r="A57" t="s">
        <v>8</v>
      </c>
      <c r="B57" t="s">
        <v>83</v>
      </c>
      <c r="C57">
        <f>VLOOKUP(D1_ABRIL_2025[[#This Row],[SUPER]],DATA_ABRIL_2025[[SUPERVISOR]:[META]],3,0)</f>
        <v>20500</v>
      </c>
      <c r="D57">
        <f>D1_ABRIL_2025[[#This Row],[RECUPERO]]/D1_ABRIL_2025[[#This Row],[META]]</f>
        <v>0.72634146341463413</v>
      </c>
      <c r="E57" t="s">
        <v>8</v>
      </c>
      <c r="F57" t="s">
        <v>83</v>
      </c>
      <c r="G57">
        <v>14890</v>
      </c>
      <c r="H57" t="s">
        <v>435</v>
      </c>
      <c r="I57" s="55">
        <v>44937</v>
      </c>
      <c r="J57" t="s">
        <v>501</v>
      </c>
      <c r="L57" s="55"/>
      <c r="M57" s="1">
        <f>DATA_ABRIL_2025[[#This Row],[RECUPERO]]/DATA_ABRIL_2025[[#This Row],[META]]</f>
        <v>0.52330508771929829</v>
      </c>
      <c r="N57">
        <f>6-ROUNDUP(_xlfn.RANK.EQ(DATA_ABRIL_2025[[#This Row],[AL_AC]],DATA_ABRIL_2025[AL_AC],0)/(COUNTA(DATA_ABRIL_2025[AL_AC])/5),0)</f>
        <v>3</v>
      </c>
      <c r="O57" t="s">
        <v>9</v>
      </c>
      <c r="P57">
        <f>SUM(DATA_ABRIL_2025[[#This Row],[1]:[31]])</f>
        <v>29828.39</v>
      </c>
      <c r="Q57">
        <v>57000</v>
      </c>
      <c r="R57" t="s">
        <v>62</v>
      </c>
      <c r="U57">
        <v>1000</v>
      </c>
      <c r="Z57">
        <v>300</v>
      </c>
      <c r="AG57">
        <v>14000.3</v>
      </c>
      <c r="AH57">
        <v>3806.09</v>
      </c>
      <c r="AI57">
        <v>600</v>
      </c>
      <c r="AP57">
        <v>600</v>
      </c>
      <c r="AS57">
        <v>400</v>
      </c>
      <c r="AT57">
        <v>600</v>
      </c>
      <c r="AU57">
        <v>4023</v>
      </c>
      <c r="AV57">
        <v>4499</v>
      </c>
      <c r="AX57" t="s">
        <v>150</v>
      </c>
    </row>
    <row r="58" spans="1:50" x14ac:dyDescent="0.25">
      <c r="A58" t="s">
        <v>8</v>
      </c>
      <c r="B58" t="s">
        <v>33</v>
      </c>
      <c r="C58">
        <f>VLOOKUP(D1_ABRIL_2025[[#This Row],[SUPER]],DATA_ABRIL_2025[[SUPERVISOR]:[META]],3,0)</f>
        <v>20500</v>
      </c>
      <c r="D58">
        <f>D1_ABRIL_2025[[#This Row],[RECUPERO]]/D1_ABRIL_2025[[#This Row],[META]]</f>
        <v>0.22745365853658536</v>
      </c>
      <c r="E58" t="s">
        <v>8</v>
      </c>
      <c r="F58" t="s">
        <v>33</v>
      </c>
      <c r="G58">
        <v>4662.8</v>
      </c>
      <c r="H58" t="s">
        <v>439</v>
      </c>
      <c r="I58" s="55">
        <v>44869</v>
      </c>
      <c r="J58" t="s">
        <v>501</v>
      </c>
      <c r="L58" s="55"/>
      <c r="M58" s="1">
        <f>DATA_ABRIL_2025[[#This Row],[RECUPERO]]/DATA_ABRIL_2025[[#This Row],[META]]</f>
        <v>0.66391228070175434</v>
      </c>
      <c r="N58">
        <f>6-ROUNDUP(_xlfn.RANK.EQ(DATA_ABRIL_2025[[#This Row],[AL_AC]],DATA_ABRIL_2025[AL_AC],0)/(COUNTA(DATA_ABRIL_2025[AL_AC])/5),0)</f>
        <v>4</v>
      </c>
      <c r="O58" t="s">
        <v>5</v>
      </c>
      <c r="P58">
        <f>SUM(DATA_ABRIL_2025[[#This Row],[1]:[31]])</f>
        <v>37843</v>
      </c>
      <c r="Q58">
        <v>57000</v>
      </c>
      <c r="R58" t="s">
        <v>70</v>
      </c>
      <c r="U58">
        <v>1450</v>
      </c>
      <c r="Y58">
        <v>600</v>
      </c>
      <c r="AB58">
        <v>400</v>
      </c>
      <c r="AC58">
        <v>1675</v>
      </c>
      <c r="AD58">
        <v>10000</v>
      </c>
      <c r="AF58">
        <v>10000</v>
      </c>
      <c r="AN58">
        <v>370</v>
      </c>
      <c r="AO58">
        <v>746</v>
      </c>
      <c r="AP58">
        <v>1300</v>
      </c>
      <c r="AQ58">
        <v>200</v>
      </c>
      <c r="AT58">
        <v>5807</v>
      </c>
      <c r="AV58">
        <v>5295</v>
      </c>
      <c r="AX58" t="s">
        <v>150</v>
      </c>
    </row>
    <row r="59" spans="1:50" x14ac:dyDescent="0.25">
      <c r="A59" t="s">
        <v>8</v>
      </c>
      <c r="B59" t="s">
        <v>78</v>
      </c>
      <c r="C59">
        <f>VLOOKUP(D1_ABRIL_2025[[#This Row],[SUPER]],DATA_ABRIL_2025[[SUPERVISOR]:[META]],3,0)</f>
        <v>20500</v>
      </c>
      <c r="D59">
        <f>D1_ABRIL_2025[[#This Row],[RECUPERO]]/D1_ABRIL_2025[[#This Row],[META]]</f>
        <v>0.97258536585365851</v>
      </c>
      <c r="E59" t="s">
        <v>8</v>
      </c>
      <c r="F59" t="s">
        <v>78</v>
      </c>
      <c r="G59">
        <v>19938</v>
      </c>
      <c r="H59" t="s">
        <v>397</v>
      </c>
      <c r="I59" s="55">
        <v>44945</v>
      </c>
      <c r="J59" t="s">
        <v>501</v>
      </c>
      <c r="L59" s="55"/>
      <c r="M59" s="1">
        <f>DATA_ABRIL_2025[[#This Row],[RECUPERO]]/DATA_ABRIL_2025[[#This Row],[META]]</f>
        <v>1.0634612280701754</v>
      </c>
      <c r="N59">
        <f>6-ROUNDUP(_xlfn.RANK.EQ(DATA_ABRIL_2025[[#This Row],[AL_AC]],DATA_ABRIL_2025[AL_AC],0)/(COUNTA(DATA_ABRIL_2025[AL_AC])/5),0)</f>
        <v>5</v>
      </c>
      <c r="O59" t="s">
        <v>9</v>
      </c>
      <c r="P59">
        <f>SUM(DATA_ABRIL_2025[[#This Row],[1]:[31]])</f>
        <v>60617.29</v>
      </c>
      <c r="Q59">
        <v>57000</v>
      </c>
      <c r="R59" t="s">
        <v>64</v>
      </c>
      <c r="T59">
        <v>421.29</v>
      </c>
      <c r="U59">
        <v>28207</v>
      </c>
      <c r="V59">
        <v>590</v>
      </c>
      <c r="AB59">
        <v>323</v>
      </c>
      <c r="AC59">
        <v>7000</v>
      </c>
      <c r="AG59">
        <v>2650</v>
      </c>
      <c r="AH59">
        <v>2250</v>
      </c>
      <c r="AM59">
        <v>13000</v>
      </c>
      <c r="AQ59">
        <v>3000</v>
      </c>
      <c r="AU59">
        <v>2500</v>
      </c>
      <c r="AV59">
        <v>676</v>
      </c>
      <c r="AX59" t="s">
        <v>150</v>
      </c>
    </row>
    <row r="60" spans="1:50" x14ac:dyDescent="0.25">
      <c r="A60" t="s">
        <v>8</v>
      </c>
      <c r="B60" t="s">
        <v>39</v>
      </c>
      <c r="C60">
        <f>VLOOKUP(D1_ABRIL_2025[[#This Row],[SUPER]],DATA_ABRIL_2025[[SUPERVISOR]:[META]],3,0)</f>
        <v>20500</v>
      </c>
      <c r="D60">
        <f>D1_ABRIL_2025[[#This Row],[RECUPERO]]/D1_ABRIL_2025[[#This Row],[META]]</f>
        <v>1.4788292682926829</v>
      </c>
      <c r="E60" t="s">
        <v>8</v>
      </c>
      <c r="F60" t="s">
        <v>39</v>
      </c>
      <c r="G60">
        <v>30316</v>
      </c>
      <c r="H60" t="s">
        <v>452</v>
      </c>
      <c r="I60" s="55">
        <v>44951</v>
      </c>
      <c r="J60" t="s">
        <v>501</v>
      </c>
      <c r="L60" s="55"/>
      <c r="M60" s="1">
        <f>DATA_ABRIL_2025[[#This Row],[RECUPERO]]/DATA_ABRIL_2025[[#This Row],[META]]</f>
        <v>0.26163157894736844</v>
      </c>
      <c r="N60">
        <f>6-ROUNDUP(_xlfn.RANK.EQ(DATA_ABRIL_2025[[#This Row],[AL_AC]],DATA_ABRIL_2025[AL_AC],0)/(COUNTA(DATA_ABRIL_2025[AL_AC])/5),0)</f>
        <v>1</v>
      </c>
      <c r="O60" t="s">
        <v>3</v>
      </c>
      <c r="P60">
        <f>SUM(DATA_ABRIL_2025[[#This Row],[1]:[31]])</f>
        <v>14913</v>
      </c>
      <c r="Q60">
        <v>57000</v>
      </c>
      <c r="R60" t="s">
        <v>107</v>
      </c>
      <c r="T60">
        <v>390</v>
      </c>
      <c r="V60">
        <v>2000</v>
      </c>
      <c r="AB60">
        <v>4500</v>
      </c>
      <c r="AH60">
        <v>220</v>
      </c>
      <c r="AN60">
        <v>303</v>
      </c>
      <c r="AO60">
        <v>200</v>
      </c>
      <c r="AP60">
        <v>1000</v>
      </c>
      <c r="AU60">
        <v>600</v>
      </c>
      <c r="AV60">
        <v>5700</v>
      </c>
      <c r="AX60" t="s">
        <v>150</v>
      </c>
    </row>
    <row r="61" spans="1:50" x14ac:dyDescent="0.25">
      <c r="A61" t="s">
        <v>8</v>
      </c>
      <c r="B61" t="s">
        <v>56</v>
      </c>
      <c r="C61">
        <f>VLOOKUP(D1_ABRIL_2025[[#This Row],[SUPER]],DATA_ABRIL_2025[[SUPERVISOR]:[META]],3,0)</f>
        <v>20500</v>
      </c>
      <c r="D61">
        <f>D1_ABRIL_2025[[#This Row],[RECUPERO]]/D1_ABRIL_2025[[#This Row],[META]]</f>
        <v>3.3219512195121953E-2</v>
      </c>
      <c r="E61" t="s">
        <v>8</v>
      </c>
      <c r="F61" t="s">
        <v>56</v>
      </c>
      <c r="G61">
        <v>681</v>
      </c>
      <c r="H61" t="s">
        <v>464</v>
      </c>
      <c r="I61" s="55">
        <v>45772</v>
      </c>
      <c r="J61" t="s">
        <v>501</v>
      </c>
      <c r="L61" s="55"/>
      <c r="M61" s="1">
        <f>DATA_ABRIL_2025[[#This Row],[RECUPERO]]/DATA_ABRIL_2025[[#This Row],[META]]</f>
        <v>0.33226315789473682</v>
      </c>
      <c r="N61">
        <f>6-ROUNDUP(_xlfn.RANK.EQ(DATA_ABRIL_2025[[#This Row],[AL_AC]],DATA_ABRIL_2025[AL_AC],0)/(COUNTA(DATA_ABRIL_2025[AL_AC])/5),0)</f>
        <v>2</v>
      </c>
      <c r="O61" t="s">
        <v>2</v>
      </c>
      <c r="P61">
        <f>SUM(DATA_ABRIL_2025[[#This Row],[1]:[31]])</f>
        <v>18939</v>
      </c>
      <c r="Q61">
        <v>57000</v>
      </c>
      <c r="R61" t="s">
        <v>11</v>
      </c>
      <c r="V61">
        <v>1318</v>
      </c>
      <c r="Y61">
        <v>523</v>
      </c>
      <c r="Z61">
        <v>3500</v>
      </c>
      <c r="AA61">
        <v>1587</v>
      </c>
      <c r="AC61">
        <v>600</v>
      </c>
      <c r="AD61">
        <v>1000</v>
      </c>
      <c r="AF61">
        <v>1108</v>
      </c>
      <c r="AG61">
        <v>600</v>
      </c>
      <c r="AI61">
        <v>800</v>
      </c>
      <c r="AM61">
        <v>1000</v>
      </c>
      <c r="AP61">
        <v>688</v>
      </c>
      <c r="AQ61">
        <v>2109</v>
      </c>
      <c r="AT61">
        <v>261</v>
      </c>
      <c r="AV61">
        <v>3845</v>
      </c>
      <c r="AX61" t="s">
        <v>150</v>
      </c>
    </row>
    <row r="62" spans="1:50" x14ac:dyDescent="0.25">
      <c r="A62" t="s">
        <v>124</v>
      </c>
      <c r="B62" t="s">
        <v>61</v>
      </c>
      <c r="C62">
        <f>VLOOKUP(D1_ABRIL_2025[[#This Row],[SUPER]],DATA_ABRIL_2025[[SUPERVISOR]:[META]],3,0)</f>
        <v>20500</v>
      </c>
      <c r="D62">
        <f>D1_ABRIL_2025[[#This Row],[RECUPERO]]/D1_ABRIL_2025[[#This Row],[META]]</f>
        <v>1.0503170731707316</v>
      </c>
      <c r="E62" t="s">
        <v>124</v>
      </c>
      <c r="F62" t="s">
        <v>61</v>
      </c>
      <c r="G62">
        <v>21531.5</v>
      </c>
      <c r="H62" t="s">
        <v>411</v>
      </c>
      <c r="I62" s="55">
        <v>44909</v>
      </c>
      <c r="J62" t="s">
        <v>501</v>
      </c>
      <c r="L62" s="55"/>
      <c r="M62" s="1">
        <f>DATA_ABRIL_2025[[#This Row],[RECUPERO]]/DATA_ABRIL_2025[[#This Row],[META]]</f>
        <v>0.24903902439024392</v>
      </c>
      <c r="N62">
        <f>6-ROUNDUP(_xlfn.RANK.EQ(DATA_ABRIL_2025[[#This Row],[AL_AC]],DATA_ABRIL_2025[AL_AC],0)/(COUNTA(DATA_ABRIL_2025[AL_AC])/5),0)</f>
        <v>1</v>
      </c>
      <c r="O62" t="s">
        <v>124</v>
      </c>
      <c r="P62">
        <f>SUM(DATA_ABRIL_2025[[#This Row],[1]:[31]])</f>
        <v>5105.3</v>
      </c>
      <c r="Q62">
        <v>20500</v>
      </c>
      <c r="R62" t="s">
        <v>74</v>
      </c>
      <c r="U62">
        <v>1050</v>
      </c>
      <c r="Y62">
        <v>400</v>
      </c>
      <c r="Z62">
        <v>600</v>
      </c>
      <c r="AA62">
        <v>1110</v>
      </c>
      <c r="AH62">
        <v>1275.3</v>
      </c>
      <c r="AN62">
        <v>255</v>
      </c>
      <c r="AP62">
        <v>300</v>
      </c>
      <c r="AT62">
        <v>115</v>
      </c>
      <c r="AX62" t="s">
        <v>153</v>
      </c>
    </row>
    <row r="63" spans="1:50" x14ac:dyDescent="0.25">
      <c r="A63" t="s">
        <v>124</v>
      </c>
      <c r="B63" t="s">
        <v>80</v>
      </c>
      <c r="C63">
        <f>VLOOKUP(D1_ABRIL_2025[[#This Row],[SUPER]],DATA_ABRIL_2025[[SUPERVISOR]:[META]],3,0)</f>
        <v>20500</v>
      </c>
      <c r="D63">
        <f>D1_ABRIL_2025[[#This Row],[RECUPERO]]/D1_ABRIL_2025[[#This Row],[META]]</f>
        <v>0.47385365853658534</v>
      </c>
      <c r="E63" t="s">
        <v>124</v>
      </c>
      <c r="F63" t="s">
        <v>80</v>
      </c>
      <c r="G63">
        <v>9714</v>
      </c>
      <c r="H63" t="s">
        <v>433</v>
      </c>
      <c r="I63" s="55">
        <v>45285</v>
      </c>
      <c r="J63" t="s">
        <v>501</v>
      </c>
      <c r="L63" s="55"/>
      <c r="M63" s="1">
        <f>DATA_ABRIL_2025[[#This Row],[RECUPERO]]/DATA_ABRIL_2025[[#This Row],[META]]</f>
        <v>0.47192982456140353</v>
      </c>
      <c r="N63">
        <f>6-ROUNDUP(_xlfn.RANK.EQ(DATA_ABRIL_2025[[#This Row],[AL_AC]],DATA_ABRIL_2025[AL_AC],0)/(COUNTA(DATA_ABRIL_2025[AL_AC])/5),0)</f>
        <v>3</v>
      </c>
      <c r="O63" t="s">
        <v>5</v>
      </c>
      <c r="P63">
        <f>SUM(DATA_ABRIL_2025[[#This Row],[1]:[31]])</f>
        <v>26900</v>
      </c>
      <c r="Q63">
        <v>57000</v>
      </c>
      <c r="R63" t="s">
        <v>79</v>
      </c>
      <c r="Z63">
        <v>600</v>
      </c>
      <c r="AA63">
        <v>6000</v>
      </c>
      <c r="AB63">
        <v>5600</v>
      </c>
      <c r="AC63">
        <v>7000</v>
      </c>
      <c r="AN63">
        <v>2700</v>
      </c>
      <c r="AO63">
        <v>2000</v>
      </c>
      <c r="AP63">
        <v>1300</v>
      </c>
      <c r="AT63">
        <v>600</v>
      </c>
      <c r="AV63">
        <v>1100</v>
      </c>
      <c r="AX63" t="s">
        <v>150</v>
      </c>
    </row>
    <row r="64" spans="1:50" x14ac:dyDescent="0.25">
      <c r="A64" t="s">
        <v>124</v>
      </c>
      <c r="B64" t="s">
        <v>16</v>
      </c>
      <c r="C64">
        <f>VLOOKUP(D1_ABRIL_2025[[#This Row],[SUPER]],DATA_ABRIL_2025[[SUPERVISOR]:[META]],3,0)</f>
        <v>20500</v>
      </c>
      <c r="D64">
        <f>D1_ABRIL_2025[[#This Row],[RECUPERO]]/D1_ABRIL_2025[[#This Row],[META]]</f>
        <v>0.39595121951219514</v>
      </c>
      <c r="E64" t="s">
        <v>124</v>
      </c>
      <c r="F64" t="s">
        <v>16</v>
      </c>
      <c r="G64">
        <v>8117</v>
      </c>
      <c r="H64" t="s">
        <v>388</v>
      </c>
      <c r="I64" s="55">
        <v>45334</v>
      </c>
      <c r="J64" t="s">
        <v>501</v>
      </c>
      <c r="L64" s="55"/>
      <c r="M64" s="1">
        <f>DATA_ABRIL_2025[[#This Row],[RECUPERO]]/DATA_ABRIL_2025[[#This Row],[META]]</f>
        <v>0.79937982456140355</v>
      </c>
      <c r="N64">
        <f>6-ROUNDUP(_xlfn.RANK.EQ(DATA_ABRIL_2025[[#This Row],[AL_AC]],DATA_ABRIL_2025[AL_AC],0)/(COUNTA(DATA_ABRIL_2025[AL_AC])/5),0)</f>
        <v>4</v>
      </c>
      <c r="O64" t="s">
        <v>9</v>
      </c>
      <c r="P64">
        <f>SUM(DATA_ABRIL_2025[[#This Row],[1]:[31]])</f>
        <v>45564.65</v>
      </c>
      <c r="Q64">
        <v>57000</v>
      </c>
      <c r="R64" t="s">
        <v>59</v>
      </c>
      <c r="S64">
        <v>1577</v>
      </c>
      <c r="T64">
        <v>5088.6499999999996</v>
      </c>
      <c r="Y64">
        <v>1300</v>
      </c>
      <c r="Z64">
        <v>500</v>
      </c>
      <c r="AB64">
        <v>1155</v>
      </c>
      <c r="AF64">
        <v>1500</v>
      </c>
      <c r="AG64">
        <v>600</v>
      </c>
      <c r="AH64">
        <v>2300</v>
      </c>
      <c r="AN64">
        <v>4700</v>
      </c>
      <c r="AO64">
        <v>5000</v>
      </c>
      <c r="AP64">
        <v>600</v>
      </c>
      <c r="AQ64">
        <v>500</v>
      </c>
      <c r="AT64">
        <v>1000</v>
      </c>
      <c r="AU64">
        <v>12500</v>
      </c>
      <c r="AV64">
        <v>7244</v>
      </c>
      <c r="AX64" t="s">
        <v>150</v>
      </c>
    </row>
    <row r="65" spans="1:50" x14ac:dyDescent="0.25">
      <c r="A65" t="s">
        <v>124</v>
      </c>
      <c r="B65" t="s">
        <v>27</v>
      </c>
      <c r="C65">
        <f>VLOOKUP(D1_ABRIL_2025[[#This Row],[SUPER]],DATA_ABRIL_2025[[SUPERVISOR]:[META]],3,0)</f>
        <v>20500</v>
      </c>
      <c r="D65">
        <f>D1_ABRIL_2025[[#This Row],[RECUPERO]]/D1_ABRIL_2025[[#This Row],[META]]</f>
        <v>0.28731707317073168</v>
      </c>
      <c r="E65" t="s">
        <v>124</v>
      </c>
      <c r="F65" t="s">
        <v>27</v>
      </c>
      <c r="G65">
        <v>5890</v>
      </c>
      <c r="H65" t="s">
        <v>412</v>
      </c>
      <c r="I65" s="55">
        <v>45675</v>
      </c>
      <c r="J65" t="s">
        <v>501</v>
      </c>
      <c r="L65" s="55"/>
      <c r="M65" s="1">
        <f>DATA_ABRIL_2025[[#This Row],[RECUPERO]]/DATA_ABRIL_2025[[#This Row],[META]]</f>
        <v>0.27421052631578946</v>
      </c>
      <c r="N65">
        <f>6-ROUNDUP(_xlfn.RANK.EQ(DATA_ABRIL_2025[[#This Row],[AL_AC]],DATA_ABRIL_2025[AL_AC],0)/(COUNTA(DATA_ABRIL_2025[AL_AC])/5),0)</f>
        <v>1</v>
      </c>
      <c r="O65" t="s">
        <v>9</v>
      </c>
      <c r="P65">
        <f>SUM(DATA_ABRIL_2025[[#This Row],[1]:[31]])</f>
        <v>15630</v>
      </c>
      <c r="Q65">
        <v>57000</v>
      </c>
      <c r="R65" t="s">
        <v>63</v>
      </c>
      <c r="T65">
        <v>1530</v>
      </c>
      <c r="U65">
        <v>4735</v>
      </c>
      <c r="V65">
        <v>50</v>
      </c>
      <c r="X65">
        <v>730</v>
      </c>
      <c r="Y65">
        <v>832</v>
      </c>
      <c r="AF65">
        <v>1135</v>
      </c>
      <c r="AG65">
        <v>300</v>
      </c>
      <c r="AH65">
        <v>1430</v>
      </c>
      <c r="AK65">
        <v>460</v>
      </c>
      <c r="AM65">
        <v>449</v>
      </c>
      <c r="AO65">
        <v>308</v>
      </c>
      <c r="AP65">
        <v>150</v>
      </c>
      <c r="AQ65">
        <v>0</v>
      </c>
      <c r="AT65">
        <v>850</v>
      </c>
      <c r="AU65">
        <v>624</v>
      </c>
      <c r="AV65">
        <v>2047</v>
      </c>
      <c r="AX65" t="s">
        <v>150</v>
      </c>
    </row>
    <row r="66" spans="1:50" x14ac:dyDescent="0.25">
      <c r="A66" t="s">
        <v>124</v>
      </c>
      <c r="B66" t="s">
        <v>32</v>
      </c>
      <c r="C66">
        <f>VLOOKUP(D1_ABRIL_2025[[#This Row],[SUPER]],DATA_ABRIL_2025[[SUPERVISOR]:[META]],3,0)</f>
        <v>20500</v>
      </c>
      <c r="D66">
        <f>D1_ABRIL_2025[[#This Row],[RECUPERO]]/D1_ABRIL_2025[[#This Row],[META]]</f>
        <v>0.28375609756097558</v>
      </c>
      <c r="E66" t="s">
        <v>124</v>
      </c>
      <c r="F66" t="s">
        <v>32</v>
      </c>
      <c r="G66">
        <v>5817</v>
      </c>
      <c r="H66" t="s">
        <v>390</v>
      </c>
      <c r="I66" s="55">
        <v>45530</v>
      </c>
      <c r="J66" t="s">
        <v>501</v>
      </c>
      <c r="L66" s="55"/>
      <c r="M66" s="1">
        <f>DATA_ABRIL_2025[[#This Row],[RECUPERO]]/DATA_ABRIL_2025[[#This Row],[META]]</f>
        <v>0.31157894736842107</v>
      </c>
      <c r="N66">
        <f>6-ROUNDUP(_xlfn.RANK.EQ(DATA_ABRIL_2025[[#This Row],[AL_AC]],DATA_ABRIL_2025[AL_AC],0)/(COUNTA(DATA_ABRIL_2025[AL_AC])/5),0)</f>
        <v>2</v>
      </c>
      <c r="O66" t="s">
        <v>3</v>
      </c>
      <c r="P66">
        <f>SUM(DATA_ABRIL_2025[[#This Row],[1]:[31]])</f>
        <v>17760</v>
      </c>
      <c r="Q66">
        <v>57000</v>
      </c>
      <c r="R66" t="s">
        <v>103</v>
      </c>
      <c r="U66">
        <v>910</v>
      </c>
      <c r="V66">
        <v>600</v>
      </c>
      <c r="AC66">
        <v>500</v>
      </c>
      <c r="AF66">
        <v>500</v>
      </c>
      <c r="AG66">
        <v>1474</v>
      </c>
      <c r="AN66">
        <v>10776</v>
      </c>
      <c r="AV66">
        <v>3000</v>
      </c>
      <c r="AX66" t="s">
        <v>150</v>
      </c>
    </row>
    <row r="67" spans="1:50" x14ac:dyDescent="0.25">
      <c r="A67" t="s">
        <v>124</v>
      </c>
      <c r="B67" t="s">
        <v>127</v>
      </c>
      <c r="C67">
        <f>VLOOKUP(D1_ABRIL_2025[[#This Row],[SUPER]],DATA_ABRIL_2025[[SUPERVISOR]:[META]],3,0)</f>
        <v>20500</v>
      </c>
      <c r="D67">
        <f>D1_ABRIL_2025[[#This Row],[RECUPERO]]/D1_ABRIL_2025[[#This Row],[META]]</f>
        <v>0.4682926829268293</v>
      </c>
      <c r="E67" t="s">
        <v>124</v>
      </c>
      <c r="F67" t="s">
        <v>127</v>
      </c>
      <c r="G67">
        <v>9600</v>
      </c>
      <c r="H67" t="s">
        <v>459</v>
      </c>
      <c r="I67" s="55">
        <v>45721</v>
      </c>
      <c r="J67" t="s">
        <v>501</v>
      </c>
      <c r="L67" s="55"/>
      <c r="M67" s="1">
        <f>DATA_ABRIL_2025[[#This Row],[RECUPERO]]/DATA_ABRIL_2025[[#This Row],[META]]</f>
        <v>0.24307692307692308</v>
      </c>
      <c r="N67">
        <f>6-ROUNDUP(_xlfn.RANK.EQ(DATA_ABRIL_2025[[#This Row],[AL_AC]],DATA_ABRIL_2025[AL_AC],0)/(COUNTA(DATA_ABRIL_2025[AL_AC])/5),0)</f>
        <v>1</v>
      </c>
      <c r="O67" t="s">
        <v>6</v>
      </c>
      <c r="P67">
        <f>SUM(DATA_ABRIL_2025[[#This Row],[1]:[31]])</f>
        <v>6320</v>
      </c>
      <c r="Q67">
        <v>26000</v>
      </c>
      <c r="R67" t="s">
        <v>128</v>
      </c>
      <c r="S67">
        <v>100</v>
      </c>
      <c r="Y67">
        <v>120</v>
      </c>
      <c r="AB67">
        <v>800</v>
      </c>
      <c r="AC67">
        <v>1300</v>
      </c>
      <c r="AF67">
        <v>2500</v>
      </c>
      <c r="AN67">
        <v>1500</v>
      </c>
      <c r="AX67" t="s">
        <v>152</v>
      </c>
    </row>
    <row r="68" spans="1:50" x14ac:dyDescent="0.25">
      <c r="A68" t="s">
        <v>124</v>
      </c>
      <c r="B68" t="s">
        <v>74</v>
      </c>
      <c r="C68">
        <f>VLOOKUP(D1_ABRIL_2025[[#This Row],[SUPER]],DATA_ABRIL_2025[[SUPERVISOR]:[META]],3,0)</f>
        <v>20500</v>
      </c>
      <c r="D68">
        <f>D1_ABRIL_2025[[#This Row],[RECUPERO]]/D1_ABRIL_2025[[#This Row],[META]]</f>
        <v>0.24903902439024392</v>
      </c>
      <c r="E68" t="s">
        <v>124</v>
      </c>
      <c r="F68" t="s">
        <v>74</v>
      </c>
      <c r="G68">
        <v>5105.3</v>
      </c>
      <c r="H68" t="s">
        <v>395</v>
      </c>
      <c r="I68" s="55">
        <v>44470</v>
      </c>
      <c r="J68" t="s">
        <v>501</v>
      </c>
      <c r="L68" s="55"/>
      <c r="M68" s="1">
        <f>DATA_ABRIL_2025[[#This Row],[RECUPERO]]/DATA_ABRIL_2025[[#This Row],[META]]</f>
        <v>0.38907317073170733</v>
      </c>
      <c r="N68">
        <f>6-ROUNDUP(_xlfn.RANK.EQ(DATA_ABRIL_2025[[#This Row],[AL_AC]],DATA_ABRIL_2025[AL_AC],0)/(COUNTA(DATA_ABRIL_2025[AL_AC])/5),0)</f>
        <v>3</v>
      </c>
      <c r="O68" t="s">
        <v>125</v>
      </c>
      <c r="P68">
        <f>SUM(DATA_ABRIL_2025[[#This Row],[1]:[31]])</f>
        <v>7976</v>
      </c>
      <c r="Q68">
        <v>20500</v>
      </c>
      <c r="R68" t="s">
        <v>73</v>
      </c>
      <c r="S68">
        <v>830</v>
      </c>
      <c r="T68">
        <v>500</v>
      </c>
      <c r="U68">
        <v>500</v>
      </c>
      <c r="AB68">
        <v>1300</v>
      </c>
      <c r="AF68">
        <v>700</v>
      </c>
      <c r="AG68">
        <v>200</v>
      </c>
      <c r="AH68">
        <v>316</v>
      </c>
      <c r="AO68">
        <v>1400</v>
      </c>
      <c r="AP68">
        <v>700</v>
      </c>
      <c r="AT68">
        <v>430</v>
      </c>
      <c r="AU68">
        <v>200</v>
      </c>
      <c r="AV68">
        <v>900</v>
      </c>
      <c r="AX68" t="s">
        <v>153</v>
      </c>
    </row>
    <row r="69" spans="1:50" x14ac:dyDescent="0.25">
      <c r="A69" t="s">
        <v>124</v>
      </c>
      <c r="B69" t="s">
        <v>48</v>
      </c>
      <c r="C69">
        <f>VLOOKUP(D1_ABRIL_2025[[#This Row],[SUPER]],DATA_ABRIL_2025[[SUPERVISOR]:[META]],3,0)</f>
        <v>20500</v>
      </c>
      <c r="D69">
        <f>D1_ABRIL_2025[[#This Row],[RECUPERO]]/D1_ABRIL_2025[[#This Row],[META]]</f>
        <v>0.24278048780487804</v>
      </c>
      <c r="E69" t="s">
        <v>124</v>
      </c>
      <c r="F69" t="s">
        <v>48</v>
      </c>
      <c r="G69">
        <v>4977</v>
      </c>
      <c r="H69" t="s">
        <v>421</v>
      </c>
      <c r="I69" s="55">
        <v>44748</v>
      </c>
      <c r="J69" t="s">
        <v>501</v>
      </c>
      <c r="L69" s="55"/>
      <c r="M69" s="1">
        <f>DATA_ABRIL_2025[[#This Row],[RECUPERO]]/DATA_ABRIL_2025[[#This Row],[META]]</f>
        <v>0.75811538461538464</v>
      </c>
      <c r="N69">
        <f>6-ROUNDUP(_xlfn.RANK.EQ(DATA_ABRIL_2025[[#This Row],[AL_AC]],DATA_ABRIL_2025[AL_AC],0)/(COUNTA(DATA_ABRIL_2025[AL_AC])/5),0)</f>
        <v>4</v>
      </c>
      <c r="O69" t="s">
        <v>6</v>
      </c>
      <c r="P69">
        <f>SUM(DATA_ABRIL_2025[[#This Row],[1]:[31]])</f>
        <v>19711</v>
      </c>
      <c r="Q69">
        <v>26000</v>
      </c>
      <c r="R69" t="s">
        <v>34</v>
      </c>
      <c r="V69">
        <v>616</v>
      </c>
      <c r="W69">
        <v>1000</v>
      </c>
      <c r="Z69">
        <v>4600</v>
      </c>
      <c r="AB69">
        <v>1805</v>
      </c>
      <c r="AC69">
        <v>2940</v>
      </c>
      <c r="AF69">
        <v>250</v>
      </c>
      <c r="AH69">
        <v>700</v>
      </c>
      <c r="AP69">
        <v>1600</v>
      </c>
      <c r="AR69">
        <v>500</v>
      </c>
      <c r="AU69">
        <v>3300</v>
      </c>
      <c r="AV69">
        <v>2400</v>
      </c>
      <c r="AX69" t="s">
        <v>152</v>
      </c>
    </row>
    <row r="70" spans="1:50" x14ac:dyDescent="0.25">
      <c r="M70" s="1">
        <f>DATA_ABRIL_2025[[#This Row],[RECUPERO]]/DATA_ABRIL_2025[[#This Row],[META]]</f>
        <v>0.97258536585365851</v>
      </c>
      <c r="N70">
        <f>6-ROUNDUP(_xlfn.RANK.EQ(DATA_ABRIL_2025[[#This Row],[AL_AC]],DATA_ABRIL_2025[AL_AC],0)/(COUNTA(DATA_ABRIL_2025[AL_AC])/5),0)</f>
        <v>5</v>
      </c>
      <c r="O70" t="s">
        <v>8</v>
      </c>
      <c r="P70">
        <f>SUM(DATA_ABRIL_2025[[#This Row],[1]:[31]])</f>
        <v>19938</v>
      </c>
      <c r="Q70">
        <v>20500</v>
      </c>
      <c r="R70" t="s">
        <v>78</v>
      </c>
      <c r="S70">
        <v>1502</v>
      </c>
      <c r="U70">
        <v>1620</v>
      </c>
      <c r="V70">
        <v>550</v>
      </c>
      <c r="Y70">
        <v>600</v>
      </c>
      <c r="Z70">
        <v>350</v>
      </c>
      <c r="AC70">
        <v>3000</v>
      </c>
      <c r="AD70">
        <v>500</v>
      </c>
      <c r="AF70">
        <v>500</v>
      </c>
      <c r="AG70">
        <v>3000</v>
      </c>
      <c r="AH70">
        <v>3550</v>
      </c>
      <c r="AM70">
        <v>361</v>
      </c>
      <c r="AP70">
        <v>350</v>
      </c>
      <c r="AT70">
        <v>1455</v>
      </c>
      <c r="AU70">
        <v>1900</v>
      </c>
      <c r="AV70">
        <v>700</v>
      </c>
      <c r="AX70" t="s">
        <v>153</v>
      </c>
    </row>
    <row r="71" spans="1:50" x14ac:dyDescent="0.25">
      <c r="M71" s="1">
        <f>DATA_ABRIL_2025[[#This Row],[RECUPERO]]/DATA_ABRIL_2025[[#This Row],[META]]</f>
        <v>0.24278048780487804</v>
      </c>
      <c r="N71">
        <f>6-ROUNDUP(_xlfn.RANK.EQ(DATA_ABRIL_2025[[#This Row],[AL_AC]],DATA_ABRIL_2025[AL_AC],0)/(COUNTA(DATA_ABRIL_2025[AL_AC])/5),0)</f>
        <v>1</v>
      </c>
      <c r="O71" t="s">
        <v>124</v>
      </c>
      <c r="P71">
        <f>SUM(DATA_ABRIL_2025[[#This Row],[1]:[31]])</f>
        <v>4977</v>
      </c>
      <c r="Q71">
        <v>20500</v>
      </c>
      <c r="R71" t="s">
        <v>48</v>
      </c>
      <c r="S71">
        <v>300</v>
      </c>
      <c r="U71">
        <v>140</v>
      </c>
      <c r="AB71">
        <v>1350</v>
      </c>
      <c r="AH71">
        <v>200</v>
      </c>
      <c r="AM71">
        <v>247</v>
      </c>
      <c r="AN71">
        <v>800</v>
      </c>
      <c r="AP71">
        <v>120</v>
      </c>
      <c r="AQ71">
        <v>720</v>
      </c>
      <c r="AT71">
        <v>300</v>
      </c>
      <c r="AU71">
        <v>500</v>
      </c>
      <c r="AV71">
        <v>300</v>
      </c>
      <c r="AX71" t="s">
        <v>153</v>
      </c>
    </row>
    <row r="72" spans="1:50" x14ac:dyDescent="0.25">
      <c r="M72" s="1">
        <f>DATA_ABRIL_2025[[#This Row],[RECUPERO]]/DATA_ABRIL_2025[[#This Row],[META]]</f>
        <v>1.1982280701754386</v>
      </c>
      <c r="N72">
        <f>6-ROUNDUP(_xlfn.RANK.EQ(DATA_ABRIL_2025[[#This Row],[AL_AC]],DATA_ABRIL_2025[AL_AC],0)/(COUNTA(DATA_ABRIL_2025[AL_AC])/5),0)</f>
        <v>5</v>
      </c>
      <c r="O72" t="s">
        <v>2</v>
      </c>
      <c r="P72">
        <f>SUM(DATA_ABRIL_2025[[#This Row],[1]:[31]])</f>
        <v>68299</v>
      </c>
      <c r="Q72">
        <v>57000</v>
      </c>
      <c r="R72" t="s">
        <v>10</v>
      </c>
      <c r="U72">
        <v>521</v>
      </c>
      <c r="W72">
        <v>1262</v>
      </c>
      <c r="Y72">
        <v>300</v>
      </c>
      <c r="Z72">
        <v>28000</v>
      </c>
      <c r="AA72">
        <v>618</v>
      </c>
      <c r="AB72">
        <v>2500</v>
      </c>
      <c r="AC72">
        <v>500</v>
      </c>
      <c r="AF72">
        <v>8300</v>
      </c>
      <c r="AG72">
        <v>4750</v>
      </c>
      <c r="AH72">
        <v>7000</v>
      </c>
      <c r="AM72">
        <v>618</v>
      </c>
      <c r="AQ72">
        <v>823</v>
      </c>
      <c r="AT72">
        <v>342</v>
      </c>
      <c r="AU72">
        <v>8485</v>
      </c>
      <c r="AV72">
        <v>4280</v>
      </c>
      <c r="AX72" t="s">
        <v>150</v>
      </c>
    </row>
    <row r="73" spans="1:50" x14ac:dyDescent="0.25">
      <c r="M73" s="1">
        <f>DATA_ABRIL_2025[[#This Row],[RECUPERO]]/DATA_ABRIL_2025[[#This Row],[META]]</f>
        <v>1.1149491228070174</v>
      </c>
      <c r="N73">
        <f>6-ROUNDUP(_xlfn.RANK.EQ(DATA_ABRIL_2025[[#This Row],[AL_AC]],DATA_ABRIL_2025[AL_AC],0)/(COUNTA(DATA_ABRIL_2025[AL_AC])/5),0)</f>
        <v>5</v>
      </c>
      <c r="O73" t="s">
        <v>3</v>
      </c>
      <c r="P73">
        <f>SUM(DATA_ABRIL_2025[[#This Row],[1]:[31]])</f>
        <v>63552.1</v>
      </c>
      <c r="Q73">
        <v>57000</v>
      </c>
      <c r="R73" t="s">
        <v>76</v>
      </c>
      <c r="S73">
        <v>11000</v>
      </c>
      <c r="T73">
        <v>4500</v>
      </c>
      <c r="V73">
        <v>4000</v>
      </c>
      <c r="AA73">
        <v>1100</v>
      </c>
      <c r="AB73">
        <v>5000</v>
      </c>
      <c r="AD73">
        <v>1307</v>
      </c>
      <c r="AF73">
        <v>4000</v>
      </c>
      <c r="AH73">
        <v>5300</v>
      </c>
      <c r="AM73">
        <v>4500</v>
      </c>
      <c r="AO73">
        <v>320</v>
      </c>
      <c r="AT73">
        <v>6305</v>
      </c>
      <c r="AU73">
        <v>1100</v>
      </c>
      <c r="AV73">
        <v>15120.1</v>
      </c>
      <c r="AX73" t="s">
        <v>150</v>
      </c>
    </row>
    <row r="74" spans="1:50" x14ac:dyDescent="0.25">
      <c r="M74" s="1">
        <f>DATA_ABRIL_2025[[#This Row],[RECUPERO]]/DATA_ABRIL_2025[[#This Row],[META]]</f>
        <v>1.4788292682926829</v>
      </c>
      <c r="N74">
        <f>6-ROUNDUP(_xlfn.RANK.EQ(DATA_ABRIL_2025[[#This Row],[AL_AC]],DATA_ABRIL_2025[AL_AC],0)/(COUNTA(DATA_ABRIL_2025[AL_AC])/5),0)</f>
        <v>5</v>
      </c>
      <c r="O74" t="s">
        <v>8</v>
      </c>
      <c r="P74">
        <f>SUM(DATA_ABRIL_2025[[#This Row],[1]:[31]])</f>
        <v>30316</v>
      </c>
      <c r="Q74">
        <v>20500</v>
      </c>
      <c r="R74" t="s">
        <v>39</v>
      </c>
      <c r="T74">
        <v>250</v>
      </c>
      <c r="U74">
        <v>250</v>
      </c>
      <c r="Y74">
        <v>1200</v>
      </c>
      <c r="AA74">
        <v>210</v>
      </c>
      <c r="AB74">
        <v>6500</v>
      </c>
      <c r="AC74">
        <v>461</v>
      </c>
      <c r="AF74">
        <v>520</v>
      </c>
      <c r="AG74">
        <v>720</v>
      </c>
      <c r="AH74">
        <v>300</v>
      </c>
      <c r="AM74">
        <v>18140</v>
      </c>
      <c r="AN74">
        <v>300</v>
      </c>
      <c r="AO74">
        <v>20</v>
      </c>
      <c r="AQ74">
        <v>30</v>
      </c>
      <c r="AR74">
        <v>20</v>
      </c>
      <c r="AS74">
        <v>200</v>
      </c>
      <c r="AT74">
        <v>1170</v>
      </c>
      <c r="AV74">
        <v>25</v>
      </c>
      <c r="AX74" t="s">
        <v>153</v>
      </c>
    </row>
    <row r="75" spans="1:50" x14ac:dyDescent="0.25">
      <c r="M75" s="1">
        <f>DATA_ABRIL_2025[[#This Row],[RECUPERO]]/DATA_ABRIL_2025[[#This Row],[META]]</f>
        <v>3.3219512195121953E-2</v>
      </c>
      <c r="N75">
        <f>6-ROUNDUP(_xlfn.RANK.EQ(DATA_ABRIL_2025[[#This Row],[AL_AC]],DATA_ABRIL_2025[AL_AC],0)/(COUNTA(DATA_ABRIL_2025[AL_AC])/5),0)</f>
        <v>1</v>
      </c>
      <c r="O75" t="s">
        <v>8</v>
      </c>
      <c r="P75">
        <f>SUM(DATA_ABRIL_2025[[#This Row],[1]:[31]])</f>
        <v>681</v>
      </c>
      <c r="Q75">
        <v>20500</v>
      </c>
      <c r="R75" t="s">
        <v>56</v>
      </c>
      <c r="AQ75">
        <v>321</v>
      </c>
      <c r="AR75">
        <v>110</v>
      </c>
      <c r="AU75">
        <v>250</v>
      </c>
      <c r="AX75" t="s">
        <v>153</v>
      </c>
    </row>
  </sheetData>
  <phoneticPr fontId="2"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18E4A-6D61-45C8-9646-9623BB9A7DC7}">
  <dimension ref="A1:CO84"/>
  <sheetViews>
    <sheetView zoomScale="70" zoomScaleNormal="70"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12" customWidth="1"/>
    <col min="7" max="7" width="10.28515625" customWidth="1"/>
    <col min="8" max="12" width="11.42578125" customWidth="1"/>
    <col min="13" max="13" width="10" customWidth="1"/>
    <col min="14" max="14" width="12.140625" bestFit="1" customWidth="1"/>
    <col min="15" max="15" width="19.85546875" customWidth="1"/>
    <col min="16" max="16" width="22.7109375" customWidth="1"/>
    <col min="17" max="17" width="11.42578125" customWidth="1"/>
    <col min="18" max="18" width="27.28515625" bestFit="1" customWidth="1"/>
    <col min="19" max="26" width="6.42578125" bestFit="1" customWidth="1"/>
    <col min="27" max="27" width="7.42578125" bestFit="1" customWidth="1"/>
    <col min="28" max="28" width="7.140625" bestFit="1" customWidth="1"/>
    <col min="29" max="36" width="7.42578125" bestFit="1" customWidth="1"/>
    <col min="37" max="37" width="7.85546875" bestFit="1" customWidth="1"/>
    <col min="38" max="38" width="7.42578125" bestFit="1" customWidth="1"/>
    <col min="39" max="47" width="7.85546875" bestFit="1" customWidth="1"/>
    <col min="48" max="48" width="7.42578125"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t="s">
        <v>3</v>
      </c>
      <c r="B3" t="s">
        <v>109</v>
      </c>
      <c r="C3">
        <f>VLOOKUP(D1_MAYO_2025[[#This Row],[SUPER]],DATA_MAYO_2025[[SUPERVISOR]:[META]],3,0)</f>
        <v>65000</v>
      </c>
      <c r="D3">
        <f>D1_MAYO_2025[[#This Row],[RECUPERO]]/D1_MAYO_2025[[#This Row],[META]]</f>
        <v>0.53401538461538467</v>
      </c>
      <c r="E3" t="s">
        <v>3</v>
      </c>
      <c r="F3" t="s">
        <v>109</v>
      </c>
      <c r="G3">
        <v>34711</v>
      </c>
      <c r="H3" t="s">
        <v>422</v>
      </c>
      <c r="I3" s="55">
        <v>45334</v>
      </c>
      <c r="J3" t="s">
        <v>501</v>
      </c>
      <c r="L3" s="55"/>
      <c r="M3" s="33">
        <v>2025</v>
      </c>
      <c r="N3" s="33" t="s">
        <v>143</v>
      </c>
      <c r="O3" s="33">
        <v>21</v>
      </c>
    </row>
    <row r="4" spans="1:93" x14ac:dyDescent="0.25">
      <c r="A4" t="s">
        <v>3</v>
      </c>
      <c r="B4" t="s">
        <v>53</v>
      </c>
      <c r="C4">
        <f>VLOOKUP(D1_MAYO_2025[[#This Row],[SUPER]],DATA_MAYO_2025[[SUPERVISOR]:[META]],3,0)</f>
        <v>65000</v>
      </c>
      <c r="D4">
        <f>D1_MAYO_2025[[#This Row],[RECUPERO]]/D1_MAYO_2025[[#This Row],[META]]</f>
        <v>0.42515384615384616</v>
      </c>
      <c r="E4" t="s">
        <v>3</v>
      </c>
      <c r="F4" t="s">
        <v>53</v>
      </c>
      <c r="G4">
        <v>27635</v>
      </c>
      <c r="H4" t="s">
        <v>457</v>
      </c>
      <c r="I4" s="55">
        <v>45727</v>
      </c>
      <c r="J4" t="s">
        <v>501</v>
      </c>
      <c r="L4" s="55"/>
    </row>
    <row r="5" spans="1:93" x14ac:dyDescent="0.25">
      <c r="A5" t="s">
        <v>3</v>
      </c>
      <c r="B5" t="s">
        <v>22</v>
      </c>
      <c r="C5">
        <f>VLOOKUP(D1_MAYO_2025[[#This Row],[SUPER]],DATA_MAYO_2025[[SUPERVISOR]:[META]],3,0)</f>
        <v>65000</v>
      </c>
      <c r="D5">
        <f>D1_MAYO_2025[[#This Row],[RECUPERO]]/D1_MAYO_2025[[#This Row],[META]]</f>
        <v>1.1194884615384615</v>
      </c>
      <c r="E5" t="s">
        <v>3</v>
      </c>
      <c r="F5" t="s">
        <v>22</v>
      </c>
      <c r="G5">
        <v>72766.75</v>
      </c>
      <c r="H5" t="s">
        <v>442</v>
      </c>
      <c r="I5" s="55">
        <v>45299</v>
      </c>
      <c r="J5" t="s">
        <v>501</v>
      </c>
      <c r="L5" s="55"/>
    </row>
    <row r="6" spans="1:93" x14ac:dyDescent="0.25">
      <c r="A6" t="s">
        <v>3</v>
      </c>
      <c r="B6" t="s">
        <v>26</v>
      </c>
      <c r="C6">
        <f>VLOOKUP(D1_MAYO_2025[[#This Row],[SUPER]],DATA_MAYO_2025[[SUPERVISOR]:[META]],3,0)</f>
        <v>65000</v>
      </c>
      <c r="D6">
        <f>D1_MAYO_2025[[#This Row],[RECUPERO]]/D1_MAYO_2025[[#This Row],[META]]</f>
        <v>0.48923076923076925</v>
      </c>
      <c r="E6" t="s">
        <v>3</v>
      </c>
      <c r="F6" t="s">
        <v>26</v>
      </c>
      <c r="G6">
        <v>31800</v>
      </c>
      <c r="H6" t="s">
        <v>391</v>
      </c>
      <c r="I6" s="55">
        <v>44259</v>
      </c>
      <c r="J6" t="s">
        <v>501</v>
      </c>
      <c r="L6" s="55"/>
    </row>
    <row r="7" spans="1:93" x14ac:dyDescent="0.25">
      <c r="A7" t="s">
        <v>3</v>
      </c>
      <c r="B7" t="s">
        <v>23</v>
      </c>
      <c r="C7">
        <f>VLOOKUP(D1_MAYO_2025[[#This Row],[SUPER]],DATA_MAYO_2025[[SUPERVISOR]:[META]],3,0)</f>
        <v>65000</v>
      </c>
      <c r="D7">
        <f>D1_MAYO_2025[[#This Row],[RECUPERO]]/D1_MAYO_2025[[#This Row],[META]]</f>
        <v>1.5924941538461537</v>
      </c>
      <c r="E7" t="s">
        <v>3</v>
      </c>
      <c r="F7" t="s">
        <v>23</v>
      </c>
      <c r="G7">
        <v>103512.12</v>
      </c>
      <c r="H7" t="s">
        <v>445</v>
      </c>
      <c r="I7" s="55">
        <v>44111</v>
      </c>
      <c r="J7" t="s">
        <v>501</v>
      </c>
      <c r="L7" s="55"/>
      <c r="CK7" t="s">
        <v>626</v>
      </c>
      <c r="CL7" t="s">
        <v>140</v>
      </c>
      <c r="CM7" t="s">
        <v>141</v>
      </c>
      <c r="CN7" t="s">
        <v>142</v>
      </c>
      <c r="CO7" t="s">
        <v>143</v>
      </c>
    </row>
    <row r="8" spans="1:93" x14ac:dyDescent="0.25">
      <c r="A8" t="s">
        <v>3</v>
      </c>
      <c r="B8" t="s">
        <v>25</v>
      </c>
      <c r="C8">
        <f>VLOOKUP(D1_MAYO_2025[[#This Row],[SUPER]],DATA_MAYO_2025[[SUPERVISOR]:[META]],3,0)</f>
        <v>65000</v>
      </c>
      <c r="D8">
        <f>D1_MAYO_2025[[#This Row],[RECUPERO]]/D1_MAYO_2025[[#This Row],[META]]</f>
        <v>0.46763076923076924</v>
      </c>
      <c r="E8" t="s">
        <v>3</v>
      </c>
      <c r="F8" t="s">
        <v>25</v>
      </c>
      <c r="G8">
        <v>30396</v>
      </c>
      <c r="H8" t="s">
        <v>446</v>
      </c>
      <c r="I8" s="55">
        <v>44820</v>
      </c>
      <c r="J8" t="s">
        <v>501</v>
      </c>
      <c r="L8" s="55"/>
      <c r="M8" s="41" t="s">
        <v>87</v>
      </c>
      <c r="N8" s="42" t="s">
        <v>1133</v>
      </c>
      <c r="O8" s="43" t="s">
        <v>133</v>
      </c>
      <c r="P8" s="43" t="s">
        <v>95</v>
      </c>
      <c r="Q8" s="43" t="s">
        <v>90</v>
      </c>
      <c r="R8" s="44" t="s">
        <v>88</v>
      </c>
      <c r="S8" s="44"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6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107</v>
      </c>
      <c r="C9">
        <f>VLOOKUP(D1_MAYO_2025[[#This Row],[SUPER]],DATA_MAYO_2025[[SUPERVISOR]:[META]],3,0)</f>
        <v>65000</v>
      </c>
      <c r="D9">
        <f>D1_MAYO_2025[[#This Row],[RECUPERO]]/D1_MAYO_2025[[#This Row],[META]]</f>
        <v>0.43846153846153846</v>
      </c>
      <c r="E9" t="s">
        <v>3</v>
      </c>
      <c r="F9" t="s">
        <v>107</v>
      </c>
      <c r="G9">
        <v>28500</v>
      </c>
      <c r="H9" t="s">
        <v>458</v>
      </c>
      <c r="I9" s="55">
        <v>45727</v>
      </c>
      <c r="J9" t="s">
        <v>501</v>
      </c>
      <c r="L9" s="55"/>
      <c r="M9" s="1">
        <f>DATA_MAYO_2025[[#This Row],[RECUPERO]]/DATA_MAYO_2025[[#This Row],[META]]</f>
        <v>0.40192307692307694</v>
      </c>
      <c r="N9">
        <f>6-ROUNDUP(_xlfn.RANK.EQ(DATA_MAYO_2025[[#This Row],[AL_AC]],DATA_MAYO_2025[AL_AC],0)/(COUNTA(DATA_MAYO_2025[AL_AC])/5),0)</f>
        <v>2</v>
      </c>
      <c r="O9" t="s">
        <v>6</v>
      </c>
      <c r="P9" s="6">
        <f>SUM(DATA_MAYO_2025[[#This Row],[1]:[31]])</f>
        <v>10450</v>
      </c>
      <c r="Q9">
        <v>26000</v>
      </c>
      <c r="R9" t="s">
        <v>18</v>
      </c>
      <c r="T9">
        <v>5000</v>
      </c>
      <c r="W9">
        <v>500</v>
      </c>
      <c r="X9">
        <v>200</v>
      </c>
      <c r="Z9">
        <v>600</v>
      </c>
      <c r="AG9">
        <v>200</v>
      </c>
      <c r="AH9">
        <v>2800</v>
      </c>
      <c r="AN9">
        <v>1150</v>
      </c>
      <c r="AX9" t="s">
        <v>152</v>
      </c>
      <c r="AZ9">
        <v>166833</v>
      </c>
      <c r="BA9" s="11">
        <f>MAX(DITE_MAYO_2025[[#This Row],[1]:[31]])</f>
        <v>125130.3</v>
      </c>
      <c r="BB9" s="17">
        <f>DITE_MAYO_2025[[#This Row],[RECUPERO SUPERVISOR]]/DITE_MAYO_2025[[#This Row],[META SUPER]]</f>
        <v>0.75003326679973392</v>
      </c>
      <c r="BC9" t="s">
        <v>8</v>
      </c>
      <c r="BD9">
        <v>350</v>
      </c>
      <c r="BE9">
        <v>739</v>
      </c>
      <c r="BF9">
        <v>739</v>
      </c>
      <c r="BG9">
        <v>939</v>
      </c>
      <c r="BH9">
        <v>1727</v>
      </c>
      <c r="BI9">
        <v>2387</v>
      </c>
      <c r="BJ9">
        <v>3087</v>
      </c>
      <c r="BK9">
        <v>6271</v>
      </c>
      <c r="BL9">
        <v>7921</v>
      </c>
      <c r="BM9">
        <v>11721</v>
      </c>
      <c r="BN9">
        <v>11721</v>
      </c>
      <c r="BO9">
        <v>17531</v>
      </c>
      <c r="BP9">
        <v>19731</v>
      </c>
      <c r="BQ9">
        <v>22431</v>
      </c>
      <c r="BR9">
        <v>28626</v>
      </c>
      <c r="BS9">
        <v>30735.5</v>
      </c>
      <c r="BT9">
        <v>30735.5</v>
      </c>
      <c r="BU9">
        <v>30735.5</v>
      </c>
      <c r="BV9">
        <v>34794.5</v>
      </c>
      <c r="BW9">
        <v>36835.5</v>
      </c>
      <c r="BX9">
        <v>39507.5</v>
      </c>
      <c r="BY9">
        <v>50375</v>
      </c>
      <c r="BZ9">
        <v>65533</v>
      </c>
      <c r="CA9">
        <v>66033</v>
      </c>
      <c r="CB9">
        <v>66033</v>
      </c>
      <c r="CC9">
        <v>73854</v>
      </c>
      <c r="CD9">
        <v>82032.3</v>
      </c>
      <c r="CE9">
        <v>91295.3</v>
      </c>
      <c r="CF9">
        <v>96829.3</v>
      </c>
      <c r="CG9">
        <v>119966.3</v>
      </c>
      <c r="CH9">
        <v>125130.3</v>
      </c>
      <c r="CI9" s="11" t="s">
        <v>153</v>
      </c>
      <c r="CK9" t="s">
        <v>8</v>
      </c>
      <c r="CL9" t="s">
        <v>115</v>
      </c>
      <c r="CM9" t="s">
        <v>115</v>
      </c>
      <c r="CN9" t="s">
        <v>8</v>
      </c>
      <c r="CO9" t="s">
        <v>8</v>
      </c>
    </row>
    <row r="10" spans="1:93" x14ac:dyDescent="0.25">
      <c r="A10" t="s">
        <v>3</v>
      </c>
      <c r="B10" t="s">
        <v>103</v>
      </c>
      <c r="C10">
        <f>VLOOKUP(D1_MAYO_2025[[#This Row],[SUPER]],DATA_MAYO_2025[[SUPERVISOR]:[META]],3,0)</f>
        <v>65000</v>
      </c>
      <c r="D10">
        <f>D1_MAYO_2025[[#This Row],[RECUPERO]]/D1_MAYO_2025[[#This Row],[META]]</f>
        <v>7.6923076923076927E-3</v>
      </c>
      <c r="E10" t="s">
        <v>3</v>
      </c>
      <c r="F10" t="s">
        <v>103</v>
      </c>
      <c r="G10">
        <v>500</v>
      </c>
      <c r="H10" t="s">
        <v>419</v>
      </c>
      <c r="I10" s="55">
        <v>45451</v>
      </c>
      <c r="J10" t="s">
        <v>501</v>
      </c>
      <c r="L10" s="55"/>
      <c r="M10" s="1">
        <f>DATA_MAYO_2025[[#This Row],[RECUPERO]]/DATA_MAYO_2025[[#This Row],[META]]</f>
        <v>0.80700000000000005</v>
      </c>
      <c r="N10">
        <f>6-ROUNDUP(_xlfn.RANK.EQ(DATA_MAYO_2025[[#This Row],[AL_AC]],DATA_MAYO_2025[AL_AC],0)/(COUNTA(DATA_MAYO_2025[AL_AC])/5),0)</f>
        <v>5</v>
      </c>
      <c r="O10" t="s">
        <v>8</v>
      </c>
      <c r="P10" s="6">
        <f>SUM(DATA_MAYO_2025[[#This Row],[1]:[31]])</f>
        <v>16140</v>
      </c>
      <c r="Q10">
        <v>20000</v>
      </c>
      <c r="R10" t="s">
        <v>21</v>
      </c>
      <c r="AD10">
        <v>2000</v>
      </c>
      <c r="AF10">
        <v>200</v>
      </c>
      <c r="AG10">
        <v>900</v>
      </c>
      <c r="AH10">
        <v>950</v>
      </c>
      <c r="AK10">
        <v>800</v>
      </c>
      <c r="AN10">
        <v>2840</v>
      </c>
      <c r="AO10">
        <v>200</v>
      </c>
      <c r="AP10">
        <v>500</v>
      </c>
      <c r="AS10">
        <v>600</v>
      </c>
      <c r="AT10">
        <v>1000</v>
      </c>
      <c r="AU10">
        <v>650</v>
      </c>
      <c r="AV10">
        <v>5500</v>
      </c>
      <c r="AX10" t="s">
        <v>153</v>
      </c>
      <c r="AZ10">
        <v>166833</v>
      </c>
      <c r="BA10" s="11">
        <f>MAX(DITE_MAYO_2025[[#This Row],[1]:[31]])</f>
        <v>116791.99</v>
      </c>
      <c r="BB10" s="17">
        <f>DITE_MAYO_2025[[#This Row],[RECUPERO SUPERVISOR]]/DITE_MAYO_2025[[#This Row],[META SUPER]]</f>
        <v>0.70005328681975387</v>
      </c>
      <c r="BC10" t="s">
        <v>125</v>
      </c>
      <c r="BD10">
        <v>1475.5</v>
      </c>
      <c r="BE10">
        <v>2801.5</v>
      </c>
      <c r="BF10">
        <v>2801.5</v>
      </c>
      <c r="BG10">
        <v>2801.5</v>
      </c>
      <c r="BH10">
        <v>6601.5</v>
      </c>
      <c r="BI10">
        <v>13501.5</v>
      </c>
      <c r="BJ10">
        <v>14401.5</v>
      </c>
      <c r="BK10">
        <v>16453.939999999999</v>
      </c>
      <c r="BL10">
        <v>19410.939999999999</v>
      </c>
      <c r="BM10">
        <v>19410.939999999999</v>
      </c>
      <c r="BN10">
        <v>19410.939999999999</v>
      </c>
      <c r="BO10">
        <v>21841.94</v>
      </c>
      <c r="BP10">
        <v>23524.94</v>
      </c>
      <c r="BQ10">
        <v>26642.989999999998</v>
      </c>
      <c r="BR10">
        <v>39407.99</v>
      </c>
      <c r="BS10">
        <v>45144.99</v>
      </c>
      <c r="BT10">
        <v>45568.99</v>
      </c>
      <c r="BU10">
        <v>45861.99</v>
      </c>
      <c r="BV10">
        <v>46756.99</v>
      </c>
      <c r="BW10">
        <v>50289.99</v>
      </c>
      <c r="BX10">
        <v>54516.99</v>
      </c>
      <c r="BY10">
        <v>59816.99</v>
      </c>
      <c r="BZ10">
        <v>61103.99</v>
      </c>
      <c r="CA10">
        <v>63101.99</v>
      </c>
      <c r="CB10">
        <v>63101.99</v>
      </c>
      <c r="CC10">
        <v>81095.39</v>
      </c>
      <c r="CD10">
        <v>90040.39</v>
      </c>
      <c r="CE10">
        <v>92660.39</v>
      </c>
      <c r="CF10">
        <v>97862.49</v>
      </c>
      <c r="CG10">
        <v>108869.99</v>
      </c>
      <c r="CH10">
        <v>116791.99</v>
      </c>
      <c r="CI10" s="11" t="s">
        <v>153</v>
      </c>
      <c r="CK10" t="s">
        <v>125</v>
      </c>
      <c r="CL10" t="s">
        <v>115</v>
      </c>
      <c r="CM10" t="s">
        <v>115</v>
      </c>
      <c r="CN10" t="s">
        <v>125</v>
      </c>
      <c r="CO10" t="s">
        <v>125</v>
      </c>
    </row>
    <row r="11" spans="1:93" x14ac:dyDescent="0.25">
      <c r="A11" t="s">
        <v>3</v>
      </c>
      <c r="B11" t="s">
        <v>76</v>
      </c>
      <c r="C11">
        <f>VLOOKUP(D1_MAYO_2025[[#This Row],[SUPER]],DATA_MAYO_2025[[SUPERVISOR]:[META]],3,0)</f>
        <v>65000</v>
      </c>
      <c r="D11">
        <f>D1_MAYO_2025[[#This Row],[RECUPERO]]/D1_MAYO_2025[[#This Row],[META]]</f>
        <v>1.3963318461538463</v>
      </c>
      <c r="E11" t="s">
        <v>3</v>
      </c>
      <c r="F11" t="s">
        <v>76</v>
      </c>
      <c r="G11">
        <v>90761.57</v>
      </c>
      <c r="H11" t="s">
        <v>408</v>
      </c>
      <c r="I11" s="55">
        <v>44819</v>
      </c>
      <c r="J11" t="s">
        <v>501</v>
      </c>
      <c r="L11" s="55"/>
      <c r="M11" s="1">
        <f>DATA_MAYO_2025[[#This Row],[RECUPERO]]/DATA_MAYO_2025[[#This Row],[META]]</f>
        <v>0.54075384615384614</v>
      </c>
      <c r="N11">
        <f>6-ROUNDUP(_xlfn.RANK.EQ(DATA_MAYO_2025[[#This Row],[AL_AC]],DATA_MAYO_2025[AL_AC],0)/(COUNTA(DATA_MAYO_2025[AL_AC])/5),0)</f>
        <v>3</v>
      </c>
      <c r="O11" t="s">
        <v>5</v>
      </c>
      <c r="P11" s="6">
        <f>SUM(DATA_MAYO_2025[[#This Row],[1]:[31]])</f>
        <v>35149</v>
      </c>
      <c r="Q11">
        <v>65000</v>
      </c>
      <c r="R11" t="s">
        <v>58</v>
      </c>
      <c r="W11">
        <v>7000</v>
      </c>
      <c r="X11">
        <v>1500</v>
      </c>
      <c r="AD11">
        <v>700</v>
      </c>
      <c r="AG11">
        <v>10920</v>
      </c>
      <c r="AL11">
        <v>300</v>
      </c>
      <c r="AM11">
        <v>400</v>
      </c>
      <c r="AN11">
        <v>9240</v>
      </c>
      <c r="AO11">
        <v>434</v>
      </c>
      <c r="AR11">
        <v>1282</v>
      </c>
      <c r="AS11">
        <v>600</v>
      </c>
      <c r="AV11">
        <v>2773</v>
      </c>
      <c r="AX11" t="s">
        <v>150</v>
      </c>
      <c r="AZ11">
        <v>495375</v>
      </c>
      <c r="BA11" s="11">
        <f>MAX(DITE_MAYO_2025[[#This Row],[1]:[31]])</f>
        <v>369775.30000000005</v>
      </c>
      <c r="BB11" s="17">
        <f>DITE_MAYO_2025[[#This Row],[RECUPERO SUPERVISOR]]/DITE_MAYO_2025[[#This Row],[META SUPER]]</f>
        <v>0.7464553116326017</v>
      </c>
      <c r="BC11" t="s">
        <v>5</v>
      </c>
      <c r="BD11">
        <v>716</v>
      </c>
      <c r="BE11">
        <v>9443</v>
      </c>
      <c r="BF11">
        <v>10443</v>
      </c>
      <c r="BG11">
        <v>10443</v>
      </c>
      <c r="BH11">
        <v>20869</v>
      </c>
      <c r="BI11">
        <v>30339</v>
      </c>
      <c r="BJ11">
        <v>49589</v>
      </c>
      <c r="BK11">
        <v>53989</v>
      </c>
      <c r="BL11">
        <v>54207</v>
      </c>
      <c r="BM11">
        <v>55689.5</v>
      </c>
      <c r="BN11">
        <v>55689.5</v>
      </c>
      <c r="BO11">
        <v>79629.5</v>
      </c>
      <c r="BP11">
        <v>81329.5</v>
      </c>
      <c r="BQ11">
        <v>116966.5</v>
      </c>
      <c r="BR11">
        <v>138878.6</v>
      </c>
      <c r="BS11">
        <v>161850.80000000002</v>
      </c>
      <c r="BT11">
        <v>164850.80000000002</v>
      </c>
      <c r="BU11">
        <v>164850.80000000002</v>
      </c>
      <c r="BV11">
        <v>170590.80000000002</v>
      </c>
      <c r="BW11">
        <v>204319.80000000002</v>
      </c>
      <c r="BX11">
        <v>230625.80000000002</v>
      </c>
      <c r="BY11">
        <v>248684.80000000002</v>
      </c>
      <c r="BZ11">
        <v>268318.80000000005</v>
      </c>
      <c r="CA11">
        <v>270131.30000000005</v>
      </c>
      <c r="CB11">
        <v>270831.30000000005</v>
      </c>
      <c r="CC11">
        <v>294598.30000000005</v>
      </c>
      <c r="CD11">
        <v>300198.30000000005</v>
      </c>
      <c r="CE11">
        <v>321020.30000000005</v>
      </c>
      <c r="CF11">
        <v>330504.30000000005</v>
      </c>
      <c r="CG11">
        <v>352915.30000000005</v>
      </c>
      <c r="CH11">
        <v>369775.30000000005</v>
      </c>
      <c r="CI11" s="11" t="s">
        <v>150</v>
      </c>
      <c r="CK11" t="s">
        <v>5</v>
      </c>
      <c r="CL11" t="s">
        <v>5</v>
      </c>
      <c r="CM11" t="s">
        <v>5</v>
      </c>
      <c r="CN11" t="s">
        <v>5</v>
      </c>
      <c r="CO11" t="s">
        <v>5</v>
      </c>
    </row>
    <row r="12" spans="1:93" x14ac:dyDescent="0.25">
      <c r="A12" t="s">
        <v>4</v>
      </c>
      <c r="B12" t="s">
        <v>82</v>
      </c>
      <c r="C12">
        <f>VLOOKUP(D1_MAYO_2025[[#This Row],[SUPER]],DATA_MAYO_2025[[SUPERVISOR]:[META]],3,0)</f>
        <v>65000</v>
      </c>
      <c r="D12">
        <f>D1_MAYO_2025[[#This Row],[RECUPERO]]/D1_MAYO_2025[[#This Row],[META]]</f>
        <v>1.5384615384615385E-2</v>
      </c>
      <c r="E12" t="s">
        <v>4</v>
      </c>
      <c r="F12" t="s">
        <v>82</v>
      </c>
      <c r="G12">
        <v>1000</v>
      </c>
      <c r="H12" t="s">
        <v>465</v>
      </c>
      <c r="I12" s="55">
        <v>45798</v>
      </c>
      <c r="J12" t="s">
        <v>501</v>
      </c>
      <c r="L12" s="55"/>
      <c r="M12" s="1">
        <f>DATA_MAYO_2025[[#This Row],[RECUPERO]]/DATA_MAYO_2025[[#This Row],[META]]</f>
        <v>0.53401538461538467</v>
      </c>
      <c r="N12">
        <f>6-ROUNDUP(_xlfn.RANK.EQ(DATA_MAYO_2025[[#This Row],[AL_AC]],DATA_MAYO_2025[AL_AC],0)/(COUNTA(DATA_MAYO_2025[AL_AC])/5),0)</f>
        <v>3</v>
      </c>
      <c r="O12" t="s">
        <v>3</v>
      </c>
      <c r="P12" s="6">
        <f>SUM(DATA_MAYO_2025[[#This Row],[1]:[31]])</f>
        <v>34711</v>
      </c>
      <c r="Q12">
        <v>65000</v>
      </c>
      <c r="R12" t="s">
        <v>109</v>
      </c>
      <c r="X12">
        <v>8000</v>
      </c>
      <c r="AA12">
        <v>15500</v>
      </c>
      <c r="AF12">
        <v>700</v>
      </c>
      <c r="AG12">
        <v>274</v>
      </c>
      <c r="AH12">
        <v>231</v>
      </c>
      <c r="AR12">
        <v>1000</v>
      </c>
      <c r="AS12">
        <v>6644</v>
      </c>
      <c r="AV12">
        <v>2362</v>
      </c>
      <c r="AX12" t="s">
        <v>150</v>
      </c>
      <c r="AZ12">
        <v>495375</v>
      </c>
      <c r="BA12" s="11">
        <f>MAX(DITE_MAYO_2025[[#This Row],[1]:[31]])</f>
        <v>285981.05</v>
      </c>
      <c r="BB12" s="17">
        <f>DITE_MAYO_2025[[#This Row],[RECUPERO SUPERVISOR]]/DITE_MAYO_2025[[#This Row],[META SUPER]]</f>
        <v>0.57730214483976783</v>
      </c>
      <c r="BC12" t="s">
        <v>2</v>
      </c>
      <c r="BD12">
        <v>1350</v>
      </c>
      <c r="BE12">
        <v>2370</v>
      </c>
      <c r="BF12">
        <v>3370</v>
      </c>
      <c r="BG12">
        <v>3370</v>
      </c>
      <c r="BH12">
        <v>12388</v>
      </c>
      <c r="BI12">
        <v>19988</v>
      </c>
      <c r="BJ12">
        <v>26411</v>
      </c>
      <c r="BK12">
        <v>28862.78</v>
      </c>
      <c r="BL12">
        <v>34651.78</v>
      </c>
      <c r="BM12">
        <v>35651.78</v>
      </c>
      <c r="BN12">
        <v>35651.78</v>
      </c>
      <c r="BO12">
        <v>43901.78</v>
      </c>
      <c r="BP12">
        <v>45219.78</v>
      </c>
      <c r="BQ12">
        <v>55919.78</v>
      </c>
      <c r="BR12">
        <v>75810.880000000005</v>
      </c>
      <c r="BS12">
        <v>81160.88</v>
      </c>
      <c r="BT12">
        <v>84500.88</v>
      </c>
      <c r="BU12">
        <v>84500.88</v>
      </c>
      <c r="BV12">
        <v>96183.88</v>
      </c>
      <c r="BW12">
        <v>112303.88</v>
      </c>
      <c r="BX12">
        <v>122734.88</v>
      </c>
      <c r="BY12">
        <v>126634.88</v>
      </c>
      <c r="BZ12">
        <v>129671.88</v>
      </c>
      <c r="CA12">
        <v>137506.88</v>
      </c>
      <c r="CB12">
        <v>137506.88</v>
      </c>
      <c r="CC12">
        <v>147506.88</v>
      </c>
      <c r="CD12">
        <v>170672.88</v>
      </c>
      <c r="CE12">
        <v>204472.88</v>
      </c>
      <c r="CF12">
        <v>211372.88</v>
      </c>
      <c r="CG12">
        <v>262776.05</v>
      </c>
      <c r="CH12">
        <v>285981.05</v>
      </c>
      <c r="CI12" s="11" t="s">
        <v>150</v>
      </c>
      <c r="CK12" t="s">
        <v>2</v>
      </c>
      <c r="CL12" t="s">
        <v>2</v>
      </c>
      <c r="CM12" t="s">
        <v>2</v>
      </c>
      <c r="CN12" t="s">
        <v>2</v>
      </c>
      <c r="CO12" t="s">
        <v>2</v>
      </c>
    </row>
    <row r="13" spans="1:93" x14ac:dyDescent="0.25">
      <c r="A13" t="s">
        <v>4</v>
      </c>
      <c r="B13" t="s">
        <v>61</v>
      </c>
      <c r="C13">
        <f>VLOOKUP(D1_MAYO_2025[[#This Row],[SUPER]],DATA_MAYO_2025[[SUPERVISOR]:[META]],3,0)</f>
        <v>65000</v>
      </c>
      <c r="D13">
        <f>D1_MAYO_2025[[#This Row],[RECUPERO]]/D1_MAYO_2025[[#This Row],[META]]</f>
        <v>0.68599230769230768</v>
      </c>
      <c r="E13" t="s">
        <v>4</v>
      </c>
      <c r="F13" t="s">
        <v>61</v>
      </c>
      <c r="G13">
        <v>44589.5</v>
      </c>
      <c r="H13" t="s">
        <v>411</v>
      </c>
      <c r="I13" s="55">
        <v>44909</v>
      </c>
      <c r="J13" t="s">
        <v>501</v>
      </c>
      <c r="L13" s="55"/>
      <c r="M13" s="1">
        <f>DATA_MAYO_2025[[#This Row],[RECUPERO]]/DATA_MAYO_2025[[#This Row],[META]]</f>
        <v>0.48</v>
      </c>
      <c r="N13">
        <f>6-ROUNDUP(_xlfn.RANK.EQ(DATA_MAYO_2025[[#This Row],[AL_AC]],DATA_MAYO_2025[AL_AC],0)/(COUNTA(DATA_MAYO_2025[AL_AC])/5),0)</f>
        <v>3</v>
      </c>
      <c r="O13" t="s">
        <v>9</v>
      </c>
      <c r="P13" s="6">
        <f>SUM(DATA_MAYO_2025[[#This Row],[1]:[31]])</f>
        <v>9600</v>
      </c>
      <c r="Q13">
        <v>20000</v>
      </c>
      <c r="R13" t="s">
        <v>15</v>
      </c>
      <c r="Z13">
        <v>650</v>
      </c>
      <c r="AA13">
        <v>2020</v>
      </c>
      <c r="AD13">
        <v>3000</v>
      </c>
      <c r="AH13">
        <v>1480</v>
      </c>
      <c r="AN13">
        <v>700</v>
      </c>
      <c r="AS13">
        <v>200</v>
      </c>
      <c r="AV13">
        <v>1400</v>
      </c>
      <c r="AW13">
        <v>150</v>
      </c>
      <c r="AX13" t="s">
        <v>153</v>
      </c>
      <c r="AZ13">
        <v>258000</v>
      </c>
      <c r="BA13" s="11">
        <f>MAX(DITE_MAYO_2025[[#This Row],[1]:[31]])</f>
        <v>164757</v>
      </c>
      <c r="BB13" s="17">
        <f>DITE_MAYO_2025[[#This Row],[RECUPERO SUPERVISOR]]/DITE_MAYO_2025[[#This Row],[META SUPER]]</f>
        <v>0.63859302325581391</v>
      </c>
      <c r="BC13" t="s">
        <v>6</v>
      </c>
      <c r="BD13">
        <v>0</v>
      </c>
      <c r="BE13">
        <v>10970</v>
      </c>
      <c r="BF13">
        <v>10970</v>
      </c>
      <c r="BG13">
        <v>10970</v>
      </c>
      <c r="BH13">
        <v>16970</v>
      </c>
      <c r="BI13">
        <v>19160</v>
      </c>
      <c r="BJ13">
        <v>19780</v>
      </c>
      <c r="BK13">
        <v>30080</v>
      </c>
      <c r="BL13">
        <v>31080</v>
      </c>
      <c r="BM13">
        <v>31080</v>
      </c>
      <c r="BN13">
        <v>31080</v>
      </c>
      <c r="BO13">
        <v>32610</v>
      </c>
      <c r="BP13">
        <v>36860</v>
      </c>
      <c r="BQ13">
        <v>40910</v>
      </c>
      <c r="BR13">
        <v>59870</v>
      </c>
      <c r="BS13">
        <v>65410</v>
      </c>
      <c r="BT13">
        <v>65410</v>
      </c>
      <c r="BU13">
        <v>65410</v>
      </c>
      <c r="BV13">
        <v>103410</v>
      </c>
      <c r="BW13">
        <v>110149</v>
      </c>
      <c r="BX13">
        <v>113574</v>
      </c>
      <c r="BY13">
        <v>114824</v>
      </c>
      <c r="BZ13">
        <v>121174</v>
      </c>
      <c r="CA13">
        <v>121174</v>
      </c>
      <c r="CB13">
        <v>121174</v>
      </c>
      <c r="CC13">
        <v>130544</v>
      </c>
      <c r="CD13">
        <v>131529</v>
      </c>
      <c r="CE13">
        <v>131999</v>
      </c>
      <c r="CF13">
        <v>138161</v>
      </c>
      <c r="CG13">
        <v>163826</v>
      </c>
      <c r="CH13">
        <v>164757</v>
      </c>
      <c r="CI13" s="11" t="s">
        <v>152</v>
      </c>
      <c r="CK13" t="s">
        <v>6</v>
      </c>
      <c r="CL13" t="s">
        <v>6</v>
      </c>
      <c r="CM13" t="s">
        <v>6</v>
      </c>
      <c r="CN13" t="s">
        <v>6</v>
      </c>
      <c r="CO13" t="s">
        <v>6</v>
      </c>
    </row>
    <row r="14" spans="1:93" x14ac:dyDescent="0.25">
      <c r="A14" t="s">
        <v>4</v>
      </c>
      <c r="B14" t="s">
        <v>57</v>
      </c>
      <c r="C14">
        <f>VLOOKUP(D1_MAYO_2025[[#This Row],[SUPER]],DATA_MAYO_2025[[SUPERVISOR]:[META]],3,0)</f>
        <v>65000</v>
      </c>
      <c r="D14">
        <f>D1_MAYO_2025[[#This Row],[RECUPERO]]/D1_MAYO_2025[[#This Row],[META]]</f>
        <v>1.2592769230769232</v>
      </c>
      <c r="E14" t="s">
        <v>4</v>
      </c>
      <c r="F14" t="s">
        <v>57</v>
      </c>
      <c r="G14">
        <v>81853</v>
      </c>
      <c r="H14" t="s">
        <v>443</v>
      </c>
      <c r="I14" s="55">
        <v>45590</v>
      </c>
      <c r="J14" t="s">
        <v>501</v>
      </c>
      <c r="L14" s="55"/>
      <c r="M14" s="1">
        <f>DATA_MAYO_2025[[#This Row],[RECUPERO]]/DATA_MAYO_2025[[#This Row],[META]]</f>
        <v>3.5000000000000003E-2</v>
      </c>
      <c r="N14">
        <f>6-ROUNDUP(_xlfn.RANK.EQ(DATA_MAYO_2025[[#This Row],[AL_AC]],DATA_MAYO_2025[AL_AC],0)/(COUNTA(DATA_MAYO_2025[AL_AC])/5),0)</f>
        <v>1</v>
      </c>
      <c r="O14" t="s">
        <v>125</v>
      </c>
      <c r="P14" s="6">
        <f>SUM(DATA_MAYO_2025[[#This Row],[1]:[31]])</f>
        <v>700</v>
      </c>
      <c r="Q14">
        <v>20000</v>
      </c>
      <c r="R14" t="s">
        <v>111</v>
      </c>
      <c r="AL14">
        <v>300</v>
      </c>
      <c r="AV14">
        <v>400</v>
      </c>
      <c r="AX14" t="s">
        <v>153</v>
      </c>
      <c r="AZ14">
        <v>166833</v>
      </c>
      <c r="BA14" s="11">
        <f>MAX(DITE_MAYO_2025[[#This Row],[1]:[31]])</f>
        <v>80264.929999999993</v>
      </c>
      <c r="BB14" s="17">
        <f>DITE_MAYO_2025[[#This Row],[RECUPERO SUPERVISOR]]/DITE_MAYO_2025[[#This Row],[META SUPER]]</f>
        <v>0.48110943278607943</v>
      </c>
      <c r="BC14" t="s">
        <v>9</v>
      </c>
      <c r="BD14">
        <v>810</v>
      </c>
      <c r="BE14">
        <v>1780</v>
      </c>
      <c r="BF14">
        <v>1780</v>
      </c>
      <c r="BG14">
        <v>1780</v>
      </c>
      <c r="BH14">
        <v>2560</v>
      </c>
      <c r="BI14">
        <v>5380</v>
      </c>
      <c r="BJ14">
        <v>5880</v>
      </c>
      <c r="BK14">
        <v>7597</v>
      </c>
      <c r="BL14">
        <v>9617</v>
      </c>
      <c r="BM14">
        <v>9617</v>
      </c>
      <c r="BN14">
        <v>9617</v>
      </c>
      <c r="BO14">
        <v>14121.93</v>
      </c>
      <c r="BP14">
        <v>15771.93</v>
      </c>
      <c r="BQ14">
        <v>16316.93</v>
      </c>
      <c r="BR14">
        <v>22946.93</v>
      </c>
      <c r="BS14">
        <v>26356.93</v>
      </c>
      <c r="BT14">
        <v>26856.93</v>
      </c>
      <c r="BU14">
        <v>26856.93</v>
      </c>
      <c r="BV14">
        <v>35156.93</v>
      </c>
      <c r="BW14">
        <v>36339.93</v>
      </c>
      <c r="BX14">
        <v>37139.93</v>
      </c>
      <c r="BY14">
        <v>42739.93</v>
      </c>
      <c r="BZ14">
        <v>43539.93</v>
      </c>
      <c r="CA14">
        <v>43539.93</v>
      </c>
      <c r="CB14">
        <v>43539.93</v>
      </c>
      <c r="CC14">
        <v>48727.93</v>
      </c>
      <c r="CD14">
        <v>52727.93</v>
      </c>
      <c r="CE14">
        <v>58692.93</v>
      </c>
      <c r="CF14">
        <v>62802.93</v>
      </c>
      <c r="CG14">
        <v>75009.929999999993</v>
      </c>
      <c r="CH14">
        <v>80264.929999999993</v>
      </c>
      <c r="CI14" s="11" t="s">
        <v>153</v>
      </c>
      <c r="CK14" t="s">
        <v>9</v>
      </c>
      <c r="CL14" t="s">
        <v>9</v>
      </c>
      <c r="CM14" t="s">
        <v>9</v>
      </c>
      <c r="CN14" t="s">
        <v>9</v>
      </c>
      <c r="CO14" t="s">
        <v>9</v>
      </c>
    </row>
    <row r="15" spans="1:93" x14ac:dyDescent="0.25">
      <c r="A15" t="s">
        <v>4</v>
      </c>
      <c r="B15" t="s">
        <v>65</v>
      </c>
      <c r="C15">
        <f>VLOOKUP(D1_MAYO_2025[[#This Row],[SUPER]],DATA_MAYO_2025[[SUPERVISOR]:[META]],3,0)</f>
        <v>65000</v>
      </c>
      <c r="D15">
        <f>D1_MAYO_2025[[#This Row],[RECUPERO]]/D1_MAYO_2025[[#This Row],[META]]</f>
        <v>0.57552307692307692</v>
      </c>
      <c r="E15" t="s">
        <v>4</v>
      </c>
      <c r="F15" t="s">
        <v>65</v>
      </c>
      <c r="G15">
        <v>37409</v>
      </c>
      <c r="H15" t="s">
        <v>438</v>
      </c>
      <c r="I15" s="55">
        <v>45021</v>
      </c>
      <c r="J15" t="s">
        <v>501</v>
      </c>
      <c r="L15" s="55"/>
      <c r="M15" s="1">
        <f>DATA_MAYO_2025[[#This Row],[RECUPERO]]/DATA_MAYO_2025[[#This Row],[META]]</f>
        <v>0.51727846153846146</v>
      </c>
      <c r="N15">
        <f>6-ROUNDUP(_xlfn.RANK.EQ(DATA_MAYO_2025[[#This Row],[AL_AC]],DATA_MAYO_2025[AL_AC],0)/(COUNTA(DATA_MAYO_2025[AL_AC])/5),0)</f>
        <v>3</v>
      </c>
      <c r="O15" t="s">
        <v>5</v>
      </c>
      <c r="P15" s="6">
        <f>SUM(DATA_MAYO_2025[[#This Row],[1]:[31]])</f>
        <v>33623.1</v>
      </c>
      <c r="Q15">
        <v>65000</v>
      </c>
      <c r="R15" t="s">
        <v>69</v>
      </c>
      <c r="T15">
        <v>1290</v>
      </c>
      <c r="W15">
        <v>900</v>
      </c>
      <c r="Y15">
        <v>2000</v>
      </c>
      <c r="AD15">
        <v>1000</v>
      </c>
      <c r="AF15">
        <v>1345</v>
      </c>
      <c r="AG15">
        <v>2921.1</v>
      </c>
      <c r="AK15">
        <v>1500</v>
      </c>
      <c r="AL15">
        <v>7200</v>
      </c>
      <c r="AN15">
        <v>261</v>
      </c>
      <c r="AO15">
        <v>1600</v>
      </c>
      <c r="AR15">
        <v>685</v>
      </c>
      <c r="AS15">
        <v>700</v>
      </c>
      <c r="AV15">
        <v>2430</v>
      </c>
      <c r="AW15">
        <v>9791</v>
      </c>
      <c r="AX15" t="s">
        <v>150</v>
      </c>
      <c r="AZ15">
        <v>495375</v>
      </c>
      <c r="BA15" s="11">
        <f>MAX(DITE_MAYO_2025[[#This Row],[1]:[31]])</f>
        <v>283840.03000000003</v>
      </c>
      <c r="BB15" s="17">
        <f>DITE_MAYO_2025[[#This Row],[RECUPERO SUPERVISOR]]/DITE_MAYO_2025[[#This Row],[META SUPER]]</f>
        <v>0.57298012616704519</v>
      </c>
      <c r="BC15" t="s">
        <v>4</v>
      </c>
      <c r="BD15">
        <v>1150</v>
      </c>
      <c r="BE15">
        <v>14724</v>
      </c>
      <c r="BF15">
        <v>14724</v>
      </c>
      <c r="BG15">
        <v>14724</v>
      </c>
      <c r="BH15">
        <v>32471</v>
      </c>
      <c r="BI15">
        <v>43803</v>
      </c>
      <c r="BJ15">
        <v>46303</v>
      </c>
      <c r="BK15">
        <v>60493</v>
      </c>
      <c r="BL15">
        <v>66098</v>
      </c>
      <c r="BM15">
        <v>66948</v>
      </c>
      <c r="BN15">
        <v>67198</v>
      </c>
      <c r="BO15">
        <v>76035</v>
      </c>
      <c r="BP15">
        <v>79935</v>
      </c>
      <c r="BQ15">
        <v>86281.58</v>
      </c>
      <c r="BR15">
        <v>97711.58</v>
      </c>
      <c r="BS15">
        <v>113869.58</v>
      </c>
      <c r="BT15">
        <v>114469.58</v>
      </c>
      <c r="BU15">
        <v>117969.58</v>
      </c>
      <c r="BV15">
        <v>128822.58</v>
      </c>
      <c r="BW15">
        <v>130524.58</v>
      </c>
      <c r="BX15">
        <v>139324.58000000002</v>
      </c>
      <c r="BY15">
        <v>146439.13</v>
      </c>
      <c r="BZ15">
        <v>149447.13</v>
      </c>
      <c r="CA15">
        <v>150982.13</v>
      </c>
      <c r="CB15">
        <v>150982.13</v>
      </c>
      <c r="CC15">
        <v>167563.03</v>
      </c>
      <c r="CD15">
        <v>208860.03</v>
      </c>
      <c r="CE15">
        <v>215554.03</v>
      </c>
      <c r="CF15">
        <v>241498.03</v>
      </c>
      <c r="CG15">
        <v>280801.03000000003</v>
      </c>
      <c r="CH15">
        <v>283840.03000000003</v>
      </c>
      <c r="CI15" s="11" t="s">
        <v>150</v>
      </c>
      <c r="CK15" t="s">
        <v>4</v>
      </c>
      <c r="CL15" t="s">
        <v>4</v>
      </c>
      <c r="CM15" t="s">
        <v>4</v>
      </c>
      <c r="CN15" t="s">
        <v>124</v>
      </c>
      <c r="CO15" t="s">
        <v>4</v>
      </c>
    </row>
    <row r="16" spans="1:93" x14ac:dyDescent="0.25">
      <c r="A16" t="s">
        <v>4</v>
      </c>
      <c r="B16" t="s">
        <v>75</v>
      </c>
      <c r="C16">
        <f>VLOOKUP(D1_MAYO_2025[[#This Row],[SUPER]],DATA_MAYO_2025[[SUPERVISOR]:[META]],3,0)</f>
        <v>65000</v>
      </c>
      <c r="D16">
        <f>D1_MAYO_2025[[#This Row],[RECUPERO]]/D1_MAYO_2025[[#This Row],[META]]</f>
        <v>0.37940000000000002</v>
      </c>
      <c r="E16" t="s">
        <v>4</v>
      </c>
      <c r="F16" t="s">
        <v>75</v>
      </c>
      <c r="G16">
        <v>24661</v>
      </c>
      <c r="H16" t="s">
        <v>428</v>
      </c>
      <c r="I16" s="55">
        <v>44716</v>
      </c>
      <c r="J16" t="s">
        <v>501</v>
      </c>
      <c r="L16" s="55"/>
      <c r="M16" s="1">
        <f>DATA_MAYO_2025[[#This Row],[RECUPERO]]/DATA_MAYO_2025[[#This Row],[META]]</f>
        <v>7.6923076923076927E-3</v>
      </c>
      <c r="N16">
        <f>6-ROUNDUP(_xlfn.RANK.EQ(DATA_MAYO_2025[[#This Row],[AL_AC]],DATA_MAYO_2025[AL_AC],0)/(COUNTA(DATA_MAYO_2025[AL_AC])/5),0)</f>
        <v>1</v>
      </c>
      <c r="O16" t="s">
        <v>5</v>
      </c>
      <c r="P16" s="6">
        <f>SUM(DATA_MAYO_2025[[#This Row],[1]:[31]])</f>
        <v>500</v>
      </c>
      <c r="Q16">
        <v>65000</v>
      </c>
      <c r="R16" t="s">
        <v>85</v>
      </c>
      <c r="S16">
        <v>500</v>
      </c>
      <c r="AX16" t="s">
        <v>150</v>
      </c>
      <c r="AZ16">
        <v>495375</v>
      </c>
      <c r="BA16" s="11">
        <f>MAX(DITE_MAYO_2025[[#This Row],[1]:[31]])</f>
        <v>448751.23</v>
      </c>
      <c r="BB16" s="17">
        <f>DITE_MAYO_2025[[#This Row],[RECUPERO SUPERVISOR]]/DITE_MAYO_2025[[#This Row],[META SUPER]]</f>
        <v>0.90588186727226849</v>
      </c>
      <c r="BC16" t="s">
        <v>3</v>
      </c>
      <c r="BD16">
        <v>1667</v>
      </c>
      <c r="BE16">
        <v>9947</v>
      </c>
      <c r="BF16">
        <v>10947</v>
      </c>
      <c r="BG16">
        <v>10947</v>
      </c>
      <c r="BH16">
        <v>21947</v>
      </c>
      <c r="BI16">
        <v>43526</v>
      </c>
      <c r="BJ16">
        <v>54572</v>
      </c>
      <c r="BK16">
        <v>80054</v>
      </c>
      <c r="BL16">
        <v>97382</v>
      </c>
      <c r="BM16">
        <v>100382</v>
      </c>
      <c r="BN16">
        <v>100382</v>
      </c>
      <c r="BO16">
        <v>131864.70000000001</v>
      </c>
      <c r="BP16">
        <v>132464.70000000001</v>
      </c>
      <c r="BQ16">
        <v>143564.70000000001</v>
      </c>
      <c r="BR16">
        <v>154812.70000000001</v>
      </c>
      <c r="BS16">
        <v>163843.70000000001</v>
      </c>
      <c r="BT16">
        <v>173443.7</v>
      </c>
      <c r="BU16">
        <v>173443.7</v>
      </c>
      <c r="BV16">
        <v>187823.7</v>
      </c>
      <c r="BW16">
        <v>213378.27000000002</v>
      </c>
      <c r="BX16">
        <v>234740.27000000002</v>
      </c>
      <c r="BY16">
        <v>244240.27000000002</v>
      </c>
      <c r="BZ16">
        <v>254418.27000000002</v>
      </c>
      <c r="CA16">
        <v>256418.27000000002</v>
      </c>
      <c r="CB16">
        <v>256418.27000000002</v>
      </c>
      <c r="CC16">
        <v>295510.27</v>
      </c>
      <c r="CD16">
        <v>336268.32</v>
      </c>
      <c r="CE16">
        <v>347768.32000000001</v>
      </c>
      <c r="CF16">
        <v>378021.32</v>
      </c>
      <c r="CG16">
        <v>434857.11</v>
      </c>
      <c r="CH16">
        <v>448751.23</v>
      </c>
      <c r="CI16" s="11" t="s">
        <v>150</v>
      </c>
      <c r="CK16" t="s">
        <v>3</v>
      </c>
      <c r="CL16" t="s">
        <v>3</v>
      </c>
      <c r="CM16" t="s">
        <v>3</v>
      </c>
      <c r="CN16" t="s">
        <v>3</v>
      </c>
      <c r="CO16" t="s">
        <v>3</v>
      </c>
    </row>
    <row r="17" spans="1:50" x14ac:dyDescent="0.25">
      <c r="A17" t="s">
        <v>4</v>
      </c>
      <c r="B17" t="s">
        <v>62</v>
      </c>
      <c r="C17">
        <f>VLOOKUP(D1_MAYO_2025[[#This Row],[SUPER]],DATA_MAYO_2025[[SUPERVISOR]:[META]],3,0)</f>
        <v>65000</v>
      </c>
      <c r="D17">
        <f>D1_MAYO_2025[[#This Row],[RECUPERO]]/D1_MAYO_2025[[#This Row],[META]]</f>
        <v>0.38682384615384613</v>
      </c>
      <c r="E17" t="s">
        <v>4</v>
      </c>
      <c r="F17" t="s">
        <v>62</v>
      </c>
      <c r="G17">
        <v>25143.55</v>
      </c>
      <c r="H17" t="s">
        <v>386</v>
      </c>
      <c r="I17" s="55">
        <v>45334</v>
      </c>
      <c r="J17" t="s">
        <v>501</v>
      </c>
      <c r="L17" s="55"/>
      <c r="M17" s="1">
        <f>DATA_MAYO_2025[[#This Row],[RECUPERO]]/DATA_MAYO_2025[[#This Row],[META]]</f>
        <v>0.57967999999999997</v>
      </c>
      <c r="N17">
        <f>6-ROUNDUP(_xlfn.RANK.EQ(DATA_MAYO_2025[[#This Row],[AL_AC]],DATA_MAYO_2025[AL_AC],0)/(COUNTA(DATA_MAYO_2025[AL_AC])/5),0)</f>
        <v>4</v>
      </c>
      <c r="O17" t="s">
        <v>5</v>
      </c>
      <c r="P17" s="6">
        <f>SUM(DATA_MAYO_2025[[#This Row],[1]:[31]])</f>
        <v>37679.199999999997</v>
      </c>
      <c r="Q17">
        <v>65000</v>
      </c>
      <c r="R17" t="s">
        <v>67</v>
      </c>
      <c r="T17">
        <v>1901</v>
      </c>
      <c r="W17">
        <v>935</v>
      </c>
      <c r="Y17">
        <v>5000</v>
      </c>
      <c r="Z17">
        <v>600</v>
      </c>
      <c r="AD17">
        <v>240</v>
      </c>
      <c r="AG17">
        <v>1482</v>
      </c>
      <c r="AH17">
        <v>772.2</v>
      </c>
      <c r="AI17">
        <v>3000</v>
      </c>
      <c r="AK17">
        <v>1000</v>
      </c>
      <c r="AL17">
        <v>3000</v>
      </c>
      <c r="AM17">
        <v>5300</v>
      </c>
      <c r="AO17">
        <v>2400</v>
      </c>
      <c r="AR17">
        <v>1000</v>
      </c>
      <c r="AT17">
        <v>7000</v>
      </c>
      <c r="AU17">
        <v>1034</v>
      </c>
      <c r="AV17">
        <v>715</v>
      </c>
      <c r="AW17">
        <v>2300</v>
      </c>
      <c r="AX17" t="s">
        <v>150</v>
      </c>
    </row>
    <row r="18" spans="1:50" x14ac:dyDescent="0.25">
      <c r="A18" t="s">
        <v>4</v>
      </c>
      <c r="B18" t="s">
        <v>64</v>
      </c>
      <c r="C18">
        <f>VLOOKUP(D1_MAYO_2025[[#This Row],[SUPER]],DATA_MAYO_2025[[SUPERVISOR]:[META]],3,0)</f>
        <v>65000</v>
      </c>
      <c r="D18">
        <f>D1_MAYO_2025[[#This Row],[RECUPERO]]/D1_MAYO_2025[[#This Row],[META]]</f>
        <v>0.25306153846153845</v>
      </c>
      <c r="E18" t="s">
        <v>4</v>
      </c>
      <c r="F18" t="s">
        <v>64</v>
      </c>
      <c r="G18">
        <v>16449</v>
      </c>
      <c r="H18" t="s">
        <v>455</v>
      </c>
      <c r="I18" s="55">
        <v>45700</v>
      </c>
      <c r="J18" t="s">
        <v>501</v>
      </c>
      <c r="L18" s="55"/>
      <c r="M18" s="1">
        <f>DATA_MAYO_2025[[#This Row],[RECUPERO]]/DATA_MAYO_2025[[#This Row],[META]]</f>
        <v>1.46035</v>
      </c>
      <c r="N18">
        <f>6-ROUNDUP(_xlfn.RANK.EQ(DATA_MAYO_2025[[#This Row],[AL_AC]],DATA_MAYO_2025[AL_AC],0)/(COUNTA(DATA_MAYO_2025[AL_AC])/5),0)</f>
        <v>5</v>
      </c>
      <c r="O18" t="s">
        <v>8</v>
      </c>
      <c r="P18" s="6">
        <f>SUM(DATA_MAYO_2025[[#This Row],[1]:[31]])</f>
        <v>29207</v>
      </c>
      <c r="Q18">
        <v>20000</v>
      </c>
      <c r="R18" t="s">
        <v>14</v>
      </c>
      <c r="V18">
        <v>200</v>
      </c>
      <c r="W18">
        <v>220</v>
      </c>
      <c r="Y18">
        <v>350</v>
      </c>
      <c r="Z18">
        <v>1327</v>
      </c>
      <c r="AA18">
        <v>1250</v>
      </c>
      <c r="AD18">
        <v>200</v>
      </c>
      <c r="AF18">
        <v>1000</v>
      </c>
      <c r="AG18">
        <v>3000</v>
      </c>
      <c r="AL18">
        <v>1517</v>
      </c>
      <c r="AM18">
        <v>472</v>
      </c>
      <c r="AO18">
        <v>658</v>
      </c>
      <c r="AR18">
        <v>381</v>
      </c>
      <c r="AS18">
        <v>2900</v>
      </c>
      <c r="AT18">
        <v>733</v>
      </c>
      <c r="AU18">
        <v>200</v>
      </c>
      <c r="AV18">
        <v>13765</v>
      </c>
      <c r="AW18">
        <v>1034</v>
      </c>
      <c r="AX18" t="s">
        <v>153</v>
      </c>
    </row>
    <row r="19" spans="1:50" x14ac:dyDescent="0.25">
      <c r="A19" t="s">
        <v>4</v>
      </c>
      <c r="B19" t="s">
        <v>59</v>
      </c>
      <c r="C19">
        <f>VLOOKUP(D1_MAYO_2025[[#This Row],[SUPER]],DATA_MAYO_2025[[SUPERVISOR]:[META]],3,0)</f>
        <v>65000</v>
      </c>
      <c r="D19">
        <f>D1_MAYO_2025[[#This Row],[RECUPERO]]/D1_MAYO_2025[[#This Row],[META]]</f>
        <v>0.81130738461538465</v>
      </c>
      <c r="E19" t="s">
        <v>4</v>
      </c>
      <c r="F19" t="s">
        <v>59</v>
      </c>
      <c r="G19">
        <v>52734.98</v>
      </c>
      <c r="H19" t="s">
        <v>430</v>
      </c>
      <c r="I19" s="55">
        <v>45348</v>
      </c>
      <c r="J19" t="s">
        <v>501</v>
      </c>
      <c r="L19" s="55"/>
      <c r="M19" s="1">
        <f>DATA_MAYO_2025[[#This Row],[RECUPERO]]/DATA_MAYO_2025[[#This Row],[META]]</f>
        <v>0.25785000000000002</v>
      </c>
      <c r="N19">
        <f>6-ROUNDUP(_xlfn.RANK.EQ(DATA_MAYO_2025[[#This Row],[AL_AC]],DATA_MAYO_2025[AL_AC],0)/(COUNTA(DATA_MAYO_2025[AL_AC])/5),0)</f>
        <v>2</v>
      </c>
      <c r="O19" t="s">
        <v>9</v>
      </c>
      <c r="P19" s="6">
        <f>SUM(DATA_MAYO_2025[[#This Row],[1]:[31]])</f>
        <v>5157</v>
      </c>
      <c r="Q19">
        <v>20000</v>
      </c>
      <c r="R19" t="s">
        <v>104</v>
      </c>
      <c r="S19">
        <v>200</v>
      </c>
      <c r="X19">
        <v>800</v>
      </c>
      <c r="Y19">
        <v>300</v>
      </c>
      <c r="Z19">
        <v>557</v>
      </c>
      <c r="AD19">
        <v>300</v>
      </c>
      <c r="AH19">
        <v>400</v>
      </c>
      <c r="AK19">
        <v>400</v>
      </c>
      <c r="AN19">
        <v>900</v>
      </c>
      <c r="AV19">
        <v>600</v>
      </c>
      <c r="AW19">
        <v>700</v>
      </c>
      <c r="AX19" t="s">
        <v>153</v>
      </c>
    </row>
    <row r="20" spans="1:50" x14ac:dyDescent="0.25">
      <c r="A20" t="s">
        <v>2</v>
      </c>
      <c r="B20" t="s">
        <v>16</v>
      </c>
      <c r="C20">
        <f>VLOOKUP(D1_MAYO_2025[[#This Row],[SUPER]],DATA_MAYO_2025[[SUPERVISOR]:[META]],3,0)</f>
        <v>65000</v>
      </c>
      <c r="D20">
        <f>D1_MAYO_2025[[#This Row],[RECUPERO]]/D1_MAYO_2025[[#This Row],[META]]</f>
        <v>0.54335384615384619</v>
      </c>
      <c r="E20" t="s">
        <v>2</v>
      </c>
      <c r="F20" t="s">
        <v>16</v>
      </c>
      <c r="G20">
        <v>35318</v>
      </c>
      <c r="H20" t="s">
        <v>388</v>
      </c>
      <c r="I20" s="55">
        <v>45334</v>
      </c>
      <c r="J20" t="s">
        <v>501</v>
      </c>
      <c r="L20" s="55"/>
      <c r="M20" s="1">
        <f>DATA_MAYO_2025[[#This Row],[RECUPERO]]/DATA_MAYO_2025[[#This Row],[META]]</f>
        <v>0.67846153846153845</v>
      </c>
      <c r="N20">
        <f>6-ROUNDUP(_xlfn.RANK.EQ(DATA_MAYO_2025[[#This Row],[AL_AC]],DATA_MAYO_2025[AL_AC],0)/(COUNTA(DATA_MAYO_2025[AL_AC])/5),0)</f>
        <v>4</v>
      </c>
      <c r="O20" t="s">
        <v>6</v>
      </c>
      <c r="P20" s="6">
        <f>SUM(DATA_MAYO_2025[[#This Row],[1]:[31]])</f>
        <v>17640</v>
      </c>
      <c r="Q20">
        <v>26000</v>
      </c>
      <c r="R20" t="s">
        <v>19</v>
      </c>
      <c r="X20">
        <v>290</v>
      </c>
      <c r="AD20">
        <v>100</v>
      </c>
      <c r="AF20">
        <v>500</v>
      </c>
      <c r="AG20">
        <v>250</v>
      </c>
      <c r="AK20">
        <v>1000</v>
      </c>
      <c r="AL20">
        <v>5500</v>
      </c>
      <c r="AV20">
        <v>10000</v>
      </c>
      <c r="AX20" t="s">
        <v>152</v>
      </c>
    </row>
    <row r="21" spans="1:50" x14ac:dyDescent="0.25">
      <c r="A21" t="s">
        <v>2</v>
      </c>
      <c r="B21" t="s">
        <v>12</v>
      </c>
      <c r="C21">
        <f>VLOOKUP(D1_MAYO_2025[[#This Row],[SUPER]],DATA_MAYO_2025[[SUPERVISOR]:[META]],3,0)</f>
        <v>65000</v>
      </c>
      <c r="D21">
        <f>D1_MAYO_2025[[#This Row],[RECUPERO]]/D1_MAYO_2025[[#This Row],[META]]</f>
        <v>0.48955384615384617</v>
      </c>
      <c r="E21" t="s">
        <v>2</v>
      </c>
      <c r="F21" t="s">
        <v>12</v>
      </c>
      <c r="G21">
        <v>31821</v>
      </c>
      <c r="H21" t="s">
        <v>389</v>
      </c>
      <c r="I21" s="55">
        <v>44870</v>
      </c>
      <c r="J21" t="s">
        <v>501</v>
      </c>
      <c r="L21" s="55"/>
      <c r="M21" s="1">
        <f>DATA_MAYO_2025[[#This Row],[RECUPERO]]/DATA_MAYO_2025[[#This Row],[META]]</f>
        <v>0.42515384615384616</v>
      </c>
      <c r="N21">
        <f>6-ROUNDUP(_xlfn.RANK.EQ(DATA_MAYO_2025[[#This Row],[AL_AC]],DATA_MAYO_2025[AL_AC],0)/(COUNTA(DATA_MAYO_2025[AL_AC])/5),0)</f>
        <v>2</v>
      </c>
      <c r="O21" t="s">
        <v>3</v>
      </c>
      <c r="P21" s="6">
        <f>SUM(DATA_MAYO_2025[[#This Row],[1]:[31]])</f>
        <v>27635</v>
      </c>
      <c r="Q21">
        <v>65000</v>
      </c>
      <c r="R21" t="s">
        <v>53</v>
      </c>
      <c r="T21">
        <v>370</v>
      </c>
      <c r="Y21">
        <v>1500</v>
      </c>
      <c r="AA21">
        <v>400</v>
      </c>
      <c r="AD21">
        <v>11575</v>
      </c>
      <c r="AF21">
        <v>600</v>
      </c>
      <c r="AM21">
        <v>1190</v>
      </c>
      <c r="AN21">
        <v>8000</v>
      </c>
      <c r="AS21">
        <v>2000</v>
      </c>
      <c r="AT21">
        <v>700</v>
      </c>
      <c r="AU21">
        <v>700</v>
      </c>
      <c r="AV21">
        <v>600</v>
      </c>
      <c r="AX21" t="s">
        <v>150</v>
      </c>
    </row>
    <row r="22" spans="1:50" x14ac:dyDescent="0.25">
      <c r="A22" t="s">
        <v>2</v>
      </c>
      <c r="B22" t="s">
        <v>13</v>
      </c>
      <c r="C22">
        <f>VLOOKUP(D1_MAYO_2025[[#This Row],[SUPER]],DATA_MAYO_2025[[SUPERVISOR]:[META]],3,0)</f>
        <v>65000</v>
      </c>
      <c r="D22">
        <f>D1_MAYO_2025[[#This Row],[RECUPERO]]/D1_MAYO_2025[[#This Row],[META]]</f>
        <v>0.4540769230769231</v>
      </c>
      <c r="E22" t="s">
        <v>2</v>
      </c>
      <c r="F22" t="s">
        <v>13</v>
      </c>
      <c r="G22">
        <v>29515</v>
      </c>
      <c r="H22" t="s">
        <v>382</v>
      </c>
      <c r="I22" s="55">
        <v>44811</v>
      </c>
      <c r="J22" t="s">
        <v>501</v>
      </c>
      <c r="L22" s="55"/>
      <c r="M22" s="1">
        <f>DATA_MAYO_2025[[#This Row],[RECUPERO]]/DATA_MAYO_2025[[#This Row],[META]]</f>
        <v>0.22819999999999999</v>
      </c>
      <c r="N22">
        <f>6-ROUNDUP(_xlfn.RANK.EQ(DATA_MAYO_2025[[#This Row],[AL_AC]],DATA_MAYO_2025[AL_AC],0)/(COUNTA(DATA_MAYO_2025[AL_AC])/5),0)</f>
        <v>2</v>
      </c>
      <c r="O22" t="s">
        <v>8</v>
      </c>
      <c r="P22" s="6">
        <f>SUM(DATA_MAYO_2025[[#This Row],[1]:[31]])</f>
        <v>4564</v>
      </c>
      <c r="Q22">
        <v>20000</v>
      </c>
      <c r="R22" t="s">
        <v>41</v>
      </c>
      <c r="T22">
        <v>300</v>
      </c>
      <c r="X22">
        <v>160</v>
      </c>
      <c r="Y22">
        <v>200</v>
      </c>
      <c r="AA22">
        <v>200</v>
      </c>
      <c r="AD22">
        <v>1000</v>
      </c>
      <c r="AH22">
        <v>130</v>
      </c>
      <c r="AN22">
        <v>700</v>
      </c>
      <c r="AO22">
        <v>900</v>
      </c>
      <c r="AR22">
        <v>340</v>
      </c>
      <c r="AS22">
        <v>100</v>
      </c>
      <c r="AT22">
        <v>400</v>
      </c>
      <c r="AU22">
        <v>134</v>
      </c>
      <c r="AX22" t="s">
        <v>153</v>
      </c>
    </row>
    <row r="23" spans="1:50" x14ac:dyDescent="0.25">
      <c r="A23" t="s">
        <v>2</v>
      </c>
      <c r="B23" t="s">
        <v>77</v>
      </c>
      <c r="C23">
        <f>VLOOKUP(D1_MAYO_2025[[#This Row],[SUPER]],DATA_MAYO_2025[[SUPERVISOR]:[META]],3,0)</f>
        <v>65000</v>
      </c>
      <c r="D23">
        <f>D1_MAYO_2025[[#This Row],[RECUPERO]]/D1_MAYO_2025[[#This Row],[META]]</f>
        <v>0.55006846153846145</v>
      </c>
      <c r="E23" t="s">
        <v>2</v>
      </c>
      <c r="F23" t="s">
        <v>77</v>
      </c>
      <c r="G23">
        <v>35754.449999999997</v>
      </c>
      <c r="H23" t="s">
        <v>393</v>
      </c>
      <c r="I23" s="55">
        <v>44840</v>
      </c>
      <c r="J23" t="s">
        <v>501</v>
      </c>
      <c r="L23" s="55"/>
      <c r="M23" s="1">
        <f>DATA_MAYO_2025[[#This Row],[RECUPERO]]/DATA_MAYO_2025[[#This Row],[META]]</f>
        <v>1.5384615384615385E-2</v>
      </c>
      <c r="N23">
        <f>6-ROUNDUP(_xlfn.RANK.EQ(DATA_MAYO_2025[[#This Row],[AL_AC]],DATA_MAYO_2025[AL_AC],0)/(COUNTA(DATA_MAYO_2025[AL_AC])/5),0)</f>
        <v>1</v>
      </c>
      <c r="O23" t="s">
        <v>4</v>
      </c>
      <c r="P23" s="6">
        <f>SUM(DATA_MAYO_2025[[#This Row],[1]:[31]])</f>
        <v>1000</v>
      </c>
      <c r="Q23">
        <v>65000</v>
      </c>
      <c r="R23" t="s">
        <v>82</v>
      </c>
      <c r="AV23">
        <v>1000</v>
      </c>
      <c r="AX23" t="s">
        <v>150</v>
      </c>
    </row>
    <row r="24" spans="1:50" x14ac:dyDescent="0.25">
      <c r="A24" t="s">
        <v>2</v>
      </c>
      <c r="B24" t="s">
        <v>29</v>
      </c>
      <c r="C24">
        <f>VLOOKUP(D1_MAYO_2025[[#This Row],[SUPER]],DATA_MAYO_2025[[SUPERVISOR]:[META]],3,0)</f>
        <v>65000</v>
      </c>
      <c r="D24">
        <f>D1_MAYO_2025[[#This Row],[RECUPERO]]/D1_MAYO_2025[[#This Row],[META]]</f>
        <v>0.71824615384615387</v>
      </c>
      <c r="E24" t="s">
        <v>2</v>
      </c>
      <c r="F24" t="s">
        <v>29</v>
      </c>
      <c r="G24">
        <v>46686</v>
      </c>
      <c r="H24" t="s">
        <v>416</v>
      </c>
      <c r="I24" s="55">
        <v>44687</v>
      </c>
      <c r="J24" t="s">
        <v>501</v>
      </c>
      <c r="L24" s="55"/>
      <c r="M24" s="1">
        <f>DATA_MAYO_2025[[#This Row],[RECUPERO]]/DATA_MAYO_2025[[#This Row],[META]]</f>
        <v>0.68599230769230768</v>
      </c>
      <c r="N24">
        <f>6-ROUNDUP(_xlfn.RANK.EQ(DATA_MAYO_2025[[#This Row],[AL_AC]],DATA_MAYO_2025[AL_AC],0)/(COUNTA(DATA_MAYO_2025[AL_AC])/5),0)</f>
        <v>4</v>
      </c>
      <c r="O24" t="s">
        <v>4</v>
      </c>
      <c r="P24" s="6">
        <f>SUM(DATA_MAYO_2025[[#This Row],[1]:[31]])</f>
        <v>44589.5</v>
      </c>
      <c r="Q24">
        <v>65000</v>
      </c>
      <c r="R24" t="s">
        <v>61</v>
      </c>
      <c r="S24">
        <v>730</v>
      </c>
      <c r="T24">
        <v>4024</v>
      </c>
      <c r="W24">
        <v>1847</v>
      </c>
      <c r="Y24">
        <v>1650</v>
      </c>
      <c r="Z24">
        <v>2440</v>
      </c>
      <c r="AA24">
        <v>4000</v>
      </c>
      <c r="AB24">
        <v>600</v>
      </c>
      <c r="AF24">
        <v>867</v>
      </c>
      <c r="AH24">
        <v>901.5</v>
      </c>
      <c r="AK24">
        <v>1011</v>
      </c>
      <c r="AL24">
        <v>349</v>
      </c>
      <c r="AN24">
        <v>1215</v>
      </c>
      <c r="AO24">
        <v>1008</v>
      </c>
      <c r="AP24">
        <v>865</v>
      </c>
      <c r="AS24">
        <v>20605</v>
      </c>
      <c r="AT24">
        <v>294</v>
      </c>
      <c r="AU24">
        <v>150</v>
      </c>
      <c r="AV24">
        <v>1765</v>
      </c>
      <c r="AW24">
        <v>268</v>
      </c>
      <c r="AX24" t="s">
        <v>150</v>
      </c>
    </row>
    <row r="25" spans="1:50" x14ac:dyDescent="0.25">
      <c r="A25" t="s">
        <v>2</v>
      </c>
      <c r="B25" t="s">
        <v>17</v>
      </c>
      <c r="C25">
        <f>VLOOKUP(D1_MAYO_2025[[#This Row],[SUPER]],DATA_MAYO_2025[[SUPERVISOR]:[META]],3,0)</f>
        <v>65000</v>
      </c>
      <c r="D25">
        <f>D1_MAYO_2025[[#This Row],[RECUPERO]]/D1_MAYO_2025[[#This Row],[META]]</f>
        <v>0.65569230769230769</v>
      </c>
      <c r="E25" t="s">
        <v>2</v>
      </c>
      <c r="F25" t="s">
        <v>17</v>
      </c>
      <c r="G25">
        <v>42620</v>
      </c>
      <c r="H25" t="s">
        <v>385</v>
      </c>
      <c r="I25" s="55">
        <v>44888</v>
      </c>
      <c r="J25" t="s">
        <v>501</v>
      </c>
      <c r="L25" s="55"/>
      <c r="M25" s="1">
        <f>DATA_MAYO_2025[[#This Row],[RECUPERO]]/DATA_MAYO_2025[[#This Row],[META]]</f>
        <v>1.6751</v>
      </c>
      <c r="N25">
        <f>6-ROUNDUP(_xlfn.RANK.EQ(DATA_MAYO_2025[[#This Row],[AL_AC]],DATA_MAYO_2025[AL_AC],0)/(COUNTA(DATA_MAYO_2025[AL_AC])/5),0)</f>
        <v>5</v>
      </c>
      <c r="O25" t="s">
        <v>125</v>
      </c>
      <c r="P25" s="6">
        <f>SUM(DATA_MAYO_2025[[#This Row],[1]:[31]])</f>
        <v>33502</v>
      </c>
      <c r="Q25">
        <v>20000</v>
      </c>
      <c r="R25" t="s">
        <v>80</v>
      </c>
      <c r="X25">
        <v>2000</v>
      </c>
      <c r="Z25">
        <v>1200</v>
      </c>
      <c r="AF25">
        <v>174</v>
      </c>
      <c r="AG25">
        <v>8200</v>
      </c>
      <c r="AH25">
        <v>1900</v>
      </c>
      <c r="AK25">
        <v>395</v>
      </c>
      <c r="AL25">
        <v>315</v>
      </c>
      <c r="AM25">
        <v>305</v>
      </c>
      <c r="AN25">
        <v>4194</v>
      </c>
      <c r="AO25">
        <v>187</v>
      </c>
      <c r="AR25">
        <v>8885</v>
      </c>
      <c r="AS25">
        <v>435</v>
      </c>
      <c r="AU25">
        <v>432</v>
      </c>
      <c r="AV25">
        <v>2280</v>
      </c>
      <c r="AW25">
        <v>2600</v>
      </c>
      <c r="AX25" t="s">
        <v>153</v>
      </c>
    </row>
    <row r="26" spans="1:50" x14ac:dyDescent="0.25">
      <c r="A26" t="s">
        <v>2</v>
      </c>
      <c r="B26" t="s">
        <v>11</v>
      </c>
      <c r="C26">
        <f>VLOOKUP(D1_MAYO_2025[[#This Row],[SUPER]],DATA_MAYO_2025[[SUPERVISOR]:[META]],3,0)</f>
        <v>65000</v>
      </c>
      <c r="D26">
        <f>D1_MAYO_2025[[#This Row],[RECUPERO]]/D1_MAYO_2025[[#This Row],[META]]</f>
        <v>0.69013999999999998</v>
      </c>
      <c r="E26" t="s">
        <v>2</v>
      </c>
      <c r="F26" t="s">
        <v>11</v>
      </c>
      <c r="G26">
        <v>44859.1</v>
      </c>
      <c r="H26" t="s">
        <v>429</v>
      </c>
      <c r="I26" s="55">
        <v>45371</v>
      </c>
      <c r="J26" t="s">
        <v>501</v>
      </c>
      <c r="L26" s="55"/>
      <c r="M26" s="1">
        <f>DATA_MAYO_2025[[#This Row],[RECUPERO]]/DATA_MAYO_2025[[#This Row],[META]]</f>
        <v>0.52564999999999995</v>
      </c>
      <c r="N26">
        <f>6-ROUNDUP(_xlfn.RANK.EQ(DATA_MAYO_2025[[#This Row],[AL_AC]],DATA_MAYO_2025[AL_AC],0)/(COUNTA(DATA_MAYO_2025[AL_AC])/5),0)</f>
        <v>3</v>
      </c>
      <c r="O26" t="s">
        <v>8</v>
      </c>
      <c r="P26" s="6">
        <f>SUM(DATA_MAYO_2025[[#This Row],[1]:[31]])</f>
        <v>10513</v>
      </c>
      <c r="Q26">
        <v>20000</v>
      </c>
      <c r="R26" t="s">
        <v>40</v>
      </c>
      <c r="W26">
        <v>170</v>
      </c>
      <c r="Z26">
        <v>750</v>
      </c>
      <c r="AD26">
        <v>450</v>
      </c>
      <c r="AG26">
        <v>945</v>
      </c>
      <c r="AH26">
        <v>200</v>
      </c>
      <c r="AO26">
        <v>3000</v>
      </c>
      <c r="AS26">
        <v>100</v>
      </c>
      <c r="AU26">
        <v>3150</v>
      </c>
      <c r="AV26">
        <v>1748</v>
      </c>
      <c r="AX26" t="s">
        <v>153</v>
      </c>
    </row>
    <row r="27" spans="1:50" x14ac:dyDescent="0.25">
      <c r="A27" t="s">
        <v>2</v>
      </c>
      <c r="B27" t="s">
        <v>86</v>
      </c>
      <c r="C27">
        <f>VLOOKUP(D1_MAYO_2025[[#This Row],[SUPER]],DATA_MAYO_2025[[SUPERVISOR]:[META]],3,0)</f>
        <v>65000</v>
      </c>
      <c r="D27">
        <f>D1_MAYO_2025[[#This Row],[RECUPERO]]/D1_MAYO_2025[[#This Row],[META]]</f>
        <v>0</v>
      </c>
      <c r="E27" t="s">
        <v>2</v>
      </c>
      <c r="F27" t="s">
        <v>86</v>
      </c>
      <c r="G27">
        <v>0</v>
      </c>
      <c r="H27" t="s">
        <v>466</v>
      </c>
      <c r="I27" s="55">
        <v>45798</v>
      </c>
      <c r="J27" t="s">
        <v>501</v>
      </c>
      <c r="L27" s="55"/>
      <c r="M27" s="1">
        <f>DATA_MAYO_2025[[#This Row],[RECUPERO]]/DATA_MAYO_2025[[#This Row],[META]]</f>
        <v>0.41130769230769232</v>
      </c>
      <c r="N27">
        <f>6-ROUNDUP(_xlfn.RANK.EQ(DATA_MAYO_2025[[#This Row],[AL_AC]],DATA_MAYO_2025[AL_AC],0)/(COUNTA(DATA_MAYO_2025[AL_AC])/5),0)</f>
        <v>2</v>
      </c>
      <c r="O27" t="s">
        <v>6</v>
      </c>
      <c r="P27" s="6">
        <f>SUM(DATA_MAYO_2025[[#This Row],[1]:[31]])</f>
        <v>10694</v>
      </c>
      <c r="Q27">
        <v>26000</v>
      </c>
      <c r="R27" t="s">
        <v>81</v>
      </c>
      <c r="X27">
        <v>1200</v>
      </c>
      <c r="AG27">
        <v>2700</v>
      </c>
      <c r="AK27">
        <v>2500</v>
      </c>
      <c r="AL27">
        <v>524</v>
      </c>
      <c r="AM27">
        <v>3100</v>
      </c>
      <c r="AT27">
        <v>470</v>
      </c>
      <c r="AU27">
        <v>200</v>
      </c>
      <c r="AX27" t="s">
        <v>152</v>
      </c>
    </row>
    <row r="28" spans="1:50" x14ac:dyDescent="0.25">
      <c r="A28" t="s">
        <v>2</v>
      </c>
      <c r="B28" t="s">
        <v>10</v>
      </c>
      <c r="C28">
        <f>VLOOKUP(D1_MAYO_2025[[#This Row],[SUPER]],DATA_MAYO_2025[[SUPERVISOR]:[META]],3,0)</f>
        <v>65000</v>
      </c>
      <c r="D28">
        <f>D1_MAYO_2025[[#This Row],[RECUPERO]]/D1_MAYO_2025[[#This Row],[META]]</f>
        <v>0.25473076923076921</v>
      </c>
      <c r="E28" t="s">
        <v>2</v>
      </c>
      <c r="F28" t="s">
        <v>10</v>
      </c>
      <c r="G28">
        <v>16557.5</v>
      </c>
      <c r="H28" t="s">
        <v>449</v>
      </c>
      <c r="I28" s="55">
        <v>44706</v>
      </c>
      <c r="J28" t="s">
        <v>501</v>
      </c>
      <c r="L28" s="55"/>
      <c r="M28" s="1">
        <f>DATA_MAYO_2025[[#This Row],[RECUPERO]]/DATA_MAYO_2025[[#This Row],[META]]</f>
        <v>0.4150307692307692</v>
      </c>
      <c r="N28">
        <f>6-ROUNDUP(_xlfn.RANK.EQ(DATA_MAYO_2025[[#This Row],[AL_AC]],DATA_MAYO_2025[AL_AC],0)/(COUNTA(DATA_MAYO_2025[AL_AC])/5),0)</f>
        <v>2</v>
      </c>
      <c r="O28" t="s">
        <v>5</v>
      </c>
      <c r="P28" s="6">
        <f>SUM(DATA_MAYO_2025[[#This Row],[1]:[31]])</f>
        <v>26977</v>
      </c>
      <c r="Q28">
        <v>65000</v>
      </c>
      <c r="R28" t="s">
        <v>72</v>
      </c>
      <c r="S28">
        <v>216</v>
      </c>
      <c r="T28">
        <v>316</v>
      </c>
      <c r="W28">
        <v>680</v>
      </c>
      <c r="X28">
        <v>370</v>
      </c>
      <c r="Y28">
        <v>600</v>
      </c>
      <c r="AA28">
        <v>218</v>
      </c>
      <c r="AB28">
        <v>132.5</v>
      </c>
      <c r="AD28">
        <v>1500</v>
      </c>
      <c r="AE28">
        <v>1200</v>
      </c>
      <c r="AF28">
        <v>292</v>
      </c>
      <c r="AG28">
        <v>2300</v>
      </c>
      <c r="AK28">
        <v>500</v>
      </c>
      <c r="AL28">
        <v>2569</v>
      </c>
      <c r="AM28">
        <v>650</v>
      </c>
      <c r="AN28">
        <v>2000</v>
      </c>
      <c r="AP28">
        <v>132.5</v>
      </c>
      <c r="AR28">
        <v>7000</v>
      </c>
      <c r="AS28">
        <v>4000</v>
      </c>
      <c r="AV28">
        <v>2019</v>
      </c>
      <c r="AW28">
        <v>282</v>
      </c>
      <c r="AX28" t="s">
        <v>150</v>
      </c>
    </row>
    <row r="29" spans="1:50" x14ac:dyDescent="0.25">
      <c r="A29" t="s">
        <v>5</v>
      </c>
      <c r="B29" t="s">
        <v>58</v>
      </c>
      <c r="C29">
        <f>VLOOKUP(D1_MAYO_2025[[#This Row],[SUPER]],DATA_MAYO_2025[[SUPERVISOR]:[META]],3,0)</f>
        <v>65000</v>
      </c>
      <c r="D29">
        <f>D1_MAYO_2025[[#This Row],[RECUPERO]]/D1_MAYO_2025[[#This Row],[META]]</f>
        <v>0.54075384615384614</v>
      </c>
      <c r="E29" t="s">
        <v>5</v>
      </c>
      <c r="F29" t="s">
        <v>58</v>
      </c>
      <c r="G29">
        <v>35149</v>
      </c>
      <c r="H29" t="s">
        <v>441</v>
      </c>
      <c r="I29" s="55">
        <v>43035</v>
      </c>
      <c r="J29" t="s">
        <v>501</v>
      </c>
      <c r="L29" s="55"/>
      <c r="M29" s="1">
        <f>DATA_MAYO_2025[[#This Row],[RECUPERO]]/DATA_MAYO_2025[[#This Row],[META]]</f>
        <v>1.1194884615384615</v>
      </c>
      <c r="N29">
        <f>6-ROUNDUP(_xlfn.RANK.EQ(DATA_MAYO_2025[[#This Row],[AL_AC]],DATA_MAYO_2025[AL_AC],0)/(COUNTA(DATA_MAYO_2025[AL_AC])/5),0)</f>
        <v>5</v>
      </c>
      <c r="O29" t="s">
        <v>3</v>
      </c>
      <c r="P29" s="6">
        <f>SUM(DATA_MAYO_2025[[#This Row],[1]:[31]])</f>
        <v>72766.75</v>
      </c>
      <c r="Q29">
        <v>65000</v>
      </c>
      <c r="R29" t="s">
        <v>22</v>
      </c>
      <c r="T29">
        <v>1300</v>
      </c>
      <c r="W29">
        <v>500</v>
      </c>
      <c r="X29">
        <v>529</v>
      </c>
      <c r="Y29">
        <v>296</v>
      </c>
      <c r="Z29">
        <v>19582</v>
      </c>
      <c r="AD29">
        <v>1057.7</v>
      </c>
      <c r="AG29">
        <v>600</v>
      </c>
      <c r="AI29">
        <v>1000</v>
      </c>
      <c r="AK29">
        <v>900</v>
      </c>
      <c r="AL29">
        <v>1126</v>
      </c>
      <c r="AN29">
        <v>800</v>
      </c>
      <c r="AO29">
        <v>6018</v>
      </c>
      <c r="AP29">
        <v>500</v>
      </c>
      <c r="AR29">
        <v>10257</v>
      </c>
      <c r="AS29">
        <v>11614.05</v>
      </c>
      <c r="AT29">
        <v>2800</v>
      </c>
      <c r="AU29">
        <v>6662</v>
      </c>
      <c r="AV29">
        <v>6396</v>
      </c>
      <c r="AW29">
        <v>829</v>
      </c>
      <c r="AX29" t="s">
        <v>150</v>
      </c>
    </row>
    <row r="30" spans="1:50" x14ac:dyDescent="0.25">
      <c r="A30" t="s">
        <v>5</v>
      </c>
      <c r="B30" t="s">
        <v>69</v>
      </c>
      <c r="C30">
        <f>VLOOKUP(D1_MAYO_2025[[#This Row],[SUPER]],DATA_MAYO_2025[[SUPERVISOR]:[META]],3,0)</f>
        <v>65000</v>
      </c>
      <c r="D30">
        <f>D1_MAYO_2025[[#This Row],[RECUPERO]]/D1_MAYO_2025[[#This Row],[META]]</f>
        <v>0.51727846153846146</v>
      </c>
      <c r="E30" t="s">
        <v>5</v>
      </c>
      <c r="F30" t="s">
        <v>69</v>
      </c>
      <c r="G30">
        <v>33623.1</v>
      </c>
      <c r="H30" t="s">
        <v>379</v>
      </c>
      <c r="I30" s="55">
        <v>44461</v>
      </c>
      <c r="J30" t="s">
        <v>501</v>
      </c>
      <c r="L30" s="55"/>
      <c r="M30" s="1">
        <f>DATA_MAYO_2025[[#This Row],[RECUPERO]]/DATA_MAYO_2025[[#This Row],[META]]</f>
        <v>0.64496500000000001</v>
      </c>
      <c r="N30">
        <f>6-ROUNDUP(_xlfn.RANK.EQ(DATA_MAYO_2025[[#This Row],[AL_AC]],DATA_MAYO_2025[AL_AC],0)/(COUNTA(DATA_MAYO_2025[AL_AC])/5),0)</f>
        <v>4</v>
      </c>
      <c r="O30" t="s">
        <v>8</v>
      </c>
      <c r="P30" s="6">
        <f>SUM(DATA_MAYO_2025[[#This Row],[1]:[31]])</f>
        <v>12899.3</v>
      </c>
      <c r="Q30">
        <v>20000</v>
      </c>
      <c r="R30" t="s">
        <v>24</v>
      </c>
      <c r="Y30">
        <v>150</v>
      </c>
      <c r="AD30">
        <v>277</v>
      </c>
      <c r="AE30">
        <v>2100</v>
      </c>
      <c r="AF30">
        <v>1500</v>
      </c>
      <c r="AG30">
        <v>400</v>
      </c>
      <c r="AK30">
        <v>2000</v>
      </c>
      <c r="AN30">
        <v>100</v>
      </c>
      <c r="AR30">
        <v>100</v>
      </c>
      <c r="AS30">
        <v>2372.3000000000002</v>
      </c>
      <c r="AT30">
        <v>3000</v>
      </c>
      <c r="AU30">
        <v>500</v>
      </c>
      <c r="AV30">
        <v>400</v>
      </c>
      <c r="AX30" t="s">
        <v>153</v>
      </c>
    </row>
    <row r="31" spans="1:50" x14ac:dyDescent="0.25">
      <c r="A31" t="s">
        <v>5</v>
      </c>
      <c r="B31" t="s">
        <v>85</v>
      </c>
      <c r="C31">
        <f>VLOOKUP(D1_MAYO_2025[[#This Row],[SUPER]],DATA_MAYO_2025[[SUPERVISOR]:[META]],3,0)</f>
        <v>65000</v>
      </c>
      <c r="D31">
        <f>D1_MAYO_2025[[#This Row],[RECUPERO]]/D1_MAYO_2025[[#This Row],[META]]</f>
        <v>7.6923076923076927E-3</v>
      </c>
      <c r="E31" t="s">
        <v>5</v>
      </c>
      <c r="F31" t="s">
        <v>85</v>
      </c>
      <c r="G31">
        <v>500</v>
      </c>
      <c r="H31" t="s">
        <v>380</v>
      </c>
      <c r="I31" s="55">
        <v>44811</v>
      </c>
      <c r="J31" t="s">
        <v>501</v>
      </c>
      <c r="L31" s="55"/>
      <c r="M31" s="1">
        <f>DATA_MAYO_2025[[#This Row],[RECUPERO]]/DATA_MAYO_2025[[#This Row],[META]]</f>
        <v>1.0759615384615384</v>
      </c>
      <c r="N31">
        <f>6-ROUNDUP(_xlfn.RANK.EQ(DATA_MAYO_2025[[#This Row],[AL_AC]],DATA_MAYO_2025[AL_AC],0)/(COUNTA(DATA_MAYO_2025[AL_AC])/5),0)</f>
        <v>5</v>
      </c>
      <c r="O31" t="s">
        <v>6</v>
      </c>
      <c r="P31" s="6">
        <f>SUM(DATA_MAYO_2025[[#This Row],[1]:[31]])</f>
        <v>27975</v>
      </c>
      <c r="Q31">
        <v>26000</v>
      </c>
      <c r="R31" t="s">
        <v>105</v>
      </c>
      <c r="T31">
        <v>5050</v>
      </c>
      <c r="Y31">
        <v>200</v>
      </c>
      <c r="Z31">
        <v>4200</v>
      </c>
      <c r="AD31">
        <v>680</v>
      </c>
      <c r="AG31">
        <v>15000</v>
      </c>
      <c r="AH31">
        <v>400</v>
      </c>
      <c r="AR31">
        <v>1820</v>
      </c>
      <c r="AS31">
        <v>625</v>
      </c>
      <c r="AX31" t="s">
        <v>152</v>
      </c>
    </row>
    <row r="32" spans="1:50" x14ac:dyDescent="0.25">
      <c r="A32" t="s">
        <v>5</v>
      </c>
      <c r="B32" t="s">
        <v>67</v>
      </c>
      <c r="C32">
        <f>VLOOKUP(D1_MAYO_2025[[#This Row],[SUPER]],DATA_MAYO_2025[[SUPERVISOR]:[META]],3,0)</f>
        <v>65000</v>
      </c>
      <c r="D32">
        <f>D1_MAYO_2025[[#This Row],[RECUPERO]]/D1_MAYO_2025[[#This Row],[META]]</f>
        <v>0.57967999999999997</v>
      </c>
      <c r="E32" t="s">
        <v>5</v>
      </c>
      <c r="F32" t="s">
        <v>67</v>
      </c>
      <c r="G32">
        <v>37679.199999999997</v>
      </c>
      <c r="H32" t="s">
        <v>381</v>
      </c>
      <c r="I32" s="55">
        <v>44811</v>
      </c>
      <c r="J32" t="s">
        <v>501</v>
      </c>
      <c r="L32" s="55"/>
      <c r="M32" s="1">
        <f>DATA_MAYO_2025[[#This Row],[RECUPERO]]/DATA_MAYO_2025[[#This Row],[META]]</f>
        <v>0.54335384615384619</v>
      </c>
      <c r="N32">
        <f>6-ROUNDUP(_xlfn.RANK.EQ(DATA_MAYO_2025[[#This Row],[AL_AC]],DATA_MAYO_2025[AL_AC],0)/(COUNTA(DATA_MAYO_2025[AL_AC])/5),0)</f>
        <v>3</v>
      </c>
      <c r="O32" t="s">
        <v>2</v>
      </c>
      <c r="P32" s="6">
        <f>SUM(DATA_MAYO_2025[[#This Row],[1]:[31]])</f>
        <v>35318</v>
      </c>
      <c r="Q32">
        <v>65000</v>
      </c>
      <c r="R32" t="s">
        <v>16</v>
      </c>
      <c r="X32">
        <v>1312</v>
      </c>
      <c r="Z32">
        <v>200</v>
      </c>
      <c r="AA32">
        <v>202</v>
      </c>
      <c r="AF32">
        <v>100</v>
      </c>
      <c r="AL32">
        <v>7520</v>
      </c>
      <c r="AM32">
        <v>3000</v>
      </c>
      <c r="AO32">
        <v>475</v>
      </c>
      <c r="AT32">
        <v>500</v>
      </c>
      <c r="AV32">
        <v>21239</v>
      </c>
      <c r="AW32">
        <v>770</v>
      </c>
      <c r="AX32" t="s">
        <v>150</v>
      </c>
    </row>
    <row r="33" spans="1:50" x14ac:dyDescent="0.25">
      <c r="A33" t="s">
        <v>5</v>
      </c>
      <c r="B33" t="s">
        <v>72</v>
      </c>
      <c r="C33">
        <f>VLOOKUP(D1_MAYO_2025[[#This Row],[SUPER]],DATA_MAYO_2025[[SUPERVISOR]:[META]],3,0)</f>
        <v>65000</v>
      </c>
      <c r="D33">
        <f>D1_MAYO_2025[[#This Row],[RECUPERO]]/D1_MAYO_2025[[#This Row],[META]]</f>
        <v>0.4150307692307692</v>
      </c>
      <c r="E33" t="s">
        <v>5</v>
      </c>
      <c r="F33" t="s">
        <v>72</v>
      </c>
      <c r="G33">
        <v>26977</v>
      </c>
      <c r="H33" t="s">
        <v>450</v>
      </c>
      <c r="I33" s="55">
        <v>45084</v>
      </c>
      <c r="J33" t="s">
        <v>501</v>
      </c>
      <c r="L33" s="55"/>
      <c r="M33" s="1">
        <f>DATA_MAYO_2025[[#This Row],[RECUPERO]]/DATA_MAYO_2025[[#This Row],[META]]</f>
        <v>0.89054999999999995</v>
      </c>
      <c r="N33">
        <f>6-ROUNDUP(_xlfn.RANK.EQ(DATA_MAYO_2025[[#This Row],[AL_AC]],DATA_MAYO_2025[AL_AC],0)/(COUNTA(DATA_MAYO_2025[AL_AC])/5),0)</f>
        <v>5</v>
      </c>
      <c r="O33" t="s">
        <v>125</v>
      </c>
      <c r="P33" s="6">
        <f>SUM(DATA_MAYO_2025[[#This Row],[1]:[31]])</f>
        <v>17811</v>
      </c>
      <c r="Q33">
        <v>20000</v>
      </c>
      <c r="R33" t="s">
        <v>27</v>
      </c>
      <c r="W33">
        <v>1500</v>
      </c>
      <c r="X33">
        <v>4000</v>
      </c>
      <c r="AA33">
        <v>2156</v>
      </c>
      <c r="AD33">
        <v>200</v>
      </c>
      <c r="AE33">
        <v>300</v>
      </c>
      <c r="AF33">
        <v>600</v>
      </c>
      <c r="AG33">
        <v>2448</v>
      </c>
      <c r="AJ33">
        <v>293</v>
      </c>
      <c r="AM33">
        <v>314</v>
      </c>
      <c r="AR33">
        <v>5000</v>
      </c>
      <c r="AV33">
        <v>1000</v>
      </c>
      <c r="AX33" t="s">
        <v>153</v>
      </c>
    </row>
    <row r="34" spans="1:50" x14ac:dyDescent="0.25">
      <c r="A34" t="s">
        <v>5</v>
      </c>
      <c r="B34" t="s">
        <v>66</v>
      </c>
      <c r="C34">
        <f>VLOOKUP(D1_MAYO_2025[[#This Row],[SUPER]],DATA_MAYO_2025[[SUPERVISOR]:[META]],3,0)</f>
        <v>65000</v>
      </c>
      <c r="D34">
        <f>D1_MAYO_2025[[#This Row],[RECUPERO]]/D1_MAYO_2025[[#This Row],[META]]</f>
        <v>0.96973846153846155</v>
      </c>
      <c r="E34" t="s">
        <v>5</v>
      </c>
      <c r="F34" t="s">
        <v>66</v>
      </c>
      <c r="G34">
        <v>63033</v>
      </c>
      <c r="H34" t="s">
        <v>383</v>
      </c>
      <c r="I34" s="55">
        <v>45457</v>
      </c>
      <c r="J34" t="s">
        <v>501</v>
      </c>
      <c r="L34" s="55"/>
      <c r="M34" s="1">
        <f>DATA_MAYO_2025[[#This Row],[RECUPERO]]/DATA_MAYO_2025[[#This Row],[META]]</f>
        <v>0.48955384615384617</v>
      </c>
      <c r="N34">
        <f>6-ROUNDUP(_xlfn.RANK.EQ(DATA_MAYO_2025[[#This Row],[AL_AC]],DATA_MAYO_2025[AL_AC],0)/(COUNTA(DATA_MAYO_2025[AL_AC])/5),0)</f>
        <v>3</v>
      </c>
      <c r="O34" t="s">
        <v>2</v>
      </c>
      <c r="P34" s="6">
        <f>SUM(DATA_MAYO_2025[[#This Row],[1]:[31]])</f>
        <v>31821</v>
      </c>
      <c r="Q34">
        <v>65000</v>
      </c>
      <c r="R34" t="s">
        <v>12</v>
      </c>
      <c r="T34">
        <v>600</v>
      </c>
      <c r="W34">
        <v>1200</v>
      </c>
      <c r="Y34">
        <v>1100</v>
      </c>
      <c r="AD34">
        <v>650</v>
      </c>
      <c r="AE34">
        <v>618</v>
      </c>
      <c r="AG34">
        <v>3200</v>
      </c>
      <c r="AH34">
        <v>1850</v>
      </c>
      <c r="AK34">
        <v>6000</v>
      </c>
      <c r="AM34">
        <v>1600</v>
      </c>
      <c r="AO34">
        <v>480</v>
      </c>
      <c r="AP34">
        <v>1500</v>
      </c>
      <c r="AR34">
        <v>8000</v>
      </c>
      <c r="AV34">
        <v>4718</v>
      </c>
      <c r="AW34">
        <v>305</v>
      </c>
      <c r="AX34" t="s">
        <v>150</v>
      </c>
    </row>
    <row r="35" spans="1:50" x14ac:dyDescent="0.25">
      <c r="A35" t="s">
        <v>5</v>
      </c>
      <c r="B35" t="s">
        <v>68</v>
      </c>
      <c r="C35">
        <f>VLOOKUP(D1_MAYO_2025[[#This Row],[SUPER]],DATA_MAYO_2025[[SUPERVISOR]:[META]],3,0)</f>
        <v>65000</v>
      </c>
      <c r="D35">
        <f>D1_MAYO_2025[[#This Row],[RECUPERO]]/D1_MAYO_2025[[#This Row],[META]]</f>
        <v>1.2213384615384615</v>
      </c>
      <c r="E35" t="s">
        <v>5</v>
      </c>
      <c r="F35" t="s">
        <v>68</v>
      </c>
      <c r="G35">
        <v>79387</v>
      </c>
      <c r="H35" t="s">
        <v>440</v>
      </c>
      <c r="I35" s="55">
        <v>45364</v>
      </c>
      <c r="J35" t="s">
        <v>501</v>
      </c>
      <c r="L35" s="55"/>
      <c r="M35" s="1">
        <f>DATA_MAYO_2025[[#This Row],[RECUPERO]]/DATA_MAYO_2025[[#This Row],[META]]</f>
        <v>0.35515000000000002</v>
      </c>
      <c r="N35">
        <f>6-ROUNDUP(_xlfn.RANK.EQ(DATA_MAYO_2025[[#This Row],[AL_AC]],DATA_MAYO_2025[AL_AC],0)/(COUNTA(DATA_MAYO_2025[AL_AC])/5),0)</f>
        <v>2</v>
      </c>
      <c r="O35" t="s">
        <v>9</v>
      </c>
      <c r="P35" s="6">
        <f>SUM(DATA_MAYO_2025[[#This Row],[1]:[31]])</f>
        <v>7103</v>
      </c>
      <c r="Q35">
        <v>20000</v>
      </c>
      <c r="R35" t="s">
        <v>51</v>
      </c>
      <c r="X35">
        <v>470</v>
      </c>
      <c r="Y35">
        <v>200</v>
      </c>
      <c r="AG35">
        <v>3100</v>
      </c>
      <c r="AK35">
        <v>1600</v>
      </c>
      <c r="AL35">
        <v>500</v>
      </c>
      <c r="AN35">
        <v>500</v>
      </c>
      <c r="AO35">
        <v>200</v>
      </c>
      <c r="AR35">
        <v>333</v>
      </c>
      <c r="AV35">
        <v>200</v>
      </c>
      <c r="AX35" t="s">
        <v>153</v>
      </c>
    </row>
    <row r="36" spans="1:50" x14ac:dyDescent="0.25">
      <c r="A36" t="s">
        <v>5</v>
      </c>
      <c r="B36" t="s">
        <v>70</v>
      </c>
      <c r="C36">
        <f>VLOOKUP(D1_MAYO_2025[[#This Row],[SUPER]],DATA_MAYO_2025[[SUPERVISOR]:[META]],3,0)</f>
        <v>65000</v>
      </c>
      <c r="D36">
        <f>D1_MAYO_2025[[#This Row],[RECUPERO]]/D1_MAYO_2025[[#This Row],[META]]</f>
        <v>0.76733846153846152</v>
      </c>
      <c r="E36" t="s">
        <v>5</v>
      </c>
      <c r="F36" t="s">
        <v>70</v>
      </c>
      <c r="G36">
        <v>49877</v>
      </c>
      <c r="H36" t="s">
        <v>418</v>
      </c>
      <c r="I36" s="55">
        <v>44971</v>
      </c>
      <c r="J36" t="s">
        <v>501</v>
      </c>
      <c r="L36" s="55"/>
      <c r="M36" s="1">
        <f>DATA_MAYO_2025[[#This Row],[RECUPERO]]/DATA_MAYO_2025[[#This Row],[META]]</f>
        <v>0.4540769230769231</v>
      </c>
      <c r="N36">
        <f>6-ROUNDUP(_xlfn.RANK.EQ(DATA_MAYO_2025[[#This Row],[AL_AC]],DATA_MAYO_2025[AL_AC],0)/(COUNTA(DATA_MAYO_2025[AL_AC])/5),0)</f>
        <v>3</v>
      </c>
      <c r="O36" t="s">
        <v>2</v>
      </c>
      <c r="P36" s="6">
        <f>SUM(DATA_MAYO_2025[[#This Row],[1]:[31]])</f>
        <v>29515</v>
      </c>
      <c r="Q36">
        <v>65000</v>
      </c>
      <c r="R36" t="s">
        <v>13</v>
      </c>
      <c r="U36">
        <v>1000</v>
      </c>
      <c r="X36">
        <v>1300</v>
      </c>
      <c r="AG36">
        <v>4600</v>
      </c>
      <c r="AI36">
        <v>3090</v>
      </c>
      <c r="AL36">
        <v>700</v>
      </c>
      <c r="AN36">
        <v>2500</v>
      </c>
      <c r="AP36">
        <v>1000</v>
      </c>
      <c r="AS36">
        <v>1500</v>
      </c>
      <c r="AT36">
        <v>8400</v>
      </c>
      <c r="AU36">
        <v>500</v>
      </c>
      <c r="AV36">
        <v>2675</v>
      </c>
      <c r="AW36">
        <v>2250</v>
      </c>
      <c r="AX36" t="s">
        <v>150</v>
      </c>
    </row>
    <row r="37" spans="1:50" x14ac:dyDescent="0.25">
      <c r="A37" t="s">
        <v>5</v>
      </c>
      <c r="B37" t="s">
        <v>79</v>
      </c>
      <c r="C37">
        <f>VLOOKUP(D1_MAYO_2025[[#This Row],[SUPER]],DATA_MAYO_2025[[SUPERVISOR]:[META]],3,0)</f>
        <v>65000</v>
      </c>
      <c r="D37">
        <f>D1_MAYO_2025[[#This Row],[RECUPERO]]/D1_MAYO_2025[[#This Row],[META]]</f>
        <v>0.11615384615384615</v>
      </c>
      <c r="E37" t="s">
        <v>5</v>
      </c>
      <c r="F37" t="s">
        <v>79</v>
      </c>
      <c r="G37">
        <v>7550</v>
      </c>
      <c r="H37" t="s">
        <v>453</v>
      </c>
      <c r="I37" s="55">
        <v>44566</v>
      </c>
      <c r="J37" t="s">
        <v>501</v>
      </c>
      <c r="L37" s="55"/>
      <c r="M37" s="1">
        <f>DATA_MAYO_2025[[#This Row],[RECUPERO]]/DATA_MAYO_2025[[#This Row],[META]]</f>
        <v>0.38940000000000002</v>
      </c>
      <c r="N37">
        <f>6-ROUNDUP(_xlfn.RANK.EQ(DATA_MAYO_2025[[#This Row],[AL_AC]],DATA_MAYO_2025[AL_AC],0)/(COUNTA(DATA_MAYO_2025[AL_AC])/5),0)</f>
        <v>2</v>
      </c>
      <c r="O37" t="s">
        <v>9</v>
      </c>
      <c r="P37" s="6">
        <f>SUM(DATA_MAYO_2025[[#This Row],[1]:[31]])</f>
        <v>7788</v>
      </c>
      <c r="Q37">
        <v>20000</v>
      </c>
      <c r="R37" t="s">
        <v>32</v>
      </c>
      <c r="AE37">
        <v>250</v>
      </c>
      <c r="AG37">
        <v>1500</v>
      </c>
      <c r="AH37">
        <v>200</v>
      </c>
      <c r="AI37">
        <v>500</v>
      </c>
      <c r="AL37">
        <v>383</v>
      </c>
      <c r="AM37">
        <v>400</v>
      </c>
      <c r="AN37">
        <v>500</v>
      </c>
      <c r="AO37">
        <v>400</v>
      </c>
      <c r="AR37">
        <v>555</v>
      </c>
      <c r="AS37">
        <v>100</v>
      </c>
      <c r="AT37">
        <v>400</v>
      </c>
      <c r="AU37">
        <v>1000</v>
      </c>
      <c r="AV37">
        <v>1150</v>
      </c>
      <c r="AW37">
        <v>450</v>
      </c>
      <c r="AX37" t="s">
        <v>153</v>
      </c>
    </row>
    <row r="38" spans="1:50" x14ac:dyDescent="0.25">
      <c r="A38" t="s">
        <v>6</v>
      </c>
      <c r="B38" t="s">
        <v>18</v>
      </c>
      <c r="C38">
        <f>VLOOKUP(D1_MAYO_2025[[#This Row],[SUPER]],DATA_MAYO_2025[[SUPERVISOR]:[META]],3,0)</f>
        <v>26000</v>
      </c>
      <c r="D38">
        <f>D1_MAYO_2025[[#This Row],[RECUPERO]]/D1_MAYO_2025[[#This Row],[META]]</f>
        <v>0.40192307692307694</v>
      </c>
      <c r="E38" t="s">
        <v>6</v>
      </c>
      <c r="F38" t="s">
        <v>18</v>
      </c>
      <c r="G38">
        <v>10450</v>
      </c>
      <c r="H38" t="s">
        <v>431</v>
      </c>
      <c r="I38" s="55">
        <v>45133</v>
      </c>
      <c r="J38" t="s">
        <v>501</v>
      </c>
      <c r="L38" s="55"/>
      <c r="M38" s="1">
        <f>DATA_MAYO_2025[[#This Row],[RECUPERO]]/DATA_MAYO_2025[[#This Row],[META]]</f>
        <v>0.96973846153846155</v>
      </c>
      <c r="N38">
        <f>6-ROUNDUP(_xlfn.RANK.EQ(DATA_MAYO_2025[[#This Row],[AL_AC]],DATA_MAYO_2025[AL_AC],0)/(COUNTA(DATA_MAYO_2025[AL_AC])/5),0)</f>
        <v>5</v>
      </c>
      <c r="O38" t="s">
        <v>5</v>
      </c>
      <c r="P38" s="6">
        <f>SUM(DATA_MAYO_2025[[#This Row],[1]:[31]])</f>
        <v>63033</v>
      </c>
      <c r="Q38">
        <v>65000</v>
      </c>
      <c r="R38" t="s">
        <v>66</v>
      </c>
      <c r="T38">
        <v>3500</v>
      </c>
      <c r="W38">
        <v>261</v>
      </c>
      <c r="Z38">
        <v>3000</v>
      </c>
      <c r="AB38">
        <v>1350</v>
      </c>
      <c r="AD38">
        <v>20000</v>
      </c>
      <c r="AH38">
        <v>600</v>
      </c>
      <c r="AK38">
        <v>1500</v>
      </c>
      <c r="AN38">
        <v>6358</v>
      </c>
      <c r="AR38">
        <v>500</v>
      </c>
      <c r="AT38">
        <v>10000</v>
      </c>
      <c r="AU38">
        <v>4500</v>
      </c>
      <c r="AV38">
        <v>8464</v>
      </c>
      <c r="AW38">
        <v>3000</v>
      </c>
      <c r="AX38" t="s">
        <v>150</v>
      </c>
    </row>
    <row r="39" spans="1:50" x14ac:dyDescent="0.25">
      <c r="A39" t="s">
        <v>6</v>
      </c>
      <c r="B39" t="s">
        <v>19</v>
      </c>
      <c r="C39">
        <f>VLOOKUP(D1_MAYO_2025[[#This Row],[SUPER]],DATA_MAYO_2025[[SUPERVISOR]:[META]],3,0)</f>
        <v>26000</v>
      </c>
      <c r="D39">
        <f>D1_MAYO_2025[[#This Row],[RECUPERO]]/D1_MAYO_2025[[#This Row],[META]]</f>
        <v>0.67846153846153845</v>
      </c>
      <c r="E39" t="s">
        <v>6</v>
      </c>
      <c r="F39" t="s">
        <v>19</v>
      </c>
      <c r="G39">
        <v>17640</v>
      </c>
      <c r="H39" t="s">
        <v>399</v>
      </c>
      <c r="I39" s="55">
        <v>44673</v>
      </c>
      <c r="J39" t="s">
        <v>501</v>
      </c>
      <c r="L39" s="55"/>
      <c r="M39" s="1">
        <f>DATA_MAYO_2025[[#This Row],[RECUPERO]]/DATA_MAYO_2025[[#This Row],[META]]</f>
        <v>1.2E-2</v>
      </c>
      <c r="N39">
        <f>6-ROUNDUP(_xlfn.RANK.EQ(DATA_MAYO_2025[[#This Row],[AL_AC]],DATA_MAYO_2025[AL_AC],0)/(COUNTA(DATA_MAYO_2025[AL_AC])/5),0)</f>
        <v>1</v>
      </c>
      <c r="O39" t="s">
        <v>6</v>
      </c>
      <c r="P39" s="6">
        <f>SUM(DATA_MAYO_2025[[#This Row],[1]:[31]])</f>
        <v>312</v>
      </c>
      <c r="Q39">
        <v>26000</v>
      </c>
      <c r="R39" t="s">
        <v>44</v>
      </c>
      <c r="AU39">
        <v>312</v>
      </c>
      <c r="AX39" t="s">
        <v>152</v>
      </c>
    </row>
    <row r="40" spans="1:50" x14ac:dyDescent="0.25">
      <c r="A40" t="s">
        <v>6</v>
      </c>
      <c r="B40" t="s">
        <v>81</v>
      </c>
      <c r="C40">
        <f>VLOOKUP(D1_MAYO_2025[[#This Row],[SUPER]],DATA_MAYO_2025[[SUPERVISOR]:[META]],3,0)</f>
        <v>26000</v>
      </c>
      <c r="D40">
        <f>D1_MAYO_2025[[#This Row],[RECUPERO]]/D1_MAYO_2025[[#This Row],[META]]</f>
        <v>0.41130769230769232</v>
      </c>
      <c r="E40" t="s">
        <v>6</v>
      </c>
      <c r="F40" t="s">
        <v>81</v>
      </c>
      <c r="G40">
        <v>10694</v>
      </c>
      <c r="H40" t="s">
        <v>425</v>
      </c>
      <c r="I40" s="55">
        <v>45506</v>
      </c>
      <c r="J40" t="s">
        <v>501</v>
      </c>
      <c r="L40" s="55"/>
      <c r="M40" s="1">
        <f>DATA_MAYO_2025[[#This Row],[RECUPERO]]/DATA_MAYO_2025[[#This Row],[META]]</f>
        <v>0.72409999999999997</v>
      </c>
      <c r="N40">
        <f>6-ROUNDUP(_xlfn.RANK.EQ(DATA_MAYO_2025[[#This Row],[AL_AC]],DATA_MAYO_2025[AL_AC],0)/(COUNTA(DATA_MAYO_2025[AL_AC])/5),0)</f>
        <v>4</v>
      </c>
      <c r="O40" t="s">
        <v>9</v>
      </c>
      <c r="P40" s="6">
        <f>SUM(DATA_MAYO_2025[[#This Row],[1]:[31]])</f>
        <v>14482</v>
      </c>
      <c r="Q40">
        <v>20000</v>
      </c>
      <c r="R40" t="s">
        <v>71</v>
      </c>
      <c r="W40">
        <v>480</v>
      </c>
      <c r="Z40">
        <v>100</v>
      </c>
      <c r="AD40">
        <v>180</v>
      </c>
      <c r="AE40">
        <v>500</v>
      </c>
      <c r="AH40">
        <v>230</v>
      </c>
      <c r="AK40">
        <v>800</v>
      </c>
      <c r="AM40">
        <v>200</v>
      </c>
      <c r="AN40">
        <v>1000</v>
      </c>
      <c r="AR40">
        <v>3610</v>
      </c>
      <c r="AS40">
        <v>200</v>
      </c>
      <c r="AT40">
        <v>5365</v>
      </c>
      <c r="AV40">
        <v>1217</v>
      </c>
      <c r="AW40">
        <v>600</v>
      </c>
      <c r="AX40" t="s">
        <v>153</v>
      </c>
    </row>
    <row r="41" spans="1:50" x14ac:dyDescent="0.25">
      <c r="A41" t="s">
        <v>6</v>
      </c>
      <c r="B41" t="s">
        <v>105</v>
      </c>
      <c r="C41">
        <f>VLOOKUP(D1_MAYO_2025[[#This Row],[SUPER]],DATA_MAYO_2025[[SUPERVISOR]:[META]],3,0)</f>
        <v>26000</v>
      </c>
      <c r="D41">
        <f>D1_MAYO_2025[[#This Row],[RECUPERO]]/D1_MAYO_2025[[#This Row],[META]]</f>
        <v>1.0759615384615384</v>
      </c>
      <c r="E41" t="s">
        <v>6</v>
      </c>
      <c r="F41" t="s">
        <v>105</v>
      </c>
      <c r="G41">
        <v>27975</v>
      </c>
      <c r="H41" t="s">
        <v>463</v>
      </c>
      <c r="I41" s="55">
        <v>45748</v>
      </c>
      <c r="J41" t="s">
        <v>501</v>
      </c>
      <c r="L41" s="55"/>
      <c r="M41" s="1">
        <f>DATA_MAYO_2025[[#This Row],[RECUPERO]]/DATA_MAYO_2025[[#This Row],[META]]</f>
        <v>0.38747500000000001</v>
      </c>
      <c r="N41">
        <f>6-ROUNDUP(_xlfn.RANK.EQ(DATA_MAYO_2025[[#This Row],[AL_AC]],DATA_MAYO_2025[AL_AC],0)/(COUNTA(DATA_MAYO_2025[AL_AC])/5),0)</f>
        <v>2</v>
      </c>
      <c r="O41" t="s">
        <v>8</v>
      </c>
      <c r="P41" s="6">
        <f>SUM(DATA_MAYO_2025[[#This Row],[1]:[31]])</f>
        <v>7749.5</v>
      </c>
      <c r="Q41">
        <v>20000</v>
      </c>
      <c r="R41" t="s">
        <v>42</v>
      </c>
      <c r="W41">
        <v>212</v>
      </c>
      <c r="Z41">
        <v>100</v>
      </c>
      <c r="AD41">
        <v>1200</v>
      </c>
      <c r="AG41">
        <v>300</v>
      </c>
      <c r="AH41">
        <v>429.5</v>
      </c>
      <c r="AK41">
        <v>159</v>
      </c>
      <c r="AL41">
        <v>224</v>
      </c>
      <c r="AO41">
        <v>100</v>
      </c>
      <c r="AS41">
        <v>700</v>
      </c>
      <c r="AT41">
        <v>3280</v>
      </c>
      <c r="AV41">
        <v>215</v>
      </c>
      <c r="AW41">
        <v>830</v>
      </c>
      <c r="AX41" t="s">
        <v>153</v>
      </c>
    </row>
    <row r="42" spans="1:50" x14ac:dyDescent="0.25">
      <c r="A42" t="s">
        <v>6</v>
      </c>
      <c r="B42" t="s">
        <v>44</v>
      </c>
      <c r="C42">
        <f>VLOOKUP(D1_MAYO_2025[[#This Row],[SUPER]],DATA_MAYO_2025[[SUPERVISOR]:[META]],3,0)</f>
        <v>26000</v>
      </c>
      <c r="D42">
        <f>D1_MAYO_2025[[#This Row],[RECUPERO]]/D1_MAYO_2025[[#This Row],[META]]</f>
        <v>1.2E-2</v>
      </c>
      <c r="E42" t="s">
        <v>6</v>
      </c>
      <c r="F42" t="s">
        <v>44</v>
      </c>
      <c r="G42">
        <v>312</v>
      </c>
      <c r="H42" t="s">
        <v>467</v>
      </c>
      <c r="I42" s="55">
        <v>45804</v>
      </c>
      <c r="J42" t="s">
        <v>501</v>
      </c>
      <c r="L42" s="55"/>
      <c r="M42" s="1">
        <f>DATA_MAYO_2025[[#This Row],[RECUPERO]]/DATA_MAYO_2025[[#This Row],[META]]</f>
        <v>0.90502499999999997</v>
      </c>
      <c r="N42">
        <f>6-ROUNDUP(_xlfn.RANK.EQ(DATA_MAYO_2025[[#This Row],[AL_AC]],DATA_MAYO_2025[AL_AC],0)/(COUNTA(DATA_MAYO_2025[AL_AC])/5),0)</f>
        <v>5</v>
      </c>
      <c r="O42" t="s">
        <v>8</v>
      </c>
      <c r="P42" s="6">
        <f>SUM(DATA_MAYO_2025[[#This Row],[1]:[31]])</f>
        <v>18100.5</v>
      </c>
      <c r="Q42">
        <v>20000</v>
      </c>
      <c r="R42" t="s">
        <v>83</v>
      </c>
      <c r="S42">
        <v>350</v>
      </c>
      <c r="T42">
        <v>89</v>
      </c>
      <c r="W42">
        <v>186</v>
      </c>
      <c r="X42">
        <v>200</v>
      </c>
      <c r="AB42">
        <v>3800</v>
      </c>
      <c r="AD42">
        <v>683</v>
      </c>
      <c r="AE42">
        <v>100</v>
      </c>
      <c r="AG42">
        <v>650</v>
      </c>
      <c r="AH42">
        <v>400</v>
      </c>
      <c r="AK42">
        <v>300</v>
      </c>
      <c r="AM42">
        <v>2000</v>
      </c>
      <c r="AN42">
        <v>627.5</v>
      </c>
      <c r="AO42">
        <v>3500</v>
      </c>
      <c r="AR42">
        <v>1100</v>
      </c>
      <c r="AS42">
        <v>1406</v>
      </c>
      <c r="AT42">
        <v>850</v>
      </c>
      <c r="AU42">
        <v>350</v>
      </c>
      <c r="AV42">
        <v>1509</v>
      </c>
      <c r="AX42" t="s">
        <v>153</v>
      </c>
    </row>
    <row r="43" spans="1:50" x14ac:dyDescent="0.25">
      <c r="A43" t="s">
        <v>6</v>
      </c>
      <c r="B43" t="s">
        <v>37</v>
      </c>
      <c r="C43">
        <f>VLOOKUP(D1_MAYO_2025[[#This Row],[SUPER]],DATA_MAYO_2025[[SUPERVISOR]:[META]],3,0)</f>
        <v>26000</v>
      </c>
      <c r="D43">
        <f>D1_MAYO_2025[[#This Row],[RECUPERO]]/D1_MAYO_2025[[#This Row],[META]]</f>
        <v>0.1515</v>
      </c>
      <c r="E43" t="s">
        <v>6</v>
      </c>
      <c r="F43" t="s">
        <v>37</v>
      </c>
      <c r="G43">
        <v>3939</v>
      </c>
      <c r="H43" t="s">
        <v>400</v>
      </c>
      <c r="I43" s="55">
        <v>43132</v>
      </c>
      <c r="J43" t="s">
        <v>501</v>
      </c>
      <c r="L43" s="55"/>
      <c r="M43" s="1">
        <f>DATA_MAYO_2025[[#This Row],[RECUPERO]]/DATA_MAYO_2025[[#This Row],[META]]</f>
        <v>1.2592769230769232</v>
      </c>
      <c r="N43">
        <f>6-ROUNDUP(_xlfn.RANK.EQ(DATA_MAYO_2025[[#This Row],[AL_AC]],DATA_MAYO_2025[AL_AC],0)/(COUNTA(DATA_MAYO_2025[AL_AC])/5),0)</f>
        <v>5</v>
      </c>
      <c r="O43" t="s">
        <v>4</v>
      </c>
      <c r="P43" s="6">
        <f>SUM(DATA_MAYO_2025[[#This Row],[1]:[31]])</f>
        <v>81853</v>
      </c>
      <c r="Q43">
        <v>65000</v>
      </c>
      <c r="R43" t="s">
        <v>57</v>
      </c>
      <c r="T43">
        <v>1950</v>
      </c>
      <c r="W43">
        <v>15500</v>
      </c>
      <c r="X43">
        <v>500</v>
      </c>
      <c r="Y43">
        <v>250</v>
      </c>
      <c r="Z43">
        <v>11250</v>
      </c>
      <c r="AA43">
        <v>250</v>
      </c>
      <c r="AB43">
        <v>250</v>
      </c>
      <c r="AC43">
        <v>250</v>
      </c>
      <c r="AD43">
        <v>250</v>
      </c>
      <c r="AE43">
        <v>1800</v>
      </c>
      <c r="AF43">
        <v>500</v>
      </c>
      <c r="AG43">
        <v>4000</v>
      </c>
      <c r="AH43">
        <v>500</v>
      </c>
      <c r="AK43">
        <v>850</v>
      </c>
      <c r="AL43">
        <v>1353</v>
      </c>
      <c r="AM43">
        <v>5000</v>
      </c>
      <c r="AN43">
        <v>450</v>
      </c>
      <c r="AO43">
        <v>1250</v>
      </c>
      <c r="AR43">
        <v>1500</v>
      </c>
      <c r="AS43">
        <v>10250</v>
      </c>
      <c r="AU43">
        <v>12650</v>
      </c>
      <c r="AV43">
        <v>11300</v>
      </c>
      <c r="AX43" t="s">
        <v>150</v>
      </c>
    </row>
    <row r="44" spans="1:50" x14ac:dyDescent="0.25">
      <c r="A44" t="s">
        <v>6</v>
      </c>
      <c r="B44" t="s">
        <v>35</v>
      </c>
      <c r="C44">
        <f>VLOOKUP(D1_MAYO_2025[[#This Row],[SUPER]],DATA_MAYO_2025[[SUPERVISOR]:[META]],3,0)</f>
        <v>26000</v>
      </c>
      <c r="D44">
        <f>D1_MAYO_2025[[#This Row],[RECUPERO]]/D1_MAYO_2025[[#This Row],[META]]</f>
        <v>0.17788461538461539</v>
      </c>
      <c r="E44" t="s">
        <v>6</v>
      </c>
      <c r="F44" t="s">
        <v>35</v>
      </c>
      <c r="G44">
        <v>4625</v>
      </c>
      <c r="H44" t="s">
        <v>401</v>
      </c>
      <c r="I44" s="55">
        <v>44748</v>
      </c>
      <c r="J44" t="s">
        <v>501</v>
      </c>
      <c r="L44" s="55"/>
      <c r="M44" s="1">
        <f>DATA_MAYO_2025[[#This Row],[RECUPERO]]/DATA_MAYO_2025[[#This Row],[META]]</f>
        <v>0.18375</v>
      </c>
      <c r="N44">
        <f>6-ROUNDUP(_xlfn.RANK.EQ(DATA_MAYO_2025[[#This Row],[AL_AC]],DATA_MAYO_2025[AL_AC],0)/(COUNTA(DATA_MAYO_2025[AL_AC])/5),0)</f>
        <v>1</v>
      </c>
      <c r="O44" t="s">
        <v>9</v>
      </c>
      <c r="P44" s="6">
        <f>SUM(DATA_MAYO_2025[[#This Row],[1]:[31]])</f>
        <v>3675</v>
      </c>
      <c r="Q44">
        <v>20000</v>
      </c>
      <c r="R44" t="s">
        <v>49</v>
      </c>
      <c r="X44">
        <v>1350</v>
      </c>
      <c r="Z44">
        <v>50</v>
      </c>
      <c r="AD44">
        <v>100</v>
      </c>
      <c r="AE44">
        <v>500</v>
      </c>
      <c r="AF44">
        <v>345</v>
      </c>
      <c r="AG44">
        <v>930</v>
      </c>
      <c r="AM44">
        <v>200</v>
      </c>
      <c r="AT44">
        <v>200</v>
      </c>
      <c r="AX44" t="s">
        <v>153</v>
      </c>
    </row>
    <row r="45" spans="1:50" x14ac:dyDescent="0.25">
      <c r="A45" t="s">
        <v>6</v>
      </c>
      <c r="B45" t="s">
        <v>50</v>
      </c>
      <c r="C45">
        <f>VLOOKUP(D1_MAYO_2025[[#This Row],[SUPER]],DATA_MAYO_2025[[SUPERVISOR]:[META]],3,0)</f>
        <v>26000</v>
      </c>
      <c r="D45">
        <f>D1_MAYO_2025[[#This Row],[RECUPERO]]/D1_MAYO_2025[[#This Row],[META]]</f>
        <v>4.576923076923077E-2</v>
      </c>
      <c r="E45" t="s">
        <v>6</v>
      </c>
      <c r="F45" t="s">
        <v>50</v>
      </c>
      <c r="G45">
        <v>1190</v>
      </c>
      <c r="H45" t="s">
        <v>402</v>
      </c>
      <c r="I45" s="55">
        <v>45523</v>
      </c>
      <c r="J45" t="s">
        <v>501</v>
      </c>
      <c r="L45" s="55"/>
      <c r="M45" s="1">
        <f>DATA_MAYO_2025[[#This Row],[RECUPERO]]/DATA_MAYO_2025[[#This Row],[META]]</f>
        <v>0.48923076923076925</v>
      </c>
      <c r="N45">
        <f>6-ROUNDUP(_xlfn.RANK.EQ(DATA_MAYO_2025[[#This Row],[AL_AC]],DATA_MAYO_2025[AL_AC],0)/(COUNTA(DATA_MAYO_2025[AL_AC])/5),0)</f>
        <v>3</v>
      </c>
      <c r="O45" t="s">
        <v>3</v>
      </c>
      <c r="P45" s="6">
        <f>SUM(DATA_MAYO_2025[[#This Row],[1]:[31]])</f>
        <v>31800</v>
      </c>
      <c r="Q45">
        <v>65000</v>
      </c>
      <c r="R45" t="s">
        <v>26</v>
      </c>
      <c r="U45">
        <v>1000</v>
      </c>
      <c r="Y45">
        <v>3000</v>
      </c>
      <c r="AG45">
        <v>100</v>
      </c>
      <c r="AK45">
        <v>2501</v>
      </c>
      <c r="AL45">
        <v>10000</v>
      </c>
      <c r="AM45">
        <v>300</v>
      </c>
      <c r="AO45">
        <v>140</v>
      </c>
      <c r="AS45">
        <v>9000</v>
      </c>
      <c r="AT45">
        <v>2300</v>
      </c>
      <c r="AV45">
        <v>859</v>
      </c>
      <c r="AW45">
        <v>2600</v>
      </c>
      <c r="AX45" t="s">
        <v>150</v>
      </c>
    </row>
    <row r="46" spans="1:50" x14ac:dyDescent="0.25">
      <c r="A46" t="s">
        <v>6</v>
      </c>
      <c r="B46" t="s">
        <v>31</v>
      </c>
      <c r="C46">
        <f>VLOOKUP(D1_MAYO_2025[[#This Row],[SUPER]],DATA_MAYO_2025[[SUPERVISOR]:[META]],3,0)</f>
        <v>26000</v>
      </c>
      <c r="D46">
        <f>D1_MAYO_2025[[#This Row],[RECUPERO]]/D1_MAYO_2025[[#This Row],[META]]</f>
        <v>0.53384615384615386</v>
      </c>
      <c r="E46" t="s">
        <v>6</v>
      </c>
      <c r="F46" t="s">
        <v>31</v>
      </c>
      <c r="G46">
        <v>13880</v>
      </c>
      <c r="H46" t="s">
        <v>403</v>
      </c>
      <c r="I46" s="55">
        <v>45334</v>
      </c>
      <c r="J46" t="s">
        <v>501</v>
      </c>
      <c r="L46" s="55"/>
      <c r="M46" s="1">
        <f>DATA_MAYO_2025[[#This Row],[RECUPERO]]/DATA_MAYO_2025[[#This Row],[META]]</f>
        <v>0.57552307692307692</v>
      </c>
      <c r="N46">
        <f>6-ROUNDUP(_xlfn.RANK.EQ(DATA_MAYO_2025[[#This Row],[AL_AC]],DATA_MAYO_2025[AL_AC],0)/(COUNTA(DATA_MAYO_2025[AL_AC])/5),0)</f>
        <v>4</v>
      </c>
      <c r="O46" t="s">
        <v>4</v>
      </c>
      <c r="P46" s="6">
        <f>SUM(DATA_MAYO_2025[[#This Row],[1]:[31]])</f>
        <v>37409</v>
      </c>
      <c r="Q46">
        <v>65000</v>
      </c>
      <c r="R46" t="s">
        <v>65</v>
      </c>
      <c r="T46">
        <v>600</v>
      </c>
      <c r="X46">
        <v>10567</v>
      </c>
      <c r="Y46">
        <v>400</v>
      </c>
      <c r="AE46">
        <v>2000</v>
      </c>
      <c r="AG46">
        <v>1562</v>
      </c>
      <c r="AH46">
        <v>600</v>
      </c>
      <c r="AN46">
        <v>665</v>
      </c>
      <c r="AP46">
        <v>670</v>
      </c>
      <c r="AR46">
        <v>492</v>
      </c>
      <c r="AS46">
        <v>4816</v>
      </c>
      <c r="AT46">
        <v>1500</v>
      </c>
      <c r="AU46">
        <v>1600</v>
      </c>
      <c r="AV46">
        <v>11018</v>
      </c>
      <c r="AW46">
        <v>919</v>
      </c>
      <c r="AX46" t="s">
        <v>150</v>
      </c>
    </row>
    <row r="47" spans="1:50" x14ac:dyDescent="0.25">
      <c r="A47" t="s">
        <v>6</v>
      </c>
      <c r="B47" t="s">
        <v>110</v>
      </c>
      <c r="C47">
        <f>VLOOKUP(D1_MAYO_2025[[#This Row],[SUPER]],DATA_MAYO_2025[[SUPERVISOR]:[META]],3,0)</f>
        <v>26000</v>
      </c>
      <c r="D47">
        <f>D1_MAYO_2025[[#This Row],[RECUPERO]]/D1_MAYO_2025[[#This Row],[META]]</f>
        <v>0.64692307692307693</v>
      </c>
      <c r="E47" t="s">
        <v>6</v>
      </c>
      <c r="F47" t="s">
        <v>110</v>
      </c>
      <c r="G47">
        <v>16820</v>
      </c>
      <c r="H47" t="s">
        <v>454</v>
      </c>
      <c r="I47" s="55">
        <v>44993</v>
      </c>
      <c r="J47" t="s">
        <v>501</v>
      </c>
      <c r="L47" s="55"/>
      <c r="M47" s="1">
        <f>DATA_MAYO_2025[[#This Row],[RECUPERO]]/DATA_MAYO_2025[[#This Row],[META]]</f>
        <v>1.0128549999999998</v>
      </c>
      <c r="N47">
        <f>6-ROUNDUP(_xlfn.RANK.EQ(DATA_MAYO_2025[[#This Row],[AL_AC]],DATA_MAYO_2025[AL_AC],0)/(COUNTA(DATA_MAYO_2025[AL_AC])/5),0)</f>
        <v>5</v>
      </c>
      <c r="O47" t="s">
        <v>125</v>
      </c>
      <c r="P47" s="6">
        <f>SUM(DATA_MAYO_2025[[#This Row],[1]:[31]])</f>
        <v>20257.099999999999</v>
      </c>
      <c r="Q47">
        <v>20000</v>
      </c>
      <c r="R47" t="s">
        <v>20</v>
      </c>
      <c r="T47">
        <v>155</v>
      </c>
      <c r="W47">
        <v>1250</v>
      </c>
      <c r="X47">
        <v>700</v>
      </c>
      <c r="Y47">
        <v>200</v>
      </c>
      <c r="Z47">
        <v>319</v>
      </c>
      <c r="AA47">
        <v>350</v>
      </c>
      <c r="AE47">
        <v>700</v>
      </c>
      <c r="AH47">
        <v>1000</v>
      </c>
      <c r="AK47">
        <v>350</v>
      </c>
      <c r="AL47">
        <v>368</v>
      </c>
      <c r="AM47">
        <v>1000</v>
      </c>
      <c r="AN47">
        <v>351</v>
      </c>
      <c r="AO47">
        <v>400</v>
      </c>
      <c r="AR47">
        <v>500</v>
      </c>
      <c r="AS47">
        <v>5800</v>
      </c>
      <c r="AT47">
        <v>570</v>
      </c>
      <c r="AU47">
        <v>1628.1</v>
      </c>
      <c r="AV47">
        <v>1800</v>
      </c>
      <c r="AW47">
        <v>2816</v>
      </c>
      <c r="AX47" t="s">
        <v>153</v>
      </c>
    </row>
    <row r="48" spans="1:50" x14ac:dyDescent="0.25">
      <c r="A48" t="s">
        <v>6</v>
      </c>
      <c r="B48" t="s">
        <v>36</v>
      </c>
      <c r="C48">
        <f>VLOOKUP(D1_MAYO_2025[[#This Row],[SUPER]],DATA_MAYO_2025[[SUPERVISOR]:[META]],3,0)</f>
        <v>26000</v>
      </c>
      <c r="D48">
        <f>D1_MAYO_2025[[#This Row],[RECUPERO]]/D1_MAYO_2025[[#This Row],[META]]</f>
        <v>0.35930769230769233</v>
      </c>
      <c r="E48" t="s">
        <v>6</v>
      </c>
      <c r="F48" t="s">
        <v>36</v>
      </c>
      <c r="G48">
        <v>9342</v>
      </c>
      <c r="H48" t="s">
        <v>406</v>
      </c>
      <c r="I48" s="55">
        <v>44941</v>
      </c>
      <c r="J48" t="s">
        <v>501</v>
      </c>
      <c r="L48" s="55"/>
      <c r="M48" s="1">
        <f>DATA_MAYO_2025[[#This Row],[RECUPERO]]/DATA_MAYO_2025[[#This Row],[META]]</f>
        <v>0.1515</v>
      </c>
      <c r="N48">
        <f>6-ROUNDUP(_xlfn.RANK.EQ(DATA_MAYO_2025[[#This Row],[AL_AC]],DATA_MAYO_2025[AL_AC],0)/(COUNTA(DATA_MAYO_2025[AL_AC])/5),0)</f>
        <v>1</v>
      </c>
      <c r="O48" t="s">
        <v>6</v>
      </c>
      <c r="P48" s="6">
        <f>SUM(DATA_MAYO_2025[[#This Row],[1]:[31]])</f>
        <v>3939</v>
      </c>
      <c r="Q48">
        <v>26000</v>
      </c>
      <c r="R48" t="s">
        <v>37</v>
      </c>
      <c r="Y48">
        <v>250</v>
      </c>
      <c r="AA48">
        <v>1000</v>
      </c>
      <c r="AH48">
        <v>1340</v>
      </c>
      <c r="AL48">
        <v>178</v>
      </c>
      <c r="AO48">
        <v>340</v>
      </c>
      <c r="AV48">
        <v>200</v>
      </c>
      <c r="AW48">
        <v>631</v>
      </c>
      <c r="AX48" t="s">
        <v>152</v>
      </c>
    </row>
    <row r="49" spans="1:50" x14ac:dyDescent="0.25">
      <c r="A49" t="s">
        <v>6</v>
      </c>
      <c r="B49" t="s">
        <v>34</v>
      </c>
      <c r="C49">
        <f>VLOOKUP(D1_MAYO_2025[[#This Row],[SUPER]],DATA_MAYO_2025[[SUPERVISOR]:[META]],3,0)</f>
        <v>26000</v>
      </c>
      <c r="D49">
        <f>D1_MAYO_2025[[#This Row],[RECUPERO]]/D1_MAYO_2025[[#This Row],[META]]</f>
        <v>1.8238461538461539</v>
      </c>
      <c r="E49" t="s">
        <v>6</v>
      </c>
      <c r="F49" t="s">
        <v>34</v>
      </c>
      <c r="G49">
        <v>47420</v>
      </c>
      <c r="H49" t="s">
        <v>407</v>
      </c>
      <c r="I49" s="55">
        <v>45175</v>
      </c>
      <c r="J49" t="s">
        <v>501</v>
      </c>
      <c r="L49" s="55"/>
      <c r="M49" s="1">
        <f>DATA_MAYO_2025[[#This Row],[RECUPERO]]/DATA_MAYO_2025[[#This Row],[META]]</f>
        <v>0.55006846153846145</v>
      </c>
      <c r="N49">
        <f>6-ROUNDUP(_xlfn.RANK.EQ(DATA_MAYO_2025[[#This Row],[AL_AC]],DATA_MAYO_2025[AL_AC],0)/(COUNTA(DATA_MAYO_2025[AL_AC])/5),0)</f>
        <v>4</v>
      </c>
      <c r="O49" t="s">
        <v>2</v>
      </c>
      <c r="P49" s="6">
        <f>SUM(DATA_MAYO_2025[[#This Row],[1]:[31]])</f>
        <v>35754.449999999997</v>
      </c>
      <c r="Q49">
        <v>65000</v>
      </c>
      <c r="R49" t="s">
        <v>77</v>
      </c>
      <c r="Z49">
        <v>990.78</v>
      </c>
      <c r="AD49">
        <v>7000</v>
      </c>
      <c r="AF49">
        <v>500</v>
      </c>
      <c r="AG49">
        <v>2000</v>
      </c>
      <c r="AI49">
        <v>250</v>
      </c>
      <c r="AL49">
        <v>250</v>
      </c>
      <c r="AM49">
        <v>100</v>
      </c>
      <c r="AN49">
        <v>300</v>
      </c>
      <c r="AP49">
        <v>5000</v>
      </c>
      <c r="AS49">
        <v>3900</v>
      </c>
      <c r="AT49">
        <v>6250</v>
      </c>
      <c r="AV49">
        <v>6213.67</v>
      </c>
      <c r="AW49">
        <v>3000</v>
      </c>
      <c r="AX49" t="s">
        <v>150</v>
      </c>
    </row>
    <row r="50" spans="1:50" x14ac:dyDescent="0.25">
      <c r="A50" t="s">
        <v>125</v>
      </c>
      <c r="B50" t="s">
        <v>111</v>
      </c>
      <c r="C50">
        <f>VLOOKUP(D1_MAYO_2025[[#This Row],[SUPER]],DATA_MAYO_2025[[SUPERVISOR]:[META]],3,0)</f>
        <v>20000</v>
      </c>
      <c r="D50">
        <f>D1_MAYO_2025[[#This Row],[RECUPERO]]/D1_MAYO_2025[[#This Row],[META]]</f>
        <v>3.5000000000000003E-2</v>
      </c>
      <c r="E50" t="s">
        <v>125</v>
      </c>
      <c r="F50" t="s">
        <v>111</v>
      </c>
      <c r="G50">
        <v>700</v>
      </c>
      <c r="H50" t="s">
        <v>468</v>
      </c>
      <c r="I50" s="55">
        <v>45803</v>
      </c>
      <c r="J50" t="s">
        <v>501</v>
      </c>
      <c r="L50" s="55"/>
      <c r="M50" s="1">
        <f>DATA_MAYO_2025[[#This Row],[RECUPERO]]/DATA_MAYO_2025[[#This Row],[META]]</f>
        <v>0.17788461538461539</v>
      </c>
      <c r="N50">
        <f>6-ROUNDUP(_xlfn.RANK.EQ(DATA_MAYO_2025[[#This Row],[AL_AC]],DATA_MAYO_2025[AL_AC],0)/(COUNTA(DATA_MAYO_2025[AL_AC])/5),0)</f>
        <v>1</v>
      </c>
      <c r="O50" t="s">
        <v>6</v>
      </c>
      <c r="P50" s="6">
        <f>SUM(DATA_MAYO_2025[[#This Row],[1]:[31]])</f>
        <v>4625</v>
      </c>
      <c r="Q50">
        <v>26000</v>
      </c>
      <c r="R50" t="s">
        <v>35</v>
      </c>
      <c r="AE50">
        <v>250</v>
      </c>
      <c r="AF50">
        <v>1100</v>
      </c>
      <c r="AH50">
        <v>400</v>
      </c>
      <c r="AL50">
        <v>50</v>
      </c>
      <c r="AN50">
        <v>100</v>
      </c>
      <c r="AO50">
        <v>250</v>
      </c>
      <c r="AR50">
        <v>250</v>
      </c>
      <c r="AS50">
        <v>160</v>
      </c>
      <c r="AV50">
        <v>1765</v>
      </c>
      <c r="AW50">
        <v>300</v>
      </c>
      <c r="AX50" t="s">
        <v>152</v>
      </c>
    </row>
    <row r="51" spans="1:50" x14ac:dyDescent="0.25">
      <c r="A51" t="s">
        <v>125</v>
      </c>
      <c r="B51" t="s">
        <v>80</v>
      </c>
      <c r="C51">
        <f>VLOOKUP(D1_MAYO_2025[[#This Row],[SUPER]],DATA_MAYO_2025[[SUPERVISOR]:[META]],3,0)</f>
        <v>20000</v>
      </c>
      <c r="D51">
        <f>D1_MAYO_2025[[#This Row],[RECUPERO]]/D1_MAYO_2025[[#This Row],[META]]</f>
        <v>1.6751</v>
      </c>
      <c r="E51" t="s">
        <v>125</v>
      </c>
      <c r="F51" t="s">
        <v>80</v>
      </c>
      <c r="G51">
        <v>33502</v>
      </c>
      <c r="H51" t="s">
        <v>433</v>
      </c>
      <c r="I51" s="55">
        <v>45285</v>
      </c>
      <c r="J51" t="s">
        <v>501</v>
      </c>
      <c r="L51" s="55"/>
      <c r="M51" s="1">
        <f>DATA_MAYO_2025[[#This Row],[RECUPERO]]/DATA_MAYO_2025[[#This Row],[META]]</f>
        <v>4.576923076923077E-2</v>
      </c>
      <c r="N51">
        <f>6-ROUNDUP(_xlfn.RANK.EQ(DATA_MAYO_2025[[#This Row],[AL_AC]],DATA_MAYO_2025[AL_AC],0)/(COUNTA(DATA_MAYO_2025[AL_AC])/5),0)</f>
        <v>1</v>
      </c>
      <c r="O51" t="s">
        <v>6</v>
      </c>
      <c r="P51" s="6">
        <f>SUM(DATA_MAYO_2025[[#This Row],[1]:[31]])</f>
        <v>1190</v>
      </c>
      <c r="Q51">
        <v>26000</v>
      </c>
      <c r="R51" t="s">
        <v>50</v>
      </c>
      <c r="AG51">
        <v>310</v>
      </c>
      <c r="AK51">
        <v>400</v>
      </c>
      <c r="AO51">
        <v>280</v>
      </c>
      <c r="AS51">
        <v>200</v>
      </c>
      <c r="AX51" t="s">
        <v>152</v>
      </c>
    </row>
    <row r="52" spans="1:50" x14ac:dyDescent="0.25">
      <c r="A52" t="s">
        <v>125</v>
      </c>
      <c r="B52" t="s">
        <v>27</v>
      </c>
      <c r="C52">
        <f>VLOOKUP(D1_MAYO_2025[[#This Row],[SUPER]],DATA_MAYO_2025[[SUPERVISOR]:[META]],3,0)</f>
        <v>20000</v>
      </c>
      <c r="D52">
        <f>D1_MAYO_2025[[#This Row],[RECUPERO]]/D1_MAYO_2025[[#This Row],[META]]</f>
        <v>0.89054999999999995</v>
      </c>
      <c r="E52" t="s">
        <v>125</v>
      </c>
      <c r="F52" t="s">
        <v>27</v>
      </c>
      <c r="G52">
        <v>17811</v>
      </c>
      <c r="H52" t="s">
        <v>412</v>
      </c>
      <c r="I52" s="55">
        <v>45675</v>
      </c>
      <c r="J52" t="s">
        <v>501</v>
      </c>
      <c r="L52" s="55"/>
      <c r="M52" s="1">
        <f>DATA_MAYO_2025[[#This Row],[RECUPERO]]/DATA_MAYO_2025[[#This Row],[META]]</f>
        <v>0.51012000000000002</v>
      </c>
      <c r="N52">
        <f>6-ROUNDUP(_xlfn.RANK.EQ(DATA_MAYO_2025[[#This Row],[AL_AC]],DATA_MAYO_2025[AL_AC],0)/(COUNTA(DATA_MAYO_2025[AL_AC])/5),0)</f>
        <v>3</v>
      </c>
      <c r="O52" t="s">
        <v>125</v>
      </c>
      <c r="P52" s="6">
        <f>SUM(DATA_MAYO_2025[[#This Row],[1]:[31]])</f>
        <v>10202.4</v>
      </c>
      <c r="Q52">
        <v>20000</v>
      </c>
      <c r="R52" t="s">
        <v>33</v>
      </c>
      <c r="S52">
        <v>225.5</v>
      </c>
      <c r="T52">
        <v>200</v>
      </c>
      <c r="W52">
        <v>250</v>
      </c>
      <c r="Y52">
        <v>500</v>
      </c>
      <c r="Z52">
        <v>200</v>
      </c>
      <c r="AE52">
        <v>530</v>
      </c>
      <c r="AH52">
        <v>1200</v>
      </c>
      <c r="AI52">
        <v>207</v>
      </c>
      <c r="AM52">
        <v>2000</v>
      </c>
      <c r="AR52">
        <v>108.4</v>
      </c>
      <c r="AS52">
        <v>200</v>
      </c>
      <c r="AT52">
        <v>700</v>
      </c>
      <c r="AV52">
        <v>2631.5</v>
      </c>
      <c r="AW52">
        <v>1250</v>
      </c>
      <c r="AX52" t="s">
        <v>153</v>
      </c>
    </row>
    <row r="53" spans="1:50" x14ac:dyDescent="0.25">
      <c r="A53" t="s">
        <v>125</v>
      </c>
      <c r="B53" t="s">
        <v>20</v>
      </c>
      <c r="C53">
        <f>VLOOKUP(D1_MAYO_2025[[#This Row],[SUPER]],DATA_MAYO_2025[[SUPERVISOR]:[META]],3,0)</f>
        <v>20000</v>
      </c>
      <c r="D53">
        <f>D1_MAYO_2025[[#This Row],[RECUPERO]]/D1_MAYO_2025[[#This Row],[META]]</f>
        <v>1.0128549999999998</v>
      </c>
      <c r="E53" t="s">
        <v>125</v>
      </c>
      <c r="F53" t="s">
        <v>20</v>
      </c>
      <c r="G53">
        <v>20257.099999999999</v>
      </c>
      <c r="H53" t="s">
        <v>427</v>
      </c>
      <c r="I53" s="55">
        <v>45142</v>
      </c>
      <c r="J53" t="s">
        <v>501</v>
      </c>
      <c r="L53" s="55"/>
      <c r="M53" s="1">
        <f>DATA_MAYO_2025[[#This Row],[RECUPERO]]/DATA_MAYO_2025[[#This Row],[META]]</f>
        <v>1.5924941538461537</v>
      </c>
      <c r="N53">
        <f>6-ROUNDUP(_xlfn.RANK.EQ(DATA_MAYO_2025[[#This Row],[AL_AC]],DATA_MAYO_2025[AL_AC],0)/(COUNTA(DATA_MAYO_2025[AL_AC])/5),0)</f>
        <v>5</v>
      </c>
      <c r="O53" t="s">
        <v>3</v>
      </c>
      <c r="P53" s="6">
        <f>SUM(DATA_MAYO_2025[[#This Row],[1]:[31]])</f>
        <v>103512.12</v>
      </c>
      <c r="Q53">
        <v>65000</v>
      </c>
      <c r="R53" t="s">
        <v>23</v>
      </c>
      <c r="S53">
        <v>1167</v>
      </c>
      <c r="T53">
        <v>4610</v>
      </c>
      <c r="W53">
        <v>1500</v>
      </c>
      <c r="X53">
        <v>13050</v>
      </c>
      <c r="Z53">
        <v>1700</v>
      </c>
      <c r="AE53">
        <v>600</v>
      </c>
      <c r="AF53">
        <v>9800</v>
      </c>
      <c r="AG53">
        <v>9100</v>
      </c>
      <c r="AI53">
        <v>600</v>
      </c>
      <c r="AK53">
        <v>280</v>
      </c>
      <c r="AL53">
        <v>3500</v>
      </c>
      <c r="AM53">
        <v>17372</v>
      </c>
      <c r="AO53">
        <v>2200</v>
      </c>
      <c r="AR53">
        <v>4300</v>
      </c>
      <c r="AS53">
        <v>11000</v>
      </c>
      <c r="AT53">
        <v>2500</v>
      </c>
      <c r="AU53">
        <v>10351</v>
      </c>
      <c r="AV53">
        <v>4350</v>
      </c>
      <c r="AW53">
        <v>5532.12</v>
      </c>
      <c r="AX53" t="s">
        <v>150</v>
      </c>
    </row>
    <row r="54" spans="1:50" x14ac:dyDescent="0.25">
      <c r="A54" t="s">
        <v>125</v>
      </c>
      <c r="B54" t="s">
        <v>33</v>
      </c>
      <c r="C54">
        <f>VLOOKUP(D1_MAYO_2025[[#This Row],[SUPER]],DATA_MAYO_2025[[SUPERVISOR]:[META]],3,0)</f>
        <v>20000</v>
      </c>
      <c r="D54">
        <f>D1_MAYO_2025[[#This Row],[RECUPERO]]/D1_MAYO_2025[[#This Row],[META]]</f>
        <v>0.51012000000000002</v>
      </c>
      <c r="E54" t="s">
        <v>125</v>
      </c>
      <c r="F54" t="s">
        <v>33</v>
      </c>
      <c r="G54">
        <v>10202.4</v>
      </c>
      <c r="H54" t="s">
        <v>439</v>
      </c>
      <c r="I54" s="55">
        <v>44869</v>
      </c>
      <c r="J54" t="s">
        <v>501</v>
      </c>
      <c r="L54" s="55"/>
      <c r="M54" s="1">
        <f>DATA_MAYO_2025[[#This Row],[RECUPERO]]/DATA_MAYO_2025[[#This Row],[META]]</f>
        <v>0.53285000000000005</v>
      </c>
      <c r="N54">
        <f>6-ROUNDUP(_xlfn.RANK.EQ(DATA_MAYO_2025[[#This Row],[AL_AC]],DATA_MAYO_2025[AL_AC],0)/(COUNTA(DATA_MAYO_2025[AL_AC])/5),0)</f>
        <v>3</v>
      </c>
      <c r="O54" t="s">
        <v>8</v>
      </c>
      <c r="P54" s="6">
        <f>SUM(DATA_MAYO_2025[[#This Row],[1]:[31]])</f>
        <v>10657</v>
      </c>
      <c r="Q54">
        <v>20000</v>
      </c>
      <c r="R54" t="s">
        <v>131</v>
      </c>
      <c r="Z54">
        <v>207</v>
      </c>
      <c r="AK54">
        <v>300</v>
      </c>
      <c r="AN54">
        <v>3400</v>
      </c>
      <c r="AO54">
        <v>6500</v>
      </c>
      <c r="AU54">
        <v>250</v>
      </c>
      <c r="AX54" t="s">
        <v>153</v>
      </c>
    </row>
    <row r="55" spans="1:50" x14ac:dyDescent="0.25">
      <c r="A55" t="s">
        <v>125</v>
      </c>
      <c r="B55" t="s">
        <v>38</v>
      </c>
      <c r="C55">
        <f>VLOOKUP(D1_MAYO_2025[[#This Row],[SUPER]],DATA_MAYO_2025[[SUPERVISOR]:[META]],3,0)</f>
        <v>20000</v>
      </c>
      <c r="D55">
        <f>D1_MAYO_2025[[#This Row],[RECUPERO]]/D1_MAYO_2025[[#This Row],[META]]</f>
        <v>5.2499999999999998E-2</v>
      </c>
      <c r="E55" t="s">
        <v>125</v>
      </c>
      <c r="F55" t="s">
        <v>38</v>
      </c>
      <c r="G55">
        <v>1050</v>
      </c>
      <c r="H55" t="s">
        <v>469</v>
      </c>
      <c r="I55" s="55">
        <v>45805</v>
      </c>
      <c r="J55" t="s">
        <v>501</v>
      </c>
      <c r="L55" s="55"/>
      <c r="M55" s="1">
        <f>DATA_MAYO_2025[[#This Row],[RECUPERO]]/DATA_MAYO_2025[[#This Row],[META]]</f>
        <v>1.2213384615384615</v>
      </c>
      <c r="N55">
        <f>6-ROUNDUP(_xlfn.RANK.EQ(DATA_MAYO_2025[[#This Row],[AL_AC]],DATA_MAYO_2025[AL_AC],0)/(COUNTA(DATA_MAYO_2025[AL_AC])/5),0)</f>
        <v>5</v>
      </c>
      <c r="O55" t="s">
        <v>5</v>
      </c>
      <c r="P55" s="6">
        <f>SUM(DATA_MAYO_2025[[#This Row],[1]:[31]])</f>
        <v>79387</v>
      </c>
      <c r="Q55">
        <v>65000</v>
      </c>
      <c r="R55" t="s">
        <v>68</v>
      </c>
      <c r="T55">
        <v>1120</v>
      </c>
      <c r="W55">
        <v>650</v>
      </c>
      <c r="X55">
        <v>7000</v>
      </c>
      <c r="Y55">
        <v>7650</v>
      </c>
      <c r="Z55">
        <v>800</v>
      </c>
      <c r="AD55">
        <v>500</v>
      </c>
      <c r="AE55">
        <v>500</v>
      </c>
      <c r="AF55">
        <v>34000</v>
      </c>
      <c r="AG55">
        <v>2789</v>
      </c>
      <c r="AH55">
        <v>600</v>
      </c>
      <c r="AM55">
        <v>6086</v>
      </c>
      <c r="AO55">
        <v>4200</v>
      </c>
      <c r="AP55">
        <v>700</v>
      </c>
      <c r="AR55">
        <v>2500</v>
      </c>
      <c r="AS55">
        <v>300</v>
      </c>
      <c r="AT55">
        <v>3822</v>
      </c>
      <c r="AU55">
        <v>950</v>
      </c>
      <c r="AV55">
        <v>5220</v>
      </c>
      <c r="AX55" t="s">
        <v>150</v>
      </c>
    </row>
    <row r="56" spans="1:50" x14ac:dyDescent="0.25">
      <c r="A56" t="s">
        <v>125</v>
      </c>
      <c r="B56" t="s">
        <v>74</v>
      </c>
      <c r="C56">
        <f>VLOOKUP(D1_MAYO_2025[[#This Row],[SUPER]],DATA_MAYO_2025[[SUPERVISOR]:[META]],3,0)</f>
        <v>20000</v>
      </c>
      <c r="D56">
        <f>D1_MAYO_2025[[#This Row],[RECUPERO]]/D1_MAYO_2025[[#This Row],[META]]</f>
        <v>0.36037449999999999</v>
      </c>
      <c r="E56" t="s">
        <v>125</v>
      </c>
      <c r="F56" t="s">
        <v>74</v>
      </c>
      <c r="G56">
        <v>7207.49</v>
      </c>
      <c r="H56" t="s">
        <v>395</v>
      </c>
      <c r="I56" s="55">
        <v>44470</v>
      </c>
      <c r="J56" t="s">
        <v>501</v>
      </c>
      <c r="L56" s="55"/>
      <c r="M56" s="1">
        <f>DATA_MAYO_2025[[#This Row],[RECUPERO]]/DATA_MAYO_2025[[#This Row],[META]]</f>
        <v>0.53384615384615386</v>
      </c>
      <c r="N56">
        <f>6-ROUNDUP(_xlfn.RANK.EQ(DATA_MAYO_2025[[#This Row],[AL_AC]],DATA_MAYO_2025[AL_AC],0)/(COUNTA(DATA_MAYO_2025[AL_AC])/5),0)</f>
        <v>3</v>
      </c>
      <c r="O56" t="s">
        <v>6</v>
      </c>
      <c r="P56" s="6">
        <f>SUM(DATA_MAYO_2025[[#This Row],[1]:[31]])</f>
        <v>13880</v>
      </c>
      <c r="Q56">
        <v>26000</v>
      </c>
      <c r="R56" t="s">
        <v>31</v>
      </c>
      <c r="T56">
        <v>300</v>
      </c>
      <c r="W56">
        <v>4200</v>
      </c>
      <c r="AD56">
        <v>500</v>
      </c>
      <c r="AK56">
        <v>4000</v>
      </c>
      <c r="AR56">
        <v>3800</v>
      </c>
      <c r="AU56">
        <v>580</v>
      </c>
      <c r="AV56">
        <v>500</v>
      </c>
      <c r="AX56" t="s">
        <v>152</v>
      </c>
    </row>
    <row r="57" spans="1:50" x14ac:dyDescent="0.25">
      <c r="A57" t="s">
        <v>125</v>
      </c>
      <c r="B57" t="s">
        <v>39</v>
      </c>
      <c r="C57">
        <f>VLOOKUP(D1_MAYO_2025[[#This Row],[SUPER]],DATA_MAYO_2025[[SUPERVISOR]:[META]],3,0)</f>
        <v>20000</v>
      </c>
      <c r="D57">
        <f>D1_MAYO_2025[[#This Row],[RECUPERO]]/D1_MAYO_2025[[#This Row],[META]]</f>
        <v>0.71299999999999997</v>
      </c>
      <c r="E57" t="s">
        <v>125</v>
      </c>
      <c r="F57" t="s">
        <v>39</v>
      </c>
      <c r="G57">
        <v>14260</v>
      </c>
      <c r="H57" t="s">
        <v>452</v>
      </c>
      <c r="I57" s="55">
        <v>44951</v>
      </c>
      <c r="J57" t="s">
        <v>501</v>
      </c>
      <c r="L57" s="55"/>
      <c r="M57" s="1">
        <f>DATA_MAYO_2025[[#This Row],[RECUPERO]]/DATA_MAYO_2025[[#This Row],[META]]</f>
        <v>0.71824615384615387</v>
      </c>
      <c r="N57">
        <f>6-ROUNDUP(_xlfn.RANK.EQ(DATA_MAYO_2025[[#This Row],[AL_AC]],DATA_MAYO_2025[AL_AC],0)/(COUNTA(DATA_MAYO_2025[AL_AC])/5),0)</f>
        <v>4</v>
      </c>
      <c r="O57" t="s">
        <v>2</v>
      </c>
      <c r="P57" s="6">
        <f>SUM(DATA_MAYO_2025[[#This Row],[1]:[31]])</f>
        <v>46686</v>
      </c>
      <c r="Q57">
        <v>65000</v>
      </c>
      <c r="R57" t="s">
        <v>29</v>
      </c>
      <c r="T57">
        <v>320</v>
      </c>
      <c r="W57">
        <v>1500</v>
      </c>
      <c r="X57">
        <v>4000</v>
      </c>
      <c r="Y57">
        <v>2000</v>
      </c>
      <c r="Z57">
        <v>1000</v>
      </c>
      <c r="AB57">
        <v>1000</v>
      </c>
      <c r="AD57">
        <v>600</v>
      </c>
      <c r="AF57">
        <v>10100</v>
      </c>
      <c r="AG57">
        <v>600</v>
      </c>
      <c r="AH57">
        <v>2800</v>
      </c>
      <c r="AK57">
        <v>1000</v>
      </c>
      <c r="AM57">
        <v>800</v>
      </c>
      <c r="AN57">
        <v>1100</v>
      </c>
      <c r="AO57">
        <v>600</v>
      </c>
      <c r="AP57">
        <v>335</v>
      </c>
      <c r="AR57">
        <v>2000</v>
      </c>
      <c r="AS57">
        <v>1000</v>
      </c>
      <c r="AT57">
        <v>3250</v>
      </c>
      <c r="AU57">
        <v>5800</v>
      </c>
      <c r="AV57">
        <v>5611</v>
      </c>
      <c r="AW57">
        <v>1270</v>
      </c>
      <c r="AX57" t="s">
        <v>150</v>
      </c>
    </row>
    <row r="58" spans="1:50" x14ac:dyDescent="0.25">
      <c r="A58" t="s">
        <v>125</v>
      </c>
      <c r="B58" t="s">
        <v>56</v>
      </c>
      <c r="C58">
        <f>VLOOKUP(D1_MAYO_2025[[#This Row],[SUPER]],DATA_MAYO_2025[[SUPERVISOR]:[META]],3,0)</f>
        <v>20000</v>
      </c>
      <c r="D58">
        <f>D1_MAYO_2025[[#This Row],[RECUPERO]]/D1_MAYO_2025[[#This Row],[META]]</f>
        <v>0.22220000000000001</v>
      </c>
      <c r="E58" t="s">
        <v>125</v>
      </c>
      <c r="F58" t="s">
        <v>56</v>
      </c>
      <c r="G58">
        <v>4444</v>
      </c>
      <c r="H58" t="s">
        <v>464</v>
      </c>
      <c r="I58" s="55">
        <v>45772</v>
      </c>
      <c r="J58" t="s">
        <v>501</v>
      </c>
      <c r="L58" s="55"/>
      <c r="M58" s="1">
        <f>DATA_MAYO_2025[[#This Row],[RECUPERO]]/DATA_MAYO_2025[[#This Row],[META]]</f>
        <v>0.7</v>
      </c>
      <c r="N58">
        <f>6-ROUNDUP(_xlfn.RANK.EQ(DATA_MAYO_2025[[#This Row],[AL_AC]],DATA_MAYO_2025[AL_AC],0)/(COUNTA(DATA_MAYO_2025[AL_AC])/5),0)</f>
        <v>4</v>
      </c>
      <c r="O58" t="s">
        <v>8</v>
      </c>
      <c r="P58" s="6">
        <f>SUM(DATA_MAYO_2025[[#This Row],[1]:[31]])</f>
        <v>14000</v>
      </c>
      <c r="Q58">
        <v>20000</v>
      </c>
      <c r="R58" t="s">
        <v>43</v>
      </c>
      <c r="AK58">
        <v>500</v>
      </c>
      <c r="AL58">
        <v>300</v>
      </c>
      <c r="AM58">
        <v>200</v>
      </c>
      <c r="AN58">
        <v>3200</v>
      </c>
      <c r="AO58">
        <v>300</v>
      </c>
      <c r="AR58">
        <v>5900</v>
      </c>
      <c r="AU58">
        <v>300</v>
      </c>
      <c r="AW58">
        <v>3300</v>
      </c>
      <c r="AX58" t="s">
        <v>153</v>
      </c>
    </row>
    <row r="59" spans="1:50" x14ac:dyDescent="0.25">
      <c r="A59" t="s">
        <v>8</v>
      </c>
      <c r="B59" t="s">
        <v>21</v>
      </c>
      <c r="C59">
        <f>VLOOKUP(D1_MAYO_2025[[#This Row],[SUPER]],DATA_MAYO_2025[[SUPERVISOR]:[META]],3,0)</f>
        <v>20000</v>
      </c>
      <c r="D59">
        <f>D1_MAYO_2025[[#This Row],[RECUPERO]]/D1_MAYO_2025[[#This Row],[META]]</f>
        <v>0.80700000000000005</v>
      </c>
      <c r="E59" t="s">
        <v>8</v>
      </c>
      <c r="F59" t="s">
        <v>21</v>
      </c>
      <c r="G59">
        <v>16140</v>
      </c>
      <c r="H59" t="s">
        <v>409</v>
      </c>
      <c r="I59" s="55">
        <v>44301</v>
      </c>
      <c r="J59" t="s">
        <v>501</v>
      </c>
      <c r="L59" s="55"/>
      <c r="M59" s="1">
        <f>DATA_MAYO_2025[[#This Row],[RECUPERO]]/DATA_MAYO_2025[[#This Row],[META]]</f>
        <v>0.46763076923076924</v>
      </c>
      <c r="N59">
        <f>6-ROUNDUP(_xlfn.RANK.EQ(DATA_MAYO_2025[[#This Row],[AL_AC]],DATA_MAYO_2025[AL_AC],0)/(COUNTA(DATA_MAYO_2025[AL_AC])/5),0)</f>
        <v>3</v>
      </c>
      <c r="O59" t="s">
        <v>3</v>
      </c>
      <c r="P59" s="6">
        <f>SUM(DATA_MAYO_2025[[#This Row],[1]:[31]])</f>
        <v>30396</v>
      </c>
      <c r="Q59">
        <v>65000</v>
      </c>
      <c r="R59" t="s">
        <v>25</v>
      </c>
      <c r="T59">
        <v>300</v>
      </c>
      <c r="Y59">
        <v>2500</v>
      </c>
      <c r="AA59">
        <v>328</v>
      </c>
      <c r="AB59">
        <v>2000</v>
      </c>
      <c r="AD59">
        <v>650</v>
      </c>
      <c r="AG59">
        <v>1174</v>
      </c>
      <c r="AH59">
        <v>5800</v>
      </c>
      <c r="AK59">
        <v>1061</v>
      </c>
      <c r="AL59">
        <v>2500</v>
      </c>
      <c r="AM59">
        <v>2500</v>
      </c>
      <c r="AO59">
        <v>1500</v>
      </c>
      <c r="AP59">
        <v>1500</v>
      </c>
      <c r="AR59">
        <v>750</v>
      </c>
      <c r="AS59">
        <v>500</v>
      </c>
      <c r="AT59">
        <v>700</v>
      </c>
      <c r="AU59">
        <v>5600</v>
      </c>
      <c r="AW59">
        <v>1033</v>
      </c>
      <c r="AX59" t="s">
        <v>150</v>
      </c>
    </row>
    <row r="60" spans="1:50" x14ac:dyDescent="0.25">
      <c r="A60" t="s">
        <v>8</v>
      </c>
      <c r="B60" t="s">
        <v>14</v>
      </c>
      <c r="C60">
        <f>VLOOKUP(D1_MAYO_2025[[#This Row],[SUPER]],DATA_MAYO_2025[[SUPERVISOR]:[META]],3,0)</f>
        <v>20000</v>
      </c>
      <c r="D60">
        <f>D1_MAYO_2025[[#This Row],[RECUPERO]]/D1_MAYO_2025[[#This Row],[META]]</f>
        <v>1.46035</v>
      </c>
      <c r="E60" t="s">
        <v>8</v>
      </c>
      <c r="F60" t="s">
        <v>14</v>
      </c>
      <c r="G60">
        <v>29207</v>
      </c>
      <c r="H60" t="s">
        <v>432</v>
      </c>
      <c r="I60" s="55">
        <v>45133</v>
      </c>
      <c r="J60" t="s">
        <v>501</v>
      </c>
      <c r="L60" s="55"/>
      <c r="M60" s="1">
        <f>DATA_MAYO_2025[[#This Row],[RECUPERO]]/DATA_MAYO_2025[[#This Row],[META]]</f>
        <v>0.64692307692307693</v>
      </c>
      <c r="N60">
        <f>6-ROUNDUP(_xlfn.RANK.EQ(DATA_MAYO_2025[[#This Row],[AL_AC]],DATA_MAYO_2025[AL_AC],0)/(COUNTA(DATA_MAYO_2025[AL_AC])/5),0)</f>
        <v>4</v>
      </c>
      <c r="O60" t="s">
        <v>6</v>
      </c>
      <c r="P60" s="6">
        <f>SUM(DATA_MAYO_2025[[#This Row],[1]:[31]])</f>
        <v>16820</v>
      </c>
      <c r="Q60">
        <v>26000</v>
      </c>
      <c r="R60" t="s">
        <v>110</v>
      </c>
      <c r="T60">
        <v>150</v>
      </c>
      <c r="Y60">
        <v>170</v>
      </c>
      <c r="AG60">
        <v>500</v>
      </c>
      <c r="AO60">
        <v>1000</v>
      </c>
      <c r="AR60">
        <v>3000</v>
      </c>
      <c r="AV60">
        <v>12000</v>
      </c>
      <c r="AX60" t="s">
        <v>152</v>
      </c>
    </row>
    <row r="61" spans="1:50" x14ac:dyDescent="0.25">
      <c r="A61" t="s">
        <v>8</v>
      </c>
      <c r="B61" t="s">
        <v>41</v>
      </c>
      <c r="C61">
        <f>VLOOKUP(D1_MAYO_2025[[#This Row],[SUPER]],DATA_MAYO_2025[[SUPERVISOR]:[META]],3,0)</f>
        <v>20000</v>
      </c>
      <c r="D61">
        <f>D1_MAYO_2025[[#This Row],[RECUPERO]]/D1_MAYO_2025[[#This Row],[META]]</f>
        <v>0.22819999999999999</v>
      </c>
      <c r="E61" t="s">
        <v>8</v>
      </c>
      <c r="F61" t="s">
        <v>41</v>
      </c>
      <c r="G61">
        <v>4564</v>
      </c>
      <c r="H61" t="s">
        <v>387</v>
      </c>
      <c r="I61" s="55">
        <v>45304</v>
      </c>
      <c r="J61" t="s">
        <v>501</v>
      </c>
      <c r="L61" s="55"/>
      <c r="M61" s="1">
        <f>DATA_MAYO_2025[[#This Row],[RECUPERO]]/DATA_MAYO_2025[[#This Row],[META]]</f>
        <v>0.65569230769230769</v>
      </c>
      <c r="N61">
        <f>6-ROUNDUP(_xlfn.RANK.EQ(DATA_MAYO_2025[[#This Row],[AL_AC]],DATA_MAYO_2025[AL_AC],0)/(COUNTA(DATA_MAYO_2025[AL_AC])/5),0)</f>
        <v>4</v>
      </c>
      <c r="O61" t="s">
        <v>2</v>
      </c>
      <c r="P61" s="6">
        <f>SUM(DATA_MAYO_2025[[#This Row],[1]:[31]])</f>
        <v>42620</v>
      </c>
      <c r="Q61">
        <v>65000</v>
      </c>
      <c r="R61" t="s">
        <v>17</v>
      </c>
      <c r="Y61">
        <v>2800</v>
      </c>
      <c r="AG61">
        <v>491</v>
      </c>
      <c r="AK61">
        <v>333</v>
      </c>
      <c r="AM61">
        <v>2230</v>
      </c>
      <c r="AS61">
        <v>12666</v>
      </c>
      <c r="AT61">
        <v>15000</v>
      </c>
      <c r="AW61">
        <v>9100</v>
      </c>
      <c r="AX61" t="s">
        <v>150</v>
      </c>
    </row>
    <row r="62" spans="1:50" x14ac:dyDescent="0.25">
      <c r="A62" t="s">
        <v>8</v>
      </c>
      <c r="B62" t="s">
        <v>40</v>
      </c>
      <c r="C62">
        <f>VLOOKUP(D1_MAYO_2025[[#This Row],[SUPER]],DATA_MAYO_2025[[SUPERVISOR]:[META]],3,0)</f>
        <v>20000</v>
      </c>
      <c r="D62">
        <f>D1_MAYO_2025[[#This Row],[RECUPERO]]/D1_MAYO_2025[[#This Row],[META]]</f>
        <v>0.52564999999999995</v>
      </c>
      <c r="E62" t="s">
        <v>8</v>
      </c>
      <c r="F62" t="s">
        <v>40</v>
      </c>
      <c r="G62">
        <v>10513</v>
      </c>
      <c r="H62" t="s">
        <v>424</v>
      </c>
      <c r="I62" s="55">
        <v>45429</v>
      </c>
      <c r="J62" t="s">
        <v>501</v>
      </c>
      <c r="L62" s="55"/>
      <c r="M62" s="1">
        <f>DATA_MAYO_2025[[#This Row],[RECUPERO]]/DATA_MAYO_2025[[#This Row],[META]]</f>
        <v>5.2499999999999998E-2</v>
      </c>
      <c r="N62">
        <f>6-ROUNDUP(_xlfn.RANK.EQ(DATA_MAYO_2025[[#This Row],[AL_AC]],DATA_MAYO_2025[AL_AC],0)/(COUNTA(DATA_MAYO_2025[AL_AC])/5),0)</f>
        <v>1</v>
      </c>
      <c r="O62" t="s">
        <v>125</v>
      </c>
      <c r="P62" s="6">
        <f>SUM(DATA_MAYO_2025[[#This Row],[1]:[31]])</f>
        <v>1050</v>
      </c>
      <c r="Q62">
        <v>20000</v>
      </c>
      <c r="R62" t="s">
        <v>38</v>
      </c>
      <c r="AO62">
        <v>700</v>
      </c>
      <c r="AV62">
        <v>350</v>
      </c>
      <c r="AX62" t="s">
        <v>153</v>
      </c>
    </row>
    <row r="63" spans="1:50" x14ac:dyDescent="0.25">
      <c r="A63" t="s">
        <v>8</v>
      </c>
      <c r="B63" t="s">
        <v>24</v>
      </c>
      <c r="C63">
        <f>VLOOKUP(D1_MAYO_2025[[#This Row],[SUPER]],DATA_MAYO_2025[[SUPERVISOR]:[META]],3,0)</f>
        <v>20000</v>
      </c>
      <c r="D63">
        <f>D1_MAYO_2025[[#This Row],[RECUPERO]]/D1_MAYO_2025[[#This Row],[META]]</f>
        <v>0.64496500000000001</v>
      </c>
      <c r="E63" t="s">
        <v>8</v>
      </c>
      <c r="F63" t="s">
        <v>24</v>
      </c>
      <c r="G63">
        <v>12899.3</v>
      </c>
      <c r="H63" t="s">
        <v>434</v>
      </c>
      <c r="I63" s="55">
        <v>45334</v>
      </c>
      <c r="J63" t="s">
        <v>501</v>
      </c>
      <c r="L63" s="55"/>
      <c r="M63" s="1">
        <f>DATA_MAYO_2025[[#This Row],[RECUPERO]]/DATA_MAYO_2025[[#This Row],[META]]</f>
        <v>0.37940000000000002</v>
      </c>
      <c r="N63">
        <f>6-ROUNDUP(_xlfn.RANK.EQ(DATA_MAYO_2025[[#This Row],[AL_AC]],DATA_MAYO_2025[AL_AC],0)/(COUNTA(DATA_MAYO_2025[AL_AC])/5),0)</f>
        <v>2</v>
      </c>
      <c r="O63" t="s">
        <v>4</v>
      </c>
      <c r="P63" s="6">
        <f>SUM(DATA_MAYO_2025[[#This Row],[1]:[31]])</f>
        <v>24661</v>
      </c>
      <c r="Q63">
        <v>65000</v>
      </c>
      <c r="R63" t="s">
        <v>75</v>
      </c>
      <c r="S63">
        <v>420</v>
      </c>
      <c r="T63">
        <v>500</v>
      </c>
      <c r="W63">
        <v>400</v>
      </c>
      <c r="AA63">
        <v>200</v>
      </c>
      <c r="AD63">
        <v>3064</v>
      </c>
      <c r="AF63">
        <v>4000</v>
      </c>
      <c r="AG63">
        <v>1700</v>
      </c>
      <c r="AH63">
        <v>300</v>
      </c>
      <c r="AK63">
        <v>992</v>
      </c>
      <c r="AM63">
        <v>800</v>
      </c>
      <c r="AN63">
        <v>1400</v>
      </c>
      <c r="AR63">
        <v>2000</v>
      </c>
      <c r="AT63">
        <v>2000</v>
      </c>
      <c r="AU63">
        <v>1585</v>
      </c>
      <c r="AV63">
        <v>4900</v>
      </c>
      <c r="AW63">
        <v>400</v>
      </c>
      <c r="AX63" t="s">
        <v>150</v>
      </c>
    </row>
    <row r="64" spans="1:50" x14ac:dyDescent="0.25">
      <c r="A64" t="s">
        <v>8</v>
      </c>
      <c r="B64" t="s">
        <v>42</v>
      </c>
      <c r="C64">
        <f>VLOOKUP(D1_MAYO_2025[[#This Row],[SUPER]],DATA_MAYO_2025[[SUPERVISOR]:[META]],3,0)</f>
        <v>20000</v>
      </c>
      <c r="D64">
        <f>D1_MAYO_2025[[#This Row],[RECUPERO]]/D1_MAYO_2025[[#This Row],[META]]</f>
        <v>0.38747500000000001</v>
      </c>
      <c r="E64" t="s">
        <v>8</v>
      </c>
      <c r="F64" t="s">
        <v>42</v>
      </c>
      <c r="G64">
        <v>7749.5</v>
      </c>
      <c r="H64" t="s">
        <v>415</v>
      </c>
      <c r="I64" s="55">
        <v>45399</v>
      </c>
      <c r="J64" t="s">
        <v>501</v>
      </c>
      <c r="L64" s="55"/>
      <c r="M64" s="1">
        <f>DATA_MAYO_2025[[#This Row],[RECUPERO]]/DATA_MAYO_2025[[#This Row],[META]]</f>
        <v>0.35930769230769233</v>
      </c>
      <c r="N64">
        <f>6-ROUNDUP(_xlfn.RANK.EQ(DATA_MAYO_2025[[#This Row],[AL_AC]],DATA_MAYO_2025[AL_AC],0)/(COUNTA(DATA_MAYO_2025[AL_AC])/5),0)</f>
        <v>2</v>
      </c>
      <c r="O64" t="s">
        <v>6</v>
      </c>
      <c r="P64" s="6">
        <f>SUM(DATA_MAYO_2025[[#This Row],[1]:[31]])</f>
        <v>9342</v>
      </c>
      <c r="Q64">
        <v>26000</v>
      </c>
      <c r="R64" t="s">
        <v>36</v>
      </c>
      <c r="W64">
        <v>300</v>
      </c>
      <c r="AD64">
        <v>250</v>
      </c>
      <c r="AF64">
        <v>2200</v>
      </c>
      <c r="AH64">
        <v>600</v>
      </c>
      <c r="AL64">
        <v>117</v>
      </c>
      <c r="AM64">
        <v>325</v>
      </c>
      <c r="AO64">
        <v>480</v>
      </c>
      <c r="AU64">
        <v>5070</v>
      </c>
      <c r="AX64" t="s">
        <v>152</v>
      </c>
    </row>
    <row r="65" spans="1:50" x14ac:dyDescent="0.25">
      <c r="A65" t="s">
        <v>8</v>
      </c>
      <c r="B65" t="s">
        <v>83</v>
      </c>
      <c r="C65">
        <f>VLOOKUP(D1_MAYO_2025[[#This Row],[SUPER]],DATA_MAYO_2025[[SUPERVISOR]:[META]],3,0)</f>
        <v>20000</v>
      </c>
      <c r="D65">
        <f>D1_MAYO_2025[[#This Row],[RECUPERO]]/D1_MAYO_2025[[#This Row],[META]]</f>
        <v>0.90502499999999997</v>
      </c>
      <c r="E65" t="s">
        <v>8</v>
      </c>
      <c r="F65" t="s">
        <v>83</v>
      </c>
      <c r="G65">
        <v>18100.5</v>
      </c>
      <c r="H65" t="s">
        <v>435</v>
      </c>
      <c r="I65" s="55">
        <v>44937</v>
      </c>
      <c r="J65" t="s">
        <v>501</v>
      </c>
      <c r="L65" s="55"/>
      <c r="M65" s="1">
        <f>DATA_MAYO_2025[[#This Row],[RECUPERO]]/DATA_MAYO_2025[[#This Row],[META]]</f>
        <v>0.38682384615384613</v>
      </c>
      <c r="N65">
        <f>6-ROUNDUP(_xlfn.RANK.EQ(DATA_MAYO_2025[[#This Row],[AL_AC]],DATA_MAYO_2025[AL_AC],0)/(COUNTA(DATA_MAYO_2025[AL_AC])/5),0)</f>
        <v>2</v>
      </c>
      <c r="O65" t="s">
        <v>4</v>
      </c>
      <c r="P65" s="6">
        <f>SUM(DATA_MAYO_2025[[#This Row],[1]:[31]])</f>
        <v>25143.55</v>
      </c>
      <c r="Q65">
        <v>65000</v>
      </c>
      <c r="R65" t="s">
        <v>62</v>
      </c>
      <c r="AD65">
        <v>5200</v>
      </c>
      <c r="AG65">
        <v>2555</v>
      </c>
      <c r="AH65">
        <v>806</v>
      </c>
      <c r="AI65">
        <v>600</v>
      </c>
      <c r="AM65">
        <v>3000</v>
      </c>
      <c r="AN65">
        <v>2684.55</v>
      </c>
      <c r="AR65">
        <v>1500</v>
      </c>
      <c r="AS65">
        <v>1226</v>
      </c>
      <c r="AT65">
        <v>2200</v>
      </c>
      <c r="AU65">
        <v>953</v>
      </c>
      <c r="AV65">
        <v>3173</v>
      </c>
      <c r="AW65">
        <v>1246</v>
      </c>
      <c r="AX65" t="s">
        <v>150</v>
      </c>
    </row>
    <row r="66" spans="1:50" x14ac:dyDescent="0.25">
      <c r="A66" t="s">
        <v>8</v>
      </c>
      <c r="B66" t="s">
        <v>131</v>
      </c>
      <c r="C66">
        <f>VLOOKUP(D1_MAYO_2025[[#This Row],[SUPER]],DATA_MAYO_2025[[SUPERVISOR]:[META]],3,0)</f>
        <v>20000</v>
      </c>
      <c r="D66">
        <f>D1_MAYO_2025[[#This Row],[RECUPERO]]/D1_MAYO_2025[[#This Row],[META]]</f>
        <v>0.53285000000000005</v>
      </c>
      <c r="E66" t="s">
        <v>8</v>
      </c>
      <c r="F66" t="s">
        <v>131</v>
      </c>
      <c r="G66">
        <v>10657</v>
      </c>
      <c r="H66" t="s">
        <v>470</v>
      </c>
      <c r="I66" s="55">
        <v>45785</v>
      </c>
      <c r="J66" t="s">
        <v>501</v>
      </c>
      <c r="L66" s="55"/>
      <c r="M66" s="1">
        <f>DATA_MAYO_2025[[#This Row],[RECUPERO]]/DATA_MAYO_2025[[#This Row],[META]]</f>
        <v>0.76733846153846152</v>
      </c>
      <c r="N66">
        <f>6-ROUNDUP(_xlfn.RANK.EQ(DATA_MAYO_2025[[#This Row],[AL_AC]],DATA_MAYO_2025[AL_AC],0)/(COUNTA(DATA_MAYO_2025[AL_AC])/5),0)</f>
        <v>4</v>
      </c>
      <c r="O66" t="s">
        <v>5</v>
      </c>
      <c r="P66" s="6">
        <f>SUM(DATA_MAYO_2025[[#This Row],[1]:[31]])</f>
        <v>49877</v>
      </c>
      <c r="Q66">
        <v>65000</v>
      </c>
      <c r="R66" t="s">
        <v>70</v>
      </c>
      <c r="T66">
        <v>600</v>
      </c>
      <c r="U66">
        <v>1000</v>
      </c>
      <c r="X66">
        <v>600</v>
      </c>
      <c r="Y66">
        <v>4000</v>
      </c>
      <c r="AG66">
        <v>1500</v>
      </c>
      <c r="AH66">
        <v>6000</v>
      </c>
      <c r="AK66">
        <v>1240</v>
      </c>
      <c r="AL66">
        <v>200</v>
      </c>
      <c r="AM66">
        <v>10370</v>
      </c>
      <c r="AO66">
        <v>10000</v>
      </c>
      <c r="AP66">
        <v>280</v>
      </c>
      <c r="AQ66">
        <v>700</v>
      </c>
      <c r="AR66">
        <v>10000</v>
      </c>
      <c r="AU66">
        <v>3000</v>
      </c>
      <c r="AW66">
        <v>387</v>
      </c>
      <c r="AX66" t="s">
        <v>150</v>
      </c>
    </row>
    <row r="67" spans="1:50" x14ac:dyDescent="0.25">
      <c r="A67" t="s">
        <v>8</v>
      </c>
      <c r="B67" t="s">
        <v>43</v>
      </c>
      <c r="C67">
        <f>VLOOKUP(D1_MAYO_2025[[#This Row],[SUPER]],DATA_MAYO_2025[[SUPERVISOR]:[META]],3,0)</f>
        <v>20000</v>
      </c>
      <c r="D67">
        <f>D1_MAYO_2025[[#This Row],[RECUPERO]]/D1_MAYO_2025[[#This Row],[META]]</f>
        <v>0.7</v>
      </c>
      <c r="E67" t="s">
        <v>8</v>
      </c>
      <c r="F67" t="s">
        <v>43</v>
      </c>
      <c r="G67">
        <v>14000</v>
      </c>
      <c r="H67" t="s">
        <v>471</v>
      </c>
      <c r="I67" s="55">
        <v>45793</v>
      </c>
      <c r="J67" t="s">
        <v>501</v>
      </c>
      <c r="L67" s="55"/>
      <c r="M67" s="1">
        <f>DATA_MAYO_2025[[#This Row],[RECUPERO]]/DATA_MAYO_2025[[#This Row],[META]]</f>
        <v>0.25306153846153845</v>
      </c>
      <c r="N67">
        <f>6-ROUNDUP(_xlfn.RANK.EQ(DATA_MAYO_2025[[#This Row],[AL_AC]],DATA_MAYO_2025[AL_AC],0)/(COUNTA(DATA_MAYO_2025[AL_AC])/5),0)</f>
        <v>2</v>
      </c>
      <c r="O67" t="s">
        <v>4</v>
      </c>
      <c r="P67" s="6">
        <f>SUM(DATA_MAYO_2025[[#This Row],[1]:[31]])</f>
        <v>16449</v>
      </c>
      <c r="Q67">
        <v>65000</v>
      </c>
      <c r="R67" t="s">
        <v>64</v>
      </c>
      <c r="Z67">
        <v>500</v>
      </c>
      <c r="AD67">
        <v>323</v>
      </c>
      <c r="AH67">
        <v>650</v>
      </c>
      <c r="AK67">
        <v>7000</v>
      </c>
      <c r="AR67">
        <v>6000</v>
      </c>
      <c r="AU67">
        <v>1056</v>
      </c>
      <c r="AV67">
        <v>920</v>
      </c>
      <c r="AX67" t="s">
        <v>150</v>
      </c>
    </row>
    <row r="68" spans="1:50" x14ac:dyDescent="0.25">
      <c r="A68" t="s">
        <v>8</v>
      </c>
      <c r="B68" t="s">
        <v>48</v>
      </c>
      <c r="C68">
        <f>VLOOKUP(D1_MAYO_2025[[#This Row],[SUPER]],DATA_MAYO_2025[[SUPERVISOR]:[META]],3,0)</f>
        <v>20000</v>
      </c>
      <c r="D68">
        <f>D1_MAYO_2025[[#This Row],[RECUPERO]]/D1_MAYO_2025[[#This Row],[META]]</f>
        <v>0</v>
      </c>
      <c r="E68" t="s">
        <v>8</v>
      </c>
      <c r="F68" t="s">
        <v>48</v>
      </c>
      <c r="G68">
        <v>0</v>
      </c>
      <c r="H68" t="s">
        <v>421</v>
      </c>
      <c r="I68" s="55">
        <v>44748</v>
      </c>
      <c r="J68" t="s">
        <v>501</v>
      </c>
      <c r="L68" s="55"/>
      <c r="M68" s="1">
        <f>DATA_MAYO_2025[[#This Row],[RECUPERO]]/DATA_MAYO_2025[[#This Row],[META]]</f>
        <v>0.43846153846153846</v>
      </c>
      <c r="N68">
        <f>6-ROUNDUP(_xlfn.RANK.EQ(DATA_MAYO_2025[[#This Row],[AL_AC]],DATA_MAYO_2025[AL_AC],0)/(COUNTA(DATA_MAYO_2025[AL_AC])/5),0)</f>
        <v>3</v>
      </c>
      <c r="O68" t="s">
        <v>3</v>
      </c>
      <c r="P68" s="6">
        <f>SUM(DATA_MAYO_2025[[#This Row],[1]:[31]])</f>
        <v>28500</v>
      </c>
      <c r="Q68">
        <v>65000</v>
      </c>
      <c r="R68" t="s">
        <v>107</v>
      </c>
      <c r="T68">
        <v>800</v>
      </c>
      <c r="W68">
        <v>9000</v>
      </c>
      <c r="AD68">
        <v>7200</v>
      </c>
      <c r="AK68">
        <v>1000</v>
      </c>
      <c r="AN68">
        <v>700</v>
      </c>
      <c r="AV68">
        <v>9000</v>
      </c>
      <c r="AW68">
        <v>800</v>
      </c>
      <c r="AX68" t="s">
        <v>150</v>
      </c>
    </row>
    <row r="69" spans="1:50" x14ac:dyDescent="0.25">
      <c r="A69" t="s">
        <v>9</v>
      </c>
      <c r="B69" t="s">
        <v>15</v>
      </c>
      <c r="C69">
        <f>VLOOKUP(D1_MAYO_2025[[#This Row],[SUPER]],DATA_MAYO_2025[[SUPERVISOR]:[META]],3,0)</f>
        <v>20000</v>
      </c>
      <c r="D69">
        <f>D1_MAYO_2025[[#This Row],[RECUPERO]]/D1_MAYO_2025[[#This Row],[META]]</f>
        <v>0.48</v>
      </c>
      <c r="E69" t="s">
        <v>9</v>
      </c>
      <c r="F69" t="s">
        <v>15</v>
      </c>
      <c r="G69">
        <v>9600</v>
      </c>
      <c r="H69" t="s">
        <v>410</v>
      </c>
      <c r="I69" s="55">
        <v>44735</v>
      </c>
      <c r="J69" t="s">
        <v>501</v>
      </c>
      <c r="L69" s="55"/>
      <c r="M69" s="1">
        <f>DATA_MAYO_2025[[#This Row],[RECUPERO]]/DATA_MAYO_2025[[#This Row],[META]]</f>
        <v>0.69013999999999998</v>
      </c>
      <c r="N69">
        <f>6-ROUNDUP(_xlfn.RANK.EQ(DATA_MAYO_2025[[#This Row],[AL_AC]],DATA_MAYO_2025[AL_AC],0)/(COUNTA(DATA_MAYO_2025[AL_AC])/5),0)</f>
        <v>4</v>
      </c>
      <c r="O69" t="s">
        <v>2</v>
      </c>
      <c r="P69" s="6">
        <f>SUM(DATA_MAYO_2025[[#This Row],[1]:[31]])</f>
        <v>44859.1</v>
      </c>
      <c r="Q69">
        <v>65000</v>
      </c>
      <c r="R69" t="s">
        <v>11</v>
      </c>
      <c r="S69">
        <v>800</v>
      </c>
      <c r="T69">
        <v>100</v>
      </c>
      <c r="W69">
        <v>6318</v>
      </c>
      <c r="X69">
        <v>688</v>
      </c>
      <c r="Y69">
        <v>523</v>
      </c>
      <c r="Z69">
        <v>261</v>
      </c>
      <c r="AA69">
        <v>5587</v>
      </c>
      <c r="AE69">
        <v>700</v>
      </c>
      <c r="AG69">
        <v>7000.1</v>
      </c>
      <c r="AH69">
        <v>700</v>
      </c>
      <c r="AK69">
        <v>4150</v>
      </c>
      <c r="AL69">
        <v>7300</v>
      </c>
      <c r="AM69">
        <v>1201</v>
      </c>
      <c r="AO69">
        <v>997</v>
      </c>
      <c r="AT69">
        <v>400</v>
      </c>
      <c r="AV69">
        <v>1624</v>
      </c>
      <c r="AW69">
        <v>6510</v>
      </c>
      <c r="AX69" t="s">
        <v>150</v>
      </c>
    </row>
    <row r="70" spans="1:50" x14ac:dyDescent="0.25">
      <c r="A70" t="s">
        <v>9</v>
      </c>
      <c r="B70" t="s">
        <v>104</v>
      </c>
      <c r="C70">
        <f>VLOOKUP(D1_MAYO_2025[[#This Row],[SUPER]],DATA_MAYO_2025[[SUPERVISOR]:[META]],3,0)</f>
        <v>20000</v>
      </c>
      <c r="D70">
        <f>D1_MAYO_2025[[#This Row],[RECUPERO]]/D1_MAYO_2025[[#This Row],[META]]</f>
        <v>0.25785000000000002</v>
      </c>
      <c r="E70" t="s">
        <v>9</v>
      </c>
      <c r="F70" t="s">
        <v>104</v>
      </c>
      <c r="G70">
        <v>5157</v>
      </c>
      <c r="H70" t="s">
        <v>456</v>
      </c>
      <c r="I70" s="55">
        <v>44104</v>
      </c>
      <c r="J70" t="s">
        <v>501</v>
      </c>
      <c r="L70" s="55"/>
      <c r="M70" s="1">
        <f>DATA_MAYO_2025[[#This Row],[RECUPERO]]/DATA_MAYO_2025[[#This Row],[META]]</f>
        <v>0.13</v>
      </c>
      <c r="N70">
        <f>6-ROUNDUP(_xlfn.RANK.EQ(DATA_MAYO_2025[[#This Row],[AL_AC]],DATA_MAYO_2025[AL_AC],0)/(COUNTA(DATA_MAYO_2025[AL_AC])/5),0)</f>
        <v>1</v>
      </c>
      <c r="O70" t="s">
        <v>9</v>
      </c>
      <c r="P70" s="6">
        <f>SUM(DATA_MAYO_2025[[#This Row],[1]:[31]])</f>
        <v>2600</v>
      </c>
      <c r="Q70">
        <v>20000</v>
      </c>
      <c r="R70" t="s">
        <v>132</v>
      </c>
      <c r="AL70">
        <v>300</v>
      </c>
      <c r="AN70">
        <v>2000</v>
      </c>
      <c r="AW70">
        <v>300</v>
      </c>
      <c r="AX70" t="s">
        <v>153</v>
      </c>
    </row>
    <row r="71" spans="1:50" x14ac:dyDescent="0.25">
      <c r="A71" t="s">
        <v>9</v>
      </c>
      <c r="B71" t="s">
        <v>51</v>
      </c>
      <c r="C71">
        <f>VLOOKUP(D1_MAYO_2025[[#This Row],[SUPER]],DATA_MAYO_2025[[SUPERVISOR]:[META]],3,0)</f>
        <v>20000</v>
      </c>
      <c r="D71">
        <f>D1_MAYO_2025[[#This Row],[RECUPERO]]/D1_MAYO_2025[[#This Row],[META]]</f>
        <v>0.35515000000000002</v>
      </c>
      <c r="E71" t="s">
        <v>9</v>
      </c>
      <c r="F71" t="s">
        <v>51</v>
      </c>
      <c r="G71">
        <v>7103</v>
      </c>
      <c r="H71" t="s">
        <v>413</v>
      </c>
      <c r="I71" s="55">
        <v>45674</v>
      </c>
      <c r="J71" t="s">
        <v>501</v>
      </c>
      <c r="L71" s="55"/>
      <c r="M71" s="1">
        <f>DATA_MAYO_2025[[#This Row],[RECUPERO]]/DATA_MAYO_2025[[#This Row],[META]]</f>
        <v>0.36037449999999999</v>
      </c>
      <c r="N71">
        <f>6-ROUNDUP(_xlfn.RANK.EQ(DATA_MAYO_2025[[#This Row],[AL_AC]],DATA_MAYO_2025[AL_AC],0)/(COUNTA(DATA_MAYO_2025[AL_AC])/5),0)</f>
        <v>2</v>
      </c>
      <c r="O71" t="s">
        <v>125</v>
      </c>
      <c r="P71" s="6">
        <f>SUM(DATA_MAYO_2025[[#This Row],[1]:[31]])</f>
        <v>7207.49</v>
      </c>
      <c r="Q71">
        <v>20000</v>
      </c>
      <c r="R71" t="s">
        <v>74</v>
      </c>
      <c r="T71">
        <v>150</v>
      </c>
      <c r="X71">
        <v>100</v>
      </c>
      <c r="Y71">
        <v>200</v>
      </c>
      <c r="Z71">
        <v>333.44</v>
      </c>
      <c r="AA71">
        <v>451</v>
      </c>
      <c r="AE71">
        <v>153</v>
      </c>
      <c r="AF71">
        <v>744.05</v>
      </c>
      <c r="AG71">
        <v>449</v>
      </c>
      <c r="AK71">
        <v>150</v>
      </c>
      <c r="AL71">
        <v>550</v>
      </c>
      <c r="AN71">
        <v>255</v>
      </c>
      <c r="AP71">
        <v>198</v>
      </c>
      <c r="AR71">
        <v>400</v>
      </c>
      <c r="AS71">
        <v>260</v>
      </c>
      <c r="AT71">
        <v>1200</v>
      </c>
      <c r="AU71">
        <v>542</v>
      </c>
      <c r="AV71">
        <v>816</v>
      </c>
      <c r="AW71">
        <v>256</v>
      </c>
      <c r="AX71" t="s">
        <v>153</v>
      </c>
    </row>
    <row r="72" spans="1:50" x14ac:dyDescent="0.25">
      <c r="A72" t="s">
        <v>9</v>
      </c>
      <c r="B72" t="s">
        <v>32</v>
      </c>
      <c r="C72">
        <f>VLOOKUP(D1_MAYO_2025[[#This Row],[SUPER]],DATA_MAYO_2025[[SUPERVISOR]:[META]],3,0)</f>
        <v>20000</v>
      </c>
      <c r="D72">
        <f>D1_MAYO_2025[[#This Row],[RECUPERO]]/D1_MAYO_2025[[#This Row],[META]]</f>
        <v>0.38940000000000002</v>
      </c>
      <c r="E72" t="s">
        <v>9</v>
      </c>
      <c r="F72" t="s">
        <v>32</v>
      </c>
      <c r="G72">
        <v>7788</v>
      </c>
      <c r="H72" t="s">
        <v>390</v>
      </c>
      <c r="I72" s="55">
        <v>45530</v>
      </c>
      <c r="J72" t="s">
        <v>501</v>
      </c>
      <c r="L72" s="55"/>
      <c r="M72" s="1">
        <f>DATA_MAYO_2025[[#This Row],[RECUPERO]]/DATA_MAYO_2025[[#This Row],[META]]</f>
        <v>0.11615384615384615</v>
      </c>
      <c r="N72">
        <f>6-ROUNDUP(_xlfn.RANK.EQ(DATA_MAYO_2025[[#This Row],[AL_AC]],DATA_MAYO_2025[AL_AC],0)/(COUNTA(DATA_MAYO_2025[AL_AC])/5),0)</f>
        <v>1</v>
      </c>
      <c r="O72" t="s">
        <v>5</v>
      </c>
      <c r="P72" s="6">
        <f>SUM(DATA_MAYO_2025[[#This Row],[1]:[31]])</f>
        <v>7550</v>
      </c>
      <c r="Q72">
        <v>65000</v>
      </c>
      <c r="R72" t="s">
        <v>79</v>
      </c>
      <c r="AL72">
        <v>460</v>
      </c>
      <c r="AM72">
        <v>3500</v>
      </c>
      <c r="AN72">
        <v>200</v>
      </c>
      <c r="AP72">
        <v>700</v>
      </c>
      <c r="AR72">
        <v>800</v>
      </c>
      <c r="AV72">
        <v>790</v>
      </c>
      <c r="AW72">
        <v>1100</v>
      </c>
      <c r="AX72" t="s">
        <v>150</v>
      </c>
    </row>
    <row r="73" spans="1:50" x14ac:dyDescent="0.25">
      <c r="A73" t="s">
        <v>9</v>
      </c>
      <c r="B73" t="s">
        <v>71</v>
      </c>
      <c r="C73">
        <f>VLOOKUP(D1_MAYO_2025[[#This Row],[SUPER]],DATA_MAYO_2025[[SUPERVISOR]:[META]],3,0)</f>
        <v>20000</v>
      </c>
      <c r="D73">
        <f>D1_MAYO_2025[[#This Row],[RECUPERO]]/D1_MAYO_2025[[#This Row],[META]]</f>
        <v>0.72409999999999997</v>
      </c>
      <c r="E73" t="s">
        <v>9</v>
      </c>
      <c r="F73" t="s">
        <v>71</v>
      </c>
      <c r="G73">
        <v>14482</v>
      </c>
      <c r="H73" t="s">
        <v>414</v>
      </c>
      <c r="I73" s="55">
        <v>45423</v>
      </c>
      <c r="J73" t="s">
        <v>501</v>
      </c>
      <c r="L73" s="55"/>
      <c r="M73" s="1">
        <f>DATA_MAYO_2025[[#This Row],[RECUPERO]]/DATA_MAYO_2025[[#This Row],[META]]</f>
        <v>0.81130738461538465</v>
      </c>
      <c r="N73">
        <f>6-ROUNDUP(_xlfn.RANK.EQ(DATA_MAYO_2025[[#This Row],[AL_AC]],DATA_MAYO_2025[AL_AC],0)/(COUNTA(DATA_MAYO_2025[AL_AC])/5),0)</f>
        <v>5</v>
      </c>
      <c r="O73" t="s">
        <v>4</v>
      </c>
      <c r="P73" s="6">
        <f>SUM(DATA_MAYO_2025[[#This Row],[1]:[31]])</f>
        <v>52734.98</v>
      </c>
      <c r="Q73">
        <v>65000</v>
      </c>
      <c r="R73" t="s">
        <v>59</v>
      </c>
      <c r="T73">
        <v>6500</v>
      </c>
      <c r="X73">
        <v>265</v>
      </c>
      <c r="Y73">
        <v>200</v>
      </c>
      <c r="AA73">
        <v>1155</v>
      </c>
      <c r="AE73">
        <v>100</v>
      </c>
      <c r="AF73">
        <v>979.58</v>
      </c>
      <c r="AG73">
        <v>1613</v>
      </c>
      <c r="AH73">
        <v>12400.5</v>
      </c>
      <c r="AJ73">
        <v>3500</v>
      </c>
      <c r="AK73">
        <v>1000</v>
      </c>
      <c r="AN73">
        <v>700</v>
      </c>
      <c r="AO73">
        <v>750</v>
      </c>
      <c r="AR73">
        <v>5088.8999999999996</v>
      </c>
      <c r="AS73">
        <v>4400</v>
      </c>
      <c r="AT73">
        <v>700</v>
      </c>
      <c r="AU73">
        <v>7950</v>
      </c>
      <c r="AV73">
        <v>5227</v>
      </c>
      <c r="AW73">
        <v>206</v>
      </c>
      <c r="AX73" t="s">
        <v>150</v>
      </c>
    </row>
    <row r="74" spans="1:50" x14ac:dyDescent="0.25">
      <c r="A74" t="s">
        <v>9</v>
      </c>
      <c r="B74" t="s">
        <v>49</v>
      </c>
      <c r="C74">
        <f>VLOOKUP(D1_MAYO_2025[[#This Row],[SUPER]],DATA_MAYO_2025[[SUPERVISOR]:[META]],3,0)</f>
        <v>20000</v>
      </c>
      <c r="D74">
        <f>D1_MAYO_2025[[#This Row],[RECUPERO]]/D1_MAYO_2025[[#This Row],[META]]</f>
        <v>0.18375</v>
      </c>
      <c r="E74" t="s">
        <v>9</v>
      </c>
      <c r="F74" t="s">
        <v>49</v>
      </c>
      <c r="G74">
        <v>3675</v>
      </c>
      <c r="H74" t="s">
        <v>436</v>
      </c>
      <c r="I74" s="55">
        <v>42814</v>
      </c>
      <c r="J74" t="s">
        <v>501</v>
      </c>
      <c r="L74" s="55"/>
      <c r="M74" s="1">
        <f>DATA_MAYO_2025[[#This Row],[RECUPERO]]/DATA_MAYO_2025[[#This Row],[META]]</f>
        <v>0.01</v>
      </c>
      <c r="N74">
        <f>6-ROUNDUP(_xlfn.RANK.EQ(DATA_MAYO_2025[[#This Row],[AL_AC]],DATA_MAYO_2025[AL_AC],0)/(COUNTA(DATA_MAYO_2025[AL_AC])/5),0)</f>
        <v>1</v>
      </c>
      <c r="O74" t="s">
        <v>9</v>
      </c>
      <c r="P74" s="6">
        <f>SUM(DATA_MAYO_2025[[#This Row],[1]:[31]])</f>
        <v>200</v>
      </c>
      <c r="Q74">
        <v>20000</v>
      </c>
      <c r="R74" t="s">
        <v>84</v>
      </c>
      <c r="AR74">
        <v>200</v>
      </c>
      <c r="AX74" t="s">
        <v>153</v>
      </c>
    </row>
    <row r="75" spans="1:50" x14ac:dyDescent="0.25">
      <c r="A75" t="s">
        <v>9</v>
      </c>
      <c r="B75" t="s">
        <v>132</v>
      </c>
      <c r="C75">
        <f>VLOOKUP(D1_MAYO_2025[[#This Row],[SUPER]],DATA_MAYO_2025[[SUPERVISOR]:[META]],3,0)</f>
        <v>20000</v>
      </c>
      <c r="D75">
        <f>D1_MAYO_2025[[#This Row],[RECUPERO]]/D1_MAYO_2025[[#This Row],[META]]</f>
        <v>0.13</v>
      </c>
      <c r="E75" t="s">
        <v>9</v>
      </c>
      <c r="F75" t="s">
        <v>132</v>
      </c>
      <c r="G75">
        <v>2600</v>
      </c>
      <c r="H75" t="s">
        <v>472</v>
      </c>
      <c r="I75" s="55">
        <v>45800</v>
      </c>
      <c r="J75" t="s">
        <v>501</v>
      </c>
      <c r="L75" s="55"/>
      <c r="M75" s="1">
        <f>DATA_MAYO_2025[[#This Row],[RECUPERO]]/DATA_MAYO_2025[[#This Row],[META]]</f>
        <v>7.6923076923076927E-3</v>
      </c>
      <c r="N75">
        <f>6-ROUNDUP(_xlfn.RANK.EQ(DATA_MAYO_2025[[#This Row],[AL_AC]],DATA_MAYO_2025[AL_AC],0)/(COUNTA(DATA_MAYO_2025[AL_AC])/5),0)</f>
        <v>1</v>
      </c>
      <c r="O75" t="s">
        <v>3</v>
      </c>
      <c r="P75" s="6">
        <f>SUM(DATA_MAYO_2025[[#This Row],[1]:[31]])</f>
        <v>500</v>
      </c>
      <c r="Q75">
        <v>65000</v>
      </c>
      <c r="R75" t="s">
        <v>103</v>
      </c>
      <c r="S75">
        <v>500</v>
      </c>
      <c r="AX75" t="s">
        <v>150</v>
      </c>
    </row>
    <row r="76" spans="1:50" x14ac:dyDescent="0.25">
      <c r="A76" t="s">
        <v>9</v>
      </c>
      <c r="B76" t="s">
        <v>84</v>
      </c>
      <c r="C76">
        <f>VLOOKUP(D1_MAYO_2025[[#This Row],[SUPER]],DATA_MAYO_2025[[SUPERVISOR]:[META]],3,0)</f>
        <v>20000</v>
      </c>
      <c r="D76">
        <f>D1_MAYO_2025[[#This Row],[RECUPERO]]/D1_MAYO_2025[[#This Row],[META]]</f>
        <v>0.01</v>
      </c>
      <c r="E76" t="s">
        <v>9</v>
      </c>
      <c r="F76" t="s">
        <v>84</v>
      </c>
      <c r="G76">
        <v>200</v>
      </c>
      <c r="H76" t="s">
        <v>473</v>
      </c>
      <c r="I76" s="55">
        <v>45800</v>
      </c>
      <c r="J76" t="s">
        <v>501</v>
      </c>
      <c r="L76" s="55"/>
      <c r="M76" s="1">
        <f>DATA_MAYO_2025[[#This Row],[RECUPERO]]/DATA_MAYO_2025[[#This Row],[META]]</f>
        <v>0.57524649999999999</v>
      </c>
      <c r="N76">
        <f>6-ROUNDUP(_xlfn.RANK.EQ(DATA_MAYO_2025[[#This Row],[AL_AC]],DATA_MAYO_2025[AL_AC],0)/(COUNTA(DATA_MAYO_2025[AL_AC])/5),0)</f>
        <v>4</v>
      </c>
      <c r="O76" t="s">
        <v>9</v>
      </c>
      <c r="P76" s="6">
        <f>SUM(DATA_MAYO_2025[[#This Row],[1]:[31]])</f>
        <v>11504.93</v>
      </c>
      <c r="Q76">
        <v>20000</v>
      </c>
      <c r="R76" t="s">
        <v>73</v>
      </c>
      <c r="T76">
        <v>700</v>
      </c>
      <c r="X76">
        <v>200</v>
      </c>
      <c r="Z76">
        <v>360</v>
      </c>
      <c r="AD76">
        <v>924.93</v>
      </c>
      <c r="AF76">
        <v>200</v>
      </c>
      <c r="AG76">
        <v>1000</v>
      </c>
      <c r="AH76">
        <v>500</v>
      </c>
      <c r="AK76">
        <v>5500</v>
      </c>
      <c r="AR76">
        <v>490</v>
      </c>
      <c r="AU76">
        <v>200</v>
      </c>
      <c r="AV76">
        <v>1230</v>
      </c>
      <c r="AW76">
        <v>200</v>
      </c>
      <c r="AX76" t="s">
        <v>153</v>
      </c>
    </row>
    <row r="77" spans="1:50" x14ac:dyDescent="0.25">
      <c r="A77" t="s">
        <v>9</v>
      </c>
      <c r="B77" t="s">
        <v>73</v>
      </c>
      <c r="C77">
        <f>VLOOKUP(D1_MAYO_2025[[#This Row],[SUPER]],DATA_MAYO_2025[[SUPERVISOR]:[META]],3,0)</f>
        <v>20000</v>
      </c>
      <c r="D77">
        <f>D1_MAYO_2025[[#This Row],[RECUPERO]]/D1_MAYO_2025[[#This Row],[META]]</f>
        <v>0.57524649999999999</v>
      </c>
      <c r="E77" t="s">
        <v>9</v>
      </c>
      <c r="F77" t="s">
        <v>73</v>
      </c>
      <c r="G77">
        <v>11504.93</v>
      </c>
      <c r="H77" t="s">
        <v>420</v>
      </c>
      <c r="I77" s="55">
        <v>45145</v>
      </c>
      <c r="J77" t="s">
        <v>501</v>
      </c>
      <c r="L77" s="55"/>
      <c r="M77" s="1">
        <f>DATA_MAYO_2025[[#This Row],[RECUPERO]]/DATA_MAYO_2025[[#This Row],[META]]</f>
        <v>0</v>
      </c>
      <c r="N77">
        <f>6-ROUNDUP(_xlfn.RANK.EQ(DATA_MAYO_2025[[#This Row],[AL_AC]],DATA_MAYO_2025[AL_AC],0)/(COUNTA(DATA_MAYO_2025[AL_AC])/5),0)</f>
        <v>1</v>
      </c>
      <c r="O77" t="s">
        <v>2</v>
      </c>
      <c r="P77" s="6">
        <f>SUM(DATA_MAYO_2025[[#This Row],[1]:[31]])</f>
        <v>0</v>
      </c>
      <c r="Q77">
        <v>65000</v>
      </c>
      <c r="R77" t="s">
        <v>86</v>
      </c>
      <c r="AX77" t="s">
        <v>150</v>
      </c>
    </row>
    <row r="78" spans="1:50" x14ac:dyDescent="0.25">
      <c r="A78" t="s">
        <v>9</v>
      </c>
      <c r="B78" t="s">
        <v>78</v>
      </c>
      <c r="C78">
        <f>VLOOKUP(D1_MAYO_2025[[#This Row],[SUPER]],DATA_MAYO_2025[[SUPERVISOR]:[META]],3,0)</f>
        <v>20000</v>
      </c>
      <c r="D78">
        <f>D1_MAYO_2025[[#This Row],[RECUPERO]]/D1_MAYO_2025[[#This Row],[META]]</f>
        <v>0.45224999999999999</v>
      </c>
      <c r="E78" t="s">
        <v>9</v>
      </c>
      <c r="F78" t="s">
        <v>78</v>
      </c>
      <c r="G78">
        <v>9045</v>
      </c>
      <c r="H78" t="s">
        <v>397</v>
      </c>
      <c r="I78" s="55">
        <v>44945</v>
      </c>
      <c r="J78" t="s">
        <v>501</v>
      </c>
      <c r="L78" s="55"/>
      <c r="M78" s="1">
        <f>DATA_MAYO_2025[[#This Row],[RECUPERO]]/DATA_MAYO_2025[[#This Row],[META]]</f>
        <v>1.8238461538461539</v>
      </c>
      <c r="N78">
        <f>6-ROUNDUP(_xlfn.RANK.EQ(DATA_MAYO_2025[[#This Row],[AL_AC]],DATA_MAYO_2025[AL_AC],0)/(COUNTA(DATA_MAYO_2025[AL_AC])/5),0)</f>
        <v>5</v>
      </c>
      <c r="O78" t="s">
        <v>6</v>
      </c>
      <c r="P78" s="6">
        <f>SUM(DATA_MAYO_2025[[#This Row],[1]:[31]])</f>
        <v>47420</v>
      </c>
      <c r="Q78">
        <v>26000</v>
      </c>
      <c r="R78" t="s">
        <v>34</v>
      </c>
      <c r="W78">
        <v>1000</v>
      </c>
      <c r="X78">
        <v>500</v>
      </c>
      <c r="Z78">
        <v>5500</v>
      </c>
      <c r="AE78">
        <v>4000</v>
      </c>
      <c r="AF78">
        <v>250</v>
      </c>
      <c r="AK78">
        <v>30100</v>
      </c>
      <c r="AL78">
        <v>370</v>
      </c>
      <c r="AO78">
        <v>4000</v>
      </c>
      <c r="AR78">
        <v>500</v>
      </c>
      <c r="AV78">
        <v>1200</v>
      </c>
      <c r="AX78" t="s">
        <v>152</v>
      </c>
    </row>
    <row r="79" spans="1:50" x14ac:dyDescent="0.25">
      <c r="M79" s="1">
        <f>DATA_MAYO_2025[[#This Row],[RECUPERO]]/DATA_MAYO_2025[[#This Row],[META]]</f>
        <v>0.45224999999999999</v>
      </c>
      <c r="N79">
        <f>6-ROUNDUP(_xlfn.RANK.EQ(DATA_MAYO_2025[[#This Row],[AL_AC]],DATA_MAYO_2025[AL_AC],0)/(COUNTA(DATA_MAYO_2025[AL_AC])/5),0)</f>
        <v>3</v>
      </c>
      <c r="O79" t="s">
        <v>9</v>
      </c>
      <c r="P79" s="6">
        <f>SUM(DATA_MAYO_2025[[#This Row],[1]:[31]])</f>
        <v>9045</v>
      </c>
      <c r="Q79">
        <v>20000</v>
      </c>
      <c r="R79" t="s">
        <v>78</v>
      </c>
      <c r="T79">
        <v>270</v>
      </c>
      <c r="W79">
        <v>300</v>
      </c>
      <c r="AE79">
        <v>400</v>
      </c>
      <c r="AG79">
        <v>100</v>
      </c>
      <c r="AH79">
        <v>600</v>
      </c>
      <c r="AO79">
        <v>200</v>
      </c>
      <c r="AU79">
        <v>2910</v>
      </c>
      <c r="AV79">
        <v>1410</v>
      </c>
      <c r="AW79">
        <v>2855</v>
      </c>
      <c r="AX79" t="s">
        <v>153</v>
      </c>
    </row>
    <row r="80" spans="1:50" x14ac:dyDescent="0.25">
      <c r="M80" s="1">
        <f>DATA_MAYO_2025[[#This Row],[RECUPERO]]/DATA_MAYO_2025[[#This Row],[META]]</f>
        <v>0</v>
      </c>
      <c r="N80">
        <f>6-ROUNDUP(_xlfn.RANK.EQ(DATA_MAYO_2025[[#This Row],[AL_AC]],DATA_MAYO_2025[AL_AC],0)/(COUNTA(DATA_MAYO_2025[AL_AC])/5),0)</f>
        <v>1</v>
      </c>
      <c r="O80" t="s">
        <v>8</v>
      </c>
      <c r="P80" s="6">
        <f>SUM(DATA_MAYO_2025[[#This Row],[1]:[31]])</f>
        <v>0</v>
      </c>
      <c r="Q80">
        <v>20000</v>
      </c>
      <c r="R80" t="s">
        <v>48</v>
      </c>
      <c r="AX80" t="s">
        <v>153</v>
      </c>
    </row>
    <row r="81" spans="13:50" x14ac:dyDescent="0.25">
      <c r="M81" s="1">
        <f>DATA_MAYO_2025[[#This Row],[RECUPERO]]/DATA_MAYO_2025[[#This Row],[META]]</f>
        <v>0.25473076923076921</v>
      </c>
      <c r="N81">
        <f>6-ROUNDUP(_xlfn.RANK.EQ(DATA_MAYO_2025[[#This Row],[AL_AC]],DATA_MAYO_2025[AL_AC],0)/(COUNTA(DATA_MAYO_2025[AL_AC])/5),0)</f>
        <v>2</v>
      </c>
      <c r="O81" t="s">
        <v>2</v>
      </c>
      <c r="P81" s="6">
        <f>SUM(DATA_MAYO_2025[[#This Row],[1]:[31]])</f>
        <v>16557.5</v>
      </c>
      <c r="Q81">
        <v>65000</v>
      </c>
      <c r="R81" t="s">
        <v>10</v>
      </c>
      <c r="AK81">
        <v>200</v>
      </c>
      <c r="AL81">
        <v>350</v>
      </c>
      <c r="AM81">
        <v>1500</v>
      </c>
      <c r="AO81">
        <v>485</v>
      </c>
      <c r="AS81">
        <v>4100</v>
      </c>
      <c r="AU81">
        <v>600</v>
      </c>
      <c r="AV81">
        <v>9322.5</v>
      </c>
      <c r="AX81" t="s">
        <v>150</v>
      </c>
    </row>
    <row r="82" spans="13:50" x14ac:dyDescent="0.25">
      <c r="M82" s="1">
        <f>DATA_MAYO_2025[[#This Row],[RECUPERO]]/DATA_MAYO_2025[[#This Row],[META]]</f>
        <v>1.3963318461538463</v>
      </c>
      <c r="N82">
        <f>6-ROUNDUP(_xlfn.RANK.EQ(DATA_MAYO_2025[[#This Row],[AL_AC]],DATA_MAYO_2025[AL_AC],0)/(COUNTA(DATA_MAYO_2025[AL_AC])/5),0)</f>
        <v>5</v>
      </c>
      <c r="O82" t="s">
        <v>3</v>
      </c>
      <c r="P82" s="6">
        <f>SUM(DATA_MAYO_2025[[#This Row],[1]:[31]])</f>
        <v>90761.57</v>
      </c>
      <c r="Q82">
        <v>65000</v>
      </c>
      <c r="R82" t="s">
        <v>76</v>
      </c>
      <c r="T82">
        <v>900</v>
      </c>
      <c r="Y82">
        <v>3750</v>
      </c>
      <c r="Z82">
        <v>4200</v>
      </c>
      <c r="AA82">
        <v>1100</v>
      </c>
      <c r="AB82">
        <v>1000</v>
      </c>
      <c r="AD82">
        <v>11000</v>
      </c>
      <c r="AH82">
        <v>3000</v>
      </c>
      <c r="AI82">
        <v>8000</v>
      </c>
      <c r="AK82">
        <v>8638</v>
      </c>
      <c r="AL82">
        <v>8428.57</v>
      </c>
      <c r="AO82">
        <v>320</v>
      </c>
      <c r="AR82">
        <v>22785</v>
      </c>
      <c r="AT82">
        <v>2500</v>
      </c>
      <c r="AU82">
        <v>1940</v>
      </c>
      <c r="AV82">
        <v>10100</v>
      </c>
      <c r="AW82">
        <v>3100</v>
      </c>
      <c r="AX82" t="s">
        <v>150</v>
      </c>
    </row>
    <row r="83" spans="13:50" x14ac:dyDescent="0.25">
      <c r="M83" s="1">
        <f>DATA_MAYO_2025[[#This Row],[RECUPERO]]/DATA_MAYO_2025[[#This Row],[META]]</f>
        <v>0.71299999999999997</v>
      </c>
      <c r="N83">
        <f>6-ROUNDUP(_xlfn.RANK.EQ(DATA_MAYO_2025[[#This Row],[AL_AC]],DATA_MAYO_2025[AL_AC],0)/(COUNTA(DATA_MAYO_2025[AL_AC])/5),0)</f>
        <v>4</v>
      </c>
      <c r="O83" t="s">
        <v>125</v>
      </c>
      <c r="P83" s="6">
        <f>SUM(DATA_MAYO_2025[[#This Row],[1]:[31]])</f>
        <v>14260</v>
      </c>
      <c r="Q83">
        <v>20000</v>
      </c>
      <c r="R83" t="s">
        <v>39</v>
      </c>
      <c r="T83">
        <v>500</v>
      </c>
      <c r="W83">
        <v>800</v>
      </c>
      <c r="X83">
        <v>100</v>
      </c>
      <c r="AD83">
        <v>2231</v>
      </c>
      <c r="AF83">
        <v>1600</v>
      </c>
      <c r="AG83">
        <v>129</v>
      </c>
      <c r="AH83">
        <v>600</v>
      </c>
      <c r="AM83">
        <v>500</v>
      </c>
      <c r="AN83">
        <v>500</v>
      </c>
      <c r="AP83">
        <v>1800</v>
      </c>
      <c r="AR83">
        <v>3100</v>
      </c>
      <c r="AU83">
        <v>2000</v>
      </c>
      <c r="AV83">
        <v>400</v>
      </c>
      <c r="AX83" t="s">
        <v>153</v>
      </c>
    </row>
    <row r="84" spans="13:50" x14ac:dyDescent="0.25">
      <c r="M84" s="1">
        <f>DATA_MAYO_2025[[#This Row],[RECUPERO]]/DATA_MAYO_2025[[#This Row],[META]]</f>
        <v>0.22220000000000001</v>
      </c>
      <c r="N84">
        <f>6-ROUNDUP(_xlfn.RANK.EQ(DATA_MAYO_2025[[#This Row],[AL_AC]],DATA_MAYO_2025[AL_AC],0)/(COUNTA(DATA_MAYO_2025[AL_AC])/5),0)</f>
        <v>1</v>
      </c>
      <c r="O84" t="s">
        <v>125</v>
      </c>
      <c r="P84" s="6">
        <f>SUM(DATA_MAYO_2025[[#This Row],[1]:[31]])</f>
        <v>4444</v>
      </c>
      <c r="Q84">
        <v>20000</v>
      </c>
      <c r="R84" t="s">
        <v>56</v>
      </c>
      <c r="T84">
        <v>321</v>
      </c>
      <c r="AG84">
        <v>539</v>
      </c>
      <c r="AH84">
        <v>1037</v>
      </c>
      <c r="AI84">
        <v>217</v>
      </c>
      <c r="AS84">
        <v>250</v>
      </c>
      <c r="AT84">
        <v>150</v>
      </c>
      <c r="AU84">
        <v>600</v>
      </c>
      <c r="AV84">
        <v>1330</v>
      </c>
      <c r="AX84" t="s">
        <v>153</v>
      </c>
    </row>
  </sheetData>
  <phoneticPr fontId="2" type="noConversion"/>
  <pageMargins left="0.7" right="0.7" top="0.75" bottom="0.75" header="0.3" footer="0.3"/>
  <tableParts count="4">
    <tablePart r:id="rId1"/>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E5303-5616-48E3-8E4E-AED51FACDE28}">
  <dimension ref="A1:CO83"/>
  <sheetViews>
    <sheetView zoomScale="70" zoomScaleNormal="70" workbookViewId="0">
      <selection activeCell="N8" sqref="N8"/>
    </sheetView>
  </sheetViews>
  <sheetFormatPr baseColWidth="10" defaultRowHeight="15" x14ac:dyDescent="0.25"/>
  <cols>
    <col min="1" max="1" width="13" customWidth="1"/>
    <col min="2" max="2" width="27.28515625" customWidth="1"/>
    <col min="3" max="3" width="11.42578125" bestFit="1" customWidth="1"/>
    <col min="4" max="5" width="17.85546875" customWidth="1"/>
    <col min="6" max="6" width="16" customWidth="1"/>
    <col min="7" max="7" width="14.42578125" customWidth="1"/>
    <col min="8" max="8" width="11.140625" bestFit="1" customWidth="1"/>
    <col min="9" max="9" width="27.85546875" style="55" bestFit="1" customWidth="1"/>
    <col min="10" max="10" width="14.5703125" bestFit="1" customWidth="1"/>
    <col min="11" max="12" width="9.85546875" customWidth="1"/>
    <col min="13" max="13" width="13.140625" customWidth="1"/>
    <col min="14" max="14" width="16" customWidth="1"/>
    <col min="15" max="15" width="27.28515625" customWidth="1"/>
    <col min="16" max="16" width="20.28515625" bestFit="1" customWidth="1"/>
    <col min="19" max="19" width="14"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68" t="s">
        <v>558</v>
      </c>
      <c r="J2" s="58" t="s">
        <v>499</v>
      </c>
      <c r="K2" s="58" t="s">
        <v>567</v>
      </c>
      <c r="L2" s="55"/>
      <c r="M2" s="32" t="s">
        <v>166</v>
      </c>
      <c r="N2" s="32" t="s">
        <v>136</v>
      </c>
      <c r="O2" s="32" t="s">
        <v>205</v>
      </c>
    </row>
    <row r="3" spans="1:93" ht="26.25" x14ac:dyDescent="0.4">
      <c r="A3" s="65" t="s">
        <v>5</v>
      </c>
      <c r="B3" s="65" t="s">
        <v>69</v>
      </c>
      <c r="C3" s="66"/>
      <c r="D3" s="66"/>
      <c r="E3" s="66" t="s">
        <v>5</v>
      </c>
      <c r="F3" s="65" t="s">
        <v>69</v>
      </c>
      <c r="G3" s="65"/>
      <c r="H3" s="65" t="s">
        <v>379</v>
      </c>
      <c r="I3" s="67">
        <v>44459</v>
      </c>
      <c r="J3" s="67" t="s">
        <v>500</v>
      </c>
      <c r="L3" s="55"/>
      <c r="M3" s="33">
        <v>2025</v>
      </c>
      <c r="N3" s="33" t="s">
        <v>144</v>
      </c>
      <c r="O3" s="33">
        <v>21</v>
      </c>
    </row>
    <row r="4" spans="1:93" x14ac:dyDescent="0.25">
      <c r="A4" s="65" t="s">
        <v>2</v>
      </c>
      <c r="B4" s="65" t="s">
        <v>29</v>
      </c>
      <c r="C4" s="66"/>
      <c r="D4" s="66"/>
      <c r="E4" s="66" t="s">
        <v>2</v>
      </c>
      <c r="F4" s="65" t="s">
        <v>29</v>
      </c>
      <c r="G4" s="65"/>
      <c r="H4" s="65" t="s">
        <v>416</v>
      </c>
      <c r="I4" s="67">
        <v>44685</v>
      </c>
      <c r="J4" s="67" t="s">
        <v>500</v>
      </c>
      <c r="L4" s="55"/>
    </row>
    <row r="5" spans="1:93" x14ac:dyDescent="0.25">
      <c r="A5" s="65" t="s">
        <v>8</v>
      </c>
      <c r="B5" s="65" t="s">
        <v>21</v>
      </c>
      <c r="C5" s="66"/>
      <c r="D5" s="66"/>
      <c r="E5" s="66" t="s">
        <v>8</v>
      </c>
      <c r="F5" s="65" t="s">
        <v>21</v>
      </c>
      <c r="G5" s="65"/>
      <c r="H5" s="65" t="s">
        <v>409</v>
      </c>
      <c r="I5" s="67">
        <v>44824</v>
      </c>
      <c r="J5" s="67" t="s">
        <v>500</v>
      </c>
      <c r="L5" s="55"/>
    </row>
    <row r="6" spans="1:93" x14ac:dyDescent="0.25">
      <c r="A6" s="65" t="s">
        <v>6</v>
      </c>
      <c r="B6" s="65" t="s">
        <v>18</v>
      </c>
      <c r="C6" s="66"/>
      <c r="D6" s="66"/>
      <c r="E6" s="66" t="s">
        <v>6</v>
      </c>
      <c r="F6" s="65" t="s">
        <v>18</v>
      </c>
      <c r="G6" s="65"/>
      <c r="H6" s="65" t="s">
        <v>431</v>
      </c>
      <c r="I6" s="67">
        <v>45132</v>
      </c>
      <c r="J6" s="67" t="s">
        <v>500</v>
      </c>
      <c r="L6" s="55"/>
    </row>
    <row r="7" spans="1:93" x14ac:dyDescent="0.25">
      <c r="A7" s="65" t="s">
        <v>125</v>
      </c>
      <c r="B7" s="65" t="s">
        <v>20</v>
      </c>
      <c r="C7" s="66"/>
      <c r="D7" s="66"/>
      <c r="E7" s="66" t="s">
        <v>125</v>
      </c>
      <c r="F7" s="65" t="s">
        <v>20</v>
      </c>
      <c r="G7" s="65"/>
      <c r="H7" s="65" t="s">
        <v>427</v>
      </c>
      <c r="I7" s="67">
        <v>45141</v>
      </c>
      <c r="J7" s="67" t="s">
        <v>500</v>
      </c>
      <c r="L7" s="55"/>
      <c r="CK7" t="s">
        <v>626</v>
      </c>
      <c r="CL7" t="s">
        <v>141</v>
      </c>
      <c r="CM7" t="s">
        <v>142</v>
      </c>
      <c r="CN7" t="s">
        <v>143</v>
      </c>
      <c r="CO7" t="s">
        <v>144</v>
      </c>
    </row>
    <row r="8" spans="1:93" x14ac:dyDescent="0.25">
      <c r="A8" s="65" t="s">
        <v>9</v>
      </c>
      <c r="B8" s="65" t="s">
        <v>71</v>
      </c>
      <c r="C8" s="66"/>
      <c r="D8" s="66"/>
      <c r="E8" s="66" t="s">
        <v>9</v>
      </c>
      <c r="F8" s="65" t="s">
        <v>71</v>
      </c>
      <c r="G8" s="65"/>
      <c r="H8" s="65" t="s">
        <v>414</v>
      </c>
      <c r="I8" s="67">
        <v>45427</v>
      </c>
      <c r="J8" s="67" t="s">
        <v>500</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6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23</v>
      </c>
      <c r="C9">
        <f>VLOOKUP(D1_JUNIO_2025[[#This Row],[SUPER]],DATA_JUNIO_2025[[SUPERVISOR]:[META]],3,0)</f>
        <v>65000</v>
      </c>
      <c r="D9">
        <f>D1_JUNIO_2025[[#This Row],[RECUPERO]]/D1_JUNIO_2025[[#This Row],[META]]</f>
        <v>1.2638</v>
      </c>
      <c r="E9" t="s">
        <v>3</v>
      </c>
      <c r="F9" t="s">
        <v>23</v>
      </c>
      <c r="G9">
        <v>82147</v>
      </c>
      <c r="H9" t="s">
        <v>445</v>
      </c>
      <c r="I9" s="55">
        <v>44111</v>
      </c>
      <c r="J9" t="s">
        <v>501</v>
      </c>
      <c r="L9" s="55"/>
      <c r="M9" s="1">
        <f>DATA_JUNIO_2025[[#This Row],[RECUPERO]]/DATA_JUNIO_2025[[#This Row],[META]]</f>
        <v>0.87016923076923081</v>
      </c>
      <c r="N9">
        <f>6-ROUNDUP(_xlfn.RANK.EQ(DATA_JUNIO_2025[[#This Row],[AL_AC]],DATA_JUNIO_2025[AL_AC],0)/(COUNTA(DATA_JUNIO_2025[AL_AC])/5),0)</f>
        <v>5</v>
      </c>
      <c r="O9" t="s">
        <v>5</v>
      </c>
      <c r="P9">
        <f>SUM(DATA_JUNIO_2025[[#This Row],[1]:[31]])</f>
        <v>56561</v>
      </c>
      <c r="Q9">
        <v>65000</v>
      </c>
      <c r="R9" t="s">
        <v>58</v>
      </c>
      <c r="U9">
        <v>6100</v>
      </c>
      <c r="W9">
        <v>9000</v>
      </c>
      <c r="X9">
        <v>4000</v>
      </c>
      <c r="AC9">
        <v>217</v>
      </c>
      <c r="AD9">
        <v>4700</v>
      </c>
      <c r="AH9">
        <v>4700</v>
      </c>
      <c r="AJ9">
        <v>6240</v>
      </c>
      <c r="AK9">
        <v>217</v>
      </c>
      <c r="AL9">
        <v>4500</v>
      </c>
      <c r="AR9">
        <v>1800</v>
      </c>
      <c r="AS9">
        <v>9000</v>
      </c>
      <c r="AV9">
        <v>6087</v>
      </c>
      <c r="AX9" t="s">
        <v>150</v>
      </c>
      <c r="AZ9">
        <v>123200</v>
      </c>
      <c r="BA9" s="11">
        <v>98819.199999999997</v>
      </c>
      <c r="BB9" s="17">
        <f>DITE_JUNIO_2025[[#This Row],[RECUPERO SUPERVISOR]]/DITE_JUNIO_2025[[#This Row],[META SUPER]]</f>
        <v>0.8021038961038961</v>
      </c>
      <c r="BC9" t="s">
        <v>8</v>
      </c>
      <c r="BD9">
        <v>0</v>
      </c>
      <c r="BE9">
        <v>2287</v>
      </c>
      <c r="BF9">
        <v>4730</v>
      </c>
      <c r="BG9">
        <v>8116</v>
      </c>
      <c r="BH9">
        <v>10921</v>
      </c>
      <c r="BI9">
        <v>13560</v>
      </c>
      <c r="BJ9">
        <v>14118</v>
      </c>
      <c r="BK9">
        <v>14118</v>
      </c>
      <c r="BL9">
        <v>15487</v>
      </c>
      <c r="BM9">
        <v>21208</v>
      </c>
      <c r="BN9">
        <v>23114</v>
      </c>
      <c r="BO9">
        <v>23857</v>
      </c>
      <c r="BP9">
        <v>36173</v>
      </c>
      <c r="BQ9">
        <v>36473</v>
      </c>
      <c r="BR9">
        <v>36473</v>
      </c>
      <c r="BS9">
        <v>40084</v>
      </c>
      <c r="BT9">
        <v>41152</v>
      </c>
      <c r="BU9">
        <v>44585</v>
      </c>
      <c r="BV9">
        <v>47752</v>
      </c>
      <c r="BW9">
        <v>64315</v>
      </c>
      <c r="BX9">
        <v>69007.199999999997</v>
      </c>
      <c r="BY9">
        <v>69207.199999999997</v>
      </c>
      <c r="BZ9">
        <v>72497.2</v>
      </c>
      <c r="CA9">
        <v>73687.199999999997</v>
      </c>
      <c r="CB9">
        <v>76811.199999999997</v>
      </c>
      <c r="CC9">
        <v>78603.199999999997</v>
      </c>
      <c r="CD9">
        <v>83778.2</v>
      </c>
      <c r="CE9">
        <v>84578.2</v>
      </c>
      <c r="CF9">
        <v>84578.2</v>
      </c>
      <c r="CG9">
        <v>98819.199999999997</v>
      </c>
      <c r="CH9">
        <v>98819.199999999997</v>
      </c>
      <c r="CI9" s="11" t="s">
        <v>153</v>
      </c>
      <c r="CK9" t="s">
        <v>8</v>
      </c>
      <c r="CL9" t="s">
        <v>115</v>
      </c>
      <c r="CM9" t="s">
        <v>8</v>
      </c>
      <c r="CN9" t="s">
        <v>8</v>
      </c>
      <c r="CO9" t="s">
        <v>8</v>
      </c>
    </row>
    <row r="10" spans="1:93" x14ac:dyDescent="0.25">
      <c r="A10" t="s">
        <v>3</v>
      </c>
      <c r="B10" t="s">
        <v>22</v>
      </c>
      <c r="C10">
        <f>VLOOKUP(D1_JUNIO_2025[[#This Row],[SUPER]],DATA_JUNIO_2025[[SUPERVISOR]:[META]],3,0)</f>
        <v>65000</v>
      </c>
      <c r="D10">
        <f>D1_JUNIO_2025[[#This Row],[RECUPERO]]/D1_JUNIO_2025[[#This Row],[META]]</f>
        <v>0.65742800000000001</v>
      </c>
      <c r="E10" t="s">
        <v>3</v>
      </c>
      <c r="F10" t="s">
        <v>22</v>
      </c>
      <c r="G10">
        <v>42732.82</v>
      </c>
      <c r="H10" t="s">
        <v>442</v>
      </c>
      <c r="I10" s="55">
        <v>45299</v>
      </c>
      <c r="J10" t="s">
        <v>501</v>
      </c>
      <c r="L10" s="55"/>
      <c r="M10" s="1">
        <f>DATA_JUNIO_2025[[#This Row],[RECUPERO]]/DATA_JUNIO_2025[[#This Row],[META]]</f>
        <v>0.54383076923076923</v>
      </c>
      <c r="N10">
        <f>6-ROUNDUP(_xlfn.RANK.EQ(DATA_JUNIO_2025[[#This Row],[AL_AC]],DATA_JUNIO_2025[AL_AC],0)/(COUNTA(DATA_JUNIO_2025[AL_AC])/5),0)</f>
        <v>3</v>
      </c>
      <c r="O10" t="s">
        <v>3</v>
      </c>
      <c r="P10">
        <f>SUM(DATA_JUNIO_2025[[#This Row],[1]:[31]])</f>
        <v>35349</v>
      </c>
      <c r="Q10">
        <v>65000</v>
      </c>
      <c r="R10" t="s">
        <v>109</v>
      </c>
      <c r="T10">
        <v>700</v>
      </c>
      <c r="U10">
        <v>4000</v>
      </c>
      <c r="V10">
        <v>800</v>
      </c>
      <c r="W10">
        <v>10000</v>
      </c>
      <c r="AC10">
        <v>5000</v>
      </c>
      <c r="AH10">
        <v>874</v>
      </c>
      <c r="AL10">
        <v>1000</v>
      </c>
      <c r="AO10">
        <v>362</v>
      </c>
      <c r="AP10">
        <v>7400</v>
      </c>
      <c r="AS10">
        <v>2213</v>
      </c>
      <c r="AV10">
        <v>3000</v>
      </c>
      <c r="AX10" t="s">
        <v>150</v>
      </c>
      <c r="AZ10">
        <v>123200</v>
      </c>
      <c r="BA10" s="11">
        <v>81923.100000000006</v>
      </c>
      <c r="BB10" s="17">
        <f>DITE_JUNIO_2025[[#This Row],[RECUPERO SUPERVISOR]]/DITE_JUNIO_2025[[#This Row],[META SUPER]]</f>
        <v>0.6649602272727273</v>
      </c>
      <c r="BC10" t="s">
        <v>125</v>
      </c>
      <c r="BD10">
        <v>248</v>
      </c>
      <c r="BE10">
        <v>248</v>
      </c>
      <c r="BF10">
        <v>1048.07</v>
      </c>
      <c r="BG10">
        <v>3358.0699999999997</v>
      </c>
      <c r="BH10">
        <v>4803</v>
      </c>
      <c r="BI10">
        <v>7980</v>
      </c>
      <c r="BJ10">
        <v>8480</v>
      </c>
      <c r="BK10">
        <v>8480</v>
      </c>
      <c r="BL10">
        <v>11630</v>
      </c>
      <c r="BM10">
        <v>17558</v>
      </c>
      <c r="BN10">
        <v>23905</v>
      </c>
      <c r="BO10">
        <v>25925</v>
      </c>
      <c r="BP10">
        <v>29710</v>
      </c>
      <c r="BQ10">
        <v>30710</v>
      </c>
      <c r="BR10">
        <v>30710</v>
      </c>
      <c r="BS10">
        <v>32193.599999999999</v>
      </c>
      <c r="BT10">
        <v>36711.599999999999</v>
      </c>
      <c r="BU10">
        <v>40385.599999999999</v>
      </c>
      <c r="BV10">
        <v>41204.6</v>
      </c>
      <c r="BW10">
        <v>46951.6</v>
      </c>
      <c r="BX10">
        <v>47535.6</v>
      </c>
      <c r="BY10">
        <v>47535.6</v>
      </c>
      <c r="BZ10">
        <v>52579.6</v>
      </c>
      <c r="CA10">
        <v>55837.599999999999</v>
      </c>
      <c r="CB10">
        <v>59100.1</v>
      </c>
      <c r="CC10">
        <v>61890.1</v>
      </c>
      <c r="CD10">
        <v>65917.100000000006</v>
      </c>
      <c r="CE10">
        <v>70017.100000000006</v>
      </c>
      <c r="CF10">
        <v>70647.100000000006</v>
      </c>
      <c r="CG10">
        <v>81923.100000000006</v>
      </c>
      <c r="CH10">
        <v>81923.100000000006</v>
      </c>
      <c r="CI10" s="11" t="s">
        <v>153</v>
      </c>
      <c r="CK10" t="s">
        <v>125</v>
      </c>
      <c r="CL10" t="s">
        <v>115</v>
      </c>
      <c r="CM10" t="s">
        <v>125</v>
      </c>
      <c r="CN10" t="s">
        <v>125</v>
      </c>
      <c r="CO10" t="s">
        <v>125</v>
      </c>
    </row>
    <row r="11" spans="1:93" x14ac:dyDescent="0.25">
      <c r="A11" t="s">
        <v>3</v>
      </c>
      <c r="B11" t="s">
        <v>26</v>
      </c>
      <c r="C11">
        <f>VLOOKUP(D1_JUNIO_2025[[#This Row],[SUPER]],DATA_JUNIO_2025[[SUPERVISOR]:[META]],3,0)</f>
        <v>65000</v>
      </c>
      <c r="D11">
        <f>D1_JUNIO_2025[[#This Row],[RECUPERO]]/D1_JUNIO_2025[[#This Row],[META]]</f>
        <v>0.64621538461538464</v>
      </c>
      <c r="E11" t="s">
        <v>3</v>
      </c>
      <c r="F11" t="s">
        <v>26</v>
      </c>
      <c r="G11">
        <v>42004</v>
      </c>
      <c r="H11" t="s">
        <v>391</v>
      </c>
      <c r="I11" s="55">
        <v>44259</v>
      </c>
      <c r="J11" t="s">
        <v>501</v>
      </c>
      <c r="L11" s="55"/>
      <c r="M11" s="1">
        <f>DATA_JUNIO_2025[[#This Row],[RECUPERO]]/DATA_JUNIO_2025[[#This Row],[META]]</f>
        <v>0.2153846153846154</v>
      </c>
      <c r="N11">
        <f>6-ROUNDUP(_xlfn.RANK.EQ(DATA_JUNIO_2025[[#This Row],[AL_AC]],DATA_JUNIO_2025[AL_AC],0)/(COUNTA(DATA_JUNIO_2025[AL_AC])/5),0)</f>
        <v>1</v>
      </c>
      <c r="O11" t="s">
        <v>3</v>
      </c>
      <c r="P11">
        <f>SUM(DATA_JUNIO_2025[[#This Row],[1]:[31]])</f>
        <v>14000</v>
      </c>
      <c r="Q11">
        <v>65000</v>
      </c>
      <c r="R11" t="s">
        <v>54</v>
      </c>
      <c r="AD11">
        <v>1500</v>
      </c>
      <c r="AE11">
        <v>1000</v>
      </c>
      <c r="AF11">
        <v>2500</v>
      </c>
      <c r="AR11">
        <v>5200</v>
      </c>
      <c r="AS11">
        <v>3800</v>
      </c>
      <c r="AX11" t="s">
        <v>150</v>
      </c>
      <c r="AZ11">
        <v>495375</v>
      </c>
      <c r="BA11" s="11">
        <v>305667</v>
      </c>
      <c r="BB11" s="17">
        <f>DITE_JUNIO_2025[[#This Row],[RECUPERO SUPERVISOR]]/DITE_JUNIO_2025[[#This Row],[META SUPER]]</f>
        <v>0.6170416351249054</v>
      </c>
      <c r="BC11" t="s">
        <v>5</v>
      </c>
      <c r="BD11">
        <v>2300</v>
      </c>
      <c r="BE11">
        <v>17212</v>
      </c>
      <c r="BF11">
        <v>30099</v>
      </c>
      <c r="BG11">
        <v>31779</v>
      </c>
      <c r="BH11">
        <v>41979</v>
      </c>
      <c r="BI11">
        <v>51695</v>
      </c>
      <c r="BJ11">
        <v>51827.5</v>
      </c>
      <c r="BK11">
        <v>51827.5</v>
      </c>
      <c r="BL11">
        <v>82457.5</v>
      </c>
      <c r="BM11">
        <v>85757.5</v>
      </c>
      <c r="BN11">
        <v>109016.5</v>
      </c>
      <c r="BO11">
        <v>127049.5</v>
      </c>
      <c r="BP11">
        <v>129049.5</v>
      </c>
      <c r="BQ11">
        <v>134049.5</v>
      </c>
      <c r="BR11">
        <v>134049.5</v>
      </c>
      <c r="BS11">
        <v>151042.5</v>
      </c>
      <c r="BT11">
        <v>163842.5</v>
      </c>
      <c r="BU11">
        <v>171715.5</v>
      </c>
      <c r="BV11">
        <v>177392.5</v>
      </c>
      <c r="BW11">
        <v>201181.5</v>
      </c>
      <c r="BX11">
        <v>201775</v>
      </c>
      <c r="BY11">
        <v>202245</v>
      </c>
      <c r="BZ11">
        <v>206098</v>
      </c>
      <c r="CA11">
        <v>217528</v>
      </c>
      <c r="CB11">
        <v>222788</v>
      </c>
      <c r="CC11">
        <v>253388</v>
      </c>
      <c r="CD11">
        <v>275391</v>
      </c>
      <c r="CE11">
        <v>276011</v>
      </c>
      <c r="CF11">
        <v>276711</v>
      </c>
      <c r="CG11">
        <v>305667</v>
      </c>
      <c r="CH11">
        <v>305667</v>
      </c>
      <c r="CI11" s="11" t="s">
        <v>150</v>
      </c>
      <c r="CK11" t="s">
        <v>5</v>
      </c>
      <c r="CL11" t="s">
        <v>5</v>
      </c>
      <c r="CM11" t="s">
        <v>5</v>
      </c>
      <c r="CN11" t="s">
        <v>5</v>
      </c>
      <c r="CO11" t="s">
        <v>5</v>
      </c>
    </row>
    <row r="12" spans="1:93" x14ac:dyDescent="0.25">
      <c r="A12" t="s">
        <v>3</v>
      </c>
      <c r="B12" t="s">
        <v>25</v>
      </c>
      <c r="C12">
        <f>VLOOKUP(D1_JUNIO_2025[[#This Row],[SUPER]],DATA_JUNIO_2025[[SUPERVISOR]:[META]],3,0)</f>
        <v>65000</v>
      </c>
      <c r="D12">
        <f>D1_JUNIO_2025[[#This Row],[RECUPERO]]/D1_JUNIO_2025[[#This Row],[META]]</f>
        <v>0.61939999999999995</v>
      </c>
      <c r="E12" t="s">
        <v>3</v>
      </c>
      <c r="F12" t="s">
        <v>25</v>
      </c>
      <c r="G12">
        <v>40261</v>
      </c>
      <c r="H12" t="s">
        <v>446</v>
      </c>
      <c r="I12" s="55">
        <v>44820</v>
      </c>
      <c r="J12" t="s">
        <v>501</v>
      </c>
      <c r="L12" s="55"/>
      <c r="M12" s="1">
        <f>DATA_JUNIO_2025[[#This Row],[RECUPERO]]/DATA_JUNIO_2025[[#This Row],[META]]</f>
        <v>1.0038733333333334</v>
      </c>
      <c r="N12">
        <f>6-ROUNDUP(_xlfn.RANK.EQ(DATA_JUNIO_2025[[#This Row],[AL_AC]],DATA_JUNIO_2025[AL_AC],0)/(COUNTA(DATA_JUNIO_2025[AL_AC])/5),0)</f>
        <v>5</v>
      </c>
      <c r="O12" t="s">
        <v>9</v>
      </c>
      <c r="P12">
        <f>SUM(DATA_JUNIO_2025[[#This Row],[1]:[31]])</f>
        <v>15058.1</v>
      </c>
      <c r="Q12">
        <v>15000</v>
      </c>
      <c r="R12" t="s">
        <v>15</v>
      </c>
      <c r="U12">
        <v>2100</v>
      </c>
      <c r="X12">
        <v>120</v>
      </c>
      <c r="AC12">
        <v>4568</v>
      </c>
      <c r="AD12">
        <v>200</v>
      </c>
      <c r="AH12">
        <v>1000</v>
      </c>
      <c r="AJ12">
        <v>70</v>
      </c>
      <c r="AK12">
        <v>1000</v>
      </c>
      <c r="AQ12">
        <v>1200</v>
      </c>
      <c r="AR12">
        <v>500</v>
      </c>
      <c r="AV12">
        <v>4300.1000000000004</v>
      </c>
      <c r="AX12" t="s">
        <v>153</v>
      </c>
      <c r="AZ12">
        <v>495375</v>
      </c>
      <c r="BA12" s="11">
        <v>308880.75</v>
      </c>
      <c r="BB12" s="17">
        <f>DITE_JUNIO_2025[[#This Row],[RECUPERO SUPERVISOR]]/DITE_JUNIO_2025[[#This Row],[META SUPER]]</f>
        <v>0.6235291445874338</v>
      </c>
      <c r="BC12" t="s">
        <v>2</v>
      </c>
      <c r="BD12">
        <v>0</v>
      </c>
      <c r="BE12">
        <v>3800</v>
      </c>
      <c r="BF12">
        <v>6900</v>
      </c>
      <c r="BG12">
        <v>12068</v>
      </c>
      <c r="BH12">
        <v>33268</v>
      </c>
      <c r="BI12">
        <v>45098</v>
      </c>
      <c r="BJ12">
        <v>45098</v>
      </c>
      <c r="BK12">
        <v>45098</v>
      </c>
      <c r="BL12">
        <v>45098</v>
      </c>
      <c r="BM12">
        <v>52016</v>
      </c>
      <c r="BN12">
        <v>58216</v>
      </c>
      <c r="BO12">
        <v>100216</v>
      </c>
      <c r="BP12">
        <v>122534</v>
      </c>
      <c r="BQ12">
        <v>122534</v>
      </c>
      <c r="BR12">
        <v>123009</v>
      </c>
      <c r="BS12">
        <v>126465</v>
      </c>
      <c r="BT12">
        <v>140965</v>
      </c>
      <c r="BU12">
        <v>151065</v>
      </c>
      <c r="BV12">
        <v>151665</v>
      </c>
      <c r="BW12">
        <v>164782</v>
      </c>
      <c r="BX12">
        <v>164782</v>
      </c>
      <c r="BY12">
        <v>166582</v>
      </c>
      <c r="BZ12">
        <v>173292</v>
      </c>
      <c r="CA12">
        <v>178150</v>
      </c>
      <c r="CB12">
        <v>231640</v>
      </c>
      <c r="CC12">
        <v>236655</v>
      </c>
      <c r="CD12">
        <v>269160.75</v>
      </c>
      <c r="CE12">
        <v>273160.75</v>
      </c>
      <c r="CF12">
        <v>273160.75</v>
      </c>
      <c r="CG12">
        <v>308880.75</v>
      </c>
      <c r="CH12">
        <v>308880.75</v>
      </c>
      <c r="CI12" s="11" t="s">
        <v>150</v>
      </c>
      <c r="CK12" t="s">
        <v>2</v>
      </c>
      <c r="CL12" t="s">
        <v>2</v>
      </c>
      <c r="CM12" t="s">
        <v>2</v>
      </c>
      <c r="CN12" t="s">
        <v>2</v>
      </c>
      <c r="CO12" t="s">
        <v>2</v>
      </c>
    </row>
    <row r="13" spans="1:93" x14ac:dyDescent="0.25">
      <c r="A13" t="s">
        <v>3</v>
      </c>
      <c r="B13" t="s">
        <v>76</v>
      </c>
      <c r="C13">
        <f>VLOOKUP(D1_JUNIO_2025[[#This Row],[SUPER]],DATA_JUNIO_2025[[SUPERVISOR]:[META]],3,0)</f>
        <v>65000</v>
      </c>
      <c r="D13">
        <f>D1_JUNIO_2025[[#This Row],[RECUPERO]]/D1_JUNIO_2025[[#This Row],[META]]</f>
        <v>0.61761538461538457</v>
      </c>
      <c r="E13" t="s">
        <v>3</v>
      </c>
      <c r="F13" t="s">
        <v>76</v>
      </c>
      <c r="G13">
        <v>40145</v>
      </c>
      <c r="H13" t="s">
        <v>408</v>
      </c>
      <c r="I13" s="55">
        <v>44819</v>
      </c>
      <c r="J13" t="s">
        <v>501</v>
      </c>
      <c r="L13" s="55"/>
      <c r="M13" s="1">
        <f>DATA_JUNIO_2025[[#This Row],[RECUPERO]]/DATA_JUNIO_2025[[#This Row],[META]]</f>
        <v>5.0866666666666664E-2</v>
      </c>
      <c r="N13">
        <f>6-ROUNDUP(_xlfn.RANK.EQ(DATA_JUNIO_2025[[#This Row],[AL_AC]],DATA_JUNIO_2025[AL_AC],0)/(COUNTA(DATA_JUNIO_2025[AL_AC])/5),0)</f>
        <v>1</v>
      </c>
      <c r="O13" t="s">
        <v>125</v>
      </c>
      <c r="P13">
        <f>SUM(DATA_JUNIO_2025[[#This Row],[1]:[31]])</f>
        <v>763</v>
      </c>
      <c r="Q13">
        <v>15000</v>
      </c>
      <c r="R13" t="s">
        <v>111</v>
      </c>
      <c r="V13">
        <v>300</v>
      </c>
      <c r="AA13">
        <v>300</v>
      </c>
      <c r="AB13">
        <v>163</v>
      </c>
      <c r="AX13" t="s">
        <v>153</v>
      </c>
      <c r="AZ13">
        <v>302800</v>
      </c>
      <c r="BA13" s="11">
        <v>146493</v>
      </c>
      <c r="BB13" s="17">
        <f>DITE_JUNIO_2025[[#This Row],[RECUPERO SUPERVISOR]]/DITE_JUNIO_2025[[#This Row],[META SUPER]]</f>
        <v>0.48379458388375163</v>
      </c>
      <c r="BC13" t="s">
        <v>6</v>
      </c>
      <c r="BD13">
        <v>0</v>
      </c>
      <c r="BE13">
        <v>2950</v>
      </c>
      <c r="BF13">
        <v>7760</v>
      </c>
      <c r="BG13">
        <v>12270</v>
      </c>
      <c r="BH13">
        <v>20140</v>
      </c>
      <c r="BI13">
        <v>23090</v>
      </c>
      <c r="BJ13">
        <v>23090</v>
      </c>
      <c r="BK13">
        <v>23090</v>
      </c>
      <c r="BL13">
        <v>24770</v>
      </c>
      <c r="BM13">
        <v>30470</v>
      </c>
      <c r="BN13">
        <v>33980</v>
      </c>
      <c r="BO13">
        <v>39370</v>
      </c>
      <c r="BP13">
        <v>41166</v>
      </c>
      <c r="BQ13">
        <v>41466</v>
      </c>
      <c r="BR13">
        <v>41466</v>
      </c>
      <c r="BS13">
        <v>45446</v>
      </c>
      <c r="BT13">
        <v>48866</v>
      </c>
      <c r="BU13">
        <v>49666</v>
      </c>
      <c r="BV13">
        <v>56396</v>
      </c>
      <c r="BW13">
        <v>61135</v>
      </c>
      <c r="BX13">
        <v>61135</v>
      </c>
      <c r="BY13">
        <v>61135</v>
      </c>
      <c r="BZ13">
        <v>62985</v>
      </c>
      <c r="CA13">
        <v>66305</v>
      </c>
      <c r="CB13">
        <v>80515</v>
      </c>
      <c r="CC13">
        <v>85995</v>
      </c>
      <c r="CD13">
        <v>104345</v>
      </c>
      <c r="CE13">
        <v>106425</v>
      </c>
      <c r="CF13">
        <v>108592</v>
      </c>
      <c r="CG13">
        <v>146493</v>
      </c>
      <c r="CH13">
        <v>146493</v>
      </c>
      <c r="CI13" s="11" t="s">
        <v>152</v>
      </c>
      <c r="CK13" t="s">
        <v>6</v>
      </c>
      <c r="CL13" t="s">
        <v>6</v>
      </c>
      <c r="CM13" t="s">
        <v>6</v>
      </c>
      <c r="CN13" t="s">
        <v>6</v>
      </c>
      <c r="CO13" t="s">
        <v>6</v>
      </c>
    </row>
    <row r="14" spans="1:93" x14ac:dyDescent="0.25">
      <c r="A14" t="s">
        <v>3</v>
      </c>
      <c r="B14" t="s">
        <v>109</v>
      </c>
      <c r="C14">
        <f>VLOOKUP(D1_JUNIO_2025[[#This Row],[SUPER]],DATA_JUNIO_2025[[SUPERVISOR]:[META]],3,0)</f>
        <v>65000</v>
      </c>
      <c r="D14">
        <f>D1_JUNIO_2025[[#This Row],[RECUPERO]]/D1_JUNIO_2025[[#This Row],[META]]</f>
        <v>0.54383076923076923</v>
      </c>
      <c r="E14" t="s">
        <v>3</v>
      </c>
      <c r="F14" t="s">
        <v>109</v>
      </c>
      <c r="G14">
        <v>35349</v>
      </c>
      <c r="H14" t="s">
        <v>422</v>
      </c>
      <c r="I14" s="55">
        <v>45334</v>
      </c>
      <c r="J14" t="s">
        <v>501</v>
      </c>
      <c r="L14" s="55"/>
      <c r="M14" s="1">
        <f>DATA_JUNIO_2025[[#This Row],[RECUPERO]]/DATA_JUNIO_2025[[#This Row],[META]]</f>
        <v>0.28987692307692309</v>
      </c>
      <c r="N14">
        <f>6-ROUNDUP(_xlfn.RANK.EQ(DATA_JUNIO_2025[[#This Row],[AL_AC]],DATA_JUNIO_2025[AL_AC],0)/(COUNTA(DATA_JUNIO_2025[AL_AC])/5),0)</f>
        <v>2</v>
      </c>
      <c r="O14" t="s">
        <v>5</v>
      </c>
      <c r="P14">
        <f>SUM(DATA_JUNIO_2025[[#This Row],[1]:[31]])</f>
        <v>18842</v>
      </c>
      <c r="Q14">
        <v>65000</v>
      </c>
      <c r="R14" t="s">
        <v>85</v>
      </c>
      <c r="T14">
        <v>200</v>
      </c>
      <c r="U14">
        <v>282</v>
      </c>
      <c r="Y14">
        <v>132.5</v>
      </c>
      <c r="AA14">
        <v>10000</v>
      </c>
      <c r="AH14">
        <v>1000</v>
      </c>
      <c r="AM14">
        <v>132.5</v>
      </c>
      <c r="AP14">
        <v>280</v>
      </c>
      <c r="AQ14">
        <v>600</v>
      </c>
      <c r="AR14">
        <v>1000</v>
      </c>
      <c r="AS14">
        <v>685</v>
      </c>
      <c r="AV14">
        <v>4530</v>
      </c>
      <c r="AX14" t="s">
        <v>150</v>
      </c>
      <c r="AZ14">
        <v>123200</v>
      </c>
      <c r="BA14" s="11">
        <v>69716.799999999988</v>
      </c>
      <c r="BB14" s="17">
        <f>DITE_JUNIO_2025[[#This Row],[RECUPERO SUPERVISOR]]/DITE_JUNIO_2025[[#This Row],[META SUPER]]</f>
        <v>0.56588311688311677</v>
      </c>
      <c r="BC14" t="s">
        <v>9</v>
      </c>
      <c r="BD14">
        <v>200</v>
      </c>
      <c r="BE14">
        <v>1455</v>
      </c>
      <c r="BF14">
        <v>5745</v>
      </c>
      <c r="BG14">
        <v>6815</v>
      </c>
      <c r="BH14">
        <v>8175</v>
      </c>
      <c r="BI14">
        <v>9905</v>
      </c>
      <c r="BJ14">
        <v>9905</v>
      </c>
      <c r="BK14">
        <v>9905</v>
      </c>
      <c r="BL14">
        <v>10505</v>
      </c>
      <c r="BM14">
        <v>12205</v>
      </c>
      <c r="BN14">
        <v>17473</v>
      </c>
      <c r="BO14">
        <v>19673</v>
      </c>
      <c r="BP14">
        <v>21864.7</v>
      </c>
      <c r="BQ14">
        <v>23609.7</v>
      </c>
      <c r="BR14">
        <v>23659.7</v>
      </c>
      <c r="BS14">
        <v>28159.7</v>
      </c>
      <c r="BT14">
        <v>28639.7</v>
      </c>
      <c r="BU14">
        <v>35681.699999999997</v>
      </c>
      <c r="BV14">
        <v>37314.699999999997</v>
      </c>
      <c r="BW14">
        <v>39150.699999999997</v>
      </c>
      <c r="BX14">
        <v>39150.699999999997</v>
      </c>
      <c r="BY14">
        <v>39150.699999999997</v>
      </c>
      <c r="BZ14">
        <v>41006.699999999997</v>
      </c>
      <c r="CA14">
        <v>43419.7</v>
      </c>
      <c r="CB14">
        <v>44819.7</v>
      </c>
      <c r="CC14">
        <v>49699.7</v>
      </c>
      <c r="CD14">
        <v>52204.7</v>
      </c>
      <c r="CE14">
        <v>52834.7</v>
      </c>
      <c r="CF14">
        <v>53034.7</v>
      </c>
      <c r="CG14">
        <v>69716.799999999988</v>
      </c>
      <c r="CH14">
        <v>69716.799999999988</v>
      </c>
      <c r="CI14" s="11" t="s">
        <v>153</v>
      </c>
      <c r="CK14" t="s">
        <v>9</v>
      </c>
      <c r="CL14" t="s">
        <v>9</v>
      </c>
      <c r="CM14" t="s">
        <v>9</v>
      </c>
      <c r="CN14" t="s">
        <v>9</v>
      </c>
      <c r="CO14" t="s">
        <v>9</v>
      </c>
    </row>
    <row r="15" spans="1:93" x14ac:dyDescent="0.25">
      <c r="A15" t="s">
        <v>3</v>
      </c>
      <c r="B15" t="s">
        <v>107</v>
      </c>
      <c r="C15">
        <f>VLOOKUP(D1_JUNIO_2025[[#This Row],[SUPER]],DATA_JUNIO_2025[[SUPERVISOR]:[META]],3,0)</f>
        <v>65000</v>
      </c>
      <c r="D15">
        <f>D1_JUNIO_2025[[#This Row],[RECUPERO]]/D1_JUNIO_2025[[#This Row],[META]]</f>
        <v>0.33798461538461538</v>
      </c>
      <c r="E15" t="s">
        <v>3</v>
      </c>
      <c r="F15" t="s">
        <v>107</v>
      </c>
      <c r="G15">
        <v>21969</v>
      </c>
      <c r="H15" t="s">
        <v>458</v>
      </c>
      <c r="I15" s="55">
        <v>45727</v>
      </c>
      <c r="J15" t="s">
        <v>501</v>
      </c>
      <c r="L15" s="55"/>
      <c r="M15" s="1">
        <f>DATA_JUNIO_2025[[#This Row],[RECUPERO]]/DATA_JUNIO_2025[[#This Row],[META]]</f>
        <v>0.5121230769230769</v>
      </c>
      <c r="N15">
        <f>6-ROUNDUP(_xlfn.RANK.EQ(DATA_JUNIO_2025[[#This Row],[AL_AC]],DATA_JUNIO_2025[AL_AC],0)/(COUNTA(DATA_JUNIO_2025[AL_AC])/5),0)</f>
        <v>3</v>
      </c>
      <c r="O15" t="s">
        <v>5</v>
      </c>
      <c r="P15">
        <f>SUM(DATA_JUNIO_2025[[#This Row],[1]:[31]])</f>
        <v>33288</v>
      </c>
      <c r="Q15">
        <v>65000</v>
      </c>
      <c r="R15" t="s">
        <v>67</v>
      </c>
      <c r="U15">
        <v>935</v>
      </c>
      <c r="V15">
        <v>380</v>
      </c>
      <c r="W15">
        <v>600</v>
      </c>
      <c r="AA15">
        <v>450</v>
      </c>
      <c r="AB15">
        <v>1850</v>
      </c>
      <c r="AC15">
        <v>6150</v>
      </c>
      <c r="AD15">
        <v>3333</v>
      </c>
      <c r="AE15">
        <v>2000</v>
      </c>
      <c r="AH15">
        <v>3943</v>
      </c>
      <c r="AI15">
        <v>2600</v>
      </c>
      <c r="AK15">
        <v>2010</v>
      </c>
      <c r="AO15">
        <v>353</v>
      </c>
      <c r="AQ15">
        <v>4300</v>
      </c>
      <c r="AR15">
        <v>1000</v>
      </c>
      <c r="AS15">
        <v>3000</v>
      </c>
      <c r="AV15">
        <v>384</v>
      </c>
      <c r="AX15" t="s">
        <v>150</v>
      </c>
      <c r="AZ15">
        <v>495375</v>
      </c>
      <c r="BA15" s="11">
        <v>518397.5</v>
      </c>
      <c r="BB15" s="17">
        <f>DITE_JUNIO_2025[[#This Row],[RECUPERO SUPERVISOR]]/DITE_JUNIO_2025[[#This Row],[META SUPER]]</f>
        <v>1.0464748927580116</v>
      </c>
      <c r="BC15" t="s">
        <v>4</v>
      </c>
      <c r="BD15">
        <v>1125</v>
      </c>
      <c r="BE15">
        <v>71230</v>
      </c>
      <c r="BF15">
        <v>83247</v>
      </c>
      <c r="BG15">
        <v>95477</v>
      </c>
      <c r="BH15">
        <v>121777</v>
      </c>
      <c r="BI15">
        <v>129927</v>
      </c>
      <c r="BJ15">
        <v>132031.63</v>
      </c>
      <c r="BK15">
        <v>132031.63</v>
      </c>
      <c r="BL15">
        <v>175219.63</v>
      </c>
      <c r="BM15">
        <v>193393.63</v>
      </c>
      <c r="BN15">
        <v>214866.63</v>
      </c>
      <c r="BO15">
        <v>271186.63</v>
      </c>
      <c r="BP15">
        <v>308296.21000000002</v>
      </c>
      <c r="BQ15">
        <v>310896.21000000002</v>
      </c>
      <c r="BR15">
        <v>310896.21000000002</v>
      </c>
      <c r="BS15">
        <v>336676.21</v>
      </c>
      <c r="BT15">
        <v>350055.21</v>
      </c>
      <c r="BU15">
        <v>353423.21</v>
      </c>
      <c r="BV15">
        <v>357615.5</v>
      </c>
      <c r="BW15">
        <v>376029.5</v>
      </c>
      <c r="BX15">
        <v>381029.5</v>
      </c>
      <c r="BY15">
        <v>381029.5</v>
      </c>
      <c r="BZ15">
        <v>397009.5</v>
      </c>
      <c r="CA15">
        <v>427705.5</v>
      </c>
      <c r="CB15">
        <v>446810.5</v>
      </c>
      <c r="CC15">
        <v>452152.5</v>
      </c>
      <c r="CD15">
        <v>480837.5</v>
      </c>
      <c r="CE15">
        <v>484577.5</v>
      </c>
      <c r="CF15">
        <v>484577.5</v>
      </c>
      <c r="CG15">
        <v>518397.5</v>
      </c>
      <c r="CH15">
        <v>518397.5</v>
      </c>
      <c r="CI15" s="11" t="s">
        <v>150</v>
      </c>
      <c r="CK15" t="s">
        <v>4</v>
      </c>
      <c r="CL15" t="s">
        <v>4</v>
      </c>
      <c r="CM15" t="s">
        <v>124</v>
      </c>
      <c r="CN15" t="s">
        <v>4</v>
      </c>
      <c r="CO15" t="s">
        <v>4</v>
      </c>
    </row>
    <row r="16" spans="1:93" x14ac:dyDescent="0.25">
      <c r="A16" t="s">
        <v>3</v>
      </c>
      <c r="B16" t="s">
        <v>54</v>
      </c>
      <c r="C16">
        <f>VLOOKUP(D1_JUNIO_2025[[#This Row],[SUPER]],DATA_JUNIO_2025[[SUPERVISOR]:[META]],3,0)</f>
        <v>65000</v>
      </c>
      <c r="D16">
        <f>D1_JUNIO_2025[[#This Row],[RECUPERO]]/D1_JUNIO_2025[[#This Row],[META]]</f>
        <v>0.2153846153846154</v>
      </c>
      <c r="E16" t="s">
        <v>3</v>
      </c>
      <c r="F16" t="s">
        <v>54</v>
      </c>
      <c r="G16">
        <v>14000</v>
      </c>
      <c r="H16" t="s">
        <v>474</v>
      </c>
      <c r="I16" s="55">
        <v>45819</v>
      </c>
      <c r="J16" t="s">
        <v>501</v>
      </c>
      <c r="L16" s="55"/>
      <c r="M16" s="1">
        <f>DATA_JUNIO_2025[[#This Row],[RECUPERO]]/DATA_JUNIO_2025[[#This Row],[META]]</f>
        <v>0.9277333333333333</v>
      </c>
      <c r="N16">
        <f>6-ROUNDUP(_xlfn.RANK.EQ(DATA_JUNIO_2025[[#This Row],[AL_AC]],DATA_JUNIO_2025[AL_AC],0)/(COUNTA(DATA_JUNIO_2025[AL_AC])/5),0)</f>
        <v>5</v>
      </c>
      <c r="O16" t="s">
        <v>8</v>
      </c>
      <c r="P16">
        <f>SUM(DATA_JUNIO_2025[[#This Row],[1]:[31]])</f>
        <v>13916</v>
      </c>
      <c r="Q16">
        <v>15000</v>
      </c>
      <c r="R16" t="s">
        <v>14</v>
      </c>
      <c r="T16">
        <v>1068</v>
      </c>
      <c r="W16">
        <v>380</v>
      </c>
      <c r="X16">
        <v>200</v>
      </c>
      <c r="AB16">
        <v>678</v>
      </c>
      <c r="AC16">
        <v>540</v>
      </c>
      <c r="AD16">
        <v>250</v>
      </c>
      <c r="AE16">
        <v>84</v>
      </c>
      <c r="AH16">
        <v>200</v>
      </c>
      <c r="AI16">
        <v>568</v>
      </c>
      <c r="AJ16">
        <v>173</v>
      </c>
      <c r="AK16">
        <v>717</v>
      </c>
      <c r="AL16">
        <v>3506</v>
      </c>
      <c r="AM16">
        <v>392</v>
      </c>
      <c r="AO16">
        <v>690</v>
      </c>
      <c r="AP16">
        <v>390</v>
      </c>
      <c r="AQ16">
        <v>424</v>
      </c>
      <c r="AR16">
        <v>150</v>
      </c>
      <c r="AS16">
        <v>250</v>
      </c>
      <c r="AV16">
        <v>3256</v>
      </c>
      <c r="AX16" t="s">
        <v>153</v>
      </c>
      <c r="AZ16">
        <v>495375</v>
      </c>
      <c r="BA16" s="11">
        <v>327455.82</v>
      </c>
      <c r="BB16" s="17">
        <f>DITE_JUNIO_2025[[#This Row],[RECUPERO SUPERVISOR]]/DITE_JUNIO_2025[[#This Row],[META SUPER]]</f>
        <v>0.66102613171839519</v>
      </c>
      <c r="BC16" t="s">
        <v>3</v>
      </c>
      <c r="BD16">
        <v>0</v>
      </c>
      <c r="BE16">
        <v>17281</v>
      </c>
      <c r="BF16">
        <v>21281</v>
      </c>
      <c r="BG16">
        <v>34681</v>
      </c>
      <c r="BH16">
        <v>63181</v>
      </c>
      <c r="BI16">
        <v>70231</v>
      </c>
      <c r="BJ16">
        <v>70231</v>
      </c>
      <c r="BK16">
        <v>70231</v>
      </c>
      <c r="BL16">
        <v>85502.12</v>
      </c>
      <c r="BM16">
        <v>97952.12</v>
      </c>
      <c r="BN16">
        <v>115209.81999999999</v>
      </c>
      <c r="BO16">
        <v>117559.81999999999</v>
      </c>
      <c r="BP16">
        <v>126301.81999999999</v>
      </c>
      <c r="BQ16">
        <v>129225.81999999999</v>
      </c>
      <c r="BR16">
        <v>129225.81999999999</v>
      </c>
      <c r="BS16">
        <v>137049.82</v>
      </c>
      <c r="BT16">
        <v>137899.82</v>
      </c>
      <c r="BU16">
        <v>156902.82</v>
      </c>
      <c r="BV16">
        <v>163902.82</v>
      </c>
      <c r="BW16">
        <v>176202.82</v>
      </c>
      <c r="BX16">
        <v>177002.82</v>
      </c>
      <c r="BY16">
        <v>179602.82</v>
      </c>
      <c r="BZ16">
        <v>192879.82</v>
      </c>
      <c r="CA16">
        <v>217479.82</v>
      </c>
      <c r="CB16">
        <v>225419.82</v>
      </c>
      <c r="CC16">
        <v>246190.82</v>
      </c>
      <c r="CD16">
        <v>274908.82</v>
      </c>
      <c r="CE16">
        <v>274908.82</v>
      </c>
      <c r="CF16">
        <v>274908.82</v>
      </c>
      <c r="CG16">
        <v>327455.82</v>
      </c>
      <c r="CH16">
        <v>327455.82</v>
      </c>
      <c r="CI16" s="11" t="s">
        <v>150</v>
      </c>
      <c r="CK16" t="s">
        <v>3</v>
      </c>
      <c r="CL16" t="s">
        <v>3</v>
      </c>
      <c r="CM16" t="s">
        <v>3</v>
      </c>
      <c r="CN16" t="s">
        <v>3</v>
      </c>
      <c r="CO16" t="s">
        <v>3</v>
      </c>
    </row>
    <row r="17" spans="1:50" x14ac:dyDescent="0.25">
      <c r="A17" t="s">
        <v>3</v>
      </c>
      <c r="B17" t="s">
        <v>53</v>
      </c>
      <c r="C17">
        <f>VLOOKUP(D1_JUNIO_2025[[#This Row],[SUPER]],DATA_JUNIO_2025[[SUPERVISOR]:[META]],3,0)</f>
        <v>65000</v>
      </c>
      <c r="D17">
        <f>D1_JUNIO_2025[[#This Row],[RECUPERO]]/D1_JUNIO_2025[[#This Row],[META]]</f>
        <v>0.13612307692307693</v>
      </c>
      <c r="E17" t="s">
        <v>3</v>
      </c>
      <c r="F17" t="s">
        <v>53</v>
      </c>
      <c r="G17">
        <v>8848</v>
      </c>
      <c r="H17" t="s">
        <v>457</v>
      </c>
      <c r="I17" s="55">
        <v>45727</v>
      </c>
      <c r="J17" t="s">
        <v>501</v>
      </c>
      <c r="L17" s="55"/>
      <c r="M17" s="1">
        <f>DATA_JUNIO_2025[[#This Row],[RECUPERO]]/DATA_JUNIO_2025[[#This Row],[META]]</f>
        <v>0.36533333333333334</v>
      </c>
      <c r="N17">
        <f>6-ROUNDUP(_xlfn.RANK.EQ(DATA_JUNIO_2025[[#This Row],[AL_AC]],DATA_JUNIO_2025[AL_AC],0)/(COUNTA(DATA_JUNIO_2025[AL_AC])/5),0)</f>
        <v>2</v>
      </c>
      <c r="O17" t="s">
        <v>9</v>
      </c>
      <c r="P17">
        <f>SUM(DATA_JUNIO_2025[[#This Row],[1]:[31]])</f>
        <v>5480</v>
      </c>
      <c r="Q17">
        <v>15000</v>
      </c>
      <c r="R17" t="s">
        <v>104</v>
      </c>
      <c r="S17">
        <v>200</v>
      </c>
      <c r="U17">
        <v>500</v>
      </c>
      <c r="V17">
        <v>150</v>
      </c>
      <c r="AA17">
        <v>400</v>
      </c>
      <c r="AB17">
        <v>1000</v>
      </c>
      <c r="AP17">
        <v>750</v>
      </c>
      <c r="AQ17">
        <v>200</v>
      </c>
      <c r="AR17">
        <v>380</v>
      </c>
      <c r="AU17">
        <v>200</v>
      </c>
      <c r="AV17">
        <v>1700</v>
      </c>
      <c r="AX17" t="s">
        <v>153</v>
      </c>
    </row>
    <row r="18" spans="1:50" x14ac:dyDescent="0.25">
      <c r="A18" t="s">
        <v>4</v>
      </c>
      <c r="B18" t="s">
        <v>59</v>
      </c>
      <c r="C18">
        <f>VLOOKUP(D1_JUNIO_2025[[#This Row],[SUPER]],DATA_JUNIO_2025[[SUPERVISOR]:[META]],3,0)</f>
        <v>65000</v>
      </c>
      <c r="D18">
        <f>D1_JUNIO_2025[[#This Row],[RECUPERO]]/D1_JUNIO_2025[[#This Row],[META]]</f>
        <v>1.525855076923077</v>
      </c>
      <c r="E18" t="s">
        <v>4</v>
      </c>
      <c r="F18" t="s">
        <v>59</v>
      </c>
      <c r="G18">
        <v>99180.58</v>
      </c>
      <c r="H18" t="s">
        <v>430</v>
      </c>
      <c r="I18" s="55">
        <v>45348</v>
      </c>
      <c r="J18" t="s">
        <v>501</v>
      </c>
      <c r="L18" s="55"/>
      <c r="M18" s="1">
        <f>DATA_JUNIO_2025[[#This Row],[RECUPERO]]/DATA_JUNIO_2025[[#This Row],[META]]</f>
        <v>0.44668852459016395</v>
      </c>
      <c r="N18">
        <f>6-ROUNDUP(_xlfn.RANK.EQ(DATA_JUNIO_2025[[#This Row],[AL_AC]],DATA_JUNIO_2025[AL_AC],0)/(COUNTA(DATA_JUNIO_2025[AL_AC])/5),0)</f>
        <v>3</v>
      </c>
      <c r="O18" t="s">
        <v>6</v>
      </c>
      <c r="P18">
        <f>SUM(DATA_JUNIO_2025[[#This Row],[1]:[31]])</f>
        <v>13624</v>
      </c>
      <c r="Q18">
        <v>30500</v>
      </c>
      <c r="R18" t="s">
        <v>19</v>
      </c>
      <c r="AC18">
        <v>600</v>
      </c>
      <c r="AH18">
        <v>250</v>
      </c>
      <c r="AL18">
        <v>1229</v>
      </c>
      <c r="AQ18">
        <v>6300</v>
      </c>
      <c r="AR18">
        <v>1000</v>
      </c>
      <c r="AV18">
        <v>4245</v>
      </c>
      <c r="AX18" t="s">
        <v>152</v>
      </c>
    </row>
    <row r="19" spans="1:50" x14ac:dyDescent="0.25">
      <c r="A19" t="s">
        <v>4</v>
      </c>
      <c r="B19" t="s">
        <v>61</v>
      </c>
      <c r="C19">
        <f>VLOOKUP(D1_JUNIO_2025[[#This Row],[SUPER]],DATA_JUNIO_2025[[SUPERVISOR]:[META]],3,0)</f>
        <v>65000</v>
      </c>
      <c r="D19">
        <f>D1_JUNIO_2025[[#This Row],[RECUPERO]]/D1_JUNIO_2025[[#This Row],[META]]</f>
        <v>1.4086712307692308</v>
      </c>
      <c r="E19" t="s">
        <v>4</v>
      </c>
      <c r="F19" t="s">
        <v>61</v>
      </c>
      <c r="G19">
        <v>91563.63</v>
      </c>
      <c r="H19" t="s">
        <v>411</v>
      </c>
      <c r="I19" s="55">
        <v>44909</v>
      </c>
      <c r="J19" t="s">
        <v>501</v>
      </c>
      <c r="L19" s="55"/>
      <c r="M19" s="1">
        <f>DATA_JUNIO_2025[[#This Row],[RECUPERO]]/DATA_JUNIO_2025[[#This Row],[META]]</f>
        <v>0.13612307692307693</v>
      </c>
      <c r="N19">
        <f>6-ROUNDUP(_xlfn.RANK.EQ(DATA_JUNIO_2025[[#This Row],[AL_AC]],DATA_JUNIO_2025[AL_AC],0)/(COUNTA(DATA_JUNIO_2025[AL_AC])/5),0)</f>
        <v>1</v>
      </c>
      <c r="O19" t="s">
        <v>3</v>
      </c>
      <c r="P19">
        <f>SUM(DATA_JUNIO_2025[[#This Row],[1]:[31]])</f>
        <v>8848</v>
      </c>
      <c r="Q19">
        <v>65000</v>
      </c>
      <c r="R19" t="s">
        <v>53</v>
      </c>
      <c r="X19">
        <v>600</v>
      </c>
      <c r="AA19">
        <v>398</v>
      </c>
      <c r="AC19">
        <v>600</v>
      </c>
      <c r="AJ19">
        <v>2000</v>
      </c>
      <c r="AO19">
        <v>1000</v>
      </c>
      <c r="AS19">
        <v>4000</v>
      </c>
      <c r="AV19">
        <v>250</v>
      </c>
      <c r="AX19" t="s">
        <v>150</v>
      </c>
    </row>
    <row r="20" spans="1:50" x14ac:dyDescent="0.25">
      <c r="A20" t="s">
        <v>4</v>
      </c>
      <c r="B20" t="s">
        <v>75</v>
      </c>
      <c r="C20">
        <f>VLOOKUP(D1_JUNIO_2025[[#This Row],[SUPER]],DATA_JUNIO_2025[[SUPERVISOR]:[META]],3,0)</f>
        <v>65000</v>
      </c>
      <c r="D20">
        <f>D1_JUNIO_2025[[#This Row],[RECUPERO]]/D1_JUNIO_2025[[#This Row],[META]]</f>
        <v>1.3104769230769231</v>
      </c>
      <c r="E20" t="s">
        <v>4</v>
      </c>
      <c r="F20" t="s">
        <v>75</v>
      </c>
      <c r="G20">
        <v>85181</v>
      </c>
      <c r="H20" t="s">
        <v>428</v>
      </c>
      <c r="I20" s="55">
        <v>44716</v>
      </c>
      <c r="J20" t="s">
        <v>501</v>
      </c>
      <c r="L20" s="55"/>
      <c r="M20" s="1">
        <f>DATA_JUNIO_2025[[#This Row],[RECUPERO]]/DATA_JUNIO_2025[[#This Row],[META]]</f>
        <v>0.7795333333333333</v>
      </c>
      <c r="N20">
        <f>6-ROUNDUP(_xlfn.RANK.EQ(DATA_JUNIO_2025[[#This Row],[AL_AC]],DATA_JUNIO_2025[AL_AC],0)/(COUNTA(DATA_JUNIO_2025[AL_AC])/5),0)</f>
        <v>4</v>
      </c>
      <c r="O20" t="s">
        <v>8</v>
      </c>
      <c r="P20">
        <f>SUM(DATA_JUNIO_2025[[#This Row],[1]:[31]])</f>
        <v>11693</v>
      </c>
      <c r="Q20">
        <v>15000</v>
      </c>
      <c r="R20" t="s">
        <v>41</v>
      </c>
      <c r="V20">
        <v>1000</v>
      </c>
      <c r="W20">
        <v>350</v>
      </c>
      <c r="X20">
        <v>300</v>
      </c>
      <c r="AA20">
        <v>630</v>
      </c>
      <c r="AB20">
        <v>300</v>
      </c>
      <c r="AC20">
        <v>480</v>
      </c>
      <c r="AD20">
        <v>0</v>
      </c>
      <c r="AE20">
        <v>1700</v>
      </c>
      <c r="AH20">
        <v>276</v>
      </c>
      <c r="AL20">
        <v>807</v>
      </c>
      <c r="AO20">
        <v>1000</v>
      </c>
      <c r="AQ20">
        <v>350</v>
      </c>
      <c r="AS20">
        <v>3000</v>
      </c>
      <c r="AV20">
        <v>1500</v>
      </c>
      <c r="AX20" t="s">
        <v>153</v>
      </c>
    </row>
    <row r="21" spans="1:50" x14ac:dyDescent="0.25">
      <c r="A21" t="s">
        <v>4</v>
      </c>
      <c r="B21" t="s">
        <v>57</v>
      </c>
      <c r="C21">
        <f>VLOOKUP(D1_JUNIO_2025[[#This Row],[SUPER]],DATA_JUNIO_2025[[SUPERVISOR]:[META]],3,0)</f>
        <v>65000</v>
      </c>
      <c r="D21">
        <f>D1_JUNIO_2025[[#This Row],[RECUPERO]]/D1_JUNIO_2025[[#This Row],[META]]</f>
        <v>1.1831230769230769</v>
      </c>
      <c r="E21" t="s">
        <v>4</v>
      </c>
      <c r="F21" t="s">
        <v>57</v>
      </c>
      <c r="G21">
        <v>76903</v>
      </c>
      <c r="H21" t="s">
        <v>443</v>
      </c>
      <c r="I21" s="55">
        <v>45590</v>
      </c>
      <c r="J21" t="s">
        <v>501</v>
      </c>
      <c r="L21" s="55"/>
      <c r="M21" s="1">
        <f>DATA_JUNIO_2025[[#This Row],[RECUPERO]]/DATA_JUNIO_2025[[#This Row],[META]]</f>
        <v>0.1215076923076923</v>
      </c>
      <c r="N21">
        <f>6-ROUNDUP(_xlfn.RANK.EQ(DATA_JUNIO_2025[[#This Row],[AL_AC]],DATA_JUNIO_2025[AL_AC],0)/(COUNTA(DATA_JUNIO_2025[AL_AC])/5),0)</f>
        <v>1</v>
      </c>
      <c r="O21" t="s">
        <v>4</v>
      </c>
      <c r="P21">
        <f>SUM(DATA_JUNIO_2025[[#This Row],[1]:[31]])</f>
        <v>7898</v>
      </c>
      <c r="Q21">
        <v>65000</v>
      </c>
      <c r="R21" t="s">
        <v>82</v>
      </c>
      <c r="U21">
        <v>700</v>
      </c>
      <c r="W21">
        <v>800</v>
      </c>
      <c r="AB21">
        <v>510</v>
      </c>
      <c r="AC21">
        <v>500</v>
      </c>
      <c r="AE21">
        <v>1000</v>
      </c>
      <c r="AO21">
        <v>3680</v>
      </c>
      <c r="AQ21">
        <v>600</v>
      </c>
      <c r="AV21">
        <v>108</v>
      </c>
      <c r="AX21" t="s">
        <v>150</v>
      </c>
    </row>
    <row r="22" spans="1:50" x14ac:dyDescent="0.25">
      <c r="A22" t="s">
        <v>4</v>
      </c>
      <c r="B22" t="s">
        <v>65</v>
      </c>
      <c r="C22">
        <f>VLOOKUP(D1_JUNIO_2025[[#This Row],[SUPER]],DATA_JUNIO_2025[[SUPERVISOR]:[META]],3,0)</f>
        <v>65000</v>
      </c>
      <c r="D22">
        <f>D1_JUNIO_2025[[#This Row],[RECUPERO]]/D1_JUNIO_2025[[#This Row],[META]]</f>
        <v>0.92958461538461534</v>
      </c>
      <c r="E22" t="s">
        <v>4</v>
      </c>
      <c r="F22" t="s">
        <v>65</v>
      </c>
      <c r="G22">
        <v>60423</v>
      </c>
      <c r="H22" t="s">
        <v>438</v>
      </c>
      <c r="I22" s="55">
        <v>45021</v>
      </c>
      <c r="J22" t="s">
        <v>501</v>
      </c>
      <c r="L22" s="55"/>
      <c r="M22" s="1">
        <f>DATA_JUNIO_2025[[#This Row],[RECUPERO]]/DATA_JUNIO_2025[[#This Row],[META]]</f>
        <v>1.4086712307692308</v>
      </c>
      <c r="N22">
        <f>6-ROUNDUP(_xlfn.RANK.EQ(DATA_JUNIO_2025[[#This Row],[AL_AC]],DATA_JUNIO_2025[AL_AC],0)/(COUNTA(DATA_JUNIO_2025[AL_AC])/5),0)</f>
        <v>5</v>
      </c>
      <c r="O22" t="s">
        <v>4</v>
      </c>
      <c r="P22">
        <f>SUM(DATA_JUNIO_2025[[#This Row],[1]:[31]])</f>
        <v>91563.63</v>
      </c>
      <c r="Q22">
        <v>65000</v>
      </c>
      <c r="R22" t="s">
        <v>61</v>
      </c>
      <c r="T22">
        <v>40700</v>
      </c>
      <c r="U22">
        <v>3114</v>
      </c>
      <c r="V22">
        <v>8000</v>
      </c>
      <c r="X22">
        <v>550</v>
      </c>
      <c r="Y22">
        <v>770.63</v>
      </c>
      <c r="AA22">
        <v>600</v>
      </c>
      <c r="AB22">
        <v>15100</v>
      </c>
      <c r="AC22">
        <v>1150</v>
      </c>
      <c r="AI22">
        <v>1750</v>
      </c>
      <c r="AK22">
        <v>100</v>
      </c>
      <c r="AL22">
        <v>6000</v>
      </c>
      <c r="AM22">
        <v>5000</v>
      </c>
      <c r="AO22">
        <v>200</v>
      </c>
      <c r="AP22">
        <v>1715</v>
      </c>
      <c r="AS22">
        <v>400</v>
      </c>
      <c r="AT22">
        <v>1800</v>
      </c>
      <c r="AV22">
        <v>4614</v>
      </c>
      <c r="AX22" t="s">
        <v>150</v>
      </c>
    </row>
    <row r="23" spans="1:50" x14ac:dyDescent="0.25">
      <c r="A23" t="s">
        <v>4</v>
      </c>
      <c r="B23" t="s">
        <v>62</v>
      </c>
      <c r="C23">
        <f>VLOOKUP(D1_JUNIO_2025[[#This Row],[SUPER]],DATA_JUNIO_2025[[SUPERVISOR]:[META]],3,0)</f>
        <v>65000</v>
      </c>
      <c r="D23">
        <f>D1_JUNIO_2025[[#This Row],[RECUPERO]]/D1_JUNIO_2025[[#This Row],[META]]</f>
        <v>0.38683076923076926</v>
      </c>
      <c r="E23" t="s">
        <v>4</v>
      </c>
      <c r="F23" t="s">
        <v>62</v>
      </c>
      <c r="G23">
        <v>25144</v>
      </c>
      <c r="H23" t="s">
        <v>386</v>
      </c>
      <c r="I23" s="55">
        <v>45334</v>
      </c>
      <c r="J23" t="s">
        <v>501</v>
      </c>
      <c r="L23" s="55"/>
      <c r="M23" s="1">
        <f>DATA_JUNIO_2025[[#This Row],[RECUPERO]]/DATA_JUNIO_2025[[#This Row],[META]]</f>
        <v>1.4252666666666667</v>
      </c>
      <c r="N23">
        <f>6-ROUNDUP(_xlfn.RANK.EQ(DATA_JUNIO_2025[[#This Row],[AL_AC]],DATA_JUNIO_2025[AL_AC],0)/(COUNTA(DATA_JUNIO_2025[AL_AC])/5),0)</f>
        <v>5</v>
      </c>
      <c r="O23" t="s">
        <v>125</v>
      </c>
      <c r="P23">
        <f>SUM(DATA_JUNIO_2025[[#This Row],[1]:[31]])</f>
        <v>21379</v>
      </c>
      <c r="Q23">
        <v>15000</v>
      </c>
      <c r="R23" t="s">
        <v>80</v>
      </c>
      <c r="W23">
        <v>116</v>
      </c>
      <c r="X23">
        <v>98</v>
      </c>
      <c r="Y23">
        <v>500</v>
      </c>
      <c r="AA23">
        <v>1500</v>
      </c>
      <c r="AB23">
        <v>330</v>
      </c>
      <c r="AC23">
        <v>3000</v>
      </c>
      <c r="AD23">
        <v>520</v>
      </c>
      <c r="AE23">
        <v>270</v>
      </c>
      <c r="AH23">
        <v>435</v>
      </c>
      <c r="AI23">
        <v>1600</v>
      </c>
      <c r="AJ23">
        <v>300</v>
      </c>
      <c r="AK23">
        <v>300</v>
      </c>
      <c r="AL23">
        <v>2115</v>
      </c>
      <c r="AO23">
        <v>2200</v>
      </c>
      <c r="AP23">
        <v>2198</v>
      </c>
      <c r="AQ23">
        <v>100</v>
      </c>
      <c r="AR23">
        <v>1010</v>
      </c>
      <c r="AS23">
        <v>1032</v>
      </c>
      <c r="AT23">
        <v>400</v>
      </c>
      <c r="AU23">
        <v>305</v>
      </c>
      <c r="AV23">
        <v>3050</v>
      </c>
      <c r="AX23" t="s">
        <v>153</v>
      </c>
    </row>
    <row r="24" spans="1:50" x14ac:dyDescent="0.25">
      <c r="A24" t="s">
        <v>4</v>
      </c>
      <c r="B24" t="s">
        <v>63</v>
      </c>
      <c r="C24">
        <f>VLOOKUP(D1_JUNIO_2025[[#This Row],[SUPER]],DATA_JUNIO_2025[[SUPERVISOR]:[META]],3,0)</f>
        <v>65000</v>
      </c>
      <c r="D24">
        <f>D1_JUNIO_2025[[#This Row],[RECUPERO]]/D1_JUNIO_2025[[#This Row],[META]]</f>
        <v>0.20976923076923076</v>
      </c>
      <c r="E24" t="s">
        <v>4</v>
      </c>
      <c r="F24" t="s">
        <v>63</v>
      </c>
      <c r="G24">
        <v>13635</v>
      </c>
      <c r="H24" t="s">
        <v>447</v>
      </c>
      <c r="I24" s="55">
        <v>45316</v>
      </c>
      <c r="J24" t="s">
        <v>501</v>
      </c>
      <c r="L24" s="55"/>
      <c r="M24" s="1">
        <f>DATA_JUNIO_2025[[#This Row],[RECUPERO]]/DATA_JUNIO_2025[[#This Row],[META]]</f>
        <v>0.50206666666666666</v>
      </c>
      <c r="N24">
        <f>6-ROUNDUP(_xlfn.RANK.EQ(DATA_JUNIO_2025[[#This Row],[AL_AC]],DATA_JUNIO_2025[AL_AC],0)/(COUNTA(DATA_JUNIO_2025[AL_AC])/5),0)</f>
        <v>3</v>
      </c>
      <c r="O24" t="s">
        <v>8</v>
      </c>
      <c r="P24">
        <f>SUM(DATA_JUNIO_2025[[#This Row],[1]:[31]])</f>
        <v>7531</v>
      </c>
      <c r="Q24">
        <v>15000</v>
      </c>
      <c r="R24" t="s">
        <v>40</v>
      </c>
      <c r="T24">
        <v>380</v>
      </c>
      <c r="W24">
        <v>1775</v>
      </c>
      <c r="X24">
        <v>1000</v>
      </c>
      <c r="AB24">
        <v>1750</v>
      </c>
      <c r="AC24">
        <v>182</v>
      </c>
      <c r="AE24">
        <v>1532</v>
      </c>
      <c r="AR24">
        <v>157</v>
      </c>
      <c r="AV24">
        <v>755</v>
      </c>
      <c r="AX24" t="s">
        <v>153</v>
      </c>
    </row>
    <row r="25" spans="1:50" x14ac:dyDescent="0.25">
      <c r="A25" t="s">
        <v>4</v>
      </c>
      <c r="B25" t="s">
        <v>64</v>
      </c>
      <c r="C25">
        <f>VLOOKUP(D1_JUNIO_2025[[#This Row],[SUPER]],DATA_JUNIO_2025[[SUPERVISOR]:[META]],3,0)</f>
        <v>65000</v>
      </c>
      <c r="D25">
        <f>D1_JUNIO_2025[[#This Row],[RECUPERO]]/D1_JUNIO_2025[[#This Row],[META]]</f>
        <v>0.12198461538461539</v>
      </c>
      <c r="E25" t="s">
        <v>4</v>
      </c>
      <c r="F25" t="s">
        <v>64</v>
      </c>
      <c r="G25">
        <v>7929</v>
      </c>
      <c r="H25" t="s">
        <v>455</v>
      </c>
      <c r="I25" s="55">
        <v>45700</v>
      </c>
      <c r="J25" t="s">
        <v>501</v>
      </c>
      <c r="L25" s="55"/>
      <c r="M25" s="1">
        <f>DATA_JUNIO_2025[[#This Row],[RECUPERO]]/DATA_JUNIO_2025[[#This Row],[META]]</f>
        <v>0.35344262295081968</v>
      </c>
      <c r="N25">
        <f>6-ROUNDUP(_xlfn.RANK.EQ(DATA_JUNIO_2025[[#This Row],[AL_AC]],DATA_JUNIO_2025[AL_AC],0)/(COUNTA(DATA_JUNIO_2025[AL_AC])/5),0)</f>
        <v>2</v>
      </c>
      <c r="O25" t="s">
        <v>6</v>
      </c>
      <c r="P25">
        <f>SUM(DATA_JUNIO_2025[[#This Row],[1]:[31]])</f>
        <v>10780</v>
      </c>
      <c r="Q25">
        <v>30500</v>
      </c>
      <c r="R25" t="s">
        <v>81</v>
      </c>
      <c r="U25">
        <v>380</v>
      </c>
      <c r="V25">
        <v>210</v>
      </c>
      <c r="X25">
        <v>1200</v>
      </c>
      <c r="AQ25">
        <v>990</v>
      </c>
      <c r="AV25">
        <v>8000</v>
      </c>
      <c r="AX25" t="s">
        <v>152</v>
      </c>
    </row>
    <row r="26" spans="1:50" x14ac:dyDescent="0.25">
      <c r="A26" t="s">
        <v>4</v>
      </c>
      <c r="B26" t="s">
        <v>82</v>
      </c>
      <c r="C26">
        <f>VLOOKUP(D1_JUNIO_2025[[#This Row],[SUPER]],DATA_JUNIO_2025[[SUPERVISOR]:[META]],3,0)</f>
        <v>65000</v>
      </c>
      <c r="D26">
        <f>D1_JUNIO_2025[[#This Row],[RECUPERO]]/D1_JUNIO_2025[[#This Row],[META]]</f>
        <v>0.1215076923076923</v>
      </c>
      <c r="E26" t="s">
        <v>4</v>
      </c>
      <c r="F26" t="s">
        <v>82</v>
      </c>
      <c r="G26">
        <v>7898</v>
      </c>
      <c r="H26" t="s">
        <v>465</v>
      </c>
      <c r="I26" s="55">
        <v>45798</v>
      </c>
      <c r="J26" t="s">
        <v>501</v>
      </c>
      <c r="L26" s="55"/>
      <c r="M26" s="1">
        <f>DATA_JUNIO_2025[[#This Row],[RECUPERO]]/DATA_JUNIO_2025[[#This Row],[META]]</f>
        <v>0.75239999999999996</v>
      </c>
      <c r="N26">
        <f>6-ROUNDUP(_xlfn.RANK.EQ(DATA_JUNIO_2025[[#This Row],[AL_AC]],DATA_JUNIO_2025[AL_AC],0)/(COUNTA(DATA_JUNIO_2025[AL_AC])/5),0)</f>
        <v>4</v>
      </c>
      <c r="O26" t="s">
        <v>5</v>
      </c>
      <c r="P26">
        <f>SUM(DATA_JUNIO_2025[[#This Row],[1]:[31]])</f>
        <v>48906</v>
      </c>
      <c r="Q26">
        <v>65000</v>
      </c>
      <c r="R26" t="s">
        <v>72</v>
      </c>
      <c r="S26">
        <v>300</v>
      </c>
      <c r="T26">
        <v>9179</v>
      </c>
      <c r="V26">
        <v>500</v>
      </c>
      <c r="X26">
        <v>5000</v>
      </c>
      <c r="AA26">
        <v>180</v>
      </c>
      <c r="AC26">
        <v>12292</v>
      </c>
      <c r="AH26">
        <v>850</v>
      </c>
      <c r="AI26">
        <v>7000</v>
      </c>
      <c r="AJ26">
        <v>1633</v>
      </c>
      <c r="AK26">
        <v>500</v>
      </c>
      <c r="AL26">
        <v>219</v>
      </c>
      <c r="AN26">
        <v>470</v>
      </c>
      <c r="AO26">
        <v>2800</v>
      </c>
      <c r="AP26">
        <v>5</v>
      </c>
      <c r="AQ26">
        <v>360</v>
      </c>
      <c r="AR26">
        <v>700</v>
      </c>
      <c r="AS26">
        <v>3218</v>
      </c>
      <c r="AU26">
        <v>700</v>
      </c>
      <c r="AV26">
        <v>3000</v>
      </c>
      <c r="AX26" t="s">
        <v>150</v>
      </c>
    </row>
    <row r="27" spans="1:50" x14ac:dyDescent="0.25">
      <c r="A27" t="s">
        <v>2</v>
      </c>
      <c r="B27" t="s">
        <v>13</v>
      </c>
      <c r="C27">
        <f>VLOOKUP(D1_JUNIO_2025[[#This Row],[SUPER]],DATA_JUNIO_2025[[SUPERVISOR]:[META]],3,0)</f>
        <v>65000</v>
      </c>
      <c r="D27">
        <f>D1_JUNIO_2025[[#This Row],[RECUPERO]]/D1_JUNIO_2025[[#This Row],[META]]</f>
        <v>1.07595</v>
      </c>
      <c r="E27" t="s">
        <v>2</v>
      </c>
      <c r="F27" t="s">
        <v>13</v>
      </c>
      <c r="G27">
        <v>69936.75</v>
      </c>
      <c r="H27" t="s">
        <v>382</v>
      </c>
      <c r="I27" s="55">
        <v>44811</v>
      </c>
      <c r="J27" t="s">
        <v>501</v>
      </c>
      <c r="L27" s="55"/>
      <c r="M27" s="1">
        <f>DATA_JUNIO_2025[[#This Row],[RECUPERO]]/DATA_JUNIO_2025[[#This Row],[META]]</f>
        <v>0.65742800000000001</v>
      </c>
      <c r="N27">
        <f>6-ROUNDUP(_xlfn.RANK.EQ(DATA_JUNIO_2025[[#This Row],[AL_AC]],DATA_JUNIO_2025[AL_AC],0)/(COUNTA(DATA_JUNIO_2025[AL_AC])/5),0)</f>
        <v>4</v>
      </c>
      <c r="O27" t="s">
        <v>3</v>
      </c>
      <c r="P27">
        <f>SUM(DATA_JUNIO_2025[[#This Row],[1]:[31]])</f>
        <v>42732.82</v>
      </c>
      <c r="Q27">
        <v>65000</v>
      </c>
      <c r="R27" t="s">
        <v>22</v>
      </c>
      <c r="T27">
        <v>2282</v>
      </c>
      <c r="X27">
        <v>500</v>
      </c>
      <c r="AA27">
        <v>4173.12</v>
      </c>
      <c r="AC27">
        <v>3057.7</v>
      </c>
      <c r="AE27">
        <v>5342</v>
      </c>
      <c r="AJ27">
        <v>600</v>
      </c>
      <c r="AM27">
        <v>800</v>
      </c>
      <c r="AN27">
        <v>500</v>
      </c>
      <c r="AO27">
        <v>3000</v>
      </c>
      <c r="AP27">
        <v>8500</v>
      </c>
      <c r="AQ27">
        <v>3000</v>
      </c>
      <c r="AR27">
        <v>1571</v>
      </c>
      <c r="AS27">
        <v>5000</v>
      </c>
      <c r="AV27">
        <v>4407</v>
      </c>
      <c r="AX27" t="s">
        <v>150</v>
      </c>
    </row>
    <row r="28" spans="1:50" x14ac:dyDescent="0.25">
      <c r="A28" t="s">
        <v>2</v>
      </c>
      <c r="B28" t="s">
        <v>11</v>
      </c>
      <c r="C28">
        <f>VLOOKUP(D1_JUNIO_2025[[#This Row],[SUPER]],DATA_JUNIO_2025[[SUPERVISOR]:[META]],3,0)</f>
        <v>65000</v>
      </c>
      <c r="D28">
        <f>D1_JUNIO_2025[[#This Row],[RECUPERO]]/D1_JUNIO_2025[[#This Row],[META]]</f>
        <v>0.90316923076923072</v>
      </c>
      <c r="E28" t="s">
        <v>2</v>
      </c>
      <c r="F28" t="s">
        <v>11</v>
      </c>
      <c r="G28">
        <v>58706</v>
      </c>
      <c r="H28" t="s">
        <v>429</v>
      </c>
      <c r="I28" s="55">
        <v>45371</v>
      </c>
      <c r="J28" t="s">
        <v>501</v>
      </c>
      <c r="L28" s="55"/>
      <c r="M28" s="1">
        <f>DATA_JUNIO_2025[[#This Row],[RECUPERO]]/DATA_JUNIO_2025[[#This Row],[META]]</f>
        <v>1.6403333333333334</v>
      </c>
      <c r="N28">
        <f>6-ROUNDUP(_xlfn.RANK.EQ(DATA_JUNIO_2025[[#This Row],[AL_AC]],DATA_JUNIO_2025[AL_AC],0)/(COUNTA(DATA_JUNIO_2025[AL_AC])/5),0)</f>
        <v>5</v>
      </c>
      <c r="O28" t="s">
        <v>8</v>
      </c>
      <c r="P28">
        <f>SUM(DATA_JUNIO_2025[[#This Row],[1]:[31]])</f>
        <v>24605</v>
      </c>
      <c r="Q28">
        <v>15000</v>
      </c>
      <c r="R28" t="s">
        <v>24</v>
      </c>
      <c r="U28">
        <v>210</v>
      </c>
      <c r="V28">
        <v>1000</v>
      </c>
      <c r="W28">
        <v>100</v>
      </c>
      <c r="X28">
        <v>195</v>
      </c>
      <c r="AA28">
        <v>350</v>
      </c>
      <c r="AB28">
        <v>1000</v>
      </c>
      <c r="AE28">
        <v>5100</v>
      </c>
      <c r="AH28">
        <v>1100</v>
      </c>
      <c r="AJ28">
        <v>950</v>
      </c>
      <c r="AK28">
        <v>1000</v>
      </c>
      <c r="AL28">
        <v>8500</v>
      </c>
      <c r="AO28">
        <v>100</v>
      </c>
      <c r="AQ28">
        <v>350</v>
      </c>
      <c r="AR28">
        <v>750</v>
      </c>
      <c r="AS28">
        <v>300</v>
      </c>
      <c r="AV28">
        <v>3600</v>
      </c>
      <c r="AX28" t="s">
        <v>153</v>
      </c>
    </row>
    <row r="29" spans="1:50" x14ac:dyDescent="0.25">
      <c r="A29" t="s">
        <v>2</v>
      </c>
      <c r="B29" t="s">
        <v>10</v>
      </c>
      <c r="C29">
        <f>VLOOKUP(D1_JUNIO_2025[[#This Row],[SUPER]],DATA_JUNIO_2025[[SUPERVISOR]:[META]],3,0)</f>
        <v>65000</v>
      </c>
      <c r="D29">
        <f>D1_JUNIO_2025[[#This Row],[RECUPERO]]/D1_JUNIO_2025[[#This Row],[META]]</f>
        <v>0.85598461538461534</v>
      </c>
      <c r="E29" t="s">
        <v>2</v>
      </c>
      <c r="F29" t="s">
        <v>10</v>
      </c>
      <c r="G29">
        <v>55639</v>
      </c>
      <c r="H29" t="s">
        <v>449</v>
      </c>
      <c r="I29" s="55">
        <v>44706</v>
      </c>
      <c r="J29" t="s">
        <v>501</v>
      </c>
      <c r="L29" s="55"/>
      <c r="M29" s="1">
        <f>DATA_JUNIO_2025[[#This Row],[RECUPERO]]/DATA_JUNIO_2025[[#This Row],[META]]</f>
        <v>0.80760655737704923</v>
      </c>
      <c r="N29">
        <f>6-ROUNDUP(_xlfn.RANK.EQ(DATA_JUNIO_2025[[#This Row],[AL_AC]],DATA_JUNIO_2025[AL_AC],0)/(COUNTA(DATA_JUNIO_2025[AL_AC])/5),0)</f>
        <v>4</v>
      </c>
      <c r="O29" t="s">
        <v>6</v>
      </c>
      <c r="P29">
        <f>SUM(DATA_JUNIO_2025[[#This Row],[1]:[31]])</f>
        <v>24632</v>
      </c>
      <c r="Q29">
        <v>30500</v>
      </c>
      <c r="R29" t="s">
        <v>105</v>
      </c>
      <c r="U29">
        <v>1000</v>
      </c>
      <c r="V29">
        <v>1800</v>
      </c>
      <c r="W29">
        <v>500</v>
      </c>
      <c r="AA29">
        <v>210</v>
      </c>
      <c r="AB29">
        <v>3000</v>
      </c>
      <c r="AD29">
        <v>3000</v>
      </c>
      <c r="AH29">
        <v>900</v>
      </c>
      <c r="AL29">
        <v>1510</v>
      </c>
      <c r="AQ29">
        <v>4270</v>
      </c>
      <c r="AS29">
        <v>600</v>
      </c>
      <c r="AT29">
        <v>1500</v>
      </c>
      <c r="AU29">
        <v>1867</v>
      </c>
      <c r="AV29">
        <v>4475</v>
      </c>
      <c r="AX29" t="s">
        <v>152</v>
      </c>
    </row>
    <row r="30" spans="1:50" x14ac:dyDescent="0.25">
      <c r="A30" t="s">
        <v>2</v>
      </c>
      <c r="B30" t="s">
        <v>17</v>
      </c>
      <c r="C30">
        <f>VLOOKUP(D1_JUNIO_2025[[#This Row],[SUPER]],DATA_JUNIO_2025[[SUPERVISOR]:[META]],3,0)</f>
        <v>65000</v>
      </c>
      <c r="D30">
        <f>D1_JUNIO_2025[[#This Row],[RECUPERO]]/D1_JUNIO_2025[[#This Row],[META]]</f>
        <v>0.54201538461538457</v>
      </c>
      <c r="E30" t="s">
        <v>2</v>
      </c>
      <c r="F30" t="s">
        <v>17</v>
      </c>
      <c r="G30">
        <v>35231</v>
      </c>
      <c r="H30" t="s">
        <v>385</v>
      </c>
      <c r="I30" s="55">
        <v>44888</v>
      </c>
      <c r="J30" t="s">
        <v>501</v>
      </c>
      <c r="L30" s="55"/>
      <c r="M30" s="1">
        <f>DATA_JUNIO_2025[[#This Row],[RECUPERO]]/DATA_JUNIO_2025[[#This Row],[META]]</f>
        <v>0.25192307692307692</v>
      </c>
      <c r="N30">
        <f>6-ROUNDUP(_xlfn.RANK.EQ(DATA_JUNIO_2025[[#This Row],[AL_AC]],DATA_JUNIO_2025[AL_AC],0)/(COUNTA(DATA_JUNIO_2025[AL_AC])/5),0)</f>
        <v>1</v>
      </c>
      <c r="O30" t="s">
        <v>2</v>
      </c>
      <c r="P30">
        <f>SUM(DATA_JUNIO_2025[[#This Row],[1]:[31]])</f>
        <v>16375</v>
      </c>
      <c r="Q30">
        <v>65000</v>
      </c>
      <c r="R30" t="s">
        <v>16</v>
      </c>
      <c r="V30">
        <v>1400</v>
      </c>
      <c r="AB30">
        <v>4000</v>
      </c>
      <c r="AE30">
        <v>700</v>
      </c>
      <c r="AG30">
        <v>475</v>
      </c>
      <c r="AL30">
        <v>3100</v>
      </c>
      <c r="AO30">
        <v>500</v>
      </c>
      <c r="AR30">
        <v>1000</v>
      </c>
      <c r="AV30">
        <v>5200</v>
      </c>
      <c r="AX30" t="s">
        <v>150</v>
      </c>
    </row>
    <row r="31" spans="1:50" x14ac:dyDescent="0.25">
      <c r="A31" t="s">
        <v>2</v>
      </c>
      <c r="B31" t="s">
        <v>12</v>
      </c>
      <c r="C31">
        <f>VLOOKUP(D1_JUNIO_2025[[#This Row],[SUPER]],DATA_JUNIO_2025[[SUPERVISOR]:[META]],3,0)</f>
        <v>65000</v>
      </c>
      <c r="D31">
        <f>D1_JUNIO_2025[[#This Row],[RECUPERO]]/D1_JUNIO_2025[[#This Row],[META]]</f>
        <v>0.50175384615384611</v>
      </c>
      <c r="E31" t="s">
        <v>2</v>
      </c>
      <c r="F31" t="s">
        <v>12</v>
      </c>
      <c r="G31">
        <v>32614</v>
      </c>
      <c r="H31" t="s">
        <v>389</v>
      </c>
      <c r="I31" s="55">
        <v>44870</v>
      </c>
      <c r="J31" t="s">
        <v>501</v>
      </c>
      <c r="L31" s="55"/>
      <c r="M31" s="1">
        <f>DATA_JUNIO_2025[[#This Row],[RECUPERO]]/DATA_JUNIO_2025[[#This Row],[META]]</f>
        <v>0.83660000000000001</v>
      </c>
      <c r="N31">
        <f>6-ROUNDUP(_xlfn.RANK.EQ(DATA_JUNIO_2025[[#This Row],[AL_AC]],DATA_JUNIO_2025[AL_AC],0)/(COUNTA(DATA_JUNIO_2025[AL_AC])/5),0)</f>
        <v>4</v>
      </c>
      <c r="O31" t="s">
        <v>125</v>
      </c>
      <c r="P31">
        <f>SUM(DATA_JUNIO_2025[[#This Row],[1]:[31]])</f>
        <v>12549</v>
      </c>
      <c r="Q31">
        <v>15000</v>
      </c>
      <c r="R31" t="s">
        <v>27</v>
      </c>
      <c r="W31">
        <v>200</v>
      </c>
      <c r="X31">
        <v>300</v>
      </c>
      <c r="AA31">
        <v>250</v>
      </c>
      <c r="AB31">
        <v>1200</v>
      </c>
      <c r="AC31">
        <v>1300</v>
      </c>
      <c r="AD31">
        <v>378</v>
      </c>
      <c r="AI31">
        <v>2400</v>
      </c>
      <c r="AJ31">
        <v>2000</v>
      </c>
      <c r="AK31">
        <v>200</v>
      </c>
      <c r="AL31">
        <v>1992</v>
      </c>
      <c r="AO31">
        <v>700</v>
      </c>
      <c r="AQ31">
        <v>200</v>
      </c>
      <c r="AS31">
        <v>279</v>
      </c>
      <c r="AV31">
        <v>1150</v>
      </c>
      <c r="AX31" t="s">
        <v>153</v>
      </c>
    </row>
    <row r="32" spans="1:50" x14ac:dyDescent="0.25">
      <c r="A32" t="s">
        <v>2</v>
      </c>
      <c r="B32" t="s">
        <v>77</v>
      </c>
      <c r="C32">
        <f>VLOOKUP(D1_JUNIO_2025[[#This Row],[SUPER]],DATA_JUNIO_2025[[SUPERVISOR]:[META]],3,0)</f>
        <v>65000</v>
      </c>
      <c r="D32">
        <f>D1_JUNIO_2025[[#This Row],[RECUPERO]]/D1_JUNIO_2025[[#This Row],[META]]</f>
        <v>0.32</v>
      </c>
      <c r="E32" t="s">
        <v>2</v>
      </c>
      <c r="F32" t="s">
        <v>77</v>
      </c>
      <c r="G32">
        <v>20800</v>
      </c>
      <c r="H32" t="s">
        <v>393</v>
      </c>
      <c r="I32" s="55">
        <v>44840</v>
      </c>
      <c r="J32" t="s">
        <v>501</v>
      </c>
      <c r="L32" s="55"/>
      <c r="M32" s="1">
        <f>DATA_JUNIO_2025[[#This Row],[RECUPERO]]/DATA_JUNIO_2025[[#This Row],[META]]</f>
        <v>0.50175384615384611</v>
      </c>
      <c r="N32">
        <f>6-ROUNDUP(_xlfn.RANK.EQ(DATA_JUNIO_2025[[#This Row],[AL_AC]],DATA_JUNIO_2025[AL_AC],0)/(COUNTA(DATA_JUNIO_2025[AL_AC])/5),0)</f>
        <v>3</v>
      </c>
      <c r="O32" t="s">
        <v>2</v>
      </c>
      <c r="P32">
        <f>SUM(DATA_JUNIO_2025[[#This Row],[1]:[31]])</f>
        <v>32614</v>
      </c>
      <c r="Q32">
        <v>65000</v>
      </c>
      <c r="R32" t="s">
        <v>12</v>
      </c>
      <c r="T32">
        <v>600</v>
      </c>
      <c r="U32">
        <v>1500</v>
      </c>
      <c r="W32">
        <v>9000</v>
      </c>
      <c r="AC32">
        <v>700</v>
      </c>
      <c r="AD32">
        <v>4000</v>
      </c>
      <c r="AH32">
        <v>600</v>
      </c>
      <c r="AI32">
        <v>2000</v>
      </c>
      <c r="AO32">
        <v>2000</v>
      </c>
      <c r="AQ32">
        <v>2234</v>
      </c>
      <c r="AR32">
        <v>3530</v>
      </c>
      <c r="AV32">
        <v>6450</v>
      </c>
      <c r="AX32" t="s">
        <v>150</v>
      </c>
    </row>
    <row r="33" spans="1:50" x14ac:dyDescent="0.25">
      <c r="A33" t="s">
        <v>2</v>
      </c>
      <c r="B33" t="s">
        <v>86</v>
      </c>
      <c r="C33">
        <f>VLOOKUP(D1_JUNIO_2025[[#This Row],[SUPER]],DATA_JUNIO_2025[[SUPERVISOR]:[META]],3,0)</f>
        <v>65000</v>
      </c>
      <c r="D33">
        <f>D1_JUNIO_2025[[#This Row],[RECUPERO]]/D1_JUNIO_2025[[#This Row],[META]]</f>
        <v>0.30121538461538461</v>
      </c>
      <c r="E33" t="s">
        <v>2</v>
      </c>
      <c r="F33" t="s">
        <v>86</v>
      </c>
      <c r="G33">
        <v>19579</v>
      </c>
      <c r="H33" t="s">
        <v>466</v>
      </c>
      <c r="I33" s="55">
        <v>45798</v>
      </c>
      <c r="J33" t="s">
        <v>501</v>
      </c>
      <c r="L33" s="55"/>
      <c r="M33" s="1">
        <f>DATA_JUNIO_2025[[#This Row],[RECUPERO]]/DATA_JUNIO_2025[[#This Row],[META]]</f>
        <v>0.30833333333333335</v>
      </c>
      <c r="N33">
        <f>6-ROUNDUP(_xlfn.RANK.EQ(DATA_JUNIO_2025[[#This Row],[AL_AC]],DATA_JUNIO_2025[AL_AC],0)/(COUNTA(DATA_JUNIO_2025[AL_AC])/5),0)</f>
        <v>2</v>
      </c>
      <c r="O33" t="s">
        <v>9</v>
      </c>
      <c r="P33">
        <f>SUM(DATA_JUNIO_2025[[#This Row],[1]:[31]])</f>
        <v>4625</v>
      </c>
      <c r="Q33">
        <v>15000</v>
      </c>
      <c r="R33" t="s">
        <v>51</v>
      </c>
      <c r="T33">
        <v>500</v>
      </c>
      <c r="AD33">
        <v>1000</v>
      </c>
      <c r="AH33">
        <v>200</v>
      </c>
      <c r="AI33">
        <v>480</v>
      </c>
      <c r="AL33">
        <v>215</v>
      </c>
      <c r="AO33">
        <v>500</v>
      </c>
      <c r="AS33">
        <v>500</v>
      </c>
      <c r="AV33">
        <v>1230</v>
      </c>
      <c r="AX33" t="s">
        <v>153</v>
      </c>
    </row>
    <row r="34" spans="1:50" x14ac:dyDescent="0.25">
      <c r="A34" t="s">
        <v>2</v>
      </c>
      <c r="B34" t="s">
        <v>16</v>
      </c>
      <c r="C34">
        <f>VLOOKUP(D1_JUNIO_2025[[#This Row],[SUPER]],DATA_JUNIO_2025[[SUPERVISOR]:[META]],3,0)</f>
        <v>65000</v>
      </c>
      <c r="D34">
        <f>D1_JUNIO_2025[[#This Row],[RECUPERO]]/D1_JUNIO_2025[[#This Row],[META]]</f>
        <v>0.25192307692307692</v>
      </c>
      <c r="E34" t="s">
        <v>2</v>
      </c>
      <c r="F34" t="s">
        <v>16</v>
      </c>
      <c r="G34">
        <v>16375</v>
      </c>
      <c r="H34" t="s">
        <v>388</v>
      </c>
      <c r="I34" s="55">
        <v>45334</v>
      </c>
      <c r="J34" t="s">
        <v>501</v>
      </c>
      <c r="L34" s="55"/>
      <c r="M34" s="1">
        <f>DATA_JUNIO_2025[[#This Row],[RECUPERO]]/DATA_JUNIO_2025[[#This Row],[META]]</f>
        <v>1.07595</v>
      </c>
      <c r="N34">
        <f>6-ROUNDUP(_xlfn.RANK.EQ(DATA_JUNIO_2025[[#This Row],[AL_AC]],DATA_JUNIO_2025[AL_AC],0)/(COUNTA(DATA_JUNIO_2025[AL_AC])/5),0)</f>
        <v>5</v>
      </c>
      <c r="O34" t="s">
        <v>2</v>
      </c>
      <c r="P34">
        <f>SUM(DATA_JUNIO_2025[[#This Row],[1]:[31]])</f>
        <v>69936.75</v>
      </c>
      <c r="Q34">
        <v>65000</v>
      </c>
      <c r="R34" t="s">
        <v>13</v>
      </c>
      <c r="T34">
        <v>2500</v>
      </c>
      <c r="U34">
        <v>1000</v>
      </c>
      <c r="AD34">
        <v>38000</v>
      </c>
      <c r="AI34">
        <v>1200</v>
      </c>
      <c r="AJ34">
        <v>2000</v>
      </c>
      <c r="AL34">
        <v>700</v>
      </c>
      <c r="AP34">
        <v>1000</v>
      </c>
      <c r="AS34">
        <v>15221.75</v>
      </c>
      <c r="AT34">
        <v>1500</v>
      </c>
      <c r="AV34">
        <v>6815</v>
      </c>
      <c r="AX34" t="s">
        <v>150</v>
      </c>
    </row>
    <row r="35" spans="1:50" x14ac:dyDescent="0.25">
      <c r="A35" t="s">
        <v>5</v>
      </c>
      <c r="B35" t="s">
        <v>58</v>
      </c>
      <c r="C35">
        <f>VLOOKUP(D1_JUNIO_2025[[#This Row],[SUPER]],DATA_JUNIO_2025[[SUPERVISOR]:[META]],3,0)</f>
        <v>65000</v>
      </c>
      <c r="D35">
        <f>D1_JUNIO_2025[[#This Row],[RECUPERO]]/D1_JUNIO_2025[[#This Row],[META]]</f>
        <v>0.87016923076923081</v>
      </c>
      <c r="E35" t="s">
        <v>5</v>
      </c>
      <c r="F35" t="s">
        <v>58</v>
      </c>
      <c r="G35">
        <v>56561</v>
      </c>
      <c r="H35" t="s">
        <v>441</v>
      </c>
      <c r="I35" s="55">
        <v>43035</v>
      </c>
      <c r="J35" t="s">
        <v>501</v>
      </c>
      <c r="L35" s="55"/>
      <c r="M35" s="1">
        <f>DATA_JUNIO_2025[[#This Row],[RECUPERO]]/DATA_JUNIO_2025[[#This Row],[META]]</f>
        <v>0.5633800000000001</v>
      </c>
      <c r="N35">
        <f>6-ROUNDUP(_xlfn.RANK.EQ(DATA_JUNIO_2025[[#This Row],[AL_AC]],DATA_JUNIO_2025[AL_AC],0)/(COUNTA(DATA_JUNIO_2025[AL_AC])/5),0)</f>
        <v>4</v>
      </c>
      <c r="O35" t="s">
        <v>9</v>
      </c>
      <c r="P35">
        <f>SUM(DATA_JUNIO_2025[[#This Row],[1]:[31]])</f>
        <v>8450.7000000000007</v>
      </c>
      <c r="Q35">
        <v>15000</v>
      </c>
      <c r="R35" t="s">
        <v>32</v>
      </c>
      <c r="U35">
        <v>640</v>
      </c>
      <c r="W35">
        <v>160</v>
      </c>
      <c r="AB35">
        <v>200</v>
      </c>
      <c r="AC35">
        <v>500</v>
      </c>
      <c r="AE35">
        <v>902.7</v>
      </c>
      <c r="AH35">
        <v>800</v>
      </c>
      <c r="AJ35">
        <v>310</v>
      </c>
      <c r="AO35">
        <v>1356</v>
      </c>
      <c r="AP35">
        <v>790</v>
      </c>
      <c r="AS35">
        <v>500</v>
      </c>
      <c r="AT35">
        <v>200</v>
      </c>
      <c r="AV35">
        <v>2092</v>
      </c>
      <c r="AX35" t="s">
        <v>153</v>
      </c>
    </row>
    <row r="36" spans="1:50" x14ac:dyDescent="0.25">
      <c r="A36" t="s">
        <v>5</v>
      </c>
      <c r="B36" t="s">
        <v>70</v>
      </c>
      <c r="C36">
        <f>VLOOKUP(D1_JUNIO_2025[[#This Row],[SUPER]],DATA_JUNIO_2025[[SUPERVISOR]:[META]],3,0)</f>
        <v>65000</v>
      </c>
      <c r="D36">
        <f>D1_JUNIO_2025[[#This Row],[RECUPERO]]/D1_JUNIO_2025[[#This Row],[META]]</f>
        <v>0.77458461538461543</v>
      </c>
      <c r="E36" t="s">
        <v>5</v>
      </c>
      <c r="F36" t="s">
        <v>70</v>
      </c>
      <c r="G36">
        <v>50348</v>
      </c>
      <c r="H36" t="s">
        <v>418</v>
      </c>
      <c r="I36" s="55">
        <v>44971</v>
      </c>
      <c r="J36" t="s">
        <v>501</v>
      </c>
      <c r="L36" s="55"/>
      <c r="M36" s="1">
        <f>DATA_JUNIO_2025[[#This Row],[RECUPERO]]/DATA_JUNIO_2025[[#This Row],[META]]</f>
        <v>0.47669230769230769</v>
      </c>
      <c r="N36">
        <f>6-ROUNDUP(_xlfn.RANK.EQ(DATA_JUNIO_2025[[#This Row],[AL_AC]],DATA_JUNIO_2025[AL_AC],0)/(COUNTA(DATA_JUNIO_2025[AL_AC])/5),0)</f>
        <v>3</v>
      </c>
      <c r="O36" t="s">
        <v>5</v>
      </c>
      <c r="P36">
        <f>SUM(DATA_JUNIO_2025[[#This Row],[1]:[31]])</f>
        <v>30985</v>
      </c>
      <c r="Q36">
        <v>65000</v>
      </c>
      <c r="R36" t="s">
        <v>66</v>
      </c>
      <c r="T36">
        <v>610</v>
      </c>
      <c r="U36">
        <v>295</v>
      </c>
      <c r="X36">
        <v>716</v>
      </c>
      <c r="AB36">
        <v>600</v>
      </c>
      <c r="AK36">
        <v>2500</v>
      </c>
      <c r="AL36">
        <v>600</v>
      </c>
      <c r="AR36">
        <v>20000</v>
      </c>
      <c r="AS36">
        <v>4000</v>
      </c>
      <c r="AV36">
        <v>1664</v>
      </c>
      <c r="AX36" t="s">
        <v>150</v>
      </c>
    </row>
    <row r="37" spans="1:50" x14ac:dyDescent="0.25">
      <c r="A37" t="s">
        <v>5</v>
      </c>
      <c r="B37" t="s">
        <v>72</v>
      </c>
      <c r="C37">
        <f>VLOOKUP(D1_JUNIO_2025[[#This Row],[SUPER]],DATA_JUNIO_2025[[SUPERVISOR]:[META]],3,0)</f>
        <v>65000</v>
      </c>
      <c r="D37">
        <f>D1_JUNIO_2025[[#This Row],[RECUPERO]]/D1_JUNIO_2025[[#This Row],[META]]</f>
        <v>0.75239999999999996</v>
      </c>
      <c r="E37" t="s">
        <v>5</v>
      </c>
      <c r="F37" t="s">
        <v>72</v>
      </c>
      <c r="G37">
        <v>48906</v>
      </c>
      <c r="H37" t="s">
        <v>450</v>
      </c>
      <c r="I37" s="55">
        <v>45084</v>
      </c>
      <c r="J37" t="s">
        <v>501</v>
      </c>
      <c r="L37" s="55"/>
      <c r="M37" s="1">
        <f>DATA_JUNIO_2025[[#This Row],[RECUPERO]]/DATA_JUNIO_2025[[#This Row],[META]]</f>
        <v>0.32</v>
      </c>
      <c r="N37">
        <f>6-ROUNDUP(_xlfn.RANK.EQ(DATA_JUNIO_2025[[#This Row],[AL_AC]],DATA_JUNIO_2025[AL_AC],0)/(COUNTA(DATA_JUNIO_2025[AL_AC])/5),0)</f>
        <v>2</v>
      </c>
      <c r="O37" t="s">
        <v>6</v>
      </c>
      <c r="P37">
        <f>SUM(DATA_JUNIO_2025[[#This Row],[1]:[31]])</f>
        <v>9760</v>
      </c>
      <c r="Q37">
        <v>30500</v>
      </c>
      <c r="R37" t="s">
        <v>44</v>
      </c>
      <c r="U37">
        <v>100</v>
      </c>
      <c r="W37">
        <v>900</v>
      </c>
      <c r="X37">
        <v>600</v>
      </c>
      <c r="AB37">
        <v>500</v>
      </c>
      <c r="AD37">
        <v>140</v>
      </c>
      <c r="AH37">
        <v>120</v>
      </c>
      <c r="AI37">
        <v>420</v>
      </c>
      <c r="AK37">
        <v>230</v>
      </c>
      <c r="AO37">
        <v>1550</v>
      </c>
      <c r="AS37">
        <v>4700</v>
      </c>
      <c r="AV37">
        <v>500</v>
      </c>
      <c r="AX37" t="s">
        <v>152</v>
      </c>
    </row>
    <row r="38" spans="1:50" x14ac:dyDescent="0.25">
      <c r="A38" t="s">
        <v>5</v>
      </c>
      <c r="B38" t="s">
        <v>79</v>
      </c>
      <c r="C38">
        <f>VLOOKUP(D1_JUNIO_2025[[#This Row],[SUPER]],DATA_JUNIO_2025[[SUPERVISOR]:[META]],3,0)</f>
        <v>65000</v>
      </c>
      <c r="D38">
        <f>D1_JUNIO_2025[[#This Row],[RECUPERO]]/D1_JUNIO_2025[[#This Row],[META]]</f>
        <v>0.59830769230769232</v>
      </c>
      <c r="E38" t="s">
        <v>5</v>
      </c>
      <c r="F38" t="s">
        <v>79</v>
      </c>
      <c r="G38">
        <v>38890</v>
      </c>
      <c r="H38" t="s">
        <v>453</v>
      </c>
      <c r="I38" s="55">
        <v>44566</v>
      </c>
      <c r="J38" t="s">
        <v>501</v>
      </c>
      <c r="L38" s="55"/>
      <c r="M38" s="1">
        <f>DATA_JUNIO_2025[[#This Row],[RECUPERO]]/DATA_JUNIO_2025[[#This Row],[META]]</f>
        <v>0.46814666666666666</v>
      </c>
      <c r="N38">
        <f>6-ROUNDUP(_xlfn.RANK.EQ(DATA_JUNIO_2025[[#This Row],[AL_AC]],DATA_JUNIO_2025[AL_AC],0)/(COUNTA(DATA_JUNIO_2025[AL_AC])/5),0)</f>
        <v>3</v>
      </c>
      <c r="O38" t="s">
        <v>8</v>
      </c>
      <c r="P38">
        <f>SUM(DATA_JUNIO_2025[[#This Row],[1]:[31]])</f>
        <v>7022.2</v>
      </c>
      <c r="Q38">
        <v>15000</v>
      </c>
      <c r="R38" t="s">
        <v>42</v>
      </c>
      <c r="U38">
        <v>2233</v>
      </c>
      <c r="X38">
        <v>400</v>
      </c>
      <c r="Y38">
        <v>200</v>
      </c>
      <c r="AA38">
        <v>189</v>
      </c>
      <c r="AB38">
        <v>200</v>
      </c>
      <c r="AH38">
        <v>500</v>
      </c>
      <c r="AK38">
        <v>300</v>
      </c>
      <c r="AM38">
        <v>3000.2</v>
      </c>
      <c r="AX38" t="s">
        <v>153</v>
      </c>
    </row>
    <row r="39" spans="1:50" x14ac:dyDescent="0.25">
      <c r="A39" t="s">
        <v>5</v>
      </c>
      <c r="B39" t="s">
        <v>67</v>
      </c>
      <c r="C39">
        <f>VLOOKUP(D1_JUNIO_2025[[#This Row],[SUPER]],DATA_JUNIO_2025[[SUPERVISOR]:[META]],3,0)</f>
        <v>65000</v>
      </c>
      <c r="D39">
        <f>D1_JUNIO_2025[[#This Row],[RECUPERO]]/D1_JUNIO_2025[[#This Row],[META]]</f>
        <v>0.5121230769230769</v>
      </c>
      <c r="E39" t="s">
        <v>5</v>
      </c>
      <c r="F39" t="s">
        <v>67</v>
      </c>
      <c r="G39">
        <v>33288</v>
      </c>
      <c r="H39" t="s">
        <v>381</v>
      </c>
      <c r="I39" s="55">
        <v>44811</v>
      </c>
      <c r="J39" t="s">
        <v>501</v>
      </c>
      <c r="L39" s="55"/>
      <c r="M39" s="1">
        <f>DATA_JUNIO_2025[[#This Row],[RECUPERO]]/DATA_JUNIO_2025[[#This Row],[META]]</f>
        <v>0.78659999999999997</v>
      </c>
      <c r="N39">
        <f>6-ROUNDUP(_xlfn.RANK.EQ(DATA_JUNIO_2025[[#This Row],[AL_AC]],DATA_JUNIO_2025[AL_AC],0)/(COUNTA(DATA_JUNIO_2025[AL_AC])/5),0)</f>
        <v>4</v>
      </c>
      <c r="O39" t="s">
        <v>8</v>
      </c>
      <c r="P39">
        <f>SUM(DATA_JUNIO_2025[[#This Row],[1]:[31]])</f>
        <v>11799</v>
      </c>
      <c r="Q39">
        <v>15000</v>
      </c>
      <c r="R39" t="s">
        <v>83</v>
      </c>
      <c r="T39">
        <v>839</v>
      </c>
      <c r="V39">
        <v>986</v>
      </c>
      <c r="X39">
        <v>244</v>
      </c>
      <c r="Y39">
        <v>150</v>
      </c>
      <c r="AB39">
        <v>100</v>
      </c>
      <c r="AC39">
        <v>354</v>
      </c>
      <c r="AD39">
        <v>193</v>
      </c>
      <c r="AE39">
        <v>2900</v>
      </c>
      <c r="AI39">
        <v>500</v>
      </c>
      <c r="AJ39">
        <v>1250</v>
      </c>
      <c r="AK39">
        <v>200</v>
      </c>
      <c r="AN39">
        <v>200</v>
      </c>
      <c r="AO39">
        <v>550</v>
      </c>
      <c r="AQ39">
        <v>850</v>
      </c>
      <c r="AR39">
        <v>485</v>
      </c>
      <c r="AS39">
        <v>250</v>
      </c>
      <c r="AV39">
        <v>1748</v>
      </c>
      <c r="AX39" t="s">
        <v>153</v>
      </c>
    </row>
    <row r="40" spans="1:50" x14ac:dyDescent="0.25">
      <c r="A40" t="s">
        <v>5</v>
      </c>
      <c r="B40" t="s">
        <v>66</v>
      </c>
      <c r="C40">
        <f>VLOOKUP(D1_JUNIO_2025[[#This Row],[SUPER]],DATA_JUNIO_2025[[SUPERVISOR]:[META]],3,0)</f>
        <v>65000</v>
      </c>
      <c r="D40">
        <f>D1_JUNIO_2025[[#This Row],[RECUPERO]]/D1_JUNIO_2025[[#This Row],[META]]</f>
        <v>0.47669230769230769</v>
      </c>
      <c r="E40" t="s">
        <v>5</v>
      </c>
      <c r="F40" t="s">
        <v>66</v>
      </c>
      <c r="G40">
        <v>30985</v>
      </c>
      <c r="H40" t="s">
        <v>383</v>
      </c>
      <c r="I40" s="55">
        <v>45457</v>
      </c>
      <c r="J40" t="s">
        <v>501</v>
      </c>
      <c r="L40" s="55"/>
      <c r="M40" s="1">
        <f>DATA_JUNIO_2025[[#This Row],[RECUPERO]]/DATA_JUNIO_2025[[#This Row],[META]]</f>
        <v>1.1831230769230769</v>
      </c>
      <c r="N40">
        <f>6-ROUNDUP(_xlfn.RANK.EQ(DATA_JUNIO_2025[[#This Row],[AL_AC]],DATA_JUNIO_2025[AL_AC],0)/(COUNTA(DATA_JUNIO_2025[AL_AC])/5),0)</f>
        <v>5</v>
      </c>
      <c r="O40" t="s">
        <v>4</v>
      </c>
      <c r="P40">
        <f>SUM(DATA_JUNIO_2025[[#This Row],[1]:[31]])</f>
        <v>76903</v>
      </c>
      <c r="Q40">
        <v>65000</v>
      </c>
      <c r="R40" t="s">
        <v>57</v>
      </c>
      <c r="T40">
        <v>7700</v>
      </c>
      <c r="W40">
        <v>8000</v>
      </c>
      <c r="X40">
        <v>600</v>
      </c>
      <c r="AA40">
        <v>9103</v>
      </c>
      <c r="AC40">
        <v>7500</v>
      </c>
      <c r="AD40">
        <v>23100</v>
      </c>
      <c r="AH40">
        <v>9000</v>
      </c>
      <c r="AL40">
        <v>6000</v>
      </c>
      <c r="AQ40">
        <v>1250</v>
      </c>
      <c r="AV40">
        <v>4650</v>
      </c>
      <c r="AX40" t="s">
        <v>150</v>
      </c>
    </row>
    <row r="41" spans="1:50" x14ac:dyDescent="0.25">
      <c r="A41" t="s">
        <v>5</v>
      </c>
      <c r="B41" t="s">
        <v>68</v>
      </c>
      <c r="C41">
        <f>VLOOKUP(D1_JUNIO_2025[[#This Row],[SUPER]],DATA_JUNIO_2025[[SUPERVISOR]:[META]],3,0)</f>
        <v>65000</v>
      </c>
      <c r="D41">
        <f>D1_JUNIO_2025[[#This Row],[RECUPERO]]/D1_JUNIO_2025[[#This Row],[META]]</f>
        <v>0.42841538461538464</v>
      </c>
      <c r="E41" t="s">
        <v>5</v>
      </c>
      <c r="F41" t="s">
        <v>68</v>
      </c>
      <c r="G41">
        <v>27847</v>
      </c>
      <c r="H41" t="s">
        <v>440</v>
      </c>
      <c r="I41" s="55">
        <v>45364</v>
      </c>
      <c r="J41" t="s">
        <v>501</v>
      </c>
      <c r="L41" s="55"/>
      <c r="M41" s="1">
        <f>DATA_JUNIO_2025[[#This Row],[RECUPERO]]/DATA_JUNIO_2025[[#This Row],[META]]</f>
        <v>0.36593333333333333</v>
      </c>
      <c r="N41">
        <f>6-ROUNDUP(_xlfn.RANK.EQ(DATA_JUNIO_2025[[#This Row],[AL_AC]],DATA_JUNIO_2025[AL_AC],0)/(COUNTA(DATA_JUNIO_2025[AL_AC])/5),0)</f>
        <v>2</v>
      </c>
      <c r="O41" t="s">
        <v>9</v>
      </c>
      <c r="P41">
        <f>SUM(DATA_JUNIO_2025[[#This Row],[1]:[31]])</f>
        <v>5489</v>
      </c>
      <c r="Q41">
        <v>15000</v>
      </c>
      <c r="R41" t="s">
        <v>49</v>
      </c>
      <c r="W41">
        <v>400</v>
      </c>
      <c r="X41">
        <v>550</v>
      </c>
      <c r="AB41">
        <v>300</v>
      </c>
      <c r="AD41">
        <v>1000</v>
      </c>
      <c r="AF41">
        <v>345</v>
      </c>
      <c r="AK41">
        <v>633</v>
      </c>
      <c r="AL41">
        <v>661</v>
      </c>
      <c r="AV41">
        <v>1600</v>
      </c>
      <c r="AX41" t="s">
        <v>153</v>
      </c>
    </row>
    <row r="42" spans="1:50" x14ac:dyDescent="0.25">
      <c r="A42" t="s">
        <v>5</v>
      </c>
      <c r="B42" t="s">
        <v>85</v>
      </c>
      <c r="C42">
        <f>VLOOKUP(D1_JUNIO_2025[[#This Row],[SUPER]],DATA_JUNIO_2025[[SUPERVISOR]:[META]],3,0)</f>
        <v>65000</v>
      </c>
      <c r="D42">
        <f>D1_JUNIO_2025[[#This Row],[RECUPERO]]/D1_JUNIO_2025[[#This Row],[META]]</f>
        <v>0.28987692307692309</v>
      </c>
      <c r="E42" t="s">
        <v>5</v>
      </c>
      <c r="F42" t="s">
        <v>85</v>
      </c>
      <c r="G42">
        <v>18842</v>
      </c>
      <c r="H42" t="s">
        <v>380</v>
      </c>
      <c r="I42" s="55">
        <v>44811</v>
      </c>
      <c r="J42" t="s">
        <v>501</v>
      </c>
      <c r="L42" s="55"/>
      <c r="M42" s="1">
        <f>DATA_JUNIO_2025[[#This Row],[RECUPERO]]/DATA_JUNIO_2025[[#This Row],[META]]</f>
        <v>0.64621538461538464</v>
      </c>
      <c r="N42">
        <f>6-ROUNDUP(_xlfn.RANK.EQ(DATA_JUNIO_2025[[#This Row],[AL_AC]],DATA_JUNIO_2025[AL_AC],0)/(COUNTA(DATA_JUNIO_2025[AL_AC])/5),0)</f>
        <v>4</v>
      </c>
      <c r="O42" t="s">
        <v>3</v>
      </c>
      <c r="P42">
        <f>SUM(DATA_JUNIO_2025[[#This Row],[1]:[31]])</f>
        <v>42004</v>
      </c>
      <c r="Q42">
        <v>65000</v>
      </c>
      <c r="R42" t="s">
        <v>26</v>
      </c>
      <c r="T42">
        <v>1000</v>
      </c>
      <c r="V42">
        <v>9000</v>
      </c>
      <c r="W42">
        <v>7000</v>
      </c>
      <c r="X42">
        <v>1000</v>
      </c>
      <c r="AA42">
        <v>5800</v>
      </c>
      <c r="AB42">
        <v>2500</v>
      </c>
      <c r="AC42">
        <v>8000</v>
      </c>
      <c r="AL42">
        <v>4000</v>
      </c>
      <c r="AP42">
        <v>700</v>
      </c>
      <c r="AS42">
        <v>600</v>
      </c>
      <c r="AV42">
        <v>2404</v>
      </c>
      <c r="AX42" t="s">
        <v>150</v>
      </c>
    </row>
    <row r="43" spans="1:50" x14ac:dyDescent="0.25">
      <c r="A43" t="s">
        <v>6</v>
      </c>
      <c r="B43" t="s">
        <v>50</v>
      </c>
      <c r="C43">
        <f>VLOOKUP(D1_JUNIO_2025[[#This Row],[SUPER]],DATA_JUNIO_2025[[SUPERVISOR]:[META]],3,0)</f>
        <v>30500</v>
      </c>
      <c r="D43">
        <f>D1_JUNIO_2025[[#This Row],[RECUPERO]]/D1_JUNIO_2025[[#This Row],[META]]</f>
        <v>0.82065573770491806</v>
      </c>
      <c r="E43" t="s">
        <v>6</v>
      </c>
      <c r="F43" t="s">
        <v>50</v>
      </c>
      <c r="G43">
        <v>25030</v>
      </c>
      <c r="H43" t="s">
        <v>402</v>
      </c>
      <c r="I43" s="55">
        <v>45523</v>
      </c>
      <c r="J43" t="s">
        <v>501</v>
      </c>
      <c r="L43" s="55"/>
      <c r="M43" s="1">
        <f>DATA_JUNIO_2025[[#This Row],[RECUPERO]]/DATA_JUNIO_2025[[#This Row],[META]]</f>
        <v>0.92958461538461534</v>
      </c>
      <c r="N43">
        <f>6-ROUNDUP(_xlfn.RANK.EQ(DATA_JUNIO_2025[[#This Row],[AL_AC]],DATA_JUNIO_2025[AL_AC],0)/(COUNTA(DATA_JUNIO_2025[AL_AC])/5),0)</f>
        <v>5</v>
      </c>
      <c r="O43" t="s">
        <v>4</v>
      </c>
      <c r="P43">
        <f>SUM(DATA_JUNIO_2025[[#This Row],[1]:[31]])</f>
        <v>60423</v>
      </c>
      <c r="Q43">
        <v>65000</v>
      </c>
      <c r="R43" t="s">
        <v>65</v>
      </c>
      <c r="W43">
        <v>10500</v>
      </c>
      <c r="X43">
        <v>1000</v>
      </c>
      <c r="AA43">
        <v>400</v>
      </c>
      <c r="AC43">
        <v>12000</v>
      </c>
      <c r="AD43">
        <v>120</v>
      </c>
      <c r="AE43">
        <v>15000</v>
      </c>
      <c r="AH43">
        <v>1130</v>
      </c>
      <c r="AJ43">
        <v>1062</v>
      </c>
      <c r="AL43">
        <v>5665</v>
      </c>
      <c r="AO43">
        <v>1500</v>
      </c>
      <c r="AQ43">
        <v>2050</v>
      </c>
      <c r="AR43">
        <v>1092</v>
      </c>
      <c r="AS43">
        <v>886</v>
      </c>
      <c r="AT43">
        <v>1500</v>
      </c>
      <c r="AV43">
        <v>6518</v>
      </c>
      <c r="AX43" t="s">
        <v>150</v>
      </c>
    </row>
    <row r="44" spans="1:50" x14ac:dyDescent="0.25">
      <c r="A44" t="s">
        <v>6</v>
      </c>
      <c r="B44" t="s">
        <v>105</v>
      </c>
      <c r="C44">
        <f>VLOOKUP(D1_JUNIO_2025[[#This Row],[SUPER]],DATA_JUNIO_2025[[SUPERVISOR]:[META]],3,0)</f>
        <v>30500</v>
      </c>
      <c r="D44">
        <f>D1_JUNIO_2025[[#This Row],[RECUPERO]]/D1_JUNIO_2025[[#This Row],[META]]</f>
        <v>0.80760655737704923</v>
      </c>
      <c r="E44" t="s">
        <v>6</v>
      </c>
      <c r="F44" t="s">
        <v>105</v>
      </c>
      <c r="G44">
        <v>24632</v>
      </c>
      <c r="H44" t="s">
        <v>463</v>
      </c>
      <c r="I44" s="55">
        <v>45748</v>
      </c>
      <c r="J44" t="s">
        <v>501</v>
      </c>
      <c r="L44" s="55"/>
      <c r="M44" s="1">
        <f>DATA_JUNIO_2025[[#This Row],[RECUPERO]]/DATA_JUNIO_2025[[#This Row],[META]]</f>
        <v>0.37245901639344264</v>
      </c>
      <c r="N44">
        <f>6-ROUNDUP(_xlfn.RANK.EQ(DATA_JUNIO_2025[[#This Row],[AL_AC]],DATA_JUNIO_2025[AL_AC],0)/(COUNTA(DATA_JUNIO_2025[AL_AC])/5),0)</f>
        <v>2</v>
      </c>
      <c r="O44" t="s">
        <v>6</v>
      </c>
      <c r="P44">
        <f>SUM(DATA_JUNIO_2025[[#This Row],[1]:[31]])</f>
        <v>11360</v>
      </c>
      <c r="Q44">
        <v>30500</v>
      </c>
      <c r="R44" t="s">
        <v>37</v>
      </c>
      <c r="T44">
        <v>2000</v>
      </c>
      <c r="U44">
        <v>100</v>
      </c>
      <c r="W44">
        <v>500</v>
      </c>
      <c r="AA44">
        <v>1470</v>
      </c>
      <c r="AC44">
        <v>200</v>
      </c>
      <c r="AD44">
        <v>1500</v>
      </c>
      <c r="AH44">
        <v>2000</v>
      </c>
      <c r="AK44">
        <v>2800</v>
      </c>
      <c r="AP44">
        <v>240</v>
      </c>
      <c r="AR44">
        <v>150</v>
      </c>
      <c r="AV44">
        <v>400</v>
      </c>
      <c r="AX44" t="s">
        <v>152</v>
      </c>
    </row>
    <row r="45" spans="1:50" x14ac:dyDescent="0.25">
      <c r="A45" t="s">
        <v>6</v>
      </c>
      <c r="B45" t="s">
        <v>35</v>
      </c>
      <c r="C45">
        <f>VLOOKUP(D1_JUNIO_2025[[#This Row],[SUPER]],DATA_JUNIO_2025[[SUPERVISOR]:[META]],3,0)</f>
        <v>30500</v>
      </c>
      <c r="D45">
        <f>D1_JUNIO_2025[[#This Row],[RECUPERO]]/D1_JUNIO_2025[[#This Row],[META]]</f>
        <v>0.51557377049180331</v>
      </c>
      <c r="E45" t="s">
        <v>6</v>
      </c>
      <c r="F45" t="s">
        <v>35</v>
      </c>
      <c r="G45">
        <v>15725</v>
      </c>
      <c r="H45" t="s">
        <v>401</v>
      </c>
      <c r="I45" s="55">
        <v>44748</v>
      </c>
      <c r="J45" t="s">
        <v>501</v>
      </c>
      <c r="L45" s="55"/>
      <c r="M45" s="1">
        <f>DATA_JUNIO_2025[[#This Row],[RECUPERO]]/DATA_JUNIO_2025[[#This Row],[META]]</f>
        <v>0.34173333333333333</v>
      </c>
      <c r="N45">
        <f>6-ROUNDUP(_xlfn.RANK.EQ(DATA_JUNIO_2025[[#This Row],[AL_AC]],DATA_JUNIO_2025[AL_AC],0)/(COUNTA(DATA_JUNIO_2025[AL_AC])/5),0)</f>
        <v>2</v>
      </c>
      <c r="O45" t="s">
        <v>125</v>
      </c>
      <c r="P45">
        <f>SUM(DATA_JUNIO_2025[[#This Row],[1]:[31]])</f>
        <v>5126</v>
      </c>
      <c r="Q45">
        <v>15000</v>
      </c>
      <c r="R45" t="s">
        <v>106</v>
      </c>
      <c r="U45">
        <v>210</v>
      </c>
      <c r="X45">
        <v>850</v>
      </c>
      <c r="AA45">
        <v>200</v>
      </c>
      <c r="AB45">
        <v>1080</v>
      </c>
      <c r="AE45">
        <v>762</v>
      </c>
      <c r="AM45">
        <v>324</v>
      </c>
      <c r="AO45">
        <v>400</v>
      </c>
      <c r="AS45">
        <v>1300</v>
      </c>
      <c r="AX45" t="s">
        <v>153</v>
      </c>
    </row>
    <row r="46" spans="1:50" x14ac:dyDescent="0.25">
      <c r="A46" t="s">
        <v>6</v>
      </c>
      <c r="B46" t="s">
        <v>19</v>
      </c>
      <c r="C46">
        <f>VLOOKUP(D1_JUNIO_2025[[#This Row],[SUPER]],DATA_JUNIO_2025[[SUPERVISOR]:[META]],3,0)</f>
        <v>30500</v>
      </c>
      <c r="D46">
        <f>D1_JUNIO_2025[[#This Row],[RECUPERO]]/D1_JUNIO_2025[[#This Row],[META]]</f>
        <v>0.44668852459016395</v>
      </c>
      <c r="E46" t="s">
        <v>6</v>
      </c>
      <c r="F46" t="s">
        <v>19</v>
      </c>
      <c r="G46">
        <v>13624</v>
      </c>
      <c r="H46" t="s">
        <v>399</v>
      </c>
      <c r="I46" s="55">
        <v>44673</v>
      </c>
      <c r="J46" t="s">
        <v>501</v>
      </c>
      <c r="L46" s="55"/>
      <c r="M46" s="1">
        <f>DATA_JUNIO_2025[[#This Row],[RECUPERO]]/DATA_JUNIO_2025[[#This Row],[META]]</f>
        <v>4.6666666666666669E-2</v>
      </c>
      <c r="N46">
        <f>6-ROUNDUP(_xlfn.RANK.EQ(DATA_JUNIO_2025[[#This Row],[AL_AC]],DATA_JUNIO_2025[AL_AC],0)/(COUNTA(DATA_JUNIO_2025[AL_AC])/5),0)</f>
        <v>1</v>
      </c>
      <c r="O46" t="s">
        <v>9</v>
      </c>
      <c r="P46">
        <f>SUM(DATA_JUNIO_2025[[#This Row],[1]:[31]])</f>
        <v>700</v>
      </c>
      <c r="Q46">
        <v>15000</v>
      </c>
      <c r="R46" t="s">
        <v>112</v>
      </c>
      <c r="AP46">
        <v>700</v>
      </c>
      <c r="AX46" t="s">
        <v>153</v>
      </c>
    </row>
    <row r="47" spans="1:50" x14ac:dyDescent="0.25">
      <c r="A47" t="s">
        <v>6</v>
      </c>
      <c r="B47" t="s">
        <v>31</v>
      </c>
      <c r="C47">
        <f>VLOOKUP(D1_JUNIO_2025[[#This Row],[SUPER]],DATA_JUNIO_2025[[SUPERVISOR]:[META]],3,0)</f>
        <v>30500</v>
      </c>
      <c r="D47">
        <f>D1_JUNIO_2025[[#This Row],[RECUPERO]]/D1_JUNIO_2025[[#This Row],[META]]</f>
        <v>0.43803278688524588</v>
      </c>
      <c r="E47" t="s">
        <v>6</v>
      </c>
      <c r="F47" t="s">
        <v>31</v>
      </c>
      <c r="G47">
        <v>13360</v>
      </c>
      <c r="H47" t="s">
        <v>403</v>
      </c>
      <c r="I47" s="55">
        <v>45334</v>
      </c>
      <c r="J47" t="s">
        <v>501</v>
      </c>
      <c r="L47" s="55"/>
      <c r="M47" s="1">
        <f>DATA_JUNIO_2025[[#This Row],[RECUPERO]]/DATA_JUNIO_2025[[#This Row],[META]]</f>
        <v>0.32</v>
      </c>
      <c r="N47">
        <f>6-ROUNDUP(_xlfn.RANK.EQ(DATA_JUNIO_2025[[#This Row],[AL_AC]],DATA_JUNIO_2025[AL_AC],0)/(COUNTA(DATA_JUNIO_2025[AL_AC])/5),0)</f>
        <v>2</v>
      </c>
      <c r="O47" t="s">
        <v>2</v>
      </c>
      <c r="P47">
        <f>SUM(DATA_JUNIO_2025[[#This Row],[1]:[31]])</f>
        <v>20800</v>
      </c>
      <c r="Q47">
        <v>65000</v>
      </c>
      <c r="R47" t="s">
        <v>77</v>
      </c>
      <c r="AN47">
        <v>800</v>
      </c>
      <c r="AQ47">
        <v>19000</v>
      </c>
      <c r="AV47">
        <v>1000</v>
      </c>
      <c r="AX47" t="s">
        <v>150</v>
      </c>
    </row>
    <row r="48" spans="1:50" x14ac:dyDescent="0.25">
      <c r="A48" t="s">
        <v>6</v>
      </c>
      <c r="B48" t="s">
        <v>34</v>
      </c>
      <c r="C48">
        <f>VLOOKUP(D1_JUNIO_2025[[#This Row],[SUPER]],DATA_JUNIO_2025[[SUPERVISOR]:[META]],3,0)</f>
        <v>30500</v>
      </c>
      <c r="D48">
        <f>D1_JUNIO_2025[[#This Row],[RECUPERO]]/D1_JUNIO_2025[[#This Row],[META]]</f>
        <v>0.38524590163934425</v>
      </c>
      <c r="E48" t="s">
        <v>6</v>
      </c>
      <c r="F48" t="s">
        <v>34</v>
      </c>
      <c r="G48">
        <v>11750</v>
      </c>
      <c r="H48" t="s">
        <v>407</v>
      </c>
      <c r="I48" s="55">
        <v>45175</v>
      </c>
      <c r="J48" t="s">
        <v>501</v>
      </c>
      <c r="L48" s="55"/>
      <c r="M48" s="1">
        <f>DATA_JUNIO_2025[[#This Row],[RECUPERO]]/DATA_JUNIO_2025[[#This Row],[META]]</f>
        <v>0.51557377049180331</v>
      </c>
      <c r="N48">
        <f>6-ROUNDUP(_xlfn.RANK.EQ(DATA_JUNIO_2025[[#This Row],[AL_AC]],DATA_JUNIO_2025[AL_AC],0)/(COUNTA(DATA_JUNIO_2025[AL_AC])/5),0)</f>
        <v>3</v>
      </c>
      <c r="O48" t="s">
        <v>6</v>
      </c>
      <c r="P48">
        <f>SUM(DATA_JUNIO_2025[[#This Row],[1]:[31]])</f>
        <v>15725</v>
      </c>
      <c r="Q48">
        <v>30500</v>
      </c>
      <c r="R48" t="s">
        <v>35</v>
      </c>
      <c r="T48">
        <v>500</v>
      </c>
      <c r="U48">
        <v>2200</v>
      </c>
      <c r="X48">
        <v>450</v>
      </c>
      <c r="AC48">
        <v>280</v>
      </c>
      <c r="AD48">
        <v>500</v>
      </c>
      <c r="AH48">
        <v>610</v>
      </c>
      <c r="AJ48">
        <v>500</v>
      </c>
      <c r="AK48">
        <v>2500</v>
      </c>
      <c r="AL48">
        <v>2000</v>
      </c>
      <c r="AT48">
        <v>300</v>
      </c>
      <c r="AU48">
        <v>300</v>
      </c>
      <c r="AV48">
        <v>5585</v>
      </c>
      <c r="AX48" t="s">
        <v>152</v>
      </c>
    </row>
    <row r="49" spans="1:50" x14ac:dyDescent="0.25">
      <c r="A49" t="s">
        <v>6</v>
      </c>
      <c r="B49" t="s">
        <v>37</v>
      </c>
      <c r="C49">
        <f>VLOOKUP(D1_JUNIO_2025[[#This Row],[SUPER]],DATA_JUNIO_2025[[SUPERVISOR]:[META]],3,0)</f>
        <v>30500</v>
      </c>
      <c r="D49">
        <f>D1_JUNIO_2025[[#This Row],[RECUPERO]]/D1_JUNIO_2025[[#This Row],[META]]</f>
        <v>0.37245901639344264</v>
      </c>
      <c r="E49" t="s">
        <v>6</v>
      </c>
      <c r="F49" t="s">
        <v>37</v>
      </c>
      <c r="G49">
        <v>11360</v>
      </c>
      <c r="H49" t="s">
        <v>400</v>
      </c>
      <c r="I49" s="55">
        <v>43132</v>
      </c>
      <c r="J49" t="s">
        <v>501</v>
      </c>
      <c r="L49" s="55"/>
      <c r="M49" s="1">
        <f>DATA_JUNIO_2025[[#This Row],[RECUPERO]]/DATA_JUNIO_2025[[#This Row],[META]]</f>
        <v>0.14546666666666666</v>
      </c>
      <c r="N49">
        <f>6-ROUNDUP(_xlfn.RANK.EQ(DATA_JUNIO_2025[[#This Row],[AL_AC]],DATA_JUNIO_2025[AL_AC],0)/(COUNTA(DATA_JUNIO_2025[AL_AC])/5),0)</f>
        <v>1</v>
      </c>
      <c r="O49" t="s">
        <v>8</v>
      </c>
      <c r="P49">
        <f>SUM(DATA_JUNIO_2025[[#This Row],[1]:[31]])</f>
        <v>2182</v>
      </c>
      <c r="Q49">
        <v>15000</v>
      </c>
      <c r="R49" t="s">
        <v>45</v>
      </c>
      <c r="AQ49">
        <v>300</v>
      </c>
      <c r="AS49">
        <v>300</v>
      </c>
      <c r="AV49">
        <v>1582</v>
      </c>
      <c r="AX49" t="s">
        <v>153</v>
      </c>
    </row>
    <row r="50" spans="1:50" x14ac:dyDescent="0.25">
      <c r="A50" t="s">
        <v>6</v>
      </c>
      <c r="B50" t="s">
        <v>81</v>
      </c>
      <c r="C50">
        <f>VLOOKUP(D1_JUNIO_2025[[#This Row],[SUPER]],DATA_JUNIO_2025[[SUPERVISOR]:[META]],3,0)</f>
        <v>30500</v>
      </c>
      <c r="D50">
        <f>D1_JUNIO_2025[[#This Row],[RECUPERO]]/D1_JUNIO_2025[[#This Row],[META]]</f>
        <v>0.35344262295081968</v>
      </c>
      <c r="E50" t="s">
        <v>6</v>
      </c>
      <c r="F50" t="s">
        <v>81</v>
      </c>
      <c r="G50">
        <v>10780</v>
      </c>
      <c r="H50" t="s">
        <v>425</v>
      </c>
      <c r="I50" s="55">
        <v>45506</v>
      </c>
      <c r="J50" t="s">
        <v>501</v>
      </c>
      <c r="L50" s="55"/>
      <c r="M50" s="1">
        <f>DATA_JUNIO_2025[[#This Row],[RECUPERO]]/DATA_JUNIO_2025[[#This Row],[META]]</f>
        <v>0.82065573770491806</v>
      </c>
      <c r="N50">
        <f>6-ROUNDUP(_xlfn.RANK.EQ(DATA_JUNIO_2025[[#This Row],[AL_AC]],DATA_JUNIO_2025[AL_AC],0)/(COUNTA(DATA_JUNIO_2025[AL_AC])/5),0)</f>
        <v>4</v>
      </c>
      <c r="O50" t="s">
        <v>6</v>
      </c>
      <c r="P50">
        <f>SUM(DATA_JUNIO_2025[[#This Row],[1]:[31]])</f>
        <v>25030</v>
      </c>
      <c r="Q50">
        <v>30500</v>
      </c>
      <c r="R50" t="s">
        <v>50</v>
      </c>
      <c r="U50">
        <v>1000</v>
      </c>
      <c r="AI50">
        <v>500</v>
      </c>
      <c r="AK50">
        <v>1200</v>
      </c>
      <c r="AP50">
        <v>2000</v>
      </c>
      <c r="AS50">
        <v>10050</v>
      </c>
      <c r="AT50">
        <v>280</v>
      </c>
      <c r="AV50">
        <v>10000</v>
      </c>
      <c r="AX50" t="s">
        <v>152</v>
      </c>
    </row>
    <row r="51" spans="1:50" x14ac:dyDescent="0.25">
      <c r="A51" t="s">
        <v>6</v>
      </c>
      <c r="B51" t="s">
        <v>44</v>
      </c>
      <c r="C51">
        <f>VLOOKUP(D1_JUNIO_2025[[#This Row],[SUPER]],DATA_JUNIO_2025[[SUPERVISOR]:[META]],3,0)</f>
        <v>30500</v>
      </c>
      <c r="D51">
        <f>D1_JUNIO_2025[[#This Row],[RECUPERO]]/D1_JUNIO_2025[[#This Row],[META]]</f>
        <v>0.32</v>
      </c>
      <c r="E51" t="s">
        <v>6</v>
      </c>
      <c r="F51" t="s">
        <v>44</v>
      </c>
      <c r="G51">
        <v>9760</v>
      </c>
      <c r="H51" t="s">
        <v>467</v>
      </c>
      <c r="I51" s="55">
        <v>45804</v>
      </c>
      <c r="J51" t="s">
        <v>501</v>
      </c>
      <c r="L51" s="55"/>
      <c r="M51" s="1">
        <f>DATA_JUNIO_2025[[#This Row],[RECUPERO]]/DATA_JUNIO_2025[[#This Row],[META]]</f>
        <v>0.13400666666666666</v>
      </c>
      <c r="N51">
        <f>6-ROUNDUP(_xlfn.RANK.EQ(DATA_JUNIO_2025[[#This Row],[AL_AC]],DATA_JUNIO_2025[AL_AC],0)/(COUNTA(DATA_JUNIO_2025[AL_AC])/5),0)</f>
        <v>1</v>
      </c>
      <c r="O51" t="s">
        <v>125</v>
      </c>
      <c r="P51">
        <f>SUM(DATA_JUNIO_2025[[#This Row],[1]:[31]])</f>
        <v>2010.1</v>
      </c>
      <c r="Q51">
        <v>15000</v>
      </c>
      <c r="R51" t="s">
        <v>33</v>
      </c>
      <c r="AH51">
        <v>348.6</v>
      </c>
      <c r="AI51">
        <v>0</v>
      </c>
      <c r="AQ51">
        <v>212.5</v>
      </c>
      <c r="AS51">
        <v>166</v>
      </c>
      <c r="AT51">
        <v>900</v>
      </c>
      <c r="AV51">
        <v>383</v>
      </c>
      <c r="AX51" t="s">
        <v>153</v>
      </c>
    </row>
    <row r="52" spans="1:50" x14ac:dyDescent="0.25">
      <c r="A52" t="s">
        <v>6</v>
      </c>
      <c r="B52" t="s">
        <v>36</v>
      </c>
      <c r="C52">
        <f>VLOOKUP(D1_JUNIO_2025[[#This Row],[SUPER]],DATA_JUNIO_2025[[SUPERVISOR]:[META]],3,0)</f>
        <v>30500</v>
      </c>
      <c r="D52">
        <f>D1_JUNIO_2025[[#This Row],[RECUPERO]]/D1_JUNIO_2025[[#This Row],[META]]</f>
        <v>0.26721311475409837</v>
      </c>
      <c r="E52" t="s">
        <v>6</v>
      </c>
      <c r="F52" t="s">
        <v>36</v>
      </c>
      <c r="G52">
        <v>8150</v>
      </c>
      <c r="H52" t="s">
        <v>406</v>
      </c>
      <c r="I52" s="55">
        <v>44941</v>
      </c>
      <c r="J52" t="s">
        <v>501</v>
      </c>
      <c r="L52" s="55"/>
      <c r="M52" s="1">
        <f>DATA_JUNIO_2025[[#This Row],[RECUPERO]]/DATA_JUNIO_2025[[#This Row],[META]]</f>
        <v>1.2638</v>
      </c>
      <c r="N52">
        <f>6-ROUNDUP(_xlfn.RANK.EQ(DATA_JUNIO_2025[[#This Row],[AL_AC]],DATA_JUNIO_2025[AL_AC],0)/(COUNTA(DATA_JUNIO_2025[AL_AC])/5),0)</f>
        <v>5</v>
      </c>
      <c r="O52" t="s">
        <v>3</v>
      </c>
      <c r="P52">
        <f>SUM(DATA_JUNIO_2025[[#This Row],[1]:[31]])</f>
        <v>82147</v>
      </c>
      <c r="Q52">
        <v>65000</v>
      </c>
      <c r="R52" t="s">
        <v>23</v>
      </c>
      <c r="T52">
        <v>7449</v>
      </c>
      <c r="W52">
        <v>11500</v>
      </c>
      <c r="X52">
        <v>2450</v>
      </c>
      <c r="AA52">
        <v>3100</v>
      </c>
      <c r="AC52">
        <v>500</v>
      </c>
      <c r="AE52">
        <v>1800</v>
      </c>
      <c r="AH52">
        <v>1000</v>
      </c>
      <c r="AI52">
        <v>800</v>
      </c>
      <c r="AJ52">
        <v>15766</v>
      </c>
      <c r="AK52">
        <v>7000</v>
      </c>
      <c r="AL52">
        <v>800</v>
      </c>
      <c r="AN52">
        <v>600</v>
      </c>
      <c r="AO52">
        <v>795</v>
      </c>
      <c r="AP52">
        <v>3500</v>
      </c>
      <c r="AQ52">
        <v>2240</v>
      </c>
      <c r="AR52">
        <v>10000</v>
      </c>
      <c r="AS52">
        <v>6000</v>
      </c>
      <c r="AV52">
        <v>6847</v>
      </c>
      <c r="AX52" t="s">
        <v>150</v>
      </c>
    </row>
    <row r="53" spans="1:50" x14ac:dyDescent="0.25">
      <c r="A53" t="s">
        <v>6</v>
      </c>
      <c r="B53" t="s">
        <v>110</v>
      </c>
      <c r="C53">
        <f>VLOOKUP(D1_JUNIO_2025[[#This Row],[SUPER]],DATA_JUNIO_2025[[SUPERVISOR]:[META]],3,0)</f>
        <v>30500</v>
      </c>
      <c r="D53">
        <f>D1_JUNIO_2025[[#This Row],[RECUPERO]]/D1_JUNIO_2025[[#This Row],[META]]</f>
        <v>7.6131147540983601E-2</v>
      </c>
      <c r="E53" t="s">
        <v>6</v>
      </c>
      <c r="F53" t="s">
        <v>110</v>
      </c>
      <c r="G53">
        <v>2322</v>
      </c>
      <c r="H53" t="s">
        <v>454</v>
      </c>
      <c r="I53" s="55">
        <v>44993</v>
      </c>
      <c r="J53" t="s">
        <v>501</v>
      </c>
      <c r="L53" s="55"/>
      <c r="M53" s="1">
        <f>DATA_JUNIO_2025[[#This Row],[RECUPERO]]/DATA_JUNIO_2025[[#This Row],[META]]</f>
        <v>0.42841538461538464</v>
      </c>
      <c r="N53">
        <f>6-ROUNDUP(_xlfn.RANK.EQ(DATA_JUNIO_2025[[#This Row],[AL_AC]],DATA_JUNIO_2025[AL_AC],0)/(COUNTA(DATA_JUNIO_2025[AL_AC])/5),0)</f>
        <v>3</v>
      </c>
      <c r="O53" t="s">
        <v>5</v>
      </c>
      <c r="P53">
        <f>SUM(DATA_JUNIO_2025[[#This Row],[1]:[31]])</f>
        <v>27847</v>
      </c>
      <c r="Q53">
        <v>65000</v>
      </c>
      <c r="R53" t="s">
        <v>68</v>
      </c>
      <c r="S53">
        <v>2000</v>
      </c>
      <c r="T53">
        <v>4623</v>
      </c>
      <c r="U53">
        <v>775</v>
      </c>
      <c r="V53">
        <v>800</v>
      </c>
      <c r="W53">
        <v>600</v>
      </c>
      <c r="AB53">
        <v>50</v>
      </c>
      <c r="AC53">
        <v>600</v>
      </c>
      <c r="AH53">
        <v>2500</v>
      </c>
      <c r="AL53">
        <v>5100</v>
      </c>
      <c r="AM53">
        <v>261</v>
      </c>
      <c r="AP53">
        <v>700</v>
      </c>
      <c r="AS53">
        <v>1500</v>
      </c>
      <c r="AT53">
        <v>620</v>
      </c>
      <c r="AV53">
        <v>7718</v>
      </c>
      <c r="AX53" t="s">
        <v>150</v>
      </c>
    </row>
    <row r="54" spans="1:50" x14ac:dyDescent="0.25">
      <c r="A54" t="s">
        <v>125</v>
      </c>
      <c r="B54" t="s">
        <v>80</v>
      </c>
      <c r="C54">
        <f>VLOOKUP(D1_JUNIO_2025[[#This Row],[SUPER]],DATA_JUNIO_2025[[SUPERVISOR]:[META]],3,0)</f>
        <v>15000</v>
      </c>
      <c r="D54">
        <f>D1_JUNIO_2025[[#This Row],[RECUPERO]]/D1_JUNIO_2025[[#This Row],[META]]</f>
        <v>1.4252666666666667</v>
      </c>
      <c r="E54" t="s">
        <v>125</v>
      </c>
      <c r="F54" t="s">
        <v>80</v>
      </c>
      <c r="G54">
        <v>21379</v>
      </c>
      <c r="H54" t="s">
        <v>433</v>
      </c>
      <c r="I54" s="55">
        <v>45285</v>
      </c>
      <c r="J54" t="s">
        <v>501</v>
      </c>
      <c r="L54" s="55"/>
      <c r="M54" s="1">
        <f>DATA_JUNIO_2025[[#This Row],[RECUPERO]]/DATA_JUNIO_2025[[#This Row],[META]]</f>
        <v>0.43803278688524588</v>
      </c>
      <c r="N54">
        <f>6-ROUNDUP(_xlfn.RANK.EQ(DATA_JUNIO_2025[[#This Row],[AL_AC]],DATA_JUNIO_2025[AL_AC],0)/(COUNTA(DATA_JUNIO_2025[AL_AC])/5),0)</f>
        <v>3</v>
      </c>
      <c r="O54" t="s">
        <v>6</v>
      </c>
      <c r="P54">
        <f>SUM(DATA_JUNIO_2025[[#This Row],[1]:[31]])</f>
        <v>13360</v>
      </c>
      <c r="Q54">
        <v>30500</v>
      </c>
      <c r="R54" t="s">
        <v>31</v>
      </c>
      <c r="T54">
        <v>150</v>
      </c>
      <c r="U54">
        <v>30</v>
      </c>
      <c r="V54">
        <v>2000</v>
      </c>
      <c r="AC54">
        <v>500</v>
      </c>
      <c r="AE54">
        <v>500</v>
      </c>
      <c r="AH54">
        <v>100</v>
      </c>
      <c r="AI54">
        <v>2500</v>
      </c>
      <c r="AR54">
        <v>2180</v>
      </c>
      <c r="AS54">
        <v>3000</v>
      </c>
      <c r="AV54">
        <v>2400</v>
      </c>
      <c r="AX54" t="s">
        <v>152</v>
      </c>
    </row>
    <row r="55" spans="1:50" x14ac:dyDescent="0.25">
      <c r="A55" t="s">
        <v>125</v>
      </c>
      <c r="B55" t="s">
        <v>27</v>
      </c>
      <c r="C55">
        <f>VLOOKUP(D1_JUNIO_2025[[#This Row],[SUPER]],DATA_JUNIO_2025[[SUPERVISOR]:[META]],3,0)</f>
        <v>15000</v>
      </c>
      <c r="D55">
        <f>D1_JUNIO_2025[[#This Row],[RECUPERO]]/D1_JUNIO_2025[[#This Row],[META]]</f>
        <v>0.83660000000000001</v>
      </c>
      <c r="E55" t="s">
        <v>125</v>
      </c>
      <c r="F55" t="s">
        <v>27</v>
      </c>
      <c r="G55">
        <v>12549</v>
      </c>
      <c r="H55" t="s">
        <v>412</v>
      </c>
      <c r="I55" s="55">
        <v>45675</v>
      </c>
      <c r="J55" t="s">
        <v>501</v>
      </c>
      <c r="L55" s="55"/>
      <c r="M55" s="1">
        <f>DATA_JUNIO_2025[[#This Row],[RECUPERO]]/DATA_JUNIO_2025[[#This Row],[META]]</f>
        <v>0.32240000000000002</v>
      </c>
      <c r="N55">
        <f>6-ROUNDUP(_xlfn.RANK.EQ(DATA_JUNIO_2025[[#This Row],[AL_AC]],DATA_JUNIO_2025[AL_AC],0)/(COUNTA(DATA_JUNIO_2025[AL_AC])/5),0)</f>
        <v>2</v>
      </c>
      <c r="O55" t="s">
        <v>8</v>
      </c>
      <c r="P55">
        <f>SUM(DATA_JUNIO_2025[[#This Row],[1]:[31]])</f>
        <v>4836</v>
      </c>
      <c r="Q55">
        <v>15000</v>
      </c>
      <c r="R55" t="s">
        <v>43</v>
      </c>
      <c r="X55">
        <v>300</v>
      </c>
      <c r="Y55">
        <v>208</v>
      </c>
      <c r="AB55">
        <v>493</v>
      </c>
      <c r="AE55">
        <v>1000</v>
      </c>
      <c r="AH55">
        <v>135</v>
      </c>
      <c r="AJ55">
        <v>300</v>
      </c>
      <c r="AL55">
        <v>1100</v>
      </c>
      <c r="AM55">
        <v>300</v>
      </c>
      <c r="AO55">
        <v>450</v>
      </c>
      <c r="AR55">
        <v>250</v>
      </c>
      <c r="AT55">
        <v>300</v>
      </c>
      <c r="AX55" t="s">
        <v>153</v>
      </c>
    </row>
    <row r="56" spans="1:50" x14ac:dyDescent="0.25">
      <c r="A56" t="s">
        <v>125</v>
      </c>
      <c r="B56" t="s">
        <v>39</v>
      </c>
      <c r="C56">
        <f>VLOOKUP(D1_JUNIO_2025[[#This Row],[SUPER]],DATA_JUNIO_2025[[SUPERVISOR]:[META]],3,0)</f>
        <v>15000</v>
      </c>
      <c r="D56">
        <f>D1_JUNIO_2025[[#This Row],[RECUPERO]]/D1_JUNIO_2025[[#This Row],[META]]</f>
        <v>0.57720000000000005</v>
      </c>
      <c r="E56" t="s">
        <v>125</v>
      </c>
      <c r="F56" t="s">
        <v>39</v>
      </c>
      <c r="G56">
        <v>8658</v>
      </c>
      <c r="H56" t="s">
        <v>452</v>
      </c>
      <c r="I56" s="55">
        <v>44951</v>
      </c>
      <c r="J56" t="s">
        <v>501</v>
      </c>
      <c r="L56" s="55"/>
      <c r="M56" s="1">
        <f>DATA_JUNIO_2025[[#This Row],[RECUPERO]]/DATA_JUNIO_2025[[#This Row],[META]]</f>
        <v>0.61939999999999995</v>
      </c>
      <c r="N56">
        <f>6-ROUNDUP(_xlfn.RANK.EQ(DATA_JUNIO_2025[[#This Row],[AL_AC]],DATA_JUNIO_2025[AL_AC],0)/(COUNTA(DATA_JUNIO_2025[AL_AC])/5),0)</f>
        <v>4</v>
      </c>
      <c r="O56" t="s">
        <v>3</v>
      </c>
      <c r="P56">
        <f>SUM(DATA_JUNIO_2025[[#This Row],[1]:[31]])</f>
        <v>40261</v>
      </c>
      <c r="Q56">
        <v>65000</v>
      </c>
      <c r="R56" t="s">
        <v>25</v>
      </c>
      <c r="T56">
        <v>100</v>
      </c>
      <c r="V56">
        <v>3000</v>
      </c>
      <c r="X56">
        <v>2500</v>
      </c>
      <c r="AA56">
        <v>1800</v>
      </c>
      <c r="AB56">
        <v>4500</v>
      </c>
      <c r="AC56">
        <v>100</v>
      </c>
      <c r="AD56">
        <v>850</v>
      </c>
      <c r="AF56">
        <v>424</v>
      </c>
      <c r="AH56">
        <v>950</v>
      </c>
      <c r="AI56">
        <v>50</v>
      </c>
      <c r="AJ56">
        <v>637</v>
      </c>
      <c r="AL56">
        <v>3500</v>
      </c>
      <c r="AN56">
        <v>1500</v>
      </c>
      <c r="AO56">
        <v>2300</v>
      </c>
      <c r="AP56">
        <v>4500</v>
      </c>
      <c r="AQ56">
        <v>1700</v>
      </c>
      <c r="AR56">
        <v>4000</v>
      </c>
      <c r="AS56">
        <v>600</v>
      </c>
      <c r="AV56">
        <v>7250</v>
      </c>
      <c r="AX56" t="s">
        <v>150</v>
      </c>
    </row>
    <row r="57" spans="1:50" x14ac:dyDescent="0.25">
      <c r="A57" t="s">
        <v>125</v>
      </c>
      <c r="B57" t="s">
        <v>74</v>
      </c>
      <c r="C57">
        <f>VLOOKUP(D1_JUNIO_2025[[#This Row],[SUPER]],DATA_JUNIO_2025[[SUPERVISOR]:[META]],3,0)</f>
        <v>15000</v>
      </c>
      <c r="D57">
        <f>D1_JUNIO_2025[[#This Row],[RECUPERO]]/D1_JUNIO_2025[[#This Row],[META]]</f>
        <v>0.47706666666666669</v>
      </c>
      <c r="E57" t="s">
        <v>125</v>
      </c>
      <c r="F57" t="s">
        <v>74</v>
      </c>
      <c r="G57">
        <v>7156</v>
      </c>
      <c r="H57" t="s">
        <v>395</v>
      </c>
      <c r="I57" s="55">
        <v>44470</v>
      </c>
      <c r="J57" t="s">
        <v>501</v>
      </c>
      <c r="L57" s="55"/>
      <c r="M57" s="1">
        <f>DATA_JUNIO_2025[[#This Row],[RECUPERO]]/DATA_JUNIO_2025[[#This Row],[META]]</f>
        <v>7.6131147540983601E-2</v>
      </c>
      <c r="N57">
        <f>6-ROUNDUP(_xlfn.RANK.EQ(DATA_JUNIO_2025[[#This Row],[AL_AC]],DATA_JUNIO_2025[AL_AC],0)/(COUNTA(DATA_JUNIO_2025[AL_AC])/5),0)</f>
        <v>1</v>
      </c>
      <c r="O57" t="s">
        <v>6</v>
      </c>
      <c r="P57">
        <f>SUM(DATA_JUNIO_2025[[#This Row],[1]:[31]])</f>
        <v>2322</v>
      </c>
      <c r="Q57">
        <v>30500</v>
      </c>
      <c r="R57" t="s">
        <v>110</v>
      </c>
      <c r="X57">
        <v>300</v>
      </c>
      <c r="AE57">
        <v>246</v>
      </c>
      <c r="AJ57">
        <v>300</v>
      </c>
      <c r="AP57">
        <v>1080</v>
      </c>
      <c r="AQ57">
        <v>150</v>
      </c>
      <c r="AV57">
        <v>246</v>
      </c>
      <c r="AX57" t="s">
        <v>152</v>
      </c>
    </row>
    <row r="58" spans="1:50" x14ac:dyDescent="0.25">
      <c r="A58" t="s">
        <v>125</v>
      </c>
      <c r="B58" t="s">
        <v>38</v>
      </c>
      <c r="C58">
        <f>VLOOKUP(D1_JUNIO_2025[[#This Row],[SUPER]],DATA_JUNIO_2025[[SUPERVISOR]:[META]],3,0)</f>
        <v>15000</v>
      </c>
      <c r="D58">
        <f>D1_JUNIO_2025[[#This Row],[RECUPERO]]/D1_JUNIO_2025[[#This Row],[META]]</f>
        <v>0.47153333333333336</v>
      </c>
      <c r="E58" t="s">
        <v>125</v>
      </c>
      <c r="F58" t="s">
        <v>38</v>
      </c>
      <c r="G58">
        <v>7073</v>
      </c>
      <c r="H58" t="s">
        <v>469</v>
      </c>
      <c r="I58" s="55">
        <v>45805</v>
      </c>
      <c r="J58" t="s">
        <v>501</v>
      </c>
      <c r="L58" s="55"/>
      <c r="M58" s="1">
        <f>DATA_JUNIO_2025[[#This Row],[RECUPERO]]/DATA_JUNIO_2025[[#This Row],[META]]</f>
        <v>0.54201538461538457</v>
      </c>
      <c r="N58">
        <f>6-ROUNDUP(_xlfn.RANK.EQ(DATA_JUNIO_2025[[#This Row],[AL_AC]],DATA_JUNIO_2025[AL_AC],0)/(COUNTA(DATA_JUNIO_2025[AL_AC])/5),0)</f>
        <v>3</v>
      </c>
      <c r="O58" t="s">
        <v>2</v>
      </c>
      <c r="P58">
        <f>SUM(DATA_JUNIO_2025[[#This Row],[1]:[31]])</f>
        <v>35231</v>
      </c>
      <c r="Q58">
        <v>65000</v>
      </c>
      <c r="R58" t="s">
        <v>17</v>
      </c>
      <c r="V58">
        <v>3700</v>
      </c>
      <c r="W58">
        <v>10000</v>
      </c>
      <c r="AH58">
        <v>491</v>
      </c>
      <c r="AJ58">
        <v>1000</v>
      </c>
      <c r="AK58">
        <v>600</v>
      </c>
      <c r="AL58">
        <v>3133</v>
      </c>
      <c r="AN58">
        <v>1000</v>
      </c>
      <c r="AO58">
        <v>600</v>
      </c>
      <c r="AQ58">
        <v>10500</v>
      </c>
      <c r="AT58">
        <v>2500</v>
      </c>
      <c r="AV58">
        <v>1707</v>
      </c>
      <c r="AX58" t="s">
        <v>150</v>
      </c>
    </row>
    <row r="59" spans="1:50" x14ac:dyDescent="0.25">
      <c r="A59" t="s">
        <v>125</v>
      </c>
      <c r="B59" t="s">
        <v>56</v>
      </c>
      <c r="C59">
        <f>VLOOKUP(D1_JUNIO_2025[[#This Row],[SUPER]],DATA_JUNIO_2025[[SUPERVISOR]:[META]],3,0)</f>
        <v>15000</v>
      </c>
      <c r="D59">
        <f>D1_JUNIO_2025[[#This Row],[RECUPERO]]/D1_JUNIO_2025[[#This Row],[META]]</f>
        <v>0.48286666666666667</v>
      </c>
      <c r="E59" t="s">
        <v>125</v>
      </c>
      <c r="F59" t="s">
        <v>56</v>
      </c>
      <c r="G59">
        <v>7243</v>
      </c>
      <c r="H59" t="s">
        <v>464</v>
      </c>
      <c r="I59" s="55">
        <v>45772</v>
      </c>
      <c r="J59" t="s">
        <v>501</v>
      </c>
      <c r="L59" s="55"/>
      <c r="M59" s="1">
        <f>DATA_JUNIO_2025[[#This Row],[RECUPERO]]/DATA_JUNIO_2025[[#This Row],[META]]</f>
        <v>0.47153333333333336</v>
      </c>
      <c r="N59">
        <f>6-ROUNDUP(_xlfn.RANK.EQ(DATA_JUNIO_2025[[#This Row],[AL_AC]],DATA_JUNIO_2025[AL_AC],0)/(COUNTA(DATA_JUNIO_2025[AL_AC])/5),0)</f>
        <v>3</v>
      </c>
      <c r="O59" t="s">
        <v>125</v>
      </c>
      <c r="P59">
        <f>SUM(DATA_JUNIO_2025[[#This Row],[1]:[31]])</f>
        <v>7073</v>
      </c>
      <c r="Q59">
        <v>15000</v>
      </c>
      <c r="R59" t="s">
        <v>38</v>
      </c>
      <c r="V59">
        <v>300</v>
      </c>
      <c r="X59">
        <v>740</v>
      </c>
      <c r="AA59">
        <v>380</v>
      </c>
      <c r="AB59">
        <v>2800</v>
      </c>
      <c r="AE59">
        <v>250</v>
      </c>
      <c r="AJ59">
        <v>180</v>
      </c>
      <c r="AK59">
        <v>180</v>
      </c>
      <c r="AL59">
        <v>240</v>
      </c>
      <c r="AO59">
        <v>473</v>
      </c>
      <c r="AP59">
        <v>100</v>
      </c>
      <c r="AQ59">
        <v>250</v>
      </c>
      <c r="AR59">
        <v>180</v>
      </c>
      <c r="AV59">
        <v>1000</v>
      </c>
      <c r="AX59" t="s">
        <v>153</v>
      </c>
    </row>
    <row r="60" spans="1:50" x14ac:dyDescent="0.25">
      <c r="A60" t="s">
        <v>125</v>
      </c>
      <c r="B60" t="s">
        <v>55</v>
      </c>
      <c r="C60">
        <f>VLOOKUP(D1_JUNIO_2025[[#This Row],[SUPER]],DATA_JUNIO_2025[[SUPERVISOR]:[META]],3,0)</f>
        <v>15000</v>
      </c>
      <c r="D60">
        <f>D1_JUNIO_2025[[#This Row],[RECUPERO]]/D1_JUNIO_2025[[#This Row],[META]]</f>
        <v>0.38119999999999998</v>
      </c>
      <c r="E60" t="s">
        <v>125</v>
      </c>
      <c r="F60" t="s">
        <v>55</v>
      </c>
      <c r="G60">
        <v>5718</v>
      </c>
      <c r="H60" t="s">
        <v>475</v>
      </c>
      <c r="I60" s="55">
        <v>45818</v>
      </c>
      <c r="J60" t="s">
        <v>501</v>
      </c>
      <c r="L60" s="55"/>
      <c r="M60" s="1">
        <f>DATA_JUNIO_2025[[#This Row],[RECUPERO]]/DATA_JUNIO_2025[[#This Row],[META]]</f>
        <v>1.3104769230769231</v>
      </c>
      <c r="N60">
        <f>6-ROUNDUP(_xlfn.RANK.EQ(DATA_JUNIO_2025[[#This Row],[AL_AC]],DATA_JUNIO_2025[AL_AC],0)/(COUNTA(DATA_JUNIO_2025[AL_AC])/5),0)</f>
        <v>5</v>
      </c>
      <c r="O60" t="s">
        <v>4</v>
      </c>
      <c r="P60">
        <f>SUM(DATA_JUNIO_2025[[#This Row],[1]:[31]])</f>
        <v>85181</v>
      </c>
      <c r="Q60">
        <v>65000</v>
      </c>
      <c r="R60" t="s">
        <v>75</v>
      </c>
      <c r="S60">
        <v>1125</v>
      </c>
      <c r="V60">
        <v>1000</v>
      </c>
      <c r="X60">
        <v>6000</v>
      </c>
      <c r="Y60">
        <v>650</v>
      </c>
      <c r="AA60">
        <v>3800</v>
      </c>
      <c r="AB60">
        <v>1164</v>
      </c>
      <c r="AD60">
        <v>22600</v>
      </c>
      <c r="AF60">
        <v>1600</v>
      </c>
      <c r="AH60">
        <v>8900</v>
      </c>
      <c r="AI60">
        <v>5600</v>
      </c>
      <c r="AK60">
        <v>992</v>
      </c>
      <c r="AL60">
        <v>400</v>
      </c>
      <c r="AO60">
        <v>600</v>
      </c>
      <c r="AP60">
        <v>400</v>
      </c>
      <c r="AQ60">
        <v>15000</v>
      </c>
      <c r="AR60">
        <v>2900</v>
      </c>
      <c r="AS60">
        <v>6000</v>
      </c>
      <c r="AT60">
        <v>200</v>
      </c>
      <c r="AV60">
        <v>6250</v>
      </c>
      <c r="AX60" t="s">
        <v>150</v>
      </c>
    </row>
    <row r="61" spans="1:50" x14ac:dyDescent="0.25">
      <c r="A61" t="s">
        <v>125</v>
      </c>
      <c r="B61" t="s">
        <v>106</v>
      </c>
      <c r="C61">
        <f>VLOOKUP(D1_JUNIO_2025[[#This Row],[SUPER]],DATA_JUNIO_2025[[SUPERVISOR]:[META]],3,0)</f>
        <v>15000</v>
      </c>
      <c r="D61">
        <f>D1_JUNIO_2025[[#This Row],[RECUPERO]]/D1_JUNIO_2025[[#This Row],[META]]</f>
        <v>0.34173333333333333</v>
      </c>
      <c r="E61" t="s">
        <v>125</v>
      </c>
      <c r="F61" t="s">
        <v>106</v>
      </c>
      <c r="G61">
        <v>5126</v>
      </c>
      <c r="H61" t="s">
        <v>392</v>
      </c>
      <c r="I61" s="55">
        <v>44748</v>
      </c>
      <c r="J61" t="s">
        <v>501</v>
      </c>
      <c r="L61" s="55"/>
      <c r="M61" s="1">
        <f>DATA_JUNIO_2025[[#This Row],[RECUPERO]]/DATA_JUNIO_2025[[#This Row],[META]]</f>
        <v>0.38119999999999998</v>
      </c>
      <c r="N61">
        <f>6-ROUNDUP(_xlfn.RANK.EQ(DATA_JUNIO_2025[[#This Row],[AL_AC]],DATA_JUNIO_2025[AL_AC],0)/(COUNTA(DATA_JUNIO_2025[AL_AC])/5),0)</f>
        <v>2</v>
      </c>
      <c r="O61" t="s">
        <v>125</v>
      </c>
      <c r="P61">
        <f>SUM(DATA_JUNIO_2025[[#This Row],[1]:[31]])</f>
        <v>5718</v>
      </c>
      <c r="Q61">
        <v>15000</v>
      </c>
      <c r="R61" t="s">
        <v>55</v>
      </c>
      <c r="X61">
        <v>400</v>
      </c>
      <c r="AC61">
        <v>520</v>
      </c>
      <c r="AD61">
        <v>500</v>
      </c>
      <c r="AE61">
        <v>275</v>
      </c>
      <c r="AJ61">
        <v>694</v>
      </c>
      <c r="AK61">
        <v>139</v>
      </c>
      <c r="AO61">
        <v>200</v>
      </c>
      <c r="AQ61">
        <v>200</v>
      </c>
      <c r="AT61">
        <v>800</v>
      </c>
      <c r="AV61">
        <v>1990</v>
      </c>
      <c r="AX61" t="s">
        <v>153</v>
      </c>
    </row>
    <row r="62" spans="1:50" x14ac:dyDescent="0.25">
      <c r="A62" t="s">
        <v>125</v>
      </c>
      <c r="B62" t="s">
        <v>33</v>
      </c>
      <c r="C62">
        <f>VLOOKUP(D1_JUNIO_2025[[#This Row],[SUPER]],DATA_JUNIO_2025[[SUPERVISOR]:[META]],3,0)</f>
        <v>15000</v>
      </c>
      <c r="D62">
        <f>D1_JUNIO_2025[[#This Row],[RECUPERO]]/D1_JUNIO_2025[[#This Row],[META]]</f>
        <v>0.13400666666666666</v>
      </c>
      <c r="E62" t="s">
        <v>125</v>
      </c>
      <c r="F62" t="s">
        <v>33</v>
      </c>
      <c r="G62">
        <v>2010.1</v>
      </c>
      <c r="H62" t="s">
        <v>439</v>
      </c>
      <c r="I62" s="55">
        <v>44869</v>
      </c>
      <c r="J62" t="s">
        <v>501</v>
      </c>
      <c r="L62" s="55"/>
      <c r="M62" s="1">
        <f>DATA_JUNIO_2025[[#This Row],[RECUPERO]]/DATA_JUNIO_2025[[#This Row],[META]]</f>
        <v>0.26721311475409837</v>
      </c>
      <c r="N62">
        <f>6-ROUNDUP(_xlfn.RANK.EQ(DATA_JUNIO_2025[[#This Row],[AL_AC]],DATA_JUNIO_2025[AL_AC],0)/(COUNTA(DATA_JUNIO_2025[AL_AC])/5),0)</f>
        <v>1</v>
      </c>
      <c r="O62" t="s">
        <v>6</v>
      </c>
      <c r="P62">
        <f>SUM(DATA_JUNIO_2025[[#This Row],[1]:[31]])</f>
        <v>8150</v>
      </c>
      <c r="Q62">
        <v>30500</v>
      </c>
      <c r="R62" t="s">
        <v>36</v>
      </c>
      <c r="T62">
        <v>300</v>
      </c>
      <c r="W62">
        <v>4970</v>
      </c>
      <c r="AC62">
        <v>530</v>
      </c>
      <c r="AD62">
        <v>250</v>
      </c>
      <c r="AE62">
        <v>1050</v>
      </c>
      <c r="AR62">
        <v>150</v>
      </c>
      <c r="AV62">
        <v>900</v>
      </c>
      <c r="AX62" t="s">
        <v>152</v>
      </c>
    </row>
    <row r="63" spans="1:50" x14ac:dyDescent="0.25">
      <c r="A63" t="s">
        <v>125</v>
      </c>
      <c r="B63" t="s">
        <v>111</v>
      </c>
      <c r="C63">
        <f>VLOOKUP(D1_JUNIO_2025[[#This Row],[SUPER]],DATA_JUNIO_2025[[SUPERVISOR]:[META]],3,0)</f>
        <v>15000</v>
      </c>
      <c r="D63">
        <f>D1_JUNIO_2025[[#This Row],[RECUPERO]]/D1_JUNIO_2025[[#This Row],[META]]</f>
        <v>5.0866666666666664E-2</v>
      </c>
      <c r="E63" t="s">
        <v>125</v>
      </c>
      <c r="F63" t="s">
        <v>111</v>
      </c>
      <c r="G63">
        <v>763</v>
      </c>
      <c r="H63" t="s">
        <v>468</v>
      </c>
      <c r="I63" s="55">
        <v>45803</v>
      </c>
      <c r="J63" t="s">
        <v>501</v>
      </c>
      <c r="L63" s="55"/>
      <c r="M63" s="1">
        <f>DATA_JUNIO_2025[[#This Row],[RECUPERO]]/DATA_JUNIO_2025[[#This Row],[META]]</f>
        <v>0.38683076923076926</v>
      </c>
      <c r="N63">
        <f>6-ROUNDUP(_xlfn.RANK.EQ(DATA_JUNIO_2025[[#This Row],[AL_AC]],DATA_JUNIO_2025[AL_AC],0)/(COUNTA(DATA_JUNIO_2025[AL_AC])/5),0)</f>
        <v>2</v>
      </c>
      <c r="O63" t="s">
        <v>4</v>
      </c>
      <c r="P63">
        <f>SUM(DATA_JUNIO_2025[[#This Row],[1]:[31]])</f>
        <v>25144</v>
      </c>
      <c r="Q63">
        <v>65000</v>
      </c>
      <c r="R63" t="s">
        <v>62</v>
      </c>
      <c r="T63">
        <v>250</v>
      </c>
      <c r="W63">
        <v>600</v>
      </c>
      <c r="AE63">
        <v>3000</v>
      </c>
      <c r="AH63">
        <v>500</v>
      </c>
      <c r="AI63">
        <v>5735</v>
      </c>
      <c r="AJ63">
        <v>2306</v>
      </c>
      <c r="AO63">
        <v>1500</v>
      </c>
      <c r="AP63">
        <v>626</v>
      </c>
      <c r="AQ63">
        <v>205</v>
      </c>
      <c r="AR63">
        <v>400</v>
      </c>
      <c r="AS63">
        <v>8353</v>
      </c>
      <c r="AV63">
        <v>1669</v>
      </c>
      <c r="AX63" t="s">
        <v>150</v>
      </c>
    </row>
    <row r="64" spans="1:50" x14ac:dyDescent="0.25">
      <c r="A64" t="s">
        <v>8</v>
      </c>
      <c r="B64" t="s">
        <v>24</v>
      </c>
      <c r="C64">
        <f>VLOOKUP(D1_JUNIO_2025[[#This Row],[SUPER]],DATA_JUNIO_2025[[SUPERVISOR]:[META]],3,0)</f>
        <v>15000</v>
      </c>
      <c r="D64">
        <f>D1_JUNIO_2025[[#This Row],[RECUPERO]]/D1_JUNIO_2025[[#This Row],[META]]</f>
        <v>1.6403333333333334</v>
      </c>
      <c r="E64" t="s">
        <v>8</v>
      </c>
      <c r="F64" t="s">
        <v>24</v>
      </c>
      <c r="G64">
        <v>24605</v>
      </c>
      <c r="H64" t="s">
        <v>434</v>
      </c>
      <c r="I64" s="55">
        <v>45334</v>
      </c>
      <c r="J64" t="s">
        <v>501</v>
      </c>
      <c r="L64" s="55"/>
      <c r="M64" s="1">
        <f>DATA_JUNIO_2025[[#This Row],[RECUPERO]]/DATA_JUNIO_2025[[#This Row],[META]]</f>
        <v>0.77458461538461543</v>
      </c>
      <c r="N64">
        <f>6-ROUNDUP(_xlfn.RANK.EQ(DATA_JUNIO_2025[[#This Row],[AL_AC]],DATA_JUNIO_2025[AL_AC],0)/(COUNTA(DATA_JUNIO_2025[AL_AC])/5),0)</f>
        <v>4</v>
      </c>
      <c r="O64" t="s">
        <v>5</v>
      </c>
      <c r="P64">
        <f>SUM(DATA_JUNIO_2025[[#This Row],[1]:[31]])</f>
        <v>50348</v>
      </c>
      <c r="Q64">
        <v>65000</v>
      </c>
      <c r="R64" t="s">
        <v>70</v>
      </c>
      <c r="T64">
        <v>300</v>
      </c>
      <c r="U64">
        <v>2000</v>
      </c>
      <c r="AC64">
        <v>4000</v>
      </c>
      <c r="AF64">
        <v>5000</v>
      </c>
      <c r="AH64">
        <v>4000</v>
      </c>
      <c r="AI64">
        <v>3200</v>
      </c>
      <c r="AK64">
        <v>450</v>
      </c>
      <c r="AL64">
        <v>13370</v>
      </c>
      <c r="AP64">
        <v>10445</v>
      </c>
      <c r="AR64">
        <v>6100</v>
      </c>
      <c r="AV64">
        <v>1483</v>
      </c>
      <c r="AX64" t="s">
        <v>150</v>
      </c>
    </row>
    <row r="65" spans="1:50" x14ac:dyDescent="0.25">
      <c r="A65" t="s">
        <v>8</v>
      </c>
      <c r="B65" t="s">
        <v>14</v>
      </c>
      <c r="C65">
        <f>VLOOKUP(D1_JUNIO_2025[[#This Row],[SUPER]],DATA_JUNIO_2025[[SUPERVISOR]:[META]],3,0)</f>
        <v>15000</v>
      </c>
      <c r="D65">
        <f>D1_JUNIO_2025[[#This Row],[RECUPERO]]/D1_JUNIO_2025[[#This Row],[META]]</f>
        <v>0.9277333333333333</v>
      </c>
      <c r="E65" t="s">
        <v>8</v>
      </c>
      <c r="F65" t="s">
        <v>14</v>
      </c>
      <c r="G65">
        <v>13916</v>
      </c>
      <c r="H65" t="s">
        <v>432</v>
      </c>
      <c r="I65" s="55">
        <v>45133</v>
      </c>
      <c r="J65" t="s">
        <v>501</v>
      </c>
      <c r="L65" s="55"/>
      <c r="M65" s="1">
        <f>DATA_JUNIO_2025[[#This Row],[RECUPERO]]/DATA_JUNIO_2025[[#This Row],[META]]</f>
        <v>0.12198461538461539</v>
      </c>
      <c r="N65">
        <f>6-ROUNDUP(_xlfn.RANK.EQ(DATA_JUNIO_2025[[#This Row],[AL_AC]],DATA_JUNIO_2025[AL_AC],0)/(COUNTA(DATA_JUNIO_2025[AL_AC])/5),0)</f>
        <v>1</v>
      </c>
      <c r="O65" t="s">
        <v>4</v>
      </c>
      <c r="P65">
        <f>SUM(DATA_JUNIO_2025[[#This Row],[1]:[31]])</f>
        <v>7929</v>
      </c>
      <c r="Q65">
        <v>65000</v>
      </c>
      <c r="R65" t="s">
        <v>64</v>
      </c>
      <c r="T65">
        <v>500</v>
      </c>
      <c r="U65">
        <v>5000</v>
      </c>
      <c r="AC65">
        <v>323</v>
      </c>
      <c r="AF65">
        <v>1000</v>
      </c>
      <c r="AH65">
        <v>650</v>
      </c>
      <c r="AQ65">
        <v>0</v>
      </c>
      <c r="AV65">
        <v>456</v>
      </c>
      <c r="AX65" t="s">
        <v>150</v>
      </c>
    </row>
    <row r="66" spans="1:50" x14ac:dyDescent="0.25">
      <c r="A66" t="s">
        <v>8</v>
      </c>
      <c r="B66" t="s">
        <v>41</v>
      </c>
      <c r="C66">
        <f>VLOOKUP(D1_JUNIO_2025[[#This Row],[SUPER]],DATA_JUNIO_2025[[SUPERVISOR]:[META]],3,0)</f>
        <v>15000</v>
      </c>
      <c r="D66">
        <f>D1_JUNIO_2025[[#This Row],[RECUPERO]]/D1_JUNIO_2025[[#This Row],[META]]</f>
        <v>0.7795333333333333</v>
      </c>
      <c r="E66" t="s">
        <v>8</v>
      </c>
      <c r="F66" t="s">
        <v>41</v>
      </c>
      <c r="G66">
        <v>11693</v>
      </c>
      <c r="H66" t="s">
        <v>387</v>
      </c>
      <c r="I66" s="55">
        <v>45304</v>
      </c>
      <c r="J66" t="s">
        <v>501</v>
      </c>
      <c r="L66" s="55"/>
      <c r="M66" s="1">
        <f>DATA_JUNIO_2025[[#This Row],[RECUPERO]]/DATA_JUNIO_2025[[#This Row],[META]]</f>
        <v>0.33798461538461538</v>
      </c>
      <c r="N66">
        <f>6-ROUNDUP(_xlfn.RANK.EQ(DATA_JUNIO_2025[[#This Row],[AL_AC]],DATA_JUNIO_2025[AL_AC],0)/(COUNTA(DATA_JUNIO_2025[AL_AC])/5),0)</f>
        <v>2</v>
      </c>
      <c r="O66" t="s">
        <v>3</v>
      </c>
      <c r="P66">
        <f>SUM(DATA_JUNIO_2025[[#This Row],[1]:[31]])</f>
        <v>21969</v>
      </c>
      <c r="Q66">
        <v>65000</v>
      </c>
      <c r="R66" t="s">
        <v>107</v>
      </c>
      <c r="T66">
        <v>850</v>
      </c>
      <c r="V66">
        <v>600</v>
      </c>
      <c r="AB66">
        <v>600</v>
      </c>
      <c r="AE66">
        <v>600</v>
      </c>
      <c r="AH66">
        <v>5000</v>
      </c>
      <c r="AL66">
        <v>3000</v>
      </c>
      <c r="AQ66">
        <v>1000</v>
      </c>
      <c r="AS66">
        <v>1000</v>
      </c>
      <c r="AV66">
        <v>9319</v>
      </c>
      <c r="AX66" t="s">
        <v>150</v>
      </c>
    </row>
    <row r="67" spans="1:50" x14ac:dyDescent="0.25">
      <c r="A67" t="s">
        <v>8</v>
      </c>
      <c r="B67" t="s">
        <v>103</v>
      </c>
      <c r="C67">
        <f>VLOOKUP(D1_JUNIO_2025[[#This Row],[SUPER]],DATA_JUNIO_2025[[SUPERVISOR]:[META]],3,0)</f>
        <v>15000</v>
      </c>
      <c r="D67">
        <f>D1_JUNIO_2025[[#This Row],[RECUPERO]]/D1_JUNIO_2025[[#This Row],[META]]</f>
        <v>0.754</v>
      </c>
      <c r="E67" t="s">
        <v>8</v>
      </c>
      <c r="F67" t="s">
        <v>103</v>
      </c>
      <c r="G67">
        <v>11310</v>
      </c>
      <c r="H67" t="s">
        <v>419</v>
      </c>
      <c r="I67" s="55">
        <v>45451</v>
      </c>
      <c r="J67" t="s">
        <v>501</v>
      </c>
      <c r="L67" s="55"/>
      <c r="M67" s="1">
        <f>DATA_JUNIO_2025[[#This Row],[RECUPERO]]/DATA_JUNIO_2025[[#This Row],[META]]</f>
        <v>0.90316923076923072</v>
      </c>
      <c r="N67">
        <f>6-ROUNDUP(_xlfn.RANK.EQ(DATA_JUNIO_2025[[#This Row],[AL_AC]],DATA_JUNIO_2025[AL_AC],0)/(COUNTA(DATA_JUNIO_2025[AL_AC])/5),0)</f>
        <v>5</v>
      </c>
      <c r="O67" t="s">
        <v>2</v>
      </c>
      <c r="P67">
        <f>SUM(DATA_JUNIO_2025[[#This Row],[1]:[31]])</f>
        <v>58706</v>
      </c>
      <c r="Q67">
        <v>65000</v>
      </c>
      <c r="R67" t="s">
        <v>11</v>
      </c>
      <c r="T67">
        <v>700</v>
      </c>
      <c r="U67">
        <v>600</v>
      </c>
      <c r="V67">
        <v>68</v>
      </c>
      <c r="X67">
        <v>9700</v>
      </c>
      <c r="AB67">
        <v>2318</v>
      </c>
      <c r="AC67">
        <v>2000</v>
      </c>
      <c r="AE67">
        <v>700</v>
      </c>
      <c r="AH67">
        <v>2365</v>
      </c>
      <c r="AI67">
        <v>4600</v>
      </c>
      <c r="AJ67">
        <v>1000</v>
      </c>
      <c r="AO67">
        <v>3610</v>
      </c>
      <c r="AP67">
        <v>858</v>
      </c>
      <c r="AQ67">
        <v>20806</v>
      </c>
      <c r="AS67">
        <v>5695</v>
      </c>
      <c r="AV67">
        <v>3686</v>
      </c>
      <c r="AX67" t="s">
        <v>150</v>
      </c>
    </row>
    <row r="68" spans="1:50" x14ac:dyDescent="0.25">
      <c r="A68" t="s">
        <v>8</v>
      </c>
      <c r="B68" t="s">
        <v>83</v>
      </c>
      <c r="C68">
        <f>VLOOKUP(D1_JUNIO_2025[[#This Row],[SUPER]],DATA_JUNIO_2025[[SUPERVISOR]:[META]],3,0)</f>
        <v>15000</v>
      </c>
      <c r="D68">
        <f>D1_JUNIO_2025[[#This Row],[RECUPERO]]/D1_JUNIO_2025[[#This Row],[META]]</f>
        <v>0.78659999999999997</v>
      </c>
      <c r="E68" t="s">
        <v>8</v>
      </c>
      <c r="F68" t="s">
        <v>83</v>
      </c>
      <c r="G68">
        <v>11799</v>
      </c>
      <c r="H68" t="s">
        <v>435</v>
      </c>
      <c r="I68" s="55">
        <v>44937</v>
      </c>
      <c r="J68" t="s">
        <v>501</v>
      </c>
      <c r="L68" s="55"/>
      <c r="M68" s="1">
        <f>DATA_JUNIO_2025[[#This Row],[RECUPERO]]/DATA_JUNIO_2025[[#This Row],[META]]</f>
        <v>0.47706666666666669</v>
      </c>
      <c r="N68">
        <f>6-ROUNDUP(_xlfn.RANK.EQ(DATA_JUNIO_2025[[#This Row],[AL_AC]],DATA_JUNIO_2025[AL_AC],0)/(COUNTA(DATA_JUNIO_2025[AL_AC])/5),0)</f>
        <v>3</v>
      </c>
      <c r="O68" t="s">
        <v>125</v>
      </c>
      <c r="P68">
        <f>SUM(DATA_JUNIO_2025[[#This Row],[1]:[31]])</f>
        <v>7156</v>
      </c>
      <c r="Q68">
        <v>15000</v>
      </c>
      <c r="R68" t="s">
        <v>74</v>
      </c>
      <c r="U68">
        <v>390</v>
      </c>
      <c r="W68">
        <v>317</v>
      </c>
      <c r="X68">
        <v>139</v>
      </c>
      <c r="AA68">
        <v>200</v>
      </c>
      <c r="AC68">
        <v>1070</v>
      </c>
      <c r="AD68">
        <v>152</v>
      </c>
      <c r="AE68">
        <v>1378</v>
      </c>
      <c r="AH68">
        <v>250</v>
      </c>
      <c r="AJ68">
        <v>200</v>
      </c>
      <c r="AO68">
        <v>200</v>
      </c>
      <c r="AP68">
        <v>960</v>
      </c>
      <c r="AR68">
        <v>1150</v>
      </c>
      <c r="AS68">
        <v>500</v>
      </c>
      <c r="AV68">
        <v>250</v>
      </c>
      <c r="AX68" t="s">
        <v>153</v>
      </c>
    </row>
    <row r="69" spans="1:50" x14ac:dyDescent="0.25">
      <c r="A69" t="s">
        <v>8</v>
      </c>
      <c r="B69" t="s">
        <v>40</v>
      </c>
      <c r="C69">
        <f>VLOOKUP(D1_JUNIO_2025[[#This Row],[SUPER]],DATA_JUNIO_2025[[SUPERVISOR]:[META]],3,0)</f>
        <v>15000</v>
      </c>
      <c r="D69">
        <f>D1_JUNIO_2025[[#This Row],[RECUPERO]]/D1_JUNIO_2025[[#This Row],[META]]</f>
        <v>0.50206666666666666</v>
      </c>
      <c r="E69" t="s">
        <v>8</v>
      </c>
      <c r="F69" t="s">
        <v>40</v>
      </c>
      <c r="G69">
        <v>7531</v>
      </c>
      <c r="H69" t="s">
        <v>424</v>
      </c>
      <c r="I69" s="55">
        <v>45429</v>
      </c>
      <c r="J69" t="s">
        <v>501</v>
      </c>
      <c r="L69" s="55"/>
      <c r="M69" s="1">
        <f>DATA_JUNIO_2025[[#This Row],[RECUPERO]]/DATA_JUNIO_2025[[#This Row],[META]]</f>
        <v>0.59830769230769232</v>
      </c>
      <c r="N69">
        <f>6-ROUNDUP(_xlfn.RANK.EQ(DATA_JUNIO_2025[[#This Row],[AL_AC]],DATA_JUNIO_2025[AL_AC],0)/(COUNTA(DATA_JUNIO_2025[AL_AC])/5),0)</f>
        <v>4</v>
      </c>
      <c r="O69" t="s">
        <v>5</v>
      </c>
      <c r="P69">
        <f>SUM(DATA_JUNIO_2025[[#This Row],[1]:[31]])</f>
        <v>38890</v>
      </c>
      <c r="Q69">
        <v>65000</v>
      </c>
      <c r="R69" t="s">
        <v>79</v>
      </c>
      <c r="U69">
        <v>2500</v>
      </c>
      <c r="AA69">
        <v>20000</v>
      </c>
      <c r="AB69">
        <v>800</v>
      </c>
      <c r="AD69">
        <v>10000</v>
      </c>
      <c r="AM69">
        <v>200</v>
      </c>
      <c r="AO69">
        <v>700</v>
      </c>
      <c r="AS69">
        <v>600</v>
      </c>
      <c r="AV69">
        <v>4090</v>
      </c>
      <c r="AX69" t="s">
        <v>150</v>
      </c>
    </row>
    <row r="70" spans="1:50" x14ac:dyDescent="0.25">
      <c r="A70" t="s">
        <v>8</v>
      </c>
      <c r="B70" t="s">
        <v>42</v>
      </c>
      <c r="C70">
        <f>VLOOKUP(D1_JUNIO_2025[[#This Row],[SUPER]],DATA_JUNIO_2025[[SUPERVISOR]:[META]],3,0)</f>
        <v>15000</v>
      </c>
      <c r="D70">
        <f>D1_JUNIO_2025[[#This Row],[RECUPERO]]/D1_JUNIO_2025[[#This Row],[META]]</f>
        <v>0.46814666666666666</v>
      </c>
      <c r="E70" t="s">
        <v>8</v>
      </c>
      <c r="F70" t="s">
        <v>42</v>
      </c>
      <c r="G70">
        <v>7022.2</v>
      </c>
      <c r="H70" t="s">
        <v>415</v>
      </c>
      <c r="I70" s="55">
        <v>45399</v>
      </c>
      <c r="J70" t="s">
        <v>501</v>
      </c>
      <c r="L70" s="55"/>
      <c r="M70" s="1">
        <f>DATA_JUNIO_2025[[#This Row],[RECUPERO]]/DATA_JUNIO_2025[[#This Row],[META]]</f>
        <v>1.525855076923077</v>
      </c>
      <c r="N70">
        <f>6-ROUNDUP(_xlfn.RANK.EQ(DATA_JUNIO_2025[[#This Row],[AL_AC]],DATA_JUNIO_2025[AL_AC],0)/(COUNTA(DATA_JUNIO_2025[AL_AC])/5),0)</f>
        <v>5</v>
      </c>
      <c r="O70" t="s">
        <v>4</v>
      </c>
      <c r="P70">
        <f>SUM(DATA_JUNIO_2025[[#This Row],[1]:[31]])</f>
        <v>99180.58</v>
      </c>
      <c r="Q70">
        <v>65000</v>
      </c>
      <c r="R70" t="s">
        <v>59</v>
      </c>
      <c r="T70">
        <v>265</v>
      </c>
      <c r="U70">
        <v>3203</v>
      </c>
      <c r="V70">
        <v>2500</v>
      </c>
      <c r="W70">
        <v>6100</v>
      </c>
      <c r="Y70">
        <v>300</v>
      </c>
      <c r="AA70">
        <v>8800</v>
      </c>
      <c r="AB70">
        <v>1400</v>
      </c>
      <c r="AD70">
        <v>10500</v>
      </c>
      <c r="AE70">
        <v>15479.58</v>
      </c>
      <c r="AH70">
        <v>5600</v>
      </c>
      <c r="AO70">
        <v>8500</v>
      </c>
      <c r="AP70">
        <v>24955</v>
      </c>
      <c r="AR70">
        <v>950</v>
      </c>
      <c r="AS70">
        <v>2700</v>
      </c>
      <c r="AV70">
        <v>7928</v>
      </c>
      <c r="AX70" t="s">
        <v>150</v>
      </c>
    </row>
    <row r="71" spans="1:50" x14ac:dyDescent="0.25">
      <c r="A71" t="s">
        <v>8</v>
      </c>
      <c r="B71" t="s">
        <v>43</v>
      </c>
      <c r="C71">
        <f>VLOOKUP(D1_JUNIO_2025[[#This Row],[SUPER]],DATA_JUNIO_2025[[SUPERVISOR]:[META]],3,0)</f>
        <v>15000</v>
      </c>
      <c r="D71">
        <f>D1_JUNIO_2025[[#This Row],[RECUPERO]]/D1_JUNIO_2025[[#This Row],[META]]</f>
        <v>0.32240000000000002</v>
      </c>
      <c r="E71" t="s">
        <v>8</v>
      </c>
      <c r="F71" t="s">
        <v>43</v>
      </c>
      <c r="G71">
        <v>4836</v>
      </c>
      <c r="H71" t="s">
        <v>471</v>
      </c>
      <c r="I71" s="55">
        <v>45793</v>
      </c>
      <c r="J71" t="s">
        <v>501</v>
      </c>
      <c r="L71" s="55"/>
      <c r="M71" s="1">
        <f>DATA_JUNIO_2025[[#This Row],[RECUPERO]]/DATA_JUNIO_2025[[#This Row],[META]]</f>
        <v>0.20480000000000001</v>
      </c>
      <c r="N71">
        <f>6-ROUNDUP(_xlfn.RANK.EQ(DATA_JUNIO_2025[[#This Row],[AL_AC]],DATA_JUNIO_2025[AL_AC],0)/(COUNTA(DATA_JUNIO_2025[AL_AC])/5),0)</f>
        <v>1</v>
      </c>
      <c r="O71" t="s">
        <v>9</v>
      </c>
      <c r="P71">
        <f>SUM(DATA_JUNIO_2025[[#This Row],[1]:[31]])</f>
        <v>3072</v>
      </c>
      <c r="Q71">
        <v>15000</v>
      </c>
      <c r="R71" t="s">
        <v>84</v>
      </c>
      <c r="U71">
        <v>1050</v>
      </c>
      <c r="AE71">
        <v>260</v>
      </c>
      <c r="AJ71">
        <v>1462</v>
      </c>
      <c r="AV71">
        <v>300</v>
      </c>
      <c r="AX71" t="s">
        <v>153</v>
      </c>
    </row>
    <row r="72" spans="1:50" x14ac:dyDescent="0.25">
      <c r="A72" t="s">
        <v>8</v>
      </c>
      <c r="B72" t="s">
        <v>48</v>
      </c>
      <c r="C72">
        <f>VLOOKUP(D1_JUNIO_2025[[#This Row],[SUPER]],DATA_JUNIO_2025[[SUPERVISOR]:[META]],3,0)</f>
        <v>15000</v>
      </c>
      <c r="D72">
        <f>D1_JUNIO_2025[[#This Row],[RECUPERO]]/D1_JUNIO_2025[[#This Row],[META]]</f>
        <v>0.26166666666666666</v>
      </c>
      <c r="E72" t="s">
        <v>8</v>
      </c>
      <c r="F72" t="s">
        <v>48</v>
      </c>
      <c r="G72">
        <v>3925</v>
      </c>
      <c r="H72" t="s">
        <v>421</v>
      </c>
      <c r="I72" s="55">
        <v>44748</v>
      </c>
      <c r="J72" t="s">
        <v>501</v>
      </c>
      <c r="L72" s="55"/>
      <c r="M72" s="1">
        <f>DATA_JUNIO_2025[[#This Row],[RECUPERO]]/DATA_JUNIO_2025[[#This Row],[META]]</f>
        <v>0.20976923076923076</v>
      </c>
      <c r="N72">
        <f>6-ROUNDUP(_xlfn.RANK.EQ(DATA_JUNIO_2025[[#This Row],[AL_AC]],DATA_JUNIO_2025[AL_AC],0)/(COUNTA(DATA_JUNIO_2025[AL_AC])/5),0)</f>
        <v>1</v>
      </c>
      <c r="O72" t="s">
        <v>4</v>
      </c>
      <c r="P72">
        <f>SUM(DATA_JUNIO_2025[[#This Row],[1]:[31]])</f>
        <v>13635</v>
      </c>
      <c r="Q72">
        <v>65000</v>
      </c>
      <c r="R72" t="s">
        <v>63</v>
      </c>
      <c r="T72">
        <v>1690</v>
      </c>
      <c r="V72">
        <v>730</v>
      </c>
      <c r="W72">
        <v>300</v>
      </c>
      <c r="Y72">
        <v>384</v>
      </c>
      <c r="AA72">
        <v>485</v>
      </c>
      <c r="AE72">
        <v>2630</v>
      </c>
      <c r="AI72">
        <v>294</v>
      </c>
      <c r="AK72">
        <v>460</v>
      </c>
      <c r="AL72">
        <v>349</v>
      </c>
      <c r="AP72">
        <v>3000</v>
      </c>
      <c r="AS72">
        <v>1446</v>
      </c>
      <c r="AT72">
        <v>240</v>
      </c>
      <c r="AV72">
        <v>1627</v>
      </c>
      <c r="AX72" t="s">
        <v>150</v>
      </c>
    </row>
    <row r="73" spans="1:50" x14ac:dyDescent="0.25">
      <c r="A73" t="s">
        <v>8</v>
      </c>
      <c r="B73" t="s">
        <v>45</v>
      </c>
      <c r="C73">
        <f>VLOOKUP(D1_JUNIO_2025[[#This Row],[SUPER]],DATA_JUNIO_2025[[SUPERVISOR]:[META]],3,0)</f>
        <v>15000</v>
      </c>
      <c r="D73">
        <f>D1_JUNIO_2025[[#This Row],[RECUPERO]]/D1_JUNIO_2025[[#This Row],[META]]</f>
        <v>0.14546666666666666</v>
      </c>
      <c r="E73" t="s">
        <v>8</v>
      </c>
      <c r="F73" t="s">
        <v>45</v>
      </c>
      <c r="G73">
        <v>2182</v>
      </c>
      <c r="H73" t="s">
        <v>476</v>
      </c>
      <c r="I73" s="55">
        <v>38525</v>
      </c>
      <c r="J73" t="s">
        <v>501</v>
      </c>
      <c r="L73" s="55"/>
      <c r="M73" s="1">
        <f>DATA_JUNIO_2025[[#This Row],[RECUPERO]]/DATA_JUNIO_2025[[#This Row],[META]]</f>
        <v>0.754</v>
      </c>
      <c r="N73">
        <f>6-ROUNDUP(_xlfn.RANK.EQ(DATA_JUNIO_2025[[#This Row],[AL_AC]],DATA_JUNIO_2025[AL_AC],0)/(COUNTA(DATA_JUNIO_2025[AL_AC])/5),0)</f>
        <v>4</v>
      </c>
      <c r="O73" t="s">
        <v>8</v>
      </c>
      <c r="P73">
        <f>SUM(DATA_JUNIO_2025[[#This Row],[1]:[31]])</f>
        <v>11310</v>
      </c>
      <c r="Q73">
        <v>15000</v>
      </c>
      <c r="R73" t="s">
        <v>103</v>
      </c>
      <c r="V73">
        <v>400</v>
      </c>
      <c r="AA73">
        <v>200</v>
      </c>
      <c r="AB73">
        <v>1000</v>
      </c>
      <c r="AC73">
        <v>350</v>
      </c>
      <c r="AD73">
        <v>300</v>
      </c>
      <c r="AF73">
        <v>300</v>
      </c>
      <c r="AH73">
        <v>1000</v>
      </c>
      <c r="AJ73">
        <v>700</v>
      </c>
      <c r="AK73">
        <v>500</v>
      </c>
      <c r="AL73">
        <v>2650</v>
      </c>
      <c r="AM73">
        <v>1000</v>
      </c>
      <c r="AP73">
        <v>600</v>
      </c>
      <c r="AQ73">
        <v>600</v>
      </c>
      <c r="AS73">
        <v>710</v>
      </c>
      <c r="AV73">
        <v>1000</v>
      </c>
      <c r="AX73" t="s">
        <v>153</v>
      </c>
    </row>
    <row r="74" spans="1:50" x14ac:dyDescent="0.25">
      <c r="A74" t="s">
        <v>9</v>
      </c>
      <c r="B74" t="s">
        <v>15</v>
      </c>
      <c r="C74">
        <f>VLOOKUP(D1_JUNIO_2025[[#This Row],[SUPER]],DATA_JUNIO_2025[[SUPERVISOR]:[META]],3,0)</f>
        <v>15000</v>
      </c>
      <c r="D74">
        <f>D1_JUNIO_2025[[#This Row],[RECUPERO]]/D1_JUNIO_2025[[#This Row],[META]]</f>
        <v>1.0038733333333334</v>
      </c>
      <c r="E74" t="s">
        <v>9</v>
      </c>
      <c r="F74" t="s">
        <v>15</v>
      </c>
      <c r="G74">
        <v>15058.1</v>
      </c>
      <c r="H74" t="s">
        <v>410</v>
      </c>
      <c r="I74" s="55">
        <v>44735</v>
      </c>
      <c r="J74" t="s">
        <v>501</v>
      </c>
      <c r="L74" s="55"/>
      <c r="M74" s="1">
        <f>DATA_JUNIO_2025[[#This Row],[RECUPERO]]/DATA_JUNIO_2025[[#This Row],[META]]</f>
        <v>0.47986666666666666</v>
      </c>
      <c r="N74">
        <f>6-ROUNDUP(_xlfn.RANK.EQ(DATA_JUNIO_2025[[#This Row],[AL_AC]],DATA_JUNIO_2025[AL_AC],0)/(COUNTA(DATA_JUNIO_2025[AL_AC])/5),0)</f>
        <v>3</v>
      </c>
      <c r="O74" t="s">
        <v>9</v>
      </c>
      <c r="P74">
        <f>SUM(DATA_JUNIO_2025[[#This Row],[1]:[31]])</f>
        <v>7198</v>
      </c>
      <c r="Q74">
        <v>15000</v>
      </c>
      <c r="R74" t="s">
        <v>73</v>
      </c>
      <c r="T74">
        <v>755</v>
      </c>
      <c r="V74">
        <v>920</v>
      </c>
      <c r="W74">
        <v>300</v>
      </c>
      <c r="X74">
        <v>460</v>
      </c>
      <c r="AE74">
        <v>200</v>
      </c>
      <c r="AF74">
        <v>1400</v>
      </c>
      <c r="AG74">
        <v>50</v>
      </c>
      <c r="AJ74">
        <v>900</v>
      </c>
      <c r="AL74">
        <v>260</v>
      </c>
      <c r="AP74">
        <v>173</v>
      </c>
      <c r="AT74">
        <v>430</v>
      </c>
      <c r="AV74">
        <v>1350</v>
      </c>
      <c r="AX74" t="s">
        <v>153</v>
      </c>
    </row>
    <row r="75" spans="1:50" x14ac:dyDescent="0.25">
      <c r="A75" t="s">
        <v>9</v>
      </c>
      <c r="B75" t="s">
        <v>78</v>
      </c>
      <c r="C75">
        <f>VLOOKUP(D1_JUNIO_2025[[#This Row],[SUPER]],DATA_JUNIO_2025[[SUPERVISOR]:[META]],3,0)</f>
        <v>15000</v>
      </c>
      <c r="D75">
        <f>D1_JUNIO_2025[[#This Row],[RECUPERO]]/D1_JUNIO_2025[[#This Row],[META]]</f>
        <v>1.0196000000000001</v>
      </c>
      <c r="E75" t="s">
        <v>9</v>
      </c>
      <c r="F75" t="s">
        <v>78</v>
      </c>
      <c r="G75">
        <v>15294</v>
      </c>
      <c r="H75" t="s">
        <v>397</v>
      </c>
      <c r="I75" s="55">
        <v>44945</v>
      </c>
      <c r="J75" t="s">
        <v>501</v>
      </c>
      <c r="L75" s="55"/>
      <c r="M75" s="1">
        <f>DATA_JUNIO_2025[[#This Row],[RECUPERO]]/DATA_JUNIO_2025[[#This Row],[META]]</f>
        <v>0.30121538461538461</v>
      </c>
      <c r="N75">
        <f>6-ROUNDUP(_xlfn.RANK.EQ(DATA_JUNIO_2025[[#This Row],[AL_AC]],DATA_JUNIO_2025[AL_AC],0)/(COUNTA(DATA_JUNIO_2025[AL_AC])/5),0)</f>
        <v>2</v>
      </c>
      <c r="O75" t="s">
        <v>2</v>
      </c>
      <c r="P75">
        <f>SUM(DATA_JUNIO_2025[[#This Row],[1]:[31]])</f>
        <v>19579</v>
      </c>
      <c r="Q75">
        <v>65000</v>
      </c>
      <c r="R75" t="s">
        <v>86</v>
      </c>
      <c r="X75">
        <v>600</v>
      </c>
      <c r="AB75">
        <v>600</v>
      </c>
      <c r="AE75">
        <v>10300</v>
      </c>
      <c r="AL75">
        <v>6000</v>
      </c>
      <c r="AQ75">
        <v>600</v>
      </c>
      <c r="AS75">
        <v>879</v>
      </c>
      <c r="AV75">
        <v>600</v>
      </c>
      <c r="AX75" t="s">
        <v>150</v>
      </c>
    </row>
    <row r="76" spans="1:50" x14ac:dyDescent="0.25">
      <c r="A76" t="s">
        <v>9</v>
      </c>
      <c r="B76" t="s">
        <v>32</v>
      </c>
      <c r="C76">
        <f>VLOOKUP(D1_JUNIO_2025[[#This Row],[SUPER]],DATA_JUNIO_2025[[SUPERVISOR]:[META]],3,0)</f>
        <v>15000</v>
      </c>
      <c r="D76">
        <f>D1_JUNIO_2025[[#This Row],[RECUPERO]]/D1_JUNIO_2025[[#This Row],[META]]</f>
        <v>0.5633800000000001</v>
      </c>
      <c r="E76" t="s">
        <v>9</v>
      </c>
      <c r="F76" t="s">
        <v>32</v>
      </c>
      <c r="G76">
        <v>8450.7000000000007</v>
      </c>
      <c r="H76" t="s">
        <v>390</v>
      </c>
      <c r="I76" s="55">
        <v>45530</v>
      </c>
      <c r="J76" t="s">
        <v>501</v>
      </c>
      <c r="L76" s="55"/>
      <c r="M76" s="1">
        <f>DATA_JUNIO_2025[[#This Row],[RECUPERO]]/DATA_JUNIO_2025[[#This Row],[META]]</f>
        <v>0.38524590163934425</v>
      </c>
      <c r="N76">
        <f>6-ROUNDUP(_xlfn.RANK.EQ(DATA_JUNIO_2025[[#This Row],[AL_AC]],DATA_JUNIO_2025[AL_AC],0)/(COUNTA(DATA_JUNIO_2025[AL_AC])/5),0)</f>
        <v>2</v>
      </c>
      <c r="O76" t="s">
        <v>6</v>
      </c>
      <c r="P76">
        <f>SUM(DATA_JUNIO_2025[[#This Row],[1]:[31]])</f>
        <v>11750</v>
      </c>
      <c r="Q76">
        <v>30500</v>
      </c>
      <c r="R76" t="s">
        <v>34</v>
      </c>
      <c r="V76">
        <v>500</v>
      </c>
      <c r="W76">
        <v>1000</v>
      </c>
      <c r="X76">
        <v>400</v>
      </c>
      <c r="AB76">
        <v>2200</v>
      </c>
      <c r="AC76">
        <v>1400</v>
      </c>
      <c r="AF76">
        <v>300</v>
      </c>
      <c r="AO76">
        <v>300</v>
      </c>
      <c r="AQ76">
        <v>2500</v>
      </c>
      <c r="AR76">
        <v>2000</v>
      </c>
      <c r="AV76">
        <v>1150</v>
      </c>
      <c r="AX76" t="s">
        <v>152</v>
      </c>
    </row>
    <row r="77" spans="1:50" x14ac:dyDescent="0.25">
      <c r="A77" t="s">
        <v>9</v>
      </c>
      <c r="B77" t="s">
        <v>73</v>
      </c>
      <c r="C77">
        <f>VLOOKUP(D1_JUNIO_2025[[#This Row],[SUPER]],DATA_JUNIO_2025[[SUPERVISOR]:[META]],3,0)</f>
        <v>15000</v>
      </c>
      <c r="D77">
        <f>D1_JUNIO_2025[[#This Row],[RECUPERO]]/D1_JUNIO_2025[[#This Row],[META]]</f>
        <v>0.47986666666666666</v>
      </c>
      <c r="E77" t="s">
        <v>9</v>
      </c>
      <c r="F77" t="s">
        <v>73</v>
      </c>
      <c r="G77">
        <v>7198</v>
      </c>
      <c r="H77" t="s">
        <v>420</v>
      </c>
      <c r="I77" s="55">
        <v>45145</v>
      </c>
      <c r="J77" t="s">
        <v>501</v>
      </c>
      <c r="L77" s="55"/>
      <c r="M77" s="1">
        <f>DATA_JUNIO_2025[[#This Row],[RECUPERO]]/DATA_JUNIO_2025[[#This Row],[META]]</f>
        <v>2.3333333333333334E-2</v>
      </c>
      <c r="N77">
        <f>6-ROUNDUP(_xlfn.RANK.EQ(DATA_JUNIO_2025[[#This Row],[AL_AC]],DATA_JUNIO_2025[AL_AC],0)/(COUNTA(DATA_JUNIO_2025[AL_AC])/5),0)</f>
        <v>1</v>
      </c>
      <c r="O77" t="s">
        <v>9</v>
      </c>
      <c r="P77">
        <f>SUM(DATA_JUNIO_2025[[#This Row],[1]:[31]])</f>
        <v>350</v>
      </c>
      <c r="Q77">
        <v>15000</v>
      </c>
      <c r="R77" t="s">
        <v>30</v>
      </c>
      <c r="AJ77">
        <v>100</v>
      </c>
      <c r="AL77">
        <v>250</v>
      </c>
      <c r="AX77" t="s">
        <v>153</v>
      </c>
    </row>
    <row r="78" spans="1:50" x14ac:dyDescent="0.25">
      <c r="A78" t="s">
        <v>9</v>
      </c>
      <c r="B78" t="s">
        <v>49</v>
      </c>
      <c r="C78">
        <f>VLOOKUP(D1_JUNIO_2025[[#This Row],[SUPER]],DATA_JUNIO_2025[[SUPERVISOR]:[META]],3,0)</f>
        <v>15000</v>
      </c>
      <c r="D78">
        <f>D1_JUNIO_2025[[#This Row],[RECUPERO]]/D1_JUNIO_2025[[#This Row],[META]]</f>
        <v>0.36593333333333333</v>
      </c>
      <c r="E78" t="s">
        <v>9</v>
      </c>
      <c r="F78" t="s">
        <v>49</v>
      </c>
      <c r="G78">
        <v>5489</v>
      </c>
      <c r="H78" t="s">
        <v>436</v>
      </c>
      <c r="I78" s="55">
        <v>42814</v>
      </c>
      <c r="J78" t="s">
        <v>501</v>
      </c>
      <c r="M78" s="1">
        <f>DATA_JUNIO_2025[[#This Row],[RECUPERO]]/DATA_JUNIO_2025[[#This Row],[META]]</f>
        <v>1.0196000000000001</v>
      </c>
      <c r="N78">
        <f>6-ROUNDUP(_xlfn.RANK.EQ(DATA_JUNIO_2025[[#This Row],[AL_AC]],DATA_JUNIO_2025[AL_AC],0)/(COUNTA(DATA_JUNIO_2025[AL_AC])/5),0)</f>
        <v>5</v>
      </c>
      <c r="O78" t="s">
        <v>9</v>
      </c>
      <c r="P78">
        <f>SUM(DATA_JUNIO_2025[[#This Row],[1]:[31]])</f>
        <v>15294</v>
      </c>
      <c r="Q78">
        <v>15000</v>
      </c>
      <c r="R78" t="s">
        <v>78</v>
      </c>
      <c r="W78">
        <v>500</v>
      </c>
      <c r="X78">
        <v>600</v>
      </c>
      <c r="AA78">
        <v>200</v>
      </c>
      <c r="AB78">
        <v>200</v>
      </c>
      <c r="AC78">
        <v>200</v>
      </c>
      <c r="AE78">
        <v>829</v>
      </c>
      <c r="AH78">
        <v>2500</v>
      </c>
      <c r="AJ78">
        <v>4200</v>
      </c>
      <c r="AL78">
        <v>450</v>
      </c>
      <c r="AS78">
        <v>1505</v>
      </c>
      <c r="AV78">
        <v>4110</v>
      </c>
      <c r="AX78" t="s">
        <v>153</v>
      </c>
    </row>
    <row r="79" spans="1:50" x14ac:dyDescent="0.25">
      <c r="A79" t="s">
        <v>9</v>
      </c>
      <c r="B79" t="s">
        <v>104</v>
      </c>
      <c r="C79">
        <f>VLOOKUP(D1_JUNIO_2025[[#This Row],[SUPER]],DATA_JUNIO_2025[[SUPERVISOR]:[META]],3,0)</f>
        <v>15000</v>
      </c>
      <c r="D79">
        <f>D1_JUNIO_2025[[#This Row],[RECUPERO]]/D1_JUNIO_2025[[#This Row],[META]]</f>
        <v>0.36533333333333334</v>
      </c>
      <c r="E79" t="s">
        <v>9</v>
      </c>
      <c r="F79" t="s">
        <v>104</v>
      </c>
      <c r="G79">
        <v>5480</v>
      </c>
      <c r="H79" t="s">
        <v>456</v>
      </c>
      <c r="I79" s="55">
        <v>44104</v>
      </c>
      <c r="J79" t="s">
        <v>501</v>
      </c>
      <c r="M79" s="1">
        <f>DATA_JUNIO_2025[[#This Row],[RECUPERO]]/DATA_JUNIO_2025[[#This Row],[META]]</f>
        <v>0.26166666666666666</v>
      </c>
      <c r="N79">
        <f>6-ROUNDUP(_xlfn.RANK.EQ(DATA_JUNIO_2025[[#This Row],[AL_AC]],DATA_JUNIO_2025[AL_AC],0)/(COUNTA(DATA_JUNIO_2025[AL_AC])/5),0)</f>
        <v>1</v>
      </c>
      <c r="O79" t="s">
        <v>8</v>
      </c>
      <c r="P79">
        <f>SUM(DATA_JUNIO_2025[[#This Row],[1]:[31]])</f>
        <v>3925</v>
      </c>
      <c r="Q79">
        <v>15000</v>
      </c>
      <c r="R79" t="s">
        <v>48</v>
      </c>
      <c r="W79">
        <v>200</v>
      </c>
      <c r="AB79">
        <v>200</v>
      </c>
      <c r="AH79">
        <v>400</v>
      </c>
      <c r="AJ79">
        <v>60</v>
      </c>
      <c r="AK79">
        <v>450</v>
      </c>
      <c r="AO79">
        <v>500</v>
      </c>
      <c r="AP79">
        <v>200</v>
      </c>
      <c r="AQ79">
        <v>250</v>
      </c>
      <c r="AS79">
        <v>365</v>
      </c>
      <c r="AT79">
        <v>500</v>
      </c>
      <c r="AV79">
        <v>800</v>
      </c>
      <c r="AX79" t="s">
        <v>153</v>
      </c>
    </row>
    <row r="80" spans="1:50" x14ac:dyDescent="0.25">
      <c r="A80" t="s">
        <v>9</v>
      </c>
      <c r="B80" t="s">
        <v>51</v>
      </c>
      <c r="C80">
        <f>VLOOKUP(D1_JUNIO_2025[[#This Row],[SUPER]],DATA_JUNIO_2025[[SUPERVISOR]:[META]],3,0)</f>
        <v>15000</v>
      </c>
      <c r="D80">
        <f>D1_JUNIO_2025[[#This Row],[RECUPERO]]/D1_JUNIO_2025[[#This Row],[META]]</f>
        <v>0.30833333333333335</v>
      </c>
      <c r="E80" t="s">
        <v>9</v>
      </c>
      <c r="F80" t="s">
        <v>51</v>
      </c>
      <c r="G80">
        <v>4625</v>
      </c>
      <c r="H80" t="s">
        <v>413</v>
      </c>
      <c r="I80" s="55">
        <v>45674</v>
      </c>
      <c r="J80" t="s">
        <v>501</v>
      </c>
      <c r="M80" s="1">
        <f>DATA_JUNIO_2025[[#This Row],[RECUPERO]]/DATA_JUNIO_2025[[#This Row],[META]]</f>
        <v>0.85598461538461534</v>
      </c>
      <c r="N80">
        <f>6-ROUNDUP(_xlfn.RANK.EQ(DATA_JUNIO_2025[[#This Row],[AL_AC]],DATA_JUNIO_2025[AL_AC],0)/(COUNTA(DATA_JUNIO_2025[AL_AC])/5),0)</f>
        <v>5</v>
      </c>
      <c r="O80" t="s">
        <v>2</v>
      </c>
      <c r="P80">
        <f>SUM(DATA_JUNIO_2025[[#This Row],[1]:[31]])</f>
        <v>55639</v>
      </c>
      <c r="Q80">
        <v>65000</v>
      </c>
      <c r="R80" t="s">
        <v>10</v>
      </c>
      <c r="W80">
        <v>2200</v>
      </c>
      <c r="X80">
        <v>1530</v>
      </c>
      <c r="AC80">
        <v>3500</v>
      </c>
      <c r="AE80">
        <v>10618</v>
      </c>
      <c r="AI80">
        <v>6700</v>
      </c>
      <c r="AJ80">
        <v>6100</v>
      </c>
      <c r="AL80">
        <v>184</v>
      </c>
      <c r="AP80">
        <v>3000</v>
      </c>
      <c r="AQ80">
        <v>350</v>
      </c>
      <c r="AR80">
        <v>485</v>
      </c>
      <c r="AS80">
        <v>10710</v>
      </c>
      <c r="AV80">
        <v>10262</v>
      </c>
      <c r="AX80" t="s">
        <v>150</v>
      </c>
    </row>
    <row r="81" spans="1:50" x14ac:dyDescent="0.25">
      <c r="A81" t="s">
        <v>9</v>
      </c>
      <c r="B81" t="s">
        <v>84</v>
      </c>
      <c r="C81">
        <f>VLOOKUP(D1_JUNIO_2025[[#This Row],[SUPER]],DATA_JUNIO_2025[[SUPERVISOR]:[META]],3,0)</f>
        <v>15000</v>
      </c>
      <c r="D81">
        <f>D1_JUNIO_2025[[#This Row],[RECUPERO]]/D1_JUNIO_2025[[#This Row],[META]]</f>
        <v>0.20480000000000001</v>
      </c>
      <c r="E81" t="s">
        <v>9</v>
      </c>
      <c r="F81" t="s">
        <v>84</v>
      </c>
      <c r="G81">
        <v>3072</v>
      </c>
      <c r="H81" t="s">
        <v>473</v>
      </c>
      <c r="I81" s="55">
        <v>45800</v>
      </c>
      <c r="J81" t="s">
        <v>501</v>
      </c>
      <c r="M81" s="1">
        <f>DATA_JUNIO_2025[[#This Row],[RECUPERO]]/DATA_JUNIO_2025[[#This Row],[META]]</f>
        <v>0.61761538461538457</v>
      </c>
      <c r="N81">
        <f>6-ROUNDUP(_xlfn.RANK.EQ(DATA_JUNIO_2025[[#This Row],[AL_AC]],DATA_JUNIO_2025[AL_AC],0)/(COUNTA(DATA_JUNIO_2025[AL_AC])/5),0)</f>
        <v>4</v>
      </c>
      <c r="O81" t="s">
        <v>3</v>
      </c>
      <c r="P81">
        <f>SUM(DATA_JUNIO_2025[[#This Row],[1]:[31]])</f>
        <v>40145</v>
      </c>
      <c r="Q81">
        <v>65000</v>
      </c>
      <c r="R81" t="s">
        <v>76</v>
      </c>
      <c r="T81">
        <v>4900</v>
      </c>
      <c r="AB81">
        <v>4850</v>
      </c>
      <c r="AO81">
        <v>5820</v>
      </c>
      <c r="AS81">
        <v>5505</v>
      </c>
      <c r="AV81">
        <v>19070</v>
      </c>
      <c r="AX81" t="s">
        <v>150</v>
      </c>
    </row>
    <row r="82" spans="1:50" x14ac:dyDescent="0.25">
      <c r="A82" t="s">
        <v>9</v>
      </c>
      <c r="B82" t="s">
        <v>112</v>
      </c>
      <c r="C82">
        <f>VLOOKUP(D1_JUNIO_2025[[#This Row],[SUPER]],DATA_JUNIO_2025[[SUPERVISOR]:[META]],3,0)</f>
        <v>15000</v>
      </c>
      <c r="D82">
        <f>D1_JUNIO_2025[[#This Row],[RECUPERO]]/D1_JUNIO_2025[[#This Row],[META]]</f>
        <v>4.6666666666666669E-2</v>
      </c>
      <c r="E82" t="s">
        <v>9</v>
      </c>
      <c r="F82" t="s">
        <v>112</v>
      </c>
      <c r="G82">
        <v>700</v>
      </c>
      <c r="H82" t="s">
        <v>477</v>
      </c>
      <c r="I82" s="55">
        <v>45832</v>
      </c>
      <c r="J82" t="s">
        <v>501</v>
      </c>
      <c r="M82" s="1">
        <f>DATA_JUNIO_2025[[#This Row],[RECUPERO]]/DATA_JUNIO_2025[[#This Row],[META]]</f>
        <v>0.57720000000000005</v>
      </c>
      <c r="N82">
        <f>6-ROUNDUP(_xlfn.RANK.EQ(DATA_JUNIO_2025[[#This Row],[AL_AC]],DATA_JUNIO_2025[AL_AC],0)/(COUNTA(DATA_JUNIO_2025[AL_AC])/5),0)</f>
        <v>4</v>
      </c>
      <c r="O82" t="s">
        <v>125</v>
      </c>
      <c r="P82">
        <f>SUM(DATA_JUNIO_2025[[#This Row],[1]:[31]])</f>
        <v>8658</v>
      </c>
      <c r="Q82">
        <v>15000</v>
      </c>
      <c r="R82" t="s">
        <v>39</v>
      </c>
      <c r="T82">
        <v>0</v>
      </c>
      <c r="V82">
        <v>600</v>
      </c>
      <c r="W82">
        <v>550</v>
      </c>
      <c r="X82">
        <v>350</v>
      </c>
      <c r="AB82">
        <v>355</v>
      </c>
      <c r="AC82">
        <v>255</v>
      </c>
      <c r="AD82">
        <v>200</v>
      </c>
      <c r="AF82">
        <v>1000</v>
      </c>
      <c r="AH82">
        <v>450</v>
      </c>
      <c r="AI82">
        <v>301</v>
      </c>
      <c r="AL82">
        <v>1200</v>
      </c>
      <c r="AO82">
        <v>150</v>
      </c>
      <c r="AQ82">
        <v>100</v>
      </c>
      <c r="AR82">
        <v>200</v>
      </c>
      <c r="AV82">
        <v>2947</v>
      </c>
      <c r="AX82" t="s">
        <v>153</v>
      </c>
    </row>
    <row r="83" spans="1:50" x14ac:dyDescent="0.25">
      <c r="A83" t="s">
        <v>9</v>
      </c>
      <c r="B83" t="s">
        <v>30</v>
      </c>
      <c r="C83">
        <f>VLOOKUP(D1_JUNIO_2025[[#This Row],[SUPER]],DATA_JUNIO_2025[[SUPERVISOR]:[META]],3,0)</f>
        <v>15000</v>
      </c>
      <c r="D83">
        <f>D1_JUNIO_2025[[#This Row],[RECUPERO]]/D1_JUNIO_2025[[#This Row],[META]]</f>
        <v>2.3333333333333334E-2</v>
      </c>
      <c r="E83" t="s">
        <v>9</v>
      </c>
      <c r="F83" t="s">
        <v>30</v>
      </c>
      <c r="G83">
        <v>350</v>
      </c>
      <c r="H83" t="s">
        <v>448</v>
      </c>
      <c r="I83" s="55">
        <v>45399</v>
      </c>
      <c r="J83" t="s">
        <v>501</v>
      </c>
      <c r="M83" s="1">
        <f>DATA_JUNIO_2025[[#This Row],[RECUPERO]]/DATA_JUNIO_2025[[#This Row],[META]]</f>
        <v>0.48286666666666667</v>
      </c>
      <c r="N83">
        <f>6-ROUNDUP(_xlfn.RANK.EQ(DATA_JUNIO_2025[[#This Row],[AL_AC]],DATA_JUNIO_2025[AL_AC],0)/(COUNTA(DATA_JUNIO_2025[AL_AC])/5),0)</f>
        <v>3</v>
      </c>
      <c r="O83" t="s">
        <v>125</v>
      </c>
      <c r="P83">
        <f>SUM(DATA_JUNIO_2025[[#This Row],[1]:[31]])</f>
        <v>7243</v>
      </c>
      <c r="Q83">
        <v>15000</v>
      </c>
      <c r="R83" t="s">
        <v>56</v>
      </c>
      <c r="U83">
        <v>200.07</v>
      </c>
      <c r="V83">
        <v>1110</v>
      </c>
      <c r="W83">
        <v>261.93</v>
      </c>
      <c r="X83">
        <v>300</v>
      </c>
      <c r="AA83">
        <v>320</v>
      </c>
      <c r="AC83">
        <v>202</v>
      </c>
      <c r="AD83">
        <v>270</v>
      </c>
      <c r="AE83">
        <v>850</v>
      </c>
      <c r="AI83">
        <v>217</v>
      </c>
      <c r="AJ83">
        <v>300</v>
      </c>
      <c r="AL83">
        <v>200</v>
      </c>
      <c r="AM83">
        <v>260</v>
      </c>
      <c r="AO83">
        <v>721</v>
      </c>
      <c r="AQ83">
        <v>200</v>
      </c>
      <c r="AR83">
        <v>250</v>
      </c>
      <c r="AS83">
        <v>750</v>
      </c>
      <c r="AU83">
        <v>325</v>
      </c>
      <c r="AV83">
        <v>506</v>
      </c>
      <c r="AX83" t="s">
        <v>153</v>
      </c>
    </row>
  </sheetData>
  <sheetProtection formatCells="0" insertColumns="0" insertRows="0" deleteColumns="0" deleteRows="0" sort="0" autoFilter="0" pivotTables="0"/>
  <phoneticPr fontId="2" type="noConversion"/>
  <pageMargins left="0.7" right="0.7" top="0.75" bottom="0.75" header="0.3" footer="0.3"/>
  <tableParts count="4">
    <tablePart r:id="rId1"/>
    <tablePart r:id="rId2"/>
    <tablePart r:id="rId3"/>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9F23C-A1EF-43D4-A783-F5AA12282D22}">
  <sheetPr codeName="Hoja1"/>
  <dimension ref="A1:CO89"/>
  <sheetViews>
    <sheetView zoomScale="70" zoomScaleNormal="70" workbookViewId="0">
      <selection activeCell="N8" sqref="N8"/>
    </sheetView>
  </sheetViews>
  <sheetFormatPr baseColWidth="10" defaultRowHeight="15" x14ac:dyDescent="0.25"/>
  <cols>
    <col min="1" max="1" width="9.42578125" customWidth="1"/>
    <col min="2" max="3" width="22.7109375" customWidth="1"/>
    <col min="4" max="5" width="13.42578125" customWidth="1"/>
    <col min="6" max="6" width="12.28515625" customWidth="1"/>
    <col min="7" max="7" width="10.42578125" customWidth="1"/>
    <col min="8" max="8" width="11.42578125" customWidth="1"/>
    <col min="9" max="9" width="27.85546875" bestFit="1" customWidth="1"/>
    <col min="10" max="11" width="11.42578125" customWidth="1"/>
    <col min="12" max="12" width="12.42578125" bestFit="1" customWidth="1"/>
    <col min="13" max="13" width="10.85546875" customWidth="1"/>
    <col min="14" max="14" width="12.140625" style="1" customWidth="1"/>
    <col min="15" max="15" width="22.7109375" customWidth="1"/>
    <col min="16" max="16" width="14.85546875" bestFit="1" customWidth="1"/>
    <col min="18" max="18" width="27.28515625" bestFit="1" customWidth="1"/>
    <col min="51" max="51" width="14.28515625" customWidth="1"/>
    <col min="54" max="54" width="13.5703125" bestFit="1" customWidth="1"/>
  </cols>
  <sheetData>
    <row r="1" spans="1:93" ht="15" customHeight="1" x14ac:dyDescent="0.25">
      <c r="L1" s="55"/>
    </row>
    <row r="2" spans="1:93" ht="15" customHeight="1" x14ac:dyDescent="0.25">
      <c r="A2" s="8" t="s">
        <v>94</v>
      </c>
      <c r="B2" s="8" t="s">
        <v>108</v>
      </c>
      <c r="C2" s="31" t="s">
        <v>90</v>
      </c>
      <c r="D2" s="31" t="s">
        <v>1</v>
      </c>
      <c r="E2" s="31" t="s">
        <v>202</v>
      </c>
      <c r="F2" s="37" t="s">
        <v>0</v>
      </c>
      <c r="G2" s="37" t="s">
        <v>95</v>
      </c>
      <c r="H2" s="57" t="s">
        <v>376</v>
      </c>
      <c r="I2" s="57" t="s">
        <v>558</v>
      </c>
      <c r="J2" s="59" t="s">
        <v>499</v>
      </c>
      <c r="K2" s="59" t="s">
        <v>567</v>
      </c>
      <c r="L2" s="55"/>
      <c r="M2" s="32" t="s">
        <v>166</v>
      </c>
      <c r="N2" s="32" t="s">
        <v>136</v>
      </c>
      <c r="O2" s="32" t="s">
        <v>205</v>
      </c>
    </row>
    <row r="3" spans="1:93" ht="26.25" x14ac:dyDescent="0.4">
      <c r="A3" s="2" t="str">
        <f>D1_JULIO_2025[[#This Row],[SUPER2]]</f>
        <v>SANDY</v>
      </c>
      <c r="B3" s="2" t="s">
        <v>76</v>
      </c>
      <c r="C3" s="2">
        <f>VLOOKUP(D1_JULIO_2025[[#This Row],[SUPER]],DATA_JULIO_2025[[SUPERVISOR]:[META]],3,0)</f>
        <v>65000</v>
      </c>
      <c r="D3" s="2">
        <f>D1_JULIO_2025[[#This Row],[RECUPERO]]/C3</f>
        <v>2.1022955384615383</v>
      </c>
      <c r="E3" t="s">
        <v>3</v>
      </c>
      <c r="F3" t="s">
        <v>76</v>
      </c>
      <c r="G3">
        <v>136649.21</v>
      </c>
      <c r="H3" t="s">
        <v>408</v>
      </c>
      <c r="I3" s="55">
        <v>44819</v>
      </c>
      <c r="J3" t="s">
        <v>501</v>
      </c>
      <c r="L3" s="55"/>
      <c r="M3" s="33">
        <v>2025</v>
      </c>
      <c r="N3" s="33" t="s">
        <v>145</v>
      </c>
      <c r="O3" s="33">
        <v>20</v>
      </c>
    </row>
    <row r="4" spans="1:93" x14ac:dyDescent="0.25">
      <c r="A4" s="2" t="str">
        <f>D1_JULIO_2025[[#This Row],[SUPER2]]</f>
        <v>SANDY</v>
      </c>
      <c r="B4" s="2" t="s">
        <v>23</v>
      </c>
      <c r="C4" s="2">
        <f>VLOOKUP(D1_JULIO_2025[[#This Row],[SUPER]],DATA_JULIO_2025[[SUPERVISOR]:[META]],3,0)</f>
        <v>65000</v>
      </c>
      <c r="D4" s="2">
        <f>D1_JULIO_2025[[#This Row],[RECUPERO]]/C4</f>
        <v>1.4705384615384616</v>
      </c>
      <c r="E4" t="s">
        <v>3</v>
      </c>
      <c r="F4" t="s">
        <v>23</v>
      </c>
      <c r="G4">
        <v>95585</v>
      </c>
      <c r="H4" t="s">
        <v>445</v>
      </c>
      <c r="I4" s="55">
        <v>44111</v>
      </c>
      <c r="J4" t="s">
        <v>501</v>
      </c>
      <c r="L4" s="55"/>
    </row>
    <row r="5" spans="1:93" x14ac:dyDescent="0.25">
      <c r="A5" s="2" t="str">
        <f>D1_JULIO_2025[[#This Row],[SUPER2]]</f>
        <v>SANDY</v>
      </c>
      <c r="B5" s="2" t="s">
        <v>22</v>
      </c>
      <c r="C5" s="2">
        <f>VLOOKUP(D1_JULIO_2025[[#This Row],[SUPER]],DATA_JULIO_2025[[SUPERVISOR]:[META]],3,0)</f>
        <v>65000</v>
      </c>
      <c r="D5" s="2">
        <f>D1_JULIO_2025[[#This Row],[RECUPERO]]/C5</f>
        <v>1.2490876923076923</v>
      </c>
      <c r="E5" t="s">
        <v>3</v>
      </c>
      <c r="F5" t="s">
        <v>22</v>
      </c>
      <c r="G5">
        <v>81190.7</v>
      </c>
      <c r="H5" t="s">
        <v>442</v>
      </c>
      <c r="I5" s="55">
        <v>45299</v>
      </c>
      <c r="J5" t="s">
        <v>501</v>
      </c>
      <c r="L5" s="55"/>
    </row>
    <row r="6" spans="1:93" x14ac:dyDescent="0.25">
      <c r="A6" s="2" t="str">
        <f>D1_JULIO_2025[[#This Row],[SUPER2]]</f>
        <v>SANDY</v>
      </c>
      <c r="B6" s="2" t="s">
        <v>25</v>
      </c>
      <c r="C6" s="2">
        <f>VLOOKUP(D1_JULIO_2025[[#This Row],[SUPER]],DATA_JULIO_2025[[SUPERVISOR]:[META]],3,0)</f>
        <v>65000</v>
      </c>
      <c r="D6" s="2">
        <f>D1_JULIO_2025[[#This Row],[RECUPERO]]/C6</f>
        <v>0.71161538461538465</v>
      </c>
      <c r="E6" t="s">
        <v>3</v>
      </c>
      <c r="F6" t="s">
        <v>25</v>
      </c>
      <c r="G6">
        <v>46255</v>
      </c>
      <c r="H6" t="s">
        <v>446</v>
      </c>
      <c r="I6" s="55">
        <v>44820</v>
      </c>
      <c r="J6" t="s">
        <v>501</v>
      </c>
      <c r="L6" s="55"/>
    </row>
    <row r="7" spans="1:93" x14ac:dyDescent="0.25">
      <c r="A7" s="2" t="str">
        <f>D1_JULIO_2025[[#This Row],[SUPER2]]</f>
        <v>SANDY</v>
      </c>
      <c r="B7" s="2" t="s">
        <v>24</v>
      </c>
      <c r="C7" s="2">
        <f>VLOOKUP(D1_JULIO_2025[[#This Row],[SUPER]],DATA_JULIO_2025[[SUPERVISOR]:[META]],3,0)</f>
        <v>65000</v>
      </c>
      <c r="D7" s="2">
        <f>D1_JULIO_2025[[#This Row],[RECUPERO]]/C7</f>
        <v>0.70020000000000004</v>
      </c>
      <c r="E7" t="s">
        <v>3</v>
      </c>
      <c r="F7" t="s">
        <v>24</v>
      </c>
      <c r="G7">
        <v>45513</v>
      </c>
      <c r="H7" t="s">
        <v>434</v>
      </c>
      <c r="I7" s="55">
        <v>45334</v>
      </c>
      <c r="J7" t="s">
        <v>501</v>
      </c>
      <c r="L7" s="55"/>
      <c r="CK7" t="s">
        <v>626</v>
      </c>
      <c r="CL7" t="s">
        <v>142</v>
      </c>
      <c r="CM7" t="s">
        <v>143</v>
      </c>
      <c r="CN7" t="s">
        <v>144</v>
      </c>
      <c r="CO7" t="s">
        <v>145</v>
      </c>
    </row>
    <row r="8" spans="1:93" x14ac:dyDescent="0.25">
      <c r="A8" s="2" t="str">
        <f>D1_JULIO_2025[[#This Row],[SUPER2]]</f>
        <v>SANDY</v>
      </c>
      <c r="B8" s="2" t="s">
        <v>26</v>
      </c>
      <c r="C8" s="2">
        <f>VLOOKUP(D1_JULIO_2025[[#This Row],[SUPER]],DATA_JULIO_2025[[SUPERVISOR]:[META]],3,0)</f>
        <v>65000</v>
      </c>
      <c r="D8" s="2">
        <f>D1_JULIO_2025[[#This Row],[RECUPERO]]/C8</f>
        <v>0.54392307692307695</v>
      </c>
      <c r="E8" t="s">
        <v>3</v>
      </c>
      <c r="F8" t="s">
        <v>26</v>
      </c>
      <c r="G8">
        <v>35355</v>
      </c>
      <c r="H8" t="s">
        <v>391</v>
      </c>
      <c r="I8" s="55">
        <v>44259</v>
      </c>
      <c r="J8" t="s">
        <v>501</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6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s="2" t="str">
        <f>D1_JULIO_2025[[#This Row],[SUPER2]]</f>
        <v>SANDY</v>
      </c>
      <c r="B9" s="2" t="s">
        <v>29</v>
      </c>
      <c r="C9" s="2">
        <f>VLOOKUP(D1_JULIO_2025[[#This Row],[SUPER]],DATA_JULIO_2025[[SUPERVISOR]:[META]],3,0)</f>
        <v>65000</v>
      </c>
      <c r="D9" s="2">
        <f>D1_JULIO_2025[[#This Row],[RECUPERO]]/C9</f>
        <v>0.43807692307692309</v>
      </c>
      <c r="E9" t="s">
        <v>3</v>
      </c>
      <c r="F9" t="s">
        <v>29</v>
      </c>
      <c r="G9">
        <v>28475</v>
      </c>
      <c r="H9" t="s">
        <v>416</v>
      </c>
      <c r="I9" s="55">
        <v>44687</v>
      </c>
      <c r="J9" t="s">
        <v>501</v>
      </c>
      <c r="L9" s="55"/>
      <c r="M9" s="1">
        <f>DATA_JULIO_2025[[#This Row],[RECUPERO]]/DATA_JULIO_2025[[#This Row],[META]]</f>
        <v>2.116967741935484</v>
      </c>
      <c r="N9">
        <f>6-ROUNDUP(_xlfn.RANK.EQ(DATA_JULIO_2025[[#This Row],[AL_AC]],DATA_JULIO_2025[AL_AC],0)/(COUNTA(DATA_JULIO_2025[AL_AC])/5),0)</f>
        <v>5</v>
      </c>
      <c r="O9" t="s">
        <v>7</v>
      </c>
      <c r="P9">
        <f>SUM(DATA_JULIO_2025[[#This Row],[1]:[31]])</f>
        <v>32813</v>
      </c>
      <c r="Q9">
        <v>15500</v>
      </c>
      <c r="R9" t="s">
        <v>18</v>
      </c>
      <c r="Y9">
        <v>1700</v>
      </c>
      <c r="AA9">
        <v>1000</v>
      </c>
      <c r="AF9">
        <v>8463</v>
      </c>
      <c r="AG9">
        <v>150</v>
      </c>
      <c r="AH9">
        <v>10000</v>
      </c>
      <c r="AJ9">
        <v>4500</v>
      </c>
      <c r="AN9">
        <v>4000</v>
      </c>
      <c r="AP9">
        <v>1500</v>
      </c>
      <c r="AV9">
        <v>1500</v>
      </c>
      <c r="AX9" t="s">
        <v>152</v>
      </c>
      <c r="AZ9">
        <v>130825</v>
      </c>
      <c r="BA9" s="11">
        <v>87646.3</v>
      </c>
      <c r="BB9" s="17">
        <f>BA9/DITE_JULIO_2025[[#This Row],[META SUPER]]</f>
        <v>0.66995069749665581</v>
      </c>
      <c r="BC9" t="s">
        <v>8</v>
      </c>
      <c r="BD9">
        <v>1150</v>
      </c>
      <c r="BE9">
        <v>4730</v>
      </c>
      <c r="BF9">
        <v>9596</v>
      </c>
      <c r="BG9">
        <v>13104</v>
      </c>
      <c r="BH9">
        <v>13498</v>
      </c>
      <c r="BI9">
        <v>13498</v>
      </c>
      <c r="BJ9">
        <v>15496.2</v>
      </c>
      <c r="BK9">
        <v>19091.5</v>
      </c>
      <c r="BL9">
        <v>22391.5</v>
      </c>
      <c r="BM9">
        <v>22631.5</v>
      </c>
      <c r="BN9">
        <v>28496.5</v>
      </c>
      <c r="BO9">
        <v>28496.5</v>
      </c>
      <c r="BP9">
        <v>28496.5</v>
      </c>
      <c r="BQ9">
        <v>32221.5</v>
      </c>
      <c r="BR9">
        <v>35537.5</v>
      </c>
      <c r="BS9">
        <v>40445.5</v>
      </c>
      <c r="BT9">
        <v>44810.5</v>
      </c>
      <c r="BU9">
        <v>51060.5</v>
      </c>
      <c r="BV9">
        <v>51060.5</v>
      </c>
      <c r="BW9">
        <v>51060.5</v>
      </c>
      <c r="BX9">
        <v>55132.5</v>
      </c>
      <c r="BY9">
        <v>60140.5</v>
      </c>
      <c r="BZ9">
        <v>60340.5</v>
      </c>
      <c r="CA9">
        <v>62652.3</v>
      </c>
      <c r="CB9">
        <v>69097.3</v>
      </c>
      <c r="CC9">
        <v>69297.3</v>
      </c>
      <c r="CD9">
        <v>69297.3</v>
      </c>
      <c r="CE9">
        <v>69297.3</v>
      </c>
      <c r="CF9">
        <v>70542.3</v>
      </c>
      <c r="CG9">
        <v>79568.3</v>
      </c>
      <c r="CH9">
        <v>87646.3</v>
      </c>
      <c r="CI9" s="11" t="s">
        <v>153</v>
      </c>
      <c r="CK9" t="s">
        <v>8</v>
      </c>
      <c r="CL9" t="s">
        <v>8</v>
      </c>
      <c r="CM9" t="s">
        <v>8</v>
      </c>
      <c r="CN9" t="s">
        <v>8</v>
      </c>
      <c r="CO9" t="s">
        <v>8</v>
      </c>
    </row>
    <row r="10" spans="1:93" x14ac:dyDescent="0.25">
      <c r="A10" s="2" t="str">
        <f>D1_JULIO_2025[[#This Row],[SUPER2]]</f>
        <v>SANDY</v>
      </c>
      <c r="B10" s="2" t="s">
        <v>28</v>
      </c>
      <c r="C10" s="2">
        <f>VLOOKUP(D1_JULIO_2025[[#This Row],[SUPER]],DATA_JULIO_2025[[SUPERVISOR]:[META]],3,0)</f>
        <v>65000</v>
      </c>
      <c r="D10" s="2">
        <f>D1_JULIO_2025[[#This Row],[RECUPERO]]/C10</f>
        <v>0.39327661538461539</v>
      </c>
      <c r="E10" t="s">
        <v>3</v>
      </c>
      <c r="F10" t="s">
        <v>28</v>
      </c>
      <c r="G10">
        <v>25562.98</v>
      </c>
      <c r="H10" t="s">
        <v>478</v>
      </c>
      <c r="I10" s="55">
        <v>45845</v>
      </c>
      <c r="J10" t="s">
        <v>501</v>
      </c>
      <c r="L10" s="55"/>
      <c r="M10" s="1">
        <f>DATA_JULIO_2025[[#This Row],[RECUPERO]]/DATA_JULIO_2025[[#This Row],[META]]</f>
        <v>1.0683870967741935</v>
      </c>
      <c r="N10">
        <f>6-ROUNDUP(_xlfn.RANK.EQ(DATA_JULIO_2025[[#This Row],[AL_AC]],DATA_JULIO_2025[AL_AC],0)/(COUNTA(DATA_JULIO_2025[AL_AC])/5),0)</f>
        <v>5</v>
      </c>
      <c r="O10" t="s">
        <v>7</v>
      </c>
      <c r="P10">
        <f>SUM(DATA_JULIO_2025[[#This Row],[1]:[31]])</f>
        <v>16560</v>
      </c>
      <c r="Q10">
        <v>15500</v>
      </c>
      <c r="R10" t="s">
        <v>21</v>
      </c>
      <c r="Z10">
        <v>4000</v>
      </c>
      <c r="AB10">
        <v>3500</v>
      </c>
      <c r="AC10">
        <v>260</v>
      </c>
      <c r="AH10">
        <v>3000</v>
      </c>
      <c r="AM10">
        <v>2000</v>
      </c>
      <c r="AQ10">
        <v>700</v>
      </c>
      <c r="AV10">
        <v>1000</v>
      </c>
      <c r="AW10">
        <v>2100</v>
      </c>
      <c r="AX10" t="s">
        <v>152</v>
      </c>
      <c r="AZ10">
        <v>458800</v>
      </c>
      <c r="BA10" s="11">
        <v>236090.5</v>
      </c>
      <c r="BB10" s="17">
        <f>BA10/DITE_JULIO_2025[[#This Row],[META SUPER]]</f>
        <v>0.51458260680034873</v>
      </c>
      <c r="BC10" t="s">
        <v>5</v>
      </c>
      <c r="BD10">
        <v>6046</v>
      </c>
      <c r="BE10">
        <v>10007</v>
      </c>
      <c r="BF10">
        <v>11782</v>
      </c>
      <c r="BG10">
        <v>15282</v>
      </c>
      <c r="BH10">
        <v>16782</v>
      </c>
      <c r="BI10">
        <v>16782</v>
      </c>
      <c r="BJ10">
        <v>29991.5</v>
      </c>
      <c r="BK10">
        <v>36284.5</v>
      </c>
      <c r="BL10">
        <v>39324.5</v>
      </c>
      <c r="BM10">
        <v>41324.5</v>
      </c>
      <c r="BN10">
        <v>57598.5</v>
      </c>
      <c r="BO10">
        <v>57893.5</v>
      </c>
      <c r="BP10">
        <v>57893.5</v>
      </c>
      <c r="BQ10">
        <v>81618.5</v>
      </c>
      <c r="BR10">
        <v>91346.5</v>
      </c>
      <c r="BS10">
        <v>100435.5</v>
      </c>
      <c r="BT10">
        <v>111487.5</v>
      </c>
      <c r="BU10">
        <v>119961.5</v>
      </c>
      <c r="BV10">
        <v>119961.5</v>
      </c>
      <c r="BW10">
        <v>120961.5</v>
      </c>
      <c r="BX10">
        <v>134020.5</v>
      </c>
      <c r="BY10">
        <v>149181.5</v>
      </c>
      <c r="BZ10">
        <v>149431.5</v>
      </c>
      <c r="CA10">
        <v>172486.5</v>
      </c>
      <c r="CB10">
        <v>181946.5</v>
      </c>
      <c r="CC10">
        <v>181946.5</v>
      </c>
      <c r="CD10">
        <v>185146.5</v>
      </c>
      <c r="CE10">
        <v>185146.5</v>
      </c>
      <c r="CF10">
        <v>185146.5</v>
      </c>
      <c r="CG10">
        <v>198593.5</v>
      </c>
      <c r="CH10">
        <v>236090.5</v>
      </c>
      <c r="CI10" s="11" t="s">
        <v>150</v>
      </c>
      <c r="CK10" t="s">
        <v>5</v>
      </c>
      <c r="CL10" t="s">
        <v>5</v>
      </c>
      <c r="CM10" t="s">
        <v>5</v>
      </c>
      <c r="CN10" t="s">
        <v>5</v>
      </c>
      <c r="CO10" t="s">
        <v>5</v>
      </c>
    </row>
    <row r="11" spans="1:93" x14ac:dyDescent="0.25">
      <c r="A11" s="2" t="str">
        <f>D1_JULIO_2025[[#This Row],[SUPER2]]</f>
        <v>SANDY</v>
      </c>
      <c r="B11" s="2" t="s">
        <v>27</v>
      </c>
      <c r="C11" s="2">
        <f>VLOOKUP(D1_JULIO_2025[[#This Row],[SUPER]],DATA_JULIO_2025[[SUPERVISOR]:[META]],3,0)</f>
        <v>65000</v>
      </c>
      <c r="D11" s="2">
        <f>D1_JULIO_2025[[#This Row],[RECUPERO]]/C11</f>
        <v>0.24923076923076923</v>
      </c>
      <c r="E11" t="s">
        <v>3</v>
      </c>
      <c r="F11" t="s">
        <v>27</v>
      </c>
      <c r="G11">
        <v>16200</v>
      </c>
      <c r="H11" t="s">
        <v>412</v>
      </c>
      <c r="I11" s="55">
        <v>45675</v>
      </c>
      <c r="J11" t="s">
        <v>501</v>
      </c>
      <c r="L11" s="55"/>
      <c r="M11" s="1">
        <f>DATA_JULIO_2025[[#This Row],[RECUPERO]]/DATA_JULIO_2025[[#This Row],[META]]</f>
        <v>1.1315230769230769</v>
      </c>
      <c r="N11">
        <f>6-ROUNDUP(_xlfn.RANK.EQ(DATA_JULIO_2025[[#This Row],[AL_AC]],DATA_JULIO_2025[AL_AC],0)/(COUNTA(DATA_JULIO_2025[AL_AC])/5),0)</f>
        <v>5</v>
      </c>
      <c r="O11" t="s">
        <v>4</v>
      </c>
      <c r="P11">
        <f>SUM(DATA_JULIO_2025[[#This Row],[1]:[31]])</f>
        <v>73549</v>
      </c>
      <c r="Q11">
        <v>65000</v>
      </c>
      <c r="R11" t="s">
        <v>58</v>
      </c>
      <c r="U11">
        <v>217</v>
      </c>
      <c r="W11">
        <v>132.5</v>
      </c>
      <c r="Z11">
        <v>700</v>
      </c>
      <c r="AA11">
        <v>7500</v>
      </c>
      <c r="AB11">
        <v>4400</v>
      </c>
      <c r="AC11">
        <v>1032</v>
      </c>
      <c r="AG11">
        <v>300</v>
      </c>
      <c r="AI11">
        <v>5475</v>
      </c>
      <c r="AJ11">
        <v>200</v>
      </c>
      <c r="AK11">
        <v>655.5</v>
      </c>
      <c r="AN11">
        <v>750</v>
      </c>
      <c r="AO11">
        <v>1500</v>
      </c>
      <c r="AP11">
        <v>26409</v>
      </c>
      <c r="AQ11">
        <v>21217</v>
      </c>
      <c r="AV11">
        <v>1031</v>
      </c>
      <c r="AW11">
        <v>2030</v>
      </c>
      <c r="AX11" t="s">
        <v>155</v>
      </c>
      <c r="AZ11">
        <v>458800</v>
      </c>
      <c r="BA11" s="11">
        <v>295647</v>
      </c>
      <c r="BB11" s="17">
        <f>BA11/DITE_JULIO_2025[[#This Row],[META SUPER]]</f>
        <v>0.64439189189189194</v>
      </c>
      <c r="BC11" t="s">
        <v>2</v>
      </c>
      <c r="BD11">
        <v>4270</v>
      </c>
      <c r="BE11">
        <v>12820</v>
      </c>
      <c r="BF11">
        <v>18415</v>
      </c>
      <c r="BG11">
        <v>21619</v>
      </c>
      <c r="BH11">
        <v>21619</v>
      </c>
      <c r="BI11">
        <v>22619</v>
      </c>
      <c r="BJ11">
        <v>24370</v>
      </c>
      <c r="BK11">
        <v>27107</v>
      </c>
      <c r="BL11">
        <v>45962</v>
      </c>
      <c r="BM11">
        <v>55062</v>
      </c>
      <c r="BN11">
        <v>62686</v>
      </c>
      <c r="BO11">
        <v>63898</v>
      </c>
      <c r="BP11">
        <v>63898</v>
      </c>
      <c r="BQ11">
        <v>92498</v>
      </c>
      <c r="BR11">
        <v>111846</v>
      </c>
      <c r="BS11">
        <v>132280</v>
      </c>
      <c r="BT11">
        <v>135380</v>
      </c>
      <c r="BU11">
        <v>165932</v>
      </c>
      <c r="BV11">
        <v>181357</v>
      </c>
      <c r="BW11">
        <v>182357</v>
      </c>
      <c r="BX11">
        <v>188696</v>
      </c>
      <c r="BY11">
        <v>189596</v>
      </c>
      <c r="BZ11">
        <v>189996</v>
      </c>
      <c r="CA11">
        <v>204019</v>
      </c>
      <c r="CB11">
        <v>209761</v>
      </c>
      <c r="CC11">
        <v>211761</v>
      </c>
      <c r="CD11">
        <v>212246</v>
      </c>
      <c r="CE11">
        <v>213188</v>
      </c>
      <c r="CF11">
        <v>213188</v>
      </c>
      <c r="CG11">
        <v>245187</v>
      </c>
      <c r="CH11">
        <v>295647</v>
      </c>
      <c r="CI11" s="11" t="s">
        <v>150</v>
      </c>
      <c r="CK11" t="s">
        <v>2</v>
      </c>
      <c r="CL11" t="s">
        <v>2</v>
      </c>
      <c r="CM11" t="s">
        <v>2</v>
      </c>
      <c r="CN11" t="s">
        <v>2</v>
      </c>
      <c r="CO11" t="s">
        <v>2</v>
      </c>
    </row>
    <row r="12" spans="1:93" x14ac:dyDescent="0.25">
      <c r="A12" s="2" t="str">
        <f>D1_JULIO_2025[[#This Row],[SUPER2]]</f>
        <v>SANDY</v>
      </c>
      <c r="B12" s="2" t="s">
        <v>30</v>
      </c>
      <c r="C12" s="2">
        <f>VLOOKUP(D1_JULIO_2025[[#This Row],[SUPER]],DATA_JULIO_2025[[SUPERVISOR]:[META]],3,0)</f>
        <v>65000</v>
      </c>
      <c r="D12" s="2">
        <f>D1_JULIO_2025[[#This Row],[RECUPERO]]/C12</f>
        <v>0.13592307692307692</v>
      </c>
      <c r="E12" t="s">
        <v>3</v>
      </c>
      <c r="F12" t="s">
        <v>30</v>
      </c>
      <c r="G12">
        <v>8835</v>
      </c>
      <c r="H12" t="s">
        <v>448</v>
      </c>
      <c r="I12" s="55">
        <v>45399</v>
      </c>
      <c r="J12" t="s">
        <v>501</v>
      </c>
      <c r="L12" s="55"/>
      <c r="M12" s="1">
        <f>DATA_JULIO_2025[[#This Row],[RECUPERO]]/DATA_JULIO_2025[[#This Row],[META]]</f>
        <v>0.50638709677419358</v>
      </c>
      <c r="N12">
        <f>6-ROUNDUP(_xlfn.RANK.EQ(DATA_JULIO_2025[[#This Row],[AL_AC]],DATA_JULIO_2025[AL_AC],0)/(COUNTA(DATA_JULIO_2025[AL_AC])/5),0)</f>
        <v>2</v>
      </c>
      <c r="O12" t="s">
        <v>9</v>
      </c>
      <c r="P12">
        <f>SUM(DATA_JULIO_2025[[#This Row],[1]:[31]])</f>
        <v>7849</v>
      </c>
      <c r="Q12">
        <v>15500</v>
      </c>
      <c r="R12" t="s">
        <v>54</v>
      </c>
      <c r="T12">
        <v>300</v>
      </c>
      <c r="Z12">
        <v>100</v>
      </c>
      <c r="AB12">
        <v>500</v>
      </c>
      <c r="AC12">
        <v>900</v>
      </c>
      <c r="AG12">
        <v>600</v>
      </c>
      <c r="AH12">
        <v>2950</v>
      </c>
      <c r="AM12">
        <v>269</v>
      </c>
      <c r="AP12">
        <v>1030</v>
      </c>
      <c r="AV12">
        <v>200</v>
      </c>
      <c r="AW12">
        <v>1000</v>
      </c>
      <c r="AX12" t="s">
        <v>153</v>
      </c>
      <c r="AZ12">
        <v>260350</v>
      </c>
      <c r="BA12" s="11">
        <v>317517.38</v>
      </c>
      <c r="BB12" s="17">
        <f>BA12/DITE_JULIO_2025[[#This Row],[META SUPER]]</f>
        <v>1.2195789514115614</v>
      </c>
      <c r="BC12" t="s">
        <v>6</v>
      </c>
      <c r="BD12">
        <v>3460</v>
      </c>
      <c r="BE12">
        <v>5991</v>
      </c>
      <c r="BF12">
        <v>20941</v>
      </c>
      <c r="BG12">
        <v>23631</v>
      </c>
      <c r="BH12">
        <v>23631</v>
      </c>
      <c r="BI12">
        <v>23631</v>
      </c>
      <c r="BJ12">
        <v>40743</v>
      </c>
      <c r="BK12">
        <v>46163</v>
      </c>
      <c r="BL12">
        <v>73104</v>
      </c>
      <c r="BM12">
        <v>78954</v>
      </c>
      <c r="BN12">
        <v>116309</v>
      </c>
      <c r="BO12">
        <v>116433</v>
      </c>
      <c r="BP12">
        <v>116433</v>
      </c>
      <c r="BQ12">
        <v>139643</v>
      </c>
      <c r="BR12">
        <v>150562</v>
      </c>
      <c r="BS12">
        <v>172709.5</v>
      </c>
      <c r="BT12">
        <v>180168.5</v>
      </c>
      <c r="BU12">
        <v>202176.5</v>
      </c>
      <c r="BV12">
        <v>202176.5</v>
      </c>
      <c r="BW12">
        <v>202176.5</v>
      </c>
      <c r="BX12">
        <v>213152.5</v>
      </c>
      <c r="BY12">
        <v>219912.5</v>
      </c>
      <c r="BZ12">
        <v>219912.5</v>
      </c>
      <c r="CA12">
        <v>221933.5</v>
      </c>
      <c r="CB12">
        <v>246684.7</v>
      </c>
      <c r="CC12">
        <v>246684.7</v>
      </c>
      <c r="CD12">
        <v>247334.7</v>
      </c>
      <c r="CE12">
        <v>247334.7</v>
      </c>
      <c r="CF12">
        <v>248184.7</v>
      </c>
      <c r="CG12">
        <v>269978.88</v>
      </c>
      <c r="CH12">
        <v>317517.38</v>
      </c>
      <c r="CI12" s="11" t="s">
        <v>156</v>
      </c>
      <c r="CK12" t="s">
        <v>6</v>
      </c>
      <c r="CL12" t="s">
        <v>6</v>
      </c>
      <c r="CM12" t="s">
        <v>6</v>
      </c>
      <c r="CN12" t="s">
        <v>6</v>
      </c>
      <c r="CO12" t="s">
        <v>6</v>
      </c>
    </row>
    <row r="13" spans="1:93" x14ac:dyDescent="0.25">
      <c r="A13" s="2" t="str">
        <f>D1_JULIO_2025[[#This Row],[SUPER2]]</f>
        <v>MELINA</v>
      </c>
      <c r="B13" s="2" t="s">
        <v>59</v>
      </c>
      <c r="C13" s="2">
        <f>VLOOKUP(D1_JULIO_2025[[#This Row],[SUPER]],DATA_JULIO_2025[[SUPERVISOR]:[META]],3,0)</f>
        <v>65000</v>
      </c>
      <c r="D13" s="2">
        <f>D1_JULIO_2025[[#This Row],[RECUPERO]]/C13</f>
        <v>2.1010089230769231</v>
      </c>
      <c r="E13" t="s">
        <v>4</v>
      </c>
      <c r="F13" t="s">
        <v>59</v>
      </c>
      <c r="G13">
        <v>136565.58000000002</v>
      </c>
      <c r="H13" t="s">
        <v>430</v>
      </c>
      <c r="I13" s="55">
        <v>45348</v>
      </c>
      <c r="J13" t="s">
        <v>501</v>
      </c>
      <c r="L13" s="55"/>
      <c r="M13" s="1">
        <f>DATA_JULIO_2025[[#This Row],[RECUPERO]]/DATA_JULIO_2025[[#This Row],[META]]</f>
        <v>0.3228923076923077</v>
      </c>
      <c r="N13">
        <f>6-ROUNDUP(_xlfn.RANK.EQ(DATA_JULIO_2025[[#This Row],[AL_AC]],DATA_JULIO_2025[AL_AC],0)/(COUNTA(DATA_JULIO_2025[AL_AC])/5),0)</f>
        <v>1</v>
      </c>
      <c r="O13" t="s">
        <v>4</v>
      </c>
      <c r="P13">
        <f>SUM(DATA_JULIO_2025[[#This Row],[1]:[31]])</f>
        <v>20988</v>
      </c>
      <c r="Q13">
        <v>65000</v>
      </c>
      <c r="R13" t="s">
        <v>60</v>
      </c>
      <c r="AI13">
        <v>200</v>
      </c>
      <c r="AJ13">
        <v>4000</v>
      </c>
      <c r="AQ13">
        <v>1500</v>
      </c>
      <c r="AV13">
        <v>7800</v>
      </c>
      <c r="AW13">
        <v>7488</v>
      </c>
      <c r="AX13" t="s">
        <v>155</v>
      </c>
      <c r="AZ13">
        <v>154800</v>
      </c>
      <c r="BA13" s="11">
        <v>138518</v>
      </c>
      <c r="BB13" s="17">
        <f>BA13/DITE_JULIO_2025[[#This Row],[META SUPER]]</f>
        <v>0.89481912144702846</v>
      </c>
      <c r="BC13" t="s">
        <v>7</v>
      </c>
      <c r="BE13">
        <v>5000</v>
      </c>
      <c r="BF13">
        <v>6680</v>
      </c>
      <c r="BG13">
        <v>6980</v>
      </c>
      <c r="BH13">
        <v>7980</v>
      </c>
      <c r="BI13">
        <v>7980</v>
      </c>
      <c r="BJ13">
        <v>12298</v>
      </c>
      <c r="BK13">
        <v>21498</v>
      </c>
      <c r="BL13">
        <v>25398</v>
      </c>
      <c r="BM13">
        <v>29248</v>
      </c>
      <c r="BN13">
        <v>30208</v>
      </c>
      <c r="BO13">
        <v>30708</v>
      </c>
      <c r="BP13">
        <v>31108</v>
      </c>
      <c r="BQ13">
        <v>42571</v>
      </c>
      <c r="BR13">
        <v>51803</v>
      </c>
      <c r="BS13">
        <v>68503</v>
      </c>
      <c r="BT13">
        <v>70744</v>
      </c>
      <c r="BU13">
        <v>80744</v>
      </c>
      <c r="BV13">
        <v>80744</v>
      </c>
      <c r="BW13">
        <v>80744</v>
      </c>
      <c r="BX13">
        <v>96484</v>
      </c>
      <c r="BY13">
        <v>109284</v>
      </c>
      <c r="BZ13">
        <v>109284</v>
      </c>
      <c r="CA13">
        <v>111784</v>
      </c>
      <c r="CB13">
        <v>118704</v>
      </c>
      <c r="CC13">
        <v>119204</v>
      </c>
      <c r="CD13">
        <v>119604</v>
      </c>
      <c r="CE13">
        <v>119604</v>
      </c>
      <c r="CF13">
        <v>119604</v>
      </c>
      <c r="CG13">
        <v>125088</v>
      </c>
      <c r="CH13">
        <v>138518</v>
      </c>
      <c r="CI13" s="11" t="s">
        <v>152</v>
      </c>
      <c r="CK13" t="s">
        <v>7</v>
      </c>
      <c r="CL13" t="s">
        <v>125</v>
      </c>
      <c r="CM13" t="s">
        <v>125</v>
      </c>
      <c r="CN13" t="s">
        <v>125</v>
      </c>
      <c r="CO13" t="s">
        <v>7</v>
      </c>
    </row>
    <row r="14" spans="1:93" x14ac:dyDescent="0.25">
      <c r="A14" s="2" t="str">
        <f>D1_JULIO_2025[[#This Row],[SUPER2]]</f>
        <v>MELINA</v>
      </c>
      <c r="B14" s="2" t="s">
        <v>75</v>
      </c>
      <c r="C14" s="2">
        <f>VLOOKUP(D1_JULIO_2025[[#This Row],[SUPER]],DATA_JULIO_2025[[SUPERVISOR]:[META]],3,0)</f>
        <v>65000</v>
      </c>
      <c r="D14" s="2">
        <f>D1_JULIO_2025[[#This Row],[RECUPERO]]/C14</f>
        <v>1.4679707692307693</v>
      </c>
      <c r="E14" t="s">
        <v>4</v>
      </c>
      <c r="F14" t="s">
        <v>75</v>
      </c>
      <c r="G14">
        <v>95418.1</v>
      </c>
      <c r="H14" t="s">
        <v>428</v>
      </c>
      <c r="I14" s="55">
        <v>44716</v>
      </c>
      <c r="J14" t="s">
        <v>501</v>
      </c>
      <c r="L14" s="55"/>
      <c r="M14" s="1">
        <f>DATA_JULIO_2025[[#This Row],[RECUPERO]]/DATA_JULIO_2025[[#This Row],[META]]</f>
        <v>0.41366666666666668</v>
      </c>
      <c r="N14">
        <f>6-ROUNDUP(_xlfn.RANK.EQ(DATA_JULIO_2025[[#This Row],[AL_AC]],DATA_JULIO_2025[AL_AC],0)/(COUNTA(DATA_JULIO_2025[AL_AC])/5),0)</f>
        <v>2</v>
      </c>
      <c r="O14" t="s">
        <v>2</v>
      </c>
      <c r="P14">
        <f>SUM(DATA_JULIO_2025[[#This Row],[1]:[31]])</f>
        <v>22338</v>
      </c>
      <c r="Q14">
        <v>54000</v>
      </c>
      <c r="R14" t="s">
        <v>15</v>
      </c>
      <c r="S14">
        <v>600</v>
      </c>
      <c r="U14">
        <v>150</v>
      </c>
      <c r="V14">
        <v>339</v>
      </c>
      <c r="AB14">
        <v>1500</v>
      </c>
      <c r="AC14">
        <v>750</v>
      </c>
      <c r="AF14">
        <v>1300</v>
      </c>
      <c r="AG14">
        <v>300</v>
      </c>
      <c r="AH14">
        <v>460</v>
      </c>
      <c r="AI14">
        <v>500</v>
      </c>
      <c r="AK14">
        <v>1500</v>
      </c>
      <c r="AM14">
        <v>335</v>
      </c>
      <c r="AO14">
        <v>400</v>
      </c>
      <c r="AP14">
        <v>4335</v>
      </c>
      <c r="AQ14">
        <v>1200</v>
      </c>
      <c r="AV14">
        <v>6019</v>
      </c>
      <c r="AW14">
        <v>2650</v>
      </c>
      <c r="AX14" t="s">
        <v>150</v>
      </c>
      <c r="AZ14">
        <v>130825</v>
      </c>
      <c r="BA14" s="11">
        <v>115774</v>
      </c>
      <c r="BB14" s="17">
        <f>BA14/DITE_JULIO_2025[[#This Row],[META SUPER]]</f>
        <v>0.88495318173132043</v>
      </c>
      <c r="BC14" t="s">
        <v>9</v>
      </c>
      <c r="BD14">
        <v>2372</v>
      </c>
      <c r="BE14">
        <v>5078</v>
      </c>
      <c r="BF14">
        <v>9095</v>
      </c>
      <c r="BG14">
        <v>12995</v>
      </c>
      <c r="BH14">
        <v>12995</v>
      </c>
      <c r="BI14">
        <v>12995</v>
      </c>
      <c r="BJ14">
        <v>16226</v>
      </c>
      <c r="BK14">
        <v>19576</v>
      </c>
      <c r="BL14">
        <v>24026</v>
      </c>
      <c r="BM14">
        <v>28956</v>
      </c>
      <c r="BN14">
        <v>36956</v>
      </c>
      <c r="BO14">
        <v>36956</v>
      </c>
      <c r="BP14">
        <v>36956</v>
      </c>
      <c r="BQ14">
        <v>41806</v>
      </c>
      <c r="BR14">
        <v>45821</v>
      </c>
      <c r="BS14">
        <v>54471</v>
      </c>
      <c r="BT14">
        <v>58110</v>
      </c>
      <c r="BU14">
        <v>65400</v>
      </c>
      <c r="BV14">
        <v>66400</v>
      </c>
      <c r="BW14">
        <v>66400</v>
      </c>
      <c r="BX14">
        <v>68399</v>
      </c>
      <c r="BY14">
        <v>74464</v>
      </c>
      <c r="BZ14">
        <v>74764</v>
      </c>
      <c r="CA14">
        <v>80394</v>
      </c>
      <c r="CB14">
        <v>86544</v>
      </c>
      <c r="CC14">
        <v>86544</v>
      </c>
      <c r="CD14">
        <v>86544</v>
      </c>
      <c r="CE14">
        <v>87044</v>
      </c>
      <c r="CF14">
        <v>87044</v>
      </c>
      <c r="CG14">
        <v>96144</v>
      </c>
      <c r="CH14">
        <v>115774</v>
      </c>
      <c r="CI14" s="11" t="s">
        <v>153</v>
      </c>
      <c r="CK14" t="s">
        <v>9</v>
      </c>
      <c r="CL14" t="s">
        <v>9</v>
      </c>
      <c r="CM14" t="s">
        <v>9</v>
      </c>
      <c r="CN14" t="s">
        <v>9</v>
      </c>
      <c r="CO14" t="s">
        <v>9</v>
      </c>
    </row>
    <row r="15" spans="1:93" x14ac:dyDescent="0.25">
      <c r="A15" s="2" t="str">
        <f>D1_JULIO_2025[[#This Row],[SUPER2]]</f>
        <v>MELINA</v>
      </c>
      <c r="B15" s="2" t="s">
        <v>58</v>
      </c>
      <c r="C15" s="2">
        <f>VLOOKUP(D1_JULIO_2025[[#This Row],[SUPER]],DATA_JULIO_2025[[SUPERVISOR]:[META]],3,0)</f>
        <v>65000</v>
      </c>
      <c r="D15" s="2">
        <f>D1_JULIO_2025[[#This Row],[RECUPERO]]/C15</f>
        <v>1.1315230769230769</v>
      </c>
      <c r="E15" t="s">
        <v>4</v>
      </c>
      <c r="F15" t="s">
        <v>58</v>
      </c>
      <c r="G15">
        <v>73549</v>
      </c>
      <c r="H15" t="s">
        <v>441</v>
      </c>
      <c r="I15" s="55">
        <v>43035</v>
      </c>
      <c r="J15" t="s">
        <v>501</v>
      </c>
      <c r="L15" s="55"/>
      <c r="M15" s="1">
        <f>DATA_JULIO_2025[[#This Row],[RECUPERO]]/DATA_JULIO_2025[[#This Row],[META]]</f>
        <v>0.26178703703703704</v>
      </c>
      <c r="N15">
        <f>6-ROUNDUP(_xlfn.RANK.EQ(DATA_JULIO_2025[[#This Row],[AL_AC]],DATA_JULIO_2025[AL_AC],0)/(COUNTA(DATA_JULIO_2025[AL_AC])/5),0)</f>
        <v>1</v>
      </c>
      <c r="O15" t="s">
        <v>5</v>
      </c>
      <c r="P15">
        <f>SUM(DATA_JULIO_2025[[#This Row],[1]:[31]])</f>
        <v>14136.5</v>
      </c>
      <c r="Q15">
        <v>54000</v>
      </c>
      <c r="R15" t="s">
        <v>69</v>
      </c>
      <c r="S15">
        <v>800</v>
      </c>
      <c r="T15">
        <v>687</v>
      </c>
      <c r="U15">
        <v>600</v>
      </c>
      <c r="Y15">
        <v>612.5</v>
      </c>
      <c r="Z15">
        <v>450</v>
      </c>
      <c r="AF15">
        <v>1700</v>
      </c>
      <c r="AG15">
        <v>4050</v>
      </c>
      <c r="AH15">
        <v>446</v>
      </c>
      <c r="AJ15">
        <v>357</v>
      </c>
      <c r="AN15">
        <v>1181</v>
      </c>
      <c r="AO15">
        <v>250</v>
      </c>
      <c r="AQ15">
        <v>600</v>
      </c>
      <c r="AV15">
        <v>403</v>
      </c>
      <c r="AW15">
        <v>2000</v>
      </c>
      <c r="AX15" t="s">
        <v>150</v>
      </c>
      <c r="AZ15">
        <v>615100</v>
      </c>
      <c r="BA15" s="11">
        <v>564638.38</v>
      </c>
      <c r="BB15" s="17">
        <f>BA15/DITE_JULIO_2025[[#This Row],[META SUPER]]</f>
        <v>0.91796192489026174</v>
      </c>
      <c r="BC15" t="s">
        <v>4</v>
      </c>
      <c r="BD15">
        <v>16923</v>
      </c>
      <c r="BE15">
        <v>25589</v>
      </c>
      <c r="BF15">
        <v>48756</v>
      </c>
      <c r="BG15">
        <v>49556</v>
      </c>
      <c r="BH15">
        <v>49688.5</v>
      </c>
      <c r="BI15">
        <v>49688.5</v>
      </c>
      <c r="BJ15">
        <v>52144.08</v>
      </c>
      <c r="BK15">
        <v>57044.08</v>
      </c>
      <c r="BL15">
        <v>66194.080000000002</v>
      </c>
      <c r="BM15">
        <v>82894.080000000002</v>
      </c>
      <c r="BN15">
        <v>114236.08</v>
      </c>
      <c r="BO15">
        <v>118686.08</v>
      </c>
      <c r="BP15">
        <v>118686.08</v>
      </c>
      <c r="BQ15">
        <v>154409.18</v>
      </c>
      <c r="BR15">
        <v>194009.18</v>
      </c>
      <c r="BS15">
        <v>217891.18</v>
      </c>
      <c r="BT15">
        <v>225902.18</v>
      </c>
      <c r="BU15">
        <v>277850.18</v>
      </c>
      <c r="BV15">
        <v>286005.68</v>
      </c>
      <c r="BW15">
        <v>286005.68</v>
      </c>
      <c r="BX15">
        <v>314910.68</v>
      </c>
      <c r="BY15">
        <v>349958.68</v>
      </c>
      <c r="BZ15">
        <v>355458.68</v>
      </c>
      <c r="CA15">
        <v>388867.68</v>
      </c>
      <c r="CB15">
        <v>449802.68</v>
      </c>
      <c r="CC15">
        <v>449802.68</v>
      </c>
      <c r="CD15">
        <v>454894.68</v>
      </c>
      <c r="CE15">
        <v>454894.68</v>
      </c>
      <c r="CF15">
        <v>455561.38</v>
      </c>
      <c r="CG15">
        <v>501225.38</v>
      </c>
      <c r="CH15">
        <v>564638.38</v>
      </c>
      <c r="CI15" s="11" t="s">
        <v>155</v>
      </c>
      <c r="CK15" t="s">
        <v>4</v>
      </c>
      <c r="CL15" t="s">
        <v>124</v>
      </c>
      <c r="CM15" t="s">
        <v>4</v>
      </c>
      <c r="CN15" t="s">
        <v>4</v>
      </c>
      <c r="CO15" t="s">
        <v>4</v>
      </c>
    </row>
    <row r="16" spans="1:93" x14ac:dyDescent="0.25">
      <c r="A16" s="2" t="str">
        <f>D1_JULIO_2025[[#This Row],[SUPER2]]</f>
        <v>MELINA</v>
      </c>
      <c r="B16" s="2" t="s">
        <v>62</v>
      </c>
      <c r="C16" s="2">
        <f>VLOOKUP(D1_JULIO_2025[[#This Row],[SUPER]],DATA_JULIO_2025[[SUPERVISOR]:[META]],3,0)</f>
        <v>65000</v>
      </c>
      <c r="D16" s="2">
        <f>D1_JULIO_2025[[#This Row],[RECUPERO]]/C16</f>
        <v>0.94044615384615382</v>
      </c>
      <c r="E16" t="s">
        <v>4</v>
      </c>
      <c r="F16" t="s">
        <v>62</v>
      </c>
      <c r="G16">
        <v>61129</v>
      </c>
      <c r="H16" t="s">
        <v>386</v>
      </c>
      <c r="I16" s="55">
        <v>45334</v>
      </c>
      <c r="J16" t="s">
        <v>501</v>
      </c>
      <c r="L16" s="55"/>
      <c r="M16" s="1">
        <f>DATA_JULIO_2025[[#This Row],[RECUPERO]]/DATA_JULIO_2025[[#This Row],[META]]</f>
        <v>0.4457962962962963</v>
      </c>
      <c r="N16">
        <f>6-ROUNDUP(_xlfn.RANK.EQ(DATA_JULIO_2025[[#This Row],[AL_AC]],DATA_JULIO_2025[AL_AC],0)/(COUNTA(DATA_JULIO_2025[AL_AC])/5),0)</f>
        <v>2</v>
      </c>
      <c r="O16" t="s">
        <v>5</v>
      </c>
      <c r="P16">
        <f>SUM(DATA_JULIO_2025[[#This Row],[1]:[31]])</f>
        <v>24073</v>
      </c>
      <c r="Q16">
        <v>54000</v>
      </c>
      <c r="R16" t="s">
        <v>85</v>
      </c>
      <c r="S16">
        <v>1034</v>
      </c>
      <c r="AC16">
        <v>424</v>
      </c>
      <c r="AG16">
        <v>1000</v>
      </c>
      <c r="AI16">
        <v>1250</v>
      </c>
      <c r="AM16">
        <v>2102</v>
      </c>
      <c r="AN16">
        <v>10280</v>
      </c>
      <c r="AQ16">
        <v>1285</v>
      </c>
      <c r="AS16">
        <v>1000</v>
      </c>
      <c r="AV16">
        <v>3500</v>
      </c>
      <c r="AW16">
        <v>2198</v>
      </c>
      <c r="AX16" t="s">
        <v>150</v>
      </c>
      <c r="AZ16">
        <v>615100</v>
      </c>
      <c r="BA16" s="11">
        <v>538920.89</v>
      </c>
      <c r="BB16" s="17">
        <f>BA16/DITE_JULIO_2025[[#This Row],[META SUPER]]</f>
        <v>0.87615166639570807</v>
      </c>
      <c r="BC16" t="s">
        <v>3</v>
      </c>
      <c r="BD16">
        <v>9253</v>
      </c>
      <c r="BE16">
        <v>9953</v>
      </c>
      <c r="BF16">
        <v>59066.81</v>
      </c>
      <c r="BG16">
        <v>62016.81</v>
      </c>
      <c r="BH16">
        <v>62016.81</v>
      </c>
      <c r="BI16">
        <v>62016.81</v>
      </c>
      <c r="BJ16">
        <v>95478.81</v>
      </c>
      <c r="BK16">
        <v>118133.81</v>
      </c>
      <c r="BL16">
        <v>134378.81</v>
      </c>
      <c r="BM16">
        <v>158978.79</v>
      </c>
      <c r="BN16">
        <v>217251.49</v>
      </c>
      <c r="BO16">
        <v>218251.49</v>
      </c>
      <c r="BP16">
        <v>218533.49</v>
      </c>
      <c r="BQ16">
        <v>242373.49</v>
      </c>
      <c r="BR16">
        <v>284242.49</v>
      </c>
      <c r="BS16">
        <v>300842.49</v>
      </c>
      <c r="BT16">
        <v>308042.49</v>
      </c>
      <c r="BU16">
        <v>318792.49</v>
      </c>
      <c r="BV16">
        <v>318792.49</v>
      </c>
      <c r="BW16">
        <v>319392.49</v>
      </c>
      <c r="BX16">
        <v>373532.49</v>
      </c>
      <c r="BY16">
        <v>386608.49</v>
      </c>
      <c r="BZ16">
        <v>386608.49</v>
      </c>
      <c r="CA16">
        <v>394635.89</v>
      </c>
      <c r="CB16">
        <v>419850.89</v>
      </c>
      <c r="CC16">
        <v>419850.89</v>
      </c>
      <c r="CD16">
        <v>430068.89</v>
      </c>
      <c r="CE16">
        <v>430068.89</v>
      </c>
      <c r="CF16">
        <v>430368.89</v>
      </c>
      <c r="CG16">
        <v>476200.89</v>
      </c>
      <c r="CH16">
        <v>538920.89</v>
      </c>
      <c r="CI16" s="11" t="s">
        <v>155</v>
      </c>
      <c r="CK16" t="s">
        <v>3</v>
      </c>
      <c r="CL16" t="s">
        <v>3</v>
      </c>
      <c r="CM16" t="s">
        <v>3</v>
      </c>
      <c r="CN16" t="s">
        <v>3</v>
      </c>
      <c r="CO16" t="s">
        <v>3</v>
      </c>
    </row>
    <row r="17" spans="1:50" x14ac:dyDescent="0.25">
      <c r="A17" s="2" t="str">
        <f>D1_JULIO_2025[[#This Row],[SUPER2]]</f>
        <v>MELINA</v>
      </c>
      <c r="B17" s="2" t="s">
        <v>64</v>
      </c>
      <c r="C17" s="2">
        <f>VLOOKUP(D1_JULIO_2025[[#This Row],[SUPER]],DATA_JULIO_2025[[SUPERVISOR]:[META]],3,0)</f>
        <v>65000</v>
      </c>
      <c r="D17" s="2">
        <f>D1_JULIO_2025[[#This Row],[RECUPERO]]/C17</f>
        <v>0.68861538461538463</v>
      </c>
      <c r="E17" t="s">
        <v>4</v>
      </c>
      <c r="F17" t="s">
        <v>64</v>
      </c>
      <c r="G17">
        <v>44760</v>
      </c>
      <c r="H17" t="s">
        <v>455</v>
      </c>
      <c r="I17" s="55">
        <v>45700</v>
      </c>
      <c r="J17" t="s">
        <v>501</v>
      </c>
      <c r="L17" s="55"/>
      <c r="M17" s="1">
        <f>DATA_JULIO_2025[[#This Row],[RECUPERO]]/DATA_JULIO_2025[[#This Row],[META]]</f>
        <v>0.72612962962962968</v>
      </c>
      <c r="N17">
        <f>6-ROUNDUP(_xlfn.RANK.EQ(DATA_JULIO_2025[[#This Row],[AL_AC]],DATA_JULIO_2025[AL_AC],0)/(COUNTA(DATA_JULIO_2025[AL_AC])/5),0)</f>
        <v>4</v>
      </c>
      <c r="O17" t="s">
        <v>5</v>
      </c>
      <c r="P17">
        <f>SUM(DATA_JULIO_2025[[#This Row],[1]:[31]])</f>
        <v>39211</v>
      </c>
      <c r="Q17">
        <v>54000</v>
      </c>
      <c r="R17" t="s">
        <v>67</v>
      </c>
      <c r="S17">
        <v>2046</v>
      </c>
      <c r="V17">
        <v>500</v>
      </c>
      <c r="W17">
        <v>200</v>
      </c>
      <c r="Y17">
        <v>3000</v>
      </c>
      <c r="Z17">
        <v>1500</v>
      </c>
      <c r="AC17">
        <v>7700</v>
      </c>
      <c r="AG17">
        <v>750</v>
      </c>
      <c r="AL17">
        <v>1000</v>
      </c>
      <c r="AN17">
        <v>3000</v>
      </c>
      <c r="AP17">
        <v>14000</v>
      </c>
      <c r="AQ17">
        <v>1200</v>
      </c>
      <c r="AW17">
        <v>4315</v>
      </c>
      <c r="AX17" t="s">
        <v>150</v>
      </c>
    </row>
    <row r="18" spans="1:50" x14ac:dyDescent="0.25">
      <c r="A18" s="2" t="str">
        <f>D1_JULIO_2025[[#This Row],[SUPER2]]</f>
        <v>MELINA</v>
      </c>
      <c r="B18" s="2" t="s">
        <v>61</v>
      </c>
      <c r="C18" s="2">
        <f>VLOOKUP(D1_JULIO_2025[[#This Row],[SUPER]],DATA_JULIO_2025[[SUPERVISOR]:[META]],3,0)</f>
        <v>65000</v>
      </c>
      <c r="D18" s="2">
        <f>D1_JULIO_2025[[#This Row],[RECUPERO]]/C18</f>
        <v>0.57619538461538455</v>
      </c>
      <c r="E18" t="s">
        <v>4</v>
      </c>
      <c r="F18" t="s">
        <v>61</v>
      </c>
      <c r="G18">
        <v>37452.699999999997</v>
      </c>
      <c r="H18" t="s">
        <v>411</v>
      </c>
      <c r="I18" s="55">
        <v>44909</v>
      </c>
      <c r="J18" t="s">
        <v>501</v>
      </c>
      <c r="L18" s="55"/>
      <c r="M18" s="1">
        <f>DATA_JULIO_2025[[#This Row],[RECUPERO]]/DATA_JULIO_2025[[#This Row],[META]]</f>
        <v>0.37775925925925924</v>
      </c>
      <c r="N18">
        <f>6-ROUNDUP(_xlfn.RANK.EQ(DATA_JULIO_2025[[#This Row],[AL_AC]],DATA_JULIO_2025[AL_AC],0)/(COUNTA(DATA_JULIO_2025[AL_AC])/5),0)</f>
        <v>2</v>
      </c>
      <c r="O18" t="s">
        <v>2</v>
      </c>
      <c r="P18">
        <f>SUM(DATA_JULIO_2025[[#This Row],[1]:[31]])</f>
        <v>20399</v>
      </c>
      <c r="Q18">
        <v>54000</v>
      </c>
      <c r="R18" t="s">
        <v>14</v>
      </c>
      <c r="Y18">
        <v>551</v>
      </c>
      <c r="AC18">
        <v>500</v>
      </c>
      <c r="AG18">
        <v>4348</v>
      </c>
      <c r="AI18">
        <v>1000</v>
      </c>
      <c r="AJ18">
        <v>2100</v>
      </c>
      <c r="AV18">
        <v>600</v>
      </c>
      <c r="AW18">
        <v>11300</v>
      </c>
      <c r="AX18" t="s">
        <v>150</v>
      </c>
    </row>
    <row r="19" spans="1:50" x14ac:dyDescent="0.25">
      <c r="A19" s="2" t="str">
        <f>D1_JULIO_2025[[#This Row],[SUPER2]]</f>
        <v>MELINA</v>
      </c>
      <c r="B19" s="2" t="s">
        <v>57</v>
      </c>
      <c r="C19" s="2">
        <f>VLOOKUP(D1_JULIO_2025[[#This Row],[SUPER]],DATA_JULIO_2025[[SUPERVISOR]:[META]],3,0)</f>
        <v>65000</v>
      </c>
      <c r="D19" s="2">
        <f>D1_JULIO_2025[[#This Row],[RECUPERO]]/C19</f>
        <v>0.50055384615384613</v>
      </c>
      <c r="E19" t="s">
        <v>4</v>
      </c>
      <c r="F19" t="s">
        <v>57</v>
      </c>
      <c r="G19">
        <v>32536</v>
      </c>
      <c r="H19" t="s">
        <v>443</v>
      </c>
      <c r="I19" s="55">
        <v>45590</v>
      </c>
      <c r="J19" t="s">
        <v>501</v>
      </c>
      <c r="L19" s="55"/>
      <c r="M19" s="1">
        <f>DATA_JULIO_2025[[#This Row],[RECUPERO]]/DATA_JULIO_2025[[#This Row],[META]]</f>
        <v>0.68387096774193545</v>
      </c>
      <c r="N19">
        <f>6-ROUNDUP(_xlfn.RANK.EQ(DATA_JULIO_2025[[#This Row],[AL_AC]],DATA_JULIO_2025[AL_AC],0)/(COUNTA(DATA_JULIO_2025[AL_AC])/5),0)</f>
        <v>3</v>
      </c>
      <c r="O19" t="s">
        <v>7</v>
      </c>
      <c r="P19">
        <f>SUM(DATA_JULIO_2025[[#This Row],[1]:[31]])</f>
        <v>10600</v>
      </c>
      <c r="Q19">
        <v>15500</v>
      </c>
      <c r="R19" t="s">
        <v>104</v>
      </c>
      <c r="U19">
        <v>1100</v>
      </c>
      <c r="Z19">
        <v>500</v>
      </c>
      <c r="AM19">
        <v>1500</v>
      </c>
      <c r="AN19">
        <v>7000</v>
      </c>
      <c r="AR19">
        <v>500</v>
      </c>
      <c r="AX19" t="s">
        <v>152</v>
      </c>
    </row>
    <row r="20" spans="1:50" x14ac:dyDescent="0.25">
      <c r="A20" s="2" t="str">
        <f>D1_JULIO_2025[[#This Row],[SUPER2]]</f>
        <v>MELINA</v>
      </c>
      <c r="B20" s="2" t="s">
        <v>65</v>
      </c>
      <c r="C20" s="2">
        <f>VLOOKUP(D1_JULIO_2025[[#This Row],[SUPER]],DATA_JULIO_2025[[SUPERVISOR]:[META]],3,0)</f>
        <v>65000</v>
      </c>
      <c r="D20" s="2">
        <f>D1_JULIO_2025[[#This Row],[RECUPERO]]/C20</f>
        <v>0.48635384615384614</v>
      </c>
      <c r="E20" t="s">
        <v>4</v>
      </c>
      <c r="F20" t="s">
        <v>65</v>
      </c>
      <c r="G20">
        <v>31613</v>
      </c>
      <c r="H20" t="s">
        <v>438</v>
      </c>
      <c r="I20" s="55">
        <v>45021</v>
      </c>
      <c r="J20" t="s">
        <v>501</v>
      </c>
      <c r="L20" s="55"/>
      <c r="M20" s="1">
        <f>DATA_JULIO_2025[[#This Row],[RECUPERO]]/DATA_JULIO_2025[[#This Row],[META]]</f>
        <v>0.64451612903225808</v>
      </c>
      <c r="N20">
        <f>6-ROUNDUP(_xlfn.RANK.EQ(DATA_JULIO_2025[[#This Row],[AL_AC]],DATA_JULIO_2025[AL_AC],0)/(COUNTA(DATA_JULIO_2025[AL_AC])/5),0)</f>
        <v>3</v>
      </c>
      <c r="O20" t="s">
        <v>7</v>
      </c>
      <c r="P20">
        <f>SUM(DATA_JULIO_2025[[#This Row],[1]:[31]])</f>
        <v>9990</v>
      </c>
      <c r="Q20">
        <v>15500</v>
      </c>
      <c r="R20" t="s">
        <v>19</v>
      </c>
      <c r="T20">
        <v>750</v>
      </c>
      <c r="AD20">
        <v>500</v>
      </c>
      <c r="AE20">
        <v>400</v>
      </c>
      <c r="AG20">
        <v>50</v>
      </c>
      <c r="AH20">
        <v>400</v>
      </c>
      <c r="AJ20">
        <v>3000</v>
      </c>
      <c r="AM20">
        <v>490</v>
      </c>
      <c r="AV20">
        <v>250</v>
      </c>
      <c r="AW20">
        <v>4150</v>
      </c>
      <c r="AX20" t="s">
        <v>152</v>
      </c>
    </row>
    <row r="21" spans="1:50" x14ac:dyDescent="0.25">
      <c r="A21" s="2" t="str">
        <f>D1_JULIO_2025[[#This Row],[SUPER2]]</f>
        <v>MELINA</v>
      </c>
      <c r="B21" s="2" t="s">
        <v>60</v>
      </c>
      <c r="C21" s="2">
        <f>VLOOKUP(D1_JULIO_2025[[#This Row],[SUPER]],DATA_JULIO_2025[[SUPERVISOR]:[META]],3,0)</f>
        <v>65000</v>
      </c>
      <c r="D21" s="2">
        <f>D1_JULIO_2025[[#This Row],[RECUPERO]]/C21</f>
        <v>0.3228923076923077</v>
      </c>
      <c r="E21" t="s">
        <v>4</v>
      </c>
      <c r="F21" t="s">
        <v>60</v>
      </c>
      <c r="G21">
        <v>20988</v>
      </c>
      <c r="H21" t="s">
        <v>423</v>
      </c>
      <c r="I21" s="55">
        <v>45323</v>
      </c>
      <c r="J21" t="s">
        <v>501</v>
      </c>
      <c r="L21" s="55"/>
      <c r="M21" s="1">
        <f>DATA_JULIO_2025[[#This Row],[RECUPERO]]/DATA_JULIO_2025[[#This Row],[META]]</f>
        <v>0.8180645161290323</v>
      </c>
      <c r="N21">
        <f>6-ROUNDUP(_xlfn.RANK.EQ(DATA_JULIO_2025[[#This Row],[AL_AC]],DATA_JULIO_2025[AL_AC],0)/(COUNTA(DATA_JULIO_2025[AL_AC])/5),0)</f>
        <v>4</v>
      </c>
      <c r="O21" t="s">
        <v>9</v>
      </c>
      <c r="P21">
        <f>SUM(DATA_JULIO_2025[[#This Row],[1]:[31]])</f>
        <v>12680</v>
      </c>
      <c r="Q21">
        <v>15500</v>
      </c>
      <c r="R21" t="s">
        <v>53</v>
      </c>
      <c r="U21">
        <v>160</v>
      </c>
      <c r="V21">
        <v>350</v>
      </c>
      <c r="AA21">
        <v>2800</v>
      </c>
      <c r="AC21">
        <v>200</v>
      </c>
      <c r="AF21">
        <v>1500</v>
      </c>
      <c r="AG21">
        <v>800</v>
      </c>
      <c r="AH21">
        <v>1000</v>
      </c>
      <c r="AI21">
        <v>870</v>
      </c>
      <c r="AV21">
        <v>3200</v>
      </c>
      <c r="AW21">
        <v>1800</v>
      </c>
      <c r="AX21" t="s">
        <v>153</v>
      </c>
    </row>
    <row r="22" spans="1:50" x14ac:dyDescent="0.25">
      <c r="A22" s="2" t="str">
        <f>D1_JULIO_2025[[#This Row],[SUPER2]]</f>
        <v>MELINA</v>
      </c>
      <c r="B22" s="2" t="s">
        <v>63</v>
      </c>
      <c r="C22" s="2">
        <f>VLOOKUP(D1_JULIO_2025[[#This Row],[SUPER]],DATA_JULIO_2025[[SUPERVISOR]:[META]],3,0)</f>
        <v>65000</v>
      </c>
      <c r="D22" s="2">
        <f>D1_JULIO_2025[[#This Row],[RECUPERO]]/C22</f>
        <v>0.25064615384615385</v>
      </c>
      <c r="E22" t="s">
        <v>4</v>
      </c>
      <c r="F22" t="s">
        <v>63</v>
      </c>
      <c r="G22">
        <v>16292</v>
      </c>
      <c r="H22" t="s">
        <v>447</v>
      </c>
      <c r="I22" s="55">
        <v>45316</v>
      </c>
      <c r="J22" t="s">
        <v>501</v>
      </c>
      <c r="L22" s="55"/>
      <c r="M22" s="1">
        <f>DATA_JULIO_2025[[#This Row],[RECUPERO]]/DATA_JULIO_2025[[#This Row],[META]]</f>
        <v>0.79670967741935483</v>
      </c>
      <c r="N22">
        <f>6-ROUNDUP(_xlfn.RANK.EQ(DATA_JULIO_2025[[#This Row],[AL_AC]],DATA_JULIO_2025[AL_AC],0)/(COUNTA(DATA_JULIO_2025[AL_AC])/5),0)</f>
        <v>4</v>
      </c>
      <c r="O22" t="s">
        <v>8</v>
      </c>
      <c r="P22">
        <f>SUM(DATA_JULIO_2025[[#This Row],[1]:[31]])</f>
        <v>12349</v>
      </c>
      <c r="Q22">
        <v>15500</v>
      </c>
      <c r="R22" t="s">
        <v>41</v>
      </c>
      <c r="T22">
        <v>300</v>
      </c>
      <c r="U22">
        <v>1566</v>
      </c>
      <c r="V22">
        <v>1200</v>
      </c>
      <c r="Y22">
        <v>1000</v>
      </c>
      <c r="Z22">
        <v>903</v>
      </c>
      <c r="AA22">
        <v>100</v>
      </c>
      <c r="AC22">
        <v>600</v>
      </c>
      <c r="AF22">
        <v>700</v>
      </c>
      <c r="AG22">
        <v>1090</v>
      </c>
      <c r="AH22">
        <v>1058</v>
      </c>
      <c r="AN22">
        <v>400</v>
      </c>
      <c r="AP22">
        <v>132</v>
      </c>
      <c r="AV22">
        <v>450</v>
      </c>
      <c r="AW22">
        <v>2850</v>
      </c>
      <c r="AX22" t="s">
        <v>153</v>
      </c>
    </row>
    <row r="23" spans="1:50" x14ac:dyDescent="0.25">
      <c r="A23" s="2" t="str">
        <f>D1_JULIO_2025[[#This Row],[SUPER2]]</f>
        <v>MELINA</v>
      </c>
      <c r="B23" s="2" t="s">
        <v>80</v>
      </c>
      <c r="C23" s="2">
        <f>VLOOKUP(D1_JULIO_2025[[#This Row],[SUPER]],DATA_JULIO_2025[[SUPERVISOR]:[META]],3,0)</f>
        <v>65000</v>
      </c>
      <c r="D23" s="2">
        <f>D1_JULIO_2025[[#This Row],[RECUPERO]]/C23</f>
        <v>0.17687692307692307</v>
      </c>
      <c r="E23" t="s">
        <v>4</v>
      </c>
      <c r="F23" t="s">
        <v>80</v>
      </c>
      <c r="G23">
        <v>11497</v>
      </c>
      <c r="H23" t="s">
        <v>433</v>
      </c>
      <c r="I23" s="55">
        <v>45285</v>
      </c>
      <c r="J23" t="s">
        <v>501</v>
      </c>
      <c r="L23" s="55"/>
      <c r="M23" s="1">
        <f>DATA_JULIO_2025[[#This Row],[RECUPERO]]/DATA_JULIO_2025[[#This Row],[META]]</f>
        <v>0.21612903225806451</v>
      </c>
      <c r="N23">
        <f>6-ROUNDUP(_xlfn.RANK.EQ(DATA_JULIO_2025[[#This Row],[AL_AC]],DATA_JULIO_2025[AL_AC],0)/(COUNTA(DATA_JULIO_2025[AL_AC])/5),0)</f>
        <v>1</v>
      </c>
      <c r="O23" t="s">
        <v>9</v>
      </c>
      <c r="P23">
        <f>SUM(DATA_JULIO_2025[[#This Row],[1]:[31]])</f>
        <v>3350</v>
      </c>
      <c r="Q23">
        <v>15500</v>
      </c>
      <c r="R23" t="s">
        <v>82</v>
      </c>
      <c r="V23">
        <v>1000</v>
      </c>
      <c r="AC23">
        <v>500</v>
      </c>
      <c r="AJ23">
        <v>850</v>
      </c>
      <c r="AP23">
        <v>500</v>
      </c>
      <c r="AT23">
        <v>500</v>
      </c>
      <c r="AX23" t="s">
        <v>153</v>
      </c>
    </row>
    <row r="24" spans="1:50" x14ac:dyDescent="0.25">
      <c r="A24" s="2" t="str">
        <f>D1_JULIO_2025[[#This Row],[SUPER2]]</f>
        <v>JORGE</v>
      </c>
      <c r="B24" s="2" t="s">
        <v>16</v>
      </c>
      <c r="C24" s="2">
        <f>VLOOKUP(D1_JULIO_2025[[#This Row],[SUPER]],DATA_JULIO_2025[[SUPERVISOR]:[META]],3,0)</f>
        <v>54000</v>
      </c>
      <c r="D24" s="2">
        <f>D1_JULIO_2025[[#This Row],[RECUPERO]]/C24</f>
        <v>1.3431481481481482</v>
      </c>
      <c r="E24" t="s">
        <v>2</v>
      </c>
      <c r="F24" t="s">
        <v>16</v>
      </c>
      <c r="G24">
        <v>72530</v>
      </c>
      <c r="H24" t="s">
        <v>388</v>
      </c>
      <c r="I24" s="55">
        <v>45334</v>
      </c>
      <c r="J24" t="s">
        <v>501</v>
      </c>
      <c r="L24" s="55"/>
      <c r="M24" s="1">
        <f>DATA_JULIO_2025[[#This Row],[RECUPERO]]/DATA_JULIO_2025[[#This Row],[META]]</f>
        <v>0.57619538461538455</v>
      </c>
      <c r="N24">
        <f>6-ROUNDUP(_xlfn.RANK.EQ(DATA_JULIO_2025[[#This Row],[AL_AC]],DATA_JULIO_2025[AL_AC],0)/(COUNTA(DATA_JULIO_2025[AL_AC])/5),0)</f>
        <v>3</v>
      </c>
      <c r="O24" t="s">
        <v>4</v>
      </c>
      <c r="P24">
        <f>SUM(DATA_JULIO_2025[[#This Row],[1]:[31]])</f>
        <v>37452.699999999997</v>
      </c>
      <c r="Q24">
        <v>65000</v>
      </c>
      <c r="R24" t="s">
        <v>61</v>
      </c>
      <c r="S24">
        <v>600</v>
      </c>
      <c r="U24">
        <v>10000</v>
      </c>
      <c r="Y24">
        <v>1000</v>
      </c>
      <c r="AD24">
        <v>2500</v>
      </c>
      <c r="AG24">
        <v>450</v>
      </c>
      <c r="AH24">
        <v>1500</v>
      </c>
      <c r="AJ24">
        <v>848</v>
      </c>
      <c r="AM24">
        <v>4400</v>
      </c>
      <c r="AN24">
        <v>9488</v>
      </c>
      <c r="AU24">
        <v>666.7</v>
      </c>
      <c r="AV24">
        <v>2000</v>
      </c>
      <c r="AW24">
        <v>4000</v>
      </c>
      <c r="AX24" t="s">
        <v>155</v>
      </c>
    </row>
    <row r="25" spans="1:50" x14ac:dyDescent="0.25">
      <c r="A25" s="2" t="str">
        <f>D1_JULIO_2025[[#This Row],[SUPER2]]</f>
        <v>JORGE</v>
      </c>
      <c r="B25" s="2" t="s">
        <v>10</v>
      </c>
      <c r="C25" s="2">
        <f>VLOOKUP(D1_JULIO_2025[[#This Row],[SUPER]],DATA_JULIO_2025[[SUPERVISOR]:[META]],3,0)</f>
        <v>54000</v>
      </c>
      <c r="D25" s="2">
        <f>D1_JULIO_2025[[#This Row],[RECUPERO]]/C25</f>
        <v>0.94387037037037036</v>
      </c>
      <c r="E25" t="s">
        <v>2</v>
      </c>
      <c r="F25" t="s">
        <v>10</v>
      </c>
      <c r="G25">
        <v>50969</v>
      </c>
      <c r="H25" t="s">
        <v>449</v>
      </c>
      <c r="I25" s="55">
        <v>44706</v>
      </c>
      <c r="J25" t="s">
        <v>501</v>
      </c>
      <c r="L25" s="55"/>
      <c r="M25" s="1">
        <f>DATA_JULIO_2025[[#This Row],[RECUPERO]]/DATA_JULIO_2025[[#This Row],[META]]</f>
        <v>0.17687692307692307</v>
      </c>
      <c r="N25">
        <f>6-ROUNDUP(_xlfn.RANK.EQ(DATA_JULIO_2025[[#This Row],[AL_AC]],DATA_JULIO_2025[AL_AC],0)/(COUNTA(DATA_JULIO_2025[AL_AC])/5),0)</f>
        <v>1</v>
      </c>
      <c r="O25" t="s">
        <v>4</v>
      </c>
      <c r="P25">
        <f>SUM(DATA_JULIO_2025[[#This Row],[1]:[31]])</f>
        <v>11497</v>
      </c>
      <c r="Q25">
        <v>65000</v>
      </c>
      <c r="R25" t="s">
        <v>80</v>
      </c>
      <c r="AA25">
        <v>650</v>
      </c>
      <c r="AG25">
        <v>500</v>
      </c>
      <c r="AH25">
        <v>982</v>
      </c>
      <c r="AM25">
        <v>1805</v>
      </c>
      <c r="AQ25">
        <v>5260</v>
      </c>
      <c r="AV25">
        <v>1500</v>
      </c>
      <c r="AW25">
        <v>800</v>
      </c>
      <c r="AX25" t="s">
        <v>155</v>
      </c>
    </row>
    <row r="26" spans="1:50" x14ac:dyDescent="0.25">
      <c r="A26" s="2" t="str">
        <f>D1_JULIO_2025[[#This Row],[SUPER2]]</f>
        <v>JORGE</v>
      </c>
      <c r="B26" s="2" t="s">
        <v>17</v>
      </c>
      <c r="C26" s="2">
        <f>VLOOKUP(D1_JULIO_2025[[#This Row],[SUPER]],DATA_JULIO_2025[[SUPERVISOR]:[META]],3,0)</f>
        <v>54000</v>
      </c>
      <c r="D26" s="2">
        <f>D1_JULIO_2025[[#This Row],[RECUPERO]]/C26</f>
        <v>0.84044444444444444</v>
      </c>
      <c r="E26" t="s">
        <v>2</v>
      </c>
      <c r="F26" t="s">
        <v>17</v>
      </c>
      <c r="G26">
        <v>45384</v>
      </c>
      <c r="H26" t="s">
        <v>385</v>
      </c>
      <c r="I26" s="55">
        <v>44888</v>
      </c>
      <c r="J26" t="s">
        <v>501</v>
      </c>
      <c r="L26" s="55"/>
      <c r="M26" s="1">
        <f>DATA_JULIO_2025[[#This Row],[RECUPERO]]/DATA_JULIO_2025[[#This Row],[META]]</f>
        <v>0.59030769230769231</v>
      </c>
      <c r="N26">
        <f>6-ROUNDUP(_xlfn.RANK.EQ(DATA_JULIO_2025[[#This Row],[AL_AC]],DATA_JULIO_2025[AL_AC],0)/(COUNTA(DATA_JULIO_2025[AL_AC])/5),0)</f>
        <v>3</v>
      </c>
      <c r="O26" t="s">
        <v>6</v>
      </c>
      <c r="P26">
        <f>SUM(DATA_JULIO_2025[[#This Row],[1]:[31]])</f>
        <v>15348</v>
      </c>
      <c r="Q26">
        <v>26000</v>
      </c>
      <c r="R26" t="s">
        <v>40</v>
      </c>
      <c r="S26">
        <v>210</v>
      </c>
      <c r="AA26">
        <v>50</v>
      </c>
      <c r="AB26">
        <v>1200</v>
      </c>
      <c r="AC26">
        <v>200</v>
      </c>
      <c r="AD26">
        <v>124</v>
      </c>
      <c r="AG26">
        <v>250</v>
      </c>
      <c r="AJ26">
        <v>195</v>
      </c>
      <c r="AM26">
        <v>569</v>
      </c>
      <c r="AN26">
        <v>350</v>
      </c>
      <c r="AP26">
        <v>100</v>
      </c>
      <c r="AQ26">
        <v>10000</v>
      </c>
      <c r="AV26">
        <v>530</v>
      </c>
      <c r="AW26">
        <v>1570</v>
      </c>
      <c r="AX26" t="s">
        <v>156</v>
      </c>
    </row>
    <row r="27" spans="1:50" x14ac:dyDescent="0.25">
      <c r="A27" s="2" t="str">
        <f>D1_JULIO_2025[[#This Row],[SUPER2]]</f>
        <v>JORGE</v>
      </c>
      <c r="B27" s="2" t="s">
        <v>12</v>
      </c>
      <c r="C27" s="2">
        <f>VLOOKUP(D1_JULIO_2025[[#This Row],[SUPER]],DATA_JULIO_2025[[SUPERVISOR]:[META]],3,0)</f>
        <v>54000</v>
      </c>
      <c r="D27" s="2">
        <f>D1_JULIO_2025[[#This Row],[RECUPERO]]/C27</f>
        <v>0.56653703703703706</v>
      </c>
      <c r="E27" t="s">
        <v>2</v>
      </c>
      <c r="F27" t="s">
        <v>12</v>
      </c>
      <c r="G27">
        <v>30593</v>
      </c>
      <c r="H27" t="s">
        <v>389</v>
      </c>
      <c r="I27" s="55">
        <v>44870</v>
      </c>
      <c r="J27" t="s">
        <v>501</v>
      </c>
      <c r="L27" s="55"/>
      <c r="M27" s="1">
        <f>DATA_JULIO_2025[[#This Row],[RECUPERO]]/DATA_JULIO_2025[[#This Row],[META]]</f>
        <v>0.81051612903225811</v>
      </c>
      <c r="N27">
        <f>6-ROUNDUP(_xlfn.RANK.EQ(DATA_JULIO_2025[[#This Row],[AL_AC]],DATA_JULIO_2025[AL_AC],0)/(COUNTA(DATA_JULIO_2025[AL_AC])/5),0)</f>
        <v>4</v>
      </c>
      <c r="O27" t="s">
        <v>8</v>
      </c>
      <c r="P27">
        <f>SUM(DATA_JULIO_2025[[#This Row],[1]:[31]])</f>
        <v>12563</v>
      </c>
      <c r="Q27">
        <v>15500</v>
      </c>
      <c r="R27" t="s">
        <v>81</v>
      </c>
      <c r="Y27">
        <v>149</v>
      </c>
      <c r="Z27">
        <v>200</v>
      </c>
      <c r="AB27">
        <v>240</v>
      </c>
      <c r="AC27">
        <v>1400</v>
      </c>
      <c r="AG27">
        <v>251</v>
      </c>
      <c r="AH27">
        <v>1300</v>
      </c>
      <c r="AI27">
        <v>160</v>
      </c>
      <c r="AJ27">
        <v>1300</v>
      </c>
      <c r="AM27">
        <v>1472</v>
      </c>
      <c r="AN27">
        <v>1100</v>
      </c>
      <c r="AQ27">
        <v>2491</v>
      </c>
      <c r="AV27">
        <v>1500</v>
      </c>
      <c r="AW27">
        <v>1000</v>
      </c>
      <c r="AX27" t="s">
        <v>153</v>
      </c>
    </row>
    <row r="28" spans="1:50" x14ac:dyDescent="0.25">
      <c r="A28" s="2" t="str">
        <f>D1_JULIO_2025[[#This Row],[SUPER2]]</f>
        <v>JORGE</v>
      </c>
      <c r="B28" s="2" t="s">
        <v>11</v>
      </c>
      <c r="C28" s="2">
        <f>VLOOKUP(D1_JULIO_2025[[#This Row],[SUPER]],DATA_JULIO_2025[[SUPERVISOR]:[META]],3,0)</f>
        <v>54000</v>
      </c>
      <c r="D28" s="2">
        <f>D1_JULIO_2025[[#This Row],[RECUPERO]]/C28</f>
        <v>0.50240740740740741</v>
      </c>
      <c r="E28" t="s">
        <v>2</v>
      </c>
      <c r="F28" t="s">
        <v>11</v>
      </c>
      <c r="G28">
        <v>27130</v>
      </c>
      <c r="H28" t="s">
        <v>429</v>
      </c>
      <c r="I28" s="55">
        <v>45371</v>
      </c>
      <c r="J28" t="s">
        <v>501</v>
      </c>
      <c r="L28" s="55"/>
      <c r="M28" s="1">
        <f>DATA_JULIO_2025[[#This Row],[RECUPERO]]/DATA_JULIO_2025[[#This Row],[META]]</f>
        <v>0.39327661538461539</v>
      </c>
      <c r="N28">
        <f>6-ROUNDUP(_xlfn.RANK.EQ(DATA_JULIO_2025[[#This Row],[AL_AC]],DATA_JULIO_2025[AL_AC],0)/(COUNTA(DATA_JULIO_2025[AL_AC])/5),0)</f>
        <v>2</v>
      </c>
      <c r="O28" t="s">
        <v>3</v>
      </c>
      <c r="P28">
        <f>SUM(DATA_JULIO_2025[[#This Row],[1]:[31]])</f>
        <v>25562.98</v>
      </c>
      <c r="Q28">
        <v>65000</v>
      </c>
      <c r="R28" t="s">
        <v>28</v>
      </c>
      <c r="V28">
        <v>2500</v>
      </c>
      <c r="Z28">
        <v>4000</v>
      </c>
      <c r="AB28">
        <v>6799.98</v>
      </c>
      <c r="AP28">
        <v>1400</v>
      </c>
      <c r="AQ28">
        <v>7750</v>
      </c>
      <c r="AV28">
        <v>3113</v>
      </c>
      <c r="AX28" t="s">
        <v>155</v>
      </c>
    </row>
    <row r="29" spans="1:50" x14ac:dyDescent="0.25">
      <c r="A29" s="2" t="str">
        <f>D1_JULIO_2025[[#This Row],[SUPER2]]</f>
        <v>JORGE</v>
      </c>
      <c r="B29" s="2" t="s">
        <v>15</v>
      </c>
      <c r="C29" s="2">
        <f>VLOOKUP(D1_JULIO_2025[[#This Row],[SUPER]],DATA_JULIO_2025[[SUPERVISOR]:[META]],3,0)</f>
        <v>54000</v>
      </c>
      <c r="D29" s="2">
        <f>D1_JULIO_2025[[#This Row],[RECUPERO]]/C29</f>
        <v>0.41366666666666668</v>
      </c>
      <c r="E29" t="s">
        <v>2</v>
      </c>
      <c r="F29" t="s">
        <v>15</v>
      </c>
      <c r="G29">
        <v>22338</v>
      </c>
      <c r="H29" t="s">
        <v>410</v>
      </c>
      <c r="I29" s="55">
        <v>44735</v>
      </c>
      <c r="J29" t="s">
        <v>501</v>
      </c>
      <c r="L29" s="55"/>
      <c r="M29" s="1">
        <f>DATA_JULIO_2025[[#This Row],[RECUPERO]]/DATA_JULIO_2025[[#This Row],[META]]</f>
        <v>0.46605555555555556</v>
      </c>
      <c r="N29">
        <f>6-ROUNDUP(_xlfn.RANK.EQ(DATA_JULIO_2025[[#This Row],[AL_AC]],DATA_JULIO_2025[AL_AC],0)/(COUNTA(DATA_JULIO_2025[AL_AC])/5),0)</f>
        <v>2</v>
      </c>
      <c r="O29" t="s">
        <v>5</v>
      </c>
      <c r="P29">
        <f>SUM(DATA_JULIO_2025[[#This Row],[1]:[31]])</f>
        <v>25167</v>
      </c>
      <c r="Q29">
        <v>54000</v>
      </c>
      <c r="R29" t="s">
        <v>72</v>
      </c>
      <c r="S29">
        <v>316</v>
      </c>
      <c r="T29">
        <v>2264</v>
      </c>
      <c r="U29">
        <v>1100</v>
      </c>
      <c r="V29">
        <v>1000</v>
      </c>
      <c r="Y29">
        <v>1097</v>
      </c>
      <c r="AC29">
        <v>600</v>
      </c>
      <c r="AF29">
        <v>5000</v>
      </c>
      <c r="AH29">
        <v>200</v>
      </c>
      <c r="AI29">
        <v>1500</v>
      </c>
      <c r="AJ29">
        <v>637</v>
      </c>
      <c r="AM29">
        <v>219</v>
      </c>
      <c r="AQ29">
        <v>3000</v>
      </c>
      <c r="AV29">
        <v>900</v>
      </c>
      <c r="AW29">
        <v>7334</v>
      </c>
      <c r="AX29" t="s">
        <v>150</v>
      </c>
    </row>
    <row r="30" spans="1:50" x14ac:dyDescent="0.25">
      <c r="A30" s="2" t="str">
        <f>D1_JULIO_2025[[#This Row],[SUPER2]]</f>
        <v>JORGE</v>
      </c>
      <c r="B30" s="2" t="s">
        <v>14</v>
      </c>
      <c r="C30" s="2">
        <f>VLOOKUP(D1_JULIO_2025[[#This Row],[SUPER]],DATA_JULIO_2025[[SUPERVISOR]:[META]],3,0)</f>
        <v>54000</v>
      </c>
      <c r="D30" s="2">
        <f>D1_JULIO_2025[[#This Row],[RECUPERO]]/C30</f>
        <v>0.37775925925925924</v>
      </c>
      <c r="E30" t="s">
        <v>2</v>
      </c>
      <c r="F30" t="s">
        <v>14</v>
      </c>
      <c r="G30">
        <v>20399</v>
      </c>
      <c r="H30" t="s">
        <v>432</v>
      </c>
      <c r="I30" s="55">
        <v>45133</v>
      </c>
      <c r="J30" t="s">
        <v>501</v>
      </c>
      <c r="L30" s="55"/>
      <c r="M30" s="1">
        <f>DATA_JULIO_2025[[#This Row],[RECUPERO]]/DATA_JULIO_2025[[#This Row],[META]]</f>
        <v>1.2490876923076923</v>
      </c>
      <c r="N30">
        <f>6-ROUNDUP(_xlfn.RANK.EQ(DATA_JULIO_2025[[#This Row],[AL_AC]],DATA_JULIO_2025[AL_AC],0)/(COUNTA(DATA_JULIO_2025[AL_AC])/5),0)</f>
        <v>5</v>
      </c>
      <c r="O30" t="s">
        <v>3</v>
      </c>
      <c r="P30">
        <f>SUM(DATA_JULIO_2025[[#This Row],[1]:[31]])</f>
        <v>81190.7</v>
      </c>
      <c r="Q30">
        <v>65000</v>
      </c>
      <c r="R30" t="s">
        <v>22</v>
      </c>
      <c r="S30">
        <v>600</v>
      </c>
      <c r="T30">
        <v>700</v>
      </c>
      <c r="U30">
        <v>5910</v>
      </c>
      <c r="AA30">
        <v>5000</v>
      </c>
      <c r="AB30">
        <v>9000</v>
      </c>
      <c r="AC30">
        <v>27654.7</v>
      </c>
      <c r="AG30">
        <v>17300</v>
      </c>
      <c r="AH30">
        <v>600</v>
      </c>
      <c r="AM30">
        <v>5300</v>
      </c>
      <c r="AP30">
        <v>621</v>
      </c>
      <c r="AQ30">
        <v>700</v>
      </c>
      <c r="AV30">
        <v>4310</v>
      </c>
      <c r="AW30">
        <v>3495</v>
      </c>
      <c r="AX30" t="s">
        <v>155</v>
      </c>
    </row>
    <row r="31" spans="1:50" x14ac:dyDescent="0.25">
      <c r="A31" s="2" t="str">
        <f>D1_JULIO_2025[[#This Row],[SUPER2]]</f>
        <v>JORGE</v>
      </c>
      <c r="B31" s="2" t="s">
        <v>13</v>
      </c>
      <c r="C31" s="2">
        <f>VLOOKUP(D1_JULIO_2025[[#This Row],[SUPER]],DATA_JULIO_2025[[SUPERVISOR]:[META]],3,0)</f>
        <v>54000</v>
      </c>
      <c r="D31" s="2">
        <f>D1_JULIO_2025[[#This Row],[RECUPERO]]/C31</f>
        <v>0.3280925925925926</v>
      </c>
      <c r="E31" t="s">
        <v>2</v>
      </c>
      <c r="F31" t="s">
        <v>13</v>
      </c>
      <c r="G31">
        <v>17717</v>
      </c>
      <c r="H31" t="s">
        <v>382</v>
      </c>
      <c r="I31" s="55">
        <v>44811</v>
      </c>
      <c r="J31" t="s">
        <v>501</v>
      </c>
      <c r="L31" s="55"/>
      <c r="M31" s="1">
        <f>DATA_JULIO_2025[[#This Row],[RECUPERO]]/DATA_JULIO_2025[[#This Row],[META]]</f>
        <v>0.70020000000000004</v>
      </c>
      <c r="N31">
        <f>6-ROUNDUP(_xlfn.RANK.EQ(DATA_JULIO_2025[[#This Row],[AL_AC]],DATA_JULIO_2025[AL_AC],0)/(COUNTA(DATA_JULIO_2025[AL_AC])/5),0)</f>
        <v>4</v>
      </c>
      <c r="O31" t="s">
        <v>3</v>
      </c>
      <c r="P31">
        <f>SUM(DATA_JULIO_2025[[#This Row],[1]:[31]])</f>
        <v>45513</v>
      </c>
      <c r="Q31">
        <v>65000</v>
      </c>
      <c r="R31" t="s">
        <v>24</v>
      </c>
      <c r="Y31">
        <v>5500</v>
      </c>
      <c r="AA31">
        <v>1000</v>
      </c>
      <c r="AC31">
        <v>6500</v>
      </c>
      <c r="AF31">
        <v>1570</v>
      </c>
      <c r="AG31">
        <v>3700</v>
      </c>
      <c r="AH31">
        <v>600</v>
      </c>
      <c r="AJ31">
        <v>600</v>
      </c>
      <c r="AM31">
        <v>12500</v>
      </c>
      <c r="AQ31">
        <v>5665</v>
      </c>
      <c r="AS31">
        <v>218</v>
      </c>
      <c r="AW31">
        <v>7660</v>
      </c>
      <c r="AX31" t="s">
        <v>155</v>
      </c>
    </row>
    <row r="32" spans="1:50" x14ac:dyDescent="0.25">
      <c r="A32" s="2" t="str">
        <f>D1_JULIO_2025[[#This Row],[SUPER2]]</f>
        <v>JORGE</v>
      </c>
      <c r="B32" s="2" t="s">
        <v>86</v>
      </c>
      <c r="C32" s="2">
        <f>VLOOKUP(D1_JULIO_2025[[#This Row],[SUPER]],DATA_JULIO_2025[[SUPERVISOR]:[META]],3,0)</f>
        <v>54000</v>
      </c>
      <c r="D32" s="2">
        <f>D1_JULIO_2025[[#This Row],[RECUPERO]]/C32</f>
        <v>0.15901851851851853</v>
      </c>
      <c r="E32" t="s">
        <v>2</v>
      </c>
      <c r="F32" t="s">
        <v>86</v>
      </c>
      <c r="G32">
        <v>8587</v>
      </c>
      <c r="H32" t="s">
        <v>466</v>
      </c>
      <c r="I32" s="55">
        <v>45798</v>
      </c>
      <c r="J32" t="s">
        <v>501</v>
      </c>
      <c r="L32" s="55"/>
      <c r="M32" s="1">
        <f>DATA_JULIO_2025[[#This Row],[RECUPERO]]/DATA_JULIO_2025[[#This Row],[META]]</f>
        <v>1.7149032258064516</v>
      </c>
      <c r="N32">
        <f>6-ROUNDUP(_xlfn.RANK.EQ(DATA_JULIO_2025[[#This Row],[AL_AC]],DATA_JULIO_2025[AL_AC],0)/(COUNTA(DATA_JULIO_2025[AL_AC])/5),0)</f>
        <v>5</v>
      </c>
      <c r="O32" t="s">
        <v>7</v>
      </c>
      <c r="P32">
        <f>SUM(DATA_JULIO_2025[[#This Row],[1]:[31]])</f>
        <v>26581</v>
      </c>
      <c r="Q32">
        <v>15500</v>
      </c>
      <c r="R32" t="s">
        <v>105</v>
      </c>
      <c r="T32">
        <v>1650</v>
      </c>
      <c r="U32">
        <v>580</v>
      </c>
      <c r="V32">
        <v>300</v>
      </c>
      <c r="AA32">
        <v>750</v>
      </c>
      <c r="AD32">
        <v>0</v>
      </c>
      <c r="AF32">
        <v>3000</v>
      </c>
      <c r="AG32">
        <v>1467</v>
      </c>
      <c r="AI32">
        <v>2000</v>
      </c>
      <c r="AM32">
        <v>9500</v>
      </c>
      <c r="AV32">
        <v>1834</v>
      </c>
      <c r="AW32">
        <v>5500</v>
      </c>
      <c r="AX32" t="s">
        <v>152</v>
      </c>
    </row>
    <row r="33" spans="1:50" x14ac:dyDescent="0.25">
      <c r="A33" s="2" t="str">
        <f>D1_JULIO_2025[[#This Row],[SUPER2]]</f>
        <v>JORDAN</v>
      </c>
      <c r="B33" s="2" t="s">
        <v>67</v>
      </c>
      <c r="C33" s="2">
        <f>VLOOKUP(D1_JULIO_2025[[#This Row],[SUPER]],DATA_JULIO_2025[[SUPERVISOR]:[META]],3,0)</f>
        <v>54000</v>
      </c>
      <c r="D33" s="2">
        <f>D1_JULIO_2025[[#This Row],[RECUPERO]]/C33</f>
        <v>0.72612962962962968</v>
      </c>
      <c r="E33" t="s">
        <v>5</v>
      </c>
      <c r="F33" t="s">
        <v>67</v>
      </c>
      <c r="G33">
        <v>39211</v>
      </c>
      <c r="H33" t="s">
        <v>381</v>
      </c>
      <c r="I33" s="55">
        <v>44811</v>
      </c>
      <c r="J33" t="s">
        <v>501</v>
      </c>
      <c r="L33" s="55"/>
      <c r="M33" s="1">
        <f>DATA_JULIO_2025[[#This Row],[RECUPERO]]/DATA_JULIO_2025[[#This Row],[META]]</f>
        <v>1.3431481481481482</v>
      </c>
      <c r="N33">
        <f>6-ROUNDUP(_xlfn.RANK.EQ(DATA_JULIO_2025[[#This Row],[AL_AC]],DATA_JULIO_2025[AL_AC],0)/(COUNTA(DATA_JULIO_2025[AL_AC])/5),0)</f>
        <v>5</v>
      </c>
      <c r="O33" t="s">
        <v>2</v>
      </c>
      <c r="P33">
        <f>SUM(DATA_JULIO_2025[[#This Row],[1]:[31]])</f>
        <v>72530</v>
      </c>
      <c r="Q33">
        <v>54000</v>
      </c>
      <c r="R33" t="s">
        <v>16</v>
      </c>
      <c r="T33">
        <v>1300</v>
      </c>
      <c r="U33">
        <v>2530</v>
      </c>
      <c r="Y33">
        <v>600</v>
      </c>
      <c r="AA33">
        <v>7000</v>
      </c>
      <c r="AD33">
        <v>150</v>
      </c>
      <c r="AF33">
        <v>600</v>
      </c>
      <c r="AH33">
        <v>15600</v>
      </c>
      <c r="AJ33">
        <v>22000</v>
      </c>
      <c r="AM33">
        <v>100</v>
      </c>
      <c r="AP33">
        <v>5000</v>
      </c>
      <c r="AV33">
        <v>11200</v>
      </c>
      <c r="AW33">
        <v>6450</v>
      </c>
      <c r="AX33" t="s">
        <v>150</v>
      </c>
    </row>
    <row r="34" spans="1:50" x14ac:dyDescent="0.25">
      <c r="A34" s="2" t="str">
        <f>D1_JULIO_2025[[#This Row],[SUPER2]]</f>
        <v>JORDAN</v>
      </c>
      <c r="B34" s="2" t="s">
        <v>70</v>
      </c>
      <c r="C34" s="2">
        <f>VLOOKUP(D1_JULIO_2025[[#This Row],[SUPER]],DATA_JULIO_2025[[SUPERVISOR]:[META]],3,0)</f>
        <v>54000</v>
      </c>
      <c r="D34" s="2">
        <f>D1_JULIO_2025[[#This Row],[RECUPERO]]/C34</f>
        <v>0.54594444444444445</v>
      </c>
      <c r="E34" t="s">
        <v>5</v>
      </c>
      <c r="F34" t="s">
        <v>70</v>
      </c>
      <c r="G34">
        <v>29481</v>
      </c>
      <c r="H34" t="s">
        <v>418</v>
      </c>
      <c r="I34" s="55">
        <v>44971</v>
      </c>
      <c r="J34" t="s">
        <v>501</v>
      </c>
      <c r="L34" s="55"/>
      <c r="M34" s="1">
        <f>DATA_JULIO_2025[[#This Row],[RECUPERO]]/DATA_JULIO_2025[[#This Row],[META]]</f>
        <v>0.24923076923076923</v>
      </c>
      <c r="N34">
        <f>6-ROUNDUP(_xlfn.RANK.EQ(DATA_JULIO_2025[[#This Row],[AL_AC]],DATA_JULIO_2025[AL_AC],0)/(COUNTA(DATA_JULIO_2025[AL_AC])/5),0)</f>
        <v>1</v>
      </c>
      <c r="O34" t="s">
        <v>3</v>
      </c>
      <c r="P34">
        <f>SUM(DATA_JULIO_2025[[#This Row],[1]:[31]])</f>
        <v>16200</v>
      </c>
      <c r="Q34">
        <v>65000</v>
      </c>
      <c r="R34" t="s">
        <v>27</v>
      </c>
      <c r="S34">
        <v>800</v>
      </c>
      <c r="U34">
        <v>300</v>
      </c>
      <c r="Z34">
        <v>2000</v>
      </c>
      <c r="AJ34">
        <v>700</v>
      </c>
      <c r="AM34">
        <v>4000</v>
      </c>
      <c r="AN34">
        <v>1600</v>
      </c>
      <c r="AQ34">
        <v>800</v>
      </c>
      <c r="AV34">
        <v>6000</v>
      </c>
      <c r="AX34" t="s">
        <v>155</v>
      </c>
    </row>
    <row r="35" spans="1:50" x14ac:dyDescent="0.25">
      <c r="A35" s="2" t="str">
        <f>D1_JULIO_2025[[#This Row],[SUPER2]]</f>
        <v>JORDAN</v>
      </c>
      <c r="B35" s="2" t="s">
        <v>66</v>
      </c>
      <c r="C35" s="2">
        <f>VLOOKUP(D1_JULIO_2025[[#This Row],[SUPER]],DATA_JULIO_2025[[SUPERVISOR]:[META]],3,0)</f>
        <v>54000</v>
      </c>
      <c r="D35" s="2">
        <f>D1_JULIO_2025[[#This Row],[RECUPERO]]/C35</f>
        <v>0.50568518518518524</v>
      </c>
      <c r="E35" t="s">
        <v>5</v>
      </c>
      <c r="F35" t="s">
        <v>66</v>
      </c>
      <c r="G35">
        <v>27307</v>
      </c>
      <c r="H35" t="s">
        <v>383</v>
      </c>
      <c r="I35" s="55">
        <v>45457</v>
      </c>
      <c r="J35" t="s">
        <v>501</v>
      </c>
      <c r="L35" s="55"/>
      <c r="M35" s="1">
        <f>DATA_JULIO_2025[[#This Row],[RECUPERO]]/DATA_JULIO_2025[[#This Row],[META]]</f>
        <v>0.56653703703703706</v>
      </c>
      <c r="N35">
        <f>6-ROUNDUP(_xlfn.RANK.EQ(DATA_JULIO_2025[[#This Row],[AL_AC]],DATA_JULIO_2025[AL_AC],0)/(COUNTA(DATA_JULIO_2025[AL_AC])/5),0)</f>
        <v>3</v>
      </c>
      <c r="O35" t="s">
        <v>2</v>
      </c>
      <c r="P35">
        <f>SUM(DATA_JULIO_2025[[#This Row],[1]:[31]])</f>
        <v>30593</v>
      </c>
      <c r="Q35">
        <v>54000</v>
      </c>
      <c r="R35" t="s">
        <v>12</v>
      </c>
      <c r="U35">
        <v>310</v>
      </c>
      <c r="V35">
        <v>2265</v>
      </c>
      <c r="AA35">
        <v>10300</v>
      </c>
      <c r="AC35">
        <v>5474</v>
      </c>
      <c r="AF35">
        <v>4500</v>
      </c>
      <c r="AG35">
        <v>1000</v>
      </c>
      <c r="AH35">
        <v>974</v>
      </c>
      <c r="AI35">
        <v>100</v>
      </c>
      <c r="AJ35">
        <v>1460</v>
      </c>
      <c r="AM35">
        <v>550</v>
      </c>
      <c r="AN35">
        <v>350</v>
      </c>
      <c r="AP35">
        <v>1000</v>
      </c>
      <c r="AW35">
        <v>2310</v>
      </c>
      <c r="AX35" t="s">
        <v>150</v>
      </c>
    </row>
    <row r="36" spans="1:50" x14ac:dyDescent="0.25">
      <c r="A36" s="2" t="str">
        <f>D1_JULIO_2025[[#This Row],[SUPER2]]</f>
        <v>JORDAN</v>
      </c>
      <c r="B36" s="2" t="s">
        <v>72</v>
      </c>
      <c r="C36" s="2">
        <f>VLOOKUP(D1_JULIO_2025[[#This Row],[SUPER]],DATA_JULIO_2025[[SUPERVISOR]:[META]],3,0)</f>
        <v>54000</v>
      </c>
      <c r="D36" s="2">
        <f>D1_JULIO_2025[[#This Row],[RECUPERO]]/C36</f>
        <v>0.46605555555555556</v>
      </c>
      <c r="E36" t="s">
        <v>5</v>
      </c>
      <c r="F36" t="s">
        <v>72</v>
      </c>
      <c r="G36">
        <v>25167</v>
      </c>
      <c r="H36" t="s">
        <v>450</v>
      </c>
      <c r="I36" s="55">
        <v>45084</v>
      </c>
      <c r="J36" t="s">
        <v>501</v>
      </c>
      <c r="L36" s="55"/>
      <c r="M36" s="1">
        <f>DATA_JULIO_2025[[#This Row],[RECUPERO]]/DATA_JULIO_2025[[#This Row],[META]]</f>
        <v>0.53812903225806452</v>
      </c>
      <c r="N36">
        <f>6-ROUNDUP(_xlfn.RANK.EQ(DATA_JULIO_2025[[#This Row],[AL_AC]],DATA_JULIO_2025[AL_AC],0)/(COUNTA(DATA_JULIO_2025[AL_AC])/5),0)</f>
        <v>3</v>
      </c>
      <c r="O36" t="s">
        <v>9</v>
      </c>
      <c r="P36">
        <f>SUM(DATA_JULIO_2025[[#This Row],[1]:[31]])</f>
        <v>8341</v>
      </c>
      <c r="Q36">
        <v>15500</v>
      </c>
      <c r="R36" t="s">
        <v>51</v>
      </c>
      <c r="S36">
        <v>200</v>
      </c>
      <c r="T36">
        <v>400</v>
      </c>
      <c r="U36">
        <v>400</v>
      </c>
      <c r="Y36">
        <v>2031</v>
      </c>
      <c r="AB36">
        <v>200</v>
      </c>
      <c r="AC36">
        <v>500</v>
      </c>
      <c r="AI36">
        <v>250</v>
      </c>
      <c r="AP36">
        <v>100</v>
      </c>
      <c r="AQ36">
        <v>500</v>
      </c>
      <c r="AV36">
        <v>2200</v>
      </c>
      <c r="AW36">
        <v>1560</v>
      </c>
      <c r="AX36" t="s">
        <v>153</v>
      </c>
    </row>
    <row r="37" spans="1:50" x14ac:dyDescent="0.25">
      <c r="A37" s="2" t="str">
        <f>D1_JULIO_2025[[#This Row],[SUPER2]]</f>
        <v>JORDAN</v>
      </c>
      <c r="B37" s="2" t="s">
        <v>85</v>
      </c>
      <c r="C37" s="2">
        <f>VLOOKUP(D1_JULIO_2025[[#This Row],[SUPER]],DATA_JULIO_2025[[SUPERVISOR]:[META]],3,0)</f>
        <v>54000</v>
      </c>
      <c r="D37" s="2">
        <f>D1_JULIO_2025[[#This Row],[RECUPERO]]/C37</f>
        <v>0.4457962962962963</v>
      </c>
      <c r="E37" t="s">
        <v>5</v>
      </c>
      <c r="F37" t="s">
        <v>85</v>
      </c>
      <c r="G37">
        <v>24073</v>
      </c>
      <c r="H37" t="s">
        <v>380</v>
      </c>
      <c r="I37" s="55">
        <v>44811</v>
      </c>
      <c r="J37" t="s">
        <v>501</v>
      </c>
      <c r="L37" s="55"/>
      <c r="M37" s="1">
        <f>DATA_JULIO_2025[[#This Row],[RECUPERO]]/DATA_JULIO_2025[[#This Row],[META]]</f>
        <v>0.3280925925925926</v>
      </c>
      <c r="N37">
        <f>6-ROUNDUP(_xlfn.RANK.EQ(DATA_JULIO_2025[[#This Row],[AL_AC]],DATA_JULIO_2025[AL_AC],0)/(COUNTA(DATA_JULIO_2025[AL_AC])/5),0)</f>
        <v>1</v>
      </c>
      <c r="O37" t="s">
        <v>2</v>
      </c>
      <c r="P37">
        <f>SUM(DATA_JULIO_2025[[#This Row],[1]:[31]])</f>
        <v>17717</v>
      </c>
      <c r="Q37">
        <v>54000</v>
      </c>
      <c r="R37" t="s">
        <v>13</v>
      </c>
      <c r="S37">
        <v>600</v>
      </c>
      <c r="T37">
        <v>6000</v>
      </c>
      <c r="AI37">
        <v>500</v>
      </c>
      <c r="AJ37">
        <v>992</v>
      </c>
      <c r="AK37">
        <v>825</v>
      </c>
      <c r="AP37">
        <v>1000</v>
      </c>
      <c r="AV37">
        <v>5000</v>
      </c>
      <c r="AW37">
        <v>2800</v>
      </c>
      <c r="AX37" t="s">
        <v>150</v>
      </c>
    </row>
    <row r="38" spans="1:50" x14ac:dyDescent="0.25">
      <c r="A38" s="2" t="str">
        <f>D1_JULIO_2025[[#This Row],[SUPER2]]</f>
        <v>JORDAN</v>
      </c>
      <c r="B38" s="2" t="s">
        <v>71</v>
      </c>
      <c r="C38" s="2">
        <f>VLOOKUP(D1_JULIO_2025[[#This Row],[SUPER]],DATA_JULIO_2025[[SUPERVISOR]:[META]],3,0)</f>
        <v>54000</v>
      </c>
      <c r="D38" s="2">
        <f>D1_JULIO_2025[[#This Row],[RECUPERO]]/C38</f>
        <v>0.41438888888888886</v>
      </c>
      <c r="E38" t="s">
        <v>5</v>
      </c>
      <c r="F38" t="s">
        <v>71</v>
      </c>
      <c r="G38">
        <v>22377</v>
      </c>
      <c r="H38" t="s">
        <v>414</v>
      </c>
      <c r="I38" s="55">
        <v>45423</v>
      </c>
      <c r="J38" t="s">
        <v>501</v>
      </c>
      <c r="L38" s="55"/>
      <c r="M38" s="1">
        <f>DATA_JULIO_2025[[#This Row],[RECUPERO]]/DATA_JULIO_2025[[#This Row],[META]]</f>
        <v>0.42935769230769227</v>
      </c>
      <c r="N38">
        <f>6-ROUNDUP(_xlfn.RANK.EQ(DATA_JULIO_2025[[#This Row],[AL_AC]],DATA_JULIO_2025[AL_AC],0)/(COUNTA(DATA_JULIO_2025[AL_AC])/5),0)</f>
        <v>2</v>
      </c>
      <c r="O38" t="s">
        <v>6</v>
      </c>
      <c r="P38">
        <f>SUM(DATA_JULIO_2025[[#This Row],[1]:[31]])</f>
        <v>11163.3</v>
      </c>
      <c r="Q38">
        <v>26000</v>
      </c>
      <c r="R38" t="s">
        <v>32</v>
      </c>
      <c r="S38">
        <v>250</v>
      </c>
      <c r="Z38">
        <v>150</v>
      </c>
      <c r="AC38">
        <v>1000</v>
      </c>
      <c r="AG38">
        <v>700</v>
      </c>
      <c r="AH38">
        <v>777</v>
      </c>
      <c r="AJ38">
        <v>1900</v>
      </c>
      <c r="AN38">
        <v>385</v>
      </c>
      <c r="AQ38">
        <v>1041.3</v>
      </c>
      <c r="AV38">
        <v>1250</v>
      </c>
      <c r="AW38">
        <v>3710</v>
      </c>
      <c r="AX38" t="s">
        <v>156</v>
      </c>
    </row>
    <row r="39" spans="1:50" x14ac:dyDescent="0.25">
      <c r="A39" s="2" t="str">
        <f>D1_JULIO_2025[[#This Row],[SUPER2]]</f>
        <v>JORDAN</v>
      </c>
      <c r="B39" s="2" t="s">
        <v>68</v>
      </c>
      <c r="C39" s="2">
        <f>VLOOKUP(D1_JULIO_2025[[#This Row],[SUPER]],DATA_JULIO_2025[[SUPERVISOR]:[META]],3,0)</f>
        <v>54000</v>
      </c>
      <c r="D39" s="2">
        <f>D1_JULIO_2025[[#This Row],[RECUPERO]]/C39</f>
        <v>0.37994444444444442</v>
      </c>
      <c r="E39" t="s">
        <v>5</v>
      </c>
      <c r="F39" t="s">
        <v>68</v>
      </c>
      <c r="G39">
        <v>20517</v>
      </c>
      <c r="H39" t="s">
        <v>440</v>
      </c>
      <c r="I39" s="55">
        <v>45364</v>
      </c>
      <c r="J39" t="s">
        <v>501</v>
      </c>
      <c r="L39" s="55"/>
      <c r="M39" s="1">
        <f>DATA_JULIO_2025[[#This Row],[RECUPERO]]/DATA_JULIO_2025[[#This Row],[META]]</f>
        <v>0.50568518518518524</v>
      </c>
      <c r="N39">
        <f>6-ROUNDUP(_xlfn.RANK.EQ(DATA_JULIO_2025[[#This Row],[AL_AC]],DATA_JULIO_2025[AL_AC],0)/(COUNTA(DATA_JULIO_2025[AL_AC])/5),0)</f>
        <v>2</v>
      </c>
      <c r="O39" t="s">
        <v>5</v>
      </c>
      <c r="P39">
        <f>SUM(DATA_JULIO_2025[[#This Row],[1]:[31]])</f>
        <v>27307</v>
      </c>
      <c r="Q39">
        <v>54000</v>
      </c>
      <c r="R39" t="s">
        <v>66</v>
      </c>
      <c r="S39">
        <v>1600</v>
      </c>
      <c r="AA39">
        <v>1540</v>
      </c>
      <c r="AC39">
        <v>2300</v>
      </c>
      <c r="AD39">
        <v>295</v>
      </c>
      <c r="AF39">
        <v>6500</v>
      </c>
      <c r="AG39">
        <v>1800</v>
      </c>
      <c r="AH39">
        <v>0</v>
      </c>
      <c r="AJ39">
        <v>580</v>
      </c>
      <c r="AM39">
        <v>3938</v>
      </c>
      <c r="AP39">
        <v>1795</v>
      </c>
      <c r="AQ39">
        <v>1853</v>
      </c>
      <c r="AS39">
        <v>700</v>
      </c>
      <c r="AV39">
        <v>4406</v>
      </c>
      <c r="AX39" t="s">
        <v>150</v>
      </c>
    </row>
    <row r="40" spans="1:50" x14ac:dyDescent="0.25">
      <c r="A40" s="2" t="str">
        <f>D1_JULIO_2025[[#This Row],[SUPER2]]</f>
        <v>JORDAN</v>
      </c>
      <c r="B40" s="2" t="s">
        <v>69</v>
      </c>
      <c r="C40" s="2">
        <f>VLOOKUP(D1_JULIO_2025[[#This Row],[SUPER]],DATA_JULIO_2025[[SUPERVISOR]:[META]],3,0)</f>
        <v>54000</v>
      </c>
      <c r="D40" s="2">
        <f>D1_JULIO_2025[[#This Row],[RECUPERO]]/C40</f>
        <v>0.26178703703703704</v>
      </c>
      <c r="E40" t="s">
        <v>5</v>
      </c>
      <c r="F40" t="s">
        <v>69</v>
      </c>
      <c r="G40">
        <v>14136.5</v>
      </c>
      <c r="H40" t="s">
        <v>379</v>
      </c>
      <c r="I40" s="55">
        <v>44461</v>
      </c>
      <c r="J40" t="s">
        <v>501</v>
      </c>
      <c r="L40" s="55"/>
      <c r="M40" s="1">
        <f>DATA_JULIO_2025[[#This Row],[RECUPERO]]/DATA_JULIO_2025[[#This Row],[META]]</f>
        <v>0.7246129032258064</v>
      </c>
      <c r="N40">
        <f>6-ROUNDUP(_xlfn.RANK.EQ(DATA_JULIO_2025[[#This Row],[AL_AC]],DATA_JULIO_2025[AL_AC],0)/(COUNTA(DATA_JULIO_2025[AL_AC])/5),0)</f>
        <v>4</v>
      </c>
      <c r="O40" t="s">
        <v>8</v>
      </c>
      <c r="P40">
        <f>SUM(DATA_JULIO_2025[[#This Row],[1]:[31]])</f>
        <v>11231.5</v>
      </c>
      <c r="Q40">
        <v>15500</v>
      </c>
      <c r="R40" t="s">
        <v>44</v>
      </c>
      <c r="S40">
        <v>300</v>
      </c>
      <c r="T40">
        <v>330</v>
      </c>
      <c r="U40">
        <v>600</v>
      </c>
      <c r="V40">
        <v>150</v>
      </c>
      <c r="Y40">
        <v>630</v>
      </c>
      <c r="Z40">
        <v>1410</v>
      </c>
      <c r="AA40">
        <v>300</v>
      </c>
      <c r="AG40">
        <v>50</v>
      </c>
      <c r="AH40">
        <v>500</v>
      </c>
      <c r="AI40">
        <v>400</v>
      </c>
      <c r="AJ40">
        <v>1311</v>
      </c>
      <c r="AM40">
        <v>1150</v>
      </c>
      <c r="AP40">
        <v>792.5</v>
      </c>
      <c r="AQ40">
        <v>2226</v>
      </c>
      <c r="AV40">
        <v>284</v>
      </c>
      <c r="AW40">
        <v>798</v>
      </c>
      <c r="AX40" t="s">
        <v>153</v>
      </c>
    </row>
    <row r="41" spans="1:50" x14ac:dyDescent="0.25">
      <c r="A41" s="2" t="str">
        <f>D1_JULIO_2025[[#This Row],[SUPER2]]</f>
        <v>JORDAN</v>
      </c>
      <c r="B41" s="2" t="s">
        <v>79</v>
      </c>
      <c r="C41" s="2">
        <f>VLOOKUP(D1_JULIO_2025[[#This Row],[SUPER]],DATA_JULIO_2025[[SUPERVISOR]:[META]],3,0)</f>
        <v>54000</v>
      </c>
      <c r="D41" s="2">
        <f>D1_JULIO_2025[[#This Row],[RECUPERO]]/C41</f>
        <v>0.22816666666666666</v>
      </c>
      <c r="E41" t="s">
        <v>5</v>
      </c>
      <c r="F41" t="s">
        <v>79</v>
      </c>
      <c r="G41">
        <v>12321</v>
      </c>
      <c r="H41" t="s">
        <v>453</v>
      </c>
      <c r="I41" s="55">
        <v>44566</v>
      </c>
      <c r="J41" t="s">
        <v>501</v>
      </c>
      <c r="L41" s="55"/>
      <c r="M41" s="1">
        <f>DATA_JULIO_2025[[#This Row],[RECUPERO]]/DATA_JULIO_2025[[#This Row],[META]]</f>
        <v>0.41438888888888886</v>
      </c>
      <c r="N41">
        <f>6-ROUNDUP(_xlfn.RANK.EQ(DATA_JULIO_2025[[#This Row],[AL_AC]],DATA_JULIO_2025[AL_AC],0)/(COUNTA(DATA_JULIO_2025[AL_AC])/5),0)</f>
        <v>2</v>
      </c>
      <c r="O41" t="s">
        <v>5</v>
      </c>
      <c r="P41">
        <f>SUM(DATA_JULIO_2025[[#This Row],[1]:[31]])</f>
        <v>22377</v>
      </c>
      <c r="Q41">
        <v>54000</v>
      </c>
      <c r="R41" t="s">
        <v>71</v>
      </c>
      <c r="T41">
        <v>1010</v>
      </c>
      <c r="Z41">
        <v>2629</v>
      </c>
      <c r="AC41">
        <v>3250</v>
      </c>
      <c r="AF41">
        <v>9000</v>
      </c>
      <c r="AG41">
        <v>1600</v>
      </c>
      <c r="AI41">
        <v>1130</v>
      </c>
      <c r="AJ41">
        <v>2000</v>
      </c>
      <c r="AM41">
        <v>200</v>
      </c>
      <c r="AV41">
        <v>1558</v>
      </c>
      <c r="AX41" t="s">
        <v>150</v>
      </c>
    </row>
    <row r="42" spans="1:50" x14ac:dyDescent="0.25">
      <c r="A42" s="2" t="str">
        <f>D1_JULIO_2025[[#This Row],[SUPER2]]</f>
        <v>KENNETH</v>
      </c>
      <c r="B42" s="2" t="s">
        <v>31</v>
      </c>
      <c r="C42" s="2">
        <f>VLOOKUP(D1_JULIO_2025[[#This Row],[SUPER]],DATA_JULIO_2025[[SUPERVISOR]:[META]],3,0)</f>
        <v>26000</v>
      </c>
      <c r="D42" s="2">
        <f>D1_JULIO_2025[[#This Row],[RECUPERO]]/C42</f>
        <v>2.4996923076923077</v>
      </c>
      <c r="E42" t="s">
        <v>6</v>
      </c>
      <c r="F42" t="s">
        <v>31</v>
      </c>
      <c r="G42">
        <v>64992</v>
      </c>
      <c r="H42" t="s">
        <v>403</v>
      </c>
      <c r="I42" s="55">
        <v>45334</v>
      </c>
      <c r="J42" t="s">
        <v>501</v>
      </c>
      <c r="L42" s="55"/>
      <c r="M42" s="1">
        <f>DATA_JULIO_2025[[#This Row],[RECUPERO]]/DATA_JULIO_2025[[#This Row],[META]]</f>
        <v>0.57270967741935486</v>
      </c>
      <c r="N42">
        <f>6-ROUNDUP(_xlfn.RANK.EQ(DATA_JULIO_2025[[#This Row],[AL_AC]],DATA_JULIO_2025[AL_AC],0)/(COUNTA(DATA_JULIO_2025[AL_AC])/5),0)</f>
        <v>3</v>
      </c>
      <c r="O42" t="s">
        <v>8</v>
      </c>
      <c r="P42">
        <f>SUM(DATA_JULIO_2025[[#This Row],[1]:[31]])</f>
        <v>8877</v>
      </c>
      <c r="Q42">
        <v>15500</v>
      </c>
      <c r="R42" t="s">
        <v>42</v>
      </c>
      <c r="S42">
        <v>400</v>
      </c>
      <c r="U42">
        <v>2000</v>
      </c>
      <c r="Z42">
        <v>250</v>
      </c>
      <c r="AA42">
        <v>2800</v>
      </c>
      <c r="AG42">
        <v>400</v>
      </c>
      <c r="AH42">
        <v>400</v>
      </c>
      <c r="AP42">
        <v>500</v>
      </c>
      <c r="AV42">
        <v>1500</v>
      </c>
      <c r="AW42">
        <v>627</v>
      </c>
      <c r="AX42" t="s">
        <v>153</v>
      </c>
    </row>
    <row r="43" spans="1:50" x14ac:dyDescent="0.25">
      <c r="A43" s="2" t="str">
        <f>D1_JULIO_2025[[#This Row],[SUPER2]]</f>
        <v>KENNETH</v>
      </c>
      <c r="B43" s="2" t="s">
        <v>78</v>
      </c>
      <c r="C43" s="2">
        <f>VLOOKUP(D1_JULIO_2025[[#This Row],[SUPER]],DATA_JULIO_2025[[SUPERVISOR]:[META]],3,0)</f>
        <v>26000</v>
      </c>
      <c r="D43" s="2">
        <f>D1_JULIO_2025[[#This Row],[RECUPERO]]/C43</f>
        <v>2.1562692307692308</v>
      </c>
      <c r="E43" t="s">
        <v>6</v>
      </c>
      <c r="F43" t="s">
        <v>78</v>
      </c>
      <c r="G43">
        <v>56063</v>
      </c>
      <c r="H43" t="s">
        <v>397</v>
      </c>
      <c r="I43" s="55">
        <v>44945</v>
      </c>
      <c r="J43" t="s">
        <v>501</v>
      </c>
      <c r="L43" s="55"/>
      <c r="M43" s="1">
        <f>DATA_JULIO_2025[[#This Row],[RECUPERO]]/DATA_JULIO_2025[[#This Row],[META]]</f>
        <v>0.5776129032258065</v>
      </c>
      <c r="N43">
        <f>6-ROUNDUP(_xlfn.RANK.EQ(DATA_JULIO_2025[[#This Row],[AL_AC]],DATA_JULIO_2025[AL_AC],0)/(COUNTA(DATA_JULIO_2025[AL_AC])/5),0)</f>
        <v>3</v>
      </c>
      <c r="O43" t="s">
        <v>8</v>
      </c>
      <c r="P43">
        <f>SUM(DATA_JULIO_2025[[#This Row],[1]:[31]])</f>
        <v>8953</v>
      </c>
      <c r="Q43">
        <v>15500</v>
      </c>
      <c r="R43" t="s">
        <v>83</v>
      </c>
      <c r="S43">
        <v>100</v>
      </c>
      <c r="T43">
        <v>500</v>
      </c>
      <c r="W43">
        <v>186</v>
      </c>
      <c r="AG43">
        <v>200</v>
      </c>
      <c r="AH43">
        <v>1335</v>
      </c>
      <c r="AJ43">
        <v>1739</v>
      </c>
      <c r="AM43">
        <v>250</v>
      </c>
      <c r="AN43">
        <v>1500</v>
      </c>
      <c r="AO43">
        <v>200</v>
      </c>
      <c r="AQ43">
        <v>150</v>
      </c>
      <c r="AU43">
        <v>400</v>
      </c>
      <c r="AV43">
        <v>700</v>
      </c>
      <c r="AW43">
        <v>1693</v>
      </c>
      <c r="AX43" t="s">
        <v>153</v>
      </c>
    </row>
    <row r="44" spans="1:50" x14ac:dyDescent="0.25">
      <c r="A44" s="2" t="str">
        <f>D1_JULIO_2025[[#This Row],[SUPER2]]</f>
        <v>KENNETH</v>
      </c>
      <c r="B44" s="2" t="s">
        <v>35</v>
      </c>
      <c r="C44" s="2">
        <f>VLOOKUP(D1_JULIO_2025[[#This Row],[SUPER]],DATA_JULIO_2025[[SUPERVISOR]:[META]],3,0)</f>
        <v>26000</v>
      </c>
      <c r="D44" s="2">
        <f>D1_JULIO_2025[[#This Row],[RECUPERO]]/C44</f>
        <v>1.3675730769230769</v>
      </c>
      <c r="E44" t="s">
        <v>6</v>
      </c>
      <c r="F44" t="s">
        <v>35</v>
      </c>
      <c r="G44">
        <v>35556.9</v>
      </c>
      <c r="H44" t="s">
        <v>401</v>
      </c>
      <c r="I44" s="55">
        <v>44748</v>
      </c>
      <c r="J44" t="s">
        <v>501</v>
      </c>
      <c r="L44" s="55"/>
      <c r="M44" s="1">
        <f>DATA_JULIO_2025[[#This Row],[RECUPERO]]/DATA_JULIO_2025[[#This Row],[META]]</f>
        <v>0.50055384615384613</v>
      </c>
      <c r="N44">
        <f>6-ROUNDUP(_xlfn.RANK.EQ(DATA_JULIO_2025[[#This Row],[AL_AC]],DATA_JULIO_2025[AL_AC],0)/(COUNTA(DATA_JULIO_2025[AL_AC])/5),0)</f>
        <v>2</v>
      </c>
      <c r="O44" t="s">
        <v>4</v>
      </c>
      <c r="P44">
        <f>SUM(DATA_JULIO_2025[[#This Row],[1]:[31]])</f>
        <v>32536</v>
      </c>
      <c r="Q44">
        <v>65000</v>
      </c>
      <c r="R44" t="s">
        <v>57</v>
      </c>
      <c r="S44">
        <v>213</v>
      </c>
      <c r="T44">
        <v>216</v>
      </c>
      <c r="AM44">
        <v>7600</v>
      </c>
      <c r="AN44">
        <v>10000</v>
      </c>
      <c r="AQ44">
        <v>600</v>
      </c>
      <c r="AV44">
        <v>943</v>
      </c>
      <c r="AW44">
        <v>12964</v>
      </c>
      <c r="AX44" t="s">
        <v>155</v>
      </c>
    </row>
    <row r="45" spans="1:50" x14ac:dyDescent="0.25">
      <c r="A45" s="2" t="str">
        <f>D1_JULIO_2025[[#This Row],[SUPER2]]</f>
        <v>KENNETH</v>
      </c>
      <c r="B45" s="2" t="s">
        <v>33</v>
      </c>
      <c r="C45" s="2">
        <f>VLOOKUP(D1_JULIO_2025[[#This Row],[SUPER]],DATA_JULIO_2025[[SUPERVISOR]:[META]],3,0)</f>
        <v>26000</v>
      </c>
      <c r="D45" s="2">
        <f>D1_JULIO_2025[[#This Row],[RECUPERO]]/C45</f>
        <v>1.2695000000000001</v>
      </c>
      <c r="E45" t="s">
        <v>6</v>
      </c>
      <c r="F45" t="s">
        <v>33</v>
      </c>
      <c r="G45">
        <v>33007</v>
      </c>
      <c r="H45" t="s">
        <v>439</v>
      </c>
      <c r="I45" s="55">
        <v>44869</v>
      </c>
      <c r="J45" t="s">
        <v>501</v>
      </c>
      <c r="L45" s="55"/>
      <c r="M45" s="1">
        <f>DATA_JULIO_2025[[#This Row],[RECUPERO]]/DATA_JULIO_2025[[#This Row],[META]]</f>
        <v>0.80838709677419351</v>
      </c>
      <c r="N45">
        <f>6-ROUNDUP(_xlfn.RANK.EQ(DATA_JULIO_2025[[#This Row],[AL_AC]],DATA_JULIO_2025[AL_AC],0)/(COUNTA(DATA_JULIO_2025[AL_AC])/5),0)</f>
        <v>4</v>
      </c>
      <c r="O45" t="s">
        <v>9</v>
      </c>
      <c r="P45">
        <f>SUM(DATA_JULIO_2025[[#This Row],[1]:[31]])</f>
        <v>12530</v>
      </c>
      <c r="Q45">
        <v>15500</v>
      </c>
      <c r="R45" t="s">
        <v>49</v>
      </c>
      <c r="S45">
        <v>250</v>
      </c>
      <c r="T45">
        <v>400</v>
      </c>
      <c r="U45">
        <v>700</v>
      </c>
      <c r="V45">
        <v>50</v>
      </c>
      <c r="Y45">
        <v>700</v>
      </c>
      <c r="Z45">
        <v>1500</v>
      </c>
      <c r="AA45">
        <v>180</v>
      </c>
      <c r="AC45">
        <v>200</v>
      </c>
      <c r="AF45">
        <v>350</v>
      </c>
      <c r="AG45">
        <v>1400</v>
      </c>
      <c r="AH45">
        <v>200</v>
      </c>
      <c r="AI45">
        <v>200</v>
      </c>
      <c r="AJ45">
        <v>2000</v>
      </c>
      <c r="AK45">
        <v>1000</v>
      </c>
      <c r="AN45">
        <v>200</v>
      </c>
      <c r="AQ45">
        <v>3000</v>
      </c>
      <c r="AV45">
        <v>200</v>
      </c>
      <c r="AX45" t="s">
        <v>153</v>
      </c>
    </row>
    <row r="46" spans="1:50" x14ac:dyDescent="0.25">
      <c r="A46" s="2" t="str">
        <f>D1_JULIO_2025[[#This Row],[SUPER2]]</f>
        <v>KENNETH</v>
      </c>
      <c r="B46" s="2" t="s">
        <v>36</v>
      </c>
      <c r="C46" s="2">
        <f>VLOOKUP(D1_JULIO_2025[[#This Row],[SUPER]],DATA_JULIO_2025[[SUPERVISOR]:[META]],3,0)</f>
        <v>26000</v>
      </c>
      <c r="D46" s="2">
        <f>D1_JULIO_2025[[#This Row],[RECUPERO]]/C46</f>
        <v>1.0028846153846154</v>
      </c>
      <c r="E46" t="s">
        <v>6</v>
      </c>
      <c r="F46" t="s">
        <v>36</v>
      </c>
      <c r="G46">
        <v>26075</v>
      </c>
      <c r="H46" t="s">
        <v>406</v>
      </c>
      <c r="I46" s="55">
        <v>44941</v>
      </c>
      <c r="J46" t="s">
        <v>501</v>
      </c>
      <c r="L46" s="55"/>
      <c r="M46" s="1">
        <f>DATA_JULIO_2025[[#This Row],[RECUPERO]]/DATA_JULIO_2025[[#This Row],[META]]</f>
        <v>0.54392307692307695</v>
      </c>
      <c r="N46">
        <f>6-ROUNDUP(_xlfn.RANK.EQ(DATA_JULIO_2025[[#This Row],[AL_AC]],DATA_JULIO_2025[AL_AC],0)/(COUNTA(DATA_JULIO_2025[AL_AC])/5),0)</f>
        <v>3</v>
      </c>
      <c r="O46" t="s">
        <v>3</v>
      </c>
      <c r="P46">
        <f>SUM(DATA_JULIO_2025[[#This Row],[1]:[31]])</f>
        <v>35355</v>
      </c>
      <c r="Q46">
        <v>65000</v>
      </c>
      <c r="R46" t="s">
        <v>26</v>
      </c>
      <c r="V46">
        <v>450</v>
      </c>
      <c r="AA46">
        <v>200</v>
      </c>
      <c r="AB46">
        <v>4000</v>
      </c>
      <c r="AF46">
        <v>5700</v>
      </c>
      <c r="AG46">
        <v>4291</v>
      </c>
      <c r="AJ46">
        <v>2000</v>
      </c>
      <c r="AM46">
        <v>700</v>
      </c>
      <c r="AN46">
        <v>1500</v>
      </c>
      <c r="AP46">
        <v>4700</v>
      </c>
      <c r="AQ46">
        <v>1000</v>
      </c>
      <c r="AU46">
        <v>300</v>
      </c>
      <c r="AV46">
        <v>8014</v>
      </c>
      <c r="AW46">
        <v>2500</v>
      </c>
      <c r="AX46" t="s">
        <v>155</v>
      </c>
    </row>
    <row r="47" spans="1:50" x14ac:dyDescent="0.25">
      <c r="A47" s="2" t="str">
        <f>D1_JULIO_2025[[#This Row],[SUPER2]]</f>
        <v>KENNETH</v>
      </c>
      <c r="B47" s="2" t="s">
        <v>34</v>
      </c>
      <c r="C47" s="2">
        <f>VLOOKUP(D1_JULIO_2025[[#This Row],[SUPER]],DATA_JULIO_2025[[SUPERVISOR]:[META]],3,0)</f>
        <v>26000</v>
      </c>
      <c r="D47" s="2">
        <f>D1_JULIO_2025[[#This Row],[RECUPERO]]/C47</f>
        <v>0.85</v>
      </c>
      <c r="E47" t="s">
        <v>6</v>
      </c>
      <c r="F47" t="s">
        <v>34</v>
      </c>
      <c r="G47">
        <v>22100</v>
      </c>
      <c r="H47" t="s">
        <v>407</v>
      </c>
      <c r="I47" s="55">
        <v>45175</v>
      </c>
      <c r="J47" t="s">
        <v>501</v>
      </c>
      <c r="L47" s="55"/>
      <c r="M47" s="1">
        <f>DATA_JULIO_2025[[#This Row],[RECUPERO]]/DATA_JULIO_2025[[#This Row],[META]]</f>
        <v>0.48635384615384614</v>
      </c>
      <c r="N47">
        <f>6-ROUNDUP(_xlfn.RANK.EQ(DATA_JULIO_2025[[#This Row],[AL_AC]],DATA_JULIO_2025[AL_AC],0)/(COUNTA(DATA_JULIO_2025[AL_AC])/5),0)</f>
        <v>2</v>
      </c>
      <c r="O47" t="s">
        <v>4</v>
      </c>
      <c r="P47">
        <f>SUM(DATA_JULIO_2025[[#This Row],[1]:[31]])</f>
        <v>31613</v>
      </c>
      <c r="Q47">
        <v>65000</v>
      </c>
      <c r="R47" t="s">
        <v>65</v>
      </c>
      <c r="T47">
        <v>1405</v>
      </c>
      <c r="U47">
        <v>1000</v>
      </c>
      <c r="Y47">
        <v>646</v>
      </c>
      <c r="AA47">
        <v>650</v>
      </c>
      <c r="AC47">
        <v>600</v>
      </c>
      <c r="AD47">
        <v>1950</v>
      </c>
      <c r="AF47">
        <v>1500</v>
      </c>
      <c r="AG47">
        <v>3500</v>
      </c>
      <c r="AH47">
        <v>500</v>
      </c>
      <c r="AI47">
        <v>836</v>
      </c>
      <c r="AJ47">
        <v>2300</v>
      </c>
      <c r="AM47">
        <v>7000</v>
      </c>
      <c r="AQ47">
        <v>816</v>
      </c>
      <c r="AS47">
        <v>1992</v>
      </c>
      <c r="AW47">
        <v>6918</v>
      </c>
      <c r="AX47" t="s">
        <v>155</v>
      </c>
    </row>
    <row r="48" spans="1:50" x14ac:dyDescent="0.25">
      <c r="A48" s="2" t="str">
        <f>D1_JULIO_2025[[#This Row],[SUPER2]]</f>
        <v>KENNETH</v>
      </c>
      <c r="B48" s="2" t="s">
        <v>37</v>
      </c>
      <c r="C48" s="2">
        <f>VLOOKUP(D1_JULIO_2025[[#This Row],[SUPER]],DATA_JULIO_2025[[SUPERVISOR]:[META]],3,0)</f>
        <v>26000</v>
      </c>
      <c r="D48" s="2">
        <f>D1_JULIO_2025[[#This Row],[RECUPERO]]/C48</f>
        <v>0.69415384615384612</v>
      </c>
      <c r="E48" t="s">
        <v>6</v>
      </c>
      <c r="F48" t="s">
        <v>37</v>
      </c>
      <c r="G48">
        <v>18048</v>
      </c>
      <c r="H48" t="s">
        <v>400</v>
      </c>
      <c r="I48" s="55">
        <v>43132</v>
      </c>
      <c r="J48" t="s">
        <v>501</v>
      </c>
      <c r="L48" s="55"/>
      <c r="M48" s="1">
        <f>DATA_JULIO_2025[[#This Row],[RECUPERO]]/DATA_JULIO_2025[[#This Row],[META]]</f>
        <v>0.23</v>
      </c>
      <c r="N48">
        <f>6-ROUNDUP(_xlfn.RANK.EQ(DATA_JULIO_2025[[#This Row],[AL_AC]],DATA_JULIO_2025[AL_AC],0)/(COUNTA(DATA_JULIO_2025[AL_AC])/5),0)</f>
        <v>1</v>
      </c>
      <c r="O48" t="s">
        <v>7</v>
      </c>
      <c r="P48">
        <f>SUM(DATA_JULIO_2025[[#This Row],[1]:[31]])</f>
        <v>3565</v>
      </c>
      <c r="Q48">
        <v>15500</v>
      </c>
      <c r="R48" t="s">
        <v>20</v>
      </c>
      <c r="Y48">
        <v>500</v>
      </c>
      <c r="AG48">
        <v>2565</v>
      </c>
      <c r="AQ48">
        <v>500</v>
      </c>
      <c r="AX48" t="s">
        <v>152</v>
      </c>
    </row>
    <row r="49" spans="1:50" x14ac:dyDescent="0.25">
      <c r="A49" s="2" t="str">
        <f>D1_JULIO_2025[[#This Row],[SUPER2]]</f>
        <v>KENNETH</v>
      </c>
      <c r="B49" s="2" t="s">
        <v>38</v>
      </c>
      <c r="C49" s="2">
        <f>VLOOKUP(D1_JULIO_2025[[#This Row],[SUPER]],DATA_JULIO_2025[[SUPERVISOR]:[META]],3,0)</f>
        <v>26000</v>
      </c>
      <c r="D49" s="2">
        <f>D1_JULIO_2025[[#This Row],[RECUPERO]]/C49</f>
        <v>0.69242307692307692</v>
      </c>
      <c r="E49" t="s">
        <v>6</v>
      </c>
      <c r="F49" t="s">
        <v>38</v>
      </c>
      <c r="G49">
        <v>18003</v>
      </c>
      <c r="H49" t="s">
        <v>469</v>
      </c>
      <c r="I49" s="55">
        <v>45805</v>
      </c>
      <c r="J49" t="s">
        <v>501</v>
      </c>
      <c r="L49" s="55"/>
      <c r="M49" s="1">
        <f>DATA_JULIO_2025[[#This Row],[RECUPERO]]/DATA_JULIO_2025[[#This Row],[META]]</f>
        <v>0.69415384615384612</v>
      </c>
      <c r="N49">
        <f>6-ROUNDUP(_xlfn.RANK.EQ(DATA_JULIO_2025[[#This Row],[AL_AC]],DATA_JULIO_2025[AL_AC],0)/(COUNTA(DATA_JULIO_2025[AL_AC])/5),0)</f>
        <v>3</v>
      </c>
      <c r="O49" t="s">
        <v>6</v>
      </c>
      <c r="P49">
        <f>SUM(DATA_JULIO_2025[[#This Row],[1]:[31]])</f>
        <v>18048</v>
      </c>
      <c r="Q49">
        <v>26000</v>
      </c>
      <c r="R49" t="s">
        <v>37</v>
      </c>
      <c r="U49">
        <v>7000</v>
      </c>
      <c r="Y49">
        <v>827</v>
      </c>
      <c r="Z49">
        <v>50</v>
      </c>
      <c r="AA49">
        <v>50</v>
      </c>
      <c r="AC49">
        <v>2900</v>
      </c>
      <c r="AG49">
        <v>2300</v>
      </c>
      <c r="AH49">
        <v>375.5</v>
      </c>
      <c r="AI49">
        <v>3000</v>
      </c>
      <c r="AM49">
        <v>170</v>
      </c>
      <c r="AQ49">
        <v>500</v>
      </c>
      <c r="AS49">
        <v>500</v>
      </c>
      <c r="AW49">
        <v>375.5</v>
      </c>
      <c r="AX49" t="s">
        <v>156</v>
      </c>
    </row>
    <row r="50" spans="1:50" x14ac:dyDescent="0.25">
      <c r="A50" s="2" t="str">
        <f>D1_JULIO_2025[[#This Row],[SUPER2]]</f>
        <v>KENNETH</v>
      </c>
      <c r="B50" s="2" t="s">
        <v>40</v>
      </c>
      <c r="C50" s="2">
        <f>VLOOKUP(D1_JULIO_2025[[#This Row],[SUPER]],DATA_JULIO_2025[[SUPERVISOR]:[META]],3,0)</f>
        <v>26000</v>
      </c>
      <c r="D50" s="2">
        <f>D1_JULIO_2025[[#This Row],[RECUPERO]]/C50</f>
        <v>0.59030769230769231</v>
      </c>
      <c r="E50" t="s">
        <v>6</v>
      </c>
      <c r="F50" t="s">
        <v>40</v>
      </c>
      <c r="G50">
        <v>15348</v>
      </c>
      <c r="H50" t="s">
        <v>424</v>
      </c>
      <c r="I50" s="55">
        <v>45429</v>
      </c>
      <c r="J50" t="s">
        <v>501</v>
      </c>
      <c r="L50" s="55"/>
      <c r="M50" s="1">
        <f>DATA_JULIO_2025[[#This Row],[RECUPERO]]/DATA_JULIO_2025[[#This Row],[META]]</f>
        <v>0.30193548387096775</v>
      </c>
      <c r="N50">
        <f>6-ROUNDUP(_xlfn.RANK.EQ(DATA_JULIO_2025[[#This Row],[AL_AC]],DATA_JULIO_2025[AL_AC],0)/(COUNTA(DATA_JULIO_2025[AL_AC])/5),0)</f>
        <v>1</v>
      </c>
      <c r="O50" t="s">
        <v>7</v>
      </c>
      <c r="P50">
        <f>SUM(DATA_JULIO_2025[[#This Row],[1]:[31]])</f>
        <v>4680</v>
      </c>
      <c r="Q50">
        <v>15500</v>
      </c>
      <c r="R50" t="s">
        <v>106</v>
      </c>
      <c r="Y50">
        <v>500</v>
      </c>
      <c r="Z50">
        <v>300</v>
      </c>
      <c r="AG50">
        <v>1700</v>
      </c>
      <c r="AN50">
        <v>1700</v>
      </c>
      <c r="AW50">
        <v>480</v>
      </c>
      <c r="AX50" t="s">
        <v>152</v>
      </c>
    </row>
    <row r="51" spans="1:50" x14ac:dyDescent="0.25">
      <c r="A51" s="2" t="str">
        <f>D1_JULIO_2025[[#This Row],[SUPER2]]</f>
        <v>KENNETH</v>
      </c>
      <c r="B51" s="2" t="s">
        <v>32</v>
      </c>
      <c r="C51" s="2">
        <f>VLOOKUP(D1_JULIO_2025[[#This Row],[SUPER]],DATA_JULIO_2025[[SUPERVISOR]:[META]],3,0)</f>
        <v>26000</v>
      </c>
      <c r="D51" s="2">
        <f>D1_JULIO_2025[[#This Row],[RECUPERO]]/C51</f>
        <v>0.42935769230769227</v>
      </c>
      <c r="E51" t="s">
        <v>6</v>
      </c>
      <c r="F51" t="s">
        <v>32</v>
      </c>
      <c r="G51">
        <v>11163.3</v>
      </c>
      <c r="H51" t="s">
        <v>390</v>
      </c>
      <c r="I51" s="55">
        <v>45530</v>
      </c>
      <c r="J51" t="s">
        <v>501</v>
      </c>
      <c r="L51" s="55"/>
      <c r="M51" s="1">
        <f>DATA_JULIO_2025[[#This Row],[RECUPERO]]/DATA_JULIO_2025[[#This Row],[META]]</f>
        <v>1.0068387096774194</v>
      </c>
      <c r="N51">
        <f>6-ROUNDUP(_xlfn.RANK.EQ(DATA_JULIO_2025[[#This Row],[AL_AC]],DATA_JULIO_2025[AL_AC],0)/(COUNTA(DATA_JULIO_2025[AL_AC])/5),0)</f>
        <v>5</v>
      </c>
      <c r="O51" t="s">
        <v>9</v>
      </c>
      <c r="P51">
        <f>SUM(DATA_JULIO_2025[[#This Row],[1]:[31]])</f>
        <v>15606</v>
      </c>
      <c r="Q51">
        <v>15500</v>
      </c>
      <c r="R51" t="s">
        <v>77</v>
      </c>
      <c r="T51">
        <v>189</v>
      </c>
      <c r="U51">
        <v>200</v>
      </c>
      <c r="V51">
        <v>300</v>
      </c>
      <c r="Y51">
        <v>200</v>
      </c>
      <c r="Z51">
        <v>500</v>
      </c>
      <c r="AB51">
        <v>230</v>
      </c>
      <c r="AC51">
        <v>4800</v>
      </c>
      <c r="AF51">
        <v>500</v>
      </c>
      <c r="AG51">
        <v>565</v>
      </c>
      <c r="AI51">
        <v>152</v>
      </c>
      <c r="AP51">
        <v>4000</v>
      </c>
      <c r="AQ51">
        <v>600</v>
      </c>
      <c r="AV51">
        <v>2150</v>
      </c>
      <c r="AW51">
        <v>1220</v>
      </c>
      <c r="AX51" t="s">
        <v>153</v>
      </c>
    </row>
    <row r="52" spans="1:50" x14ac:dyDescent="0.25">
      <c r="A52" s="2" t="str">
        <f>D1_JULIO_2025[[#This Row],[SUPER2]]</f>
        <v>KENNETH</v>
      </c>
      <c r="B52" s="2" t="s">
        <v>39</v>
      </c>
      <c r="C52" s="2">
        <f>VLOOKUP(D1_JULIO_2025[[#This Row],[SUPER]],DATA_JULIO_2025[[SUPERVISOR]:[META]],3,0)</f>
        <v>26000</v>
      </c>
      <c r="D52" s="2">
        <f>D1_JULIO_2025[[#This Row],[RECUPERO]]/C52</f>
        <v>0.43580769230769228</v>
      </c>
      <c r="E52" t="s">
        <v>6</v>
      </c>
      <c r="F52" t="s">
        <v>39</v>
      </c>
      <c r="G52">
        <v>11331</v>
      </c>
      <c r="H52" t="s">
        <v>452</v>
      </c>
      <c r="I52" s="55">
        <v>44951</v>
      </c>
      <c r="J52" t="s">
        <v>501</v>
      </c>
      <c r="L52" s="55"/>
      <c r="M52" s="1">
        <f>DATA_JULIO_2025[[#This Row],[RECUPERO]]/DATA_JULIO_2025[[#This Row],[META]]</f>
        <v>1.3675730769230769</v>
      </c>
      <c r="N52">
        <f>6-ROUNDUP(_xlfn.RANK.EQ(DATA_JULIO_2025[[#This Row],[AL_AC]],DATA_JULIO_2025[AL_AC],0)/(COUNTA(DATA_JULIO_2025[AL_AC])/5),0)</f>
        <v>5</v>
      </c>
      <c r="O52" t="s">
        <v>6</v>
      </c>
      <c r="P52">
        <f>SUM(DATA_JULIO_2025[[#This Row],[1]:[31]])</f>
        <v>35556.9</v>
      </c>
      <c r="Q52">
        <v>26000</v>
      </c>
      <c r="R52" t="s">
        <v>35</v>
      </c>
      <c r="S52">
        <v>2500</v>
      </c>
      <c r="T52">
        <v>800</v>
      </c>
      <c r="U52">
        <v>500</v>
      </c>
      <c r="V52">
        <v>1500</v>
      </c>
      <c r="Y52">
        <v>1280</v>
      </c>
      <c r="Z52">
        <v>500</v>
      </c>
      <c r="AB52">
        <v>300</v>
      </c>
      <c r="AC52">
        <v>19000</v>
      </c>
      <c r="AG52">
        <v>100</v>
      </c>
      <c r="AI52">
        <v>925</v>
      </c>
      <c r="AJ52">
        <v>4000</v>
      </c>
      <c r="AM52">
        <v>1107</v>
      </c>
      <c r="AN52">
        <v>800</v>
      </c>
      <c r="AP52">
        <v>661</v>
      </c>
      <c r="AQ52">
        <v>1413.9</v>
      </c>
      <c r="AW52">
        <v>170</v>
      </c>
      <c r="AX52" t="s">
        <v>156</v>
      </c>
    </row>
    <row r="53" spans="1:50" x14ac:dyDescent="0.25">
      <c r="A53" s="2" t="str">
        <f>D1_JULIO_2025[[#This Row],[SUPER2]]</f>
        <v>LEONOR</v>
      </c>
      <c r="B53" s="2" t="s">
        <v>18</v>
      </c>
      <c r="C53" s="2">
        <f>VLOOKUP(D1_JULIO_2025[[#This Row],[SUPER]],DATA_JULIO_2025[[SUPERVISOR]:[META]],3,0)</f>
        <v>15500</v>
      </c>
      <c r="D53" s="2">
        <f>D1_JULIO_2025[[#This Row],[RECUPERO]]/C53</f>
        <v>2.116967741935484</v>
      </c>
      <c r="E53" t="s">
        <v>7</v>
      </c>
      <c r="F53" t="s">
        <v>18</v>
      </c>
      <c r="G53">
        <v>32813</v>
      </c>
      <c r="H53" t="s">
        <v>431</v>
      </c>
      <c r="I53" s="55">
        <v>45133</v>
      </c>
      <c r="J53" t="s">
        <v>501</v>
      </c>
      <c r="L53" s="55"/>
      <c r="M53" s="1">
        <f>DATA_JULIO_2025[[#This Row],[RECUPERO]]/DATA_JULIO_2025[[#This Row],[META]]</f>
        <v>0.15387096774193548</v>
      </c>
      <c r="N53">
        <f>6-ROUNDUP(_xlfn.RANK.EQ(DATA_JULIO_2025[[#This Row],[AL_AC]],DATA_JULIO_2025[AL_AC],0)/(COUNTA(DATA_JULIO_2025[AL_AC])/5),0)</f>
        <v>1</v>
      </c>
      <c r="O53" t="s">
        <v>8</v>
      </c>
      <c r="P53">
        <f>SUM(DATA_JULIO_2025[[#This Row],[1]:[31]])</f>
        <v>2385</v>
      </c>
      <c r="Q53">
        <v>15500</v>
      </c>
      <c r="R53" t="s">
        <v>45</v>
      </c>
      <c r="V53">
        <v>590</v>
      </c>
      <c r="AA53">
        <v>100</v>
      </c>
      <c r="AC53">
        <v>300</v>
      </c>
      <c r="AF53">
        <v>350</v>
      </c>
      <c r="AG53">
        <v>280</v>
      </c>
      <c r="AH53">
        <v>165</v>
      </c>
      <c r="AI53">
        <v>400</v>
      </c>
      <c r="AP53">
        <v>200</v>
      </c>
      <c r="AX53" t="s">
        <v>153</v>
      </c>
    </row>
    <row r="54" spans="1:50" x14ac:dyDescent="0.25">
      <c r="A54" s="2" t="str">
        <f>D1_JULIO_2025[[#This Row],[SUPER2]]</f>
        <v>LEONOR</v>
      </c>
      <c r="B54" s="2" t="s">
        <v>105</v>
      </c>
      <c r="C54" s="2">
        <f>VLOOKUP(D1_JULIO_2025[[#This Row],[SUPER]],DATA_JULIO_2025[[SUPERVISOR]:[META]],3,0)</f>
        <v>15500</v>
      </c>
      <c r="D54" s="2">
        <f>D1_JULIO_2025[[#This Row],[RECUPERO]]/C54</f>
        <v>1.7149032258064516</v>
      </c>
      <c r="E54" t="s">
        <v>7</v>
      </c>
      <c r="F54" t="s">
        <v>105</v>
      </c>
      <c r="G54">
        <v>26581</v>
      </c>
      <c r="H54" t="s">
        <v>463</v>
      </c>
      <c r="I54" s="55">
        <v>45748</v>
      </c>
      <c r="J54" t="s">
        <v>501</v>
      </c>
      <c r="L54" s="55"/>
      <c r="M54" s="1">
        <f>DATA_JULIO_2025[[#This Row],[RECUPERO]]/DATA_JULIO_2025[[#This Row],[META]]</f>
        <v>0.25387096774193546</v>
      </c>
      <c r="N54">
        <f>6-ROUNDUP(_xlfn.RANK.EQ(DATA_JULIO_2025[[#This Row],[AL_AC]],DATA_JULIO_2025[AL_AC],0)/(COUNTA(DATA_JULIO_2025[AL_AC])/5),0)</f>
        <v>1</v>
      </c>
      <c r="O54" t="s">
        <v>8</v>
      </c>
      <c r="P54">
        <f>SUM(DATA_JULIO_2025[[#This Row],[1]:[31]])</f>
        <v>3935</v>
      </c>
      <c r="Q54">
        <v>15500</v>
      </c>
      <c r="R54" t="s">
        <v>46</v>
      </c>
      <c r="S54">
        <v>200</v>
      </c>
      <c r="V54">
        <v>410</v>
      </c>
      <c r="AG54">
        <v>645</v>
      </c>
      <c r="AH54">
        <v>150</v>
      </c>
      <c r="AQ54">
        <v>630</v>
      </c>
      <c r="AV54">
        <v>1200</v>
      </c>
      <c r="AW54">
        <v>700</v>
      </c>
      <c r="AX54" t="s">
        <v>153</v>
      </c>
    </row>
    <row r="55" spans="1:50" x14ac:dyDescent="0.25">
      <c r="A55" s="2" t="str">
        <f>D1_JULIO_2025[[#This Row],[SUPER2]]</f>
        <v>LEONOR</v>
      </c>
      <c r="B55" s="2" t="s">
        <v>21</v>
      </c>
      <c r="C55" s="2">
        <f>VLOOKUP(D1_JULIO_2025[[#This Row],[SUPER]],DATA_JULIO_2025[[SUPERVISOR]:[META]],3,0)</f>
        <v>15500</v>
      </c>
      <c r="D55" s="2">
        <f>D1_JULIO_2025[[#This Row],[RECUPERO]]/C55</f>
        <v>1.0683870967741935</v>
      </c>
      <c r="E55" t="s">
        <v>7</v>
      </c>
      <c r="F55" t="s">
        <v>21</v>
      </c>
      <c r="G55">
        <v>16560</v>
      </c>
      <c r="H55" t="s">
        <v>409</v>
      </c>
      <c r="I55" s="55">
        <v>44301</v>
      </c>
      <c r="J55" t="s">
        <v>501</v>
      </c>
      <c r="L55" s="55"/>
      <c r="M55" s="1">
        <f>DATA_JULIO_2025[[#This Row],[RECUPERO]]/DATA_JULIO_2025[[#This Row],[META]]</f>
        <v>0.76419354838709674</v>
      </c>
      <c r="N55">
        <f>6-ROUNDUP(_xlfn.RANK.EQ(DATA_JULIO_2025[[#This Row],[AL_AC]],DATA_JULIO_2025[AL_AC],0)/(COUNTA(DATA_JULIO_2025[AL_AC])/5),0)</f>
        <v>4</v>
      </c>
      <c r="O55" t="s">
        <v>9</v>
      </c>
      <c r="P55">
        <f>SUM(DATA_JULIO_2025[[#This Row],[1]:[31]])</f>
        <v>11845</v>
      </c>
      <c r="Q55">
        <v>15500</v>
      </c>
      <c r="R55" t="s">
        <v>50</v>
      </c>
      <c r="S55">
        <v>200</v>
      </c>
      <c r="V55">
        <v>1000</v>
      </c>
      <c r="AA55">
        <v>990</v>
      </c>
      <c r="AB55">
        <v>100</v>
      </c>
      <c r="AC55">
        <v>300</v>
      </c>
      <c r="AH55">
        <v>4300</v>
      </c>
      <c r="AJ55">
        <v>900</v>
      </c>
      <c r="AM55">
        <v>530</v>
      </c>
      <c r="AN55">
        <v>805</v>
      </c>
      <c r="AO55">
        <v>300</v>
      </c>
      <c r="AQ55">
        <v>300</v>
      </c>
      <c r="AW55">
        <v>2120</v>
      </c>
      <c r="AX55" t="s">
        <v>153</v>
      </c>
    </row>
    <row r="56" spans="1:50" x14ac:dyDescent="0.25">
      <c r="A56" s="2" t="str">
        <f>D1_JULIO_2025[[#This Row],[SUPER2]]</f>
        <v>LEONOR</v>
      </c>
      <c r="B56" s="2" t="s">
        <v>103</v>
      </c>
      <c r="C56" s="2">
        <f>VLOOKUP(D1_JULIO_2025[[#This Row],[SUPER]],DATA_JULIO_2025[[SUPERVISOR]:[META]],3,0)</f>
        <v>15500</v>
      </c>
      <c r="D56" s="2">
        <f>D1_JULIO_2025[[#This Row],[RECUPERO]]/C56</f>
        <v>0.80909677419354842</v>
      </c>
      <c r="E56" t="s">
        <v>7</v>
      </c>
      <c r="F56" t="s">
        <v>103</v>
      </c>
      <c r="G56">
        <v>12541</v>
      </c>
      <c r="H56" t="s">
        <v>419</v>
      </c>
      <c r="I56" s="55">
        <v>45451</v>
      </c>
      <c r="J56" t="s">
        <v>501</v>
      </c>
      <c r="L56" s="55"/>
      <c r="M56" s="1">
        <f>DATA_JULIO_2025[[#This Row],[RECUPERO]]/DATA_JULIO_2025[[#This Row],[META]]</f>
        <v>1.2695000000000001</v>
      </c>
      <c r="N56">
        <f>6-ROUNDUP(_xlfn.RANK.EQ(DATA_JULIO_2025[[#This Row],[AL_AC]],DATA_JULIO_2025[AL_AC],0)/(COUNTA(DATA_JULIO_2025[AL_AC])/5),0)</f>
        <v>5</v>
      </c>
      <c r="O56" t="s">
        <v>6</v>
      </c>
      <c r="P56">
        <f>SUM(DATA_JULIO_2025[[#This Row],[1]:[31]])</f>
        <v>33007</v>
      </c>
      <c r="Q56">
        <v>26000</v>
      </c>
      <c r="R56" t="s">
        <v>33</v>
      </c>
      <c r="T56">
        <v>1500</v>
      </c>
      <c r="Y56">
        <v>410</v>
      </c>
      <c r="AA56">
        <v>316</v>
      </c>
      <c r="AC56">
        <v>5450</v>
      </c>
      <c r="AF56">
        <v>3000</v>
      </c>
      <c r="AJ56">
        <v>8500</v>
      </c>
      <c r="AM56">
        <v>5000</v>
      </c>
      <c r="AP56">
        <v>760</v>
      </c>
      <c r="AQ56">
        <v>6000</v>
      </c>
      <c r="AU56">
        <v>850</v>
      </c>
      <c r="AW56">
        <v>1221</v>
      </c>
      <c r="AX56" t="s">
        <v>156</v>
      </c>
    </row>
    <row r="57" spans="1:50" x14ac:dyDescent="0.25">
      <c r="A57" s="2" t="str">
        <f>D1_JULIO_2025[[#This Row],[SUPER2]]</f>
        <v>LEONOR</v>
      </c>
      <c r="B57" s="2" t="s">
        <v>104</v>
      </c>
      <c r="C57" s="2">
        <f>VLOOKUP(D1_JULIO_2025[[#This Row],[SUPER]],DATA_JULIO_2025[[SUPERVISOR]:[META]],3,0)</f>
        <v>15500</v>
      </c>
      <c r="D57" s="2">
        <f>D1_JULIO_2025[[#This Row],[RECUPERO]]/C57</f>
        <v>0.68387096774193545</v>
      </c>
      <c r="E57" t="s">
        <v>7</v>
      </c>
      <c r="F57" t="s">
        <v>104</v>
      </c>
      <c r="G57">
        <v>10600</v>
      </c>
      <c r="H57" t="s">
        <v>456</v>
      </c>
      <c r="I57" s="55">
        <v>44104</v>
      </c>
      <c r="J57" t="s">
        <v>501</v>
      </c>
      <c r="L57" s="55"/>
      <c r="M57" s="1">
        <f>DATA_JULIO_2025[[#This Row],[RECUPERO]]/DATA_JULIO_2025[[#This Row],[META]]</f>
        <v>1.4705384615384616</v>
      </c>
      <c r="N57">
        <f>6-ROUNDUP(_xlfn.RANK.EQ(DATA_JULIO_2025[[#This Row],[AL_AC]],DATA_JULIO_2025[AL_AC],0)/(COUNTA(DATA_JULIO_2025[AL_AC])/5),0)</f>
        <v>5</v>
      </c>
      <c r="O57" t="s">
        <v>3</v>
      </c>
      <c r="P57">
        <f>SUM(DATA_JULIO_2025[[#This Row],[1]:[31]])</f>
        <v>95585</v>
      </c>
      <c r="Q57">
        <v>65000</v>
      </c>
      <c r="R57" t="s">
        <v>23</v>
      </c>
      <c r="S57">
        <v>5203</v>
      </c>
      <c r="U57">
        <v>7000</v>
      </c>
      <c r="Y57">
        <v>4700</v>
      </c>
      <c r="Z57">
        <v>13100</v>
      </c>
      <c r="AA57">
        <v>10045</v>
      </c>
      <c r="AB57">
        <v>1500</v>
      </c>
      <c r="AC57">
        <v>2500</v>
      </c>
      <c r="AD57">
        <v>1000</v>
      </c>
      <c r="AG57">
        <v>12301</v>
      </c>
      <c r="AH57">
        <v>600</v>
      </c>
      <c r="AI57">
        <v>5100</v>
      </c>
      <c r="AM57">
        <v>400</v>
      </c>
      <c r="AN57">
        <v>8800</v>
      </c>
      <c r="AQ57">
        <v>4000</v>
      </c>
      <c r="AV57">
        <v>1595</v>
      </c>
      <c r="AW57">
        <v>17741</v>
      </c>
      <c r="AX57" t="s">
        <v>155</v>
      </c>
    </row>
    <row r="58" spans="1:50" x14ac:dyDescent="0.25">
      <c r="A58" s="2" t="str">
        <f>D1_JULIO_2025[[#This Row],[SUPER2]]</f>
        <v>LEONOR</v>
      </c>
      <c r="B58" s="2" t="s">
        <v>19</v>
      </c>
      <c r="C58" s="2">
        <f>VLOOKUP(D1_JULIO_2025[[#This Row],[SUPER]],DATA_JULIO_2025[[SUPERVISOR]:[META]],3,0)</f>
        <v>15500</v>
      </c>
      <c r="D58" s="2">
        <f>D1_JULIO_2025[[#This Row],[RECUPERO]]/C58</f>
        <v>0.64451612903225808</v>
      </c>
      <c r="E58" t="s">
        <v>7</v>
      </c>
      <c r="F58" t="s">
        <v>19</v>
      </c>
      <c r="G58">
        <v>9990</v>
      </c>
      <c r="H58" t="s">
        <v>399</v>
      </c>
      <c r="I58" s="55">
        <v>44673</v>
      </c>
      <c r="J58" t="s">
        <v>501</v>
      </c>
      <c r="L58" s="55"/>
      <c r="M58" s="1">
        <f>DATA_JULIO_2025[[#This Row],[RECUPERO]]/DATA_JULIO_2025[[#This Row],[META]]</f>
        <v>0.37994444444444442</v>
      </c>
      <c r="N58">
        <f>6-ROUNDUP(_xlfn.RANK.EQ(DATA_JULIO_2025[[#This Row],[AL_AC]],DATA_JULIO_2025[AL_AC],0)/(COUNTA(DATA_JULIO_2025[AL_AC])/5),0)</f>
        <v>2</v>
      </c>
      <c r="O58" t="s">
        <v>5</v>
      </c>
      <c r="P58">
        <f>SUM(DATA_JULIO_2025[[#This Row],[1]:[31]])</f>
        <v>20517</v>
      </c>
      <c r="Q58">
        <v>54000</v>
      </c>
      <c r="R58" t="s">
        <v>68</v>
      </c>
      <c r="S58">
        <v>250</v>
      </c>
      <c r="U58">
        <v>75</v>
      </c>
      <c r="V58">
        <v>2000</v>
      </c>
      <c r="W58">
        <v>800</v>
      </c>
      <c r="Y58">
        <v>2000</v>
      </c>
      <c r="AB58">
        <v>2000</v>
      </c>
      <c r="AH58">
        <v>200</v>
      </c>
      <c r="AI58">
        <v>1572</v>
      </c>
      <c r="AJ58">
        <v>1900</v>
      </c>
      <c r="AM58">
        <v>4800</v>
      </c>
      <c r="AN58">
        <v>700</v>
      </c>
      <c r="AP58">
        <v>3000</v>
      </c>
      <c r="AV58">
        <v>620</v>
      </c>
      <c r="AW58">
        <v>600</v>
      </c>
      <c r="AX58" t="s">
        <v>150</v>
      </c>
    </row>
    <row r="59" spans="1:50" x14ac:dyDescent="0.25">
      <c r="A59" s="2" t="str">
        <f>D1_JULIO_2025[[#This Row],[SUPER2]]</f>
        <v>LEONOR</v>
      </c>
      <c r="B59" s="2" t="s">
        <v>110</v>
      </c>
      <c r="C59" s="2">
        <f>VLOOKUP(D1_JULIO_2025[[#This Row],[SUPER]],DATA_JULIO_2025[[SUPERVISOR]:[META]],3,0)</f>
        <v>15500</v>
      </c>
      <c r="D59" s="2">
        <f>D1_JULIO_2025[[#This Row],[RECUPERO]]/C59</f>
        <v>0.57096774193548383</v>
      </c>
      <c r="E59" t="s">
        <v>7</v>
      </c>
      <c r="F59" t="s">
        <v>110</v>
      </c>
      <c r="G59">
        <v>8850</v>
      </c>
      <c r="H59" t="s">
        <v>454</v>
      </c>
      <c r="I59" s="55">
        <v>44993</v>
      </c>
      <c r="J59" t="s">
        <v>501</v>
      </c>
      <c r="L59" s="55"/>
      <c r="M59" s="1">
        <f>DATA_JULIO_2025[[#This Row],[RECUPERO]]/DATA_JULIO_2025[[#This Row],[META]]</f>
        <v>2.4996923076923077</v>
      </c>
      <c r="N59">
        <f>6-ROUNDUP(_xlfn.RANK.EQ(DATA_JULIO_2025[[#This Row],[AL_AC]],DATA_JULIO_2025[AL_AC],0)/(COUNTA(DATA_JULIO_2025[AL_AC])/5),0)</f>
        <v>5</v>
      </c>
      <c r="O59" t="s">
        <v>6</v>
      </c>
      <c r="P59">
        <f>SUM(DATA_JULIO_2025[[#This Row],[1]:[31]])</f>
        <v>64992</v>
      </c>
      <c r="Q59">
        <v>26000</v>
      </c>
      <c r="R59" t="s">
        <v>31</v>
      </c>
      <c r="Y59">
        <v>7350</v>
      </c>
      <c r="AB59">
        <v>4350</v>
      </c>
      <c r="AC59">
        <v>350</v>
      </c>
      <c r="AF59">
        <v>12872</v>
      </c>
      <c r="AI59">
        <v>350</v>
      </c>
      <c r="AN59">
        <v>0</v>
      </c>
      <c r="AP59">
        <v>500</v>
      </c>
      <c r="AQ59">
        <v>500</v>
      </c>
      <c r="AV59">
        <v>5100</v>
      </c>
      <c r="AW59">
        <v>33620</v>
      </c>
      <c r="AX59" t="s">
        <v>156</v>
      </c>
    </row>
    <row r="60" spans="1:50" x14ac:dyDescent="0.25">
      <c r="A60" s="2" t="str">
        <f>D1_JULIO_2025[[#This Row],[SUPER2]]</f>
        <v>LEONOR</v>
      </c>
      <c r="B60" s="2" t="s">
        <v>106</v>
      </c>
      <c r="C60" s="2">
        <f>VLOOKUP(D1_JULIO_2025[[#This Row],[SUPER]],DATA_JULIO_2025[[SUPERVISOR]:[META]],3,0)</f>
        <v>15500</v>
      </c>
      <c r="D60" s="2">
        <f>D1_JULIO_2025[[#This Row],[RECUPERO]]/C60</f>
        <v>0.30193548387096775</v>
      </c>
      <c r="E60" t="s">
        <v>7</v>
      </c>
      <c r="F60" t="s">
        <v>106</v>
      </c>
      <c r="G60">
        <v>4680</v>
      </c>
      <c r="H60" t="s">
        <v>392</v>
      </c>
      <c r="I60" s="55">
        <v>44748</v>
      </c>
      <c r="J60" t="s">
        <v>501</v>
      </c>
      <c r="L60" s="55"/>
      <c r="M60" s="1">
        <f>DATA_JULIO_2025[[#This Row],[RECUPERO]]/DATA_JULIO_2025[[#This Row],[META]]</f>
        <v>0.43807692307692309</v>
      </c>
      <c r="N60">
        <f>6-ROUNDUP(_xlfn.RANK.EQ(DATA_JULIO_2025[[#This Row],[AL_AC]],DATA_JULIO_2025[AL_AC],0)/(COUNTA(DATA_JULIO_2025[AL_AC])/5),0)</f>
        <v>2</v>
      </c>
      <c r="O60" t="s">
        <v>3</v>
      </c>
      <c r="P60">
        <f>SUM(DATA_JULIO_2025[[#This Row],[1]:[31]])</f>
        <v>28475</v>
      </c>
      <c r="Q60">
        <v>65000</v>
      </c>
      <c r="R60" t="s">
        <v>29</v>
      </c>
      <c r="U60">
        <v>5077</v>
      </c>
      <c r="Z60">
        <v>1000</v>
      </c>
      <c r="AE60">
        <v>282</v>
      </c>
      <c r="AF60">
        <v>700</v>
      </c>
      <c r="AG60">
        <v>257</v>
      </c>
      <c r="AJ60">
        <v>700</v>
      </c>
      <c r="AM60">
        <v>12476</v>
      </c>
      <c r="AN60">
        <v>686</v>
      </c>
      <c r="AP60">
        <v>800</v>
      </c>
      <c r="AQ60">
        <v>3400</v>
      </c>
      <c r="AW60">
        <v>3097</v>
      </c>
      <c r="AX60" t="s">
        <v>155</v>
      </c>
    </row>
    <row r="61" spans="1:50" x14ac:dyDescent="0.25">
      <c r="A61" s="2" t="str">
        <f>D1_JULIO_2025[[#This Row],[SUPER2]]</f>
        <v>LEONOR</v>
      </c>
      <c r="B61" s="2" t="s">
        <v>107</v>
      </c>
      <c r="C61" s="2">
        <f>VLOOKUP(D1_JULIO_2025[[#This Row],[SUPER]],DATA_JULIO_2025[[SUPERVISOR]:[META]],3,0)</f>
        <v>15500</v>
      </c>
      <c r="D61" s="2">
        <f>D1_JULIO_2025[[#This Row],[RECUPERO]]/C61</f>
        <v>0.28064516129032258</v>
      </c>
      <c r="E61" t="s">
        <v>7</v>
      </c>
      <c r="F61" t="s">
        <v>107</v>
      </c>
      <c r="G61">
        <v>4350</v>
      </c>
      <c r="H61" t="s">
        <v>458</v>
      </c>
      <c r="I61" s="55">
        <v>45727</v>
      </c>
      <c r="J61" t="s">
        <v>501</v>
      </c>
      <c r="L61" s="55"/>
      <c r="M61" s="1">
        <f>DATA_JULIO_2025[[#This Row],[RECUPERO]]/DATA_JULIO_2025[[#This Row],[META]]</f>
        <v>0.35909677419354841</v>
      </c>
      <c r="N61">
        <f>6-ROUNDUP(_xlfn.RANK.EQ(DATA_JULIO_2025[[#This Row],[AL_AC]],DATA_JULIO_2025[AL_AC],0)/(COUNTA(DATA_JULIO_2025[AL_AC])/5),0)</f>
        <v>1</v>
      </c>
      <c r="O61" t="s">
        <v>8</v>
      </c>
      <c r="P61">
        <f>SUM(DATA_JULIO_2025[[#This Row],[1]:[31]])</f>
        <v>5566</v>
      </c>
      <c r="Q61">
        <v>15500</v>
      </c>
      <c r="R61" t="s">
        <v>43</v>
      </c>
      <c r="T61">
        <v>200</v>
      </c>
      <c r="W61">
        <v>208</v>
      </c>
      <c r="Z61">
        <v>265</v>
      </c>
      <c r="AC61">
        <v>515</v>
      </c>
      <c r="AF61">
        <v>1900</v>
      </c>
      <c r="AI61">
        <v>805</v>
      </c>
      <c r="AM61">
        <v>500</v>
      </c>
      <c r="AP61">
        <v>135</v>
      </c>
      <c r="AQ61">
        <v>698</v>
      </c>
      <c r="AV61">
        <v>340</v>
      </c>
      <c r="AX61" t="s">
        <v>153</v>
      </c>
    </row>
    <row r="62" spans="1:50" x14ac:dyDescent="0.25">
      <c r="A62" s="2" t="str">
        <f>D1_JULIO_2025[[#This Row],[SUPER2]]</f>
        <v>LEONOR</v>
      </c>
      <c r="B62" s="2" t="s">
        <v>74</v>
      </c>
      <c r="C62" s="2">
        <f>VLOOKUP(D1_JULIO_2025[[#This Row],[SUPER]],DATA_JULIO_2025[[SUPERVISOR]:[META]],3,0)</f>
        <v>15500</v>
      </c>
      <c r="D62" s="2">
        <f>D1_JULIO_2025[[#This Row],[RECUPERO]]/C62</f>
        <v>0.23148387096774192</v>
      </c>
      <c r="E62" t="s">
        <v>7</v>
      </c>
      <c r="F62" t="s">
        <v>74</v>
      </c>
      <c r="G62">
        <v>3588</v>
      </c>
      <c r="H62" t="s">
        <v>395</v>
      </c>
      <c r="I62" s="55">
        <v>44470</v>
      </c>
      <c r="J62" t="s">
        <v>501</v>
      </c>
      <c r="L62" s="55"/>
      <c r="M62" s="1">
        <f>DATA_JULIO_2025[[#This Row],[RECUPERO]]/DATA_JULIO_2025[[#This Row],[META]]</f>
        <v>0.71161538461538465</v>
      </c>
      <c r="N62">
        <f>6-ROUNDUP(_xlfn.RANK.EQ(DATA_JULIO_2025[[#This Row],[AL_AC]],DATA_JULIO_2025[AL_AC],0)/(COUNTA(DATA_JULIO_2025[AL_AC])/5),0)</f>
        <v>4</v>
      </c>
      <c r="O62" t="s">
        <v>3</v>
      </c>
      <c r="P62">
        <f>SUM(DATA_JULIO_2025[[#This Row],[1]:[31]])</f>
        <v>46255</v>
      </c>
      <c r="Q62">
        <v>65000</v>
      </c>
      <c r="R62" t="s">
        <v>25</v>
      </c>
      <c r="Y62">
        <v>12000</v>
      </c>
      <c r="Z62">
        <v>455</v>
      </c>
      <c r="AB62">
        <v>1300</v>
      </c>
      <c r="AC62">
        <v>300</v>
      </c>
      <c r="AG62">
        <v>600</v>
      </c>
      <c r="AH62">
        <v>7000</v>
      </c>
      <c r="AI62">
        <v>2100</v>
      </c>
      <c r="AJ62">
        <v>6750</v>
      </c>
      <c r="AM62">
        <v>1500</v>
      </c>
      <c r="AQ62">
        <v>1900</v>
      </c>
      <c r="AV62">
        <v>10300</v>
      </c>
      <c r="AW62">
        <v>2050</v>
      </c>
      <c r="AX62" t="s">
        <v>155</v>
      </c>
    </row>
    <row r="63" spans="1:50" x14ac:dyDescent="0.25">
      <c r="A63" s="2" t="str">
        <f>D1_JULIO_2025[[#This Row],[SUPER2]]</f>
        <v>LEONOR</v>
      </c>
      <c r="B63" s="2" t="s">
        <v>20</v>
      </c>
      <c r="C63" s="2">
        <f>VLOOKUP(D1_JULIO_2025[[#This Row],[SUPER]],DATA_JULIO_2025[[SUPERVISOR]:[META]],3,0)</f>
        <v>15500</v>
      </c>
      <c r="D63" s="2">
        <f>D1_JULIO_2025[[#This Row],[RECUPERO]]/C63</f>
        <v>0.23</v>
      </c>
      <c r="E63" t="s">
        <v>7</v>
      </c>
      <c r="F63" t="s">
        <v>20</v>
      </c>
      <c r="G63">
        <v>3565</v>
      </c>
      <c r="H63" t="s">
        <v>427</v>
      </c>
      <c r="I63" s="55">
        <v>45142</v>
      </c>
      <c r="J63" t="s">
        <v>501</v>
      </c>
      <c r="L63" s="55"/>
      <c r="M63" s="1">
        <f>DATA_JULIO_2025[[#This Row],[RECUPERO]]/DATA_JULIO_2025[[#This Row],[META]]</f>
        <v>0.57096774193548383</v>
      </c>
      <c r="N63">
        <f>6-ROUNDUP(_xlfn.RANK.EQ(DATA_JULIO_2025[[#This Row],[AL_AC]],DATA_JULIO_2025[AL_AC],0)/(COUNTA(DATA_JULIO_2025[AL_AC])/5),0)</f>
        <v>3</v>
      </c>
      <c r="O63" t="s">
        <v>7</v>
      </c>
      <c r="P63">
        <f>SUM(DATA_JULIO_2025[[#This Row],[1]:[31]])</f>
        <v>8850</v>
      </c>
      <c r="Q63">
        <v>15500</v>
      </c>
      <c r="R63" t="s">
        <v>110</v>
      </c>
      <c r="T63">
        <v>300</v>
      </c>
      <c r="AA63">
        <v>850</v>
      </c>
      <c r="AM63">
        <v>700</v>
      </c>
      <c r="AN63">
        <v>100</v>
      </c>
      <c r="AP63">
        <v>700</v>
      </c>
      <c r="AQ63">
        <v>5500</v>
      </c>
      <c r="AV63">
        <v>500</v>
      </c>
      <c r="AW63">
        <v>200</v>
      </c>
      <c r="AX63" t="s">
        <v>152</v>
      </c>
    </row>
    <row r="64" spans="1:50" x14ac:dyDescent="0.25">
      <c r="A64" s="2" t="str">
        <f>D1_JULIO_2025[[#This Row],[SUPER2]]</f>
        <v>BRYAN</v>
      </c>
      <c r="B64" s="2" t="s">
        <v>81</v>
      </c>
      <c r="C64" s="2">
        <f>VLOOKUP(D1_JULIO_2025[[#This Row],[SUPER]],DATA_JULIO_2025[[SUPERVISOR]:[META]],3,0)</f>
        <v>15500</v>
      </c>
      <c r="D64" s="2">
        <f>D1_JULIO_2025[[#This Row],[RECUPERO]]/C64</f>
        <v>0.81051612903225811</v>
      </c>
      <c r="E64" t="s">
        <v>8</v>
      </c>
      <c r="F64" t="s">
        <v>81</v>
      </c>
      <c r="G64">
        <v>12563</v>
      </c>
      <c r="H64" t="s">
        <v>425</v>
      </c>
      <c r="I64" s="55">
        <v>45506</v>
      </c>
      <c r="J64" t="s">
        <v>501</v>
      </c>
      <c r="L64" s="55"/>
      <c r="M64" s="1">
        <f>DATA_JULIO_2025[[#This Row],[RECUPERO]]/DATA_JULIO_2025[[#This Row],[META]]</f>
        <v>0.84044444444444444</v>
      </c>
      <c r="N64">
        <f>6-ROUNDUP(_xlfn.RANK.EQ(DATA_JULIO_2025[[#This Row],[AL_AC]],DATA_JULIO_2025[AL_AC],0)/(COUNTA(DATA_JULIO_2025[AL_AC])/5),0)</f>
        <v>4</v>
      </c>
      <c r="O64" t="s">
        <v>2</v>
      </c>
      <c r="P64">
        <f>SUM(DATA_JULIO_2025[[#This Row],[1]:[31]])</f>
        <v>45384</v>
      </c>
      <c r="Q64">
        <v>54000</v>
      </c>
      <c r="R64" t="s">
        <v>17</v>
      </c>
      <c r="U64">
        <v>1105</v>
      </c>
      <c r="AB64">
        <v>4000</v>
      </c>
      <c r="AD64">
        <v>1062</v>
      </c>
      <c r="AF64">
        <v>21000</v>
      </c>
      <c r="AG64">
        <v>1600</v>
      </c>
      <c r="AH64">
        <v>1000</v>
      </c>
      <c r="AK64">
        <v>5333</v>
      </c>
      <c r="AL64">
        <v>1000</v>
      </c>
      <c r="AM64">
        <v>1254</v>
      </c>
      <c r="AQ64">
        <v>730</v>
      </c>
      <c r="AR64">
        <v>2000</v>
      </c>
      <c r="AT64">
        <v>300</v>
      </c>
      <c r="AV64">
        <v>5000</v>
      </c>
      <c r="AX64" t="s">
        <v>150</v>
      </c>
    </row>
    <row r="65" spans="1:50" x14ac:dyDescent="0.25">
      <c r="A65" s="2" t="str">
        <f>D1_JULIO_2025[[#This Row],[SUPER2]]</f>
        <v>BRYAN</v>
      </c>
      <c r="B65" s="2" t="s">
        <v>44</v>
      </c>
      <c r="C65" s="2">
        <f>VLOOKUP(D1_JULIO_2025[[#This Row],[SUPER]],DATA_JULIO_2025[[SUPERVISOR]:[META]],3,0)</f>
        <v>15500</v>
      </c>
      <c r="D65" s="2">
        <f>D1_JULIO_2025[[#This Row],[RECUPERO]]/C65</f>
        <v>0.7246129032258064</v>
      </c>
      <c r="E65" t="s">
        <v>8</v>
      </c>
      <c r="F65" t="s">
        <v>44</v>
      </c>
      <c r="G65">
        <v>11231.5</v>
      </c>
      <c r="H65" t="s">
        <v>467</v>
      </c>
      <c r="I65" s="55">
        <v>45804</v>
      </c>
      <c r="J65" t="s">
        <v>501</v>
      </c>
      <c r="L65" s="55"/>
      <c r="M65" s="1">
        <f>DATA_JULIO_2025[[#This Row],[RECUPERO]]/DATA_JULIO_2025[[#This Row],[META]]</f>
        <v>0.69242307692307692</v>
      </c>
      <c r="N65">
        <f>6-ROUNDUP(_xlfn.RANK.EQ(DATA_JULIO_2025[[#This Row],[AL_AC]],DATA_JULIO_2025[AL_AC],0)/(COUNTA(DATA_JULIO_2025[AL_AC])/5),0)</f>
        <v>3</v>
      </c>
      <c r="O65" t="s">
        <v>6</v>
      </c>
      <c r="P65">
        <f>SUM(DATA_JULIO_2025[[#This Row],[1]:[31]])</f>
        <v>18003</v>
      </c>
      <c r="Q65">
        <v>26000</v>
      </c>
      <c r="R65" t="s">
        <v>38</v>
      </c>
      <c r="U65">
        <v>2500</v>
      </c>
      <c r="AA65">
        <v>230</v>
      </c>
      <c r="AF65">
        <v>902</v>
      </c>
      <c r="AH65">
        <v>8898</v>
      </c>
      <c r="AM65">
        <v>323</v>
      </c>
      <c r="AN65">
        <v>590</v>
      </c>
      <c r="AQ65">
        <v>3000</v>
      </c>
      <c r="AS65">
        <v>150</v>
      </c>
      <c r="AV65">
        <v>860</v>
      </c>
      <c r="AW65">
        <v>550</v>
      </c>
      <c r="AX65" t="s">
        <v>156</v>
      </c>
    </row>
    <row r="66" spans="1:50" x14ac:dyDescent="0.25">
      <c r="A66" s="2" t="str">
        <f>D1_JULIO_2025[[#This Row],[SUPER2]]</f>
        <v>BRYAN</v>
      </c>
      <c r="B66" s="2" t="s">
        <v>41</v>
      </c>
      <c r="C66" s="2">
        <f>VLOOKUP(D1_JULIO_2025[[#This Row],[SUPER]],DATA_JULIO_2025[[SUPERVISOR]:[META]],3,0)</f>
        <v>15500</v>
      </c>
      <c r="D66" s="2">
        <f>D1_JULIO_2025[[#This Row],[RECUPERO]]/C66</f>
        <v>0.79670967741935483</v>
      </c>
      <c r="E66" t="s">
        <v>8</v>
      </c>
      <c r="F66" t="s">
        <v>41</v>
      </c>
      <c r="G66">
        <v>12349</v>
      </c>
      <c r="H66" t="s">
        <v>387</v>
      </c>
      <c r="I66" s="55">
        <v>45304</v>
      </c>
      <c r="J66" t="s">
        <v>501</v>
      </c>
      <c r="L66" s="55"/>
      <c r="M66" s="1">
        <f>DATA_JULIO_2025[[#This Row],[RECUPERO]]/DATA_JULIO_2025[[#This Row],[META]]</f>
        <v>1.4679707692307693</v>
      </c>
      <c r="N66">
        <f>6-ROUNDUP(_xlfn.RANK.EQ(DATA_JULIO_2025[[#This Row],[AL_AC]],DATA_JULIO_2025[AL_AC],0)/(COUNTA(DATA_JULIO_2025[AL_AC])/5),0)</f>
        <v>5</v>
      </c>
      <c r="O66" t="s">
        <v>4</v>
      </c>
      <c r="P66">
        <f>SUM(DATA_JULIO_2025[[#This Row],[1]:[31]])</f>
        <v>95418.1</v>
      </c>
      <c r="Q66">
        <v>65000</v>
      </c>
      <c r="R66" t="s">
        <v>75</v>
      </c>
      <c r="S66">
        <v>3650</v>
      </c>
      <c r="T66">
        <v>1000</v>
      </c>
      <c r="U66">
        <v>7000</v>
      </c>
      <c r="AA66">
        <v>350</v>
      </c>
      <c r="AB66">
        <v>300</v>
      </c>
      <c r="AC66">
        <v>12700</v>
      </c>
      <c r="AF66">
        <v>11000.1</v>
      </c>
      <c r="AG66">
        <v>27000</v>
      </c>
      <c r="AH66">
        <v>11000</v>
      </c>
      <c r="AJ66">
        <v>10000</v>
      </c>
      <c r="AN66">
        <v>700</v>
      </c>
      <c r="AQ66">
        <v>250</v>
      </c>
      <c r="AV66">
        <v>1400</v>
      </c>
      <c r="AW66">
        <v>9068</v>
      </c>
      <c r="AX66" t="s">
        <v>155</v>
      </c>
    </row>
    <row r="67" spans="1:50" x14ac:dyDescent="0.25">
      <c r="A67" s="2" t="str">
        <f>D1_JULIO_2025[[#This Row],[SUPER2]]</f>
        <v>BRYAN</v>
      </c>
      <c r="B67" s="2" t="s">
        <v>48</v>
      </c>
      <c r="C67" s="2">
        <f>VLOOKUP(D1_JULIO_2025[[#This Row],[SUPER]],DATA_JULIO_2025[[SUPERVISOR]:[META]],3,0)</f>
        <v>15500</v>
      </c>
      <c r="D67" s="2">
        <f>D1_JULIO_2025[[#This Row],[RECUPERO]]/C67</f>
        <v>0.7699677419354839</v>
      </c>
      <c r="E67" t="s">
        <v>8</v>
      </c>
      <c r="F67" t="s">
        <v>48</v>
      </c>
      <c r="G67">
        <v>11934.5</v>
      </c>
      <c r="H67" t="s">
        <v>421</v>
      </c>
      <c r="I67" s="55">
        <v>44748</v>
      </c>
      <c r="J67" t="s">
        <v>501</v>
      </c>
      <c r="L67" s="55"/>
      <c r="M67" s="1">
        <f>DATA_JULIO_2025[[#This Row],[RECUPERO]]/DATA_JULIO_2025[[#This Row],[META]]</f>
        <v>0.41625806451612901</v>
      </c>
      <c r="N67">
        <f>6-ROUNDUP(_xlfn.RANK.EQ(DATA_JULIO_2025[[#This Row],[AL_AC]],DATA_JULIO_2025[AL_AC],0)/(COUNTA(DATA_JULIO_2025[AL_AC])/5),0)</f>
        <v>2</v>
      </c>
      <c r="O67" t="s">
        <v>9</v>
      </c>
      <c r="P67">
        <f>SUM(DATA_JULIO_2025[[#This Row],[1]:[31]])</f>
        <v>6452</v>
      </c>
      <c r="Q67">
        <v>15500</v>
      </c>
      <c r="R67" t="s">
        <v>55</v>
      </c>
      <c r="S67">
        <v>472</v>
      </c>
      <c r="U67">
        <v>650</v>
      </c>
      <c r="V67">
        <v>200</v>
      </c>
      <c r="Z67">
        <v>300</v>
      </c>
      <c r="AA67">
        <v>80</v>
      </c>
      <c r="AC67">
        <v>600</v>
      </c>
      <c r="AG67">
        <v>450</v>
      </c>
      <c r="AH67">
        <v>200</v>
      </c>
      <c r="AJ67">
        <v>500</v>
      </c>
      <c r="AN67">
        <v>1500</v>
      </c>
      <c r="AW67">
        <v>1500</v>
      </c>
      <c r="AX67" t="s">
        <v>153</v>
      </c>
    </row>
    <row r="68" spans="1:50" x14ac:dyDescent="0.25">
      <c r="A68" s="2" t="str">
        <f>D1_JULIO_2025[[#This Row],[SUPER2]]</f>
        <v>BRYAN</v>
      </c>
      <c r="B68" s="2" t="s">
        <v>83</v>
      </c>
      <c r="C68" s="2">
        <f>VLOOKUP(D1_JULIO_2025[[#This Row],[SUPER]],DATA_JULIO_2025[[SUPERVISOR]:[META]],3,0)</f>
        <v>15500</v>
      </c>
      <c r="D68" s="2">
        <f>D1_JULIO_2025[[#This Row],[RECUPERO]]/C68</f>
        <v>0.5776129032258065</v>
      </c>
      <c r="E68" t="s">
        <v>8</v>
      </c>
      <c r="F68" t="s">
        <v>83</v>
      </c>
      <c r="G68">
        <v>8953</v>
      </c>
      <c r="H68" t="s">
        <v>435</v>
      </c>
      <c r="I68" s="55">
        <v>44937</v>
      </c>
      <c r="J68" t="s">
        <v>501</v>
      </c>
      <c r="L68" s="55"/>
      <c r="M68" s="1">
        <f>DATA_JULIO_2025[[#This Row],[RECUPERO]]/DATA_JULIO_2025[[#This Row],[META]]</f>
        <v>1.0028846153846154</v>
      </c>
      <c r="N68">
        <f>6-ROUNDUP(_xlfn.RANK.EQ(DATA_JULIO_2025[[#This Row],[AL_AC]],DATA_JULIO_2025[AL_AC],0)/(COUNTA(DATA_JULIO_2025[AL_AC])/5),0)</f>
        <v>4</v>
      </c>
      <c r="O68" t="s">
        <v>6</v>
      </c>
      <c r="P68">
        <f>SUM(DATA_JULIO_2025[[#This Row],[1]:[31]])</f>
        <v>26075</v>
      </c>
      <c r="Q68">
        <v>26000</v>
      </c>
      <c r="R68" t="s">
        <v>36</v>
      </c>
      <c r="U68">
        <v>1100</v>
      </c>
      <c r="Y68">
        <v>4122</v>
      </c>
      <c r="Z68">
        <v>4500</v>
      </c>
      <c r="AA68">
        <v>50</v>
      </c>
      <c r="AC68">
        <v>300</v>
      </c>
      <c r="AG68">
        <v>260</v>
      </c>
      <c r="AH68">
        <v>9102</v>
      </c>
      <c r="AI68">
        <v>984</v>
      </c>
      <c r="AJ68">
        <v>263</v>
      </c>
      <c r="AM68">
        <v>445</v>
      </c>
      <c r="AN68">
        <v>3785</v>
      </c>
      <c r="AQ68">
        <v>626</v>
      </c>
      <c r="AV68">
        <v>358</v>
      </c>
      <c r="AW68">
        <v>180</v>
      </c>
      <c r="AX68" t="s">
        <v>156</v>
      </c>
    </row>
    <row r="69" spans="1:50" x14ac:dyDescent="0.25">
      <c r="A69" s="2" t="str">
        <f>D1_JULIO_2025[[#This Row],[SUPER2]]</f>
        <v>BRYAN</v>
      </c>
      <c r="B69" s="2" t="s">
        <v>42</v>
      </c>
      <c r="C69" s="2">
        <f>VLOOKUP(D1_JULIO_2025[[#This Row],[SUPER]],DATA_JULIO_2025[[SUPERVISOR]:[META]],3,0)</f>
        <v>15500</v>
      </c>
      <c r="D69" s="2">
        <f>D1_JULIO_2025[[#This Row],[RECUPERO]]/C69</f>
        <v>0.57270967741935486</v>
      </c>
      <c r="E69" t="s">
        <v>8</v>
      </c>
      <c r="F69" t="s">
        <v>42</v>
      </c>
      <c r="G69">
        <v>8877</v>
      </c>
      <c r="H69" t="s">
        <v>415</v>
      </c>
      <c r="I69" s="55">
        <v>45399</v>
      </c>
      <c r="J69" t="s">
        <v>501</v>
      </c>
      <c r="L69" s="55"/>
      <c r="M69" s="1">
        <f>DATA_JULIO_2025[[#This Row],[RECUPERO]]/DATA_JULIO_2025[[#This Row],[META]]</f>
        <v>0.94044615384615382</v>
      </c>
      <c r="N69">
        <f>6-ROUNDUP(_xlfn.RANK.EQ(DATA_JULIO_2025[[#This Row],[AL_AC]],DATA_JULIO_2025[AL_AC],0)/(COUNTA(DATA_JULIO_2025[AL_AC])/5),0)</f>
        <v>4</v>
      </c>
      <c r="O69" t="s">
        <v>4</v>
      </c>
      <c r="P69">
        <f>SUM(DATA_JULIO_2025[[#This Row],[1]:[31]])</f>
        <v>61129</v>
      </c>
      <c r="Q69">
        <v>65000</v>
      </c>
      <c r="R69" t="s">
        <v>62</v>
      </c>
      <c r="S69">
        <v>3500</v>
      </c>
      <c r="T69">
        <v>495</v>
      </c>
      <c r="V69">
        <v>800</v>
      </c>
      <c r="AB69">
        <v>2000</v>
      </c>
      <c r="AF69">
        <v>5323</v>
      </c>
      <c r="AK69">
        <v>2500</v>
      </c>
      <c r="AN69">
        <v>10000</v>
      </c>
      <c r="AP69">
        <v>2216</v>
      </c>
      <c r="AQ69">
        <v>13000</v>
      </c>
      <c r="AS69">
        <v>1600</v>
      </c>
      <c r="AV69">
        <v>17550</v>
      </c>
      <c r="AW69">
        <v>2145</v>
      </c>
      <c r="AX69" t="s">
        <v>155</v>
      </c>
    </row>
    <row r="70" spans="1:50" x14ac:dyDescent="0.25">
      <c r="A70" s="2" t="str">
        <f>D1_JULIO_2025[[#This Row],[SUPER2]]</f>
        <v>BRYAN</v>
      </c>
      <c r="B70" s="2" t="s">
        <v>84</v>
      </c>
      <c r="C70" s="2">
        <f>VLOOKUP(D1_JULIO_2025[[#This Row],[SUPER]],DATA_JULIO_2025[[SUPERVISOR]:[META]],3,0)</f>
        <v>15500</v>
      </c>
      <c r="D70" s="2">
        <f>D1_JULIO_2025[[#This Row],[RECUPERO]]/C70</f>
        <v>0.54141935483870973</v>
      </c>
      <c r="E70" t="s">
        <v>8</v>
      </c>
      <c r="F70" t="s">
        <v>84</v>
      </c>
      <c r="G70">
        <v>8392</v>
      </c>
      <c r="H70" t="s">
        <v>473</v>
      </c>
      <c r="I70" s="55">
        <v>45800</v>
      </c>
      <c r="J70" t="s">
        <v>501</v>
      </c>
      <c r="L70" s="55"/>
      <c r="M70" s="1">
        <f>DATA_JULIO_2025[[#This Row],[RECUPERO]]/DATA_JULIO_2025[[#This Row],[META]]</f>
        <v>0.54594444444444445</v>
      </c>
      <c r="N70">
        <f>6-ROUNDUP(_xlfn.RANK.EQ(DATA_JULIO_2025[[#This Row],[AL_AC]],DATA_JULIO_2025[AL_AC],0)/(COUNTA(DATA_JULIO_2025[AL_AC])/5),0)</f>
        <v>3</v>
      </c>
      <c r="O70" t="s">
        <v>5</v>
      </c>
      <c r="P70">
        <f>SUM(DATA_JULIO_2025[[#This Row],[1]:[31]])</f>
        <v>29481</v>
      </c>
      <c r="Q70">
        <v>54000</v>
      </c>
      <c r="R70" t="s">
        <v>70</v>
      </c>
      <c r="Y70">
        <v>5500</v>
      </c>
      <c r="Z70">
        <v>550</v>
      </c>
      <c r="AC70">
        <v>2000</v>
      </c>
      <c r="AG70">
        <v>328</v>
      </c>
      <c r="AH70">
        <v>8243</v>
      </c>
      <c r="AI70">
        <v>4000</v>
      </c>
      <c r="AJ70">
        <v>3000</v>
      </c>
      <c r="AM70">
        <v>1800</v>
      </c>
      <c r="AQ70">
        <v>1310</v>
      </c>
      <c r="AS70">
        <v>1500</v>
      </c>
      <c r="AW70">
        <v>1250</v>
      </c>
      <c r="AX70" t="s">
        <v>150</v>
      </c>
    </row>
    <row r="71" spans="1:50" x14ac:dyDescent="0.25">
      <c r="A71" s="2" t="str">
        <f>D1_JULIO_2025[[#This Row],[SUPER2]]</f>
        <v>BRYAN</v>
      </c>
      <c r="B71" s="2" t="s">
        <v>43</v>
      </c>
      <c r="C71" s="2">
        <f>VLOOKUP(D1_JULIO_2025[[#This Row],[SUPER]],DATA_JULIO_2025[[SUPERVISOR]:[META]],3,0)</f>
        <v>15500</v>
      </c>
      <c r="D71" s="2">
        <f>D1_JULIO_2025[[#This Row],[RECUPERO]]/C71</f>
        <v>0.35909677419354841</v>
      </c>
      <c r="E71" t="s">
        <v>8</v>
      </c>
      <c r="F71" t="s">
        <v>43</v>
      </c>
      <c r="G71">
        <v>5566</v>
      </c>
      <c r="H71" t="s">
        <v>471</v>
      </c>
      <c r="I71" s="55">
        <v>45793</v>
      </c>
      <c r="J71" t="s">
        <v>501</v>
      </c>
      <c r="L71" s="55"/>
      <c r="M71" s="1">
        <f>DATA_JULIO_2025[[#This Row],[RECUPERO]]/DATA_JULIO_2025[[#This Row],[META]]</f>
        <v>0.68861538461538463</v>
      </c>
      <c r="N71">
        <f>6-ROUNDUP(_xlfn.RANK.EQ(DATA_JULIO_2025[[#This Row],[AL_AC]],DATA_JULIO_2025[AL_AC],0)/(COUNTA(DATA_JULIO_2025[AL_AC])/5),0)</f>
        <v>3</v>
      </c>
      <c r="O71" t="s">
        <v>4</v>
      </c>
      <c r="P71">
        <f>SUM(DATA_JULIO_2025[[#This Row],[1]:[31]])</f>
        <v>44760</v>
      </c>
      <c r="Q71">
        <v>65000</v>
      </c>
      <c r="R71" t="s">
        <v>64</v>
      </c>
      <c r="S71">
        <v>6100</v>
      </c>
      <c r="T71">
        <v>300</v>
      </c>
      <c r="Z71">
        <v>4200</v>
      </c>
      <c r="AC71">
        <v>13650</v>
      </c>
      <c r="AG71">
        <v>4250</v>
      </c>
      <c r="AH71">
        <v>1600</v>
      </c>
      <c r="AN71">
        <v>330</v>
      </c>
      <c r="AP71">
        <v>800</v>
      </c>
      <c r="AQ71">
        <v>900</v>
      </c>
      <c r="AV71">
        <v>530</v>
      </c>
      <c r="AW71">
        <v>12100</v>
      </c>
      <c r="AX71" t="s">
        <v>155</v>
      </c>
    </row>
    <row r="72" spans="1:50" x14ac:dyDescent="0.25">
      <c r="A72" s="2" t="str">
        <f>D1_JULIO_2025[[#This Row],[SUPER2]]</f>
        <v>BRYAN</v>
      </c>
      <c r="B72" s="2" t="s">
        <v>46</v>
      </c>
      <c r="C72" s="2">
        <f>VLOOKUP(D1_JULIO_2025[[#This Row],[SUPER]],DATA_JULIO_2025[[SUPERVISOR]:[META]],3,0)</f>
        <v>15500</v>
      </c>
      <c r="D72" s="2">
        <f>D1_JULIO_2025[[#This Row],[RECUPERO]]/C72</f>
        <v>0.25387096774193546</v>
      </c>
      <c r="E72" t="s">
        <v>8</v>
      </c>
      <c r="F72" t="s">
        <v>46</v>
      </c>
      <c r="G72">
        <v>3935</v>
      </c>
      <c r="H72" t="s">
        <v>394</v>
      </c>
      <c r="I72" s="55">
        <v>45344</v>
      </c>
      <c r="J72" t="s">
        <v>501</v>
      </c>
      <c r="L72" s="55"/>
      <c r="M72" s="1">
        <f>DATA_JULIO_2025[[#This Row],[RECUPERO]]/DATA_JULIO_2025[[#This Row],[META]]</f>
        <v>0.28064516129032258</v>
      </c>
      <c r="N72">
        <f>6-ROUNDUP(_xlfn.RANK.EQ(DATA_JULIO_2025[[#This Row],[AL_AC]],DATA_JULIO_2025[AL_AC],0)/(COUNTA(DATA_JULIO_2025[AL_AC])/5),0)</f>
        <v>1</v>
      </c>
      <c r="O72" t="s">
        <v>7</v>
      </c>
      <c r="P72">
        <f>SUM(DATA_JULIO_2025[[#This Row],[1]:[31]])</f>
        <v>4350</v>
      </c>
      <c r="Q72">
        <v>15500</v>
      </c>
      <c r="R72" t="s">
        <v>107</v>
      </c>
      <c r="W72">
        <v>1000</v>
      </c>
      <c r="Y72">
        <v>500</v>
      </c>
      <c r="AB72">
        <v>350</v>
      </c>
      <c r="AC72">
        <v>700</v>
      </c>
      <c r="AS72">
        <v>400</v>
      </c>
      <c r="AV72">
        <v>400</v>
      </c>
      <c r="AW72">
        <v>1000</v>
      </c>
      <c r="AX72" t="s">
        <v>152</v>
      </c>
    </row>
    <row r="73" spans="1:50" x14ac:dyDescent="0.25">
      <c r="A73" s="2" t="str">
        <f>D1_JULIO_2025[[#This Row],[SUPER2]]</f>
        <v>BRYAN</v>
      </c>
      <c r="B73" s="2" t="s">
        <v>45</v>
      </c>
      <c r="C73" s="2">
        <f>VLOOKUP(D1_JULIO_2025[[#This Row],[SUPER]],DATA_JULIO_2025[[SUPERVISOR]:[META]],3,0)</f>
        <v>15500</v>
      </c>
      <c r="D73" s="2">
        <f>D1_JULIO_2025[[#This Row],[RECUPERO]]/C73</f>
        <v>0.15387096774193548</v>
      </c>
      <c r="E73" t="s">
        <v>8</v>
      </c>
      <c r="F73" t="s">
        <v>45</v>
      </c>
      <c r="G73">
        <v>2385</v>
      </c>
      <c r="H73" t="s">
        <v>476</v>
      </c>
      <c r="I73" s="55">
        <v>38525</v>
      </c>
      <c r="J73" t="s">
        <v>501</v>
      </c>
      <c r="L73" s="55"/>
      <c r="M73" s="1">
        <f>DATA_JULIO_2025[[#This Row],[RECUPERO]]/DATA_JULIO_2025[[#This Row],[META]]</f>
        <v>0.50240740740740741</v>
      </c>
      <c r="N73">
        <f>6-ROUNDUP(_xlfn.RANK.EQ(DATA_JULIO_2025[[#This Row],[AL_AC]],DATA_JULIO_2025[AL_AC],0)/(COUNTA(DATA_JULIO_2025[AL_AC])/5),0)</f>
        <v>2</v>
      </c>
      <c r="O73" t="s">
        <v>2</v>
      </c>
      <c r="P73">
        <f>SUM(DATA_JULIO_2025[[#This Row],[1]:[31]])</f>
        <v>27130</v>
      </c>
      <c r="Q73">
        <v>54000</v>
      </c>
      <c r="R73" t="s">
        <v>11</v>
      </c>
      <c r="S73">
        <v>1720</v>
      </c>
      <c r="V73">
        <v>600</v>
      </c>
      <c r="X73">
        <v>1000</v>
      </c>
      <c r="Y73">
        <v>600</v>
      </c>
      <c r="AA73">
        <v>1155</v>
      </c>
      <c r="AB73">
        <v>3000</v>
      </c>
      <c r="AC73">
        <v>900</v>
      </c>
      <c r="AG73">
        <v>4100</v>
      </c>
      <c r="AH73">
        <v>1000</v>
      </c>
      <c r="AI73">
        <v>1000</v>
      </c>
      <c r="AK73">
        <v>7317</v>
      </c>
      <c r="AN73">
        <v>550</v>
      </c>
      <c r="AP73">
        <v>688</v>
      </c>
      <c r="AQ73">
        <v>1250</v>
      </c>
      <c r="AW73">
        <v>2250</v>
      </c>
      <c r="AX73" t="s">
        <v>150</v>
      </c>
    </row>
    <row r="74" spans="1:50" x14ac:dyDescent="0.25">
      <c r="A74" s="2" t="str">
        <f>D1_JULIO_2025[[#This Row],[SUPER2]]</f>
        <v>BRYAN</v>
      </c>
      <c r="B74" s="2" t="s">
        <v>47</v>
      </c>
      <c r="C74" s="2">
        <f>VLOOKUP(D1_JULIO_2025[[#This Row],[SUPER]],DATA_JULIO_2025[[SUPERVISOR]:[META]],3,0)</f>
        <v>15500</v>
      </c>
      <c r="D74" s="2">
        <f>D1_JULIO_2025[[#This Row],[RECUPERO]]/C74</f>
        <v>0</v>
      </c>
      <c r="E74" t="s">
        <v>8</v>
      </c>
      <c r="F74" t="s">
        <v>47</v>
      </c>
      <c r="G74">
        <v>0</v>
      </c>
      <c r="H74" t="s">
        <v>479</v>
      </c>
      <c r="I74" s="55">
        <v>45853</v>
      </c>
      <c r="J74" t="s">
        <v>501</v>
      </c>
      <c r="L74" s="55"/>
      <c r="M74" s="1">
        <f>DATA_JULIO_2025[[#This Row],[RECUPERO]]/DATA_JULIO_2025[[#This Row],[META]]</f>
        <v>0.23148387096774192</v>
      </c>
      <c r="N74">
        <f>6-ROUNDUP(_xlfn.RANK.EQ(DATA_JULIO_2025[[#This Row],[AL_AC]],DATA_JULIO_2025[AL_AC],0)/(COUNTA(DATA_JULIO_2025[AL_AC])/5),0)</f>
        <v>1</v>
      </c>
      <c r="O74" t="s">
        <v>7</v>
      </c>
      <c r="P74">
        <f>SUM(DATA_JULIO_2025[[#This Row],[1]:[31]])</f>
        <v>3588</v>
      </c>
      <c r="Q74">
        <v>15500</v>
      </c>
      <c r="R74" t="s">
        <v>74</v>
      </c>
      <c r="Y74">
        <v>918</v>
      </c>
      <c r="AA74">
        <v>1300</v>
      </c>
      <c r="AG74">
        <v>300</v>
      </c>
      <c r="AM74">
        <v>550</v>
      </c>
      <c r="AP74">
        <v>300</v>
      </c>
      <c r="AQ74">
        <v>220</v>
      </c>
      <c r="AX74" t="s">
        <v>152</v>
      </c>
    </row>
    <row r="75" spans="1:50" x14ac:dyDescent="0.25">
      <c r="A75" s="2" t="str">
        <f>D1_JULIO_2025[[#This Row],[SUPER2]]</f>
        <v>LUIS</v>
      </c>
      <c r="B75" s="2" t="s">
        <v>73</v>
      </c>
      <c r="C75" s="2">
        <f>VLOOKUP(D1_JULIO_2025[[#This Row],[SUPER]],DATA_JULIO_2025[[SUPERVISOR]:[META]],3,0)</f>
        <v>15500</v>
      </c>
      <c r="D75" s="2">
        <f>D1_JULIO_2025[[#This Row],[RECUPERO]]/C75</f>
        <v>1.421741935483871</v>
      </c>
      <c r="E75" t="s">
        <v>9</v>
      </c>
      <c r="F75" t="s">
        <v>73</v>
      </c>
      <c r="G75">
        <v>22037</v>
      </c>
      <c r="H75" t="s">
        <v>420</v>
      </c>
      <c r="I75" s="55">
        <v>45145</v>
      </c>
      <c r="J75" t="s">
        <v>501</v>
      </c>
      <c r="L75" s="55"/>
      <c r="M75" s="1">
        <f>DATA_JULIO_2025[[#This Row],[RECUPERO]]/DATA_JULIO_2025[[#This Row],[META]]</f>
        <v>0.22816666666666666</v>
      </c>
      <c r="N75">
        <f>6-ROUNDUP(_xlfn.RANK.EQ(DATA_JULIO_2025[[#This Row],[AL_AC]],DATA_JULIO_2025[AL_AC],0)/(COUNTA(DATA_JULIO_2025[AL_AC])/5),0)</f>
        <v>1</v>
      </c>
      <c r="O75" t="s">
        <v>5</v>
      </c>
      <c r="P75">
        <f>SUM(DATA_JULIO_2025[[#This Row],[1]:[31]])</f>
        <v>12321</v>
      </c>
      <c r="Q75">
        <v>54000</v>
      </c>
      <c r="R75" t="s">
        <v>79</v>
      </c>
      <c r="W75">
        <v>500</v>
      </c>
      <c r="Y75">
        <v>1000</v>
      </c>
      <c r="Z75">
        <v>1164</v>
      </c>
      <c r="AA75">
        <v>1500</v>
      </c>
      <c r="AF75">
        <v>1525</v>
      </c>
      <c r="AG75">
        <v>200</v>
      </c>
      <c r="AI75">
        <v>1600</v>
      </c>
      <c r="AP75">
        <v>1260</v>
      </c>
      <c r="AQ75">
        <v>212</v>
      </c>
      <c r="AV75">
        <v>2060</v>
      </c>
      <c r="AW75">
        <v>1300</v>
      </c>
      <c r="AX75" t="s">
        <v>150</v>
      </c>
    </row>
    <row r="76" spans="1:50" x14ac:dyDescent="0.25">
      <c r="A76" s="2" t="str">
        <f>D1_JULIO_2025[[#This Row],[SUPER2]]</f>
        <v>LUIS</v>
      </c>
      <c r="B76" s="2" t="s">
        <v>77</v>
      </c>
      <c r="C76" s="2">
        <f>VLOOKUP(D1_JULIO_2025[[#This Row],[SUPER]],DATA_JULIO_2025[[SUPERVISOR]:[META]],3,0)</f>
        <v>15500</v>
      </c>
      <c r="D76" s="2">
        <f>D1_JULIO_2025[[#This Row],[RECUPERO]]/C76</f>
        <v>1.0068387096774194</v>
      </c>
      <c r="E76" t="s">
        <v>9</v>
      </c>
      <c r="F76" t="s">
        <v>77</v>
      </c>
      <c r="G76">
        <v>15606</v>
      </c>
      <c r="H76" t="s">
        <v>393</v>
      </c>
      <c r="I76" s="55">
        <v>44840</v>
      </c>
      <c r="J76" t="s">
        <v>501</v>
      </c>
      <c r="L76" s="55"/>
      <c r="M76" s="1">
        <f>DATA_JULIO_2025[[#This Row],[RECUPERO]]/DATA_JULIO_2025[[#This Row],[META]]</f>
        <v>2.1010089230769231</v>
      </c>
      <c r="N76">
        <f>6-ROUNDUP(_xlfn.RANK.EQ(DATA_JULIO_2025[[#This Row],[AL_AC]],DATA_JULIO_2025[AL_AC],0)/(COUNTA(DATA_JULIO_2025[AL_AC])/5),0)</f>
        <v>5</v>
      </c>
      <c r="O76" t="s">
        <v>4</v>
      </c>
      <c r="P76">
        <f>SUM(DATA_JULIO_2025[[#This Row],[1]:[31]])</f>
        <v>136565.58000000002</v>
      </c>
      <c r="Q76">
        <v>65000</v>
      </c>
      <c r="R76" t="s">
        <v>59</v>
      </c>
      <c r="S76">
        <v>2600</v>
      </c>
      <c r="T76">
        <v>5250</v>
      </c>
      <c r="U76">
        <v>4950</v>
      </c>
      <c r="Y76">
        <v>809.58</v>
      </c>
      <c r="AB76">
        <v>10000</v>
      </c>
      <c r="AC76">
        <v>600</v>
      </c>
      <c r="AF76">
        <v>17900</v>
      </c>
      <c r="AG76">
        <v>3600</v>
      </c>
      <c r="AH76">
        <v>8300</v>
      </c>
      <c r="AJ76">
        <v>34600</v>
      </c>
      <c r="AK76">
        <v>5000</v>
      </c>
      <c r="AM76">
        <v>8100</v>
      </c>
      <c r="AN76">
        <v>3780</v>
      </c>
      <c r="AO76">
        <v>4000</v>
      </c>
      <c r="AP76">
        <v>3984</v>
      </c>
      <c r="AQ76">
        <v>14392</v>
      </c>
      <c r="AS76">
        <v>1500</v>
      </c>
      <c r="AV76">
        <v>4000</v>
      </c>
      <c r="AW76">
        <v>3200</v>
      </c>
      <c r="AX76" t="s">
        <v>155</v>
      </c>
    </row>
    <row r="77" spans="1:50" x14ac:dyDescent="0.25">
      <c r="A77" s="2" t="str">
        <f>D1_JULIO_2025[[#This Row],[SUPER2]]</f>
        <v>LUIS</v>
      </c>
      <c r="B77" s="2" t="s">
        <v>49</v>
      </c>
      <c r="C77" s="2">
        <f>VLOOKUP(D1_JULIO_2025[[#This Row],[SUPER]],DATA_JULIO_2025[[SUPERVISOR]:[META]],3,0)</f>
        <v>15500</v>
      </c>
      <c r="D77" s="2">
        <f>D1_JULIO_2025[[#This Row],[RECUPERO]]/C77</f>
        <v>0.80838709677419351</v>
      </c>
      <c r="E77" t="s">
        <v>9</v>
      </c>
      <c r="F77" t="s">
        <v>49</v>
      </c>
      <c r="G77">
        <v>12530</v>
      </c>
      <c r="H77" t="s">
        <v>436</v>
      </c>
      <c r="I77" s="55">
        <v>42814</v>
      </c>
      <c r="J77" t="s">
        <v>501</v>
      </c>
      <c r="L77" s="55"/>
      <c r="M77" s="1">
        <f>DATA_JULIO_2025[[#This Row],[RECUPERO]]/DATA_JULIO_2025[[#This Row],[META]]</f>
        <v>0.54141935483870973</v>
      </c>
      <c r="N77">
        <f>6-ROUNDUP(_xlfn.RANK.EQ(DATA_JULIO_2025[[#This Row],[AL_AC]],DATA_JULIO_2025[AL_AC],0)/(COUNTA(DATA_JULIO_2025[AL_AC])/5),0)</f>
        <v>3</v>
      </c>
      <c r="O77" t="s">
        <v>8</v>
      </c>
      <c r="P77">
        <f>SUM(DATA_JULIO_2025[[#This Row],[1]:[31]])</f>
        <v>8392</v>
      </c>
      <c r="Q77">
        <v>15500</v>
      </c>
      <c r="R77" t="s">
        <v>84</v>
      </c>
      <c r="T77">
        <v>2000</v>
      </c>
      <c r="U77">
        <v>700</v>
      </c>
      <c r="V77">
        <v>230</v>
      </c>
      <c r="Z77">
        <v>310</v>
      </c>
      <c r="AC77">
        <v>1550</v>
      </c>
      <c r="AI77">
        <v>1000</v>
      </c>
      <c r="AM77">
        <v>350</v>
      </c>
      <c r="AR77">
        <v>200</v>
      </c>
      <c r="AV77">
        <v>2052</v>
      </c>
      <c r="AX77" t="s">
        <v>153</v>
      </c>
    </row>
    <row r="78" spans="1:50" x14ac:dyDescent="0.25">
      <c r="A78" s="2" t="str">
        <f>D1_JULIO_2025[[#This Row],[SUPER2]]</f>
        <v>LUIS</v>
      </c>
      <c r="B78" s="2" t="s">
        <v>50</v>
      </c>
      <c r="C78" s="2">
        <f>VLOOKUP(D1_JULIO_2025[[#This Row],[SUPER]],DATA_JULIO_2025[[SUPERVISOR]:[META]],3,0)</f>
        <v>15500</v>
      </c>
      <c r="D78" s="2">
        <f>D1_JULIO_2025[[#This Row],[RECUPERO]]/C78</f>
        <v>0.76419354838709674</v>
      </c>
      <c r="E78" t="s">
        <v>9</v>
      </c>
      <c r="F78" t="s">
        <v>50</v>
      </c>
      <c r="G78">
        <v>11845</v>
      </c>
      <c r="H78" t="s">
        <v>402</v>
      </c>
      <c r="I78" s="55">
        <v>45523</v>
      </c>
      <c r="J78" t="s">
        <v>501</v>
      </c>
      <c r="L78" s="55"/>
      <c r="M78" s="1">
        <f>DATA_JULIO_2025[[#This Row],[RECUPERO]]/DATA_JULIO_2025[[#This Row],[META]]</f>
        <v>0.25064615384615385</v>
      </c>
      <c r="N78">
        <f>6-ROUNDUP(_xlfn.RANK.EQ(DATA_JULIO_2025[[#This Row],[AL_AC]],DATA_JULIO_2025[AL_AC],0)/(COUNTA(DATA_JULIO_2025[AL_AC])/5),0)</f>
        <v>1</v>
      </c>
      <c r="O78" t="s">
        <v>4</v>
      </c>
      <c r="P78">
        <f>SUM(DATA_JULIO_2025[[#This Row],[1]:[31]])</f>
        <v>16292</v>
      </c>
      <c r="Q78">
        <v>65000</v>
      </c>
      <c r="R78" t="s">
        <v>63</v>
      </c>
      <c r="S78">
        <v>260</v>
      </c>
      <c r="AC78">
        <v>2760</v>
      </c>
      <c r="AI78">
        <v>1500</v>
      </c>
      <c r="AQ78">
        <v>3000</v>
      </c>
      <c r="AV78">
        <v>6072</v>
      </c>
      <c r="AW78">
        <v>2700</v>
      </c>
      <c r="AX78" t="s">
        <v>155</v>
      </c>
    </row>
    <row r="79" spans="1:50" x14ac:dyDescent="0.25">
      <c r="A79" s="2" t="str">
        <f>D1_JULIO_2025[[#This Row],[SUPER2]]</f>
        <v>LUIS</v>
      </c>
      <c r="B79" s="2" t="s">
        <v>53</v>
      </c>
      <c r="C79" s="2">
        <f>VLOOKUP(D1_JULIO_2025[[#This Row],[SUPER]],DATA_JULIO_2025[[SUPERVISOR]:[META]],3,0)</f>
        <v>15500</v>
      </c>
      <c r="D79" s="2">
        <f>D1_JULIO_2025[[#This Row],[RECUPERO]]/C79</f>
        <v>0.8180645161290323</v>
      </c>
      <c r="E79" t="s">
        <v>9</v>
      </c>
      <c r="F79" t="s">
        <v>53</v>
      </c>
      <c r="G79">
        <v>12680</v>
      </c>
      <c r="H79" t="s">
        <v>457</v>
      </c>
      <c r="I79" s="55">
        <v>45727</v>
      </c>
      <c r="J79" t="s">
        <v>501</v>
      </c>
      <c r="L79" s="55"/>
      <c r="M79" s="1">
        <f>DATA_JULIO_2025[[#This Row],[RECUPERO]]/DATA_JULIO_2025[[#This Row],[META]]</f>
        <v>0.80909677419354842</v>
      </c>
      <c r="N79">
        <f>6-ROUNDUP(_xlfn.RANK.EQ(DATA_JULIO_2025[[#This Row],[AL_AC]],DATA_JULIO_2025[AL_AC],0)/(COUNTA(DATA_JULIO_2025[AL_AC])/5),0)</f>
        <v>4</v>
      </c>
      <c r="O79" t="s">
        <v>7</v>
      </c>
      <c r="P79">
        <f>SUM(DATA_JULIO_2025[[#This Row],[1]:[31]])</f>
        <v>12541</v>
      </c>
      <c r="Q79">
        <v>15500</v>
      </c>
      <c r="R79" t="s">
        <v>103</v>
      </c>
      <c r="T79">
        <v>2300</v>
      </c>
      <c r="Y79">
        <v>200</v>
      </c>
      <c r="AG79">
        <v>3000</v>
      </c>
      <c r="AH79">
        <v>3300</v>
      </c>
      <c r="AI79">
        <v>241</v>
      </c>
      <c r="AJ79">
        <v>2500</v>
      </c>
      <c r="AM79">
        <v>1000</v>
      </c>
      <c r="AX79" t="s">
        <v>152</v>
      </c>
    </row>
    <row r="80" spans="1:50" x14ac:dyDescent="0.25">
      <c r="A80" s="2" t="str">
        <f>D1_JULIO_2025[[#This Row],[SUPER2]]</f>
        <v>LUIS</v>
      </c>
      <c r="B80" s="2" t="s">
        <v>56</v>
      </c>
      <c r="C80" s="2">
        <f>VLOOKUP(D1_JULIO_2025[[#This Row],[SUPER]],DATA_JULIO_2025[[SUPERVISOR]:[META]],3,0)</f>
        <v>15500</v>
      </c>
      <c r="D80" s="2">
        <f>D1_JULIO_2025[[#This Row],[RECUPERO]]/C80</f>
        <v>0.58606451612903221</v>
      </c>
      <c r="E80" t="s">
        <v>9</v>
      </c>
      <c r="F80" t="s">
        <v>56</v>
      </c>
      <c r="G80">
        <v>9084</v>
      </c>
      <c r="H80" t="s">
        <v>464</v>
      </c>
      <c r="I80" s="55">
        <v>45772</v>
      </c>
      <c r="J80" t="s">
        <v>501</v>
      </c>
      <c r="L80" s="55"/>
      <c r="M80" s="1">
        <f>DATA_JULIO_2025[[#This Row],[RECUPERO]]/DATA_JULIO_2025[[#This Row],[META]]</f>
        <v>1.421741935483871</v>
      </c>
      <c r="N80">
        <f>6-ROUNDUP(_xlfn.RANK.EQ(DATA_JULIO_2025[[#This Row],[AL_AC]],DATA_JULIO_2025[AL_AC],0)/(COUNTA(DATA_JULIO_2025[AL_AC])/5),0)</f>
        <v>5</v>
      </c>
      <c r="O80" t="s">
        <v>9</v>
      </c>
      <c r="P80">
        <f>SUM(DATA_JULIO_2025[[#This Row],[1]:[31]])</f>
        <v>22037</v>
      </c>
      <c r="Q80">
        <v>15500</v>
      </c>
      <c r="R80" t="s">
        <v>73</v>
      </c>
      <c r="S80">
        <v>1000</v>
      </c>
      <c r="T80">
        <v>417</v>
      </c>
      <c r="U80">
        <v>200</v>
      </c>
      <c r="V80">
        <v>1000</v>
      </c>
      <c r="Z80">
        <v>200</v>
      </c>
      <c r="AA80">
        <v>200</v>
      </c>
      <c r="AB80">
        <v>3000</v>
      </c>
      <c r="AF80">
        <v>2500</v>
      </c>
      <c r="AG80">
        <v>200</v>
      </c>
      <c r="AI80">
        <v>1500</v>
      </c>
      <c r="AJ80">
        <v>1440</v>
      </c>
      <c r="AM80">
        <v>200</v>
      </c>
      <c r="AN80">
        <v>3000</v>
      </c>
      <c r="AQ80">
        <v>1400</v>
      </c>
      <c r="AV80">
        <v>900</v>
      </c>
      <c r="AW80">
        <v>4880</v>
      </c>
      <c r="AX80" t="s">
        <v>153</v>
      </c>
    </row>
    <row r="81" spans="1:50" x14ac:dyDescent="0.25">
      <c r="A81" s="2" t="str">
        <f>D1_JULIO_2025[[#This Row],[SUPER2]]</f>
        <v>LUIS</v>
      </c>
      <c r="B81" s="2" t="s">
        <v>51</v>
      </c>
      <c r="C81" s="2">
        <f>VLOOKUP(D1_JULIO_2025[[#This Row],[SUPER]],DATA_JULIO_2025[[SUPERVISOR]:[META]],3,0)</f>
        <v>15500</v>
      </c>
      <c r="D81" s="2">
        <f>D1_JULIO_2025[[#This Row],[RECUPERO]]/C81</f>
        <v>0.53812903225806452</v>
      </c>
      <c r="E81" t="s">
        <v>9</v>
      </c>
      <c r="F81" t="s">
        <v>51</v>
      </c>
      <c r="G81">
        <v>8341</v>
      </c>
      <c r="H81" t="s">
        <v>413</v>
      </c>
      <c r="I81" s="55">
        <v>45674</v>
      </c>
      <c r="J81" t="s">
        <v>501</v>
      </c>
      <c r="L81" s="55"/>
      <c r="M81" s="1">
        <f>DATA_JULIO_2025[[#This Row],[RECUPERO]]/DATA_JULIO_2025[[#This Row],[META]]</f>
        <v>0.15901851851851853</v>
      </c>
      <c r="N81">
        <f>6-ROUNDUP(_xlfn.RANK.EQ(DATA_JULIO_2025[[#This Row],[AL_AC]],DATA_JULIO_2025[AL_AC],0)/(COUNTA(DATA_JULIO_2025[AL_AC])/5),0)</f>
        <v>1</v>
      </c>
      <c r="O81" t="s">
        <v>2</v>
      </c>
      <c r="P81">
        <f>SUM(DATA_JULIO_2025[[#This Row],[1]:[31]])</f>
        <v>8587</v>
      </c>
      <c r="Q81">
        <v>54000</v>
      </c>
      <c r="R81" t="s">
        <v>86</v>
      </c>
      <c r="S81">
        <v>1300</v>
      </c>
      <c r="Z81">
        <v>537</v>
      </c>
      <c r="AB81">
        <v>600</v>
      </c>
      <c r="AG81">
        <v>3500</v>
      </c>
      <c r="AK81">
        <v>450</v>
      </c>
      <c r="AQ81">
        <v>2200</v>
      </c>
      <c r="AX81" t="s">
        <v>150</v>
      </c>
    </row>
    <row r="82" spans="1:50" x14ac:dyDescent="0.25">
      <c r="A82" s="2" t="str">
        <f>D1_JULIO_2025[[#This Row],[SUPER2]]</f>
        <v>LUIS</v>
      </c>
      <c r="B82" s="2" t="s">
        <v>54</v>
      </c>
      <c r="C82" s="2">
        <f>VLOOKUP(D1_JULIO_2025[[#This Row],[SUPER]],DATA_JULIO_2025[[SUPERVISOR]:[META]],3,0)</f>
        <v>15500</v>
      </c>
      <c r="D82" s="2">
        <f>D1_JULIO_2025[[#This Row],[RECUPERO]]/C82</f>
        <v>0.50638709677419358</v>
      </c>
      <c r="E82" t="s">
        <v>9</v>
      </c>
      <c r="F82" t="s">
        <v>54</v>
      </c>
      <c r="G82">
        <v>7849</v>
      </c>
      <c r="H82" t="s">
        <v>474</v>
      </c>
      <c r="I82" s="55">
        <v>45819</v>
      </c>
      <c r="J82" t="s">
        <v>501</v>
      </c>
      <c r="L82" s="55"/>
      <c r="M82" s="1">
        <f>DATA_JULIO_2025[[#This Row],[RECUPERO]]/DATA_JULIO_2025[[#This Row],[META]]</f>
        <v>0.85</v>
      </c>
      <c r="N82">
        <f>6-ROUNDUP(_xlfn.RANK.EQ(DATA_JULIO_2025[[#This Row],[AL_AC]],DATA_JULIO_2025[AL_AC],0)/(COUNTA(DATA_JULIO_2025[AL_AC])/5),0)</f>
        <v>4</v>
      </c>
      <c r="O82" t="s">
        <v>6</v>
      </c>
      <c r="P82">
        <f>SUM(DATA_JULIO_2025[[#This Row],[1]:[31]])</f>
        <v>22100</v>
      </c>
      <c r="Q82">
        <v>26000</v>
      </c>
      <c r="R82" t="s">
        <v>34</v>
      </c>
      <c r="S82">
        <v>500</v>
      </c>
      <c r="U82">
        <v>3600</v>
      </c>
      <c r="Y82">
        <v>2220</v>
      </c>
      <c r="Z82">
        <v>220</v>
      </c>
      <c r="AA82">
        <v>200</v>
      </c>
      <c r="AF82">
        <v>3087</v>
      </c>
      <c r="AG82">
        <v>5500</v>
      </c>
      <c r="AH82">
        <v>800</v>
      </c>
      <c r="AJ82">
        <v>450</v>
      </c>
      <c r="AM82">
        <v>500</v>
      </c>
      <c r="AN82">
        <v>400</v>
      </c>
      <c r="AQ82">
        <v>1270</v>
      </c>
      <c r="AV82">
        <v>1300</v>
      </c>
      <c r="AW82">
        <v>2053</v>
      </c>
      <c r="AX82" t="s">
        <v>156</v>
      </c>
    </row>
    <row r="83" spans="1:50" x14ac:dyDescent="0.25">
      <c r="A83" s="2" t="str">
        <f>D1_JULIO_2025[[#This Row],[SUPER2]]</f>
        <v>LUIS</v>
      </c>
      <c r="B83" s="2" t="s">
        <v>55</v>
      </c>
      <c r="C83" s="2">
        <f>VLOOKUP(D1_JULIO_2025[[#This Row],[SUPER]],DATA_JULIO_2025[[SUPERVISOR]:[META]],3,0)</f>
        <v>15500</v>
      </c>
      <c r="D83" s="2">
        <f>D1_JULIO_2025[[#This Row],[RECUPERO]]/C83</f>
        <v>0.41625806451612901</v>
      </c>
      <c r="E83" t="s">
        <v>9</v>
      </c>
      <c r="F83" t="s">
        <v>55</v>
      </c>
      <c r="G83">
        <v>6452</v>
      </c>
      <c r="H83" t="s">
        <v>475</v>
      </c>
      <c r="I83" s="55">
        <v>45818</v>
      </c>
      <c r="J83" t="s">
        <v>501</v>
      </c>
      <c r="L83" s="55"/>
      <c r="M83" s="1">
        <f>DATA_JULIO_2025[[#This Row],[RECUPERO]]/DATA_JULIO_2025[[#This Row],[META]]</f>
        <v>0.13592307692307692</v>
      </c>
      <c r="N83">
        <f>6-ROUNDUP(_xlfn.RANK.EQ(DATA_JULIO_2025[[#This Row],[AL_AC]],DATA_JULIO_2025[AL_AC],0)/(COUNTA(DATA_JULIO_2025[AL_AC])/5),0)</f>
        <v>1</v>
      </c>
      <c r="O83" t="s">
        <v>3</v>
      </c>
      <c r="P83">
        <f>SUM(DATA_JULIO_2025[[#This Row],[1]:[31]])</f>
        <v>8835</v>
      </c>
      <c r="Q83">
        <v>65000</v>
      </c>
      <c r="R83" t="s">
        <v>30</v>
      </c>
      <c r="S83">
        <v>2650</v>
      </c>
      <c r="Y83">
        <v>1500</v>
      </c>
      <c r="Z83">
        <v>100</v>
      </c>
      <c r="AC83">
        <v>618</v>
      </c>
      <c r="AN83">
        <v>490</v>
      </c>
      <c r="AW83">
        <v>3477</v>
      </c>
      <c r="AX83" t="s">
        <v>155</v>
      </c>
    </row>
    <row r="84" spans="1:50" x14ac:dyDescent="0.25">
      <c r="A84" s="2" t="str">
        <f>D1_JULIO_2025[[#This Row],[SUPER2]]</f>
        <v>LUIS</v>
      </c>
      <c r="B84" s="2" t="s">
        <v>82</v>
      </c>
      <c r="C84" s="2">
        <f>VLOOKUP(D1_JULIO_2025[[#This Row],[SUPER]],DATA_JULIO_2025[[SUPERVISOR]:[META]],3,0)</f>
        <v>15500</v>
      </c>
      <c r="D84" s="2">
        <f>D1_JULIO_2025[[#This Row],[RECUPERO]]/C84</f>
        <v>0.21612903225806451</v>
      </c>
      <c r="E84" t="s">
        <v>9</v>
      </c>
      <c r="F84" t="s">
        <v>82</v>
      </c>
      <c r="G84">
        <v>3350</v>
      </c>
      <c r="H84" t="s">
        <v>465</v>
      </c>
      <c r="I84" s="55">
        <v>45798</v>
      </c>
      <c r="J84" t="s">
        <v>501</v>
      </c>
      <c r="L84" s="55"/>
      <c r="M84" s="1">
        <f>DATA_JULIO_2025[[#This Row],[RECUPERO]]/DATA_JULIO_2025[[#This Row],[META]]</f>
        <v>2.1562692307692308</v>
      </c>
      <c r="N84">
        <f>6-ROUNDUP(_xlfn.RANK.EQ(DATA_JULIO_2025[[#This Row],[AL_AC]],DATA_JULIO_2025[AL_AC],0)/(COUNTA(DATA_JULIO_2025[AL_AC])/5),0)</f>
        <v>5</v>
      </c>
      <c r="O84" t="s">
        <v>6</v>
      </c>
      <c r="P84">
        <f>SUM(DATA_JULIO_2025[[#This Row],[1]:[31]])</f>
        <v>56063</v>
      </c>
      <c r="Q84">
        <v>26000</v>
      </c>
      <c r="R84" t="s">
        <v>78</v>
      </c>
      <c r="V84">
        <v>800</v>
      </c>
      <c r="Y84">
        <v>853</v>
      </c>
      <c r="AA84">
        <v>25812</v>
      </c>
      <c r="AC84">
        <v>8000</v>
      </c>
      <c r="AF84">
        <v>1500</v>
      </c>
      <c r="AG84">
        <v>1200</v>
      </c>
      <c r="AH84">
        <v>843</v>
      </c>
      <c r="AI84">
        <v>1700</v>
      </c>
      <c r="AJ84">
        <v>3700</v>
      </c>
      <c r="AM84">
        <v>2395</v>
      </c>
      <c r="AV84">
        <v>6800</v>
      </c>
      <c r="AW84">
        <v>2460</v>
      </c>
      <c r="AX84" t="s">
        <v>156</v>
      </c>
    </row>
    <row r="85" spans="1:50" x14ac:dyDescent="0.25">
      <c r="A85" s="2" t="str">
        <f>D1_JULIO_2025[[#This Row],[SUPER2]]</f>
        <v>LUIS</v>
      </c>
      <c r="B85" s="2" t="s">
        <v>52</v>
      </c>
      <c r="C85" s="2">
        <f>VLOOKUP(D1_JULIO_2025[[#This Row],[SUPER]],DATA_JULIO_2025[[SUPERVISOR]:[META]],3,0)</f>
        <v>15500</v>
      </c>
      <c r="D85" s="2">
        <f>D1_JULIO_2025[[#This Row],[RECUPERO]]/C85</f>
        <v>0</v>
      </c>
      <c r="E85" t="s">
        <v>9</v>
      </c>
      <c r="F85" t="s">
        <v>52</v>
      </c>
      <c r="G85">
        <v>0</v>
      </c>
      <c r="H85" t="s">
        <v>480</v>
      </c>
      <c r="I85" s="55">
        <v>45862</v>
      </c>
      <c r="J85" t="s">
        <v>501</v>
      </c>
      <c r="L85" s="55"/>
      <c r="M85" s="1">
        <f>DATA_JULIO_2025[[#This Row],[RECUPERO]]/DATA_JULIO_2025[[#This Row],[META]]</f>
        <v>0.7699677419354839</v>
      </c>
      <c r="N85">
        <f>6-ROUNDUP(_xlfn.RANK.EQ(DATA_JULIO_2025[[#This Row],[AL_AC]],DATA_JULIO_2025[AL_AC],0)/(COUNTA(DATA_JULIO_2025[AL_AC])/5),0)</f>
        <v>4</v>
      </c>
      <c r="O85" t="s">
        <v>8</v>
      </c>
      <c r="P85">
        <f>SUM(DATA_JULIO_2025[[#This Row],[1]:[31]])</f>
        <v>11934.5</v>
      </c>
      <c r="Q85">
        <v>15500</v>
      </c>
      <c r="R85" t="s">
        <v>48</v>
      </c>
      <c r="S85">
        <v>150</v>
      </c>
      <c r="T85">
        <v>250</v>
      </c>
      <c r="V85">
        <v>928</v>
      </c>
      <c r="Y85">
        <v>219.2</v>
      </c>
      <c r="Z85">
        <v>257.3</v>
      </c>
      <c r="AC85">
        <v>1500</v>
      </c>
      <c r="AF85">
        <v>775</v>
      </c>
      <c r="AG85">
        <v>400</v>
      </c>
      <c r="AI85">
        <v>1200</v>
      </c>
      <c r="AJ85">
        <v>1500</v>
      </c>
      <c r="AM85">
        <v>350</v>
      </c>
      <c r="AN85">
        <v>1700</v>
      </c>
      <c r="AP85">
        <v>200</v>
      </c>
      <c r="AQ85">
        <v>250</v>
      </c>
      <c r="AU85">
        <v>845</v>
      </c>
      <c r="AV85">
        <v>1000</v>
      </c>
      <c r="AW85">
        <v>410</v>
      </c>
      <c r="AX85" t="s">
        <v>153</v>
      </c>
    </row>
    <row r="86" spans="1:50" x14ac:dyDescent="0.25">
      <c r="M86" s="1">
        <f>DATA_JULIO_2025[[#This Row],[RECUPERO]]/DATA_JULIO_2025[[#This Row],[META]]</f>
        <v>0.94387037037037036</v>
      </c>
      <c r="N86">
        <f>6-ROUNDUP(_xlfn.RANK.EQ(DATA_JULIO_2025[[#This Row],[AL_AC]],DATA_JULIO_2025[AL_AC],0)/(COUNTA(DATA_JULIO_2025[AL_AC])/5),0)</f>
        <v>4</v>
      </c>
      <c r="O86" t="s">
        <v>2</v>
      </c>
      <c r="P86">
        <f>SUM(DATA_JULIO_2025[[#This Row],[1]:[31]])</f>
        <v>50969</v>
      </c>
      <c r="Q86">
        <v>54000</v>
      </c>
      <c r="R86" t="s">
        <v>10</v>
      </c>
      <c r="S86">
        <v>50</v>
      </c>
      <c r="T86">
        <v>1250</v>
      </c>
      <c r="U86">
        <v>1500</v>
      </c>
      <c r="Z86">
        <v>2200</v>
      </c>
      <c r="AA86">
        <v>400</v>
      </c>
      <c r="AF86">
        <v>1200</v>
      </c>
      <c r="AG86">
        <v>4500</v>
      </c>
      <c r="AH86">
        <v>1400</v>
      </c>
      <c r="AJ86">
        <v>4000</v>
      </c>
      <c r="AM86">
        <v>4100</v>
      </c>
      <c r="AP86">
        <v>2000</v>
      </c>
      <c r="AQ86">
        <v>362</v>
      </c>
      <c r="AS86">
        <v>485</v>
      </c>
      <c r="AT86">
        <v>642</v>
      </c>
      <c r="AV86">
        <v>4180</v>
      </c>
      <c r="AW86">
        <v>22700</v>
      </c>
      <c r="AX86" t="s">
        <v>150</v>
      </c>
    </row>
    <row r="87" spans="1:50" x14ac:dyDescent="0.25">
      <c r="M87" s="1">
        <f>DATA_JULIO_2025[[#This Row],[RECUPERO]]/DATA_JULIO_2025[[#This Row],[META]]</f>
        <v>2.1022955384615383</v>
      </c>
      <c r="N87">
        <f>6-ROUNDUP(_xlfn.RANK.EQ(DATA_JULIO_2025[[#This Row],[AL_AC]],DATA_JULIO_2025[AL_AC],0)/(COUNTA(DATA_JULIO_2025[AL_AC])/5),0)</f>
        <v>5</v>
      </c>
      <c r="O87" t="s">
        <v>3</v>
      </c>
      <c r="P87">
        <f>SUM(DATA_JULIO_2025[[#This Row],[1]:[31]])</f>
        <v>136649.21</v>
      </c>
      <c r="Q87">
        <v>65000</v>
      </c>
      <c r="R87" t="s">
        <v>76</v>
      </c>
      <c r="U87">
        <v>30826.81</v>
      </c>
      <c r="Y87">
        <v>9762</v>
      </c>
      <c r="Z87">
        <v>2000</v>
      </c>
      <c r="AB87">
        <v>2000</v>
      </c>
      <c r="AC87">
        <v>20700</v>
      </c>
      <c r="AF87">
        <v>15870</v>
      </c>
      <c r="AG87">
        <v>3420</v>
      </c>
      <c r="AH87">
        <v>2800</v>
      </c>
      <c r="AL87">
        <v>600</v>
      </c>
      <c r="AM87">
        <v>17264</v>
      </c>
      <c r="AP87">
        <v>506.4</v>
      </c>
      <c r="AV87">
        <v>12500</v>
      </c>
      <c r="AW87">
        <v>18400</v>
      </c>
      <c r="AX87" t="s">
        <v>155</v>
      </c>
    </row>
    <row r="88" spans="1:50" x14ac:dyDescent="0.25">
      <c r="M88" s="1">
        <f>DATA_JULIO_2025[[#This Row],[RECUPERO]]/DATA_JULIO_2025[[#This Row],[META]]</f>
        <v>0.43580769230769228</v>
      </c>
      <c r="N88">
        <f>6-ROUNDUP(_xlfn.RANK.EQ(DATA_JULIO_2025[[#This Row],[AL_AC]],DATA_JULIO_2025[AL_AC],0)/(COUNTA(DATA_JULIO_2025[AL_AC])/5),0)</f>
        <v>2</v>
      </c>
      <c r="O88" t="s">
        <v>6</v>
      </c>
      <c r="P88">
        <f>SUM(DATA_JULIO_2025[[#This Row],[1]:[31]])</f>
        <v>11331</v>
      </c>
      <c r="Q88">
        <v>26000</v>
      </c>
      <c r="R88" t="s">
        <v>39</v>
      </c>
      <c r="T88">
        <v>231</v>
      </c>
      <c r="Y88">
        <v>50</v>
      </c>
      <c r="AA88">
        <v>233</v>
      </c>
      <c r="AC88">
        <v>155</v>
      </c>
      <c r="AF88">
        <v>1849</v>
      </c>
      <c r="AG88">
        <v>609</v>
      </c>
      <c r="AH88">
        <v>1352</v>
      </c>
      <c r="AI88">
        <v>500</v>
      </c>
      <c r="AJ88">
        <v>3000</v>
      </c>
      <c r="AM88">
        <v>467</v>
      </c>
      <c r="AN88">
        <v>450</v>
      </c>
      <c r="AQ88">
        <v>400</v>
      </c>
      <c r="AV88">
        <v>406</v>
      </c>
      <c r="AW88">
        <v>1629</v>
      </c>
      <c r="AX88" t="s">
        <v>156</v>
      </c>
    </row>
    <row r="89" spans="1:50" x14ac:dyDescent="0.25">
      <c r="M89" s="1">
        <f>DATA_JULIO_2025[[#This Row],[RECUPERO]]/DATA_JULIO_2025[[#This Row],[META]]</f>
        <v>0.58606451612903221</v>
      </c>
      <c r="N89">
        <f>6-ROUNDUP(_xlfn.RANK.EQ(DATA_JULIO_2025[[#This Row],[AL_AC]],DATA_JULIO_2025[AL_AC],0)/(COUNTA(DATA_JULIO_2025[AL_AC])/5),0)</f>
        <v>3</v>
      </c>
      <c r="O89" t="s">
        <v>9</v>
      </c>
      <c r="P89">
        <f>SUM(DATA_JULIO_2025[[#This Row],[1]:[31]])</f>
        <v>9084</v>
      </c>
      <c r="Q89">
        <v>15500</v>
      </c>
      <c r="R89" t="s">
        <v>56</v>
      </c>
      <c r="S89">
        <v>250</v>
      </c>
      <c r="T89">
        <v>1000</v>
      </c>
      <c r="U89">
        <v>207</v>
      </c>
      <c r="Y89">
        <v>300</v>
      </c>
      <c r="Z89">
        <v>750</v>
      </c>
      <c r="AA89">
        <v>200</v>
      </c>
      <c r="AB89">
        <v>900</v>
      </c>
      <c r="AI89">
        <v>667</v>
      </c>
      <c r="AJ89">
        <v>1600</v>
      </c>
      <c r="AM89">
        <v>1000</v>
      </c>
      <c r="AN89">
        <v>560</v>
      </c>
      <c r="AQ89">
        <v>350</v>
      </c>
      <c r="AV89">
        <v>250</v>
      </c>
      <c r="AW89">
        <v>1050</v>
      </c>
      <c r="AX89" t="s">
        <v>153</v>
      </c>
    </row>
  </sheetData>
  <sheetProtection formatCells="0" insertColumns="0" insertRows="0" deleteColumns="0" deleteRows="0" sort="0" autoFilter="0" pivotTables="0"/>
  <phoneticPr fontId="2" type="noConversion"/>
  <pageMargins left="0.7" right="0.7" top="0.75" bottom="0.75" header="0.3" footer="0.3"/>
  <tableParts count="4">
    <tablePart r:id="rId1"/>
    <tablePart r:id="rId2"/>
    <tablePart r:id="rId3"/>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80B0C-DA6F-416C-8C67-D086E138C113}">
  <sheetPr codeName="Hoja2"/>
  <dimension ref="A1:CO91"/>
  <sheetViews>
    <sheetView zoomScale="70" zoomScaleNormal="70" workbookViewId="0">
      <selection activeCell="N8" sqref="N8"/>
    </sheetView>
  </sheetViews>
  <sheetFormatPr baseColWidth="10" defaultRowHeight="15" x14ac:dyDescent="0.25"/>
  <cols>
    <col min="1" max="1" width="9.42578125" customWidth="1"/>
    <col min="2" max="3" width="22.7109375" customWidth="1"/>
    <col min="4" max="5" width="13.42578125" customWidth="1"/>
    <col min="6" max="6" width="12.28515625" customWidth="1"/>
    <col min="7" max="7" width="10.42578125" customWidth="1"/>
    <col min="8" max="8" width="11.42578125" customWidth="1"/>
    <col min="9" max="9" width="11.42578125" style="55" customWidth="1"/>
    <col min="10" max="12" width="11.42578125" customWidth="1"/>
    <col min="13" max="13" width="16" bestFit="1" customWidth="1"/>
    <col min="14" max="14" width="15.140625" bestFit="1" customWidth="1"/>
    <col min="15" max="15" width="22.7109375" customWidth="1"/>
    <col min="16" max="16" width="11.42578125" customWidth="1"/>
    <col min="18" max="18" width="27.28515625" bestFit="1" customWidth="1"/>
  </cols>
  <sheetData>
    <row r="1" spans="1:93" x14ac:dyDescent="0.25">
      <c r="L1" s="55"/>
    </row>
    <row r="2" spans="1:93" x14ac:dyDescent="0.25">
      <c r="A2" s="8" t="s">
        <v>94</v>
      </c>
      <c r="B2" s="8" t="s">
        <v>108</v>
      </c>
      <c r="C2" s="31" t="s">
        <v>90</v>
      </c>
      <c r="D2" s="31" t="s">
        <v>1</v>
      </c>
      <c r="E2" s="31" t="s">
        <v>202</v>
      </c>
      <c r="F2" s="37" t="s">
        <v>0</v>
      </c>
      <c r="G2" s="37" t="s">
        <v>95</v>
      </c>
      <c r="H2" s="57" t="s">
        <v>376</v>
      </c>
      <c r="I2" s="69" t="s">
        <v>558</v>
      </c>
      <c r="J2" s="59" t="s">
        <v>499</v>
      </c>
      <c r="K2" s="59" t="s">
        <v>567</v>
      </c>
      <c r="L2" s="55"/>
      <c r="M2" s="32" t="s">
        <v>166</v>
      </c>
      <c r="N2" s="32" t="s">
        <v>136</v>
      </c>
      <c r="O2" s="32" t="s">
        <v>205</v>
      </c>
    </row>
    <row r="3" spans="1:93" ht="26.25" x14ac:dyDescent="0.4">
      <c r="A3" s="66" t="str">
        <f>D1_AGOSTO_2025[[#This Row],[SUPER2]]</f>
        <v>LEONOR</v>
      </c>
      <c r="B3" s="65" t="s">
        <v>74</v>
      </c>
      <c r="C3" s="66"/>
      <c r="D3" s="66"/>
      <c r="E3" s="66" t="s">
        <v>7</v>
      </c>
      <c r="F3" s="65" t="s">
        <v>74</v>
      </c>
      <c r="G3" s="65"/>
      <c r="H3" s="65" t="s">
        <v>395</v>
      </c>
      <c r="I3" s="67">
        <v>44470</v>
      </c>
      <c r="J3" s="67" t="s">
        <v>500</v>
      </c>
      <c r="L3" s="55"/>
      <c r="M3" s="33">
        <v>2025</v>
      </c>
      <c r="N3" s="33" t="s">
        <v>146</v>
      </c>
      <c r="O3" s="33">
        <v>20</v>
      </c>
    </row>
    <row r="4" spans="1:93" x14ac:dyDescent="0.25">
      <c r="A4" s="66" t="str">
        <f>D1_AGOSTO_2025[[#This Row],[SUPER2]]</f>
        <v>MELINA</v>
      </c>
      <c r="B4" s="65" t="s">
        <v>75</v>
      </c>
      <c r="C4" s="66"/>
      <c r="D4" s="66"/>
      <c r="E4" s="66" t="s">
        <v>4</v>
      </c>
      <c r="F4" s="65" t="s">
        <v>75</v>
      </c>
      <c r="G4" s="65"/>
      <c r="H4" s="65" t="s">
        <v>428</v>
      </c>
      <c r="I4" s="67">
        <v>44714</v>
      </c>
      <c r="J4" s="67" t="s">
        <v>500</v>
      </c>
      <c r="L4" s="55"/>
    </row>
    <row r="5" spans="1:93" x14ac:dyDescent="0.25">
      <c r="A5" s="66" t="str">
        <f>D1_AGOSTO_2025[[#This Row],[SUPER2]]</f>
        <v>JOHAN</v>
      </c>
      <c r="B5" s="65" t="s">
        <v>76</v>
      </c>
      <c r="C5" s="66"/>
      <c r="D5" s="66"/>
      <c r="E5" s="66" t="s">
        <v>125</v>
      </c>
      <c r="F5" s="65" t="s">
        <v>76</v>
      </c>
      <c r="G5" s="65"/>
      <c r="H5" s="65" t="s">
        <v>408</v>
      </c>
      <c r="I5" s="67">
        <v>44817</v>
      </c>
      <c r="J5" s="67" t="s">
        <v>500</v>
      </c>
      <c r="L5" s="55"/>
    </row>
    <row r="6" spans="1:93" x14ac:dyDescent="0.25">
      <c r="A6" s="66" t="str">
        <f>D1_AGOSTO_2025[[#This Row],[SUPER2]]</f>
        <v>LUIS</v>
      </c>
      <c r="B6" s="65" t="s">
        <v>77</v>
      </c>
      <c r="C6" s="66"/>
      <c r="D6" s="66"/>
      <c r="E6" s="66" t="s">
        <v>9</v>
      </c>
      <c r="F6" s="65" t="s">
        <v>77</v>
      </c>
      <c r="G6" s="65"/>
      <c r="H6" s="65" t="s">
        <v>393</v>
      </c>
      <c r="I6" s="67">
        <v>44838</v>
      </c>
      <c r="J6" s="67" t="s">
        <v>500</v>
      </c>
      <c r="L6" s="55"/>
    </row>
    <row r="7" spans="1:93" x14ac:dyDescent="0.25">
      <c r="A7" s="66" t="str">
        <f>D1_AGOSTO_2025[[#This Row],[SUPER2]]</f>
        <v>KENNETH</v>
      </c>
      <c r="B7" s="65" t="s">
        <v>78</v>
      </c>
      <c r="C7" s="66"/>
      <c r="D7" s="66"/>
      <c r="E7" s="66" t="s">
        <v>6</v>
      </c>
      <c r="F7" s="65" t="s">
        <v>78</v>
      </c>
      <c r="G7" s="65"/>
      <c r="H7" s="65" t="s">
        <v>397</v>
      </c>
      <c r="I7" s="67">
        <v>44943</v>
      </c>
      <c r="J7" s="67" t="s">
        <v>500</v>
      </c>
      <c r="L7" s="55"/>
      <c r="CK7" t="s">
        <v>626</v>
      </c>
      <c r="CL7" t="s">
        <v>143</v>
      </c>
      <c r="CM7" t="s">
        <v>144</v>
      </c>
      <c r="CN7" t="s">
        <v>145</v>
      </c>
      <c r="CO7" t="s">
        <v>146</v>
      </c>
    </row>
    <row r="8" spans="1:93" x14ac:dyDescent="0.25">
      <c r="A8" s="66" t="str">
        <f>D1_AGOSTO_2025[[#This Row],[SUPER2]]</f>
        <v>JORDAN</v>
      </c>
      <c r="B8" s="65" t="s">
        <v>79</v>
      </c>
      <c r="C8" s="66"/>
      <c r="D8" s="66"/>
      <c r="E8" s="66" t="s">
        <v>5</v>
      </c>
      <c r="F8" s="65" t="s">
        <v>79</v>
      </c>
      <c r="G8" s="65"/>
      <c r="H8" s="65" t="s">
        <v>453</v>
      </c>
      <c r="I8" s="67">
        <v>45145</v>
      </c>
      <c r="J8" s="67" t="s">
        <v>500</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6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s="66" t="str">
        <f>D1_AGOSTO_2025[[#This Row],[SUPER2]]</f>
        <v>MELINA</v>
      </c>
      <c r="B9" s="65" t="s">
        <v>80</v>
      </c>
      <c r="C9" s="66"/>
      <c r="D9" s="66"/>
      <c r="E9" s="66" t="s">
        <v>4</v>
      </c>
      <c r="F9" s="65" t="s">
        <v>80</v>
      </c>
      <c r="G9" s="65"/>
      <c r="H9" s="65" t="s">
        <v>433</v>
      </c>
      <c r="I9" s="67">
        <v>45281</v>
      </c>
      <c r="J9" s="67" t="s">
        <v>500</v>
      </c>
      <c r="L9" s="55"/>
      <c r="M9" s="1">
        <f>DATA_AGOSTO_2025[[#This Row],[RECUPERO]]/DATA_AGOSTO_2025[[#This Row],[META]]</f>
        <v>0.64258064516129032</v>
      </c>
      <c r="N9">
        <f>6-ROUNDUP(_xlfn.RANK.EQ(DATA_AGOSTO_2025[[#This Row],[AL_AC]],DATA_AGOSTO_2025[AL_AC],0)/(COUNTA(DATA_AGOSTO_2025[AL_AC])/5),0)</f>
        <v>4</v>
      </c>
      <c r="O9" t="s">
        <v>7</v>
      </c>
      <c r="P9">
        <f>SUM(DATA_AGOSTO_2025[[#This Row],[1]:[31]])</f>
        <v>9960</v>
      </c>
      <c r="Q9">
        <v>15500</v>
      </c>
      <c r="R9" t="s">
        <v>18</v>
      </c>
      <c r="S9">
        <v>500</v>
      </c>
      <c r="W9">
        <v>1900</v>
      </c>
      <c r="AE9">
        <v>410</v>
      </c>
      <c r="AG9">
        <v>150</v>
      </c>
      <c r="AT9">
        <v>7000</v>
      </c>
      <c r="AX9" t="s">
        <v>152</v>
      </c>
      <c r="AZ9">
        <v>132595</v>
      </c>
      <c r="BA9" s="11">
        <f>MAX(DITE_AGOSTO_2025[[#This Row],[1]:[31]])</f>
        <v>109432.26000000001</v>
      </c>
      <c r="BB9" s="17">
        <f>DITE_AGOSTO_2025[[#This Row],[RECUPERO SUPERVISOR]]/DITE_AGOSTO_2025[[#This Row],[META SUPER]]</f>
        <v>0.82531211584147224</v>
      </c>
      <c r="BC9" t="s">
        <v>8</v>
      </c>
      <c r="BD9">
        <v>3153.8</v>
      </c>
      <c r="BE9">
        <v>3153.8</v>
      </c>
      <c r="BF9">
        <v>3733.8</v>
      </c>
      <c r="BG9">
        <v>7085.8</v>
      </c>
      <c r="BH9">
        <v>10179.799999999999</v>
      </c>
      <c r="BI9">
        <v>10179.799999999999</v>
      </c>
      <c r="BJ9">
        <v>15387.8</v>
      </c>
      <c r="BK9">
        <v>19184.8</v>
      </c>
      <c r="BL9">
        <v>19884.8</v>
      </c>
      <c r="BM9">
        <v>19884.8</v>
      </c>
      <c r="BN9">
        <v>22534.799999999999</v>
      </c>
      <c r="BO9">
        <v>24655.8</v>
      </c>
      <c r="BP9">
        <v>29045.8</v>
      </c>
      <c r="BQ9">
        <v>33795.800000000003</v>
      </c>
      <c r="BR9">
        <v>43807.8</v>
      </c>
      <c r="BS9">
        <v>43957.8</v>
      </c>
      <c r="BT9">
        <v>43957.8</v>
      </c>
      <c r="BU9">
        <v>52934.8</v>
      </c>
      <c r="BV9">
        <v>54554.8</v>
      </c>
      <c r="BW9">
        <v>60954.8</v>
      </c>
      <c r="BX9">
        <v>65799.8</v>
      </c>
      <c r="BY9">
        <v>74284.800000000003</v>
      </c>
      <c r="BZ9">
        <v>74634.8</v>
      </c>
      <c r="CA9">
        <v>74834.8</v>
      </c>
      <c r="CB9">
        <v>78552.800000000003</v>
      </c>
      <c r="CC9">
        <v>86160.8</v>
      </c>
      <c r="CD9">
        <v>87410.8</v>
      </c>
      <c r="CE9">
        <v>92670.8</v>
      </c>
      <c r="CF9">
        <v>109432.26000000001</v>
      </c>
      <c r="CG9">
        <v>109432.26000000001</v>
      </c>
      <c r="CH9">
        <v>109432.26000000001</v>
      </c>
      <c r="CI9" s="11" t="s">
        <v>153</v>
      </c>
      <c r="CK9" t="s">
        <v>8</v>
      </c>
      <c r="CL9" t="s">
        <v>8</v>
      </c>
      <c r="CM9" t="s">
        <v>8</v>
      </c>
      <c r="CN9" t="s">
        <v>8</v>
      </c>
      <c r="CO9" t="s">
        <v>8</v>
      </c>
    </row>
    <row r="10" spans="1:93" x14ac:dyDescent="0.25">
      <c r="A10" s="66" t="str">
        <f>D1_AGOSTO_2025[[#This Row],[SUPER2]]</f>
        <v>BRYAN</v>
      </c>
      <c r="B10" s="65" t="s">
        <v>81</v>
      </c>
      <c r="C10" s="66"/>
      <c r="D10" s="66"/>
      <c r="E10" s="66" t="s">
        <v>8</v>
      </c>
      <c r="F10" s="65" t="s">
        <v>81</v>
      </c>
      <c r="G10" s="65"/>
      <c r="H10" s="65" t="s">
        <v>425</v>
      </c>
      <c r="I10" s="67">
        <v>45511</v>
      </c>
      <c r="J10" s="67" t="s">
        <v>500</v>
      </c>
      <c r="L10" s="55"/>
      <c r="M10" s="1">
        <f>DATA_AGOSTO_2025[[#This Row],[RECUPERO]]/DATA_AGOSTO_2025[[#This Row],[META]]</f>
        <v>0.37806451612903225</v>
      </c>
      <c r="N10">
        <f>6-ROUNDUP(_xlfn.RANK.EQ(DATA_AGOSTO_2025[[#This Row],[AL_AC]],DATA_AGOSTO_2025[AL_AC],0)/(COUNTA(DATA_AGOSTO_2025[AL_AC])/5),0)</f>
        <v>2</v>
      </c>
      <c r="O10" t="s">
        <v>7</v>
      </c>
      <c r="P10">
        <f>SUM(DATA_AGOSTO_2025[[#This Row],[1]:[31]])</f>
        <v>5860</v>
      </c>
      <c r="Q10">
        <v>15500</v>
      </c>
      <c r="R10" t="s">
        <v>21</v>
      </c>
      <c r="AE10">
        <v>100</v>
      </c>
      <c r="AF10">
        <v>1000</v>
      </c>
      <c r="AM10">
        <v>1500</v>
      </c>
      <c r="AS10">
        <v>260</v>
      </c>
      <c r="AT10">
        <v>3000</v>
      </c>
      <c r="AX10" t="s">
        <v>152</v>
      </c>
      <c r="AZ10">
        <v>683530</v>
      </c>
      <c r="BA10" s="11">
        <f>MAX(DITE_AGOSTO_2025[[#This Row],[1]:[31]])</f>
        <v>532733.6</v>
      </c>
      <c r="BB10" s="17">
        <f>DITE_AGOSTO_2025[[#This Row],[RECUPERO SUPERVISOR]]/DITE_AGOSTO_2025[[#This Row],[META SUPER]]</f>
        <v>0.77938583529618299</v>
      </c>
      <c r="BC10" t="s">
        <v>125</v>
      </c>
      <c r="BD10">
        <v>30080</v>
      </c>
      <c r="BE10">
        <v>30656</v>
      </c>
      <c r="BF10">
        <v>30656</v>
      </c>
      <c r="BG10">
        <v>37206</v>
      </c>
      <c r="BH10">
        <v>67206</v>
      </c>
      <c r="BI10">
        <v>68468</v>
      </c>
      <c r="BJ10">
        <v>95016.1</v>
      </c>
      <c r="BK10">
        <v>141501.1</v>
      </c>
      <c r="BL10">
        <v>145724.1</v>
      </c>
      <c r="BM10">
        <v>146530.1</v>
      </c>
      <c r="BN10">
        <v>171475.1</v>
      </c>
      <c r="BO10">
        <v>186675.1</v>
      </c>
      <c r="BP10">
        <v>211775.1</v>
      </c>
      <c r="BQ10">
        <v>218806.1</v>
      </c>
      <c r="BR10">
        <v>276851.09999999998</v>
      </c>
      <c r="BS10">
        <v>277751.09999999998</v>
      </c>
      <c r="BT10">
        <v>277751.09999999998</v>
      </c>
      <c r="BU10">
        <v>283269.09999999998</v>
      </c>
      <c r="BV10">
        <v>296069.09999999998</v>
      </c>
      <c r="BW10">
        <v>309469.09999999998</v>
      </c>
      <c r="BX10">
        <v>326633.09999999998</v>
      </c>
      <c r="BY10">
        <v>342136.1</v>
      </c>
      <c r="BZ10">
        <v>352936.1</v>
      </c>
      <c r="CA10">
        <v>352936.1</v>
      </c>
      <c r="CB10">
        <v>377886.1</v>
      </c>
      <c r="CC10">
        <v>384866.1</v>
      </c>
      <c r="CD10">
        <v>399466.1</v>
      </c>
      <c r="CE10">
        <v>413233.1</v>
      </c>
      <c r="CF10">
        <v>527247.6</v>
      </c>
      <c r="CG10">
        <v>532733.6</v>
      </c>
      <c r="CH10">
        <v>532733.6</v>
      </c>
      <c r="CI10" s="11" t="s">
        <v>155</v>
      </c>
      <c r="CK10" t="s">
        <v>125</v>
      </c>
      <c r="CL10" t="s">
        <v>3</v>
      </c>
      <c r="CM10" t="s">
        <v>3</v>
      </c>
      <c r="CN10" t="s">
        <v>3</v>
      </c>
      <c r="CO10" t="s">
        <v>125</v>
      </c>
    </row>
    <row r="11" spans="1:93" x14ac:dyDescent="0.25">
      <c r="A11" s="2" t="str">
        <f>D1_AGOSTO_2025[[#This Row],[SUPER2]]</f>
        <v>JOHAN</v>
      </c>
      <c r="B11" s="2" t="s">
        <v>23</v>
      </c>
      <c r="C11" s="2">
        <f>VLOOKUP(D1_AGOSTO_2025[[#This Row],[SUPER]],DATA_AGOSTO_2025[[SUPERVISOR]:[META]],3,0)</f>
        <v>72000</v>
      </c>
      <c r="D11" s="2">
        <f>D1_AGOSTO_2025[[#This Row],[RECUPERO]]/C11</f>
        <v>0.90440277777777778</v>
      </c>
      <c r="E11" t="s">
        <v>125</v>
      </c>
      <c r="F11" t="s">
        <v>23</v>
      </c>
      <c r="G11">
        <v>65117</v>
      </c>
      <c r="H11" t="s">
        <v>445</v>
      </c>
      <c r="I11" s="55">
        <v>44111</v>
      </c>
      <c r="J11" t="s">
        <v>501</v>
      </c>
      <c r="L11" s="55"/>
      <c r="M11" s="1">
        <f>DATA_AGOSTO_2025[[#This Row],[RECUPERO]]/DATA_AGOSTO_2025[[#This Row],[META]]</f>
        <v>0.71472222222222226</v>
      </c>
      <c r="N11">
        <f>6-ROUNDUP(_xlfn.RANK.EQ(DATA_AGOSTO_2025[[#This Row],[AL_AC]],DATA_AGOSTO_2025[AL_AC],0)/(COUNTA(DATA_AGOSTO_2025[AL_AC])/5),0)</f>
        <v>4</v>
      </c>
      <c r="O11" t="s">
        <v>4</v>
      </c>
      <c r="P11">
        <f>SUM(DATA_AGOSTO_2025[[#This Row],[1]:[31]])</f>
        <v>51460</v>
      </c>
      <c r="Q11">
        <v>72000</v>
      </c>
      <c r="R11" t="s">
        <v>58</v>
      </c>
      <c r="S11">
        <v>1650</v>
      </c>
      <c r="V11">
        <v>19500</v>
      </c>
      <c r="W11">
        <v>4300</v>
      </c>
      <c r="Z11">
        <v>500</v>
      </c>
      <c r="AC11">
        <v>7200</v>
      </c>
      <c r="AD11">
        <v>350</v>
      </c>
      <c r="AG11">
        <v>282</v>
      </c>
      <c r="AH11">
        <v>475</v>
      </c>
      <c r="AL11">
        <v>600</v>
      </c>
      <c r="AM11">
        <v>823</v>
      </c>
      <c r="AO11">
        <v>1500</v>
      </c>
      <c r="AQ11">
        <v>650</v>
      </c>
      <c r="AR11">
        <v>630</v>
      </c>
      <c r="AT11">
        <v>13000</v>
      </c>
      <c r="AX11" t="s">
        <v>155</v>
      </c>
      <c r="AZ11">
        <v>458800</v>
      </c>
      <c r="BA11" s="11">
        <f>MAX(DITE_AGOSTO_2025[[#This Row],[1]:[31]])</f>
        <v>208377.07</v>
      </c>
      <c r="BB11" s="17">
        <f>DITE_AGOSTO_2025[[#This Row],[RECUPERO SUPERVISOR]]/DITE_AGOSTO_2025[[#This Row],[META SUPER]]</f>
        <v>0.45417844376634703</v>
      </c>
      <c r="BC11" t="s">
        <v>5</v>
      </c>
      <c r="BD11">
        <v>9877</v>
      </c>
      <c r="BE11">
        <v>10962</v>
      </c>
      <c r="BF11">
        <v>10962</v>
      </c>
      <c r="BG11">
        <v>17344.57</v>
      </c>
      <c r="BH11">
        <v>18864.57</v>
      </c>
      <c r="BI11">
        <v>19364.57</v>
      </c>
      <c r="BJ11">
        <v>28619.57</v>
      </c>
      <c r="BK11">
        <v>41672.07</v>
      </c>
      <c r="BL11">
        <v>42272.07</v>
      </c>
      <c r="BM11">
        <v>42272.07</v>
      </c>
      <c r="BN11">
        <v>47272.07</v>
      </c>
      <c r="BO11">
        <v>51272.07</v>
      </c>
      <c r="BP11">
        <v>52836.07</v>
      </c>
      <c r="BQ11">
        <v>62616.07</v>
      </c>
      <c r="BR11">
        <v>72999.070000000007</v>
      </c>
      <c r="BS11">
        <v>73599.070000000007</v>
      </c>
      <c r="BT11">
        <v>73599.070000000007</v>
      </c>
      <c r="BU11">
        <v>85913.07</v>
      </c>
      <c r="BV11">
        <v>99303.07</v>
      </c>
      <c r="BW11">
        <v>106684.07</v>
      </c>
      <c r="BX11">
        <v>111984.07</v>
      </c>
      <c r="BY11">
        <v>127222.07</v>
      </c>
      <c r="BZ11">
        <v>130429.07</v>
      </c>
      <c r="CA11">
        <v>130709.07</v>
      </c>
      <c r="CB11">
        <v>142709.07</v>
      </c>
      <c r="CC11">
        <v>153080.07</v>
      </c>
      <c r="CD11">
        <v>164580.07</v>
      </c>
      <c r="CE11">
        <v>177073.07</v>
      </c>
      <c r="CF11">
        <v>206712.07</v>
      </c>
      <c r="CG11">
        <v>207882.07</v>
      </c>
      <c r="CH11">
        <v>208377.07</v>
      </c>
      <c r="CI11" s="11" t="s">
        <v>150</v>
      </c>
      <c r="CK11" t="s">
        <v>5</v>
      </c>
      <c r="CL11" t="s">
        <v>5</v>
      </c>
      <c r="CM11" t="s">
        <v>5</v>
      </c>
      <c r="CN11" t="s">
        <v>5</v>
      </c>
      <c r="CO11" t="s">
        <v>5</v>
      </c>
    </row>
    <row r="12" spans="1:93" x14ac:dyDescent="0.25">
      <c r="A12" s="2" t="str">
        <f>D1_AGOSTO_2025[[#This Row],[SUPER2]]</f>
        <v>JOHAN</v>
      </c>
      <c r="B12" s="2" t="s">
        <v>24</v>
      </c>
      <c r="C12" s="2">
        <f>VLOOKUP(D1_AGOSTO_2025[[#This Row],[SUPER]],DATA_AGOSTO_2025[[SUPERVISOR]:[META]],3,0)</f>
        <v>72000</v>
      </c>
      <c r="D12" s="2">
        <f>D1_AGOSTO_2025[[#This Row],[RECUPERO]]/C12</f>
        <v>0.91249999999999998</v>
      </c>
      <c r="E12" t="s">
        <v>125</v>
      </c>
      <c r="F12" t="s">
        <v>24</v>
      </c>
      <c r="G12">
        <v>65700</v>
      </c>
      <c r="H12" t="s">
        <v>434</v>
      </c>
      <c r="I12" s="55">
        <v>45334</v>
      </c>
      <c r="J12" t="s">
        <v>501</v>
      </c>
      <c r="L12" s="55"/>
      <c r="M12" s="1">
        <f>DATA_AGOSTO_2025[[#This Row],[RECUPERO]]/DATA_AGOSTO_2025[[#This Row],[META]]</f>
        <v>0.35775625</v>
      </c>
      <c r="N12">
        <f>6-ROUNDUP(_xlfn.RANK.EQ(DATA_AGOSTO_2025[[#This Row],[AL_AC]],DATA_AGOSTO_2025[AL_AC],0)/(COUNTA(DATA_AGOSTO_2025[AL_AC])/5),0)</f>
        <v>2</v>
      </c>
      <c r="O12" t="s">
        <v>9</v>
      </c>
      <c r="P12">
        <f>SUM(DATA_AGOSTO_2025[[#This Row],[1]:[31]])</f>
        <v>5724.1</v>
      </c>
      <c r="Q12">
        <v>16000</v>
      </c>
      <c r="R12" t="s">
        <v>54</v>
      </c>
      <c r="S12">
        <v>200</v>
      </c>
      <c r="V12">
        <v>150</v>
      </c>
      <c r="W12">
        <v>300</v>
      </c>
      <c r="Z12">
        <v>2108.1</v>
      </c>
      <c r="AC12">
        <v>300</v>
      </c>
      <c r="AF12">
        <v>150</v>
      </c>
      <c r="AG12">
        <v>766</v>
      </c>
      <c r="AH12">
        <v>100</v>
      </c>
      <c r="AL12">
        <v>800</v>
      </c>
      <c r="AM12">
        <v>200</v>
      </c>
      <c r="AR12">
        <v>200</v>
      </c>
      <c r="AT12">
        <v>450</v>
      </c>
      <c r="AX12" t="s">
        <v>153</v>
      </c>
      <c r="AZ12">
        <v>458800</v>
      </c>
      <c r="BA12" s="11">
        <f>MAX(DITE_AGOSTO_2025[[#This Row],[1]:[31]])</f>
        <v>246696.56</v>
      </c>
      <c r="BB12" s="17">
        <f>DITE_AGOSTO_2025[[#This Row],[RECUPERO SUPERVISOR]]/DITE_AGOSTO_2025[[#This Row],[META SUPER]]</f>
        <v>0.53769956408020925</v>
      </c>
      <c r="BC12" t="s">
        <v>2</v>
      </c>
      <c r="BD12">
        <v>5180</v>
      </c>
      <c r="BE12">
        <v>5180</v>
      </c>
      <c r="BF12">
        <v>6380</v>
      </c>
      <c r="BG12">
        <v>13199</v>
      </c>
      <c r="BH12">
        <v>24372</v>
      </c>
      <c r="BI12">
        <v>25072</v>
      </c>
      <c r="BJ12">
        <v>29997</v>
      </c>
      <c r="BK12">
        <v>34997</v>
      </c>
      <c r="BL12">
        <v>35337</v>
      </c>
      <c r="BM12">
        <v>35337</v>
      </c>
      <c r="BN12">
        <v>37862</v>
      </c>
      <c r="BO12">
        <v>45082</v>
      </c>
      <c r="BP12">
        <v>50782</v>
      </c>
      <c r="BQ12">
        <v>52482</v>
      </c>
      <c r="BR12">
        <v>69005</v>
      </c>
      <c r="BS12">
        <v>69605</v>
      </c>
      <c r="BT12">
        <v>69605</v>
      </c>
      <c r="BU12">
        <v>71105</v>
      </c>
      <c r="BV12">
        <v>72267</v>
      </c>
      <c r="BW12">
        <v>98830</v>
      </c>
      <c r="BX12">
        <v>111182</v>
      </c>
      <c r="BY12">
        <v>123182</v>
      </c>
      <c r="BZ12">
        <v>125947</v>
      </c>
      <c r="CA12">
        <v>126635</v>
      </c>
      <c r="CB12">
        <v>147797</v>
      </c>
      <c r="CC12">
        <v>152597</v>
      </c>
      <c r="CD12">
        <v>171937.56</v>
      </c>
      <c r="CE12">
        <v>176656.56</v>
      </c>
      <c r="CF12">
        <v>242486.56</v>
      </c>
      <c r="CG12">
        <v>244186.56</v>
      </c>
      <c r="CH12">
        <v>246696.56</v>
      </c>
      <c r="CI12" s="11" t="s">
        <v>150</v>
      </c>
      <c r="CK12" t="s">
        <v>2</v>
      </c>
      <c r="CL12" t="s">
        <v>2</v>
      </c>
      <c r="CM12" t="s">
        <v>2</v>
      </c>
      <c r="CN12" t="s">
        <v>2</v>
      </c>
      <c r="CO12" t="s">
        <v>2</v>
      </c>
    </row>
    <row r="13" spans="1:93" x14ac:dyDescent="0.25">
      <c r="A13" s="2" t="str">
        <f>D1_AGOSTO_2025[[#This Row],[SUPER2]]</f>
        <v>JOHAN</v>
      </c>
      <c r="B13" s="2" t="s">
        <v>22</v>
      </c>
      <c r="C13" s="2">
        <f>VLOOKUP(D1_AGOSTO_2025[[#This Row],[SUPER]],DATA_AGOSTO_2025[[SUPERVISOR]:[META]],3,0)</f>
        <v>72000</v>
      </c>
      <c r="D13" s="2">
        <f>D1_AGOSTO_2025[[#This Row],[RECUPERO]]/C13</f>
        <v>0.80141666666666667</v>
      </c>
      <c r="E13" t="s">
        <v>125</v>
      </c>
      <c r="F13" t="s">
        <v>22</v>
      </c>
      <c r="G13">
        <v>57702</v>
      </c>
      <c r="H13" t="s">
        <v>442</v>
      </c>
      <c r="I13" s="55">
        <v>45299</v>
      </c>
      <c r="J13" t="s">
        <v>501</v>
      </c>
      <c r="L13" s="55"/>
      <c r="M13" s="1">
        <f>DATA_AGOSTO_2025[[#This Row],[RECUPERO]]/DATA_AGOSTO_2025[[#This Row],[META]]</f>
        <v>1.0126402777777779</v>
      </c>
      <c r="N13">
        <f>6-ROUNDUP(_xlfn.RANK.EQ(DATA_AGOSTO_2025[[#This Row],[AL_AC]],DATA_AGOSTO_2025[AL_AC],0)/(COUNTA(DATA_AGOSTO_2025[AL_AC])/5),0)</f>
        <v>5</v>
      </c>
      <c r="O13" t="s">
        <v>4</v>
      </c>
      <c r="P13">
        <f>SUM(DATA_AGOSTO_2025[[#This Row],[1]:[31]])</f>
        <v>72910.100000000006</v>
      </c>
      <c r="Q13">
        <v>72000</v>
      </c>
      <c r="R13" t="s">
        <v>60</v>
      </c>
      <c r="T13">
        <v>800</v>
      </c>
      <c r="V13">
        <v>15100</v>
      </c>
      <c r="W13">
        <v>3000</v>
      </c>
      <c r="Z13">
        <v>2000.1</v>
      </c>
      <c r="AC13">
        <v>8200</v>
      </c>
      <c r="AE13">
        <v>15000</v>
      </c>
      <c r="AG13">
        <v>1000</v>
      </c>
      <c r="AH13">
        <v>1350</v>
      </c>
      <c r="AJ13">
        <v>2500</v>
      </c>
      <c r="AM13">
        <v>12200</v>
      </c>
      <c r="AN13">
        <v>260</v>
      </c>
      <c r="AO13">
        <v>1500</v>
      </c>
      <c r="AQ13">
        <v>2000</v>
      </c>
      <c r="AR13">
        <v>6500</v>
      </c>
      <c r="AS13">
        <v>1500</v>
      </c>
      <c r="AX13" t="s">
        <v>155</v>
      </c>
      <c r="AZ13">
        <v>260350</v>
      </c>
      <c r="BA13" s="11">
        <f>MAX(DITE_AGOSTO_2025[[#This Row],[1]:[31]])</f>
        <v>308948.83999999997</v>
      </c>
      <c r="BB13" s="17">
        <f>DITE_AGOSTO_2025[[#This Row],[RECUPERO SUPERVISOR]]/DITE_AGOSTO_2025[[#This Row],[META SUPER]]</f>
        <v>1.1866673324371038</v>
      </c>
      <c r="BC13" t="s">
        <v>6</v>
      </c>
      <c r="BD13">
        <v>4586</v>
      </c>
      <c r="BE13">
        <v>8586</v>
      </c>
      <c r="BF13">
        <v>8586</v>
      </c>
      <c r="BG13">
        <v>24176</v>
      </c>
      <c r="BH13">
        <v>27716</v>
      </c>
      <c r="BI13">
        <v>27766</v>
      </c>
      <c r="BJ13">
        <v>30484</v>
      </c>
      <c r="BK13">
        <v>33974</v>
      </c>
      <c r="BL13">
        <v>33974</v>
      </c>
      <c r="BM13">
        <v>33974</v>
      </c>
      <c r="BN13">
        <v>62859</v>
      </c>
      <c r="BO13">
        <v>66379</v>
      </c>
      <c r="BP13">
        <v>79601</v>
      </c>
      <c r="BQ13">
        <v>86246</v>
      </c>
      <c r="BR13">
        <v>89181.5</v>
      </c>
      <c r="BS13">
        <v>90581.8</v>
      </c>
      <c r="BT13">
        <v>90581.8</v>
      </c>
      <c r="BU13">
        <v>119408.8</v>
      </c>
      <c r="BV13">
        <v>126689.8</v>
      </c>
      <c r="BW13">
        <v>141659.79999999999</v>
      </c>
      <c r="BX13">
        <v>156216.79999999999</v>
      </c>
      <c r="BY13">
        <v>164806.79999999999</v>
      </c>
      <c r="BZ13">
        <v>165506.79999999999</v>
      </c>
      <c r="CA13">
        <v>165506.79999999999</v>
      </c>
      <c r="CB13">
        <v>194252.34</v>
      </c>
      <c r="CC13">
        <v>202437.34</v>
      </c>
      <c r="CD13">
        <v>207876.84</v>
      </c>
      <c r="CE13">
        <v>275539.83999999997</v>
      </c>
      <c r="CF13">
        <v>306948.83999999997</v>
      </c>
      <c r="CG13">
        <v>306948.83999999997</v>
      </c>
      <c r="CH13">
        <v>308948.83999999997</v>
      </c>
      <c r="CI13" s="11" t="s">
        <v>156</v>
      </c>
      <c r="CK13" t="s">
        <v>6</v>
      </c>
      <c r="CL13" t="s">
        <v>6</v>
      </c>
      <c r="CM13" t="s">
        <v>6</v>
      </c>
      <c r="CN13" t="s">
        <v>6</v>
      </c>
      <c r="CO13" t="s">
        <v>6</v>
      </c>
    </row>
    <row r="14" spans="1:93" x14ac:dyDescent="0.25">
      <c r="A14" s="2" t="str">
        <f>D1_AGOSTO_2025[[#This Row],[SUPER2]]</f>
        <v>JOHAN</v>
      </c>
      <c r="B14" s="2" t="s">
        <v>26</v>
      </c>
      <c r="C14" s="2">
        <f>VLOOKUP(D1_AGOSTO_2025[[#This Row],[SUPER]],DATA_AGOSTO_2025[[SUPERVISOR]:[META]],3,0)</f>
        <v>72000</v>
      </c>
      <c r="D14" s="2">
        <f>D1_AGOSTO_2025[[#This Row],[RECUPERO]]/C14</f>
        <v>0.53088888888888885</v>
      </c>
      <c r="E14" t="s">
        <v>125</v>
      </c>
      <c r="F14" t="s">
        <v>26</v>
      </c>
      <c r="G14">
        <v>38224</v>
      </c>
      <c r="H14" t="s">
        <v>391</v>
      </c>
      <c r="I14" s="55">
        <v>44259</v>
      </c>
      <c r="J14" t="s">
        <v>501</v>
      </c>
      <c r="L14" s="55"/>
      <c r="M14" s="1">
        <f>DATA_AGOSTO_2025[[#This Row],[RECUPERO]]/DATA_AGOSTO_2025[[#This Row],[META]]</f>
        <v>0.10811111111111112</v>
      </c>
      <c r="N14">
        <f>6-ROUNDUP(_xlfn.RANK.EQ(DATA_AGOSTO_2025[[#This Row],[AL_AC]],DATA_AGOSTO_2025[AL_AC],0)/(COUNTA(DATA_AGOSTO_2025[AL_AC])/5),0)</f>
        <v>1</v>
      </c>
      <c r="O14" t="s">
        <v>2</v>
      </c>
      <c r="P14">
        <f>SUM(DATA_AGOSTO_2025[[#This Row],[1]:[31]])</f>
        <v>5838</v>
      </c>
      <c r="Q14">
        <v>54000</v>
      </c>
      <c r="R14" t="s">
        <v>15</v>
      </c>
      <c r="V14">
        <v>919</v>
      </c>
      <c r="AL14">
        <v>700</v>
      </c>
      <c r="AM14">
        <v>1800</v>
      </c>
      <c r="AO14">
        <v>1500</v>
      </c>
      <c r="AT14">
        <v>919</v>
      </c>
      <c r="AX14" t="s">
        <v>150</v>
      </c>
      <c r="AZ14">
        <v>154800</v>
      </c>
      <c r="BA14" s="11">
        <f>MAX(DITE_AGOSTO_2025[[#This Row],[1]:[31]])</f>
        <v>75445</v>
      </c>
      <c r="BB14" s="17">
        <f>DITE_AGOSTO_2025[[#This Row],[RECUPERO SUPERVISOR]]/DITE_AGOSTO_2025[[#This Row],[META SUPER]]</f>
        <v>0.48737080103359171</v>
      </c>
      <c r="BC14" t="s">
        <v>7</v>
      </c>
      <c r="BD14">
        <v>500</v>
      </c>
      <c r="BE14">
        <v>500</v>
      </c>
      <c r="BF14">
        <v>500</v>
      </c>
      <c r="BG14">
        <v>800</v>
      </c>
      <c r="BH14">
        <v>4200</v>
      </c>
      <c r="BI14">
        <v>4200</v>
      </c>
      <c r="BJ14">
        <v>5800</v>
      </c>
      <c r="BK14">
        <v>9470</v>
      </c>
      <c r="BL14">
        <v>9470</v>
      </c>
      <c r="BM14">
        <v>9470</v>
      </c>
      <c r="BN14">
        <v>13870</v>
      </c>
      <c r="BO14">
        <v>16870</v>
      </c>
      <c r="BP14">
        <v>25880</v>
      </c>
      <c r="BQ14">
        <v>27440</v>
      </c>
      <c r="BR14">
        <v>31470</v>
      </c>
      <c r="BS14">
        <v>31470</v>
      </c>
      <c r="BT14">
        <v>31470</v>
      </c>
      <c r="BU14">
        <v>34013</v>
      </c>
      <c r="BV14">
        <v>34363</v>
      </c>
      <c r="BW14">
        <v>36263</v>
      </c>
      <c r="BX14">
        <v>39463</v>
      </c>
      <c r="BY14">
        <v>39703</v>
      </c>
      <c r="BZ14">
        <v>39703</v>
      </c>
      <c r="CA14">
        <v>39703</v>
      </c>
      <c r="CB14">
        <v>40623</v>
      </c>
      <c r="CC14">
        <v>44023</v>
      </c>
      <c r="CD14">
        <v>44683</v>
      </c>
      <c r="CE14">
        <v>55983</v>
      </c>
      <c r="CF14">
        <v>74370</v>
      </c>
      <c r="CG14">
        <v>75295</v>
      </c>
      <c r="CH14">
        <v>75445</v>
      </c>
      <c r="CI14" s="11" t="s">
        <v>152</v>
      </c>
      <c r="CK14" t="s">
        <v>7</v>
      </c>
      <c r="CL14" t="s">
        <v>125</v>
      </c>
      <c r="CM14" t="s">
        <v>125</v>
      </c>
      <c r="CN14" t="s">
        <v>7</v>
      </c>
      <c r="CO14" t="s">
        <v>7</v>
      </c>
    </row>
    <row r="15" spans="1:93" x14ac:dyDescent="0.25">
      <c r="A15" s="2" t="str">
        <f>D1_AGOSTO_2025[[#This Row],[SUPER2]]</f>
        <v>JOHAN</v>
      </c>
      <c r="B15" s="2" t="s">
        <v>25</v>
      </c>
      <c r="C15" s="2">
        <f>VLOOKUP(D1_AGOSTO_2025[[#This Row],[SUPER]],DATA_AGOSTO_2025[[SUPERVISOR]:[META]],3,0)</f>
        <v>72000</v>
      </c>
      <c r="D15" s="2">
        <f>D1_AGOSTO_2025[[#This Row],[RECUPERO]]/C15</f>
        <v>0.65984722222222225</v>
      </c>
      <c r="E15" t="s">
        <v>125</v>
      </c>
      <c r="F15" t="s">
        <v>25</v>
      </c>
      <c r="G15">
        <v>47509</v>
      </c>
      <c r="H15" t="s">
        <v>446</v>
      </c>
      <c r="I15" s="55">
        <v>44820</v>
      </c>
      <c r="J15" t="s">
        <v>501</v>
      </c>
      <c r="L15" s="55"/>
      <c r="M15" s="1">
        <f>DATA_AGOSTO_2025[[#This Row],[RECUPERO]]/DATA_AGOSTO_2025[[#This Row],[META]]</f>
        <v>0.1125</v>
      </c>
      <c r="N15">
        <f>6-ROUNDUP(_xlfn.RANK.EQ(DATA_AGOSTO_2025[[#This Row],[AL_AC]],DATA_AGOSTO_2025[AL_AC],0)/(COUNTA(DATA_AGOSTO_2025[AL_AC])/5),0)</f>
        <v>1</v>
      </c>
      <c r="O15" t="s">
        <v>8</v>
      </c>
      <c r="P15">
        <f>SUM(DATA_AGOSTO_2025[[#This Row],[1]:[31]])</f>
        <v>1800</v>
      </c>
      <c r="Q15">
        <v>16000</v>
      </c>
      <c r="R15" t="s">
        <v>92</v>
      </c>
      <c r="AD15">
        <v>400</v>
      </c>
      <c r="AG15">
        <v>200</v>
      </c>
      <c r="AJ15">
        <v>1000</v>
      </c>
      <c r="AQ15">
        <v>200</v>
      </c>
      <c r="AX15" t="s">
        <v>153</v>
      </c>
      <c r="AZ15">
        <v>132595</v>
      </c>
      <c r="BA15" s="11">
        <f>MAX(DITE_AGOSTO_2025[[#This Row],[1]:[31]])</f>
        <v>82855.570000000007</v>
      </c>
      <c r="BB15" s="17">
        <f>DITE_AGOSTO_2025[[#This Row],[RECUPERO SUPERVISOR]]/DITE_AGOSTO_2025[[#This Row],[META SUPER]]</f>
        <v>0.62487703156227614</v>
      </c>
      <c r="BC15" t="s">
        <v>9</v>
      </c>
      <c r="BD15">
        <v>2750</v>
      </c>
      <c r="BE15">
        <v>3350</v>
      </c>
      <c r="BF15">
        <v>3350</v>
      </c>
      <c r="BG15">
        <v>7287</v>
      </c>
      <c r="BH15">
        <v>14782</v>
      </c>
      <c r="BI15">
        <v>14782</v>
      </c>
      <c r="BJ15">
        <v>16662</v>
      </c>
      <c r="BK15">
        <v>26214.1</v>
      </c>
      <c r="BL15">
        <v>26564.1</v>
      </c>
      <c r="BM15">
        <v>26864.1</v>
      </c>
      <c r="BN15">
        <v>29674.1</v>
      </c>
      <c r="BO15">
        <v>35040.1</v>
      </c>
      <c r="BP15">
        <v>37630.1</v>
      </c>
      <c r="BQ15">
        <v>38998.1</v>
      </c>
      <c r="BR15">
        <v>46886.1</v>
      </c>
      <c r="BS15">
        <v>47086.1</v>
      </c>
      <c r="BT15">
        <v>47086.1</v>
      </c>
      <c r="BU15">
        <v>49705.1</v>
      </c>
      <c r="BV15">
        <v>52485.1</v>
      </c>
      <c r="BW15">
        <v>54265.1</v>
      </c>
      <c r="BX15">
        <v>57043.6</v>
      </c>
      <c r="BY15">
        <v>57856.01</v>
      </c>
      <c r="BZ15">
        <v>57856.01</v>
      </c>
      <c r="CA15">
        <v>57856.01</v>
      </c>
      <c r="CB15">
        <v>58256.01</v>
      </c>
      <c r="CC15">
        <v>59185.01</v>
      </c>
      <c r="CD15">
        <v>65520.57</v>
      </c>
      <c r="CE15">
        <v>71719.570000000007</v>
      </c>
      <c r="CF15">
        <v>81634.570000000007</v>
      </c>
      <c r="CG15">
        <v>82855.570000000007</v>
      </c>
      <c r="CH15">
        <v>82855.570000000007</v>
      </c>
      <c r="CI15" s="11" t="s">
        <v>153</v>
      </c>
      <c r="CK15" t="s">
        <v>9</v>
      </c>
      <c r="CL15" t="s">
        <v>9</v>
      </c>
      <c r="CM15" t="s">
        <v>9</v>
      </c>
      <c r="CN15" t="s">
        <v>9</v>
      </c>
      <c r="CO15" t="s">
        <v>9</v>
      </c>
    </row>
    <row r="16" spans="1:93" x14ac:dyDescent="0.25">
      <c r="A16" s="2" t="str">
        <f>D1_AGOSTO_2025[[#This Row],[SUPER2]]</f>
        <v>JOHAN</v>
      </c>
      <c r="B16" s="2" t="s">
        <v>29</v>
      </c>
      <c r="C16" s="2">
        <f>VLOOKUP(D1_AGOSTO_2025[[#This Row],[SUPER]],DATA_AGOSTO_2025[[SUPERVISOR]:[META]],3,0)</f>
        <v>72000</v>
      </c>
      <c r="D16" s="2">
        <f>D1_AGOSTO_2025[[#This Row],[RECUPERO]]/C16</f>
        <v>0.52913888888888894</v>
      </c>
      <c r="E16" t="s">
        <v>125</v>
      </c>
      <c r="F16" t="s">
        <v>29</v>
      </c>
      <c r="G16">
        <v>38098</v>
      </c>
      <c r="H16" t="s">
        <v>416</v>
      </c>
      <c r="I16" s="55">
        <v>44687</v>
      </c>
      <c r="J16" t="s">
        <v>501</v>
      </c>
      <c r="L16" s="55"/>
      <c r="M16" s="1">
        <f>DATA_AGOSTO_2025[[#This Row],[RECUPERO]]/DATA_AGOSTO_2025[[#This Row],[META]]</f>
        <v>0.67654629629629626</v>
      </c>
      <c r="N16">
        <f>6-ROUNDUP(_xlfn.RANK.EQ(DATA_AGOSTO_2025[[#This Row],[AL_AC]],DATA_AGOSTO_2025[AL_AC],0)/(COUNTA(DATA_AGOSTO_2025[AL_AC])/5),0)</f>
        <v>4</v>
      </c>
      <c r="O16" t="s">
        <v>5</v>
      </c>
      <c r="P16">
        <f>SUM(DATA_AGOSTO_2025[[#This Row],[1]:[31]])</f>
        <v>36533.5</v>
      </c>
      <c r="Q16">
        <v>54000</v>
      </c>
      <c r="R16" t="s">
        <v>69</v>
      </c>
      <c r="S16">
        <v>1417</v>
      </c>
      <c r="T16">
        <v>150</v>
      </c>
      <c r="V16">
        <v>765</v>
      </c>
      <c r="W16">
        <v>220</v>
      </c>
      <c r="X16">
        <v>500</v>
      </c>
      <c r="Y16">
        <v>205</v>
      </c>
      <c r="Z16">
        <v>10882.5</v>
      </c>
      <c r="AC16">
        <v>1000</v>
      </c>
      <c r="AF16">
        <v>2400</v>
      </c>
      <c r="AG16">
        <v>5139</v>
      </c>
      <c r="AK16">
        <v>1750</v>
      </c>
      <c r="AL16">
        <v>1957</v>
      </c>
      <c r="AM16">
        <v>300</v>
      </c>
      <c r="AO16">
        <v>1007</v>
      </c>
      <c r="AP16">
        <v>280</v>
      </c>
      <c r="AR16">
        <v>861</v>
      </c>
      <c r="AS16">
        <v>3000</v>
      </c>
      <c r="AT16">
        <v>4700</v>
      </c>
      <c r="AX16" t="s">
        <v>150</v>
      </c>
      <c r="AZ16">
        <v>683530</v>
      </c>
      <c r="BA16" s="11">
        <f>MAX(DITE_AGOSTO_2025[[#This Row],[1]:[31]])</f>
        <v>552575.6</v>
      </c>
      <c r="BB16" s="17">
        <f>DITE_AGOSTO_2025[[#This Row],[RECUPERO SUPERVISOR]]/DITE_AGOSTO_2025[[#This Row],[META SUPER]]</f>
        <v>0.80841455386010852</v>
      </c>
      <c r="BC16" t="s">
        <v>4</v>
      </c>
      <c r="BD16">
        <v>8920</v>
      </c>
      <c r="BE16">
        <v>10720</v>
      </c>
      <c r="BF16">
        <v>11420</v>
      </c>
      <c r="BG16">
        <v>65720</v>
      </c>
      <c r="BH16">
        <v>123220</v>
      </c>
      <c r="BI16">
        <v>125570</v>
      </c>
      <c r="BJ16">
        <v>152170</v>
      </c>
      <c r="BK16">
        <v>172200.1</v>
      </c>
      <c r="BL16">
        <v>179200.1</v>
      </c>
      <c r="BM16">
        <v>179200.1</v>
      </c>
      <c r="BN16">
        <v>196906.1</v>
      </c>
      <c r="BO16">
        <v>206556.1</v>
      </c>
      <c r="BP16">
        <v>229576.1</v>
      </c>
      <c r="BQ16">
        <v>240294.1</v>
      </c>
      <c r="BR16">
        <v>271036.09999999998</v>
      </c>
      <c r="BS16">
        <v>272861.09999999998</v>
      </c>
      <c r="BT16">
        <v>272861.09999999998</v>
      </c>
      <c r="BU16">
        <v>288117.09999999998</v>
      </c>
      <c r="BV16">
        <v>308297.09999999998</v>
      </c>
      <c r="BW16">
        <v>328515.09999999998</v>
      </c>
      <c r="BX16">
        <v>378608.1</v>
      </c>
      <c r="BY16">
        <v>391454.1</v>
      </c>
      <c r="BZ16">
        <v>394454.1</v>
      </c>
      <c r="CA16">
        <v>396088.1</v>
      </c>
      <c r="CB16">
        <v>433201.1</v>
      </c>
      <c r="CC16">
        <v>457401.1</v>
      </c>
      <c r="CD16">
        <v>482206.1</v>
      </c>
      <c r="CE16">
        <v>513640.1</v>
      </c>
      <c r="CF16">
        <v>547173.1</v>
      </c>
      <c r="CG16">
        <v>549103.1</v>
      </c>
      <c r="CH16">
        <v>552575.6</v>
      </c>
      <c r="CI16" s="11" t="s">
        <v>155</v>
      </c>
      <c r="CK16" t="s">
        <v>4</v>
      </c>
      <c r="CL16" t="s">
        <v>4</v>
      </c>
      <c r="CM16" t="s">
        <v>4</v>
      </c>
      <c r="CN16" t="s">
        <v>4</v>
      </c>
      <c r="CO16" t="s">
        <v>4</v>
      </c>
    </row>
    <row r="17" spans="1:50" x14ac:dyDescent="0.25">
      <c r="A17" s="2" t="str">
        <f>D1_AGOSTO_2025[[#This Row],[SUPER2]]</f>
        <v>JOHAN</v>
      </c>
      <c r="B17" s="2" t="s">
        <v>27</v>
      </c>
      <c r="C17" s="2">
        <f>VLOOKUP(D1_AGOSTO_2025[[#This Row],[SUPER]],DATA_AGOSTO_2025[[SUPERVISOR]:[META]],3,0)</f>
        <v>72000</v>
      </c>
      <c r="D17" s="2">
        <f>D1_AGOSTO_2025[[#This Row],[RECUPERO]]/C17</f>
        <v>0.63636249999999994</v>
      </c>
      <c r="E17" t="s">
        <v>125</v>
      </c>
      <c r="F17" t="s">
        <v>27</v>
      </c>
      <c r="G17">
        <v>45818.1</v>
      </c>
      <c r="H17" t="s">
        <v>412</v>
      </c>
      <c r="I17" s="55">
        <v>45675</v>
      </c>
      <c r="J17" t="s">
        <v>501</v>
      </c>
      <c r="L17" s="55"/>
      <c r="M17" s="1">
        <f>DATA_AGOSTO_2025[[#This Row],[RECUPERO]]/DATA_AGOSTO_2025[[#This Row],[META]]</f>
        <v>0.46387037037037038</v>
      </c>
      <c r="N17">
        <f>6-ROUNDUP(_xlfn.RANK.EQ(DATA_AGOSTO_2025[[#This Row],[AL_AC]],DATA_AGOSTO_2025[AL_AC],0)/(COUNTA(DATA_AGOSTO_2025[AL_AC])/5),0)</f>
        <v>3</v>
      </c>
      <c r="O17" t="s">
        <v>5</v>
      </c>
      <c r="P17">
        <f>SUM(DATA_AGOSTO_2025[[#This Row],[1]:[31]])</f>
        <v>25049</v>
      </c>
      <c r="Q17">
        <v>54000</v>
      </c>
      <c r="R17" t="s">
        <v>67</v>
      </c>
      <c r="S17">
        <v>3214</v>
      </c>
      <c r="T17">
        <v>935</v>
      </c>
      <c r="V17">
        <v>3000</v>
      </c>
      <c r="Z17">
        <v>370</v>
      </c>
      <c r="AA17">
        <v>600</v>
      </c>
      <c r="AG17">
        <v>1830</v>
      </c>
      <c r="AJ17">
        <v>600</v>
      </c>
      <c r="AM17">
        <v>5000</v>
      </c>
      <c r="AN17">
        <v>8000</v>
      </c>
      <c r="AO17">
        <v>1500</v>
      </c>
      <c r="AX17" t="s">
        <v>150</v>
      </c>
    </row>
    <row r="18" spans="1:50" x14ac:dyDescent="0.25">
      <c r="A18" s="2" t="str">
        <f>D1_AGOSTO_2025[[#This Row],[SUPER2]]</f>
        <v>JOHAN</v>
      </c>
      <c r="B18" s="2" t="s">
        <v>28</v>
      </c>
      <c r="C18" s="2">
        <f>VLOOKUP(D1_AGOSTO_2025[[#This Row],[SUPER]],DATA_AGOSTO_2025[[SUPERVISOR]:[META]],3,0)</f>
        <v>72000</v>
      </c>
      <c r="D18" s="2">
        <f>D1_AGOSTO_2025[[#This Row],[RECUPERO]]/C18</f>
        <v>0.33152777777777775</v>
      </c>
      <c r="E18" t="s">
        <v>125</v>
      </c>
      <c r="F18" t="s">
        <v>28</v>
      </c>
      <c r="G18">
        <v>23870</v>
      </c>
      <c r="H18" t="s">
        <v>478</v>
      </c>
      <c r="I18" s="55">
        <v>45845</v>
      </c>
      <c r="J18" t="s">
        <v>501</v>
      </c>
      <c r="L18" s="55"/>
      <c r="M18" s="1">
        <f>DATA_AGOSTO_2025[[#This Row],[RECUPERO]]/DATA_AGOSTO_2025[[#This Row],[META]]</f>
        <v>0.15362148148148147</v>
      </c>
      <c r="N18">
        <f>6-ROUNDUP(_xlfn.RANK.EQ(DATA_AGOSTO_2025[[#This Row],[AL_AC]],DATA_AGOSTO_2025[AL_AC],0)/(COUNTA(DATA_AGOSTO_2025[AL_AC])/5),0)</f>
        <v>1</v>
      </c>
      <c r="O18" t="s">
        <v>2</v>
      </c>
      <c r="P18">
        <f>SUM(DATA_AGOSTO_2025[[#This Row],[1]:[31]])</f>
        <v>8295.56</v>
      </c>
      <c r="Q18">
        <v>54000</v>
      </c>
      <c r="R18" t="s">
        <v>14</v>
      </c>
      <c r="S18">
        <v>1200</v>
      </c>
      <c r="V18">
        <v>1100</v>
      </c>
      <c r="W18">
        <v>145</v>
      </c>
      <c r="AG18">
        <v>398</v>
      </c>
      <c r="AJ18">
        <v>1000</v>
      </c>
      <c r="AK18">
        <v>100</v>
      </c>
      <c r="AQ18">
        <v>600</v>
      </c>
      <c r="AR18">
        <v>400</v>
      </c>
      <c r="AS18">
        <v>761.56</v>
      </c>
      <c r="AT18">
        <v>600</v>
      </c>
      <c r="AU18">
        <v>1991</v>
      </c>
      <c r="AX18" t="s">
        <v>150</v>
      </c>
    </row>
    <row r="19" spans="1:50" x14ac:dyDescent="0.25">
      <c r="A19" s="2" t="str">
        <f>D1_AGOSTO_2025[[#This Row],[SUPER2]]</f>
        <v>JOHAN</v>
      </c>
      <c r="B19" s="2" t="s">
        <v>30</v>
      </c>
      <c r="C19" s="2">
        <f>VLOOKUP(D1_AGOSTO_2025[[#This Row],[SUPER]],DATA_AGOSTO_2025[[SUPERVISOR]:[META]],3,0)</f>
        <v>72000</v>
      </c>
      <c r="D19" s="2">
        <f>D1_AGOSTO_2025[[#This Row],[RECUPERO]]/C19</f>
        <v>9.2291666666666661E-2</v>
      </c>
      <c r="E19" t="s">
        <v>125</v>
      </c>
      <c r="F19" t="s">
        <v>30</v>
      </c>
      <c r="G19">
        <v>6645</v>
      </c>
      <c r="H19" t="s">
        <v>448</v>
      </c>
      <c r="I19" s="55">
        <v>45399</v>
      </c>
      <c r="J19" t="s">
        <v>501</v>
      </c>
      <c r="L19" s="55"/>
      <c r="M19" s="1">
        <f>DATA_AGOSTO_2025[[#This Row],[RECUPERO]]/DATA_AGOSTO_2025[[#This Row],[META]]</f>
        <v>3.2258064516129031E-2</v>
      </c>
      <c r="N19">
        <f>6-ROUNDUP(_xlfn.RANK.EQ(DATA_AGOSTO_2025[[#This Row],[AL_AC]],DATA_AGOSTO_2025[AL_AC],0)/(COUNTA(DATA_AGOSTO_2025[AL_AC])/5),0)</f>
        <v>1</v>
      </c>
      <c r="O19" t="s">
        <v>7</v>
      </c>
      <c r="P19">
        <f>SUM(DATA_AGOSTO_2025[[#This Row],[1]:[31]])</f>
        <v>500</v>
      </c>
      <c r="Q19">
        <v>15500</v>
      </c>
      <c r="R19" t="s">
        <v>104</v>
      </c>
      <c r="AR19">
        <v>500</v>
      </c>
      <c r="AX19" t="s">
        <v>152</v>
      </c>
    </row>
    <row r="20" spans="1:50" x14ac:dyDescent="0.25">
      <c r="A20" s="2" t="str">
        <f>D1_AGOSTO_2025[[#This Row],[SUPER2]]</f>
        <v>JOHAN</v>
      </c>
      <c r="B20" s="2" t="s">
        <v>102</v>
      </c>
      <c r="C20" s="2">
        <f>VLOOKUP(D1_AGOSTO_2025[[#This Row],[SUPER]],DATA_AGOSTO_2025[[SUPERVISOR]:[META]],3,0)</f>
        <v>72000</v>
      </c>
      <c r="D20" s="2">
        <f>D1_AGOSTO_2025[[#This Row],[RECUPERO]]/C20</f>
        <v>0.20069444444444445</v>
      </c>
      <c r="E20" t="s">
        <v>125</v>
      </c>
      <c r="F20" t="s">
        <v>102</v>
      </c>
      <c r="G20">
        <v>14450</v>
      </c>
      <c r="H20" t="s">
        <v>481</v>
      </c>
      <c r="I20" s="55">
        <v>45875</v>
      </c>
      <c r="J20" t="s">
        <v>501</v>
      </c>
      <c r="L20" s="55"/>
      <c r="M20" s="1">
        <f>DATA_AGOSTO_2025[[#This Row],[RECUPERO]]/DATA_AGOSTO_2025[[#This Row],[META]]</f>
        <v>0.50464516129032255</v>
      </c>
      <c r="N20">
        <f>6-ROUNDUP(_xlfn.RANK.EQ(DATA_AGOSTO_2025[[#This Row],[AL_AC]],DATA_AGOSTO_2025[AL_AC],0)/(COUNTA(DATA_AGOSTO_2025[AL_AC])/5),0)</f>
        <v>3</v>
      </c>
      <c r="O20" t="s">
        <v>7</v>
      </c>
      <c r="P20">
        <f>SUM(DATA_AGOSTO_2025[[#This Row],[1]:[31]])</f>
        <v>7822</v>
      </c>
      <c r="Q20">
        <v>15500</v>
      </c>
      <c r="R20" t="s">
        <v>19</v>
      </c>
      <c r="V20">
        <v>300</v>
      </c>
      <c r="W20">
        <v>0</v>
      </c>
      <c r="Y20">
        <v>1600</v>
      </c>
      <c r="AC20">
        <v>500</v>
      </c>
      <c r="AE20">
        <v>1700</v>
      </c>
      <c r="AF20">
        <v>50</v>
      </c>
      <c r="AG20">
        <v>1080</v>
      </c>
      <c r="AJ20">
        <v>1502</v>
      </c>
      <c r="AM20">
        <v>850</v>
      </c>
      <c r="AN20">
        <v>240</v>
      </c>
      <c r="AX20" t="s">
        <v>152</v>
      </c>
    </row>
    <row r="21" spans="1:50" x14ac:dyDescent="0.25">
      <c r="A21" s="2" t="str">
        <f>D1_AGOSTO_2025[[#This Row],[SUPER2]]</f>
        <v>MELINA</v>
      </c>
      <c r="B21" s="2" t="s">
        <v>59</v>
      </c>
      <c r="C21" s="2">
        <f>VLOOKUP(D1_AGOSTO_2025[[#This Row],[SUPER]],DATA_AGOSTO_2025[[SUPERVISOR]:[META]],3,0)</f>
        <v>72000</v>
      </c>
      <c r="D21" s="2">
        <f>D1_AGOSTO_2025[[#This Row],[RECUPERO]]/C21</f>
        <v>1.3984027777777779</v>
      </c>
      <c r="E21" t="s">
        <v>4</v>
      </c>
      <c r="F21" t="s">
        <v>59</v>
      </c>
      <c r="G21">
        <v>100685</v>
      </c>
      <c r="H21" t="s">
        <v>430</v>
      </c>
      <c r="I21" s="55">
        <v>45348</v>
      </c>
      <c r="J21" t="s">
        <v>501</v>
      </c>
      <c r="L21" s="55"/>
      <c r="M21" s="1">
        <f>DATA_AGOSTO_2025[[#This Row],[RECUPERO]]/DATA_AGOSTO_2025[[#This Row],[META]]</f>
        <v>0.449994375</v>
      </c>
      <c r="N21">
        <f>6-ROUNDUP(_xlfn.RANK.EQ(DATA_AGOSTO_2025[[#This Row],[AL_AC]],DATA_AGOSTO_2025[AL_AC],0)/(COUNTA(DATA_AGOSTO_2025[AL_AC])/5),0)</f>
        <v>3</v>
      </c>
      <c r="O21" t="s">
        <v>9</v>
      </c>
      <c r="P21">
        <f>SUM(DATA_AGOSTO_2025[[#This Row],[1]:[31]])</f>
        <v>7199.91</v>
      </c>
      <c r="Q21">
        <v>16000</v>
      </c>
      <c r="R21" t="s">
        <v>53</v>
      </c>
      <c r="V21">
        <v>500</v>
      </c>
      <c r="W21">
        <v>500</v>
      </c>
      <c r="Z21">
        <v>300</v>
      </c>
      <c r="AC21">
        <v>100</v>
      </c>
      <c r="AD21">
        <v>50</v>
      </c>
      <c r="AE21">
        <v>2000</v>
      </c>
      <c r="AG21">
        <v>2500</v>
      </c>
      <c r="AM21">
        <v>707.5</v>
      </c>
      <c r="AN21">
        <v>542.41</v>
      </c>
      <c r="AX21" t="s">
        <v>153</v>
      </c>
    </row>
    <row r="22" spans="1:50" x14ac:dyDescent="0.25">
      <c r="A22" s="2" t="str">
        <f>D1_AGOSTO_2025[[#This Row],[SUPER2]]</f>
        <v>MELINA</v>
      </c>
      <c r="B22" s="2" t="s">
        <v>57</v>
      </c>
      <c r="C22" s="2">
        <f>VLOOKUP(D1_AGOSTO_2025[[#This Row],[SUPER]],DATA_AGOSTO_2025[[SUPERVISOR]:[META]],3,0)</f>
        <v>72000</v>
      </c>
      <c r="D22" s="2">
        <f>D1_AGOSTO_2025[[#This Row],[RECUPERO]]/C22</f>
        <v>1.1887222222222222</v>
      </c>
      <c r="E22" t="s">
        <v>4</v>
      </c>
      <c r="F22" t="s">
        <v>57</v>
      </c>
      <c r="G22">
        <v>85588</v>
      </c>
      <c r="H22" t="s">
        <v>443</v>
      </c>
      <c r="I22" s="55">
        <v>45590</v>
      </c>
      <c r="J22" t="s">
        <v>501</v>
      </c>
      <c r="L22" s="55"/>
      <c r="M22" s="1">
        <f>DATA_AGOSTO_2025[[#This Row],[RECUPERO]]/DATA_AGOSTO_2025[[#This Row],[META]]</f>
        <v>0.73243749999999996</v>
      </c>
      <c r="N22">
        <f>6-ROUNDUP(_xlfn.RANK.EQ(DATA_AGOSTO_2025[[#This Row],[AL_AC]],DATA_AGOSTO_2025[AL_AC],0)/(COUNTA(DATA_AGOSTO_2025[AL_AC])/5),0)</f>
        <v>5</v>
      </c>
      <c r="O22" t="s">
        <v>8</v>
      </c>
      <c r="P22">
        <f>SUM(DATA_AGOSTO_2025[[#This Row],[1]:[31]])</f>
        <v>11719</v>
      </c>
      <c r="Q22">
        <v>16000</v>
      </c>
      <c r="R22" t="s">
        <v>41</v>
      </c>
      <c r="S22">
        <v>1500</v>
      </c>
      <c r="U22">
        <v>380</v>
      </c>
      <c r="V22">
        <v>400</v>
      </c>
      <c r="Y22">
        <v>480</v>
      </c>
      <c r="Z22">
        <v>1272</v>
      </c>
      <c r="AA22">
        <v>700</v>
      </c>
      <c r="AC22">
        <v>400</v>
      </c>
      <c r="AD22">
        <v>600</v>
      </c>
      <c r="AE22">
        <v>300</v>
      </c>
      <c r="AG22">
        <v>1150</v>
      </c>
      <c r="AJ22">
        <v>1587</v>
      </c>
      <c r="AL22">
        <v>1200</v>
      </c>
      <c r="AO22">
        <v>350</v>
      </c>
      <c r="AQ22">
        <v>800</v>
      </c>
      <c r="AS22">
        <v>200</v>
      </c>
      <c r="AT22">
        <v>400</v>
      </c>
      <c r="AX22" t="s">
        <v>153</v>
      </c>
    </row>
    <row r="23" spans="1:50" x14ac:dyDescent="0.25">
      <c r="A23" s="2" t="str">
        <f>D1_AGOSTO_2025[[#This Row],[SUPER2]]</f>
        <v>MELINA</v>
      </c>
      <c r="B23" s="2" t="s">
        <v>60</v>
      </c>
      <c r="C23" s="2">
        <f>VLOOKUP(D1_AGOSTO_2025[[#This Row],[SUPER]],DATA_AGOSTO_2025[[SUPERVISOR]:[META]],3,0)</f>
        <v>72000</v>
      </c>
      <c r="D23" s="2">
        <f>D1_AGOSTO_2025[[#This Row],[RECUPERO]]/C23</f>
        <v>1.0126402777777779</v>
      </c>
      <c r="E23" t="s">
        <v>4</v>
      </c>
      <c r="F23" t="s">
        <v>60</v>
      </c>
      <c r="G23">
        <v>72910.100000000006</v>
      </c>
      <c r="H23" t="s">
        <v>423</v>
      </c>
      <c r="I23" s="55">
        <v>45323</v>
      </c>
      <c r="J23" t="s">
        <v>501</v>
      </c>
      <c r="L23" s="55"/>
      <c r="M23" s="1">
        <f>DATA_AGOSTO_2025[[#This Row],[RECUPERO]]/DATA_AGOSTO_2025[[#This Row],[META]]</f>
        <v>0.69958333333333333</v>
      </c>
      <c r="N23">
        <f>6-ROUNDUP(_xlfn.RANK.EQ(DATA_AGOSTO_2025[[#This Row],[AL_AC]],DATA_AGOSTO_2025[AL_AC],0)/(COUNTA(DATA_AGOSTO_2025[AL_AC])/5),0)</f>
        <v>4</v>
      </c>
      <c r="O23" t="s">
        <v>4</v>
      </c>
      <c r="P23">
        <f>SUM(DATA_AGOSTO_2025[[#This Row],[1]:[31]])</f>
        <v>50370</v>
      </c>
      <c r="Q23">
        <v>72000</v>
      </c>
      <c r="R23" t="s">
        <v>61</v>
      </c>
      <c r="V23">
        <v>100</v>
      </c>
      <c r="W23">
        <v>15000</v>
      </c>
      <c r="AD23">
        <v>1000</v>
      </c>
      <c r="AE23">
        <v>1320</v>
      </c>
      <c r="AG23">
        <v>500</v>
      </c>
      <c r="AL23">
        <v>6750</v>
      </c>
      <c r="AM23">
        <v>5000</v>
      </c>
      <c r="AN23">
        <v>2000</v>
      </c>
      <c r="AR23">
        <v>12900</v>
      </c>
      <c r="AT23">
        <v>5800</v>
      </c>
      <c r="AX23" t="s">
        <v>155</v>
      </c>
    </row>
    <row r="24" spans="1:50" x14ac:dyDescent="0.25">
      <c r="A24" s="2" t="str">
        <f>D1_AGOSTO_2025[[#This Row],[SUPER2]]</f>
        <v>MELINA</v>
      </c>
      <c r="B24" s="2" t="s">
        <v>62</v>
      </c>
      <c r="C24" s="2">
        <f>VLOOKUP(D1_AGOSTO_2025[[#This Row],[SUPER]],DATA_AGOSTO_2025[[SUPERVISOR]:[META]],3,0)</f>
        <v>72000</v>
      </c>
      <c r="D24" s="2">
        <f>D1_AGOSTO_2025[[#This Row],[RECUPERO]]/C24</f>
        <v>0.71975</v>
      </c>
      <c r="E24" t="s">
        <v>4</v>
      </c>
      <c r="F24" t="s">
        <v>62</v>
      </c>
      <c r="G24">
        <v>51822</v>
      </c>
      <c r="H24" t="s">
        <v>386</v>
      </c>
      <c r="I24" s="55">
        <v>45334</v>
      </c>
      <c r="J24" t="s">
        <v>501</v>
      </c>
      <c r="L24" s="55"/>
      <c r="M24" s="1">
        <f>DATA_AGOSTO_2025[[#This Row],[RECUPERO]]/DATA_AGOSTO_2025[[#This Row],[META]]</f>
        <v>8.1125000000000003E-2</v>
      </c>
      <c r="N24">
        <f>6-ROUNDUP(_xlfn.RANK.EQ(DATA_AGOSTO_2025[[#This Row],[AL_AC]],DATA_AGOSTO_2025[AL_AC],0)/(COUNTA(DATA_AGOSTO_2025[AL_AC])/5),0)</f>
        <v>1</v>
      </c>
      <c r="O24" t="s">
        <v>8</v>
      </c>
      <c r="P24">
        <f>SUM(DATA_AGOSTO_2025[[#This Row],[1]:[31]])</f>
        <v>1298</v>
      </c>
      <c r="Q24">
        <v>16000</v>
      </c>
      <c r="R24" t="s">
        <v>47</v>
      </c>
      <c r="U24">
        <v>200</v>
      </c>
      <c r="W24">
        <v>150</v>
      </c>
      <c r="Y24">
        <v>398</v>
      </c>
      <c r="Z24">
        <v>250</v>
      </c>
      <c r="AG24">
        <v>300</v>
      </c>
      <c r="AX24" t="s">
        <v>153</v>
      </c>
    </row>
    <row r="25" spans="1:50" x14ac:dyDescent="0.25">
      <c r="A25" s="2" t="str">
        <f>D1_AGOSTO_2025[[#This Row],[SUPER2]]</f>
        <v>MELINA</v>
      </c>
      <c r="B25" s="2" t="s">
        <v>58</v>
      </c>
      <c r="C25" s="2">
        <f>VLOOKUP(D1_AGOSTO_2025[[#This Row],[SUPER]],DATA_AGOSTO_2025[[SUPERVISOR]:[META]],3,0)</f>
        <v>72000</v>
      </c>
      <c r="D25" s="2">
        <f>D1_AGOSTO_2025[[#This Row],[RECUPERO]]/C25</f>
        <v>0.71472222222222226</v>
      </c>
      <c r="E25" t="s">
        <v>4</v>
      </c>
      <c r="F25" t="s">
        <v>58</v>
      </c>
      <c r="G25">
        <v>51460</v>
      </c>
      <c r="H25" t="s">
        <v>441</v>
      </c>
      <c r="I25" s="55">
        <v>43035</v>
      </c>
      <c r="J25" t="s">
        <v>501</v>
      </c>
      <c r="L25" s="55"/>
      <c r="M25" s="1">
        <f>DATA_AGOSTO_2025[[#This Row],[RECUPERO]]/DATA_AGOSTO_2025[[#This Row],[META]]</f>
        <v>0.56053846153846154</v>
      </c>
      <c r="N25">
        <f>6-ROUNDUP(_xlfn.RANK.EQ(DATA_AGOSTO_2025[[#This Row],[AL_AC]],DATA_AGOSTO_2025[AL_AC],0)/(COUNTA(DATA_AGOSTO_2025[AL_AC])/5),0)</f>
        <v>4</v>
      </c>
      <c r="O25" t="s">
        <v>6</v>
      </c>
      <c r="P25">
        <f>SUM(DATA_AGOSTO_2025[[#This Row],[1]:[31]])</f>
        <v>14574</v>
      </c>
      <c r="Q25">
        <v>26000</v>
      </c>
      <c r="R25" t="s">
        <v>40</v>
      </c>
      <c r="S25">
        <v>600</v>
      </c>
      <c r="Z25">
        <v>50</v>
      </c>
      <c r="AD25">
        <v>220</v>
      </c>
      <c r="AG25">
        <v>100</v>
      </c>
      <c r="AJ25">
        <v>500</v>
      </c>
      <c r="AK25">
        <v>315</v>
      </c>
      <c r="AM25">
        <v>1200</v>
      </c>
      <c r="AN25">
        <v>50</v>
      </c>
      <c r="AQ25">
        <v>589</v>
      </c>
      <c r="AT25">
        <v>10950</v>
      </c>
      <c r="AX25" t="s">
        <v>156</v>
      </c>
    </row>
    <row r="26" spans="1:50" x14ac:dyDescent="0.25">
      <c r="A26" s="2" t="str">
        <f>D1_AGOSTO_2025[[#This Row],[SUPER2]]</f>
        <v>MELINA</v>
      </c>
      <c r="B26" s="2" t="s">
        <v>61</v>
      </c>
      <c r="C26" s="2">
        <f>VLOOKUP(D1_AGOSTO_2025[[#This Row],[SUPER]],DATA_AGOSTO_2025[[SUPERVISOR]:[META]],3,0)</f>
        <v>72000</v>
      </c>
      <c r="D26" s="2">
        <f>D1_AGOSTO_2025[[#This Row],[RECUPERO]]/C26</f>
        <v>0.69958333333333333</v>
      </c>
      <c r="E26" t="s">
        <v>4</v>
      </c>
      <c r="F26" t="s">
        <v>61</v>
      </c>
      <c r="G26">
        <v>50370</v>
      </c>
      <c r="H26" t="s">
        <v>411</v>
      </c>
      <c r="I26" s="55">
        <v>44909</v>
      </c>
      <c r="J26" t="s">
        <v>501</v>
      </c>
      <c r="L26" s="55"/>
      <c r="M26" s="1">
        <f>DATA_AGOSTO_2025[[#This Row],[RECUPERO]]/DATA_AGOSTO_2025[[#This Row],[META]]</f>
        <v>0.33152777777777775</v>
      </c>
      <c r="N26">
        <f>6-ROUNDUP(_xlfn.RANK.EQ(DATA_AGOSTO_2025[[#This Row],[AL_AC]],DATA_AGOSTO_2025[AL_AC],0)/(COUNTA(DATA_AGOSTO_2025[AL_AC])/5),0)</f>
        <v>2</v>
      </c>
      <c r="O26" t="s">
        <v>125</v>
      </c>
      <c r="P26">
        <f>SUM(DATA_AGOSTO_2025[[#This Row],[1]:[31]])</f>
        <v>23870</v>
      </c>
      <c r="Q26">
        <v>72000</v>
      </c>
      <c r="R26" t="s">
        <v>28</v>
      </c>
      <c r="V26">
        <v>1000</v>
      </c>
      <c r="W26">
        <v>3000</v>
      </c>
      <c r="Y26">
        <v>600</v>
      </c>
      <c r="Z26">
        <v>520</v>
      </c>
      <c r="AE26">
        <v>4000</v>
      </c>
      <c r="AG26">
        <v>10000</v>
      </c>
      <c r="AJ26">
        <v>750</v>
      </c>
      <c r="AS26">
        <v>4000</v>
      </c>
      <c r="AX26" t="s">
        <v>155</v>
      </c>
    </row>
    <row r="27" spans="1:50" x14ac:dyDescent="0.25">
      <c r="A27" s="2" t="str">
        <f>D1_AGOSTO_2025[[#This Row],[SUPER2]]</f>
        <v>MELINA</v>
      </c>
      <c r="B27" s="2" t="s">
        <v>64</v>
      </c>
      <c r="C27" s="2">
        <f>VLOOKUP(D1_AGOSTO_2025[[#This Row],[SUPER]],DATA_AGOSTO_2025[[SUPERVISOR]:[META]],3,0)</f>
        <v>72000</v>
      </c>
      <c r="D27" s="2">
        <f>D1_AGOSTO_2025[[#This Row],[RECUPERO]]/C27</f>
        <v>0.51527777777777772</v>
      </c>
      <c r="E27" t="s">
        <v>4</v>
      </c>
      <c r="F27" t="s">
        <v>64</v>
      </c>
      <c r="G27">
        <v>37100</v>
      </c>
      <c r="H27" t="s">
        <v>455</v>
      </c>
      <c r="I27" s="55">
        <v>45700</v>
      </c>
      <c r="J27" t="s">
        <v>501</v>
      </c>
      <c r="L27" s="55"/>
      <c r="M27" s="1">
        <f>DATA_AGOSTO_2025[[#This Row],[RECUPERO]]/DATA_AGOSTO_2025[[#This Row],[META]]</f>
        <v>0.17964018518518518</v>
      </c>
      <c r="N27">
        <f>6-ROUNDUP(_xlfn.RANK.EQ(DATA_AGOSTO_2025[[#This Row],[AL_AC]],DATA_AGOSTO_2025[AL_AC],0)/(COUNTA(DATA_AGOSTO_2025[AL_AC])/5),0)</f>
        <v>2</v>
      </c>
      <c r="O27" t="s">
        <v>5</v>
      </c>
      <c r="P27">
        <f>SUM(DATA_AGOSTO_2025[[#This Row],[1]:[31]])</f>
        <v>9700.57</v>
      </c>
      <c r="Q27">
        <v>54000</v>
      </c>
      <c r="R27" t="s">
        <v>72</v>
      </c>
      <c r="S27">
        <v>316</v>
      </c>
      <c r="V27">
        <v>117.57</v>
      </c>
      <c r="W27">
        <v>300</v>
      </c>
      <c r="AC27">
        <v>1000</v>
      </c>
      <c r="AE27">
        <v>1164</v>
      </c>
      <c r="AF27">
        <v>380</v>
      </c>
      <c r="AJ27">
        <v>234</v>
      </c>
      <c r="AK27">
        <v>3070</v>
      </c>
      <c r="AL27">
        <v>219</v>
      </c>
      <c r="AN27">
        <v>500</v>
      </c>
      <c r="AQ27">
        <v>1400</v>
      </c>
      <c r="AR27">
        <v>1000</v>
      </c>
      <c r="AX27" t="s">
        <v>150</v>
      </c>
    </row>
    <row r="28" spans="1:50" x14ac:dyDescent="0.25">
      <c r="A28" s="2" t="str">
        <f>D1_AGOSTO_2025[[#This Row],[SUPER2]]</f>
        <v>MELINA</v>
      </c>
      <c r="B28" s="2" t="s">
        <v>65</v>
      </c>
      <c r="C28" s="2">
        <f>VLOOKUP(D1_AGOSTO_2025[[#This Row],[SUPER]],DATA_AGOSTO_2025[[SUPERVISOR]:[META]],3,0)</f>
        <v>72000</v>
      </c>
      <c r="D28" s="2">
        <f>D1_AGOSTO_2025[[#This Row],[RECUPERO]]/C28</f>
        <v>0.23395833333333332</v>
      </c>
      <c r="E28" t="s">
        <v>4</v>
      </c>
      <c r="F28" t="s">
        <v>65</v>
      </c>
      <c r="G28">
        <v>16845</v>
      </c>
      <c r="H28" t="s">
        <v>438</v>
      </c>
      <c r="I28" s="55">
        <v>45021</v>
      </c>
      <c r="J28" t="s">
        <v>501</v>
      </c>
      <c r="L28" s="55"/>
      <c r="M28" s="1">
        <f>DATA_AGOSTO_2025[[#This Row],[RECUPERO]]/DATA_AGOSTO_2025[[#This Row],[META]]</f>
        <v>0.80141666666666667</v>
      </c>
      <c r="N28">
        <f>6-ROUNDUP(_xlfn.RANK.EQ(DATA_AGOSTO_2025[[#This Row],[AL_AC]],DATA_AGOSTO_2025[AL_AC],0)/(COUNTA(DATA_AGOSTO_2025[AL_AC])/5),0)</f>
        <v>5</v>
      </c>
      <c r="O28" t="s">
        <v>125</v>
      </c>
      <c r="P28">
        <f>SUM(DATA_AGOSTO_2025[[#This Row],[1]:[31]])</f>
        <v>57702</v>
      </c>
      <c r="Q28">
        <v>72000</v>
      </c>
      <c r="R28" t="s">
        <v>22</v>
      </c>
      <c r="S28">
        <v>10700</v>
      </c>
      <c r="V28">
        <v>250</v>
      </c>
      <c r="X28">
        <v>1262</v>
      </c>
      <c r="Y28">
        <v>9000</v>
      </c>
      <c r="Z28">
        <v>1000</v>
      </c>
      <c r="AC28">
        <v>1290</v>
      </c>
      <c r="AE28">
        <v>600</v>
      </c>
      <c r="AG28">
        <v>7400</v>
      </c>
      <c r="AJ28">
        <v>500</v>
      </c>
      <c r="AK28">
        <v>6500</v>
      </c>
      <c r="AL28">
        <v>4300</v>
      </c>
      <c r="AM28">
        <v>600</v>
      </c>
      <c r="AN28">
        <v>400</v>
      </c>
      <c r="AQ28">
        <v>13900</v>
      </c>
      <c r="AX28" t="s">
        <v>155</v>
      </c>
    </row>
    <row r="29" spans="1:50" x14ac:dyDescent="0.25">
      <c r="A29" s="2" t="str">
        <f>D1_AGOSTO_2025[[#This Row],[SUPER2]]</f>
        <v>MELINA</v>
      </c>
      <c r="B29" s="2" t="s">
        <v>63</v>
      </c>
      <c r="C29" s="2">
        <f>VLOOKUP(D1_AGOSTO_2025[[#This Row],[SUPER]],DATA_AGOSTO_2025[[SUPERVISOR]:[META]],3,0)</f>
        <v>72000</v>
      </c>
      <c r="D29" s="2">
        <f>D1_AGOSTO_2025[[#This Row],[RECUPERO]]/C29</f>
        <v>0.31055555555555553</v>
      </c>
      <c r="E29" t="s">
        <v>4</v>
      </c>
      <c r="F29" t="s">
        <v>63</v>
      </c>
      <c r="G29">
        <v>22360</v>
      </c>
      <c r="H29" t="s">
        <v>447</v>
      </c>
      <c r="I29" s="55">
        <v>45316</v>
      </c>
      <c r="J29" t="s">
        <v>501</v>
      </c>
      <c r="L29" s="55"/>
      <c r="M29" s="1">
        <f>DATA_AGOSTO_2025[[#This Row],[RECUPERO]]/DATA_AGOSTO_2025[[#This Row],[META]]</f>
        <v>0.91249999999999998</v>
      </c>
      <c r="N29">
        <f>6-ROUNDUP(_xlfn.RANK.EQ(DATA_AGOSTO_2025[[#This Row],[AL_AC]],DATA_AGOSTO_2025[AL_AC],0)/(COUNTA(DATA_AGOSTO_2025[AL_AC])/5),0)</f>
        <v>5</v>
      </c>
      <c r="O29" t="s">
        <v>125</v>
      </c>
      <c r="P29">
        <f>SUM(DATA_AGOSTO_2025[[#This Row],[1]:[31]])</f>
        <v>65700</v>
      </c>
      <c r="Q29">
        <v>72000</v>
      </c>
      <c r="R29" t="s">
        <v>24</v>
      </c>
      <c r="V29">
        <v>2500</v>
      </c>
      <c r="W29">
        <v>12000</v>
      </c>
      <c r="Y29">
        <v>5000</v>
      </c>
      <c r="AC29">
        <v>10000</v>
      </c>
      <c r="AD29">
        <v>300</v>
      </c>
      <c r="AE29">
        <v>17000</v>
      </c>
      <c r="AG29">
        <v>6700</v>
      </c>
      <c r="AL29">
        <v>1000</v>
      </c>
      <c r="AQ29">
        <v>5500</v>
      </c>
      <c r="AS29">
        <v>5700</v>
      </c>
      <c r="AX29" t="s">
        <v>155</v>
      </c>
    </row>
    <row r="30" spans="1:50" x14ac:dyDescent="0.25">
      <c r="A30" s="2" t="str">
        <f>D1_AGOSTO_2025[[#This Row],[SUPER2]]</f>
        <v>MELINA</v>
      </c>
      <c r="B30" s="2" t="s">
        <v>93</v>
      </c>
      <c r="C30" s="2">
        <f>VLOOKUP(D1_AGOSTO_2025[[#This Row],[SUPER]],DATA_AGOSTO_2025[[SUPERVISOR]:[META]],3,0)</f>
        <v>72000</v>
      </c>
      <c r="D30" s="2">
        <f>D1_AGOSTO_2025[[#This Row],[RECUPERO]]/C30</f>
        <v>9.7222222222222224E-2</v>
      </c>
      <c r="E30" t="s">
        <v>4</v>
      </c>
      <c r="F30" t="s">
        <v>93</v>
      </c>
      <c r="G30">
        <v>7000</v>
      </c>
      <c r="H30" t="s">
        <v>482</v>
      </c>
      <c r="I30" s="55">
        <v>44644</v>
      </c>
      <c r="J30" t="s">
        <v>501</v>
      </c>
      <c r="L30" s="55"/>
      <c r="M30" s="1">
        <f>DATA_AGOSTO_2025[[#This Row],[RECUPERO]]/DATA_AGOSTO_2025[[#This Row],[META]]</f>
        <v>0.44516129032258067</v>
      </c>
      <c r="N30">
        <f>6-ROUNDUP(_xlfn.RANK.EQ(DATA_AGOSTO_2025[[#This Row],[AL_AC]],DATA_AGOSTO_2025[AL_AC],0)/(COUNTA(DATA_AGOSTO_2025[AL_AC])/5),0)</f>
        <v>3</v>
      </c>
      <c r="O30" t="s">
        <v>7</v>
      </c>
      <c r="P30">
        <f>SUM(DATA_AGOSTO_2025[[#This Row],[1]:[31]])</f>
        <v>6900</v>
      </c>
      <c r="Q30">
        <v>15500</v>
      </c>
      <c r="R30" t="s">
        <v>105</v>
      </c>
      <c r="AC30">
        <v>3500</v>
      </c>
      <c r="AL30">
        <v>100</v>
      </c>
      <c r="AR30">
        <v>2000</v>
      </c>
      <c r="AT30">
        <v>1300</v>
      </c>
      <c r="AX30" t="s">
        <v>152</v>
      </c>
    </row>
    <row r="31" spans="1:50" x14ac:dyDescent="0.25">
      <c r="A31" s="2" t="str">
        <f>D1_AGOSTO_2025[[#This Row],[SUPER2]]</f>
        <v>JORGE</v>
      </c>
      <c r="B31" s="2" t="s">
        <v>10</v>
      </c>
      <c r="C31" s="2">
        <f>VLOOKUP(D1_AGOSTO_2025[[#This Row],[SUPER]],DATA_AGOSTO_2025[[SUPERVISOR]:[META]],3,0)</f>
        <v>54000</v>
      </c>
      <c r="D31" s="2">
        <f>D1_AGOSTO_2025[[#This Row],[RECUPERO]]/C31</f>
        <v>0.89207407407407402</v>
      </c>
      <c r="E31" t="s">
        <v>2</v>
      </c>
      <c r="F31" t="s">
        <v>10</v>
      </c>
      <c r="G31">
        <v>48172</v>
      </c>
      <c r="H31" t="s">
        <v>449</v>
      </c>
      <c r="I31" s="55">
        <v>44706</v>
      </c>
      <c r="J31" t="s">
        <v>501</v>
      </c>
      <c r="L31" s="55"/>
      <c r="M31" s="1">
        <f>DATA_AGOSTO_2025[[#This Row],[RECUPERO]]/DATA_AGOSTO_2025[[#This Row],[META]]</f>
        <v>0.62574074074074071</v>
      </c>
      <c r="N31">
        <f>6-ROUNDUP(_xlfn.RANK.EQ(DATA_AGOSTO_2025[[#This Row],[AL_AC]],DATA_AGOSTO_2025[AL_AC],0)/(COUNTA(DATA_AGOSTO_2025[AL_AC])/5),0)</f>
        <v>4</v>
      </c>
      <c r="O31" t="s">
        <v>2</v>
      </c>
      <c r="P31">
        <f>SUM(DATA_AGOSTO_2025[[#This Row],[1]:[31]])</f>
        <v>33790</v>
      </c>
      <c r="Q31">
        <v>54000</v>
      </c>
      <c r="R31" t="s">
        <v>16</v>
      </c>
      <c r="X31">
        <v>700</v>
      </c>
      <c r="AA31">
        <v>340</v>
      </c>
      <c r="AE31">
        <v>2000</v>
      </c>
      <c r="AG31">
        <v>5000</v>
      </c>
      <c r="AH31">
        <v>600</v>
      </c>
      <c r="AL31">
        <v>2000</v>
      </c>
      <c r="AM31">
        <v>450</v>
      </c>
      <c r="AN31">
        <v>2000</v>
      </c>
      <c r="AS31">
        <v>12000</v>
      </c>
      <c r="AT31">
        <v>700</v>
      </c>
      <c r="AU31">
        <v>6400</v>
      </c>
      <c r="AV31">
        <v>600</v>
      </c>
      <c r="AW31">
        <v>1000</v>
      </c>
      <c r="AX31" t="s">
        <v>150</v>
      </c>
    </row>
    <row r="32" spans="1:50" x14ac:dyDescent="0.25">
      <c r="A32" s="2" t="str">
        <f>D1_AGOSTO_2025[[#This Row],[SUPER2]]</f>
        <v>JORGE</v>
      </c>
      <c r="B32" s="2" t="s">
        <v>17</v>
      </c>
      <c r="C32" s="2">
        <f>VLOOKUP(D1_AGOSTO_2025[[#This Row],[SUPER]],DATA_AGOSTO_2025[[SUPERVISOR]:[META]],3,0)</f>
        <v>54000</v>
      </c>
      <c r="D32" s="2">
        <f>D1_AGOSTO_2025[[#This Row],[RECUPERO]]/C32</f>
        <v>0.4843703703703704</v>
      </c>
      <c r="E32" t="s">
        <v>2</v>
      </c>
      <c r="F32" t="s">
        <v>17</v>
      </c>
      <c r="G32">
        <v>26156</v>
      </c>
      <c r="H32" t="s">
        <v>385</v>
      </c>
      <c r="I32" s="55">
        <v>44888</v>
      </c>
      <c r="J32" t="s">
        <v>501</v>
      </c>
      <c r="L32" s="55"/>
      <c r="M32" s="1">
        <f>DATA_AGOSTO_2025[[#This Row],[RECUPERO]]/DATA_AGOSTO_2025[[#This Row],[META]]</f>
        <v>0.63636249999999994</v>
      </c>
      <c r="N32">
        <f>6-ROUNDUP(_xlfn.RANK.EQ(DATA_AGOSTO_2025[[#This Row],[AL_AC]],DATA_AGOSTO_2025[AL_AC],0)/(COUNTA(DATA_AGOSTO_2025[AL_AC])/5),0)</f>
        <v>4</v>
      </c>
      <c r="O32" t="s">
        <v>125</v>
      </c>
      <c r="P32">
        <f>SUM(DATA_AGOSTO_2025[[#This Row],[1]:[31]])</f>
        <v>45818.1</v>
      </c>
      <c r="Q32">
        <v>72000</v>
      </c>
      <c r="R32" t="s">
        <v>27</v>
      </c>
      <c r="V32">
        <v>2000</v>
      </c>
      <c r="Y32">
        <v>3000.1</v>
      </c>
      <c r="Z32">
        <v>19506</v>
      </c>
      <c r="AF32">
        <v>1517</v>
      </c>
      <c r="AG32">
        <v>10000</v>
      </c>
      <c r="AN32">
        <v>800</v>
      </c>
      <c r="AO32">
        <v>7000</v>
      </c>
      <c r="AQ32">
        <v>1500</v>
      </c>
      <c r="AR32">
        <v>495</v>
      </c>
      <c r="AX32" t="s">
        <v>155</v>
      </c>
    </row>
    <row r="33" spans="1:50" x14ac:dyDescent="0.25">
      <c r="A33" s="2" t="str">
        <f>D1_AGOSTO_2025[[#This Row],[SUPER2]]</f>
        <v>JORGE</v>
      </c>
      <c r="B33" s="2" t="s">
        <v>11</v>
      </c>
      <c r="C33" s="2">
        <f>VLOOKUP(D1_AGOSTO_2025[[#This Row],[SUPER]],DATA_AGOSTO_2025[[SUPERVISOR]:[META]],3,0)</f>
        <v>54000</v>
      </c>
      <c r="D33" s="2">
        <f>D1_AGOSTO_2025[[#This Row],[RECUPERO]]/C33</f>
        <v>0.50524074074074077</v>
      </c>
      <c r="E33" t="s">
        <v>2</v>
      </c>
      <c r="F33" t="s">
        <v>11</v>
      </c>
      <c r="G33">
        <v>27283</v>
      </c>
      <c r="H33" t="s">
        <v>429</v>
      </c>
      <c r="I33" s="55">
        <v>45371</v>
      </c>
      <c r="J33" t="s">
        <v>501</v>
      </c>
      <c r="L33" s="55"/>
      <c r="M33" s="1">
        <f>DATA_AGOSTO_2025[[#This Row],[RECUPERO]]/DATA_AGOSTO_2025[[#This Row],[META]]</f>
        <v>0.31546296296296295</v>
      </c>
      <c r="N33">
        <f>6-ROUNDUP(_xlfn.RANK.EQ(DATA_AGOSTO_2025[[#This Row],[AL_AC]],DATA_AGOSTO_2025[AL_AC],0)/(COUNTA(DATA_AGOSTO_2025[AL_AC])/5),0)</f>
        <v>2</v>
      </c>
      <c r="O33" t="s">
        <v>2</v>
      </c>
      <c r="P33">
        <f>SUM(DATA_AGOSTO_2025[[#This Row],[1]:[31]])</f>
        <v>17035</v>
      </c>
      <c r="Q33">
        <v>54000</v>
      </c>
      <c r="R33" t="s">
        <v>12</v>
      </c>
      <c r="S33">
        <v>1710</v>
      </c>
      <c r="V33">
        <v>1700</v>
      </c>
      <c r="AC33">
        <v>600</v>
      </c>
      <c r="AG33">
        <v>7700</v>
      </c>
      <c r="AL33">
        <v>2260</v>
      </c>
      <c r="AO33">
        <v>265</v>
      </c>
      <c r="AR33">
        <v>2800</v>
      </c>
      <c r="AX33" t="s">
        <v>150</v>
      </c>
    </row>
    <row r="34" spans="1:50" x14ac:dyDescent="0.25">
      <c r="A34" s="2" t="str">
        <f>D1_AGOSTO_2025[[#This Row],[SUPER2]]</f>
        <v>JORGE</v>
      </c>
      <c r="B34" s="2" t="s">
        <v>16</v>
      </c>
      <c r="C34" s="2">
        <f>VLOOKUP(D1_AGOSTO_2025[[#This Row],[SUPER]],DATA_AGOSTO_2025[[SUPERVISOR]:[META]],3,0)</f>
        <v>54000</v>
      </c>
      <c r="D34" s="2">
        <f>D1_AGOSTO_2025[[#This Row],[RECUPERO]]/C34</f>
        <v>0.62574074074074071</v>
      </c>
      <c r="E34" t="s">
        <v>2</v>
      </c>
      <c r="F34" t="s">
        <v>16</v>
      </c>
      <c r="G34">
        <v>33790</v>
      </c>
      <c r="H34" t="s">
        <v>388</v>
      </c>
      <c r="I34" s="55">
        <v>45334</v>
      </c>
      <c r="J34" t="s">
        <v>501</v>
      </c>
      <c r="L34" s="55"/>
      <c r="M34" s="1">
        <f>DATA_AGOSTO_2025[[#This Row],[RECUPERO]]/DATA_AGOSTO_2025[[#This Row],[META]]</f>
        <v>0.65774999999999995</v>
      </c>
      <c r="N34">
        <f>6-ROUNDUP(_xlfn.RANK.EQ(DATA_AGOSTO_2025[[#This Row],[AL_AC]],DATA_AGOSTO_2025[AL_AC],0)/(COUNTA(DATA_AGOSTO_2025[AL_AC])/5),0)</f>
        <v>4</v>
      </c>
      <c r="O34" t="s">
        <v>9</v>
      </c>
      <c r="P34">
        <f>SUM(DATA_AGOSTO_2025[[#This Row],[1]:[31]])</f>
        <v>10524</v>
      </c>
      <c r="Q34">
        <v>16000</v>
      </c>
      <c r="R34" t="s">
        <v>51</v>
      </c>
      <c r="S34">
        <v>500</v>
      </c>
      <c r="V34">
        <v>1900</v>
      </c>
      <c r="W34">
        <v>520</v>
      </c>
      <c r="AC34">
        <v>1200</v>
      </c>
      <c r="AD34">
        <v>1320</v>
      </c>
      <c r="AG34">
        <v>2509</v>
      </c>
      <c r="AK34">
        <v>1500</v>
      </c>
      <c r="AM34">
        <v>600</v>
      </c>
      <c r="AT34">
        <v>475</v>
      </c>
      <c r="AX34" t="s">
        <v>153</v>
      </c>
    </row>
    <row r="35" spans="1:50" x14ac:dyDescent="0.25">
      <c r="A35" s="2" t="str">
        <f>D1_AGOSTO_2025[[#This Row],[SUPER2]]</f>
        <v>JORGE</v>
      </c>
      <c r="B35" s="2" t="s">
        <v>13</v>
      </c>
      <c r="C35" s="2">
        <f>VLOOKUP(D1_AGOSTO_2025[[#This Row],[SUPER]],DATA_AGOSTO_2025[[SUPERVISOR]:[META]],3,0)</f>
        <v>54000</v>
      </c>
      <c r="D35" s="2">
        <f>D1_AGOSTO_2025[[#This Row],[RECUPERO]]/C35</f>
        <v>0.28472222222222221</v>
      </c>
      <c r="E35" t="s">
        <v>2</v>
      </c>
      <c r="F35" t="s">
        <v>13</v>
      </c>
      <c r="G35">
        <v>15375</v>
      </c>
      <c r="H35" t="s">
        <v>382</v>
      </c>
      <c r="I35" s="55">
        <v>44811</v>
      </c>
      <c r="J35" t="s">
        <v>501</v>
      </c>
      <c r="L35" s="55"/>
      <c r="M35" s="1">
        <f>DATA_AGOSTO_2025[[#This Row],[RECUPERO]]/DATA_AGOSTO_2025[[#This Row],[META]]</f>
        <v>9.7222222222222224E-2</v>
      </c>
      <c r="N35">
        <f>6-ROUNDUP(_xlfn.RANK.EQ(DATA_AGOSTO_2025[[#This Row],[AL_AC]],DATA_AGOSTO_2025[AL_AC],0)/(COUNTA(DATA_AGOSTO_2025[AL_AC])/5),0)</f>
        <v>1</v>
      </c>
      <c r="O35" t="s">
        <v>4</v>
      </c>
      <c r="P35">
        <f>SUM(DATA_AGOSTO_2025[[#This Row],[1]:[31]])</f>
        <v>7000</v>
      </c>
      <c r="Q35">
        <v>72000</v>
      </c>
      <c r="R35" t="s">
        <v>93</v>
      </c>
      <c r="AE35">
        <v>300</v>
      </c>
      <c r="AK35">
        <v>580</v>
      </c>
      <c r="AM35">
        <v>320</v>
      </c>
      <c r="AN35">
        <v>5000</v>
      </c>
      <c r="AQ35">
        <v>800</v>
      </c>
      <c r="AX35" t="s">
        <v>155</v>
      </c>
    </row>
    <row r="36" spans="1:50" x14ac:dyDescent="0.25">
      <c r="A36" s="2" t="str">
        <f>D1_AGOSTO_2025[[#This Row],[SUPER2]]</f>
        <v>JORGE</v>
      </c>
      <c r="B36" s="2" t="s">
        <v>12</v>
      </c>
      <c r="C36" s="2">
        <f>VLOOKUP(D1_AGOSTO_2025[[#This Row],[SUPER]],DATA_AGOSTO_2025[[SUPERVISOR]:[META]],3,0)</f>
        <v>54000</v>
      </c>
      <c r="D36" s="2">
        <f>D1_AGOSTO_2025[[#This Row],[RECUPERO]]/C36</f>
        <v>0.31546296296296295</v>
      </c>
      <c r="E36" t="s">
        <v>2</v>
      </c>
      <c r="F36" t="s">
        <v>12</v>
      </c>
      <c r="G36">
        <v>17035</v>
      </c>
      <c r="H36" t="s">
        <v>389</v>
      </c>
      <c r="I36" s="55">
        <v>44870</v>
      </c>
      <c r="J36" t="s">
        <v>501</v>
      </c>
      <c r="L36" s="55"/>
      <c r="M36" s="1">
        <f>DATA_AGOSTO_2025[[#This Row],[RECUPERO]]/DATA_AGOSTO_2025[[#This Row],[META]]</f>
        <v>0.28472222222222221</v>
      </c>
      <c r="N36">
        <f>6-ROUNDUP(_xlfn.RANK.EQ(DATA_AGOSTO_2025[[#This Row],[AL_AC]],DATA_AGOSTO_2025[AL_AC],0)/(COUNTA(DATA_AGOSTO_2025[AL_AC])/5),0)</f>
        <v>2</v>
      </c>
      <c r="O36" t="s">
        <v>2</v>
      </c>
      <c r="P36">
        <f>SUM(DATA_AGOSTO_2025[[#This Row],[1]:[31]])</f>
        <v>15375</v>
      </c>
      <c r="Q36">
        <v>54000</v>
      </c>
      <c r="R36" t="s">
        <v>13</v>
      </c>
      <c r="S36">
        <v>650</v>
      </c>
      <c r="V36">
        <v>500</v>
      </c>
      <c r="Y36">
        <v>825</v>
      </c>
      <c r="AD36">
        <v>3000</v>
      </c>
      <c r="AF36">
        <v>700</v>
      </c>
      <c r="AG36">
        <v>2000</v>
      </c>
      <c r="AL36">
        <v>500</v>
      </c>
      <c r="AN36">
        <v>5000</v>
      </c>
      <c r="AO36">
        <v>1000</v>
      </c>
      <c r="AS36">
        <v>1200</v>
      </c>
      <c r="AX36" t="s">
        <v>150</v>
      </c>
    </row>
    <row r="37" spans="1:50" x14ac:dyDescent="0.25">
      <c r="A37" s="2" t="str">
        <f>D1_AGOSTO_2025[[#This Row],[SUPER2]]</f>
        <v>JORGE</v>
      </c>
      <c r="B37" s="2" t="s">
        <v>15</v>
      </c>
      <c r="C37" s="2">
        <f>VLOOKUP(D1_AGOSTO_2025[[#This Row],[SUPER]],DATA_AGOSTO_2025[[SUPERVISOR]:[META]],3,0)</f>
        <v>54000</v>
      </c>
      <c r="D37" s="2">
        <f>D1_AGOSTO_2025[[#This Row],[RECUPERO]]/C37</f>
        <v>0.10811111111111112</v>
      </c>
      <c r="E37" t="s">
        <v>2</v>
      </c>
      <c r="F37" t="s">
        <v>15</v>
      </c>
      <c r="G37">
        <v>5838</v>
      </c>
      <c r="H37" t="s">
        <v>410</v>
      </c>
      <c r="I37" s="55">
        <v>44735</v>
      </c>
      <c r="J37" t="s">
        <v>501</v>
      </c>
      <c r="L37" s="55"/>
      <c r="M37" s="1">
        <f>DATA_AGOSTO_2025[[#This Row],[RECUPERO]]/DATA_AGOSTO_2025[[#This Row],[META]]</f>
        <v>1.0142807692307692</v>
      </c>
      <c r="N37">
        <f>6-ROUNDUP(_xlfn.RANK.EQ(DATA_AGOSTO_2025[[#This Row],[AL_AC]],DATA_AGOSTO_2025[AL_AC],0)/(COUNTA(DATA_AGOSTO_2025[AL_AC])/5),0)</f>
        <v>5</v>
      </c>
      <c r="O37" t="s">
        <v>6</v>
      </c>
      <c r="P37">
        <f>SUM(DATA_AGOSTO_2025[[#This Row],[1]:[31]])</f>
        <v>26371.3</v>
      </c>
      <c r="Q37">
        <v>26000</v>
      </c>
      <c r="R37" t="s">
        <v>32</v>
      </c>
      <c r="S37">
        <v>300</v>
      </c>
      <c r="V37">
        <v>4850</v>
      </c>
      <c r="W37">
        <v>710</v>
      </c>
      <c r="Y37">
        <v>100</v>
      </c>
      <c r="Z37">
        <v>220</v>
      </c>
      <c r="AC37">
        <v>600</v>
      </c>
      <c r="AG37">
        <v>1050</v>
      </c>
      <c r="AH37">
        <v>1041.3</v>
      </c>
      <c r="AL37">
        <v>1000</v>
      </c>
      <c r="AO37">
        <v>200</v>
      </c>
      <c r="AQ37">
        <v>8800</v>
      </c>
      <c r="AR37">
        <v>400</v>
      </c>
      <c r="AT37">
        <v>100</v>
      </c>
      <c r="AU37">
        <v>4800</v>
      </c>
      <c r="AV37">
        <v>200</v>
      </c>
      <c r="AW37">
        <v>2000</v>
      </c>
      <c r="AX37" t="s">
        <v>156</v>
      </c>
    </row>
    <row r="38" spans="1:50" x14ac:dyDescent="0.25">
      <c r="A38" s="2" t="str">
        <f>D1_AGOSTO_2025[[#This Row],[SUPER2]]</f>
        <v>JORGE</v>
      </c>
      <c r="B38" s="2" t="s">
        <v>91</v>
      </c>
      <c r="C38" s="2">
        <f>VLOOKUP(D1_AGOSTO_2025[[#This Row],[SUPER]],DATA_AGOSTO_2025[[SUPERVISOR]:[META]],3,0)</f>
        <v>54000</v>
      </c>
      <c r="D38" s="2">
        <f>D1_AGOSTO_2025[[#This Row],[RECUPERO]]/C38</f>
        <v>0.16435185185185186</v>
      </c>
      <c r="E38" t="s">
        <v>2</v>
      </c>
      <c r="F38" t="s">
        <v>91</v>
      </c>
      <c r="G38">
        <v>8875</v>
      </c>
      <c r="H38" t="s">
        <v>483</v>
      </c>
      <c r="I38" s="55">
        <v>45882</v>
      </c>
      <c r="J38" t="s">
        <v>501</v>
      </c>
      <c r="L38" s="55"/>
      <c r="M38" s="1">
        <f>DATA_AGOSTO_2025[[#This Row],[RECUPERO]]/DATA_AGOSTO_2025[[#This Row],[META]]</f>
        <v>0.39811111111111114</v>
      </c>
      <c r="N38">
        <f>6-ROUNDUP(_xlfn.RANK.EQ(DATA_AGOSTO_2025[[#This Row],[AL_AC]],DATA_AGOSTO_2025[AL_AC],0)/(COUNTA(DATA_AGOSTO_2025[AL_AC])/5),0)</f>
        <v>3</v>
      </c>
      <c r="O38" t="s">
        <v>5</v>
      </c>
      <c r="P38">
        <f>SUM(DATA_AGOSTO_2025[[#This Row],[1]:[31]])</f>
        <v>21498</v>
      </c>
      <c r="Q38">
        <v>54000</v>
      </c>
      <c r="R38" t="s">
        <v>66</v>
      </c>
      <c r="S38">
        <v>2480</v>
      </c>
      <c r="V38">
        <v>2500</v>
      </c>
      <c r="Y38">
        <v>5000</v>
      </c>
      <c r="AD38">
        <v>2000</v>
      </c>
      <c r="AJ38">
        <v>1180</v>
      </c>
      <c r="AK38">
        <v>4500</v>
      </c>
      <c r="AN38">
        <v>838</v>
      </c>
      <c r="AS38">
        <v>3000</v>
      </c>
      <c r="AX38" t="s">
        <v>150</v>
      </c>
    </row>
    <row r="39" spans="1:50" x14ac:dyDescent="0.25">
      <c r="A39" s="2" t="str">
        <f>D1_AGOSTO_2025[[#This Row],[SUPER2]]</f>
        <v>JORGE</v>
      </c>
      <c r="B39" s="2" t="s">
        <v>14</v>
      </c>
      <c r="C39" s="2">
        <f>VLOOKUP(D1_AGOSTO_2025[[#This Row],[SUPER]],DATA_AGOSTO_2025[[SUPERVISOR]:[META]],3,0)</f>
        <v>54000</v>
      </c>
      <c r="D39" s="2">
        <f>D1_AGOSTO_2025[[#This Row],[RECUPERO]]/C39</f>
        <v>0.15362148148148147</v>
      </c>
      <c r="E39" t="s">
        <v>2</v>
      </c>
      <c r="F39" t="s">
        <v>14</v>
      </c>
      <c r="G39">
        <v>8295.56</v>
      </c>
      <c r="H39" t="s">
        <v>432</v>
      </c>
      <c r="I39" s="55">
        <v>45133</v>
      </c>
      <c r="J39" t="s">
        <v>501</v>
      </c>
      <c r="L39" s="55"/>
      <c r="M39" s="1">
        <f>DATA_AGOSTO_2025[[#This Row],[RECUPERO]]/DATA_AGOSTO_2025[[#This Row],[META]]</f>
        <v>0.69581249999999994</v>
      </c>
      <c r="N39">
        <f>6-ROUNDUP(_xlfn.RANK.EQ(DATA_AGOSTO_2025[[#This Row],[AL_AC]],DATA_AGOSTO_2025[AL_AC],0)/(COUNTA(DATA_AGOSTO_2025[AL_AC])/5),0)</f>
        <v>4</v>
      </c>
      <c r="O39" t="s">
        <v>8</v>
      </c>
      <c r="P39">
        <f>SUM(DATA_AGOSTO_2025[[#This Row],[1]:[31]])</f>
        <v>11133</v>
      </c>
      <c r="Q39">
        <v>16000</v>
      </c>
      <c r="R39" t="s">
        <v>44</v>
      </c>
      <c r="S39">
        <v>800</v>
      </c>
      <c r="V39">
        <v>252</v>
      </c>
      <c r="Y39">
        <v>1300</v>
      </c>
      <c r="Z39">
        <v>150</v>
      </c>
      <c r="AC39">
        <v>150</v>
      </c>
      <c r="AF39">
        <v>500</v>
      </c>
      <c r="AG39">
        <v>1050</v>
      </c>
      <c r="AJ39">
        <v>700</v>
      </c>
      <c r="AK39">
        <v>200</v>
      </c>
      <c r="AM39">
        <v>3070</v>
      </c>
      <c r="AN39">
        <v>200</v>
      </c>
      <c r="AP39">
        <v>200</v>
      </c>
      <c r="AQ39">
        <v>290</v>
      </c>
      <c r="AR39">
        <v>620</v>
      </c>
      <c r="AT39">
        <v>1651</v>
      </c>
      <c r="AX39" t="s">
        <v>153</v>
      </c>
    </row>
    <row r="40" spans="1:50" x14ac:dyDescent="0.25">
      <c r="A40" s="2" t="str">
        <f>D1_AGOSTO_2025[[#This Row],[SUPER2]]</f>
        <v>JORDAN</v>
      </c>
      <c r="B40" s="2" t="s">
        <v>69</v>
      </c>
      <c r="C40" s="2">
        <f>VLOOKUP(D1_AGOSTO_2025[[#This Row],[SUPER]],DATA_AGOSTO_2025[[SUPERVISOR]:[META]],3,0)</f>
        <v>54000</v>
      </c>
      <c r="D40" s="2">
        <f>D1_AGOSTO_2025[[#This Row],[RECUPERO]]/C40</f>
        <v>0.67654629629629626</v>
      </c>
      <c r="E40" t="s">
        <v>5</v>
      </c>
      <c r="F40" t="s">
        <v>69</v>
      </c>
      <c r="G40">
        <v>36533.5</v>
      </c>
      <c r="H40" t="s">
        <v>379</v>
      </c>
      <c r="I40" s="55">
        <v>44461</v>
      </c>
      <c r="J40" t="s">
        <v>501</v>
      </c>
      <c r="L40" s="55"/>
      <c r="M40" s="1">
        <f>DATA_AGOSTO_2025[[#This Row],[RECUPERO]]/DATA_AGOSTO_2025[[#This Row],[META]]</f>
        <v>0.39690740740740743</v>
      </c>
      <c r="N40">
        <f>6-ROUNDUP(_xlfn.RANK.EQ(DATA_AGOSTO_2025[[#This Row],[AL_AC]],DATA_AGOSTO_2025[AL_AC],0)/(COUNTA(DATA_AGOSTO_2025[AL_AC])/5),0)</f>
        <v>3</v>
      </c>
      <c r="O40" t="s">
        <v>5</v>
      </c>
      <c r="P40">
        <f>SUM(DATA_AGOSTO_2025[[#This Row],[1]:[31]])</f>
        <v>21433</v>
      </c>
      <c r="Q40">
        <v>54000</v>
      </c>
      <c r="R40" t="s">
        <v>71</v>
      </c>
      <c r="S40">
        <v>1300</v>
      </c>
      <c r="AG40">
        <v>2833</v>
      </c>
      <c r="AJ40">
        <v>600</v>
      </c>
      <c r="AK40">
        <v>2000</v>
      </c>
      <c r="AL40">
        <v>1200</v>
      </c>
      <c r="AQ40">
        <v>8900</v>
      </c>
      <c r="AR40">
        <v>4000</v>
      </c>
      <c r="AT40">
        <v>600</v>
      </c>
      <c r="AX40" t="s">
        <v>150</v>
      </c>
    </row>
    <row r="41" spans="1:50" x14ac:dyDescent="0.25">
      <c r="A41" s="2" t="str">
        <f>D1_AGOSTO_2025[[#This Row],[SUPER2]]</f>
        <v>JORDAN</v>
      </c>
      <c r="B41" s="2" t="s">
        <v>66</v>
      </c>
      <c r="C41" s="2">
        <f>VLOOKUP(D1_AGOSTO_2025[[#This Row],[SUPER]],DATA_AGOSTO_2025[[SUPERVISOR]:[META]],3,0)</f>
        <v>54000</v>
      </c>
      <c r="D41" s="2">
        <f>D1_AGOSTO_2025[[#This Row],[RECUPERO]]/C41</f>
        <v>0.39811111111111114</v>
      </c>
      <c r="E41" t="s">
        <v>5</v>
      </c>
      <c r="F41" t="s">
        <v>66</v>
      </c>
      <c r="G41">
        <v>21498</v>
      </c>
      <c r="H41" t="s">
        <v>383</v>
      </c>
      <c r="I41" s="55">
        <v>45457</v>
      </c>
      <c r="J41" t="s">
        <v>501</v>
      </c>
      <c r="L41" s="55"/>
      <c r="M41" s="1">
        <f>DATA_AGOSTO_2025[[#This Row],[RECUPERO]]/DATA_AGOSTO_2025[[#This Row],[META]]</f>
        <v>0.75612500000000005</v>
      </c>
      <c r="N41">
        <f>6-ROUNDUP(_xlfn.RANK.EQ(DATA_AGOSTO_2025[[#This Row],[AL_AC]],DATA_AGOSTO_2025[AL_AC],0)/(COUNTA(DATA_AGOSTO_2025[AL_AC])/5),0)</f>
        <v>5</v>
      </c>
      <c r="O41" t="s">
        <v>8</v>
      </c>
      <c r="P41">
        <f>SUM(DATA_AGOSTO_2025[[#This Row],[1]:[31]])</f>
        <v>12098</v>
      </c>
      <c r="Q41">
        <v>16000</v>
      </c>
      <c r="R41" t="s">
        <v>42</v>
      </c>
      <c r="S41">
        <v>100</v>
      </c>
      <c r="W41">
        <v>750</v>
      </c>
      <c r="Y41">
        <v>2700</v>
      </c>
      <c r="Z41">
        <v>425</v>
      </c>
      <c r="AE41">
        <v>640</v>
      </c>
      <c r="AF41">
        <v>250</v>
      </c>
      <c r="AG41">
        <v>1200</v>
      </c>
      <c r="AJ41">
        <v>955</v>
      </c>
      <c r="AL41">
        <v>400</v>
      </c>
      <c r="AM41">
        <v>700</v>
      </c>
      <c r="AN41">
        <v>2300</v>
      </c>
      <c r="AQ41">
        <v>1428</v>
      </c>
      <c r="AS41">
        <v>250</v>
      </c>
      <c r="AX41" t="s">
        <v>153</v>
      </c>
    </row>
    <row r="42" spans="1:50" x14ac:dyDescent="0.25">
      <c r="A42" s="2" t="str">
        <f>D1_AGOSTO_2025[[#This Row],[SUPER2]]</f>
        <v>JORDAN</v>
      </c>
      <c r="B42" s="2" t="s">
        <v>70</v>
      </c>
      <c r="C42" s="2">
        <f>VLOOKUP(D1_AGOSTO_2025[[#This Row],[SUPER]],DATA_AGOSTO_2025[[SUPERVISOR]:[META]],3,0)</f>
        <v>54000</v>
      </c>
      <c r="D42" s="2">
        <f>D1_AGOSTO_2025[[#This Row],[RECUPERO]]/C42</f>
        <v>0.51500000000000001</v>
      </c>
      <c r="E42" t="s">
        <v>5</v>
      </c>
      <c r="F42" t="s">
        <v>70</v>
      </c>
      <c r="G42">
        <v>27810</v>
      </c>
      <c r="H42" t="s">
        <v>418</v>
      </c>
      <c r="I42" s="55">
        <v>44971</v>
      </c>
      <c r="J42" t="s">
        <v>501</v>
      </c>
      <c r="L42" s="55"/>
      <c r="M42" s="1">
        <f>DATA_AGOSTO_2025[[#This Row],[RECUPERO]]/DATA_AGOSTO_2025[[#This Row],[META]]</f>
        <v>3.1E-2</v>
      </c>
      <c r="N42">
        <f>6-ROUNDUP(_xlfn.RANK.EQ(DATA_AGOSTO_2025[[#This Row],[AL_AC]],DATA_AGOSTO_2025[AL_AC],0)/(COUNTA(DATA_AGOSTO_2025[AL_AC])/5),0)</f>
        <v>1</v>
      </c>
      <c r="O42" t="s">
        <v>9</v>
      </c>
      <c r="P42">
        <f>SUM(DATA_AGOSTO_2025[[#This Row],[1]:[31]])</f>
        <v>496</v>
      </c>
      <c r="Q42">
        <v>16000</v>
      </c>
      <c r="R42" t="s">
        <v>100</v>
      </c>
      <c r="AR42">
        <v>200</v>
      </c>
      <c r="AT42">
        <v>296</v>
      </c>
      <c r="AX42" t="s">
        <v>153</v>
      </c>
    </row>
    <row r="43" spans="1:50" x14ac:dyDescent="0.25">
      <c r="A43" s="2" t="str">
        <f>D1_AGOSTO_2025[[#This Row],[SUPER2]]</f>
        <v>JORDAN</v>
      </c>
      <c r="B43" s="2" t="s">
        <v>67</v>
      </c>
      <c r="C43" s="2">
        <f>VLOOKUP(D1_AGOSTO_2025[[#This Row],[SUPER]],DATA_AGOSTO_2025[[SUPERVISOR]:[META]],3,0)</f>
        <v>54000</v>
      </c>
      <c r="D43" s="2">
        <f>D1_AGOSTO_2025[[#This Row],[RECUPERO]]/C43</f>
        <v>0.46387037037037038</v>
      </c>
      <c r="E43" t="s">
        <v>5</v>
      </c>
      <c r="F43" t="s">
        <v>67</v>
      </c>
      <c r="G43">
        <v>25049</v>
      </c>
      <c r="H43" t="s">
        <v>381</v>
      </c>
      <c r="I43" s="55">
        <v>44811</v>
      </c>
      <c r="J43" t="s">
        <v>501</v>
      </c>
      <c r="L43" s="55"/>
      <c r="M43" s="1">
        <f>DATA_AGOSTO_2025[[#This Row],[RECUPERO]]/DATA_AGOSTO_2025[[#This Row],[META]]</f>
        <v>1.1887222222222222</v>
      </c>
      <c r="N43">
        <f>6-ROUNDUP(_xlfn.RANK.EQ(DATA_AGOSTO_2025[[#This Row],[AL_AC]],DATA_AGOSTO_2025[AL_AC],0)/(COUNTA(DATA_AGOSTO_2025[AL_AC])/5),0)</f>
        <v>5</v>
      </c>
      <c r="O43" t="s">
        <v>4</v>
      </c>
      <c r="P43">
        <f>SUM(DATA_AGOSTO_2025[[#This Row],[1]:[31]])</f>
        <v>85588</v>
      </c>
      <c r="Q43">
        <v>72000</v>
      </c>
      <c r="R43" t="s">
        <v>57</v>
      </c>
      <c r="W43">
        <v>28600</v>
      </c>
      <c r="Y43">
        <v>10400</v>
      </c>
      <c r="Z43">
        <v>2430</v>
      </c>
      <c r="AA43">
        <v>7000</v>
      </c>
      <c r="AK43">
        <v>10600</v>
      </c>
      <c r="AM43">
        <v>8700</v>
      </c>
      <c r="AQ43">
        <v>17858</v>
      </c>
      <c r="AX43" t="s">
        <v>155</v>
      </c>
    </row>
    <row r="44" spans="1:50" x14ac:dyDescent="0.25">
      <c r="A44" s="2" t="str">
        <f>D1_AGOSTO_2025[[#This Row],[SUPER2]]</f>
        <v>JORDAN</v>
      </c>
      <c r="B44" s="2" t="s">
        <v>68</v>
      </c>
      <c r="C44" s="2">
        <f>VLOOKUP(D1_AGOSTO_2025[[#This Row],[SUPER]],DATA_AGOSTO_2025[[SUPERVISOR]:[META]],3,0)</f>
        <v>54000</v>
      </c>
      <c r="D44" s="2">
        <f>D1_AGOSTO_2025[[#This Row],[RECUPERO]]/C44</f>
        <v>0.47129629629629627</v>
      </c>
      <c r="E44" t="s">
        <v>5</v>
      </c>
      <c r="F44" t="s">
        <v>68</v>
      </c>
      <c r="G44">
        <v>25450</v>
      </c>
      <c r="H44" t="s">
        <v>440</v>
      </c>
      <c r="I44" s="55">
        <v>45364</v>
      </c>
      <c r="J44" t="s">
        <v>501</v>
      </c>
      <c r="L44" s="55"/>
      <c r="M44" s="1">
        <f>DATA_AGOSTO_2025[[#This Row],[RECUPERO]]/DATA_AGOSTO_2025[[#This Row],[META]]</f>
        <v>0.75306249999999997</v>
      </c>
      <c r="N44">
        <f>6-ROUNDUP(_xlfn.RANK.EQ(DATA_AGOSTO_2025[[#This Row],[AL_AC]],DATA_AGOSTO_2025[AL_AC],0)/(COUNTA(DATA_AGOSTO_2025[AL_AC])/5),0)</f>
        <v>5</v>
      </c>
      <c r="O44" t="s">
        <v>9</v>
      </c>
      <c r="P44">
        <f>SUM(DATA_AGOSTO_2025[[#This Row],[1]:[31]])</f>
        <v>12049</v>
      </c>
      <c r="Q44">
        <v>16000</v>
      </c>
      <c r="R44" t="s">
        <v>49</v>
      </c>
      <c r="V44">
        <v>200</v>
      </c>
      <c r="W44">
        <v>4875</v>
      </c>
      <c r="Y44">
        <v>200</v>
      </c>
      <c r="AB44">
        <v>300</v>
      </c>
      <c r="AC44">
        <v>350</v>
      </c>
      <c r="AD44">
        <v>1646</v>
      </c>
      <c r="AE44">
        <v>300</v>
      </c>
      <c r="AF44">
        <v>350</v>
      </c>
      <c r="AG44">
        <v>300</v>
      </c>
      <c r="AJ44">
        <v>500</v>
      </c>
      <c r="AS44">
        <v>1950</v>
      </c>
      <c r="AT44">
        <v>1078</v>
      </c>
      <c r="AX44" t="s">
        <v>153</v>
      </c>
    </row>
    <row r="45" spans="1:50" x14ac:dyDescent="0.25">
      <c r="A45" s="2" t="str">
        <f>D1_AGOSTO_2025[[#This Row],[SUPER2]]</f>
        <v>JORDAN</v>
      </c>
      <c r="B45" s="2" t="s">
        <v>71</v>
      </c>
      <c r="C45" s="2">
        <f>VLOOKUP(D1_AGOSTO_2025[[#This Row],[SUPER]],DATA_AGOSTO_2025[[SUPERVISOR]:[META]],3,0)</f>
        <v>54000</v>
      </c>
      <c r="D45" s="2">
        <f>D1_AGOSTO_2025[[#This Row],[RECUPERO]]/C45</f>
        <v>0.39690740740740743</v>
      </c>
      <c r="E45" t="s">
        <v>5</v>
      </c>
      <c r="F45" t="s">
        <v>71</v>
      </c>
      <c r="G45">
        <v>21433</v>
      </c>
      <c r="H45" t="s">
        <v>414</v>
      </c>
      <c r="I45" s="55">
        <v>45423</v>
      </c>
      <c r="J45" t="s">
        <v>501</v>
      </c>
      <c r="L45" s="55"/>
      <c r="M45" s="1">
        <f>DATA_AGOSTO_2025[[#This Row],[RECUPERO]]/DATA_AGOSTO_2025[[#This Row],[META]]</f>
        <v>0.53088888888888885</v>
      </c>
      <c r="N45">
        <f>6-ROUNDUP(_xlfn.RANK.EQ(DATA_AGOSTO_2025[[#This Row],[AL_AC]],DATA_AGOSTO_2025[AL_AC],0)/(COUNTA(DATA_AGOSTO_2025[AL_AC])/5),0)</f>
        <v>4</v>
      </c>
      <c r="O45" t="s">
        <v>125</v>
      </c>
      <c r="P45">
        <f>SUM(DATA_AGOSTO_2025[[#This Row],[1]:[31]])</f>
        <v>38224</v>
      </c>
      <c r="Q45">
        <v>72000</v>
      </c>
      <c r="R45" t="s">
        <v>26</v>
      </c>
      <c r="S45">
        <v>5030</v>
      </c>
      <c r="AC45">
        <v>1400</v>
      </c>
      <c r="AD45">
        <v>6200</v>
      </c>
      <c r="AE45">
        <v>600</v>
      </c>
      <c r="AF45">
        <v>1900</v>
      </c>
      <c r="AG45">
        <v>491</v>
      </c>
      <c r="AJ45">
        <v>1000</v>
      </c>
      <c r="AM45">
        <v>8464</v>
      </c>
      <c r="AN45">
        <v>3530</v>
      </c>
      <c r="AQ45">
        <v>2300</v>
      </c>
      <c r="AS45">
        <v>2000</v>
      </c>
      <c r="AT45">
        <v>5309</v>
      </c>
      <c r="AX45" t="s">
        <v>155</v>
      </c>
    </row>
    <row r="46" spans="1:50" x14ac:dyDescent="0.25">
      <c r="A46" s="2" t="str">
        <f>D1_AGOSTO_2025[[#This Row],[SUPER2]]</f>
        <v>JORDAN</v>
      </c>
      <c r="B46" s="2" t="s">
        <v>72</v>
      </c>
      <c r="C46" s="2">
        <f>VLOOKUP(D1_AGOSTO_2025[[#This Row],[SUPER]],DATA_AGOSTO_2025[[SUPERVISOR]:[META]],3,0)</f>
        <v>54000</v>
      </c>
      <c r="D46" s="2">
        <f>D1_AGOSTO_2025[[#This Row],[RECUPERO]]/C46</f>
        <v>0.17964018518518518</v>
      </c>
      <c r="E46" t="s">
        <v>5</v>
      </c>
      <c r="F46" t="s">
        <v>72</v>
      </c>
      <c r="G46">
        <v>9700.57</v>
      </c>
      <c r="H46" t="s">
        <v>450</v>
      </c>
      <c r="I46" s="55">
        <v>45084</v>
      </c>
      <c r="J46" t="s">
        <v>501</v>
      </c>
      <c r="L46" s="55"/>
      <c r="M46" s="1">
        <f>DATA_AGOSTO_2025[[#This Row],[RECUPERO]]/DATA_AGOSTO_2025[[#This Row],[META]]</f>
        <v>3.0944444444444445E-2</v>
      </c>
      <c r="N46">
        <f>6-ROUNDUP(_xlfn.RANK.EQ(DATA_AGOSTO_2025[[#This Row],[AL_AC]],DATA_AGOSTO_2025[AL_AC],0)/(COUNTA(DATA_AGOSTO_2025[AL_AC])/5),0)</f>
        <v>1</v>
      </c>
      <c r="O46" t="s">
        <v>5</v>
      </c>
      <c r="P46">
        <f>SUM(DATA_AGOSTO_2025[[#This Row],[1]:[31]])</f>
        <v>1671</v>
      </c>
      <c r="Q46">
        <v>54000</v>
      </c>
      <c r="R46" t="s">
        <v>96</v>
      </c>
      <c r="AG46">
        <v>381</v>
      </c>
      <c r="AQ46">
        <v>1000</v>
      </c>
      <c r="AT46">
        <v>290</v>
      </c>
      <c r="AX46" t="s">
        <v>150</v>
      </c>
    </row>
    <row r="47" spans="1:50" x14ac:dyDescent="0.25">
      <c r="A47" s="2" t="str">
        <f>D1_AGOSTO_2025[[#This Row],[SUPER2]]</f>
        <v>JORDAN</v>
      </c>
      <c r="B47" s="2" t="s">
        <v>73</v>
      </c>
      <c r="C47" s="2">
        <f>VLOOKUP(D1_AGOSTO_2025[[#This Row],[SUPER]],DATA_AGOSTO_2025[[SUPERVISOR]:[META]],3,0)</f>
        <v>54000</v>
      </c>
      <c r="D47" s="2">
        <f>D1_AGOSTO_2025[[#This Row],[RECUPERO]]/C47</f>
        <v>0.10972222222222222</v>
      </c>
      <c r="E47" t="s">
        <v>5</v>
      </c>
      <c r="F47" t="s">
        <v>73</v>
      </c>
      <c r="G47">
        <v>5925</v>
      </c>
      <c r="H47" t="s">
        <v>420</v>
      </c>
      <c r="I47" s="55">
        <v>45145</v>
      </c>
      <c r="J47" t="s">
        <v>501</v>
      </c>
      <c r="L47" s="55"/>
      <c r="M47" s="1">
        <f>DATA_AGOSTO_2025[[#This Row],[RECUPERO]]/DATA_AGOSTO_2025[[#This Row],[META]]</f>
        <v>0.1125</v>
      </c>
      <c r="N47">
        <f>6-ROUNDUP(_xlfn.RANK.EQ(DATA_AGOSTO_2025[[#This Row],[AL_AC]],DATA_AGOSTO_2025[AL_AC],0)/(COUNTA(DATA_AGOSTO_2025[AL_AC])/5),0)</f>
        <v>1</v>
      </c>
      <c r="O47" t="s">
        <v>8</v>
      </c>
      <c r="P47">
        <f>SUM(DATA_AGOSTO_2025[[#This Row],[1]:[31]])</f>
        <v>1800</v>
      </c>
      <c r="Q47">
        <v>16000</v>
      </c>
      <c r="R47" t="s">
        <v>98</v>
      </c>
      <c r="AN47">
        <v>1700</v>
      </c>
      <c r="AT47">
        <v>100</v>
      </c>
      <c r="AX47" t="s">
        <v>153</v>
      </c>
    </row>
    <row r="48" spans="1:50" x14ac:dyDescent="0.25">
      <c r="A48" s="2" t="str">
        <f>D1_AGOSTO_2025[[#This Row],[SUPER2]]</f>
        <v>JORDAN</v>
      </c>
      <c r="B48" s="2" t="s">
        <v>96</v>
      </c>
      <c r="C48" s="2">
        <f>VLOOKUP(D1_AGOSTO_2025[[#This Row],[SUPER]],DATA_AGOSTO_2025[[SUPERVISOR]:[META]],3,0)</f>
        <v>54000</v>
      </c>
      <c r="D48" s="2">
        <f>D1_AGOSTO_2025[[#This Row],[RECUPERO]]/C48</f>
        <v>3.0944444444444445E-2</v>
      </c>
      <c r="E48" t="s">
        <v>5</v>
      </c>
      <c r="F48" t="s">
        <v>96</v>
      </c>
      <c r="G48">
        <v>1671</v>
      </c>
      <c r="H48" t="s">
        <v>437</v>
      </c>
      <c r="I48" s="55">
        <v>45671</v>
      </c>
      <c r="J48" t="s">
        <v>501</v>
      </c>
      <c r="L48" s="55"/>
      <c r="M48" s="1">
        <f>DATA_AGOSTO_2025[[#This Row],[RECUPERO]]/DATA_AGOSTO_2025[[#This Row],[META]]</f>
        <v>0.23395833333333332</v>
      </c>
      <c r="N48">
        <f>6-ROUNDUP(_xlfn.RANK.EQ(DATA_AGOSTO_2025[[#This Row],[AL_AC]],DATA_AGOSTO_2025[AL_AC],0)/(COUNTA(DATA_AGOSTO_2025[AL_AC])/5),0)</f>
        <v>2</v>
      </c>
      <c r="O48" t="s">
        <v>4</v>
      </c>
      <c r="P48">
        <f>SUM(DATA_AGOSTO_2025[[#This Row],[1]:[31]])</f>
        <v>16845</v>
      </c>
      <c r="Q48">
        <v>72000</v>
      </c>
      <c r="R48" t="s">
        <v>65</v>
      </c>
      <c r="S48">
        <v>955</v>
      </c>
      <c r="U48">
        <v>700</v>
      </c>
      <c r="V48">
        <v>600</v>
      </c>
      <c r="Y48">
        <v>400</v>
      </c>
      <c r="Z48">
        <v>1500</v>
      </c>
      <c r="AF48">
        <v>618</v>
      </c>
      <c r="AG48">
        <v>1000</v>
      </c>
      <c r="AJ48">
        <v>1256</v>
      </c>
      <c r="AK48">
        <v>500</v>
      </c>
      <c r="AL48">
        <v>268</v>
      </c>
      <c r="AM48">
        <v>1150</v>
      </c>
      <c r="AN48">
        <v>1900</v>
      </c>
      <c r="AQ48">
        <v>805</v>
      </c>
      <c r="AR48">
        <v>1370</v>
      </c>
      <c r="AS48">
        <v>805</v>
      </c>
      <c r="AT48">
        <v>3018</v>
      </c>
      <c r="AX48" t="s">
        <v>155</v>
      </c>
    </row>
    <row r="49" spans="1:50" x14ac:dyDescent="0.25">
      <c r="A49" s="2" t="str">
        <f>D1_AGOSTO_2025[[#This Row],[SUPER2]]</f>
        <v>KENNETH</v>
      </c>
      <c r="B49" s="2" t="s">
        <v>31</v>
      </c>
      <c r="C49" s="2">
        <f>VLOOKUP(D1_AGOSTO_2025[[#This Row],[SUPER]],DATA_AGOSTO_2025[[SUPERVISOR]:[META]],3,0)</f>
        <v>26000</v>
      </c>
      <c r="D49" s="2">
        <f>D1_AGOSTO_2025[[#This Row],[RECUPERO]]/C49</f>
        <v>2.2034615384615384</v>
      </c>
      <c r="E49" t="s">
        <v>6</v>
      </c>
      <c r="F49" t="s">
        <v>31</v>
      </c>
      <c r="G49">
        <v>57290</v>
      </c>
      <c r="H49" t="s">
        <v>403</v>
      </c>
      <c r="I49" s="55">
        <v>45334</v>
      </c>
      <c r="J49" t="s">
        <v>501</v>
      </c>
      <c r="L49" s="55"/>
      <c r="M49" s="1">
        <f>DATA_AGOSTO_2025[[#This Row],[RECUPERO]]/DATA_AGOSTO_2025[[#This Row],[META]]</f>
        <v>0.24258064516129033</v>
      </c>
      <c r="N49">
        <f>6-ROUNDUP(_xlfn.RANK.EQ(DATA_AGOSTO_2025[[#This Row],[AL_AC]],DATA_AGOSTO_2025[AL_AC],0)/(COUNTA(DATA_AGOSTO_2025[AL_AC])/5),0)</f>
        <v>2</v>
      </c>
      <c r="O49" t="s">
        <v>7</v>
      </c>
      <c r="P49">
        <f>SUM(DATA_AGOSTO_2025[[#This Row],[1]:[31]])</f>
        <v>3760</v>
      </c>
      <c r="Q49">
        <v>15500</v>
      </c>
      <c r="R49" t="s">
        <v>20</v>
      </c>
      <c r="W49">
        <v>500</v>
      </c>
      <c r="AE49">
        <v>150</v>
      </c>
      <c r="AF49">
        <v>510</v>
      </c>
      <c r="AG49">
        <v>700</v>
      </c>
      <c r="AJ49">
        <v>300</v>
      </c>
      <c r="AQ49">
        <v>700</v>
      </c>
      <c r="AR49">
        <v>900</v>
      </c>
      <c r="AX49" t="s">
        <v>152</v>
      </c>
    </row>
    <row r="50" spans="1:50" x14ac:dyDescent="0.25">
      <c r="A50" s="2" t="str">
        <f>D1_AGOSTO_2025[[#This Row],[SUPER2]]</f>
        <v>KENNETH</v>
      </c>
      <c r="B50" s="2" t="s">
        <v>34</v>
      </c>
      <c r="C50" s="2">
        <f>VLOOKUP(D1_AGOSTO_2025[[#This Row],[SUPER]],DATA_AGOSTO_2025[[SUPERVISOR]:[META]],3,0)</f>
        <v>26000</v>
      </c>
      <c r="D50" s="2">
        <f>D1_AGOSTO_2025[[#This Row],[RECUPERO]]/C50</f>
        <v>1.8715592307692308</v>
      </c>
      <c r="E50" t="s">
        <v>6</v>
      </c>
      <c r="F50" t="s">
        <v>34</v>
      </c>
      <c r="G50">
        <v>48660.54</v>
      </c>
      <c r="H50" t="s">
        <v>407</v>
      </c>
      <c r="I50" s="55">
        <v>45175</v>
      </c>
      <c r="J50" t="s">
        <v>501</v>
      </c>
      <c r="L50" s="55"/>
      <c r="M50" s="1">
        <f>DATA_AGOSTO_2025[[#This Row],[RECUPERO]]/DATA_AGOSTO_2025[[#This Row],[META]]</f>
        <v>1.3813076923076923</v>
      </c>
      <c r="N50">
        <f>6-ROUNDUP(_xlfn.RANK.EQ(DATA_AGOSTO_2025[[#This Row],[AL_AC]],DATA_AGOSTO_2025[AL_AC],0)/(COUNTA(DATA_AGOSTO_2025[AL_AC])/5),0)</f>
        <v>5</v>
      </c>
      <c r="O50" t="s">
        <v>6</v>
      </c>
      <c r="P50">
        <f>SUM(DATA_AGOSTO_2025[[#This Row],[1]:[31]])</f>
        <v>35914</v>
      </c>
      <c r="Q50">
        <v>26000</v>
      </c>
      <c r="R50" t="s">
        <v>37</v>
      </c>
      <c r="S50">
        <v>451</v>
      </c>
      <c r="X50">
        <v>50</v>
      </c>
      <c r="Y50">
        <v>600</v>
      </c>
      <c r="AC50">
        <v>110</v>
      </c>
      <c r="AG50">
        <v>207</v>
      </c>
      <c r="AJ50">
        <v>9000</v>
      </c>
      <c r="AK50">
        <v>1000</v>
      </c>
      <c r="AL50">
        <v>100</v>
      </c>
      <c r="AM50">
        <v>5156</v>
      </c>
      <c r="AO50">
        <v>500</v>
      </c>
      <c r="AQ50">
        <v>100</v>
      </c>
      <c r="AS50">
        <v>730</v>
      </c>
      <c r="AT50">
        <v>16610</v>
      </c>
      <c r="AU50">
        <v>1300</v>
      </c>
      <c r="AX50" t="s">
        <v>156</v>
      </c>
    </row>
    <row r="51" spans="1:50" x14ac:dyDescent="0.25">
      <c r="A51" s="2" t="str">
        <f>D1_AGOSTO_2025[[#This Row],[SUPER2]]</f>
        <v>KENNETH</v>
      </c>
      <c r="B51" s="2" t="s">
        <v>37</v>
      </c>
      <c r="C51" s="2">
        <f>VLOOKUP(D1_AGOSTO_2025[[#This Row],[SUPER]],DATA_AGOSTO_2025[[SUPERVISOR]:[META]],3,0)</f>
        <v>26000</v>
      </c>
      <c r="D51" s="2">
        <f>D1_AGOSTO_2025[[#This Row],[RECUPERO]]/C51</f>
        <v>1.3813076923076923</v>
      </c>
      <c r="E51" t="s">
        <v>6</v>
      </c>
      <c r="F51" t="s">
        <v>37</v>
      </c>
      <c r="G51">
        <v>35914</v>
      </c>
      <c r="H51" t="s">
        <v>400</v>
      </c>
      <c r="I51" s="55">
        <v>43132</v>
      </c>
      <c r="J51" t="s">
        <v>501</v>
      </c>
      <c r="L51" s="55"/>
      <c r="M51" s="1">
        <f>DATA_AGOSTO_2025[[#This Row],[RECUPERO]]/DATA_AGOSTO_2025[[#This Row],[META]]</f>
        <v>7.5483870967741937E-2</v>
      </c>
      <c r="N51">
        <f>6-ROUNDUP(_xlfn.RANK.EQ(DATA_AGOSTO_2025[[#This Row],[AL_AC]],DATA_AGOSTO_2025[AL_AC],0)/(COUNTA(DATA_AGOSTO_2025[AL_AC])/5),0)</f>
        <v>1</v>
      </c>
      <c r="O51" t="s">
        <v>7</v>
      </c>
      <c r="P51">
        <f>SUM(DATA_AGOSTO_2025[[#This Row],[1]:[31]])</f>
        <v>1170</v>
      </c>
      <c r="Q51">
        <v>15500</v>
      </c>
      <c r="R51" t="s">
        <v>106</v>
      </c>
      <c r="AK51">
        <v>350</v>
      </c>
      <c r="AL51">
        <v>600</v>
      </c>
      <c r="AQ51">
        <v>220</v>
      </c>
      <c r="AX51" t="s">
        <v>152</v>
      </c>
    </row>
    <row r="52" spans="1:50" x14ac:dyDescent="0.25">
      <c r="A52" s="2" t="str">
        <f>D1_AGOSTO_2025[[#This Row],[SUPER2]]</f>
        <v>KENNETH</v>
      </c>
      <c r="B52" s="2" t="s">
        <v>35</v>
      </c>
      <c r="C52" s="2">
        <f>VLOOKUP(D1_AGOSTO_2025[[#This Row],[SUPER]],DATA_AGOSTO_2025[[SUPERVISOR]:[META]],3,0)</f>
        <v>26000</v>
      </c>
      <c r="D52" s="2">
        <f>D1_AGOSTO_2025[[#This Row],[RECUPERO]]/C52</f>
        <v>1.1013461538461538</v>
      </c>
      <c r="E52" t="s">
        <v>6</v>
      </c>
      <c r="F52" t="s">
        <v>35</v>
      </c>
      <c r="G52">
        <v>28635</v>
      </c>
      <c r="H52" t="s">
        <v>401</v>
      </c>
      <c r="I52" s="55">
        <v>44748</v>
      </c>
      <c r="J52" t="s">
        <v>501</v>
      </c>
      <c r="L52" s="55"/>
      <c r="M52" s="1">
        <f>DATA_AGOSTO_2025[[#This Row],[RECUPERO]]/DATA_AGOSTO_2025[[#This Row],[META]]</f>
        <v>1.1013461538461538</v>
      </c>
      <c r="N52">
        <f>6-ROUNDUP(_xlfn.RANK.EQ(DATA_AGOSTO_2025[[#This Row],[AL_AC]],DATA_AGOSTO_2025[AL_AC],0)/(COUNTA(DATA_AGOSTO_2025[AL_AC])/5),0)</f>
        <v>5</v>
      </c>
      <c r="O52" t="s">
        <v>6</v>
      </c>
      <c r="P52">
        <f>SUM(DATA_AGOSTO_2025[[#This Row],[1]:[31]])</f>
        <v>28635</v>
      </c>
      <c r="Q52">
        <v>26000</v>
      </c>
      <c r="R52" t="s">
        <v>35</v>
      </c>
      <c r="S52">
        <v>635</v>
      </c>
      <c r="V52">
        <v>1800</v>
      </c>
      <c r="AC52">
        <v>5200</v>
      </c>
      <c r="AE52">
        <v>10000</v>
      </c>
      <c r="AF52">
        <v>250</v>
      </c>
      <c r="AG52">
        <v>200</v>
      </c>
      <c r="AJ52">
        <v>400</v>
      </c>
      <c r="AK52">
        <v>5000</v>
      </c>
      <c r="AL52">
        <v>500</v>
      </c>
      <c r="AM52">
        <v>1500</v>
      </c>
      <c r="AN52">
        <v>1950</v>
      </c>
      <c r="AS52">
        <v>200</v>
      </c>
      <c r="AT52">
        <v>1000</v>
      </c>
      <c r="AX52" t="s">
        <v>156</v>
      </c>
    </row>
    <row r="53" spans="1:50" x14ac:dyDescent="0.25">
      <c r="A53" s="2" t="str">
        <f>D1_AGOSTO_2025[[#This Row],[SUPER2]]</f>
        <v>KENNETH</v>
      </c>
      <c r="B53" s="2" t="s">
        <v>32</v>
      </c>
      <c r="C53" s="2">
        <f>VLOOKUP(D1_AGOSTO_2025[[#This Row],[SUPER]],DATA_AGOSTO_2025[[SUPERVISOR]:[META]],3,0)</f>
        <v>26000</v>
      </c>
      <c r="D53" s="2">
        <f>D1_AGOSTO_2025[[#This Row],[RECUPERO]]/C53</f>
        <v>1.0142807692307692</v>
      </c>
      <c r="E53" t="s">
        <v>6</v>
      </c>
      <c r="F53" t="s">
        <v>32</v>
      </c>
      <c r="G53">
        <v>26371.3</v>
      </c>
      <c r="H53" t="s">
        <v>390</v>
      </c>
      <c r="I53" s="55">
        <v>45530</v>
      </c>
      <c r="J53" t="s">
        <v>501</v>
      </c>
      <c r="L53" s="55"/>
      <c r="M53" s="1">
        <f>DATA_AGOSTO_2025[[#This Row],[RECUPERO]]/DATA_AGOSTO_2025[[#This Row],[META]]</f>
        <v>0.51831249999999995</v>
      </c>
      <c r="N53">
        <f>6-ROUNDUP(_xlfn.RANK.EQ(DATA_AGOSTO_2025[[#This Row],[AL_AC]],DATA_AGOSTO_2025[AL_AC],0)/(COUNTA(DATA_AGOSTO_2025[AL_AC])/5),0)</f>
        <v>3</v>
      </c>
      <c r="O53" t="s">
        <v>8</v>
      </c>
      <c r="P53">
        <f>SUM(DATA_AGOSTO_2025[[#This Row],[1]:[31]])</f>
        <v>8293</v>
      </c>
      <c r="Q53">
        <v>16000</v>
      </c>
      <c r="R53" t="s">
        <v>45</v>
      </c>
      <c r="V53">
        <v>600</v>
      </c>
      <c r="W53">
        <v>400</v>
      </c>
      <c r="Y53">
        <v>150</v>
      </c>
      <c r="AC53">
        <v>100</v>
      </c>
      <c r="AE53">
        <v>600</v>
      </c>
      <c r="AG53">
        <v>1200</v>
      </c>
      <c r="AJ53">
        <v>2430</v>
      </c>
      <c r="AK53">
        <v>200</v>
      </c>
      <c r="AL53">
        <v>300</v>
      </c>
      <c r="AM53">
        <v>125</v>
      </c>
      <c r="AR53">
        <v>1188</v>
      </c>
      <c r="AS53">
        <v>200</v>
      </c>
      <c r="AT53">
        <v>800</v>
      </c>
      <c r="AX53" t="s">
        <v>153</v>
      </c>
    </row>
    <row r="54" spans="1:50" x14ac:dyDescent="0.25">
      <c r="A54" s="2" t="str">
        <f>D1_AGOSTO_2025[[#This Row],[SUPER2]]</f>
        <v>KENNETH</v>
      </c>
      <c r="B54" s="2" t="s">
        <v>40</v>
      </c>
      <c r="C54" s="2">
        <f>VLOOKUP(D1_AGOSTO_2025[[#This Row],[SUPER]],DATA_AGOSTO_2025[[SUPERVISOR]:[META]],3,0)</f>
        <v>26000</v>
      </c>
      <c r="D54" s="2">
        <f>D1_AGOSTO_2025[[#This Row],[RECUPERO]]/C54</f>
        <v>0.56053846153846154</v>
      </c>
      <c r="E54" t="s">
        <v>6</v>
      </c>
      <c r="F54" t="s">
        <v>40</v>
      </c>
      <c r="G54">
        <v>14574</v>
      </c>
      <c r="H54" t="s">
        <v>424</v>
      </c>
      <c r="I54" s="55">
        <v>45429</v>
      </c>
      <c r="J54" t="s">
        <v>501</v>
      </c>
      <c r="L54" s="55"/>
      <c r="M54" s="1">
        <f>DATA_AGOSTO_2025[[#This Row],[RECUPERO]]/DATA_AGOSTO_2025[[#This Row],[META]]</f>
        <v>0.74131250000000004</v>
      </c>
      <c r="N54">
        <f>6-ROUNDUP(_xlfn.RANK.EQ(DATA_AGOSTO_2025[[#This Row],[AL_AC]],DATA_AGOSTO_2025[AL_AC],0)/(COUNTA(DATA_AGOSTO_2025[AL_AC])/5),0)</f>
        <v>5</v>
      </c>
      <c r="O54" t="s">
        <v>8</v>
      </c>
      <c r="P54">
        <f>SUM(DATA_AGOSTO_2025[[#This Row],[1]:[31]])</f>
        <v>11861</v>
      </c>
      <c r="Q54">
        <v>16000</v>
      </c>
      <c r="R54" t="s">
        <v>46</v>
      </c>
      <c r="S54">
        <v>537</v>
      </c>
      <c r="W54">
        <v>386</v>
      </c>
      <c r="Y54">
        <v>180</v>
      </c>
      <c r="Z54">
        <v>500</v>
      </c>
      <c r="AC54">
        <v>1500</v>
      </c>
      <c r="AD54">
        <v>321</v>
      </c>
      <c r="AF54">
        <v>800</v>
      </c>
      <c r="AJ54">
        <v>955</v>
      </c>
      <c r="AK54">
        <v>800</v>
      </c>
      <c r="AL54">
        <v>950</v>
      </c>
      <c r="AM54">
        <v>300</v>
      </c>
      <c r="AN54">
        <v>3800</v>
      </c>
      <c r="AT54">
        <v>832</v>
      </c>
      <c r="AX54" t="s">
        <v>153</v>
      </c>
    </row>
    <row r="55" spans="1:50" x14ac:dyDescent="0.25">
      <c r="A55" s="2" t="str">
        <f>D1_AGOSTO_2025[[#This Row],[SUPER2]]</f>
        <v>KENNETH</v>
      </c>
      <c r="B55" s="2" t="s">
        <v>38</v>
      </c>
      <c r="C55" s="2">
        <f>VLOOKUP(D1_AGOSTO_2025[[#This Row],[SUPER]],DATA_AGOSTO_2025[[SUPERVISOR]:[META]],3,0)</f>
        <v>26000</v>
      </c>
      <c r="D55" s="2">
        <f>D1_AGOSTO_2025[[#This Row],[RECUPERO]]/C55</f>
        <v>0.43226923076923079</v>
      </c>
      <c r="E55" t="s">
        <v>6</v>
      </c>
      <c r="F55" t="s">
        <v>38</v>
      </c>
      <c r="G55">
        <v>11239</v>
      </c>
      <c r="H55" t="s">
        <v>469</v>
      </c>
      <c r="I55" s="55">
        <v>45805</v>
      </c>
      <c r="J55" t="s">
        <v>501</v>
      </c>
      <c r="L55" s="55"/>
      <c r="M55" s="1">
        <f>DATA_AGOSTO_2025[[#This Row],[RECUPERO]]/DATA_AGOSTO_2025[[#This Row],[META]]</f>
        <v>0.60659750000000001</v>
      </c>
      <c r="N55">
        <f>6-ROUNDUP(_xlfn.RANK.EQ(DATA_AGOSTO_2025[[#This Row],[AL_AC]],DATA_AGOSTO_2025[AL_AC],0)/(COUNTA(DATA_AGOSTO_2025[AL_AC])/5),0)</f>
        <v>4</v>
      </c>
      <c r="O55" t="s">
        <v>9</v>
      </c>
      <c r="P55">
        <f>SUM(DATA_AGOSTO_2025[[#This Row],[1]:[31]])</f>
        <v>9705.56</v>
      </c>
      <c r="Q55">
        <v>16000</v>
      </c>
      <c r="R55" t="s">
        <v>50</v>
      </c>
      <c r="S55">
        <v>1950</v>
      </c>
      <c r="T55">
        <v>600</v>
      </c>
      <c r="V55">
        <v>600</v>
      </c>
      <c r="Z55">
        <v>1500</v>
      </c>
      <c r="AA55">
        <v>350</v>
      </c>
      <c r="AC55">
        <v>360</v>
      </c>
      <c r="AF55">
        <v>388</v>
      </c>
      <c r="AG55">
        <v>863</v>
      </c>
      <c r="AK55">
        <v>600</v>
      </c>
      <c r="AL55">
        <v>450</v>
      </c>
      <c r="AM55">
        <v>400</v>
      </c>
      <c r="AR55">
        <v>209</v>
      </c>
      <c r="AS55">
        <v>1235.56</v>
      </c>
      <c r="AT55">
        <v>200</v>
      </c>
      <c r="AX55" t="s">
        <v>153</v>
      </c>
    </row>
    <row r="56" spans="1:50" x14ac:dyDescent="0.25">
      <c r="A56" s="2" t="str">
        <f>D1_AGOSTO_2025[[#This Row],[SUPER2]]</f>
        <v>KENNETH</v>
      </c>
      <c r="B56" s="2" t="s">
        <v>33</v>
      </c>
      <c r="C56" s="2">
        <f>VLOOKUP(D1_AGOSTO_2025[[#This Row],[SUPER]],DATA_AGOSTO_2025[[SUPERVISOR]:[META]],3,0)</f>
        <v>26000</v>
      </c>
      <c r="D56" s="2">
        <f>D1_AGOSTO_2025[[#This Row],[RECUPERO]]/C56</f>
        <v>0.41446153846153844</v>
      </c>
      <c r="E56" t="s">
        <v>6</v>
      </c>
      <c r="F56" t="s">
        <v>33</v>
      </c>
      <c r="G56">
        <v>10776</v>
      </c>
      <c r="H56" t="s">
        <v>439</v>
      </c>
      <c r="I56" s="55">
        <v>44869</v>
      </c>
      <c r="J56" t="s">
        <v>501</v>
      </c>
      <c r="L56" s="55"/>
      <c r="M56" s="1">
        <f>DATA_AGOSTO_2025[[#This Row],[RECUPERO]]/DATA_AGOSTO_2025[[#This Row],[META]]</f>
        <v>0.41446153846153844</v>
      </c>
      <c r="N56">
        <f>6-ROUNDUP(_xlfn.RANK.EQ(DATA_AGOSTO_2025[[#This Row],[AL_AC]],DATA_AGOSTO_2025[AL_AC],0)/(COUNTA(DATA_AGOSTO_2025[AL_AC])/5),0)</f>
        <v>3</v>
      </c>
      <c r="O56" t="s">
        <v>6</v>
      </c>
      <c r="P56">
        <f>SUM(DATA_AGOSTO_2025[[#This Row],[1]:[31]])</f>
        <v>10776</v>
      </c>
      <c r="Q56">
        <v>26000</v>
      </c>
      <c r="R56" t="s">
        <v>33</v>
      </c>
      <c r="T56">
        <v>4000</v>
      </c>
      <c r="Z56">
        <v>150</v>
      </c>
      <c r="AF56">
        <v>660</v>
      </c>
      <c r="AJ56">
        <v>3000</v>
      </c>
      <c r="AK56">
        <v>316</v>
      </c>
      <c r="AL56">
        <v>2000</v>
      </c>
      <c r="AM56">
        <v>250</v>
      </c>
      <c r="AT56">
        <v>400</v>
      </c>
      <c r="AX56" t="s">
        <v>156</v>
      </c>
    </row>
    <row r="57" spans="1:50" x14ac:dyDescent="0.25">
      <c r="A57" s="2" t="str">
        <f>D1_AGOSTO_2025[[#This Row],[SUPER2]]</f>
        <v>KENNETH</v>
      </c>
      <c r="B57" s="2" t="s">
        <v>39</v>
      </c>
      <c r="C57" s="2">
        <f>VLOOKUP(D1_AGOSTO_2025[[#This Row],[SUPER]],DATA_AGOSTO_2025[[SUPERVISOR]:[META]],3,0)</f>
        <v>26000</v>
      </c>
      <c r="D57" s="2">
        <f>D1_AGOSTO_2025[[#This Row],[RECUPERO]]/C57</f>
        <v>0.44034615384615383</v>
      </c>
      <c r="E57" t="s">
        <v>6</v>
      </c>
      <c r="F57" t="s">
        <v>39</v>
      </c>
      <c r="G57">
        <v>11449</v>
      </c>
      <c r="H57" t="s">
        <v>452</v>
      </c>
      <c r="I57" s="55">
        <v>44951</v>
      </c>
      <c r="J57" t="s">
        <v>501</v>
      </c>
      <c r="L57" s="55"/>
      <c r="M57" s="1">
        <f>DATA_AGOSTO_2025[[#This Row],[RECUPERO]]/DATA_AGOSTO_2025[[#This Row],[META]]</f>
        <v>0.90440277777777778</v>
      </c>
      <c r="N57">
        <f>6-ROUNDUP(_xlfn.RANK.EQ(DATA_AGOSTO_2025[[#This Row],[AL_AC]],DATA_AGOSTO_2025[AL_AC],0)/(COUNTA(DATA_AGOSTO_2025[AL_AC])/5),0)</f>
        <v>5</v>
      </c>
      <c r="O57" t="s">
        <v>125</v>
      </c>
      <c r="P57">
        <f>SUM(DATA_AGOSTO_2025[[#This Row],[1]:[31]])</f>
        <v>65117</v>
      </c>
      <c r="Q57">
        <v>72000</v>
      </c>
      <c r="R57" t="s">
        <v>23</v>
      </c>
      <c r="S57">
        <v>13600</v>
      </c>
      <c r="V57">
        <v>800</v>
      </c>
      <c r="Y57">
        <v>6745</v>
      </c>
      <c r="Z57">
        <v>15454</v>
      </c>
      <c r="AA57">
        <v>4000</v>
      </c>
      <c r="AF57">
        <v>323</v>
      </c>
      <c r="AG57">
        <v>4000</v>
      </c>
      <c r="AH57">
        <v>600</v>
      </c>
      <c r="AJ57">
        <v>2800</v>
      </c>
      <c r="AL57">
        <v>500</v>
      </c>
      <c r="AN57">
        <v>9500</v>
      </c>
      <c r="AO57">
        <v>3000</v>
      </c>
      <c r="AR57">
        <v>1995</v>
      </c>
      <c r="AS57">
        <v>800</v>
      </c>
      <c r="AT57">
        <v>1000</v>
      </c>
      <c r="AX57" t="s">
        <v>155</v>
      </c>
    </row>
    <row r="58" spans="1:50" x14ac:dyDescent="0.25">
      <c r="A58" s="2" t="str">
        <f>D1_AGOSTO_2025[[#This Row],[SUPER2]]</f>
        <v>KENNETH</v>
      </c>
      <c r="B58" s="2" t="s">
        <v>36</v>
      </c>
      <c r="C58" s="2">
        <f>VLOOKUP(D1_AGOSTO_2025[[#This Row],[SUPER]],DATA_AGOSTO_2025[[SUPERVISOR]:[META]],3,0)</f>
        <v>26000</v>
      </c>
      <c r="D58" s="2">
        <f>D1_AGOSTO_2025[[#This Row],[RECUPERO]]/C58</f>
        <v>0.35561538461538461</v>
      </c>
      <c r="E58" t="s">
        <v>6</v>
      </c>
      <c r="F58" t="s">
        <v>36</v>
      </c>
      <c r="G58">
        <v>9246</v>
      </c>
      <c r="H58" t="s">
        <v>406</v>
      </c>
      <c r="I58" s="55">
        <v>44941</v>
      </c>
      <c r="J58" t="s">
        <v>501</v>
      </c>
      <c r="L58" s="55"/>
      <c r="M58" s="1">
        <f>DATA_AGOSTO_2025[[#This Row],[RECUPERO]]/DATA_AGOSTO_2025[[#This Row],[META]]</f>
        <v>0.47129629629629627</v>
      </c>
      <c r="N58">
        <f>6-ROUNDUP(_xlfn.RANK.EQ(DATA_AGOSTO_2025[[#This Row],[AL_AC]],DATA_AGOSTO_2025[AL_AC],0)/(COUNTA(DATA_AGOSTO_2025[AL_AC])/5),0)</f>
        <v>3</v>
      </c>
      <c r="O58" t="s">
        <v>5</v>
      </c>
      <c r="P58">
        <f>SUM(DATA_AGOSTO_2025[[#This Row],[1]:[31]])</f>
        <v>25450</v>
      </c>
      <c r="Q58">
        <v>54000</v>
      </c>
      <c r="R58" t="s">
        <v>68</v>
      </c>
      <c r="S58">
        <v>750</v>
      </c>
      <c r="W58">
        <v>1000</v>
      </c>
      <c r="Y58">
        <v>2000</v>
      </c>
      <c r="Z58">
        <v>1800</v>
      </c>
      <c r="AC58">
        <v>1000</v>
      </c>
      <c r="AE58">
        <v>400</v>
      </c>
      <c r="AF58">
        <v>5000</v>
      </c>
      <c r="AJ58">
        <v>1700</v>
      </c>
      <c r="AL58">
        <v>1700</v>
      </c>
      <c r="AN58">
        <v>700</v>
      </c>
      <c r="AQ58">
        <v>700</v>
      </c>
      <c r="AR58">
        <v>700</v>
      </c>
      <c r="AS58">
        <v>3000</v>
      </c>
      <c r="AT58">
        <v>5000</v>
      </c>
      <c r="AX58" t="s">
        <v>150</v>
      </c>
    </row>
    <row r="59" spans="1:50" x14ac:dyDescent="0.25">
      <c r="A59" s="2" t="str">
        <f>D1_AGOSTO_2025[[#This Row],[SUPER2]]</f>
        <v>KENNETH</v>
      </c>
      <c r="B59" s="2" t="s">
        <v>99</v>
      </c>
      <c r="C59" s="2">
        <f>VLOOKUP(D1_AGOSTO_2025[[#This Row],[SUPER]],DATA_AGOSTO_2025[[SUPERVISOR]:[META]],3,0)</f>
        <v>26000</v>
      </c>
      <c r="D59" s="2">
        <f>D1_AGOSTO_2025[[#This Row],[RECUPERO]]/C59</f>
        <v>1.0961538461538462E-2</v>
      </c>
      <c r="E59" t="s">
        <v>6</v>
      </c>
      <c r="F59" t="s">
        <v>99</v>
      </c>
      <c r="G59">
        <v>285</v>
      </c>
      <c r="H59" t="s">
        <v>484</v>
      </c>
      <c r="I59" s="55">
        <v>45896</v>
      </c>
      <c r="J59" t="s">
        <v>501</v>
      </c>
      <c r="L59" s="55"/>
      <c r="M59" s="1">
        <f>DATA_AGOSTO_2025[[#This Row],[RECUPERO]]/DATA_AGOSTO_2025[[#This Row],[META]]</f>
        <v>2.2034615384615384</v>
      </c>
      <c r="N59">
        <f>6-ROUNDUP(_xlfn.RANK.EQ(DATA_AGOSTO_2025[[#This Row],[AL_AC]],DATA_AGOSTO_2025[AL_AC],0)/(COUNTA(DATA_AGOSTO_2025[AL_AC])/5),0)</f>
        <v>5</v>
      </c>
      <c r="O59" t="s">
        <v>6</v>
      </c>
      <c r="P59">
        <f>SUM(DATA_AGOSTO_2025[[#This Row],[1]:[31]])</f>
        <v>57290</v>
      </c>
      <c r="Q59">
        <v>26000</v>
      </c>
      <c r="R59" t="s">
        <v>31</v>
      </c>
      <c r="V59">
        <v>8160</v>
      </c>
      <c r="W59">
        <v>2000</v>
      </c>
      <c r="Z59">
        <v>1700</v>
      </c>
      <c r="AE59">
        <v>500</v>
      </c>
      <c r="AJ59">
        <v>2000</v>
      </c>
      <c r="AL59">
        <v>10000</v>
      </c>
      <c r="AM59">
        <v>2380</v>
      </c>
      <c r="AN59">
        <v>3000</v>
      </c>
      <c r="AR59">
        <v>3000</v>
      </c>
      <c r="AT59">
        <v>24550</v>
      </c>
      <c r="AX59" t="s">
        <v>156</v>
      </c>
    </row>
    <row r="60" spans="1:50" x14ac:dyDescent="0.25">
      <c r="A60" s="2" t="str">
        <f>D1_AGOSTO_2025[[#This Row],[SUPER2]]</f>
        <v>LEONOR</v>
      </c>
      <c r="B60" s="2" t="s">
        <v>19</v>
      </c>
      <c r="C60" s="2">
        <f>VLOOKUP(D1_AGOSTO_2025[[#This Row],[SUPER]],DATA_AGOSTO_2025[[SUPERVISOR]:[META]],3,0)</f>
        <v>15500</v>
      </c>
      <c r="D60" s="2">
        <f>D1_AGOSTO_2025[[#This Row],[RECUPERO]]/C60</f>
        <v>0.50464516129032255</v>
      </c>
      <c r="E60" t="s">
        <v>7</v>
      </c>
      <c r="F60" t="s">
        <v>19</v>
      </c>
      <c r="G60">
        <v>7822</v>
      </c>
      <c r="H60" t="s">
        <v>399</v>
      </c>
      <c r="I60" s="55">
        <v>44673</v>
      </c>
      <c r="J60" t="s">
        <v>501</v>
      </c>
      <c r="L60" s="55"/>
      <c r="M60" s="1">
        <f>DATA_AGOSTO_2025[[#This Row],[RECUPERO]]/DATA_AGOSTO_2025[[#This Row],[META]]</f>
        <v>0.26250000000000001</v>
      </c>
      <c r="N60">
        <f>6-ROUNDUP(_xlfn.RANK.EQ(DATA_AGOSTO_2025[[#This Row],[AL_AC]],DATA_AGOSTO_2025[AL_AC],0)/(COUNTA(DATA_AGOSTO_2025[AL_AC])/5),0)</f>
        <v>2</v>
      </c>
      <c r="O60" t="s">
        <v>9</v>
      </c>
      <c r="P60">
        <f>SUM(DATA_AGOSTO_2025[[#This Row],[1]:[31]])</f>
        <v>4200</v>
      </c>
      <c r="Q60">
        <v>16000</v>
      </c>
      <c r="R60" t="s">
        <v>101</v>
      </c>
      <c r="AC60">
        <v>200</v>
      </c>
      <c r="AJ60">
        <v>500</v>
      </c>
      <c r="AM60">
        <v>500</v>
      </c>
      <c r="AS60">
        <v>3000</v>
      </c>
      <c r="AX60" t="s">
        <v>153</v>
      </c>
    </row>
    <row r="61" spans="1:50" x14ac:dyDescent="0.25">
      <c r="A61" s="2" t="str">
        <f>D1_AGOSTO_2025[[#This Row],[SUPER2]]</f>
        <v>LEONOR</v>
      </c>
      <c r="B61" s="2" t="s">
        <v>18</v>
      </c>
      <c r="C61" s="2">
        <f>VLOOKUP(D1_AGOSTO_2025[[#This Row],[SUPER]],DATA_AGOSTO_2025[[SUPERVISOR]:[META]],3,0)</f>
        <v>15500</v>
      </c>
      <c r="D61" s="2">
        <f>D1_AGOSTO_2025[[#This Row],[RECUPERO]]/C61</f>
        <v>0.64258064516129032</v>
      </c>
      <c r="E61" t="s">
        <v>7</v>
      </c>
      <c r="F61" t="s">
        <v>18</v>
      </c>
      <c r="G61">
        <v>9960</v>
      </c>
      <c r="H61" t="s">
        <v>431</v>
      </c>
      <c r="I61" s="55">
        <v>45133</v>
      </c>
      <c r="J61" t="s">
        <v>501</v>
      </c>
      <c r="L61" s="55"/>
      <c r="M61" s="1">
        <f>DATA_AGOSTO_2025[[#This Row],[RECUPERO]]/DATA_AGOSTO_2025[[#This Row],[META]]</f>
        <v>0.52913888888888894</v>
      </c>
      <c r="N61">
        <f>6-ROUNDUP(_xlfn.RANK.EQ(DATA_AGOSTO_2025[[#This Row],[AL_AC]],DATA_AGOSTO_2025[AL_AC],0)/(COUNTA(DATA_AGOSTO_2025[AL_AC])/5),0)</f>
        <v>4</v>
      </c>
      <c r="O61" t="s">
        <v>125</v>
      </c>
      <c r="P61">
        <f>SUM(DATA_AGOSTO_2025[[#This Row],[1]:[31]])</f>
        <v>38098</v>
      </c>
      <c r="Q61">
        <v>72000</v>
      </c>
      <c r="R61" t="s">
        <v>29</v>
      </c>
      <c r="S61">
        <v>750</v>
      </c>
      <c r="T61">
        <v>576</v>
      </c>
      <c r="Y61">
        <v>2203</v>
      </c>
      <c r="Z61">
        <v>4000</v>
      </c>
      <c r="AA61">
        <v>223</v>
      </c>
      <c r="AB61">
        <v>806</v>
      </c>
      <c r="AD61">
        <v>4700</v>
      </c>
      <c r="AE61">
        <v>1000</v>
      </c>
      <c r="AF61">
        <v>1291</v>
      </c>
      <c r="AG61">
        <v>9600</v>
      </c>
      <c r="AJ61">
        <v>468</v>
      </c>
      <c r="AK61">
        <v>1300</v>
      </c>
      <c r="AM61">
        <v>8100</v>
      </c>
      <c r="AN61">
        <v>323</v>
      </c>
      <c r="AO61">
        <v>800</v>
      </c>
      <c r="AQ61">
        <v>1000</v>
      </c>
      <c r="AT61">
        <v>958</v>
      </c>
      <c r="AX61" t="s">
        <v>155</v>
      </c>
    </row>
    <row r="62" spans="1:50" x14ac:dyDescent="0.25">
      <c r="A62" s="2" t="str">
        <f>D1_AGOSTO_2025[[#This Row],[SUPER2]]</f>
        <v>LEONOR</v>
      </c>
      <c r="B62" s="2" t="s">
        <v>105</v>
      </c>
      <c r="C62" s="2">
        <f>VLOOKUP(D1_AGOSTO_2025[[#This Row],[SUPER]],DATA_AGOSTO_2025[[SUPERVISOR]:[META]],3,0)</f>
        <v>15500</v>
      </c>
      <c r="D62" s="2">
        <f>D1_AGOSTO_2025[[#This Row],[RECUPERO]]/C62</f>
        <v>0.44516129032258067</v>
      </c>
      <c r="E62" t="s">
        <v>7</v>
      </c>
      <c r="F62" t="s">
        <v>105</v>
      </c>
      <c r="G62">
        <v>6900</v>
      </c>
      <c r="H62" t="s">
        <v>463</v>
      </c>
      <c r="I62" s="55">
        <v>45748</v>
      </c>
      <c r="J62" t="s">
        <v>501</v>
      </c>
      <c r="L62" s="55"/>
      <c r="M62" s="1">
        <f>DATA_AGOSTO_2025[[#This Row],[RECUPERO]]/DATA_AGOSTO_2025[[#This Row],[META]]</f>
        <v>1.0961538461538462E-2</v>
      </c>
      <c r="N62">
        <f>6-ROUNDUP(_xlfn.RANK.EQ(DATA_AGOSTO_2025[[#This Row],[AL_AC]],DATA_AGOSTO_2025[AL_AC],0)/(COUNTA(DATA_AGOSTO_2025[AL_AC])/5),0)</f>
        <v>1</v>
      </c>
      <c r="O62" t="s">
        <v>6</v>
      </c>
      <c r="P62">
        <f>SUM(DATA_AGOSTO_2025[[#This Row],[1]:[31]])</f>
        <v>285</v>
      </c>
      <c r="Q62">
        <v>26000</v>
      </c>
      <c r="R62" t="s">
        <v>99</v>
      </c>
      <c r="AR62">
        <v>285</v>
      </c>
      <c r="AX62" t="s">
        <v>156</v>
      </c>
    </row>
    <row r="63" spans="1:50" x14ac:dyDescent="0.25">
      <c r="A63" s="2" t="str">
        <f>D1_AGOSTO_2025[[#This Row],[SUPER2]]</f>
        <v>LEONOR</v>
      </c>
      <c r="B63" s="2" t="s">
        <v>21</v>
      </c>
      <c r="C63" s="2">
        <f>VLOOKUP(D1_AGOSTO_2025[[#This Row],[SUPER]],DATA_AGOSTO_2025[[SUPERVISOR]:[META]],3,0)</f>
        <v>15500</v>
      </c>
      <c r="D63" s="2">
        <f>D1_AGOSTO_2025[[#This Row],[RECUPERO]]/C63</f>
        <v>0.37806451612903225</v>
      </c>
      <c r="E63" t="s">
        <v>7</v>
      </c>
      <c r="F63" t="s">
        <v>21</v>
      </c>
      <c r="G63">
        <v>5860</v>
      </c>
      <c r="H63" t="s">
        <v>409</v>
      </c>
      <c r="I63" s="55">
        <v>44301</v>
      </c>
      <c r="J63" t="s">
        <v>501</v>
      </c>
      <c r="L63" s="55"/>
      <c r="M63" s="1">
        <f>DATA_AGOSTO_2025[[#This Row],[RECUPERO]]/DATA_AGOSTO_2025[[#This Row],[META]]</f>
        <v>0.58886249999999996</v>
      </c>
      <c r="N63">
        <f>6-ROUNDUP(_xlfn.RANK.EQ(DATA_AGOSTO_2025[[#This Row],[AL_AC]],DATA_AGOSTO_2025[AL_AC],0)/(COUNTA(DATA_AGOSTO_2025[AL_AC])/5),0)</f>
        <v>4</v>
      </c>
      <c r="O63" t="s">
        <v>8</v>
      </c>
      <c r="P63">
        <f>SUM(DATA_AGOSTO_2025[[#This Row],[1]:[31]])</f>
        <v>9421.7999999999993</v>
      </c>
      <c r="Q63">
        <v>16000</v>
      </c>
      <c r="R63" t="s">
        <v>43</v>
      </c>
      <c r="S63">
        <v>216.8</v>
      </c>
      <c r="V63">
        <v>500</v>
      </c>
      <c r="W63">
        <v>1408</v>
      </c>
      <c r="Z63">
        <v>950</v>
      </c>
      <c r="AC63">
        <v>500</v>
      </c>
      <c r="AD63">
        <v>800</v>
      </c>
      <c r="AF63">
        <v>2000</v>
      </c>
      <c r="AG63">
        <v>912</v>
      </c>
      <c r="AH63">
        <v>150</v>
      </c>
      <c r="AJ63">
        <v>850</v>
      </c>
      <c r="AM63">
        <v>650</v>
      </c>
      <c r="AN63">
        <v>485</v>
      </c>
      <c r="AX63" t="s">
        <v>153</v>
      </c>
    </row>
    <row r="64" spans="1:50" x14ac:dyDescent="0.25">
      <c r="A64" s="2" t="str">
        <f>D1_AGOSTO_2025[[#This Row],[SUPER2]]</f>
        <v>LEONOR</v>
      </c>
      <c r="B64" s="2" t="s">
        <v>107</v>
      </c>
      <c r="C64" s="2">
        <f>VLOOKUP(D1_AGOSTO_2025[[#This Row],[SUPER]],DATA_AGOSTO_2025[[SUPERVISOR]:[META]],3,0)</f>
        <v>15500</v>
      </c>
      <c r="D64" s="2">
        <f>D1_AGOSTO_2025[[#This Row],[RECUPERO]]/C64</f>
        <v>0.33548387096774196</v>
      </c>
      <c r="E64" t="s">
        <v>7</v>
      </c>
      <c r="F64" t="s">
        <v>107</v>
      </c>
      <c r="G64">
        <v>5200</v>
      </c>
      <c r="H64" t="s">
        <v>458</v>
      </c>
      <c r="I64" s="55">
        <v>45727</v>
      </c>
      <c r="J64" t="s">
        <v>501</v>
      </c>
      <c r="L64" s="55"/>
      <c r="M64" s="1">
        <f>DATA_AGOSTO_2025[[#This Row],[RECUPERO]]/DATA_AGOSTO_2025[[#This Row],[META]]</f>
        <v>0.65984722222222225</v>
      </c>
      <c r="N64">
        <f>6-ROUNDUP(_xlfn.RANK.EQ(DATA_AGOSTO_2025[[#This Row],[AL_AC]],DATA_AGOSTO_2025[AL_AC],0)/(COUNTA(DATA_AGOSTO_2025[AL_AC])/5),0)</f>
        <v>4</v>
      </c>
      <c r="O64" t="s">
        <v>125</v>
      </c>
      <c r="P64">
        <f>SUM(DATA_AGOSTO_2025[[#This Row],[1]:[31]])</f>
        <v>47509</v>
      </c>
      <c r="Q64">
        <v>72000</v>
      </c>
      <c r="R64" t="s">
        <v>25</v>
      </c>
      <c r="W64">
        <v>15000</v>
      </c>
      <c r="Z64">
        <v>5000</v>
      </c>
      <c r="AC64">
        <v>10755</v>
      </c>
      <c r="AG64">
        <v>10354</v>
      </c>
      <c r="AH64">
        <v>300</v>
      </c>
      <c r="AL64">
        <v>3100</v>
      </c>
      <c r="AS64">
        <v>2100</v>
      </c>
      <c r="AT64">
        <v>900</v>
      </c>
      <c r="AX64" t="s">
        <v>155</v>
      </c>
    </row>
    <row r="65" spans="1:50" x14ac:dyDescent="0.25">
      <c r="A65" s="2" t="str">
        <f>D1_AGOSTO_2025[[#This Row],[SUPER2]]</f>
        <v>LEONOR</v>
      </c>
      <c r="B65" s="2" t="s">
        <v>103</v>
      </c>
      <c r="C65" s="2">
        <f>VLOOKUP(D1_AGOSTO_2025[[#This Row],[SUPER]],DATA_AGOSTO_2025[[SUPERVISOR]:[META]],3,0)</f>
        <v>15500</v>
      </c>
      <c r="D65" s="2">
        <f>D1_AGOSTO_2025[[#This Row],[RECUPERO]]/C65</f>
        <v>0.25425806451612903</v>
      </c>
      <c r="E65" t="s">
        <v>7</v>
      </c>
      <c r="F65" t="s">
        <v>103</v>
      </c>
      <c r="G65">
        <v>3941</v>
      </c>
      <c r="H65" t="s">
        <v>419</v>
      </c>
      <c r="I65" s="55">
        <v>45451</v>
      </c>
      <c r="J65" t="s">
        <v>501</v>
      </c>
      <c r="L65" s="55"/>
      <c r="M65" s="1">
        <f>DATA_AGOSTO_2025[[#This Row],[RECUPERO]]/DATA_AGOSTO_2025[[#This Row],[META]]</f>
        <v>0.58750000000000002</v>
      </c>
      <c r="N65">
        <f>6-ROUNDUP(_xlfn.RANK.EQ(DATA_AGOSTO_2025[[#This Row],[AL_AC]],DATA_AGOSTO_2025[AL_AC],0)/(COUNTA(DATA_AGOSTO_2025[AL_AC])/5),0)</f>
        <v>4</v>
      </c>
      <c r="O65" t="s">
        <v>9</v>
      </c>
      <c r="P65">
        <f>SUM(DATA_AGOSTO_2025[[#This Row],[1]:[31]])</f>
        <v>9400</v>
      </c>
      <c r="Q65">
        <v>16000</v>
      </c>
      <c r="R65" t="s">
        <v>52</v>
      </c>
      <c r="V65">
        <v>380</v>
      </c>
      <c r="W65">
        <v>1000</v>
      </c>
      <c r="Y65">
        <v>1600</v>
      </c>
      <c r="Z65">
        <v>5000</v>
      </c>
      <c r="AF65">
        <v>250</v>
      </c>
      <c r="AG65">
        <v>500</v>
      </c>
      <c r="AL65">
        <v>470</v>
      </c>
      <c r="AN65">
        <v>200</v>
      </c>
      <c r="AX65" t="s">
        <v>153</v>
      </c>
    </row>
    <row r="66" spans="1:50" x14ac:dyDescent="0.25">
      <c r="A66" s="2" t="str">
        <f>D1_AGOSTO_2025[[#This Row],[SUPER2]]</f>
        <v>LEONOR</v>
      </c>
      <c r="B66" s="2" t="s">
        <v>20</v>
      </c>
      <c r="C66" s="2">
        <f>VLOOKUP(D1_AGOSTO_2025[[#This Row],[SUPER]],DATA_AGOSTO_2025[[SUPERVISOR]:[META]],3,0)</f>
        <v>15500</v>
      </c>
      <c r="D66" s="2">
        <f>D1_AGOSTO_2025[[#This Row],[RECUPERO]]/C66</f>
        <v>0.24258064516129033</v>
      </c>
      <c r="E66" t="s">
        <v>7</v>
      </c>
      <c r="F66" t="s">
        <v>20</v>
      </c>
      <c r="G66">
        <v>3760</v>
      </c>
      <c r="H66" t="s">
        <v>427</v>
      </c>
      <c r="I66" s="55">
        <v>45142</v>
      </c>
      <c r="J66" t="s">
        <v>501</v>
      </c>
      <c r="L66" s="55"/>
      <c r="M66" s="1">
        <f>DATA_AGOSTO_2025[[#This Row],[RECUPERO]]/DATA_AGOSTO_2025[[#This Row],[META]]</f>
        <v>5.4838709677419356E-2</v>
      </c>
      <c r="N66">
        <f>6-ROUNDUP(_xlfn.RANK.EQ(DATA_AGOSTO_2025[[#This Row],[AL_AC]],DATA_AGOSTO_2025[AL_AC],0)/(COUNTA(DATA_AGOSTO_2025[AL_AC])/5),0)</f>
        <v>1</v>
      </c>
      <c r="O66" t="s">
        <v>7</v>
      </c>
      <c r="P66">
        <f>SUM(DATA_AGOSTO_2025[[#This Row],[1]:[31]])</f>
        <v>850</v>
      </c>
      <c r="Q66">
        <v>15500</v>
      </c>
      <c r="R66" t="s">
        <v>110</v>
      </c>
      <c r="AM66">
        <v>850</v>
      </c>
      <c r="AX66" t="s">
        <v>152</v>
      </c>
    </row>
    <row r="67" spans="1:50" x14ac:dyDescent="0.25">
      <c r="A67" s="2" t="str">
        <f>D1_AGOSTO_2025[[#This Row],[SUPER2]]</f>
        <v>LEONOR</v>
      </c>
      <c r="B67" s="2" t="s">
        <v>110</v>
      </c>
      <c r="C67" s="2">
        <f>VLOOKUP(D1_AGOSTO_2025[[#This Row],[SUPER]],DATA_AGOSTO_2025[[SUPERVISOR]:[META]],3,0)</f>
        <v>15500</v>
      </c>
      <c r="D67" s="2">
        <f>D1_AGOSTO_2025[[#This Row],[RECUPERO]]/C67</f>
        <v>5.4838709677419356E-2</v>
      </c>
      <c r="E67" t="s">
        <v>7</v>
      </c>
      <c r="F67" t="s">
        <v>110</v>
      </c>
      <c r="G67">
        <v>850</v>
      </c>
      <c r="H67" t="s">
        <v>454</v>
      </c>
      <c r="I67" s="55">
        <v>44993</v>
      </c>
      <c r="J67" t="s">
        <v>501</v>
      </c>
      <c r="L67" s="55"/>
      <c r="M67" s="1">
        <f>DATA_AGOSTO_2025[[#This Row],[RECUPERO]]/DATA_AGOSTO_2025[[#This Row],[META]]</f>
        <v>0.4843703703703704</v>
      </c>
      <c r="N67">
        <f>6-ROUNDUP(_xlfn.RANK.EQ(DATA_AGOSTO_2025[[#This Row],[AL_AC]],DATA_AGOSTO_2025[AL_AC],0)/(COUNTA(DATA_AGOSTO_2025[AL_AC])/5),0)</f>
        <v>3</v>
      </c>
      <c r="O67" t="s">
        <v>2</v>
      </c>
      <c r="P67">
        <f>SUM(DATA_AGOSTO_2025[[#This Row],[1]:[31]])</f>
        <v>26156</v>
      </c>
      <c r="Q67">
        <v>54000</v>
      </c>
      <c r="R67" t="s">
        <v>17</v>
      </c>
      <c r="Y67">
        <v>600</v>
      </c>
      <c r="AC67">
        <v>1000</v>
      </c>
      <c r="AK67">
        <v>1062</v>
      </c>
      <c r="AL67">
        <v>10000</v>
      </c>
      <c r="AM67">
        <v>1000</v>
      </c>
      <c r="AQ67">
        <v>10200</v>
      </c>
      <c r="AS67">
        <v>2294</v>
      </c>
      <c r="AX67" t="s">
        <v>150</v>
      </c>
    </row>
    <row r="68" spans="1:50" x14ac:dyDescent="0.25">
      <c r="A68" s="2" t="str">
        <f>D1_AGOSTO_2025[[#This Row],[SUPER2]]</f>
        <v>LEONOR</v>
      </c>
      <c r="B68" s="2" t="s">
        <v>106</v>
      </c>
      <c r="C68" s="2">
        <f>VLOOKUP(D1_AGOSTO_2025[[#This Row],[SUPER]],DATA_AGOSTO_2025[[SUPERVISOR]:[META]],3,0)</f>
        <v>15500</v>
      </c>
      <c r="D68" s="2">
        <f>D1_AGOSTO_2025[[#This Row],[RECUPERO]]/C68</f>
        <v>7.5483870967741937E-2</v>
      </c>
      <c r="E68" t="s">
        <v>7</v>
      </c>
      <c r="F68" t="s">
        <v>106</v>
      </c>
      <c r="G68">
        <v>1170</v>
      </c>
      <c r="H68" t="s">
        <v>392</v>
      </c>
      <c r="I68" s="55">
        <v>44748</v>
      </c>
      <c r="J68" t="s">
        <v>501</v>
      </c>
      <c r="L68" s="55"/>
      <c r="M68" s="1">
        <f>DATA_AGOSTO_2025[[#This Row],[RECUPERO]]/DATA_AGOSTO_2025[[#This Row],[META]]</f>
        <v>0.43226923076923079</v>
      </c>
      <c r="N68">
        <f>6-ROUNDUP(_xlfn.RANK.EQ(DATA_AGOSTO_2025[[#This Row],[AL_AC]],DATA_AGOSTO_2025[AL_AC],0)/(COUNTA(DATA_AGOSTO_2025[AL_AC])/5),0)</f>
        <v>3</v>
      </c>
      <c r="O68" t="s">
        <v>6</v>
      </c>
      <c r="P68">
        <f>SUM(DATA_AGOSTO_2025[[#This Row],[1]:[31]])</f>
        <v>11239</v>
      </c>
      <c r="Q68">
        <v>26000</v>
      </c>
      <c r="R68" t="s">
        <v>38</v>
      </c>
      <c r="Y68">
        <v>610</v>
      </c>
      <c r="Z68">
        <v>230</v>
      </c>
      <c r="AC68">
        <v>850</v>
      </c>
      <c r="AG68">
        <v>615.5</v>
      </c>
      <c r="AJ68">
        <v>200</v>
      </c>
      <c r="AL68">
        <v>500</v>
      </c>
      <c r="AM68">
        <v>3871</v>
      </c>
      <c r="AQ68">
        <v>3000</v>
      </c>
      <c r="AS68">
        <v>459.5</v>
      </c>
      <c r="AT68">
        <v>903</v>
      </c>
      <c r="AX68" t="s">
        <v>156</v>
      </c>
    </row>
    <row r="69" spans="1:50" x14ac:dyDescent="0.25">
      <c r="A69" s="2" t="str">
        <f>D1_AGOSTO_2025[[#This Row],[SUPER2]]</f>
        <v>LEONOR</v>
      </c>
      <c r="B69" s="2" t="s">
        <v>104</v>
      </c>
      <c r="C69" s="2">
        <f>VLOOKUP(D1_AGOSTO_2025[[#This Row],[SUPER]],DATA_AGOSTO_2025[[SUPERVISOR]:[META]],3,0)</f>
        <v>15500</v>
      </c>
      <c r="D69" s="2">
        <f>D1_AGOSTO_2025[[#This Row],[RECUPERO]]/C69</f>
        <v>3.2258064516129031E-2</v>
      </c>
      <c r="E69" t="s">
        <v>7</v>
      </c>
      <c r="F69" t="s">
        <v>104</v>
      </c>
      <c r="G69">
        <v>500</v>
      </c>
      <c r="H69" t="s">
        <v>456</v>
      </c>
      <c r="I69" s="55">
        <v>44104</v>
      </c>
      <c r="J69" t="s">
        <v>501</v>
      </c>
      <c r="L69" s="55"/>
      <c r="M69" s="1">
        <f>DATA_AGOSTO_2025[[#This Row],[RECUPERO]]/DATA_AGOSTO_2025[[#This Row],[META]]</f>
        <v>0.38093749999999998</v>
      </c>
      <c r="N69">
        <f>6-ROUNDUP(_xlfn.RANK.EQ(DATA_AGOSTO_2025[[#This Row],[AL_AC]],DATA_AGOSTO_2025[AL_AC],0)/(COUNTA(DATA_AGOSTO_2025[AL_AC])/5),0)</f>
        <v>2</v>
      </c>
      <c r="O69" t="s">
        <v>9</v>
      </c>
      <c r="P69">
        <f>SUM(DATA_AGOSTO_2025[[#This Row],[1]:[31]])</f>
        <v>6095</v>
      </c>
      <c r="Q69">
        <v>16000</v>
      </c>
      <c r="R69" t="s">
        <v>55</v>
      </c>
      <c r="S69">
        <v>100</v>
      </c>
      <c r="W69">
        <v>300</v>
      </c>
      <c r="Y69">
        <v>80</v>
      </c>
      <c r="Z69">
        <v>644</v>
      </c>
      <c r="AD69">
        <v>2200</v>
      </c>
      <c r="AE69">
        <v>140</v>
      </c>
      <c r="AF69">
        <v>230</v>
      </c>
      <c r="AG69">
        <v>100</v>
      </c>
      <c r="AJ69">
        <v>650</v>
      </c>
      <c r="AK69">
        <v>680</v>
      </c>
      <c r="AL69">
        <v>60</v>
      </c>
      <c r="AM69">
        <v>371</v>
      </c>
      <c r="AN69">
        <v>70</v>
      </c>
      <c r="AR69">
        <v>320</v>
      </c>
      <c r="AS69">
        <v>150</v>
      </c>
      <c r="AX69" t="s">
        <v>153</v>
      </c>
    </row>
    <row r="70" spans="1:50" x14ac:dyDescent="0.25">
      <c r="A70" s="2" t="str">
        <f>D1_AGOSTO_2025[[#This Row],[SUPER2]]</f>
        <v>BRYAN</v>
      </c>
      <c r="B70" s="2" t="s">
        <v>42</v>
      </c>
      <c r="C70" s="2">
        <f>VLOOKUP(D1_AGOSTO_2025[[#This Row],[SUPER]],DATA_AGOSTO_2025[[SUPERVISOR]:[META]],3,0)</f>
        <v>16000</v>
      </c>
      <c r="D70" s="2">
        <f>D1_AGOSTO_2025[[#This Row],[RECUPERO]]/C70</f>
        <v>0.75612500000000005</v>
      </c>
      <c r="E70" t="s">
        <v>8</v>
      </c>
      <c r="F70" t="s">
        <v>42</v>
      </c>
      <c r="G70">
        <v>12098</v>
      </c>
      <c r="H70" t="s">
        <v>415</v>
      </c>
      <c r="I70" s="55">
        <v>45399</v>
      </c>
      <c r="J70" t="s">
        <v>501</v>
      </c>
      <c r="L70" s="55"/>
      <c r="M70" s="1">
        <f>DATA_AGOSTO_2025[[#This Row],[RECUPERO]]/DATA_AGOSTO_2025[[#This Row],[META]]</f>
        <v>0.35561538461538461</v>
      </c>
      <c r="N70">
        <f>6-ROUNDUP(_xlfn.RANK.EQ(DATA_AGOSTO_2025[[#This Row],[AL_AC]],DATA_AGOSTO_2025[AL_AC],0)/(COUNTA(DATA_AGOSTO_2025[AL_AC])/5),0)</f>
        <v>2</v>
      </c>
      <c r="O70" t="s">
        <v>6</v>
      </c>
      <c r="P70">
        <f>SUM(DATA_AGOSTO_2025[[#This Row],[1]:[31]])</f>
        <v>9246</v>
      </c>
      <c r="Q70">
        <v>26000</v>
      </c>
      <c r="R70" t="s">
        <v>36</v>
      </c>
      <c r="S70">
        <v>100</v>
      </c>
      <c r="V70">
        <v>630</v>
      </c>
      <c r="W70">
        <v>330</v>
      </c>
      <c r="Y70">
        <v>1226</v>
      </c>
      <c r="Z70">
        <v>1140</v>
      </c>
      <c r="AC70">
        <v>35</v>
      </c>
      <c r="AD70">
        <v>100</v>
      </c>
      <c r="AE70">
        <v>292</v>
      </c>
      <c r="AF70">
        <v>363</v>
      </c>
      <c r="AG70">
        <v>413</v>
      </c>
      <c r="AJ70">
        <v>177</v>
      </c>
      <c r="AK70">
        <v>0</v>
      </c>
      <c r="AN70">
        <v>440</v>
      </c>
      <c r="AR70">
        <v>1000</v>
      </c>
      <c r="AS70">
        <v>3000</v>
      </c>
      <c r="AX70" t="s">
        <v>156</v>
      </c>
    </row>
    <row r="71" spans="1:50" x14ac:dyDescent="0.25">
      <c r="A71" s="2" t="str">
        <f>D1_AGOSTO_2025[[#This Row],[SUPER2]]</f>
        <v>BRYAN</v>
      </c>
      <c r="B71" s="2" t="s">
        <v>44</v>
      </c>
      <c r="C71" s="2">
        <f>VLOOKUP(D1_AGOSTO_2025[[#This Row],[SUPER]],DATA_AGOSTO_2025[[SUPERVISOR]:[META]],3,0)</f>
        <v>16000</v>
      </c>
      <c r="D71" s="2">
        <f>D1_AGOSTO_2025[[#This Row],[RECUPERO]]/C71</f>
        <v>0.69581249999999994</v>
      </c>
      <c r="E71" t="s">
        <v>8</v>
      </c>
      <c r="F71" t="s">
        <v>44</v>
      </c>
      <c r="G71">
        <v>11133</v>
      </c>
      <c r="H71" t="s">
        <v>467</v>
      </c>
      <c r="I71" s="55">
        <v>45804</v>
      </c>
      <c r="J71" t="s">
        <v>501</v>
      </c>
      <c r="L71" s="55"/>
      <c r="M71" s="1">
        <f>DATA_AGOSTO_2025[[#This Row],[RECUPERO]]/DATA_AGOSTO_2025[[#This Row],[META]]</f>
        <v>0.71975</v>
      </c>
      <c r="N71">
        <f>6-ROUNDUP(_xlfn.RANK.EQ(DATA_AGOSTO_2025[[#This Row],[AL_AC]],DATA_AGOSTO_2025[AL_AC],0)/(COUNTA(DATA_AGOSTO_2025[AL_AC])/5),0)</f>
        <v>4</v>
      </c>
      <c r="O71" t="s">
        <v>4</v>
      </c>
      <c r="P71">
        <f>SUM(DATA_AGOSTO_2025[[#This Row],[1]:[31]])</f>
        <v>51822</v>
      </c>
      <c r="Q71">
        <v>72000</v>
      </c>
      <c r="R71" t="s">
        <v>62</v>
      </c>
      <c r="S71">
        <v>1000</v>
      </c>
      <c r="T71">
        <v>1000</v>
      </c>
      <c r="V71">
        <v>3000</v>
      </c>
      <c r="X71">
        <v>350</v>
      </c>
      <c r="Y71">
        <v>8000</v>
      </c>
      <c r="Z71">
        <v>1000</v>
      </c>
      <c r="AC71">
        <v>1800</v>
      </c>
      <c r="AE71">
        <v>350</v>
      </c>
      <c r="AF71">
        <v>1800</v>
      </c>
      <c r="AG71">
        <v>10100</v>
      </c>
      <c r="AJ71">
        <v>5500</v>
      </c>
      <c r="AK71">
        <v>3000</v>
      </c>
      <c r="AM71">
        <v>9400</v>
      </c>
      <c r="AN71">
        <v>906</v>
      </c>
      <c r="AT71">
        <v>4616</v>
      </c>
      <c r="AX71" t="s">
        <v>155</v>
      </c>
    </row>
    <row r="72" spans="1:50" x14ac:dyDescent="0.25">
      <c r="A72" s="2" t="str">
        <f>D1_AGOSTO_2025[[#This Row],[SUPER2]]</f>
        <v>BRYAN</v>
      </c>
      <c r="B72" s="2" t="s">
        <v>41</v>
      </c>
      <c r="C72" s="2">
        <f>VLOOKUP(D1_AGOSTO_2025[[#This Row],[SUPER]],DATA_AGOSTO_2025[[SUPERVISOR]:[META]],3,0)</f>
        <v>16000</v>
      </c>
      <c r="D72" s="2">
        <f>D1_AGOSTO_2025[[#This Row],[RECUPERO]]/C72</f>
        <v>0.73243749999999996</v>
      </c>
      <c r="E72" t="s">
        <v>8</v>
      </c>
      <c r="F72" t="s">
        <v>41</v>
      </c>
      <c r="G72">
        <v>11719</v>
      </c>
      <c r="H72" t="s">
        <v>387</v>
      </c>
      <c r="I72" s="55">
        <v>45304</v>
      </c>
      <c r="J72" t="s">
        <v>501</v>
      </c>
      <c r="L72" s="55"/>
      <c r="M72" s="1">
        <f>DATA_AGOSTO_2025[[#This Row],[RECUPERO]]/DATA_AGOSTO_2025[[#This Row],[META]]</f>
        <v>0.51500000000000001</v>
      </c>
      <c r="N72">
        <f>6-ROUNDUP(_xlfn.RANK.EQ(DATA_AGOSTO_2025[[#This Row],[AL_AC]],DATA_AGOSTO_2025[AL_AC],0)/(COUNTA(DATA_AGOSTO_2025[AL_AC])/5),0)</f>
        <v>3</v>
      </c>
      <c r="O72" t="s">
        <v>5</v>
      </c>
      <c r="P72">
        <f>SUM(DATA_AGOSTO_2025[[#This Row],[1]:[31]])</f>
        <v>27810</v>
      </c>
      <c r="Q72">
        <v>54000</v>
      </c>
      <c r="R72" t="s">
        <v>70</v>
      </c>
      <c r="Y72">
        <v>1800</v>
      </c>
      <c r="AC72">
        <v>2000</v>
      </c>
      <c r="AD72">
        <v>2000</v>
      </c>
      <c r="AH72">
        <v>600</v>
      </c>
      <c r="AJ72">
        <v>8000</v>
      </c>
      <c r="AL72">
        <v>2000</v>
      </c>
      <c r="AN72">
        <v>5000</v>
      </c>
      <c r="AR72">
        <v>3810</v>
      </c>
      <c r="AS72">
        <v>2100</v>
      </c>
      <c r="AT72">
        <v>500</v>
      </c>
      <c r="AX72" t="s">
        <v>150</v>
      </c>
    </row>
    <row r="73" spans="1:50" x14ac:dyDescent="0.25">
      <c r="A73" s="2" t="str">
        <f>D1_AGOSTO_2025[[#This Row],[SUPER2]]</f>
        <v>BRYAN</v>
      </c>
      <c r="B73" s="2" t="s">
        <v>46</v>
      </c>
      <c r="C73" s="2">
        <f>VLOOKUP(D1_AGOSTO_2025[[#This Row],[SUPER]],DATA_AGOSTO_2025[[SUPERVISOR]:[META]],3,0)</f>
        <v>16000</v>
      </c>
      <c r="D73" s="2">
        <f>D1_AGOSTO_2025[[#This Row],[RECUPERO]]/C73</f>
        <v>0.74131250000000004</v>
      </c>
      <c r="E73" t="s">
        <v>8</v>
      </c>
      <c r="F73" t="s">
        <v>46</v>
      </c>
      <c r="G73">
        <v>11861</v>
      </c>
      <c r="H73" t="s">
        <v>394</v>
      </c>
      <c r="I73" s="55">
        <v>45344</v>
      </c>
      <c r="J73" t="s">
        <v>501</v>
      </c>
      <c r="L73" s="55"/>
      <c r="M73" s="1">
        <f>DATA_AGOSTO_2025[[#This Row],[RECUPERO]]/DATA_AGOSTO_2025[[#This Row],[META]]</f>
        <v>0.51527777777777772</v>
      </c>
      <c r="N73">
        <f>6-ROUNDUP(_xlfn.RANK.EQ(DATA_AGOSTO_2025[[#This Row],[AL_AC]],DATA_AGOSTO_2025[AL_AC],0)/(COUNTA(DATA_AGOSTO_2025[AL_AC])/5),0)</f>
        <v>3</v>
      </c>
      <c r="O73" t="s">
        <v>4</v>
      </c>
      <c r="P73">
        <f>SUM(DATA_AGOSTO_2025[[#This Row],[1]:[31]])</f>
        <v>37100</v>
      </c>
      <c r="Q73">
        <v>72000</v>
      </c>
      <c r="R73" t="s">
        <v>64</v>
      </c>
      <c r="S73">
        <v>400</v>
      </c>
      <c r="Y73">
        <v>7000</v>
      </c>
      <c r="Z73">
        <v>4600</v>
      </c>
      <c r="AE73">
        <v>3050</v>
      </c>
      <c r="AF73">
        <v>3300</v>
      </c>
      <c r="AG73">
        <v>1000</v>
      </c>
      <c r="AJ73">
        <v>850</v>
      </c>
      <c r="AL73">
        <v>600</v>
      </c>
      <c r="AM73">
        <v>2000</v>
      </c>
      <c r="AR73">
        <v>2800</v>
      </c>
      <c r="AS73">
        <v>11500</v>
      </c>
      <c r="AX73" t="s">
        <v>155</v>
      </c>
    </row>
    <row r="74" spans="1:50" x14ac:dyDescent="0.25">
      <c r="A74" s="2" t="str">
        <f>D1_AGOSTO_2025[[#This Row],[SUPER2]]</f>
        <v>BRYAN</v>
      </c>
      <c r="B74" s="2" t="s">
        <v>43</v>
      </c>
      <c r="C74" s="2">
        <f>VLOOKUP(D1_AGOSTO_2025[[#This Row],[SUPER]],DATA_AGOSTO_2025[[SUPERVISOR]:[META]],3,0)</f>
        <v>16000</v>
      </c>
      <c r="D74" s="2">
        <f>D1_AGOSTO_2025[[#This Row],[RECUPERO]]/C74</f>
        <v>0.58886249999999996</v>
      </c>
      <c r="E74" t="s">
        <v>8</v>
      </c>
      <c r="F74" t="s">
        <v>43</v>
      </c>
      <c r="G74">
        <v>9421.7999999999993</v>
      </c>
      <c r="H74" t="s">
        <v>471</v>
      </c>
      <c r="I74" s="55">
        <v>45793</v>
      </c>
      <c r="J74" t="s">
        <v>501</v>
      </c>
      <c r="L74" s="55"/>
      <c r="M74" s="1">
        <f>DATA_AGOSTO_2025[[#This Row],[RECUPERO]]/DATA_AGOSTO_2025[[#This Row],[META]]</f>
        <v>0.33548387096774196</v>
      </c>
      <c r="N74">
        <f>6-ROUNDUP(_xlfn.RANK.EQ(DATA_AGOSTO_2025[[#This Row],[AL_AC]],DATA_AGOSTO_2025[AL_AC],0)/(COUNTA(DATA_AGOSTO_2025[AL_AC])/5),0)</f>
        <v>2</v>
      </c>
      <c r="O74" t="s">
        <v>7</v>
      </c>
      <c r="P74">
        <f>SUM(DATA_AGOSTO_2025[[#This Row],[1]:[31]])</f>
        <v>5200</v>
      </c>
      <c r="Q74">
        <v>15500</v>
      </c>
      <c r="R74" t="s">
        <v>107</v>
      </c>
      <c r="W74">
        <v>1000</v>
      </c>
      <c r="AD74">
        <v>3000</v>
      </c>
      <c r="AE74">
        <v>200</v>
      </c>
      <c r="AG74">
        <v>600</v>
      </c>
      <c r="AS74">
        <v>400</v>
      </c>
      <c r="AX74" t="s">
        <v>152</v>
      </c>
    </row>
    <row r="75" spans="1:50" x14ac:dyDescent="0.25">
      <c r="A75" s="2" t="str">
        <f>D1_AGOSTO_2025[[#This Row],[SUPER2]]</f>
        <v>BRYAN</v>
      </c>
      <c r="B75" s="2" t="s">
        <v>48</v>
      </c>
      <c r="C75" s="2">
        <f>VLOOKUP(D1_AGOSTO_2025[[#This Row],[SUPER]],DATA_AGOSTO_2025[[SUPERVISOR]:[META]],3,0)</f>
        <v>16000</v>
      </c>
      <c r="D75" s="2">
        <f>D1_AGOSTO_2025[[#This Row],[RECUPERO]]/C75</f>
        <v>0.44500000000000001</v>
      </c>
      <c r="E75" t="s">
        <v>8</v>
      </c>
      <c r="F75" t="s">
        <v>48</v>
      </c>
      <c r="G75">
        <v>7120</v>
      </c>
      <c r="H75" t="s">
        <v>421</v>
      </c>
      <c r="I75" s="55">
        <v>44748</v>
      </c>
      <c r="J75" t="s">
        <v>501</v>
      </c>
      <c r="L75" s="55"/>
      <c r="M75" s="1">
        <f>DATA_AGOSTO_2025[[#This Row],[RECUPERO]]/DATA_AGOSTO_2025[[#This Row],[META]]</f>
        <v>0.50524074074074077</v>
      </c>
      <c r="N75">
        <f>6-ROUNDUP(_xlfn.RANK.EQ(DATA_AGOSTO_2025[[#This Row],[AL_AC]],DATA_AGOSTO_2025[AL_AC],0)/(COUNTA(DATA_AGOSTO_2025[AL_AC])/5),0)</f>
        <v>3</v>
      </c>
      <c r="O75" t="s">
        <v>2</v>
      </c>
      <c r="P75">
        <f>SUM(DATA_AGOSTO_2025[[#This Row],[1]:[31]])</f>
        <v>27283</v>
      </c>
      <c r="Q75">
        <v>54000</v>
      </c>
      <c r="R75" t="s">
        <v>11</v>
      </c>
      <c r="S75">
        <v>1620</v>
      </c>
      <c r="U75">
        <v>1200</v>
      </c>
      <c r="W75">
        <v>700</v>
      </c>
      <c r="Y75">
        <v>3500</v>
      </c>
      <c r="AD75">
        <v>220</v>
      </c>
      <c r="AF75">
        <v>1000</v>
      </c>
      <c r="AG75">
        <v>250</v>
      </c>
      <c r="AL75">
        <v>11103</v>
      </c>
      <c r="AM75">
        <v>602</v>
      </c>
      <c r="AN75">
        <v>5000</v>
      </c>
      <c r="AP75">
        <v>688</v>
      </c>
      <c r="AU75">
        <v>300</v>
      </c>
      <c r="AV75">
        <v>1100</v>
      </c>
      <c r="AX75" t="s">
        <v>150</v>
      </c>
    </row>
    <row r="76" spans="1:50" x14ac:dyDescent="0.25">
      <c r="A76" s="2" t="str">
        <f>D1_AGOSTO_2025[[#This Row],[SUPER2]]</f>
        <v>BRYAN</v>
      </c>
      <c r="B76" s="2" t="s">
        <v>45</v>
      </c>
      <c r="C76" s="2">
        <f>VLOOKUP(D1_AGOSTO_2025[[#This Row],[SUPER]],DATA_AGOSTO_2025[[SUPERVISOR]:[META]],3,0)</f>
        <v>16000</v>
      </c>
      <c r="D76" s="2">
        <f>D1_AGOSTO_2025[[#This Row],[RECUPERO]]/C76</f>
        <v>0.51831249999999995</v>
      </c>
      <c r="E76" t="s">
        <v>8</v>
      </c>
      <c r="F76" t="s">
        <v>45</v>
      </c>
      <c r="G76">
        <v>8293</v>
      </c>
      <c r="H76" t="s">
        <v>476</v>
      </c>
      <c r="I76" s="55">
        <v>38525</v>
      </c>
      <c r="J76" t="s">
        <v>501</v>
      </c>
      <c r="L76" s="55"/>
      <c r="M76" s="1">
        <f>DATA_AGOSTO_2025[[#This Row],[RECUPERO]]/DATA_AGOSTO_2025[[#This Row],[META]]</f>
        <v>0.16435185185185186</v>
      </c>
      <c r="N76">
        <f>6-ROUNDUP(_xlfn.RANK.EQ(DATA_AGOSTO_2025[[#This Row],[AL_AC]],DATA_AGOSTO_2025[AL_AC],0)/(COUNTA(DATA_AGOSTO_2025[AL_AC])/5),0)</f>
        <v>1</v>
      </c>
      <c r="O76" t="s">
        <v>2</v>
      </c>
      <c r="P76">
        <f>SUM(DATA_AGOSTO_2025[[#This Row],[1]:[31]])</f>
        <v>8875</v>
      </c>
      <c r="Q76">
        <v>54000</v>
      </c>
      <c r="R76" t="s">
        <v>91</v>
      </c>
      <c r="AE76">
        <v>400</v>
      </c>
      <c r="AG76">
        <v>375</v>
      </c>
      <c r="AM76">
        <v>7000</v>
      </c>
      <c r="AR76">
        <v>600</v>
      </c>
      <c r="AT76">
        <v>500</v>
      </c>
      <c r="AX76" t="s">
        <v>150</v>
      </c>
    </row>
    <row r="77" spans="1:50" x14ac:dyDescent="0.25">
      <c r="A77" s="2" t="str">
        <f>D1_AGOSTO_2025[[#This Row],[SUPER2]]</f>
        <v>BRYAN</v>
      </c>
      <c r="B77" s="2" t="s">
        <v>97</v>
      </c>
      <c r="C77" s="2">
        <f>VLOOKUP(D1_AGOSTO_2025[[#This Row],[SUPER]],DATA_AGOSTO_2025[[SUPERVISOR]:[META]],3,0)</f>
        <v>16000</v>
      </c>
      <c r="D77" s="2">
        <f>D1_AGOSTO_2025[[#This Row],[RECUPERO]]/C77</f>
        <v>0.34612500000000002</v>
      </c>
      <c r="E77" t="s">
        <v>8</v>
      </c>
      <c r="F77" t="s">
        <v>97</v>
      </c>
      <c r="G77">
        <v>5538</v>
      </c>
      <c r="H77" t="s">
        <v>485</v>
      </c>
      <c r="I77" s="55">
        <v>45889</v>
      </c>
      <c r="J77" t="s">
        <v>501</v>
      </c>
      <c r="L77" s="55"/>
      <c r="M77" s="1">
        <f>DATA_AGOSTO_2025[[#This Row],[RECUPERO]]/DATA_AGOSTO_2025[[#This Row],[META]]</f>
        <v>0.34612500000000002</v>
      </c>
      <c r="N77">
        <f>6-ROUNDUP(_xlfn.RANK.EQ(DATA_AGOSTO_2025[[#This Row],[AL_AC]],DATA_AGOSTO_2025[AL_AC],0)/(COUNTA(DATA_AGOSTO_2025[AL_AC])/5),0)</f>
        <v>2</v>
      </c>
      <c r="O77" t="s">
        <v>8</v>
      </c>
      <c r="P77">
        <f>SUM(DATA_AGOSTO_2025[[#This Row],[1]:[31]])</f>
        <v>5538</v>
      </c>
      <c r="Q77">
        <v>16000</v>
      </c>
      <c r="R77" t="s">
        <v>97</v>
      </c>
      <c r="AJ77">
        <v>350</v>
      </c>
      <c r="AK77">
        <v>100</v>
      </c>
      <c r="AL77">
        <v>3550</v>
      </c>
      <c r="AR77">
        <v>1000</v>
      </c>
      <c r="AS77">
        <v>200</v>
      </c>
      <c r="AT77">
        <v>338</v>
      </c>
      <c r="AX77" t="s">
        <v>153</v>
      </c>
    </row>
    <row r="78" spans="1:50" x14ac:dyDescent="0.25">
      <c r="A78" s="2" t="str">
        <f>D1_AGOSTO_2025[[#This Row],[SUPER2]]</f>
        <v>BRYAN</v>
      </c>
      <c r="B78" s="2" t="s">
        <v>92</v>
      </c>
      <c r="C78" s="2">
        <f>VLOOKUP(D1_AGOSTO_2025[[#This Row],[SUPER]],DATA_AGOSTO_2025[[SUPERVISOR]:[META]],3,0)</f>
        <v>16000</v>
      </c>
      <c r="D78" s="2">
        <f>D1_AGOSTO_2025[[#This Row],[RECUPERO]]/C78</f>
        <v>0.1125</v>
      </c>
      <c r="E78" t="s">
        <v>8</v>
      </c>
      <c r="F78" t="s">
        <v>92</v>
      </c>
      <c r="G78">
        <v>1800</v>
      </c>
      <c r="H78" t="s">
        <v>486</v>
      </c>
      <c r="I78" s="55">
        <v>45399</v>
      </c>
      <c r="J78" t="s">
        <v>501</v>
      </c>
      <c r="L78" s="55"/>
      <c r="M78" s="1">
        <f>DATA_AGOSTO_2025[[#This Row],[RECUPERO]]/DATA_AGOSTO_2025[[#This Row],[META]]</f>
        <v>1.3984027777777779</v>
      </c>
      <c r="N78">
        <f>6-ROUNDUP(_xlfn.RANK.EQ(DATA_AGOSTO_2025[[#This Row],[AL_AC]],DATA_AGOSTO_2025[AL_AC],0)/(COUNTA(DATA_AGOSTO_2025[AL_AC])/5),0)</f>
        <v>5</v>
      </c>
      <c r="O78" t="s">
        <v>4</v>
      </c>
      <c r="P78">
        <f>SUM(DATA_AGOSTO_2025[[#This Row],[1]:[31]])</f>
        <v>100685</v>
      </c>
      <c r="Q78">
        <v>72000</v>
      </c>
      <c r="R78" t="s">
        <v>59</v>
      </c>
      <c r="S78">
        <v>1515</v>
      </c>
      <c r="V78">
        <v>12000</v>
      </c>
      <c r="W78">
        <v>6600</v>
      </c>
      <c r="Y78">
        <v>800</v>
      </c>
      <c r="AC78">
        <v>506</v>
      </c>
      <c r="AD78">
        <v>8300</v>
      </c>
      <c r="AE78">
        <v>3000</v>
      </c>
      <c r="AF78">
        <v>5000</v>
      </c>
      <c r="AG78">
        <v>11400</v>
      </c>
      <c r="AJ78">
        <v>3650</v>
      </c>
      <c r="AK78">
        <v>5500</v>
      </c>
      <c r="AM78">
        <v>10500</v>
      </c>
      <c r="AN78">
        <v>2780</v>
      </c>
      <c r="AP78">
        <v>1634</v>
      </c>
      <c r="AQ78">
        <v>15000</v>
      </c>
      <c r="AS78">
        <v>11000</v>
      </c>
      <c r="AT78">
        <v>1500</v>
      </c>
      <c r="AX78" t="s">
        <v>155</v>
      </c>
    </row>
    <row r="79" spans="1:50" x14ac:dyDescent="0.25">
      <c r="A79" s="2" t="str">
        <f>D1_AGOSTO_2025[[#This Row],[SUPER2]]</f>
        <v>BRYAN</v>
      </c>
      <c r="B79" s="2" t="s">
        <v>98</v>
      </c>
      <c r="C79" s="2">
        <f>VLOOKUP(D1_AGOSTO_2025[[#This Row],[SUPER]],DATA_AGOSTO_2025[[SUPERVISOR]:[META]],3,0)</f>
        <v>16000</v>
      </c>
      <c r="D79" s="2">
        <f>D1_AGOSTO_2025[[#This Row],[RECUPERO]]/C79</f>
        <v>0.1125</v>
      </c>
      <c r="E79" t="s">
        <v>8</v>
      </c>
      <c r="F79" t="s">
        <v>98</v>
      </c>
      <c r="G79">
        <v>1800</v>
      </c>
      <c r="H79" t="s">
        <v>487</v>
      </c>
      <c r="I79" s="55">
        <v>45896</v>
      </c>
      <c r="J79" t="s">
        <v>501</v>
      </c>
      <c r="L79" s="55"/>
      <c r="M79" s="1">
        <f>DATA_AGOSTO_2025[[#This Row],[RECUPERO]]/DATA_AGOSTO_2025[[#This Row],[META]]</f>
        <v>1.8062499999999999E-2</v>
      </c>
      <c r="N79">
        <f>6-ROUNDUP(_xlfn.RANK.EQ(DATA_AGOSTO_2025[[#This Row],[AL_AC]],DATA_AGOSTO_2025[AL_AC],0)/(COUNTA(DATA_AGOSTO_2025[AL_AC])/5),0)</f>
        <v>1</v>
      </c>
      <c r="O79" t="s">
        <v>8</v>
      </c>
      <c r="P79">
        <f>SUM(DATA_AGOSTO_2025[[#This Row],[1]:[31]])</f>
        <v>289</v>
      </c>
      <c r="Q79">
        <v>16000</v>
      </c>
      <c r="R79" t="s">
        <v>84</v>
      </c>
      <c r="AT79">
        <v>289</v>
      </c>
      <c r="AX79" t="s">
        <v>153</v>
      </c>
    </row>
    <row r="80" spans="1:50" x14ac:dyDescent="0.25">
      <c r="A80" s="2" t="str">
        <f>D1_AGOSTO_2025[[#This Row],[SUPER2]]</f>
        <v>BRYAN</v>
      </c>
      <c r="B80" s="2" t="s">
        <v>47</v>
      </c>
      <c r="C80" s="2">
        <f>VLOOKUP(D1_AGOSTO_2025[[#This Row],[SUPER]],DATA_AGOSTO_2025[[SUPERVISOR]:[META]],3,0)</f>
        <v>16000</v>
      </c>
      <c r="D80" s="2">
        <f>D1_AGOSTO_2025[[#This Row],[RECUPERO]]/C80</f>
        <v>8.1125000000000003E-2</v>
      </c>
      <c r="E80" t="s">
        <v>8</v>
      </c>
      <c r="F80" t="s">
        <v>47</v>
      </c>
      <c r="G80">
        <v>1298</v>
      </c>
      <c r="H80" t="s">
        <v>479</v>
      </c>
      <c r="I80" s="55">
        <v>45853</v>
      </c>
      <c r="J80" t="s">
        <v>501</v>
      </c>
      <c r="L80" s="55"/>
      <c r="M80" s="1">
        <f>DATA_AGOSTO_2025[[#This Row],[RECUPERO]]/DATA_AGOSTO_2025[[#This Row],[META]]</f>
        <v>0.31055555555555553</v>
      </c>
      <c r="N80">
        <f>6-ROUNDUP(_xlfn.RANK.EQ(DATA_AGOSTO_2025[[#This Row],[AL_AC]],DATA_AGOSTO_2025[AL_AC],0)/(COUNTA(DATA_AGOSTO_2025[AL_AC])/5),0)</f>
        <v>2</v>
      </c>
      <c r="O80" t="s">
        <v>4</v>
      </c>
      <c r="P80">
        <f>SUM(DATA_AGOSTO_2025[[#This Row],[1]:[31]])</f>
        <v>22360</v>
      </c>
      <c r="Q80">
        <v>72000</v>
      </c>
      <c r="R80" t="s">
        <v>63</v>
      </c>
      <c r="S80">
        <v>3400</v>
      </c>
      <c r="V80">
        <v>4000</v>
      </c>
      <c r="Z80">
        <v>8000</v>
      </c>
      <c r="AG80">
        <v>5460</v>
      </c>
      <c r="AJ80">
        <v>1500</v>
      </c>
      <c r="AX80" t="s">
        <v>155</v>
      </c>
    </row>
    <row r="81" spans="1:50" x14ac:dyDescent="0.25">
      <c r="A81" s="2" t="str">
        <f>D1_AGOSTO_2025[[#This Row],[SUPER2]]</f>
        <v>LUIS</v>
      </c>
      <c r="B81" s="2" t="s">
        <v>50</v>
      </c>
      <c r="C81" s="2">
        <f>VLOOKUP(D1_AGOSTO_2025[[#This Row],[SUPER]],DATA_AGOSTO_2025[[SUPERVISOR]:[META]],3,0)</f>
        <v>16000</v>
      </c>
      <c r="D81" s="2">
        <f>D1_AGOSTO_2025[[#This Row],[RECUPERO]]/C81</f>
        <v>0.60659750000000001</v>
      </c>
      <c r="E81" t="s">
        <v>9</v>
      </c>
      <c r="F81" t="s">
        <v>50</v>
      </c>
      <c r="G81">
        <v>9705.56</v>
      </c>
      <c r="H81" t="s">
        <v>402</v>
      </c>
      <c r="I81" s="55">
        <v>45523</v>
      </c>
      <c r="J81" t="s">
        <v>501</v>
      </c>
      <c r="L81" s="55"/>
      <c r="M81" s="1">
        <f>DATA_AGOSTO_2025[[#This Row],[RECUPERO]]/DATA_AGOSTO_2025[[#This Row],[META]]</f>
        <v>0.20069444444444445</v>
      </c>
      <c r="N81">
        <f>6-ROUNDUP(_xlfn.RANK.EQ(DATA_AGOSTO_2025[[#This Row],[AL_AC]],DATA_AGOSTO_2025[AL_AC],0)/(COUNTA(DATA_AGOSTO_2025[AL_AC])/5),0)</f>
        <v>2</v>
      </c>
      <c r="O81" t="s">
        <v>125</v>
      </c>
      <c r="P81">
        <f>SUM(DATA_AGOSTO_2025[[#This Row],[1]:[31]])</f>
        <v>14450</v>
      </c>
      <c r="Q81">
        <v>72000</v>
      </c>
      <c r="R81" t="s">
        <v>102</v>
      </c>
      <c r="AC81">
        <v>1500</v>
      </c>
      <c r="AD81">
        <v>3000</v>
      </c>
      <c r="AK81">
        <v>5000</v>
      </c>
      <c r="AN81">
        <v>950</v>
      </c>
      <c r="AR81">
        <v>4000</v>
      </c>
      <c r="AX81" t="s">
        <v>155</v>
      </c>
    </row>
    <row r="82" spans="1:50" x14ac:dyDescent="0.25">
      <c r="A82" s="2" t="str">
        <f>D1_AGOSTO_2025[[#This Row],[SUPER2]]</f>
        <v>LUIS</v>
      </c>
      <c r="B82" s="2" t="s">
        <v>49</v>
      </c>
      <c r="C82" s="2">
        <f>VLOOKUP(D1_AGOSTO_2025[[#This Row],[SUPER]],DATA_AGOSTO_2025[[SUPERVISOR]:[META]],3,0)</f>
        <v>16000</v>
      </c>
      <c r="D82" s="2">
        <f>D1_AGOSTO_2025[[#This Row],[RECUPERO]]/C82</f>
        <v>0.75306249999999997</v>
      </c>
      <c r="E82" t="s">
        <v>9</v>
      </c>
      <c r="F82" t="s">
        <v>49</v>
      </c>
      <c r="G82">
        <v>12049</v>
      </c>
      <c r="H82" t="s">
        <v>436</v>
      </c>
      <c r="I82" s="55">
        <v>42814</v>
      </c>
      <c r="J82" t="s">
        <v>501</v>
      </c>
      <c r="L82" s="55"/>
      <c r="M82" s="1">
        <f>DATA_AGOSTO_2025[[#This Row],[RECUPERO]]/DATA_AGOSTO_2025[[#This Row],[META]]</f>
        <v>0.25425806451612903</v>
      </c>
      <c r="N82">
        <f>6-ROUNDUP(_xlfn.RANK.EQ(DATA_AGOSTO_2025[[#This Row],[AL_AC]],DATA_AGOSTO_2025[AL_AC],0)/(COUNTA(DATA_AGOSTO_2025[AL_AC])/5),0)</f>
        <v>2</v>
      </c>
      <c r="O82" t="s">
        <v>7</v>
      </c>
      <c r="P82">
        <f>SUM(DATA_AGOSTO_2025[[#This Row],[1]:[31]])</f>
        <v>3941</v>
      </c>
      <c r="Q82">
        <v>15500</v>
      </c>
      <c r="R82" t="s">
        <v>103</v>
      </c>
      <c r="AE82">
        <v>2000</v>
      </c>
      <c r="AJ82">
        <v>741</v>
      </c>
      <c r="AL82">
        <v>1200</v>
      </c>
      <c r="AX82" t="s">
        <v>152</v>
      </c>
    </row>
    <row r="83" spans="1:50" x14ac:dyDescent="0.25">
      <c r="A83" s="2" t="str">
        <f>D1_AGOSTO_2025[[#This Row],[SUPER2]]</f>
        <v>LUIS</v>
      </c>
      <c r="B83" s="2" t="s">
        <v>51</v>
      </c>
      <c r="C83" s="2">
        <f>VLOOKUP(D1_AGOSTO_2025[[#This Row],[SUPER]],DATA_AGOSTO_2025[[SUPERVISOR]:[META]],3,0)</f>
        <v>16000</v>
      </c>
      <c r="D83" s="2">
        <f>D1_AGOSTO_2025[[#This Row],[RECUPERO]]/C83</f>
        <v>0.65774999999999995</v>
      </c>
      <c r="E83" t="s">
        <v>9</v>
      </c>
      <c r="F83" t="s">
        <v>51</v>
      </c>
      <c r="G83">
        <v>10524</v>
      </c>
      <c r="H83" t="s">
        <v>413</v>
      </c>
      <c r="I83" s="55">
        <v>45674</v>
      </c>
      <c r="J83" t="s">
        <v>501</v>
      </c>
      <c r="M83" s="1">
        <f>DATA_AGOSTO_2025[[#This Row],[RECUPERO]]/DATA_AGOSTO_2025[[#This Row],[META]]</f>
        <v>0.10972222222222222</v>
      </c>
      <c r="N83">
        <f>6-ROUNDUP(_xlfn.RANK.EQ(DATA_AGOSTO_2025[[#This Row],[AL_AC]],DATA_AGOSTO_2025[AL_AC],0)/(COUNTA(DATA_AGOSTO_2025[AL_AC])/5),0)</f>
        <v>1</v>
      </c>
      <c r="O83" t="s">
        <v>5</v>
      </c>
      <c r="P83">
        <f>SUM(DATA_AGOSTO_2025[[#This Row],[1]:[31]])</f>
        <v>5925</v>
      </c>
      <c r="Q83">
        <v>54000</v>
      </c>
      <c r="R83" t="s">
        <v>73</v>
      </c>
      <c r="S83">
        <v>400</v>
      </c>
      <c r="Y83">
        <v>250</v>
      </c>
      <c r="AF83">
        <v>2000</v>
      </c>
      <c r="AK83">
        <v>2070</v>
      </c>
      <c r="AL83">
        <v>305</v>
      </c>
      <c r="AM83">
        <v>0</v>
      </c>
      <c r="AN83">
        <v>200</v>
      </c>
      <c r="AO83">
        <v>700</v>
      </c>
      <c r="AX83" t="s">
        <v>150</v>
      </c>
    </row>
    <row r="84" spans="1:50" x14ac:dyDescent="0.25">
      <c r="A84" s="2" t="str">
        <f>D1_AGOSTO_2025[[#This Row],[SUPER2]]</f>
        <v>LUIS</v>
      </c>
      <c r="B84" s="2" t="s">
        <v>52</v>
      </c>
      <c r="C84" s="2">
        <f>VLOOKUP(D1_AGOSTO_2025[[#This Row],[SUPER]],DATA_AGOSTO_2025[[SUPERVISOR]:[META]],3,0)</f>
        <v>16000</v>
      </c>
      <c r="D84" s="2">
        <f>D1_AGOSTO_2025[[#This Row],[RECUPERO]]/C84</f>
        <v>0.58750000000000002</v>
      </c>
      <c r="E84" t="s">
        <v>9</v>
      </c>
      <c r="F84" t="s">
        <v>52</v>
      </c>
      <c r="G84">
        <v>9400</v>
      </c>
      <c r="H84" t="s">
        <v>480</v>
      </c>
      <c r="I84" s="55">
        <v>45862</v>
      </c>
      <c r="J84" t="s">
        <v>501</v>
      </c>
      <c r="M84" s="1">
        <f>DATA_AGOSTO_2025[[#This Row],[RECUPERO]]/DATA_AGOSTO_2025[[#This Row],[META]]</f>
        <v>1.8715592307692308</v>
      </c>
      <c r="N84">
        <f>6-ROUNDUP(_xlfn.RANK.EQ(DATA_AGOSTO_2025[[#This Row],[AL_AC]],DATA_AGOSTO_2025[AL_AC],0)/(COUNTA(DATA_AGOSTO_2025[AL_AC])/5),0)</f>
        <v>5</v>
      </c>
      <c r="O84" t="s">
        <v>6</v>
      </c>
      <c r="P84">
        <f>SUM(DATA_AGOSTO_2025[[#This Row],[1]:[31]])</f>
        <v>48660.54</v>
      </c>
      <c r="Q84">
        <v>26000</v>
      </c>
      <c r="R84" t="s">
        <v>34</v>
      </c>
      <c r="S84">
        <v>2500</v>
      </c>
      <c r="W84">
        <v>200</v>
      </c>
      <c r="Y84">
        <v>182</v>
      </c>
      <c r="AC84">
        <v>13150</v>
      </c>
      <c r="AD84">
        <v>2700</v>
      </c>
      <c r="AE84">
        <v>1530</v>
      </c>
      <c r="AF84">
        <v>2372</v>
      </c>
      <c r="AG84">
        <v>100</v>
      </c>
      <c r="AJ84">
        <v>1550</v>
      </c>
      <c r="AK84">
        <v>500</v>
      </c>
      <c r="AL84">
        <v>870</v>
      </c>
      <c r="AM84">
        <v>200</v>
      </c>
      <c r="AQ84">
        <v>15856.54</v>
      </c>
      <c r="AR84">
        <v>3300</v>
      </c>
      <c r="AS84">
        <v>150</v>
      </c>
      <c r="AT84">
        <v>3500</v>
      </c>
      <c r="AX84" t="s">
        <v>156</v>
      </c>
    </row>
    <row r="85" spans="1:50" x14ac:dyDescent="0.25">
      <c r="A85" s="2" t="str">
        <f>D1_AGOSTO_2025[[#This Row],[SUPER2]]</f>
        <v>LUIS</v>
      </c>
      <c r="B85" s="2" t="s">
        <v>53</v>
      </c>
      <c r="C85" s="2">
        <f>VLOOKUP(D1_AGOSTO_2025[[#This Row],[SUPER]],DATA_AGOSTO_2025[[SUPERVISOR]:[META]],3,0)</f>
        <v>16000</v>
      </c>
      <c r="D85" s="2">
        <f>D1_AGOSTO_2025[[#This Row],[RECUPERO]]/C85</f>
        <v>0.449994375</v>
      </c>
      <c r="E85" t="s">
        <v>9</v>
      </c>
      <c r="F85" t="s">
        <v>53</v>
      </c>
      <c r="G85">
        <v>7199.91</v>
      </c>
      <c r="H85" t="s">
        <v>457</v>
      </c>
      <c r="I85" s="55">
        <v>45727</v>
      </c>
      <c r="J85" t="s">
        <v>501</v>
      </c>
      <c r="M85" s="1">
        <f>DATA_AGOSTO_2025[[#This Row],[RECUPERO]]/DATA_AGOSTO_2025[[#This Row],[META]]</f>
        <v>9.2291666666666661E-2</v>
      </c>
      <c r="N85">
        <f>6-ROUNDUP(_xlfn.RANK.EQ(DATA_AGOSTO_2025[[#This Row],[AL_AC]],DATA_AGOSTO_2025[AL_AC],0)/(COUNTA(DATA_AGOSTO_2025[AL_AC])/5),0)</f>
        <v>1</v>
      </c>
      <c r="O85" t="s">
        <v>125</v>
      </c>
      <c r="P85">
        <f>SUM(DATA_AGOSTO_2025[[#This Row],[1]:[31]])</f>
        <v>6645</v>
      </c>
      <c r="Q85">
        <v>72000</v>
      </c>
      <c r="R85" t="s">
        <v>30</v>
      </c>
      <c r="Z85">
        <v>1005</v>
      </c>
      <c r="AD85">
        <v>1000</v>
      </c>
      <c r="AE85">
        <v>1900</v>
      </c>
      <c r="AG85">
        <v>1500</v>
      </c>
      <c r="AQ85">
        <v>750</v>
      </c>
      <c r="AR85">
        <v>490</v>
      </c>
      <c r="AX85" t="s">
        <v>155</v>
      </c>
    </row>
    <row r="86" spans="1:50" x14ac:dyDescent="0.25">
      <c r="A86" s="2" t="str">
        <f>D1_AGOSTO_2025[[#This Row],[SUPER2]]</f>
        <v>LUIS</v>
      </c>
      <c r="B86" s="2" t="s">
        <v>55</v>
      </c>
      <c r="C86" s="2">
        <f>VLOOKUP(D1_AGOSTO_2025[[#This Row],[SUPER]],DATA_AGOSTO_2025[[SUPERVISOR]:[META]],3,0)</f>
        <v>16000</v>
      </c>
      <c r="D86" s="2">
        <f>D1_AGOSTO_2025[[#This Row],[RECUPERO]]/C86</f>
        <v>0.38093749999999998</v>
      </c>
      <c r="E86" t="s">
        <v>9</v>
      </c>
      <c r="F86" t="s">
        <v>55</v>
      </c>
      <c r="G86">
        <v>6095</v>
      </c>
      <c r="H86" t="s">
        <v>475</v>
      </c>
      <c r="I86" s="55">
        <v>45818</v>
      </c>
      <c r="J86" t="s">
        <v>501</v>
      </c>
      <c r="M86" s="1">
        <f>DATA_AGOSTO_2025[[#This Row],[RECUPERO]]/DATA_AGOSTO_2025[[#This Row],[META]]</f>
        <v>0.44500000000000001</v>
      </c>
      <c r="N86">
        <f>6-ROUNDUP(_xlfn.RANK.EQ(DATA_AGOSTO_2025[[#This Row],[AL_AC]],DATA_AGOSTO_2025[AL_AC],0)/(COUNTA(DATA_AGOSTO_2025[AL_AC])/5),0)</f>
        <v>3</v>
      </c>
      <c r="O86" t="s">
        <v>8</v>
      </c>
      <c r="P86">
        <f>SUM(DATA_AGOSTO_2025[[#This Row],[1]:[31]])</f>
        <v>7120</v>
      </c>
      <c r="Q86">
        <v>16000</v>
      </c>
      <c r="R86" t="s">
        <v>48</v>
      </c>
      <c r="V86">
        <v>300</v>
      </c>
      <c r="Z86">
        <v>250</v>
      </c>
      <c r="AE86">
        <v>350</v>
      </c>
      <c r="AG86">
        <v>4000</v>
      </c>
      <c r="AJ86">
        <v>150</v>
      </c>
      <c r="AK86">
        <v>320</v>
      </c>
      <c r="AQ86">
        <v>1000</v>
      </c>
      <c r="AS86">
        <v>400</v>
      </c>
      <c r="AT86">
        <v>350</v>
      </c>
      <c r="AX86" t="s">
        <v>153</v>
      </c>
    </row>
    <row r="87" spans="1:50" x14ac:dyDescent="0.25">
      <c r="A87" s="2" t="str">
        <f>D1_AGOSTO_2025[[#This Row],[SUPER2]]</f>
        <v>LUIS</v>
      </c>
      <c r="B87" s="2" t="s">
        <v>54</v>
      </c>
      <c r="C87" s="2">
        <f>VLOOKUP(D1_AGOSTO_2025[[#This Row],[SUPER]],DATA_AGOSTO_2025[[SUPERVISOR]:[META]],3,0)</f>
        <v>16000</v>
      </c>
      <c r="D87" s="2">
        <f>D1_AGOSTO_2025[[#This Row],[RECUPERO]]/C87</f>
        <v>0.35775625</v>
      </c>
      <c r="E87" t="s">
        <v>9</v>
      </c>
      <c r="F87" t="s">
        <v>54</v>
      </c>
      <c r="G87">
        <v>5724.1</v>
      </c>
      <c r="H87" t="s">
        <v>474</v>
      </c>
      <c r="I87" s="55">
        <v>45819</v>
      </c>
      <c r="J87" t="s">
        <v>501</v>
      </c>
      <c r="M87" s="1">
        <f>DATA_AGOSTO_2025[[#This Row],[RECUPERO]]/DATA_AGOSTO_2025[[#This Row],[META]]</f>
        <v>0.89207407407407402</v>
      </c>
      <c r="N87">
        <f>6-ROUNDUP(_xlfn.RANK.EQ(DATA_AGOSTO_2025[[#This Row],[AL_AC]],DATA_AGOSTO_2025[AL_AC],0)/(COUNTA(DATA_AGOSTO_2025[AL_AC])/5),0)</f>
        <v>5</v>
      </c>
      <c r="O87" t="s">
        <v>2</v>
      </c>
      <c r="P87">
        <f>SUM(DATA_AGOSTO_2025[[#This Row],[1]:[31]])</f>
        <v>48172</v>
      </c>
      <c r="Q87">
        <v>54000</v>
      </c>
      <c r="R87" t="s">
        <v>10</v>
      </c>
      <c r="W87">
        <v>10328</v>
      </c>
      <c r="Z87">
        <v>5000</v>
      </c>
      <c r="AC87">
        <v>925</v>
      </c>
      <c r="AD87">
        <v>4000</v>
      </c>
      <c r="AE87">
        <v>3300</v>
      </c>
      <c r="AG87">
        <v>800</v>
      </c>
      <c r="AJ87">
        <v>500</v>
      </c>
      <c r="AM87">
        <v>1500</v>
      </c>
      <c r="AQ87">
        <v>10362</v>
      </c>
      <c r="AS87">
        <v>1085</v>
      </c>
      <c r="AT87">
        <v>2000</v>
      </c>
      <c r="AU87">
        <v>8062</v>
      </c>
      <c r="AW87">
        <v>310</v>
      </c>
      <c r="AX87" t="s">
        <v>150</v>
      </c>
    </row>
    <row r="88" spans="1:50" x14ac:dyDescent="0.25">
      <c r="A88" s="2" t="str">
        <f>D1_AGOSTO_2025[[#This Row],[SUPER2]]</f>
        <v>LUIS</v>
      </c>
      <c r="B88" s="2" t="s">
        <v>101</v>
      </c>
      <c r="C88" s="2">
        <f>VLOOKUP(D1_AGOSTO_2025[[#This Row],[SUPER]],DATA_AGOSTO_2025[[SUPERVISOR]:[META]],3,0)</f>
        <v>16000</v>
      </c>
      <c r="D88" s="2">
        <f>D1_AGOSTO_2025[[#This Row],[RECUPERO]]/C88</f>
        <v>0.26250000000000001</v>
      </c>
      <c r="E88" t="s">
        <v>9</v>
      </c>
      <c r="F88" t="s">
        <v>101</v>
      </c>
      <c r="G88">
        <v>4200</v>
      </c>
      <c r="H88" t="s">
        <v>488</v>
      </c>
      <c r="I88" s="55">
        <v>45875</v>
      </c>
      <c r="J88" t="s">
        <v>501</v>
      </c>
      <c r="M88" s="1">
        <f>DATA_AGOSTO_2025[[#This Row],[RECUPERO]]/DATA_AGOSTO_2025[[#This Row],[META]]</f>
        <v>0.44034615384615383</v>
      </c>
      <c r="N88">
        <f>6-ROUNDUP(_xlfn.RANK.EQ(DATA_AGOSTO_2025[[#This Row],[AL_AC]],DATA_AGOSTO_2025[AL_AC],0)/(COUNTA(DATA_AGOSTO_2025[AL_AC])/5),0)</f>
        <v>3</v>
      </c>
      <c r="O88" t="s">
        <v>6</v>
      </c>
      <c r="P88">
        <f>SUM(DATA_AGOSTO_2025[[#This Row],[1]:[31]])</f>
        <v>11449</v>
      </c>
      <c r="Q88">
        <v>26000</v>
      </c>
      <c r="R88" t="s">
        <v>39</v>
      </c>
      <c r="V88">
        <v>150</v>
      </c>
      <c r="W88">
        <v>300</v>
      </c>
      <c r="AC88">
        <v>1440</v>
      </c>
      <c r="AD88">
        <v>500</v>
      </c>
      <c r="AG88">
        <v>250</v>
      </c>
      <c r="AH88">
        <v>359</v>
      </c>
      <c r="AK88">
        <v>150</v>
      </c>
      <c r="AN88">
        <v>3150</v>
      </c>
      <c r="AQ88">
        <v>400</v>
      </c>
      <c r="AR88">
        <v>200</v>
      </c>
      <c r="AS88">
        <v>900</v>
      </c>
      <c r="AT88">
        <v>650</v>
      </c>
      <c r="AU88">
        <v>3000</v>
      </c>
      <c r="AX88" t="s">
        <v>156</v>
      </c>
    </row>
    <row r="89" spans="1:50" x14ac:dyDescent="0.25">
      <c r="A89" s="2" t="str">
        <f>D1_AGOSTO_2025[[#This Row],[SUPER2]]</f>
        <v>LUIS</v>
      </c>
      <c r="B89" s="2" t="s">
        <v>56</v>
      </c>
      <c r="C89" s="2">
        <f>VLOOKUP(D1_AGOSTO_2025[[#This Row],[SUPER]],DATA_AGOSTO_2025[[SUPERVISOR]:[META]],3,0)</f>
        <v>16000</v>
      </c>
      <c r="D89" s="2">
        <f>D1_AGOSTO_2025[[#This Row],[RECUPERO]]/C89</f>
        <v>0.16412499999999999</v>
      </c>
      <c r="E89" t="s">
        <v>9</v>
      </c>
      <c r="F89" t="s">
        <v>56</v>
      </c>
      <c r="G89">
        <v>2626</v>
      </c>
      <c r="H89" t="s">
        <v>464</v>
      </c>
      <c r="I89" s="55">
        <v>45772</v>
      </c>
      <c r="J89" t="s">
        <v>501</v>
      </c>
      <c r="M89" s="1">
        <f>DATA_AGOSTO_2025[[#This Row],[RECUPERO]]/DATA_AGOSTO_2025[[#This Row],[META]]</f>
        <v>0.16412499999999999</v>
      </c>
      <c r="N89">
        <f>6-ROUNDUP(_xlfn.RANK.EQ(DATA_AGOSTO_2025[[#This Row],[AL_AC]],DATA_AGOSTO_2025[AL_AC],0)/(COUNTA(DATA_AGOSTO_2025[AL_AC])/5),0)</f>
        <v>1</v>
      </c>
      <c r="O89" t="s">
        <v>9</v>
      </c>
      <c r="P89">
        <f>SUM(DATA_AGOSTO_2025[[#This Row],[1]:[31]])</f>
        <v>2626</v>
      </c>
      <c r="Q89">
        <v>16000</v>
      </c>
      <c r="R89" t="s">
        <v>56</v>
      </c>
      <c r="V89">
        <v>207</v>
      </c>
      <c r="AC89">
        <v>300</v>
      </c>
      <c r="AD89">
        <v>150</v>
      </c>
      <c r="AE89">
        <v>150</v>
      </c>
      <c r="AG89">
        <v>350</v>
      </c>
      <c r="AH89">
        <v>100</v>
      </c>
      <c r="AJ89">
        <v>969</v>
      </c>
      <c r="AQ89">
        <v>400</v>
      </c>
      <c r="AX89" t="s">
        <v>153</v>
      </c>
    </row>
    <row r="90" spans="1:50" x14ac:dyDescent="0.25">
      <c r="A90" s="2" t="str">
        <f>D1_AGOSTO_2025[[#This Row],[SUPER2]]</f>
        <v>LUIS</v>
      </c>
      <c r="B90" s="2" t="s">
        <v>100</v>
      </c>
      <c r="C90" s="2">
        <f>VLOOKUP(D1_AGOSTO_2025[[#This Row],[SUPER]],DATA_AGOSTO_2025[[SUPERVISOR]:[META]],3,0)</f>
        <v>16000</v>
      </c>
      <c r="D90" s="2">
        <f>D1_AGOSTO_2025[[#This Row],[RECUPERO]]/C90</f>
        <v>3.1E-2</v>
      </c>
      <c r="E90" t="s">
        <v>9</v>
      </c>
      <c r="F90" t="s">
        <v>100</v>
      </c>
      <c r="G90">
        <v>496</v>
      </c>
      <c r="H90" t="s">
        <v>489</v>
      </c>
      <c r="I90" s="55">
        <v>45895</v>
      </c>
      <c r="J90" t="s">
        <v>501</v>
      </c>
    </row>
    <row r="91" spans="1:50" x14ac:dyDescent="0.25">
      <c r="A91" s="2" t="str">
        <f>D1_AGOSTO_2025[[#This Row],[SUPER2]]</f>
        <v>BRYAN</v>
      </c>
      <c r="B91" s="71" t="str">
        <f>D1_AGOSTO_2025[[#This Row],[ASESOR]]</f>
        <v>RAQUEL RICO</v>
      </c>
      <c r="C91" s="2">
        <f>VLOOKUP(D1_AGOSTO_2025[[#This Row],[SUPER]],DATA_AGOSTO_2025[[SUPERVISOR]:[META]],3,0)</f>
        <v>16000</v>
      </c>
      <c r="D91" s="2">
        <f>D1_AGOSTO_2025[[#This Row],[RECUPERO]]/C91</f>
        <v>1.8062499999999999E-2</v>
      </c>
      <c r="E91" t="s">
        <v>8</v>
      </c>
      <c r="F91" t="s">
        <v>84</v>
      </c>
      <c r="G91">
        <v>289</v>
      </c>
      <c r="H91" t="s">
        <v>473</v>
      </c>
      <c r="I91" s="55">
        <v>45800</v>
      </c>
      <c r="J91" t="s">
        <v>501</v>
      </c>
    </row>
  </sheetData>
  <sheetProtection formatCells="0" insertColumns="0" insertRows="0" deleteColumns="0" deleteRows="0" sort="0" autoFilter="0" pivotTables="0"/>
  <phoneticPr fontId="2" type="noConversion"/>
  <pageMargins left="0.7" right="0.7" top="0.75" bottom="0.75" header="0.3" footer="0.3"/>
  <tableParts count="4">
    <tablePart r:id="rId1"/>
    <tablePart r:id="rId2"/>
    <tablePart r:id="rId3"/>
    <tablePart r:id="rId4"/>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AC382-896C-48E3-967E-003D8C3BB4E1}">
  <sheetPr codeName="Hoja3"/>
  <dimension ref="A1:AQ86"/>
  <sheetViews>
    <sheetView zoomScale="70" zoomScaleNormal="70" workbookViewId="0">
      <selection activeCell="G29" sqref="G29"/>
    </sheetView>
  </sheetViews>
  <sheetFormatPr baseColWidth="10" defaultRowHeight="15" x14ac:dyDescent="0.25"/>
  <cols>
    <col min="1" max="1" width="10.7109375" customWidth="1"/>
    <col min="2" max="2" width="30.28515625" customWidth="1"/>
    <col min="3" max="3" width="13" bestFit="1" customWidth="1"/>
    <col min="4" max="4" width="16" bestFit="1" customWidth="1"/>
    <col min="5" max="5" width="16" customWidth="1"/>
    <col min="6" max="6" width="30.28515625" bestFit="1" customWidth="1"/>
    <col min="7" max="7" width="17.85546875" bestFit="1" customWidth="1"/>
    <col min="8" max="8" width="12.28515625" customWidth="1"/>
    <col min="9" max="9" width="17.140625" customWidth="1"/>
    <col min="10" max="10" width="13.140625" bestFit="1" customWidth="1"/>
    <col min="11" max="11" width="20.28515625" bestFit="1" customWidth="1"/>
    <col min="12" max="12" width="20.140625" customWidth="1"/>
    <col min="13" max="13" width="22.7109375" customWidth="1"/>
    <col min="14" max="14" width="11.42578125" customWidth="1"/>
  </cols>
  <sheetData>
    <row r="1" spans="1:43" ht="15" customHeight="1" x14ac:dyDescent="0.25"/>
    <row r="2" spans="1:43" x14ac:dyDescent="0.25">
      <c r="A2" s="8" t="s">
        <v>94</v>
      </c>
      <c r="B2" s="8" t="s">
        <v>108</v>
      </c>
      <c r="C2" s="31" t="s">
        <v>178</v>
      </c>
      <c r="D2" s="31" t="s">
        <v>1</v>
      </c>
      <c r="E2" s="31" t="s">
        <v>202</v>
      </c>
      <c r="F2" s="37" t="s">
        <v>0</v>
      </c>
      <c r="G2" s="37" t="s">
        <v>95</v>
      </c>
      <c r="H2" s="56" t="s">
        <v>376</v>
      </c>
      <c r="I2" s="56" t="s">
        <v>378</v>
      </c>
      <c r="J2" s="32" t="s">
        <v>166</v>
      </c>
      <c r="K2" s="32" t="s">
        <v>136</v>
      </c>
      <c r="L2" s="32" t="s">
        <v>205</v>
      </c>
    </row>
    <row r="3" spans="1:43" ht="26.25" x14ac:dyDescent="0.4">
      <c r="A3" s="2" t="s">
        <v>3</v>
      </c>
      <c r="B3" s="2" t="s">
        <v>97</v>
      </c>
      <c r="C3" s="2">
        <v>10487</v>
      </c>
      <c r="D3" s="2">
        <v>0.74907142857142861</v>
      </c>
      <c r="E3" t="s">
        <v>3</v>
      </c>
      <c r="F3" t="s">
        <v>97</v>
      </c>
      <c r="G3">
        <v>10487</v>
      </c>
      <c r="H3" t="s">
        <v>485</v>
      </c>
      <c r="I3" s="55">
        <v>45889</v>
      </c>
      <c r="J3" s="33">
        <v>2025</v>
      </c>
      <c r="K3" s="33" t="s">
        <v>147</v>
      </c>
      <c r="L3" s="33">
        <v>22</v>
      </c>
    </row>
    <row r="4" spans="1:43" x14ac:dyDescent="0.25">
      <c r="A4" s="2" t="s">
        <v>3</v>
      </c>
      <c r="B4" s="2" t="s">
        <v>44</v>
      </c>
      <c r="C4" s="2">
        <v>35897</v>
      </c>
      <c r="D4" s="2">
        <v>2.5640714285714288</v>
      </c>
      <c r="E4" t="s">
        <v>3</v>
      </c>
      <c r="F4" t="s">
        <v>44</v>
      </c>
      <c r="G4">
        <v>35897</v>
      </c>
      <c r="H4" t="s">
        <v>467</v>
      </c>
      <c r="I4" s="55">
        <v>45804</v>
      </c>
    </row>
    <row r="5" spans="1:43" x14ac:dyDescent="0.25">
      <c r="A5" s="2" t="s">
        <v>3</v>
      </c>
      <c r="B5" s="2" t="s">
        <v>48</v>
      </c>
      <c r="C5" s="2">
        <v>11064</v>
      </c>
      <c r="D5" s="2">
        <v>0.79028571428571426</v>
      </c>
      <c r="E5" t="s">
        <v>3</v>
      </c>
      <c r="F5" t="s">
        <v>48</v>
      </c>
      <c r="G5">
        <v>11064</v>
      </c>
      <c r="H5" t="s">
        <v>421</v>
      </c>
      <c r="I5" s="55">
        <v>44748</v>
      </c>
    </row>
    <row r="6" spans="1:43" x14ac:dyDescent="0.25">
      <c r="A6" s="2" t="s">
        <v>3</v>
      </c>
      <c r="B6" s="2" t="s">
        <v>27</v>
      </c>
      <c r="C6" s="2">
        <v>4612</v>
      </c>
      <c r="D6" s="2">
        <v>0.3294285714285714</v>
      </c>
      <c r="E6" t="s">
        <v>3</v>
      </c>
      <c r="F6" t="s">
        <v>27</v>
      </c>
      <c r="G6">
        <v>4612</v>
      </c>
      <c r="H6" t="s">
        <v>412</v>
      </c>
      <c r="I6" s="55">
        <v>45675</v>
      </c>
    </row>
    <row r="7" spans="1:43" x14ac:dyDescent="0.25">
      <c r="A7" s="2" t="s">
        <v>3</v>
      </c>
      <c r="B7" s="2" t="s">
        <v>102</v>
      </c>
      <c r="C7" s="2">
        <v>2200</v>
      </c>
      <c r="D7" s="2">
        <v>0.15714285714285714</v>
      </c>
      <c r="E7" t="s">
        <v>3</v>
      </c>
      <c r="F7" t="s">
        <v>102</v>
      </c>
      <c r="G7">
        <v>2200</v>
      </c>
      <c r="H7" t="s">
        <v>481</v>
      </c>
      <c r="I7" s="55">
        <v>45875</v>
      </c>
    </row>
    <row r="8" spans="1:43" x14ac:dyDescent="0.25">
      <c r="A8" s="2" t="s">
        <v>3</v>
      </c>
      <c r="B8" s="2" t="s">
        <v>43</v>
      </c>
      <c r="C8" s="2">
        <v>9523</v>
      </c>
      <c r="D8" s="2">
        <v>0.68021428571428566</v>
      </c>
      <c r="E8" t="s">
        <v>3</v>
      </c>
      <c r="F8" t="s">
        <v>43</v>
      </c>
      <c r="G8">
        <v>9523</v>
      </c>
      <c r="H8" t="s">
        <v>471</v>
      </c>
      <c r="I8" s="55">
        <v>45793</v>
      </c>
      <c r="J8" s="41" t="s">
        <v>87</v>
      </c>
      <c r="K8" s="42" t="s">
        <v>89</v>
      </c>
      <c r="L8" s="43" t="s">
        <v>133</v>
      </c>
      <c r="M8" s="43" t="s">
        <v>95</v>
      </c>
      <c r="N8" s="43" t="s">
        <v>90</v>
      </c>
      <c r="O8" s="44" t="s">
        <v>88</v>
      </c>
      <c r="Q8" s="18" t="s">
        <v>135</v>
      </c>
      <c r="R8" s="18" t="s">
        <v>137</v>
      </c>
      <c r="S8" s="18" t="s">
        <v>138</v>
      </c>
      <c r="T8" s="40" t="s">
        <v>94</v>
      </c>
      <c r="U8" s="40" t="s">
        <v>180</v>
      </c>
      <c r="V8" s="40" t="s">
        <v>181</v>
      </c>
      <c r="W8" s="40" t="s">
        <v>182</v>
      </c>
      <c r="X8" s="40" t="s">
        <v>183</v>
      </c>
      <c r="Y8" s="40" t="s">
        <v>184</v>
      </c>
      <c r="Z8" s="40" t="s">
        <v>185</v>
      </c>
      <c r="AA8" s="40" t="s">
        <v>186</v>
      </c>
      <c r="AB8" s="40" t="s">
        <v>187</v>
      </c>
      <c r="AC8" s="40" t="s">
        <v>188</v>
      </c>
      <c r="AD8" s="40" t="s">
        <v>189</v>
      </c>
      <c r="AE8" s="40" t="s">
        <v>190</v>
      </c>
      <c r="AF8" s="40" t="s">
        <v>191</v>
      </c>
      <c r="AG8" s="40" t="s">
        <v>192</v>
      </c>
      <c r="AH8" s="40" t="s">
        <v>193</v>
      </c>
      <c r="AI8" s="40" t="s">
        <v>194</v>
      </c>
      <c r="AJ8" s="40" t="s">
        <v>195</v>
      </c>
      <c r="AK8" s="40" t="s">
        <v>196</v>
      </c>
      <c r="AL8" s="40" t="s">
        <v>197</v>
      </c>
      <c r="AM8" s="40" t="s">
        <v>198</v>
      </c>
      <c r="AN8" s="40" t="s">
        <v>199</v>
      </c>
      <c r="AO8" s="40" t="s">
        <v>200</v>
      </c>
      <c r="AP8" s="40" t="s">
        <v>201</v>
      </c>
      <c r="AQ8" s="18" t="s">
        <v>134</v>
      </c>
    </row>
    <row r="9" spans="1:43" x14ac:dyDescent="0.25">
      <c r="A9" s="2" t="s">
        <v>3</v>
      </c>
      <c r="B9" s="2" t="s">
        <v>56</v>
      </c>
      <c r="C9" s="2">
        <v>6610</v>
      </c>
      <c r="D9" s="2">
        <v>0.47214285714285714</v>
      </c>
      <c r="E9" t="s">
        <v>3</v>
      </c>
      <c r="F9" t="s">
        <v>56</v>
      </c>
      <c r="G9">
        <v>6610</v>
      </c>
      <c r="H9" t="s">
        <v>464</v>
      </c>
      <c r="I9" s="55">
        <v>45772</v>
      </c>
      <c r="J9" s="1">
        <v>0.74907142857142861</v>
      </c>
      <c r="K9" t="s">
        <v>163</v>
      </c>
      <c r="L9" t="s">
        <v>3</v>
      </c>
      <c r="M9">
        <v>10487</v>
      </c>
      <c r="N9">
        <v>14000</v>
      </c>
      <c r="O9" t="s">
        <v>97</v>
      </c>
      <c r="Q9">
        <v>200950</v>
      </c>
      <c r="R9" s="11">
        <v>212215.35</v>
      </c>
      <c r="S9" s="17">
        <v>0.74817922042259521</v>
      </c>
      <c r="T9" t="s">
        <v>3</v>
      </c>
      <c r="U9">
        <v>1350</v>
      </c>
      <c r="V9">
        <v>11150</v>
      </c>
      <c r="W9">
        <v>15869.35</v>
      </c>
      <c r="X9">
        <v>70269.350000000006</v>
      </c>
      <c r="Y9">
        <v>87631.35</v>
      </c>
      <c r="Z9">
        <v>87731.35</v>
      </c>
      <c r="AA9">
        <v>88281.35</v>
      </c>
      <c r="AB9">
        <v>94331.35</v>
      </c>
      <c r="AC9">
        <v>102552.35</v>
      </c>
      <c r="AD9">
        <v>120622.35</v>
      </c>
      <c r="AE9">
        <v>138212.35</v>
      </c>
      <c r="AF9">
        <v>140432.35</v>
      </c>
      <c r="AG9">
        <v>142682.35</v>
      </c>
      <c r="AH9">
        <v>149397.35</v>
      </c>
      <c r="AI9">
        <v>155319.35</v>
      </c>
      <c r="AJ9">
        <v>156219.35</v>
      </c>
      <c r="AK9">
        <v>170503.35</v>
      </c>
      <c r="AL9">
        <v>171653.35</v>
      </c>
      <c r="AM9">
        <v>178993.35</v>
      </c>
      <c r="AN9">
        <v>186793.35</v>
      </c>
      <c r="AO9">
        <v>196752.35</v>
      </c>
      <c r="AP9">
        <v>212215.35</v>
      </c>
      <c r="AQ9" s="11" t="s">
        <v>157</v>
      </c>
    </row>
    <row r="10" spans="1:43" x14ac:dyDescent="0.25">
      <c r="A10" s="2" t="s">
        <v>3</v>
      </c>
      <c r="B10" s="2" t="s">
        <v>101</v>
      </c>
      <c r="C10" s="2">
        <v>2200</v>
      </c>
      <c r="D10" s="2">
        <v>0.15714285714285714</v>
      </c>
      <c r="E10" t="s">
        <v>3</v>
      </c>
      <c r="F10" t="s">
        <v>101</v>
      </c>
      <c r="G10">
        <v>2200</v>
      </c>
      <c r="H10" t="s">
        <v>488</v>
      </c>
      <c r="I10" s="55">
        <v>45875</v>
      </c>
      <c r="J10" s="1">
        <v>2.5640714285714288</v>
      </c>
      <c r="K10" t="s">
        <v>162</v>
      </c>
      <c r="L10" t="s">
        <v>3</v>
      </c>
      <c r="M10">
        <v>35897</v>
      </c>
      <c r="N10">
        <v>14000</v>
      </c>
      <c r="O10" t="s">
        <v>44</v>
      </c>
      <c r="Q10">
        <v>200950</v>
      </c>
      <c r="R10" s="11">
        <v>108153</v>
      </c>
      <c r="S10" s="17">
        <v>0.36733582277155291</v>
      </c>
      <c r="T10" t="s">
        <v>4</v>
      </c>
      <c r="U10">
        <v>3835</v>
      </c>
      <c r="V10">
        <v>17035</v>
      </c>
      <c r="W10">
        <v>22535</v>
      </c>
      <c r="X10">
        <v>31235</v>
      </c>
      <c r="Y10">
        <v>48635</v>
      </c>
      <c r="Z10">
        <v>48985</v>
      </c>
      <c r="AA10">
        <v>51485</v>
      </c>
      <c r="AB10">
        <v>51585</v>
      </c>
      <c r="AC10">
        <v>54585</v>
      </c>
      <c r="AD10">
        <v>57009</v>
      </c>
      <c r="AE10">
        <v>64483</v>
      </c>
      <c r="AF10">
        <v>66950</v>
      </c>
      <c r="AG10">
        <v>68800</v>
      </c>
      <c r="AH10">
        <v>72170</v>
      </c>
      <c r="AI10">
        <v>77970</v>
      </c>
      <c r="AJ10">
        <v>77970</v>
      </c>
      <c r="AK10">
        <v>82030</v>
      </c>
      <c r="AL10">
        <v>91360</v>
      </c>
      <c r="AM10">
        <v>92850</v>
      </c>
      <c r="AN10">
        <v>94840</v>
      </c>
      <c r="AO10">
        <v>100245</v>
      </c>
      <c r="AP10">
        <v>108153</v>
      </c>
      <c r="AQ10" s="11" t="s">
        <v>157</v>
      </c>
    </row>
    <row r="11" spans="1:43" x14ac:dyDescent="0.25">
      <c r="A11" s="2" t="s">
        <v>3</v>
      </c>
      <c r="B11" s="2" t="s">
        <v>107</v>
      </c>
      <c r="C11" s="2">
        <v>5780</v>
      </c>
      <c r="D11" s="2">
        <v>0.41285714285714287</v>
      </c>
      <c r="E11" t="s">
        <v>3</v>
      </c>
      <c r="F11" t="s">
        <v>107</v>
      </c>
      <c r="G11">
        <v>5780</v>
      </c>
      <c r="H11" t="s">
        <v>458</v>
      </c>
      <c r="I11" s="55">
        <v>45727</v>
      </c>
      <c r="J11" s="1">
        <v>0.79028571428571426</v>
      </c>
      <c r="K11" t="s">
        <v>163</v>
      </c>
      <c r="L11" t="s">
        <v>3</v>
      </c>
      <c r="M11">
        <v>11064</v>
      </c>
      <c r="N11">
        <v>14000</v>
      </c>
      <c r="O11" t="s">
        <v>48</v>
      </c>
      <c r="Q11">
        <v>301000</v>
      </c>
      <c r="R11" s="11">
        <v>102179</v>
      </c>
      <c r="S11" s="17">
        <v>0.31282056614539733</v>
      </c>
      <c r="T11" t="s">
        <v>5</v>
      </c>
      <c r="U11">
        <v>13963</v>
      </c>
      <c r="V11">
        <v>18098</v>
      </c>
      <c r="W11">
        <v>19598</v>
      </c>
      <c r="X11">
        <v>21498</v>
      </c>
      <c r="Y11">
        <v>23318</v>
      </c>
      <c r="Z11">
        <v>27818</v>
      </c>
      <c r="AA11">
        <v>28158</v>
      </c>
      <c r="AB11">
        <v>30618</v>
      </c>
      <c r="AC11">
        <v>40958</v>
      </c>
      <c r="AD11">
        <v>47118</v>
      </c>
      <c r="AE11">
        <v>49218</v>
      </c>
      <c r="AF11">
        <v>62927</v>
      </c>
      <c r="AG11">
        <v>69626</v>
      </c>
      <c r="AH11">
        <v>69712</v>
      </c>
      <c r="AI11">
        <v>70212</v>
      </c>
      <c r="AJ11">
        <v>76414</v>
      </c>
      <c r="AK11">
        <v>88617</v>
      </c>
      <c r="AL11">
        <v>90151</v>
      </c>
      <c r="AM11">
        <v>93415</v>
      </c>
      <c r="AN11">
        <v>94218</v>
      </c>
      <c r="AO11">
        <v>94518</v>
      </c>
      <c r="AP11">
        <v>102179</v>
      </c>
      <c r="AQ11" s="11" t="s">
        <v>158</v>
      </c>
    </row>
    <row r="12" spans="1:43" x14ac:dyDescent="0.25">
      <c r="A12" s="2" t="s">
        <v>3</v>
      </c>
      <c r="B12" s="2" t="s">
        <v>106</v>
      </c>
      <c r="C12" s="2">
        <v>300</v>
      </c>
      <c r="D12" s="2">
        <v>2.1428571428571429E-2</v>
      </c>
      <c r="E12" t="s">
        <v>3</v>
      </c>
      <c r="F12" t="s">
        <v>106</v>
      </c>
      <c r="G12">
        <v>300</v>
      </c>
      <c r="H12" t="s">
        <v>392</v>
      </c>
      <c r="I12" s="55">
        <v>44748</v>
      </c>
      <c r="J12" s="1">
        <v>0.3294285714285714</v>
      </c>
      <c r="K12" t="s">
        <v>165</v>
      </c>
      <c r="L12" t="s">
        <v>3</v>
      </c>
      <c r="M12">
        <v>4612</v>
      </c>
      <c r="N12">
        <v>14000</v>
      </c>
      <c r="O12" t="s">
        <v>27</v>
      </c>
      <c r="Q12">
        <v>301000</v>
      </c>
      <c r="R12" s="11">
        <v>186881</v>
      </c>
      <c r="S12" s="17">
        <v>0.57568518336147745</v>
      </c>
      <c r="T12" t="s">
        <v>2</v>
      </c>
      <c r="U12">
        <v>18900</v>
      </c>
      <c r="V12">
        <v>28100</v>
      </c>
      <c r="W12">
        <v>28100</v>
      </c>
      <c r="X12">
        <v>30205</v>
      </c>
      <c r="Y12">
        <v>39541</v>
      </c>
      <c r="Z12">
        <v>39541</v>
      </c>
      <c r="AA12">
        <v>41471</v>
      </c>
      <c r="AB12">
        <v>43396</v>
      </c>
      <c r="AC12">
        <v>44496</v>
      </c>
      <c r="AD12">
        <v>88278</v>
      </c>
      <c r="AE12">
        <v>95353</v>
      </c>
      <c r="AF12">
        <v>110226</v>
      </c>
      <c r="AG12">
        <v>110476</v>
      </c>
      <c r="AH12">
        <v>116158</v>
      </c>
      <c r="AI12">
        <v>132509</v>
      </c>
      <c r="AJ12">
        <v>149109</v>
      </c>
      <c r="AK12">
        <v>168557.5</v>
      </c>
      <c r="AL12">
        <v>169157.5</v>
      </c>
      <c r="AM12">
        <v>170157.5</v>
      </c>
      <c r="AN12">
        <v>170822.5</v>
      </c>
      <c r="AO12">
        <v>174441.5</v>
      </c>
      <c r="AP12">
        <v>186881</v>
      </c>
      <c r="AQ12" s="11" t="s">
        <v>158</v>
      </c>
    </row>
    <row r="13" spans="1:43" x14ac:dyDescent="0.25">
      <c r="A13" s="2" t="s">
        <v>3</v>
      </c>
      <c r="B13" s="2" t="s">
        <v>32</v>
      </c>
      <c r="C13" s="2">
        <v>4022</v>
      </c>
      <c r="D13" s="2">
        <v>0.28728571428571431</v>
      </c>
      <c r="E13" t="s">
        <v>3</v>
      </c>
      <c r="F13" t="s">
        <v>32</v>
      </c>
      <c r="G13">
        <v>4022</v>
      </c>
      <c r="H13" t="s">
        <v>390</v>
      </c>
      <c r="I13" s="55">
        <v>45530</v>
      </c>
      <c r="J13" s="1">
        <v>0.15714285714285714</v>
      </c>
      <c r="K13" t="s">
        <v>165</v>
      </c>
      <c r="L13" t="s">
        <v>3</v>
      </c>
      <c r="M13">
        <v>2200</v>
      </c>
      <c r="N13">
        <v>14000</v>
      </c>
      <c r="O13" t="s">
        <v>102</v>
      </c>
      <c r="Q13">
        <v>643200</v>
      </c>
      <c r="R13" s="11">
        <v>127275.5</v>
      </c>
      <c r="S13" s="17">
        <v>0.24713255190343655</v>
      </c>
      <c r="T13" t="s">
        <v>125</v>
      </c>
      <c r="U13">
        <v>14335</v>
      </c>
      <c r="V13">
        <v>17562.5</v>
      </c>
      <c r="W13">
        <v>18412.5</v>
      </c>
      <c r="X13">
        <v>20771.5</v>
      </c>
      <c r="Y13">
        <v>21543.5</v>
      </c>
      <c r="Z13">
        <v>21543.5</v>
      </c>
      <c r="AA13">
        <v>24133.5</v>
      </c>
      <c r="AB13">
        <v>79297.5</v>
      </c>
      <c r="AC13">
        <v>79997.5</v>
      </c>
      <c r="AD13">
        <v>79997.5</v>
      </c>
      <c r="AE13">
        <v>81811.5</v>
      </c>
      <c r="AF13">
        <v>81811.5</v>
      </c>
      <c r="AG13">
        <v>81984.5</v>
      </c>
      <c r="AH13">
        <v>87114.5</v>
      </c>
      <c r="AI13">
        <v>88645.5</v>
      </c>
      <c r="AJ13">
        <v>89095.5</v>
      </c>
      <c r="AK13">
        <v>93595.5</v>
      </c>
      <c r="AL13">
        <v>94915.5</v>
      </c>
      <c r="AM13">
        <v>97057.5</v>
      </c>
      <c r="AN13">
        <v>110657.5</v>
      </c>
      <c r="AO13">
        <v>115897.5</v>
      </c>
      <c r="AP13">
        <v>127275.5</v>
      </c>
      <c r="AQ13" s="11" t="s">
        <v>159</v>
      </c>
    </row>
    <row r="14" spans="1:43" x14ac:dyDescent="0.25">
      <c r="A14" s="2" t="s">
        <v>3</v>
      </c>
      <c r="B14" s="2" t="s">
        <v>33</v>
      </c>
      <c r="C14" s="2">
        <v>6610</v>
      </c>
      <c r="D14" s="2">
        <v>0.47214285714285714</v>
      </c>
      <c r="E14" t="s">
        <v>3</v>
      </c>
      <c r="F14" t="s">
        <v>33</v>
      </c>
      <c r="G14">
        <v>6610</v>
      </c>
      <c r="H14" t="s">
        <v>439</v>
      </c>
      <c r="I14" s="55">
        <v>44869</v>
      </c>
      <c r="J14" s="1">
        <v>0.68021428571428566</v>
      </c>
      <c r="K14" t="s">
        <v>164</v>
      </c>
      <c r="L14" t="s">
        <v>3</v>
      </c>
      <c r="M14">
        <v>9523</v>
      </c>
      <c r="N14">
        <v>14000</v>
      </c>
      <c r="O14" t="s">
        <v>43</v>
      </c>
      <c r="Q14">
        <v>643200</v>
      </c>
      <c r="R14" s="11">
        <v>111281</v>
      </c>
      <c r="S14" s="17">
        <v>0.26612242807281422</v>
      </c>
      <c r="T14" t="s">
        <v>7</v>
      </c>
      <c r="U14">
        <v>220</v>
      </c>
      <c r="V14">
        <v>7250</v>
      </c>
      <c r="W14">
        <v>15250</v>
      </c>
      <c r="X14">
        <v>17150</v>
      </c>
      <c r="Y14">
        <v>18982</v>
      </c>
      <c r="Z14">
        <v>19482</v>
      </c>
      <c r="AA14">
        <v>19482</v>
      </c>
      <c r="AB14">
        <v>21882</v>
      </c>
      <c r="AC14">
        <v>22682</v>
      </c>
      <c r="AD14">
        <v>25682</v>
      </c>
      <c r="AE14">
        <v>27062</v>
      </c>
      <c r="AF14">
        <v>36462</v>
      </c>
      <c r="AG14">
        <v>37302</v>
      </c>
      <c r="AH14">
        <v>52902</v>
      </c>
      <c r="AI14">
        <v>53502</v>
      </c>
      <c r="AJ14">
        <v>74542</v>
      </c>
      <c r="AK14">
        <v>77142</v>
      </c>
      <c r="AL14">
        <v>77142</v>
      </c>
      <c r="AM14">
        <v>81104</v>
      </c>
      <c r="AN14">
        <v>86989</v>
      </c>
      <c r="AO14">
        <v>91721</v>
      </c>
      <c r="AP14">
        <v>111281</v>
      </c>
      <c r="AQ14" s="11" t="s">
        <v>159</v>
      </c>
    </row>
    <row r="15" spans="1:43" x14ac:dyDescent="0.25">
      <c r="A15" s="2" t="s">
        <v>4</v>
      </c>
      <c r="B15" s="2" t="s">
        <v>104</v>
      </c>
      <c r="C15" s="2">
        <v>6594</v>
      </c>
      <c r="D15" s="2">
        <v>0.47099999999999997</v>
      </c>
      <c r="E15" t="s">
        <v>4</v>
      </c>
      <c r="F15" t="s">
        <v>104</v>
      </c>
      <c r="G15">
        <v>6594</v>
      </c>
      <c r="H15" t="s">
        <v>456</v>
      </c>
      <c r="I15" s="55">
        <v>44104</v>
      </c>
      <c r="J15" s="1">
        <v>0.47214285714285714</v>
      </c>
      <c r="K15" t="s">
        <v>164</v>
      </c>
      <c r="L15" t="s">
        <v>3</v>
      </c>
      <c r="M15">
        <v>6610</v>
      </c>
      <c r="N15">
        <v>14000</v>
      </c>
      <c r="O15" t="s">
        <v>56</v>
      </c>
      <c r="Q15">
        <v>209800</v>
      </c>
      <c r="R15" s="11">
        <v>103487.5</v>
      </c>
      <c r="S15" s="17">
        <v>0.5224831730265449</v>
      </c>
      <c r="T15" t="s">
        <v>9</v>
      </c>
      <c r="U15">
        <v>2775</v>
      </c>
      <c r="V15">
        <v>3650</v>
      </c>
      <c r="W15">
        <v>7670</v>
      </c>
      <c r="X15">
        <v>8627</v>
      </c>
      <c r="Y15">
        <v>10527</v>
      </c>
      <c r="Z15">
        <v>10927</v>
      </c>
      <c r="AA15">
        <v>14077</v>
      </c>
      <c r="AB15">
        <v>19265</v>
      </c>
      <c r="AC15">
        <v>34205</v>
      </c>
      <c r="AD15">
        <v>37162</v>
      </c>
      <c r="AE15">
        <v>40672</v>
      </c>
      <c r="AF15">
        <v>55740.5</v>
      </c>
      <c r="AG15">
        <v>55740.5</v>
      </c>
      <c r="AH15">
        <v>55890.5</v>
      </c>
      <c r="AI15">
        <v>56390.5</v>
      </c>
      <c r="AJ15">
        <v>61750.5</v>
      </c>
      <c r="AK15">
        <v>62650.5</v>
      </c>
      <c r="AL15">
        <v>65369.5</v>
      </c>
      <c r="AM15">
        <v>67447</v>
      </c>
      <c r="AN15">
        <v>68867</v>
      </c>
      <c r="AO15">
        <v>82101</v>
      </c>
      <c r="AP15">
        <v>103487.5</v>
      </c>
      <c r="AQ15" s="11" t="s">
        <v>156</v>
      </c>
    </row>
    <row r="16" spans="1:43" x14ac:dyDescent="0.25">
      <c r="A16" s="2" t="s">
        <v>4</v>
      </c>
      <c r="B16" s="2" t="s">
        <v>55</v>
      </c>
      <c r="C16" s="2">
        <v>10540</v>
      </c>
      <c r="D16" s="2">
        <v>0.75285714285714289</v>
      </c>
      <c r="E16" t="s">
        <v>4</v>
      </c>
      <c r="F16" t="s">
        <v>55</v>
      </c>
      <c r="G16">
        <v>10540</v>
      </c>
      <c r="H16" t="s">
        <v>475</v>
      </c>
      <c r="I16" s="55">
        <v>45818</v>
      </c>
      <c r="J16" s="1">
        <v>0.15714285714285714</v>
      </c>
      <c r="K16" t="s">
        <v>165</v>
      </c>
      <c r="L16" t="s">
        <v>3</v>
      </c>
      <c r="M16">
        <v>2200</v>
      </c>
      <c r="N16">
        <v>14000</v>
      </c>
      <c r="O16" t="s">
        <v>101</v>
      </c>
      <c r="Q16">
        <v>749600</v>
      </c>
      <c r="R16" s="11">
        <v>237130</v>
      </c>
      <c r="S16" s="17">
        <v>0.37669968815375443</v>
      </c>
      <c r="T16" t="s">
        <v>8</v>
      </c>
      <c r="U16">
        <v>970</v>
      </c>
      <c r="V16">
        <v>1970</v>
      </c>
      <c r="W16">
        <v>3000</v>
      </c>
      <c r="X16">
        <v>4518</v>
      </c>
      <c r="Y16">
        <v>9723</v>
      </c>
      <c r="Z16">
        <v>10023</v>
      </c>
      <c r="AA16">
        <v>10823</v>
      </c>
      <c r="AB16">
        <v>16953</v>
      </c>
      <c r="AC16">
        <v>19451</v>
      </c>
      <c r="AD16">
        <v>45636</v>
      </c>
      <c r="AE16">
        <v>64141</v>
      </c>
      <c r="AF16">
        <v>70558</v>
      </c>
      <c r="AG16">
        <v>105361</v>
      </c>
      <c r="AH16">
        <v>111810</v>
      </c>
      <c r="AI16">
        <v>112165</v>
      </c>
      <c r="AJ16">
        <v>117645</v>
      </c>
      <c r="AK16">
        <v>124388</v>
      </c>
      <c r="AL16">
        <v>124878</v>
      </c>
      <c r="AM16">
        <v>126518</v>
      </c>
      <c r="AN16">
        <v>150310</v>
      </c>
      <c r="AO16">
        <v>191676</v>
      </c>
      <c r="AP16">
        <v>237130</v>
      </c>
      <c r="AQ16" s="11" t="s">
        <v>155</v>
      </c>
    </row>
    <row r="17" spans="1:15" x14ac:dyDescent="0.25">
      <c r="A17" s="2" t="s">
        <v>4</v>
      </c>
      <c r="B17" s="2" t="s">
        <v>110</v>
      </c>
      <c r="C17" s="2">
        <v>6148</v>
      </c>
      <c r="D17" s="2">
        <v>0.43914285714285717</v>
      </c>
      <c r="E17" t="s">
        <v>4</v>
      </c>
      <c r="F17" t="s">
        <v>110</v>
      </c>
      <c r="G17">
        <v>6148</v>
      </c>
      <c r="H17" t="s">
        <v>454</v>
      </c>
      <c r="I17" s="55">
        <v>44993</v>
      </c>
      <c r="J17" s="1">
        <v>0.41285714285714287</v>
      </c>
      <c r="K17" t="s">
        <v>164</v>
      </c>
      <c r="L17" t="s">
        <v>3</v>
      </c>
      <c r="M17">
        <v>5780</v>
      </c>
      <c r="N17">
        <v>14000</v>
      </c>
      <c r="O17" t="s">
        <v>107</v>
      </c>
    </row>
    <row r="18" spans="1:15" x14ac:dyDescent="0.25">
      <c r="A18" s="2" t="s">
        <v>4</v>
      </c>
      <c r="B18" s="2" t="s">
        <v>39</v>
      </c>
      <c r="C18" s="2">
        <v>6059</v>
      </c>
      <c r="D18" s="2">
        <v>0.43278571428571427</v>
      </c>
      <c r="E18" t="s">
        <v>4</v>
      </c>
      <c r="F18" t="s">
        <v>39</v>
      </c>
      <c r="G18">
        <v>6059</v>
      </c>
      <c r="H18" t="s">
        <v>452</v>
      </c>
      <c r="I18" s="55">
        <v>44951</v>
      </c>
      <c r="J18" s="1">
        <v>2.1428571428571429E-2</v>
      </c>
      <c r="K18" t="s">
        <v>165</v>
      </c>
      <c r="L18" t="s">
        <v>3</v>
      </c>
      <c r="M18">
        <v>300</v>
      </c>
      <c r="N18">
        <v>14000</v>
      </c>
      <c r="O18" t="s">
        <v>106</v>
      </c>
    </row>
    <row r="19" spans="1:15" x14ac:dyDescent="0.25">
      <c r="A19" s="2" t="s">
        <v>4</v>
      </c>
      <c r="B19" s="2" t="s">
        <v>40</v>
      </c>
      <c r="C19" s="2">
        <v>1000</v>
      </c>
      <c r="D19" s="2">
        <v>7.1428571428571425E-2</v>
      </c>
      <c r="E19" t="s">
        <v>4</v>
      </c>
      <c r="F19" t="s">
        <v>40</v>
      </c>
      <c r="G19">
        <v>1000</v>
      </c>
      <c r="H19" t="s">
        <v>424</v>
      </c>
      <c r="I19" s="55">
        <v>45429</v>
      </c>
      <c r="J19" s="1">
        <v>0.28728571428571431</v>
      </c>
      <c r="K19" t="s">
        <v>165</v>
      </c>
      <c r="L19" t="s">
        <v>3</v>
      </c>
      <c r="M19">
        <v>4022</v>
      </c>
      <c r="N19">
        <v>14000</v>
      </c>
      <c r="O19" t="s">
        <v>32</v>
      </c>
    </row>
    <row r="20" spans="1:15" x14ac:dyDescent="0.25">
      <c r="A20" s="2" t="s">
        <v>4</v>
      </c>
      <c r="B20" s="2" t="s">
        <v>42</v>
      </c>
      <c r="C20" s="2">
        <v>7660</v>
      </c>
      <c r="D20" s="2">
        <v>0.54714285714285715</v>
      </c>
      <c r="E20" t="s">
        <v>4</v>
      </c>
      <c r="F20" t="s">
        <v>42</v>
      </c>
      <c r="G20">
        <v>7660</v>
      </c>
      <c r="H20" t="s">
        <v>415</v>
      </c>
      <c r="I20" s="55">
        <v>45399</v>
      </c>
      <c r="J20" s="1">
        <v>0.47214285714285714</v>
      </c>
      <c r="K20" t="s">
        <v>164</v>
      </c>
      <c r="L20" t="s">
        <v>3</v>
      </c>
      <c r="M20">
        <v>6610</v>
      </c>
      <c r="N20">
        <v>14000</v>
      </c>
      <c r="O20" t="s">
        <v>33</v>
      </c>
    </row>
    <row r="21" spans="1:15" x14ac:dyDescent="0.25">
      <c r="A21" s="2" t="s">
        <v>4</v>
      </c>
      <c r="B21" s="2" t="s">
        <v>49</v>
      </c>
      <c r="C21" s="2">
        <v>5318</v>
      </c>
      <c r="D21" s="2">
        <v>0.37985714285714284</v>
      </c>
      <c r="E21" t="s">
        <v>4</v>
      </c>
      <c r="F21" t="s">
        <v>49</v>
      </c>
      <c r="G21">
        <v>5318</v>
      </c>
      <c r="H21" t="s">
        <v>436</v>
      </c>
      <c r="I21" s="55">
        <v>42814</v>
      </c>
      <c r="J21" s="1">
        <v>0.47099999999999997</v>
      </c>
      <c r="K21" t="s">
        <v>164</v>
      </c>
      <c r="L21" t="s">
        <v>4</v>
      </c>
      <c r="M21">
        <v>6594</v>
      </c>
      <c r="N21">
        <v>14000</v>
      </c>
      <c r="O21" t="s">
        <v>104</v>
      </c>
    </row>
    <row r="22" spans="1:15" x14ac:dyDescent="0.25">
      <c r="A22" s="2" t="s">
        <v>4</v>
      </c>
      <c r="B22" s="2" t="s">
        <v>71</v>
      </c>
      <c r="C22" s="2">
        <v>42000</v>
      </c>
      <c r="D22" s="2">
        <v>3</v>
      </c>
      <c r="E22" t="s">
        <v>4</v>
      </c>
      <c r="F22" t="s">
        <v>71</v>
      </c>
      <c r="G22">
        <v>42000</v>
      </c>
      <c r="H22" t="s">
        <v>414</v>
      </c>
      <c r="I22" s="55">
        <v>45423</v>
      </c>
      <c r="J22" s="1">
        <v>0.75285714285714289</v>
      </c>
      <c r="K22" t="s">
        <v>163</v>
      </c>
      <c r="L22" t="s">
        <v>4</v>
      </c>
      <c r="M22">
        <v>10540</v>
      </c>
      <c r="N22">
        <v>14000</v>
      </c>
      <c r="O22" t="s">
        <v>55</v>
      </c>
    </row>
    <row r="23" spans="1:15" x14ac:dyDescent="0.25">
      <c r="A23" s="2" t="s">
        <v>4</v>
      </c>
      <c r="B23" s="2" t="s">
        <v>53</v>
      </c>
      <c r="C23" s="2">
        <v>22365</v>
      </c>
      <c r="D23" s="2">
        <v>1.5974999999999999</v>
      </c>
      <c r="E23" t="s">
        <v>4</v>
      </c>
      <c r="F23" t="s">
        <v>53</v>
      </c>
      <c r="G23">
        <v>22365</v>
      </c>
      <c r="H23" t="s">
        <v>457</v>
      </c>
      <c r="I23" s="55">
        <v>45727</v>
      </c>
      <c r="J23" s="1">
        <v>0.43914285714285717</v>
      </c>
      <c r="K23" t="s">
        <v>164</v>
      </c>
      <c r="L23" t="s">
        <v>4</v>
      </c>
      <c r="M23">
        <v>6148</v>
      </c>
      <c r="N23">
        <v>14000</v>
      </c>
      <c r="O23" t="s">
        <v>110</v>
      </c>
    </row>
    <row r="24" spans="1:15" x14ac:dyDescent="0.25">
      <c r="A24" s="2" t="s">
        <v>4</v>
      </c>
      <c r="B24" s="2" t="s">
        <v>93</v>
      </c>
      <c r="C24" s="2">
        <v>34420</v>
      </c>
      <c r="D24" s="2">
        <v>2.4585714285714286</v>
      </c>
      <c r="E24" t="s">
        <v>4</v>
      </c>
      <c r="F24" t="s">
        <v>93</v>
      </c>
      <c r="G24">
        <v>34420</v>
      </c>
      <c r="H24" t="s">
        <v>482</v>
      </c>
      <c r="I24" s="55">
        <v>44644</v>
      </c>
      <c r="J24" s="1">
        <v>0.43278571428571427</v>
      </c>
      <c r="K24" t="s">
        <v>164</v>
      </c>
      <c r="L24" t="s">
        <v>4</v>
      </c>
      <c r="M24">
        <v>6059</v>
      </c>
      <c r="N24">
        <v>14000</v>
      </c>
      <c r="O24" t="s">
        <v>39</v>
      </c>
    </row>
    <row r="25" spans="1:15" x14ac:dyDescent="0.25">
      <c r="A25" s="2" t="s">
        <v>4</v>
      </c>
      <c r="B25" s="2" t="s">
        <v>114</v>
      </c>
      <c r="C25" s="2">
        <v>0.4</v>
      </c>
      <c r="D25" s="2">
        <v>2.8571428571428574E-5</v>
      </c>
      <c r="E25" t="s">
        <v>4</v>
      </c>
      <c r="F25" t="s">
        <v>114</v>
      </c>
      <c r="G25">
        <v>0.4</v>
      </c>
      <c r="H25" t="s">
        <v>490</v>
      </c>
      <c r="I25" s="55">
        <v>45917</v>
      </c>
      <c r="J25" s="1">
        <v>7.1428571428571425E-2</v>
      </c>
      <c r="K25" t="s">
        <v>165</v>
      </c>
      <c r="L25" t="s">
        <v>4</v>
      </c>
      <c r="M25">
        <v>1000</v>
      </c>
      <c r="N25">
        <v>14000</v>
      </c>
      <c r="O25" t="s">
        <v>40</v>
      </c>
    </row>
    <row r="26" spans="1:15" x14ac:dyDescent="0.25">
      <c r="A26" s="2" t="s">
        <v>4</v>
      </c>
      <c r="B26" s="2" t="s">
        <v>74</v>
      </c>
      <c r="C26" s="2">
        <v>4635</v>
      </c>
      <c r="D26" s="2">
        <v>0.33107142857142857</v>
      </c>
      <c r="E26" t="s">
        <v>4</v>
      </c>
      <c r="F26" t="s">
        <v>74</v>
      </c>
      <c r="G26">
        <v>4635</v>
      </c>
      <c r="H26" t="s">
        <v>395</v>
      </c>
      <c r="I26" s="55">
        <v>44470</v>
      </c>
      <c r="J26" s="1">
        <v>0.54714285714285715</v>
      </c>
      <c r="K26" t="s">
        <v>164</v>
      </c>
      <c r="L26" t="s">
        <v>4</v>
      </c>
      <c r="M26">
        <v>7660</v>
      </c>
      <c r="N26">
        <v>14000</v>
      </c>
      <c r="O26" t="s">
        <v>42</v>
      </c>
    </row>
    <row r="27" spans="1:15" x14ac:dyDescent="0.25">
      <c r="A27" s="2" t="s">
        <v>2</v>
      </c>
      <c r="B27" s="2" t="s">
        <v>12</v>
      </c>
      <c r="C27" s="2">
        <v>14302</v>
      </c>
      <c r="D27" s="2">
        <v>0.37636842105263157</v>
      </c>
      <c r="E27" t="s">
        <v>2</v>
      </c>
      <c r="F27" t="s">
        <v>12</v>
      </c>
      <c r="G27">
        <v>14302</v>
      </c>
      <c r="H27" t="s">
        <v>389</v>
      </c>
      <c r="I27" s="55">
        <v>44870</v>
      </c>
      <c r="J27" s="1">
        <v>0.37985714285714284</v>
      </c>
      <c r="K27" t="s">
        <v>165</v>
      </c>
      <c r="L27" t="s">
        <v>4</v>
      </c>
      <c r="M27">
        <v>5318</v>
      </c>
      <c r="N27">
        <v>14000</v>
      </c>
      <c r="O27" t="s">
        <v>49</v>
      </c>
    </row>
    <row r="28" spans="1:15" x14ac:dyDescent="0.25">
      <c r="A28" s="2" t="s">
        <v>2</v>
      </c>
      <c r="B28" s="2" t="s">
        <v>91</v>
      </c>
      <c r="C28" s="2">
        <v>24100</v>
      </c>
      <c r="D28" s="2">
        <v>0.63421052631578945</v>
      </c>
      <c r="E28" t="s">
        <v>2</v>
      </c>
      <c r="F28" t="s">
        <v>91</v>
      </c>
      <c r="G28">
        <v>24100</v>
      </c>
      <c r="H28" t="s">
        <v>483</v>
      </c>
      <c r="I28" s="55">
        <v>45882</v>
      </c>
      <c r="J28" s="1">
        <v>3</v>
      </c>
      <c r="K28" t="s">
        <v>162</v>
      </c>
      <c r="L28" t="s">
        <v>4</v>
      </c>
      <c r="M28">
        <v>42000</v>
      </c>
      <c r="N28">
        <v>14000</v>
      </c>
      <c r="O28" t="s">
        <v>71</v>
      </c>
    </row>
    <row r="29" spans="1:15" x14ac:dyDescent="0.25">
      <c r="A29" s="2" t="s">
        <v>2</v>
      </c>
      <c r="B29" s="2" t="s">
        <v>41</v>
      </c>
      <c r="C29" s="2">
        <v>5309</v>
      </c>
      <c r="D29" s="2">
        <v>0.13971052631578948</v>
      </c>
      <c r="E29" t="s">
        <v>2</v>
      </c>
      <c r="F29" t="s">
        <v>41</v>
      </c>
      <c r="G29">
        <v>5309</v>
      </c>
      <c r="H29" t="s">
        <v>387</v>
      </c>
      <c r="I29" s="55">
        <v>45304</v>
      </c>
      <c r="J29" s="1">
        <v>1.5974999999999999</v>
      </c>
      <c r="K29" t="s">
        <v>162</v>
      </c>
      <c r="L29" t="s">
        <v>4</v>
      </c>
      <c r="M29">
        <v>22365</v>
      </c>
      <c r="N29">
        <v>14000</v>
      </c>
      <c r="O29" t="s">
        <v>53</v>
      </c>
    </row>
    <row r="30" spans="1:15" x14ac:dyDescent="0.25">
      <c r="A30" s="2" t="s">
        <v>2</v>
      </c>
      <c r="B30" s="2" t="s">
        <v>66</v>
      </c>
      <c r="C30" s="2">
        <v>5000</v>
      </c>
      <c r="D30" s="2">
        <v>0.13157894736842105</v>
      </c>
      <c r="E30" t="s">
        <v>2</v>
      </c>
      <c r="F30" t="s">
        <v>66</v>
      </c>
      <c r="G30">
        <v>5000</v>
      </c>
      <c r="H30" t="s">
        <v>383</v>
      </c>
      <c r="I30" s="55">
        <v>45457</v>
      </c>
      <c r="J30" s="1">
        <v>2.4585714285714286</v>
      </c>
      <c r="K30" t="s">
        <v>162</v>
      </c>
      <c r="L30" t="s">
        <v>4</v>
      </c>
      <c r="M30">
        <v>34420</v>
      </c>
      <c r="N30">
        <v>14000</v>
      </c>
      <c r="O30" t="s">
        <v>93</v>
      </c>
    </row>
    <row r="31" spans="1:15" x14ac:dyDescent="0.25">
      <c r="A31" s="2" t="s">
        <v>2</v>
      </c>
      <c r="B31" s="2" t="s">
        <v>38</v>
      </c>
      <c r="C31" s="2">
        <v>9379</v>
      </c>
      <c r="D31" s="2">
        <v>0.24681578947368421</v>
      </c>
      <c r="E31" t="s">
        <v>2</v>
      </c>
      <c r="F31" t="s">
        <v>38</v>
      </c>
      <c r="G31">
        <v>9379</v>
      </c>
      <c r="H31" t="s">
        <v>469</v>
      </c>
      <c r="I31" s="55">
        <v>45805</v>
      </c>
      <c r="J31" s="1">
        <v>2.8571428571428574E-5</v>
      </c>
      <c r="K31" t="s">
        <v>165</v>
      </c>
      <c r="L31" t="s">
        <v>4</v>
      </c>
      <c r="M31">
        <v>0.4</v>
      </c>
      <c r="N31">
        <v>14000</v>
      </c>
      <c r="O31" t="s">
        <v>114</v>
      </c>
    </row>
    <row r="32" spans="1:15" x14ac:dyDescent="0.25">
      <c r="A32" s="2" t="s">
        <v>2</v>
      </c>
      <c r="B32" s="2" t="s">
        <v>65</v>
      </c>
      <c r="C32" s="2">
        <v>4966</v>
      </c>
      <c r="D32" s="2">
        <v>0.13068421052631579</v>
      </c>
      <c r="E32" t="s">
        <v>2</v>
      </c>
      <c r="F32" t="s">
        <v>65</v>
      </c>
      <c r="G32">
        <v>4966</v>
      </c>
      <c r="H32" t="s">
        <v>438</v>
      </c>
      <c r="I32" s="55">
        <v>45021</v>
      </c>
      <c r="J32" s="1">
        <v>0.33107142857142857</v>
      </c>
      <c r="K32" t="s">
        <v>165</v>
      </c>
      <c r="L32" t="s">
        <v>4</v>
      </c>
      <c r="M32">
        <v>4635</v>
      </c>
      <c r="N32">
        <v>14000</v>
      </c>
      <c r="O32" t="s">
        <v>74</v>
      </c>
    </row>
    <row r="33" spans="1:15" x14ac:dyDescent="0.25">
      <c r="A33" s="2" t="s">
        <v>2</v>
      </c>
      <c r="B33" s="2" t="s">
        <v>15</v>
      </c>
      <c r="C33" s="2">
        <v>4350</v>
      </c>
      <c r="D33" s="2">
        <v>0.11447368421052631</v>
      </c>
      <c r="E33" t="s">
        <v>2</v>
      </c>
      <c r="F33" t="s">
        <v>15</v>
      </c>
      <c r="G33">
        <v>4350</v>
      </c>
      <c r="H33" t="s">
        <v>410</v>
      </c>
      <c r="I33" s="55">
        <v>44735</v>
      </c>
      <c r="J33" s="1">
        <v>0.37636842105263157</v>
      </c>
      <c r="K33" t="s">
        <v>165</v>
      </c>
      <c r="L33" t="s">
        <v>2</v>
      </c>
      <c r="M33">
        <v>14302</v>
      </c>
      <c r="N33">
        <v>38000</v>
      </c>
      <c r="O33" t="s">
        <v>12</v>
      </c>
    </row>
    <row r="34" spans="1:15" x14ac:dyDescent="0.25">
      <c r="A34" s="2" t="s">
        <v>2</v>
      </c>
      <c r="B34" s="2" t="s">
        <v>16</v>
      </c>
      <c r="C34" s="2">
        <v>18082</v>
      </c>
      <c r="D34" s="2">
        <v>0.4758421052631579</v>
      </c>
      <c r="E34" t="s">
        <v>2</v>
      </c>
      <c r="F34" t="s">
        <v>16</v>
      </c>
      <c r="G34">
        <v>18082</v>
      </c>
      <c r="H34" t="s">
        <v>388</v>
      </c>
      <c r="I34" s="55">
        <v>45334</v>
      </c>
      <c r="J34" s="1">
        <v>0.63421052631578945</v>
      </c>
      <c r="K34" t="s">
        <v>164</v>
      </c>
      <c r="L34" t="s">
        <v>2</v>
      </c>
      <c r="M34">
        <v>24100</v>
      </c>
      <c r="N34">
        <v>38000</v>
      </c>
      <c r="O34" t="s">
        <v>91</v>
      </c>
    </row>
    <row r="35" spans="1:15" x14ac:dyDescent="0.25">
      <c r="A35" s="2" t="s">
        <v>5</v>
      </c>
      <c r="B35" s="2" t="s">
        <v>103</v>
      </c>
      <c r="C35" s="2">
        <v>13360</v>
      </c>
      <c r="D35" s="2">
        <v>0.35157894736842105</v>
      </c>
      <c r="E35" t="s">
        <v>5</v>
      </c>
      <c r="F35" t="s">
        <v>103</v>
      </c>
      <c r="G35">
        <v>13360</v>
      </c>
      <c r="H35" t="s">
        <v>419</v>
      </c>
      <c r="I35" s="55">
        <v>45451</v>
      </c>
      <c r="J35" s="1">
        <v>0.13971052631578948</v>
      </c>
      <c r="K35" t="s">
        <v>165</v>
      </c>
      <c r="L35" t="s">
        <v>2</v>
      </c>
      <c r="M35">
        <v>5309</v>
      </c>
      <c r="N35">
        <v>38000</v>
      </c>
      <c r="O35" t="s">
        <v>41</v>
      </c>
    </row>
    <row r="36" spans="1:15" x14ac:dyDescent="0.25">
      <c r="A36" s="2" t="s">
        <v>5</v>
      </c>
      <c r="B36" s="2" t="s">
        <v>68</v>
      </c>
      <c r="C36" s="2">
        <v>10519</v>
      </c>
      <c r="D36" s="2">
        <v>0.27681578947368424</v>
      </c>
      <c r="E36" t="s">
        <v>5</v>
      </c>
      <c r="F36" t="s">
        <v>68</v>
      </c>
      <c r="G36">
        <v>10519</v>
      </c>
      <c r="H36" t="s">
        <v>440</v>
      </c>
      <c r="I36" s="55">
        <v>45364</v>
      </c>
      <c r="J36" s="1">
        <v>0.13157894736842105</v>
      </c>
      <c r="K36" t="s">
        <v>165</v>
      </c>
      <c r="L36" t="s">
        <v>2</v>
      </c>
      <c r="M36">
        <v>5000</v>
      </c>
      <c r="N36">
        <v>38000</v>
      </c>
      <c r="O36" t="s">
        <v>66</v>
      </c>
    </row>
    <row r="37" spans="1:15" x14ac:dyDescent="0.25">
      <c r="A37" s="2" t="s">
        <v>5</v>
      </c>
      <c r="B37" s="2" t="s">
        <v>72</v>
      </c>
      <c r="C37" s="2">
        <v>14766</v>
      </c>
      <c r="D37" s="2">
        <v>0.38857894736842108</v>
      </c>
      <c r="E37" t="s">
        <v>5</v>
      </c>
      <c r="F37" t="s">
        <v>72</v>
      </c>
      <c r="G37">
        <v>14766</v>
      </c>
      <c r="H37" t="s">
        <v>450</v>
      </c>
      <c r="I37" s="55">
        <v>45084</v>
      </c>
      <c r="J37" s="1">
        <v>0.24681578947368421</v>
      </c>
      <c r="K37" t="s">
        <v>165</v>
      </c>
      <c r="L37" t="s">
        <v>2</v>
      </c>
      <c r="M37">
        <v>9379</v>
      </c>
      <c r="N37">
        <v>38000</v>
      </c>
      <c r="O37" t="s">
        <v>38</v>
      </c>
    </row>
    <row r="38" spans="1:15" x14ac:dyDescent="0.25">
      <c r="A38" s="2" t="s">
        <v>5</v>
      </c>
      <c r="B38" s="2" t="s">
        <v>70</v>
      </c>
      <c r="C38" s="2">
        <v>4272</v>
      </c>
      <c r="D38" s="2">
        <v>0.11242105263157895</v>
      </c>
      <c r="E38" t="s">
        <v>5</v>
      </c>
      <c r="F38" t="s">
        <v>70</v>
      </c>
      <c r="G38">
        <v>4272</v>
      </c>
      <c r="H38" t="s">
        <v>418</v>
      </c>
      <c r="I38" s="55">
        <v>44971</v>
      </c>
      <c r="J38" s="1">
        <v>0.13068421052631579</v>
      </c>
      <c r="K38" t="s">
        <v>165</v>
      </c>
      <c r="L38" t="s">
        <v>2</v>
      </c>
      <c r="M38">
        <v>4966</v>
      </c>
      <c r="N38">
        <v>38000</v>
      </c>
      <c r="O38" t="s">
        <v>65</v>
      </c>
    </row>
    <row r="39" spans="1:15" x14ac:dyDescent="0.25">
      <c r="A39" s="2" t="s">
        <v>5</v>
      </c>
      <c r="B39" s="2" t="s">
        <v>26</v>
      </c>
      <c r="C39" s="2">
        <v>14142</v>
      </c>
      <c r="D39" s="2">
        <v>0.37215789473684213</v>
      </c>
      <c r="E39" t="s">
        <v>5</v>
      </c>
      <c r="F39" t="s">
        <v>26</v>
      </c>
      <c r="G39">
        <v>14142</v>
      </c>
      <c r="H39" t="s">
        <v>391</v>
      </c>
      <c r="I39" s="55">
        <v>44259</v>
      </c>
      <c r="J39" s="1">
        <v>0.11447368421052631</v>
      </c>
      <c r="K39" t="s">
        <v>165</v>
      </c>
      <c r="L39" t="s">
        <v>2</v>
      </c>
      <c r="M39">
        <v>4350</v>
      </c>
      <c r="N39">
        <v>38000</v>
      </c>
      <c r="O39" t="s">
        <v>15</v>
      </c>
    </row>
    <row r="40" spans="1:15" x14ac:dyDescent="0.25">
      <c r="A40" s="2" t="s">
        <v>5</v>
      </c>
      <c r="B40" s="2" t="s">
        <v>79</v>
      </c>
      <c r="C40" s="2">
        <v>4880</v>
      </c>
      <c r="D40" s="2">
        <v>0.12842105263157894</v>
      </c>
      <c r="E40" t="s">
        <v>5</v>
      </c>
      <c r="F40" t="s">
        <v>79</v>
      </c>
      <c r="G40">
        <v>4880</v>
      </c>
      <c r="H40" t="s">
        <v>453</v>
      </c>
      <c r="I40" s="55">
        <v>44566</v>
      </c>
      <c r="J40" s="1">
        <v>0.4758421052631579</v>
      </c>
      <c r="K40" t="s">
        <v>164</v>
      </c>
      <c r="L40" t="s">
        <v>2</v>
      </c>
      <c r="M40">
        <v>18082</v>
      </c>
      <c r="N40">
        <v>38000</v>
      </c>
      <c r="O40" t="s">
        <v>16</v>
      </c>
    </row>
    <row r="41" spans="1:15" x14ac:dyDescent="0.25">
      <c r="A41" s="2" t="s">
        <v>5</v>
      </c>
      <c r="B41" s="2" t="s">
        <v>96</v>
      </c>
      <c r="C41" s="2">
        <v>4143</v>
      </c>
      <c r="D41" s="2">
        <v>0.10902631578947368</v>
      </c>
      <c r="E41" t="s">
        <v>5</v>
      </c>
      <c r="F41" t="s">
        <v>96</v>
      </c>
      <c r="G41">
        <v>4143</v>
      </c>
      <c r="H41" t="s">
        <v>437</v>
      </c>
      <c r="I41" s="55">
        <v>45671</v>
      </c>
      <c r="J41" s="1">
        <v>0.35157894736842105</v>
      </c>
      <c r="K41" t="s">
        <v>165</v>
      </c>
      <c r="L41" t="s">
        <v>5</v>
      </c>
      <c r="M41">
        <v>13360</v>
      </c>
      <c r="N41">
        <v>38000</v>
      </c>
      <c r="O41" t="s">
        <v>103</v>
      </c>
    </row>
    <row r="42" spans="1:15" x14ac:dyDescent="0.25">
      <c r="A42" s="2" t="s">
        <v>5</v>
      </c>
      <c r="B42" s="2" t="s">
        <v>28</v>
      </c>
      <c r="C42" s="2">
        <v>10800</v>
      </c>
      <c r="D42" s="2">
        <v>0.28421052631578947</v>
      </c>
      <c r="E42" t="s">
        <v>5</v>
      </c>
      <c r="F42" t="s">
        <v>28</v>
      </c>
      <c r="G42">
        <v>10800</v>
      </c>
      <c r="H42" t="s">
        <v>478</v>
      </c>
      <c r="I42" s="55">
        <v>45845</v>
      </c>
      <c r="J42" s="1">
        <v>0.27681578947368424</v>
      </c>
      <c r="K42" t="s">
        <v>165</v>
      </c>
      <c r="L42" t="s">
        <v>5</v>
      </c>
      <c r="M42">
        <v>10519</v>
      </c>
      <c r="N42">
        <v>38000</v>
      </c>
      <c r="O42" t="s">
        <v>68</v>
      </c>
    </row>
    <row r="43" spans="1:15" x14ac:dyDescent="0.25">
      <c r="A43" s="2" t="s">
        <v>125</v>
      </c>
      <c r="B43" s="2" t="s">
        <v>99</v>
      </c>
      <c r="C43" s="2">
        <v>10174</v>
      </c>
      <c r="D43" s="2">
        <v>0.11058695652173912</v>
      </c>
      <c r="E43" t="s">
        <v>125</v>
      </c>
      <c r="F43" t="s">
        <v>99</v>
      </c>
      <c r="G43">
        <v>10174</v>
      </c>
      <c r="H43" t="s">
        <v>484</v>
      </c>
      <c r="I43" s="55">
        <v>45896</v>
      </c>
      <c r="J43" s="1">
        <v>0.38857894736842108</v>
      </c>
      <c r="K43" t="s">
        <v>165</v>
      </c>
      <c r="L43" t="s">
        <v>5</v>
      </c>
      <c r="M43">
        <v>14766</v>
      </c>
      <c r="N43">
        <v>38000</v>
      </c>
      <c r="O43" t="s">
        <v>72</v>
      </c>
    </row>
    <row r="44" spans="1:15" x14ac:dyDescent="0.25">
      <c r="A44" s="2" t="s">
        <v>125</v>
      </c>
      <c r="B44" s="2" t="s">
        <v>75</v>
      </c>
      <c r="C44" s="2">
        <v>12050</v>
      </c>
      <c r="D44" s="2">
        <v>0.13097826086956521</v>
      </c>
      <c r="E44" t="s">
        <v>125</v>
      </c>
      <c r="F44" t="s">
        <v>75</v>
      </c>
      <c r="G44">
        <v>12050</v>
      </c>
      <c r="H44" t="s">
        <v>428</v>
      </c>
      <c r="I44" s="55">
        <v>44716</v>
      </c>
      <c r="J44" s="1">
        <v>0.11242105263157895</v>
      </c>
      <c r="K44" t="s">
        <v>165</v>
      </c>
      <c r="L44" t="s">
        <v>5</v>
      </c>
      <c r="M44">
        <v>4272</v>
      </c>
      <c r="N44">
        <v>38000</v>
      </c>
      <c r="O44" t="s">
        <v>70</v>
      </c>
    </row>
    <row r="45" spans="1:15" x14ac:dyDescent="0.25">
      <c r="A45" s="2" t="s">
        <v>125</v>
      </c>
      <c r="B45" s="2" t="s">
        <v>78</v>
      </c>
      <c r="C45" s="2">
        <v>25330.65</v>
      </c>
      <c r="D45" s="2">
        <v>0.27533315217391308</v>
      </c>
      <c r="E45" t="s">
        <v>125</v>
      </c>
      <c r="F45" t="s">
        <v>78</v>
      </c>
      <c r="G45">
        <v>25330.65</v>
      </c>
      <c r="H45" t="s">
        <v>397</v>
      </c>
      <c r="I45" s="55">
        <v>44945</v>
      </c>
      <c r="J45" s="1">
        <v>0.37215789473684213</v>
      </c>
      <c r="K45" t="s">
        <v>165</v>
      </c>
      <c r="L45" t="s">
        <v>5</v>
      </c>
      <c r="M45">
        <v>14142</v>
      </c>
      <c r="N45">
        <v>38000</v>
      </c>
      <c r="O45" t="s">
        <v>26</v>
      </c>
    </row>
    <row r="46" spans="1:15" x14ac:dyDescent="0.25">
      <c r="A46" s="2" t="s">
        <v>125</v>
      </c>
      <c r="B46" s="2" t="s">
        <v>22</v>
      </c>
      <c r="C46" s="2">
        <v>11418</v>
      </c>
      <c r="D46" s="2">
        <v>0.12410869565217392</v>
      </c>
      <c r="E46" t="s">
        <v>125</v>
      </c>
      <c r="F46" t="s">
        <v>22</v>
      </c>
      <c r="G46">
        <v>11418</v>
      </c>
      <c r="H46" t="s">
        <v>442</v>
      </c>
      <c r="I46" s="55">
        <v>45299</v>
      </c>
      <c r="J46" s="1">
        <v>0.12842105263157894</v>
      </c>
      <c r="K46" t="s">
        <v>165</v>
      </c>
      <c r="L46" t="s">
        <v>5</v>
      </c>
      <c r="M46">
        <v>4880</v>
      </c>
      <c r="N46">
        <v>38000</v>
      </c>
      <c r="O46" t="s">
        <v>79</v>
      </c>
    </row>
    <row r="47" spans="1:15" x14ac:dyDescent="0.25">
      <c r="A47" s="2" t="s">
        <v>125</v>
      </c>
      <c r="B47" s="2" t="s">
        <v>31</v>
      </c>
      <c r="C47" s="2">
        <v>19573</v>
      </c>
      <c r="D47" s="2">
        <v>0.21274999999999999</v>
      </c>
      <c r="E47" t="s">
        <v>125</v>
      </c>
      <c r="F47" t="s">
        <v>31</v>
      </c>
      <c r="G47">
        <v>19573</v>
      </c>
      <c r="H47" t="s">
        <v>403</v>
      </c>
      <c r="I47" s="55">
        <v>45334</v>
      </c>
      <c r="J47" s="1">
        <v>0.10902631578947368</v>
      </c>
      <c r="K47" t="s">
        <v>165</v>
      </c>
      <c r="L47" t="s">
        <v>5</v>
      </c>
      <c r="M47">
        <v>4143</v>
      </c>
      <c r="N47">
        <v>38000</v>
      </c>
      <c r="O47" t="s">
        <v>96</v>
      </c>
    </row>
    <row r="48" spans="1:15" x14ac:dyDescent="0.25">
      <c r="A48" s="2" t="s">
        <v>125</v>
      </c>
      <c r="B48" s="2" t="s">
        <v>17</v>
      </c>
      <c r="C48" s="2">
        <v>21200</v>
      </c>
      <c r="D48" s="2">
        <v>0.23043478260869565</v>
      </c>
      <c r="E48" t="s">
        <v>125</v>
      </c>
      <c r="F48" t="s">
        <v>17</v>
      </c>
      <c r="G48">
        <v>21200</v>
      </c>
      <c r="H48" t="s">
        <v>385</v>
      </c>
      <c r="I48" s="55">
        <v>44888</v>
      </c>
      <c r="J48" s="1">
        <v>0.28421052631578947</v>
      </c>
      <c r="K48" t="s">
        <v>165</v>
      </c>
      <c r="L48" t="s">
        <v>5</v>
      </c>
      <c r="M48">
        <v>10800</v>
      </c>
      <c r="N48">
        <v>38000</v>
      </c>
      <c r="O48" t="s">
        <v>28</v>
      </c>
    </row>
    <row r="49" spans="1:15" x14ac:dyDescent="0.25">
      <c r="A49" s="2" t="s">
        <v>125</v>
      </c>
      <c r="B49" s="2" t="s">
        <v>29</v>
      </c>
      <c r="C49" s="2">
        <v>25825</v>
      </c>
      <c r="D49" s="2">
        <v>0.28070652173913041</v>
      </c>
      <c r="E49" t="s">
        <v>125</v>
      </c>
      <c r="F49" t="s">
        <v>29</v>
      </c>
      <c r="G49">
        <v>25825</v>
      </c>
      <c r="H49" t="s">
        <v>416</v>
      </c>
      <c r="I49" s="55">
        <v>44687</v>
      </c>
      <c r="J49" s="1">
        <v>0.11058695652173912</v>
      </c>
      <c r="K49" t="s">
        <v>165</v>
      </c>
      <c r="L49" t="s">
        <v>125</v>
      </c>
      <c r="M49">
        <v>10174</v>
      </c>
      <c r="N49">
        <v>92000</v>
      </c>
      <c r="O49" t="s">
        <v>99</v>
      </c>
    </row>
    <row r="50" spans="1:15" x14ac:dyDescent="0.25">
      <c r="A50" s="2" t="s">
        <v>125</v>
      </c>
      <c r="B50" s="2" t="s">
        <v>36</v>
      </c>
      <c r="C50" s="2">
        <v>6190</v>
      </c>
      <c r="D50" s="2">
        <v>6.7282608695652169E-2</v>
      </c>
      <c r="E50" t="s">
        <v>125</v>
      </c>
      <c r="F50" t="s">
        <v>36</v>
      </c>
      <c r="G50">
        <v>6190</v>
      </c>
      <c r="H50" t="s">
        <v>406</v>
      </c>
      <c r="I50" s="55">
        <v>44941</v>
      </c>
      <c r="J50" s="1">
        <v>0.13097826086956521</v>
      </c>
      <c r="K50" t="s">
        <v>165</v>
      </c>
      <c r="L50" t="s">
        <v>125</v>
      </c>
      <c r="M50">
        <v>12050</v>
      </c>
      <c r="N50">
        <v>92000</v>
      </c>
      <c r="O50" t="s">
        <v>75</v>
      </c>
    </row>
    <row r="51" spans="1:15" x14ac:dyDescent="0.25">
      <c r="A51" s="2" t="s">
        <v>7</v>
      </c>
      <c r="B51" s="2" t="s">
        <v>60</v>
      </c>
      <c r="C51" s="2">
        <v>9116</v>
      </c>
      <c r="D51" s="2">
        <v>9.9086956521739128E-2</v>
      </c>
      <c r="E51" t="s">
        <v>7</v>
      </c>
      <c r="F51" t="s">
        <v>60</v>
      </c>
      <c r="G51">
        <v>9116</v>
      </c>
      <c r="H51" t="s">
        <v>423</v>
      </c>
      <c r="I51" s="55">
        <v>45323</v>
      </c>
      <c r="J51" s="1">
        <v>0.27533315217391308</v>
      </c>
      <c r="K51" t="s">
        <v>165</v>
      </c>
      <c r="L51" t="s">
        <v>125</v>
      </c>
      <c r="M51">
        <v>25330.65</v>
      </c>
      <c r="N51">
        <v>92000</v>
      </c>
      <c r="O51" t="s">
        <v>78</v>
      </c>
    </row>
    <row r="52" spans="1:15" x14ac:dyDescent="0.25">
      <c r="A52" s="2" t="s">
        <v>7</v>
      </c>
      <c r="B52" s="2" t="s">
        <v>69</v>
      </c>
      <c r="C52" s="2">
        <v>9943</v>
      </c>
      <c r="D52" s="2">
        <v>0.10807608695652174</v>
      </c>
      <c r="E52" t="s">
        <v>7</v>
      </c>
      <c r="F52" t="s">
        <v>69</v>
      </c>
      <c r="G52">
        <v>9943</v>
      </c>
      <c r="H52" t="s">
        <v>379</v>
      </c>
      <c r="I52" s="55">
        <v>44461</v>
      </c>
      <c r="J52" s="1">
        <v>0.12410869565217392</v>
      </c>
      <c r="K52" t="s">
        <v>165</v>
      </c>
      <c r="L52" t="s">
        <v>125</v>
      </c>
      <c r="M52">
        <v>11418</v>
      </c>
      <c r="N52">
        <v>92000</v>
      </c>
      <c r="O52" t="s">
        <v>22</v>
      </c>
    </row>
    <row r="53" spans="1:15" x14ac:dyDescent="0.25">
      <c r="A53" s="2" t="s">
        <v>7</v>
      </c>
      <c r="B53" s="2" t="s">
        <v>105</v>
      </c>
      <c r="C53" s="2">
        <v>8184</v>
      </c>
      <c r="D53" s="2">
        <v>8.8956521739130434E-2</v>
      </c>
      <c r="E53" t="s">
        <v>7</v>
      </c>
      <c r="F53" t="s">
        <v>105</v>
      </c>
      <c r="G53">
        <v>8184</v>
      </c>
      <c r="H53" t="s">
        <v>463</v>
      </c>
      <c r="I53" s="55">
        <v>44657</v>
      </c>
      <c r="J53" s="1">
        <v>0.21274999999999999</v>
      </c>
      <c r="K53" t="s">
        <v>165</v>
      </c>
      <c r="L53" t="s">
        <v>125</v>
      </c>
      <c r="M53">
        <v>19573</v>
      </c>
      <c r="N53">
        <v>92000</v>
      </c>
      <c r="O53" t="s">
        <v>31</v>
      </c>
    </row>
    <row r="54" spans="1:15" x14ac:dyDescent="0.25">
      <c r="A54" s="2" t="s">
        <v>7</v>
      </c>
      <c r="B54" s="2" t="s">
        <v>11</v>
      </c>
      <c r="C54" s="2">
        <v>10790.5</v>
      </c>
      <c r="D54" s="2">
        <v>0.11728804347826087</v>
      </c>
      <c r="E54" t="s">
        <v>7</v>
      </c>
      <c r="F54" t="s">
        <v>11</v>
      </c>
      <c r="G54">
        <v>10790.5</v>
      </c>
      <c r="H54" t="s">
        <v>429</v>
      </c>
      <c r="I54" s="55">
        <v>45371</v>
      </c>
      <c r="J54" s="1">
        <v>0.23043478260869565</v>
      </c>
      <c r="K54" t="s">
        <v>165</v>
      </c>
      <c r="L54" t="s">
        <v>125</v>
      </c>
      <c r="M54">
        <v>21200</v>
      </c>
      <c r="N54">
        <v>92000</v>
      </c>
      <c r="O54" t="s">
        <v>17</v>
      </c>
    </row>
    <row r="55" spans="1:15" x14ac:dyDescent="0.25">
      <c r="A55" s="2" t="s">
        <v>7</v>
      </c>
      <c r="B55" s="2" t="s">
        <v>20</v>
      </c>
      <c r="C55" s="2">
        <v>28830</v>
      </c>
      <c r="D55" s="2">
        <v>0.31336956521739129</v>
      </c>
      <c r="E55" t="s">
        <v>7</v>
      </c>
      <c r="F55" t="s">
        <v>20</v>
      </c>
      <c r="G55">
        <v>28830</v>
      </c>
      <c r="H55" t="s">
        <v>427</v>
      </c>
      <c r="I55" s="55">
        <v>45142</v>
      </c>
      <c r="J55" s="1">
        <v>0.28070652173913041</v>
      </c>
      <c r="K55" t="s">
        <v>165</v>
      </c>
      <c r="L55" t="s">
        <v>125</v>
      </c>
      <c r="M55">
        <v>25825</v>
      </c>
      <c r="N55">
        <v>92000</v>
      </c>
      <c r="O55" t="s">
        <v>29</v>
      </c>
    </row>
    <row r="56" spans="1:15" x14ac:dyDescent="0.25">
      <c r="A56" s="2" t="s">
        <v>7</v>
      </c>
      <c r="B56" s="2" t="s">
        <v>58</v>
      </c>
      <c r="C56" s="2">
        <v>5965</v>
      </c>
      <c r="D56" s="2">
        <v>6.4836956521739125E-2</v>
      </c>
      <c r="E56" t="s">
        <v>7</v>
      </c>
      <c r="F56" t="s">
        <v>58</v>
      </c>
      <c r="G56">
        <v>5965</v>
      </c>
      <c r="H56" t="s">
        <v>441</v>
      </c>
      <c r="I56" s="55">
        <v>43035</v>
      </c>
      <c r="J56" s="1">
        <v>6.7282608695652169E-2</v>
      </c>
      <c r="K56" t="s">
        <v>165</v>
      </c>
      <c r="L56" t="s">
        <v>125</v>
      </c>
      <c r="M56">
        <v>6190</v>
      </c>
      <c r="N56">
        <v>92000</v>
      </c>
      <c r="O56" t="s">
        <v>36</v>
      </c>
    </row>
    <row r="57" spans="1:15" x14ac:dyDescent="0.25">
      <c r="A57" s="2" t="s">
        <v>7</v>
      </c>
      <c r="B57" s="2" t="s">
        <v>18</v>
      </c>
      <c r="C57" s="2">
        <v>8710</v>
      </c>
      <c r="D57" s="2">
        <v>9.4673913043478261E-2</v>
      </c>
      <c r="E57" t="s">
        <v>7</v>
      </c>
      <c r="F57" t="s">
        <v>18</v>
      </c>
      <c r="G57">
        <v>8710</v>
      </c>
      <c r="H57" t="s">
        <v>431</v>
      </c>
      <c r="I57" s="55">
        <v>45133</v>
      </c>
      <c r="J57" s="1">
        <v>9.9086956521739128E-2</v>
      </c>
      <c r="K57" t="s">
        <v>165</v>
      </c>
      <c r="L57" t="s">
        <v>7</v>
      </c>
      <c r="M57">
        <v>9116</v>
      </c>
      <c r="N57">
        <v>92000</v>
      </c>
      <c r="O57" t="s">
        <v>60</v>
      </c>
    </row>
    <row r="58" spans="1:15" x14ac:dyDescent="0.25">
      <c r="A58" s="2" t="s">
        <v>7</v>
      </c>
      <c r="B58" s="2" t="s">
        <v>110</v>
      </c>
      <c r="C58" s="2">
        <v>6148</v>
      </c>
      <c r="D58" s="2">
        <v>6.6826086956521744E-2</v>
      </c>
      <c r="E58" t="s">
        <v>7</v>
      </c>
      <c r="F58" t="s">
        <v>110</v>
      </c>
      <c r="G58">
        <v>6148</v>
      </c>
      <c r="H58" t="s">
        <v>454</v>
      </c>
      <c r="I58" s="55">
        <v>44993</v>
      </c>
      <c r="J58" s="1">
        <v>0.10807608695652174</v>
      </c>
      <c r="K58" t="s">
        <v>165</v>
      </c>
      <c r="L58" t="s">
        <v>7</v>
      </c>
      <c r="M58">
        <v>9943</v>
      </c>
      <c r="N58">
        <v>92000</v>
      </c>
      <c r="O58" t="s">
        <v>69</v>
      </c>
    </row>
    <row r="59" spans="1:15" x14ac:dyDescent="0.25">
      <c r="A59" s="2" t="s">
        <v>7</v>
      </c>
      <c r="B59" s="2" t="s">
        <v>19</v>
      </c>
      <c r="C59" s="2">
        <v>30020</v>
      </c>
      <c r="D59" s="2">
        <v>0.32630434782608697</v>
      </c>
      <c r="E59" t="s">
        <v>7</v>
      </c>
      <c r="F59" t="s">
        <v>19</v>
      </c>
      <c r="G59">
        <v>30020</v>
      </c>
      <c r="H59" t="s">
        <v>399</v>
      </c>
      <c r="I59" s="55">
        <v>44673</v>
      </c>
      <c r="J59" s="1">
        <v>8.8956521739130434E-2</v>
      </c>
      <c r="K59" t="s">
        <v>165</v>
      </c>
      <c r="L59" t="s">
        <v>7</v>
      </c>
      <c r="M59">
        <v>8184</v>
      </c>
      <c r="N59">
        <v>92000</v>
      </c>
      <c r="O59" t="s">
        <v>105</v>
      </c>
    </row>
    <row r="60" spans="1:15" x14ac:dyDescent="0.25">
      <c r="A60" s="2" t="s">
        <v>7</v>
      </c>
      <c r="B60" s="2" t="s">
        <v>21</v>
      </c>
      <c r="C60" s="2">
        <v>10930</v>
      </c>
      <c r="D60" s="2">
        <v>0.11880434782608695</v>
      </c>
      <c r="E60" t="s">
        <v>7</v>
      </c>
      <c r="F60" t="s">
        <v>21</v>
      </c>
      <c r="G60">
        <v>10930</v>
      </c>
      <c r="H60" t="s">
        <v>409</v>
      </c>
      <c r="I60" s="55">
        <v>44301</v>
      </c>
      <c r="J60" s="1">
        <v>0.11728804347826087</v>
      </c>
      <c r="K60" t="s">
        <v>165</v>
      </c>
      <c r="L60" t="s">
        <v>7</v>
      </c>
      <c r="M60">
        <v>10790.5</v>
      </c>
      <c r="N60">
        <v>92000</v>
      </c>
      <c r="O60" t="s">
        <v>11</v>
      </c>
    </row>
    <row r="61" spans="1:15" x14ac:dyDescent="0.25">
      <c r="A61" s="2" t="s">
        <v>8</v>
      </c>
      <c r="B61" s="2" t="s">
        <v>81</v>
      </c>
      <c r="C61" s="2">
        <v>42400.5</v>
      </c>
      <c r="D61" s="2">
        <v>0.56533999999999995</v>
      </c>
      <c r="E61" t="s">
        <v>8</v>
      </c>
      <c r="F61" t="s">
        <v>81</v>
      </c>
      <c r="G61">
        <v>42400.5</v>
      </c>
      <c r="H61" t="s">
        <v>425</v>
      </c>
      <c r="I61" s="55">
        <v>45506</v>
      </c>
      <c r="J61" s="1">
        <v>0.31336956521739129</v>
      </c>
      <c r="K61" t="s">
        <v>165</v>
      </c>
      <c r="L61" t="s">
        <v>7</v>
      </c>
      <c r="M61">
        <v>28830</v>
      </c>
      <c r="N61">
        <v>92000</v>
      </c>
      <c r="O61" t="s">
        <v>20</v>
      </c>
    </row>
    <row r="62" spans="1:15" x14ac:dyDescent="0.25">
      <c r="A62" s="2" t="s">
        <v>8</v>
      </c>
      <c r="B62" s="2" t="s">
        <v>61</v>
      </c>
      <c r="C62" s="2">
        <v>8809</v>
      </c>
      <c r="D62" s="2">
        <v>0.11745333333333334</v>
      </c>
      <c r="E62" t="s">
        <v>8</v>
      </c>
      <c r="F62" t="s">
        <v>61</v>
      </c>
      <c r="G62">
        <v>8809</v>
      </c>
      <c r="H62" t="s">
        <v>411</v>
      </c>
      <c r="I62" s="55">
        <v>44909</v>
      </c>
      <c r="J62" s="1">
        <v>6.4836956521739125E-2</v>
      </c>
      <c r="K62" t="s">
        <v>165</v>
      </c>
      <c r="L62" t="s">
        <v>7</v>
      </c>
      <c r="M62">
        <v>5965</v>
      </c>
      <c r="N62">
        <v>92000</v>
      </c>
      <c r="O62" t="s">
        <v>58</v>
      </c>
    </row>
    <row r="63" spans="1:15" x14ac:dyDescent="0.25">
      <c r="A63" s="2" t="s">
        <v>8</v>
      </c>
      <c r="B63" s="2" t="s">
        <v>10</v>
      </c>
      <c r="C63" s="2">
        <v>25401</v>
      </c>
      <c r="D63" s="2">
        <v>0.33867999999999998</v>
      </c>
      <c r="E63" t="s">
        <v>8</v>
      </c>
      <c r="F63" t="s">
        <v>10</v>
      </c>
      <c r="G63">
        <v>25401</v>
      </c>
      <c r="H63" t="s">
        <v>449</v>
      </c>
      <c r="I63" s="55">
        <v>44706</v>
      </c>
      <c r="J63" s="1">
        <v>9.4673913043478261E-2</v>
      </c>
      <c r="K63" t="s">
        <v>165</v>
      </c>
      <c r="L63" t="s">
        <v>7</v>
      </c>
      <c r="M63">
        <v>8710</v>
      </c>
      <c r="N63">
        <v>92000</v>
      </c>
      <c r="O63" t="s">
        <v>18</v>
      </c>
    </row>
    <row r="64" spans="1:15" x14ac:dyDescent="0.25">
      <c r="A64" s="2" t="s">
        <v>8</v>
      </c>
      <c r="B64" s="2" t="s">
        <v>62</v>
      </c>
      <c r="C64" s="2">
        <v>21534</v>
      </c>
      <c r="D64" s="2">
        <v>0.28711999999999999</v>
      </c>
      <c r="E64" t="s">
        <v>8</v>
      </c>
      <c r="F64" t="s">
        <v>62</v>
      </c>
      <c r="G64">
        <v>21534</v>
      </c>
      <c r="H64" t="s">
        <v>386</v>
      </c>
      <c r="I64" s="55">
        <v>45334</v>
      </c>
      <c r="J64" s="1">
        <v>0.43914285714285717</v>
      </c>
      <c r="K64" t="s">
        <v>164</v>
      </c>
      <c r="L64" t="s">
        <v>4</v>
      </c>
      <c r="M64">
        <v>6148</v>
      </c>
      <c r="N64">
        <v>14000</v>
      </c>
      <c r="O64" t="s">
        <v>110</v>
      </c>
    </row>
    <row r="65" spans="1:15" x14ac:dyDescent="0.25">
      <c r="A65" s="2" t="s">
        <v>8</v>
      </c>
      <c r="B65" s="2" t="s">
        <v>59</v>
      </c>
      <c r="C65" s="2">
        <v>27723</v>
      </c>
      <c r="D65" s="2">
        <v>0.36964000000000002</v>
      </c>
      <c r="E65" t="s">
        <v>8</v>
      </c>
      <c r="F65" t="s">
        <v>59</v>
      </c>
      <c r="G65">
        <v>27723</v>
      </c>
      <c r="H65" t="s">
        <v>430</v>
      </c>
      <c r="I65" s="55">
        <v>45348</v>
      </c>
      <c r="J65" s="1">
        <v>0.32630434782608697</v>
      </c>
      <c r="K65" t="s">
        <v>165</v>
      </c>
      <c r="L65" t="s">
        <v>7</v>
      </c>
      <c r="M65">
        <v>30020</v>
      </c>
      <c r="N65">
        <v>92000</v>
      </c>
      <c r="O65" t="s">
        <v>19</v>
      </c>
    </row>
    <row r="66" spans="1:15" x14ac:dyDescent="0.25">
      <c r="A66" s="2" t="s">
        <v>8</v>
      </c>
      <c r="B66" s="2" t="s">
        <v>76</v>
      </c>
      <c r="C66" s="2">
        <v>33946</v>
      </c>
      <c r="D66" s="2">
        <v>0.45261333333333331</v>
      </c>
      <c r="E66" t="s">
        <v>8</v>
      </c>
      <c r="F66" t="s">
        <v>76</v>
      </c>
      <c r="G66">
        <v>33946</v>
      </c>
      <c r="H66" t="s">
        <v>408</v>
      </c>
      <c r="I66" s="55">
        <v>44819</v>
      </c>
      <c r="J66" s="1">
        <v>0.11880434782608695</v>
      </c>
      <c r="K66" t="s">
        <v>165</v>
      </c>
      <c r="L66" t="s">
        <v>7</v>
      </c>
      <c r="M66">
        <v>10930</v>
      </c>
      <c r="N66">
        <v>92000</v>
      </c>
      <c r="O66" t="s">
        <v>21</v>
      </c>
    </row>
    <row r="67" spans="1:15" x14ac:dyDescent="0.25">
      <c r="A67" s="2" t="s">
        <v>8</v>
      </c>
      <c r="B67" s="2" t="s">
        <v>113</v>
      </c>
      <c r="C67" s="2">
        <v>4168</v>
      </c>
      <c r="D67" s="2">
        <v>5.5573333333333336E-2</v>
      </c>
      <c r="E67" t="s">
        <v>8</v>
      </c>
      <c r="F67" t="s">
        <v>113</v>
      </c>
      <c r="G67">
        <v>4168</v>
      </c>
      <c r="H67" t="s">
        <v>491</v>
      </c>
      <c r="I67" s="55">
        <v>45911</v>
      </c>
      <c r="J67" s="1">
        <v>0.56533999999999995</v>
      </c>
      <c r="K67" t="s">
        <v>164</v>
      </c>
      <c r="L67" t="s">
        <v>8</v>
      </c>
      <c r="M67">
        <v>42400.5</v>
      </c>
      <c r="N67">
        <v>75000</v>
      </c>
      <c r="O67" t="s">
        <v>81</v>
      </c>
    </row>
    <row r="68" spans="1:15" x14ac:dyDescent="0.25">
      <c r="A68" s="2" t="s">
        <v>8</v>
      </c>
      <c r="B68" s="2" t="s">
        <v>92</v>
      </c>
      <c r="C68" s="2">
        <v>9765</v>
      </c>
      <c r="D68" s="2">
        <v>0.13020000000000001</v>
      </c>
      <c r="E68" t="s">
        <v>8</v>
      </c>
      <c r="F68" t="s">
        <v>92</v>
      </c>
      <c r="G68">
        <v>9765</v>
      </c>
      <c r="H68" t="s">
        <v>486</v>
      </c>
      <c r="I68" s="55">
        <v>45399</v>
      </c>
      <c r="J68" s="1">
        <v>0.11745333333333334</v>
      </c>
      <c r="K68" t="s">
        <v>165</v>
      </c>
      <c r="L68" t="s">
        <v>8</v>
      </c>
      <c r="M68">
        <v>8809</v>
      </c>
      <c r="N68">
        <v>75000</v>
      </c>
      <c r="O68" t="s">
        <v>61</v>
      </c>
    </row>
    <row r="69" spans="1:15" x14ac:dyDescent="0.25">
      <c r="A69" s="2" t="s">
        <v>8</v>
      </c>
      <c r="B69" s="2" t="s">
        <v>46</v>
      </c>
      <c r="C69" s="2">
        <v>8772</v>
      </c>
      <c r="D69" s="2">
        <v>0.11695999999999999</v>
      </c>
      <c r="E69" t="s">
        <v>8</v>
      </c>
      <c r="F69" t="s">
        <v>46</v>
      </c>
      <c r="G69">
        <v>8772</v>
      </c>
      <c r="H69" t="s">
        <v>394</v>
      </c>
      <c r="I69" s="55">
        <v>45344</v>
      </c>
      <c r="J69" s="1">
        <v>0.33867999999999998</v>
      </c>
      <c r="K69" t="s">
        <v>165</v>
      </c>
      <c r="L69" t="s">
        <v>8</v>
      </c>
      <c r="M69">
        <v>25401</v>
      </c>
      <c r="N69">
        <v>75000</v>
      </c>
      <c r="O69" t="s">
        <v>10</v>
      </c>
    </row>
    <row r="70" spans="1:15" x14ac:dyDescent="0.25">
      <c r="A70" s="2" t="s">
        <v>8</v>
      </c>
      <c r="B70" s="2" t="s">
        <v>25</v>
      </c>
      <c r="C70" s="2">
        <v>12146</v>
      </c>
      <c r="D70" s="2">
        <v>0.16194666666666666</v>
      </c>
      <c r="E70" t="s">
        <v>8</v>
      </c>
      <c r="F70" t="s">
        <v>25</v>
      </c>
      <c r="G70">
        <v>12146</v>
      </c>
      <c r="H70" t="s">
        <v>446</v>
      </c>
      <c r="I70" s="55">
        <v>44820</v>
      </c>
      <c r="J70" s="1">
        <v>0.28711999999999999</v>
      </c>
      <c r="K70" t="s">
        <v>165</v>
      </c>
      <c r="L70" t="s">
        <v>8</v>
      </c>
      <c r="M70">
        <v>21534</v>
      </c>
      <c r="N70">
        <v>75000</v>
      </c>
      <c r="O70" t="s">
        <v>62</v>
      </c>
    </row>
    <row r="71" spans="1:15" x14ac:dyDescent="0.25">
      <c r="A71" s="2" t="s">
        <v>9</v>
      </c>
      <c r="B71" s="2" t="s">
        <v>24</v>
      </c>
      <c r="C71" s="2">
        <v>25269</v>
      </c>
      <c r="D71" s="2">
        <v>1.2032857142857143</v>
      </c>
      <c r="E71" t="s">
        <v>9</v>
      </c>
      <c r="F71" t="s">
        <v>24</v>
      </c>
      <c r="G71">
        <v>25269</v>
      </c>
      <c r="H71" t="s">
        <v>434</v>
      </c>
      <c r="I71" s="55">
        <v>45334</v>
      </c>
      <c r="J71" s="1">
        <v>0.36964000000000002</v>
      </c>
      <c r="K71" t="s">
        <v>165</v>
      </c>
      <c r="L71" t="s">
        <v>8</v>
      </c>
      <c r="M71">
        <v>27723</v>
      </c>
      <c r="N71">
        <v>75000</v>
      </c>
      <c r="O71" t="s">
        <v>59</v>
      </c>
    </row>
    <row r="72" spans="1:15" x14ac:dyDescent="0.25">
      <c r="A72" s="2" t="s">
        <v>9</v>
      </c>
      <c r="B72" s="2" t="s">
        <v>50</v>
      </c>
      <c r="C72" s="2">
        <v>13256</v>
      </c>
      <c r="D72" s="2">
        <v>0.63123809523809526</v>
      </c>
      <c r="E72" t="s">
        <v>9</v>
      </c>
      <c r="F72" t="s">
        <v>50</v>
      </c>
      <c r="G72">
        <v>13256</v>
      </c>
      <c r="H72" t="s">
        <v>402</v>
      </c>
      <c r="I72" s="55">
        <v>45523</v>
      </c>
      <c r="J72" s="1">
        <v>0.45261333333333331</v>
      </c>
      <c r="K72" t="s">
        <v>164</v>
      </c>
      <c r="L72" t="s">
        <v>8</v>
      </c>
      <c r="M72">
        <v>33946</v>
      </c>
      <c r="N72">
        <v>75000</v>
      </c>
      <c r="O72" t="s">
        <v>76</v>
      </c>
    </row>
    <row r="73" spans="1:15" x14ac:dyDescent="0.25">
      <c r="A73" s="2" t="s">
        <v>9</v>
      </c>
      <c r="B73" s="2" t="s">
        <v>77</v>
      </c>
      <c r="C73" s="2">
        <v>7869</v>
      </c>
      <c r="D73" s="2">
        <v>0.37471428571428572</v>
      </c>
      <c r="E73" t="s">
        <v>9</v>
      </c>
      <c r="F73" t="s">
        <v>77</v>
      </c>
      <c r="G73">
        <v>7869</v>
      </c>
      <c r="H73" t="s">
        <v>393</v>
      </c>
      <c r="I73" s="55">
        <v>44840</v>
      </c>
      <c r="J73" s="1">
        <v>5.5573333333333336E-2</v>
      </c>
      <c r="K73" t="s">
        <v>165</v>
      </c>
      <c r="L73" t="s">
        <v>8</v>
      </c>
      <c r="M73">
        <v>4168</v>
      </c>
      <c r="N73">
        <v>75000</v>
      </c>
      <c r="O73" t="s">
        <v>113</v>
      </c>
    </row>
    <row r="74" spans="1:15" x14ac:dyDescent="0.25">
      <c r="A74" s="2" t="s">
        <v>9</v>
      </c>
      <c r="B74" s="2" t="s">
        <v>51</v>
      </c>
      <c r="C74" s="2">
        <v>5977</v>
      </c>
      <c r="D74" s="2">
        <v>0.2846190476190476</v>
      </c>
      <c r="E74" t="s">
        <v>9</v>
      </c>
      <c r="F74" t="s">
        <v>51</v>
      </c>
      <c r="G74">
        <v>5977</v>
      </c>
      <c r="H74" t="s">
        <v>413</v>
      </c>
      <c r="I74" s="55">
        <v>45674</v>
      </c>
      <c r="J74" s="1">
        <v>0.13020000000000001</v>
      </c>
      <c r="K74" t="s">
        <v>165</v>
      </c>
      <c r="L74" t="s">
        <v>8</v>
      </c>
      <c r="M74">
        <v>9765</v>
      </c>
      <c r="N74">
        <v>75000</v>
      </c>
      <c r="O74" t="s">
        <v>92</v>
      </c>
    </row>
    <row r="75" spans="1:15" x14ac:dyDescent="0.25">
      <c r="A75" s="2" t="s">
        <v>9</v>
      </c>
      <c r="B75" s="2" t="s">
        <v>34</v>
      </c>
      <c r="C75" s="2">
        <v>17892</v>
      </c>
      <c r="D75" s="2">
        <v>0.85199999999999998</v>
      </c>
      <c r="E75" t="s">
        <v>9</v>
      </c>
      <c r="F75" t="s">
        <v>34</v>
      </c>
      <c r="G75">
        <v>17892</v>
      </c>
      <c r="H75" t="s">
        <v>407</v>
      </c>
      <c r="I75" s="55">
        <v>45175</v>
      </c>
      <c r="J75" s="1">
        <v>0.11695999999999999</v>
      </c>
      <c r="K75" t="s">
        <v>165</v>
      </c>
      <c r="L75" t="s">
        <v>8</v>
      </c>
      <c r="M75">
        <v>8772</v>
      </c>
      <c r="N75">
        <v>75000</v>
      </c>
      <c r="O75" t="s">
        <v>46</v>
      </c>
    </row>
    <row r="76" spans="1:15" x14ac:dyDescent="0.25">
      <c r="A76" s="2" t="s">
        <v>9</v>
      </c>
      <c r="B76" s="2" t="s">
        <v>19</v>
      </c>
      <c r="C76" s="2">
        <v>30020</v>
      </c>
      <c r="D76" s="2">
        <v>1.4295238095238094</v>
      </c>
      <c r="E76" t="s">
        <v>9</v>
      </c>
      <c r="F76" t="s">
        <v>19</v>
      </c>
      <c r="G76">
        <v>30020</v>
      </c>
      <c r="H76" t="s">
        <v>399</v>
      </c>
      <c r="I76" s="55">
        <v>44673</v>
      </c>
      <c r="J76" s="1">
        <v>0.16194666666666666</v>
      </c>
      <c r="K76" t="s">
        <v>165</v>
      </c>
      <c r="L76" t="s">
        <v>8</v>
      </c>
      <c r="M76">
        <v>12146</v>
      </c>
      <c r="N76">
        <v>75000</v>
      </c>
      <c r="O76" t="s">
        <v>25</v>
      </c>
    </row>
    <row r="77" spans="1:15" x14ac:dyDescent="0.25">
      <c r="A77" s="2" t="s">
        <v>9</v>
      </c>
      <c r="B77" s="2" t="s">
        <v>54</v>
      </c>
      <c r="C77" s="2">
        <v>2112</v>
      </c>
      <c r="D77" s="2">
        <v>0.10057142857142858</v>
      </c>
      <c r="E77" t="s">
        <v>9</v>
      </c>
      <c r="F77" t="s">
        <v>54</v>
      </c>
      <c r="G77">
        <v>2112</v>
      </c>
      <c r="H77" t="s">
        <v>474</v>
      </c>
      <c r="I77" s="55">
        <v>45819</v>
      </c>
      <c r="J77" s="1">
        <v>1.2032857142857143</v>
      </c>
      <c r="K77" t="s">
        <v>162</v>
      </c>
      <c r="L77" t="s">
        <v>9</v>
      </c>
      <c r="M77">
        <v>25269</v>
      </c>
      <c r="N77">
        <v>21000</v>
      </c>
      <c r="O77" t="s">
        <v>24</v>
      </c>
    </row>
    <row r="78" spans="1:15" x14ac:dyDescent="0.25">
      <c r="A78" s="2" t="s">
        <v>9</v>
      </c>
      <c r="B78" s="2" t="s">
        <v>80</v>
      </c>
      <c r="C78" s="2">
        <v>1640</v>
      </c>
      <c r="D78" s="2">
        <v>7.8095238095238093E-2</v>
      </c>
      <c r="E78" t="s">
        <v>9</v>
      </c>
      <c r="F78" t="s">
        <v>80</v>
      </c>
      <c r="G78">
        <v>1640</v>
      </c>
      <c r="H78" t="s">
        <v>433</v>
      </c>
      <c r="I78" s="55">
        <v>45285</v>
      </c>
      <c r="J78" s="1">
        <v>0.63123809523809526</v>
      </c>
      <c r="K78" t="s">
        <v>164</v>
      </c>
      <c r="L78" t="s">
        <v>9</v>
      </c>
      <c r="M78">
        <v>13256</v>
      </c>
      <c r="N78">
        <v>21000</v>
      </c>
      <c r="O78" t="s">
        <v>50</v>
      </c>
    </row>
    <row r="79" spans="1:15" x14ac:dyDescent="0.25">
      <c r="A79" s="2" t="s">
        <v>9</v>
      </c>
      <c r="B79" s="2" t="s">
        <v>37</v>
      </c>
      <c r="C79" s="2">
        <v>11921</v>
      </c>
      <c r="D79" s="2">
        <v>0.56766666666666665</v>
      </c>
      <c r="E79" t="s">
        <v>9</v>
      </c>
      <c r="F79" t="s">
        <v>37</v>
      </c>
      <c r="G79">
        <v>11921</v>
      </c>
      <c r="H79" t="s">
        <v>400</v>
      </c>
      <c r="I79" s="55">
        <v>43132</v>
      </c>
      <c r="J79" s="1">
        <v>0.37471428571428572</v>
      </c>
      <c r="K79" t="s">
        <v>165</v>
      </c>
      <c r="L79" t="s">
        <v>9</v>
      </c>
      <c r="M79">
        <v>7869</v>
      </c>
      <c r="N79">
        <v>21000</v>
      </c>
      <c r="O79" t="s">
        <v>77</v>
      </c>
    </row>
    <row r="80" spans="1:15" x14ac:dyDescent="0.25">
      <c r="A80" s="2" t="s">
        <v>9</v>
      </c>
      <c r="B80" s="2" t="s">
        <v>100</v>
      </c>
      <c r="C80" s="2">
        <v>5720</v>
      </c>
      <c r="D80" s="2">
        <v>0.27238095238095239</v>
      </c>
      <c r="E80" t="s">
        <v>9</v>
      </c>
      <c r="F80" t="s">
        <v>100</v>
      </c>
      <c r="G80">
        <v>5720</v>
      </c>
      <c r="H80" t="s">
        <v>489</v>
      </c>
      <c r="I80" s="55">
        <v>45895</v>
      </c>
      <c r="J80" s="1">
        <v>0.2846190476190476</v>
      </c>
      <c r="K80" t="s">
        <v>165</v>
      </c>
      <c r="L80" t="s">
        <v>9</v>
      </c>
      <c r="M80">
        <v>5977</v>
      </c>
      <c r="N80">
        <v>21000</v>
      </c>
      <c r="O80" t="s">
        <v>51</v>
      </c>
    </row>
    <row r="81" spans="10:15" x14ac:dyDescent="0.25">
      <c r="J81" s="1">
        <v>0.85199999999999998</v>
      </c>
      <c r="K81" t="s">
        <v>163</v>
      </c>
      <c r="L81" t="s">
        <v>9</v>
      </c>
      <c r="M81">
        <v>17892</v>
      </c>
      <c r="N81">
        <v>21000</v>
      </c>
      <c r="O81" t="s">
        <v>34</v>
      </c>
    </row>
    <row r="82" spans="10:15" x14ac:dyDescent="0.25">
      <c r="J82" s="1">
        <v>0.32630434782608697</v>
      </c>
      <c r="K82" t="s">
        <v>165</v>
      </c>
      <c r="L82" t="s">
        <v>7</v>
      </c>
      <c r="M82">
        <v>30020</v>
      </c>
      <c r="N82">
        <v>92000</v>
      </c>
      <c r="O82" t="s">
        <v>19</v>
      </c>
    </row>
    <row r="83" spans="10:15" x14ac:dyDescent="0.25">
      <c r="J83" s="1">
        <v>0.10057142857142858</v>
      </c>
      <c r="K83" t="s">
        <v>165</v>
      </c>
      <c r="L83" t="s">
        <v>9</v>
      </c>
      <c r="M83">
        <v>2112</v>
      </c>
      <c r="N83">
        <v>21000</v>
      </c>
      <c r="O83" t="s">
        <v>54</v>
      </c>
    </row>
    <row r="84" spans="10:15" x14ac:dyDescent="0.25">
      <c r="J84" s="1">
        <v>7.8095238095238093E-2</v>
      </c>
      <c r="K84" t="s">
        <v>165</v>
      </c>
      <c r="L84" t="s">
        <v>9</v>
      </c>
      <c r="M84">
        <v>1640</v>
      </c>
      <c r="N84">
        <v>21000</v>
      </c>
      <c r="O84" t="s">
        <v>80</v>
      </c>
    </row>
    <row r="85" spans="10:15" x14ac:dyDescent="0.25">
      <c r="J85" s="1">
        <v>0.56766666666666665</v>
      </c>
      <c r="K85" t="s">
        <v>164</v>
      </c>
      <c r="L85" t="s">
        <v>9</v>
      </c>
      <c r="M85">
        <v>11921</v>
      </c>
      <c r="N85">
        <v>21000</v>
      </c>
      <c r="O85" t="s">
        <v>37</v>
      </c>
    </row>
    <row r="86" spans="10:15" x14ac:dyDescent="0.25">
      <c r="J86" s="1">
        <v>0.27238095238095239</v>
      </c>
      <c r="K86" t="s">
        <v>165</v>
      </c>
      <c r="L86" t="s">
        <v>9</v>
      </c>
      <c r="M86">
        <v>5720</v>
      </c>
      <c r="N86">
        <v>21000</v>
      </c>
      <c r="O86" t="s">
        <v>100</v>
      </c>
    </row>
  </sheetData>
  <sheetProtection formatCells="0" insertColumns="0" insertRows="0" deleteColumns="0" deleteRows="0" sort="0" autoFilter="0" pivotTables="0"/>
  <phoneticPr fontId="2" type="noConversion"/>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0E8E0-BE0C-412C-AFB8-5D9F131A6A72}">
  <dimension ref="A1:CO159"/>
  <sheetViews>
    <sheetView topLeftCell="F1" zoomScale="70" zoomScaleNormal="70" workbookViewId="0">
      <selection activeCell="N8" sqref="N8"/>
    </sheetView>
  </sheetViews>
  <sheetFormatPr baseColWidth="10" defaultRowHeight="15" x14ac:dyDescent="0.25"/>
  <cols>
    <col min="1" max="1" width="13" bestFit="1" customWidth="1"/>
    <col min="2" max="2" width="30.28515625" bestFit="1" customWidth="1"/>
    <col min="3" max="3" width="13" bestFit="1" customWidth="1"/>
    <col min="4" max="4" width="16" bestFit="1" customWidth="1"/>
    <col min="5" max="5" width="16" customWidth="1"/>
    <col min="6" max="6" width="30.28515625" customWidth="1"/>
    <col min="7" max="7" width="17.85546875" bestFit="1" customWidth="1"/>
    <col min="8" max="8" width="11.42578125" customWidth="1"/>
    <col min="9" max="9" width="27.85546875" style="55" bestFit="1" customWidth="1"/>
    <col min="10" max="13" width="11.42578125" customWidth="1"/>
    <col min="14" max="14" width="17.7109375" bestFit="1" customWidth="1"/>
    <col min="15" max="15" width="20.28515625" bestFit="1" customWidth="1"/>
    <col min="16" max="16" width="11.42578125" customWidth="1"/>
    <col min="18" max="18" width="30.28515625" bestFit="1" customWidth="1"/>
    <col min="22" max="29" width="11.7109375" customWidth="1"/>
    <col min="30" max="52" width="12.7109375" customWidth="1"/>
    <col min="53" max="53" width="20" bestFit="1" customWidth="1"/>
    <col min="54" max="54" width="15.140625" customWidth="1"/>
    <col min="55" max="55" width="14.42578125" customWidth="1"/>
  </cols>
  <sheetData>
    <row r="1" spans="1:93" x14ac:dyDescent="0.25">
      <c r="L1" s="55"/>
    </row>
    <row r="2" spans="1:93" x14ac:dyDescent="0.25">
      <c r="A2" s="8" t="s">
        <v>94</v>
      </c>
      <c r="B2" s="8" t="s">
        <v>108</v>
      </c>
      <c r="C2" s="31" t="s">
        <v>90</v>
      </c>
      <c r="D2" s="31" t="s">
        <v>1</v>
      </c>
      <c r="E2" s="31" t="s">
        <v>202</v>
      </c>
      <c r="F2" s="37" t="s">
        <v>0</v>
      </c>
      <c r="G2" s="37" t="s">
        <v>95</v>
      </c>
      <c r="H2" s="8" t="s">
        <v>376</v>
      </c>
      <c r="I2" s="68" t="s">
        <v>558</v>
      </c>
      <c r="J2" s="58" t="s">
        <v>499</v>
      </c>
      <c r="K2" s="58" t="s">
        <v>567</v>
      </c>
      <c r="L2" s="55"/>
      <c r="M2" s="32" t="s">
        <v>166</v>
      </c>
      <c r="N2" s="32" t="s">
        <v>136</v>
      </c>
      <c r="O2" s="32" t="s">
        <v>205</v>
      </c>
    </row>
    <row r="3" spans="1:93" ht="26.25" x14ac:dyDescent="0.4">
      <c r="A3" s="66" t="s">
        <v>6</v>
      </c>
      <c r="B3" s="65" t="s">
        <v>17</v>
      </c>
      <c r="C3" s="66"/>
      <c r="D3" s="66"/>
      <c r="E3" s="66" t="s">
        <v>6</v>
      </c>
      <c r="F3" s="65" t="s">
        <v>17</v>
      </c>
      <c r="G3" s="65"/>
      <c r="H3" s="65" t="s">
        <v>385</v>
      </c>
      <c r="I3" s="67">
        <v>44886</v>
      </c>
      <c r="J3" s="67" t="s">
        <v>500</v>
      </c>
      <c r="K3" s="55"/>
      <c r="L3" s="55"/>
      <c r="M3" s="33">
        <v>2025</v>
      </c>
      <c r="N3" s="33" t="s">
        <v>148</v>
      </c>
      <c r="O3" s="33">
        <v>22</v>
      </c>
    </row>
    <row r="4" spans="1:93" x14ac:dyDescent="0.25">
      <c r="A4" s="66" t="s">
        <v>9</v>
      </c>
      <c r="B4" s="65" t="s">
        <v>37</v>
      </c>
      <c r="C4" s="66"/>
      <c r="D4" s="66"/>
      <c r="E4" s="66" t="s">
        <v>9</v>
      </c>
      <c r="F4" s="65" t="s">
        <v>37</v>
      </c>
      <c r="G4" s="65"/>
      <c r="H4" s="65" t="s">
        <v>400</v>
      </c>
      <c r="I4" s="67">
        <v>45112</v>
      </c>
      <c r="J4" s="67" t="s">
        <v>500</v>
      </c>
      <c r="K4" s="55"/>
      <c r="L4" s="55"/>
    </row>
    <row r="5" spans="1:93" x14ac:dyDescent="0.25">
      <c r="A5" s="66" t="s">
        <v>8</v>
      </c>
      <c r="B5" s="65" t="s">
        <v>59</v>
      </c>
      <c r="C5" s="66"/>
      <c r="D5" s="66"/>
      <c r="E5" s="66" t="s">
        <v>8</v>
      </c>
      <c r="F5" s="65" t="s">
        <v>59</v>
      </c>
      <c r="G5" s="65"/>
      <c r="H5" s="65" t="s">
        <v>430</v>
      </c>
      <c r="I5" s="67">
        <v>45344</v>
      </c>
      <c r="J5" s="67" t="s">
        <v>500</v>
      </c>
      <c r="K5" s="55"/>
      <c r="L5" s="55"/>
    </row>
    <row r="6" spans="1:93" x14ac:dyDescent="0.25">
      <c r="A6" s="66" t="s">
        <v>3</v>
      </c>
      <c r="B6" s="65" t="s">
        <v>32</v>
      </c>
      <c r="C6" s="66"/>
      <c r="D6" s="66"/>
      <c r="E6" s="66" t="s">
        <v>3</v>
      </c>
      <c r="F6" s="65" t="s">
        <v>32</v>
      </c>
      <c r="G6" s="65"/>
      <c r="H6" s="65" t="s">
        <v>390</v>
      </c>
      <c r="I6" s="67">
        <v>45526</v>
      </c>
      <c r="J6" s="67" t="s">
        <v>500</v>
      </c>
      <c r="K6" s="55"/>
      <c r="L6" s="55"/>
    </row>
    <row r="7" spans="1:93" x14ac:dyDescent="0.25">
      <c r="A7" s="66" t="s">
        <v>125</v>
      </c>
      <c r="B7" s="65" t="s">
        <v>66</v>
      </c>
      <c r="C7" s="66"/>
      <c r="D7" s="66"/>
      <c r="E7" s="66" t="s">
        <v>125</v>
      </c>
      <c r="F7" s="65" t="s">
        <v>66</v>
      </c>
      <c r="G7" s="65"/>
      <c r="H7" s="65" t="s">
        <v>383</v>
      </c>
      <c r="I7" s="67">
        <v>45457</v>
      </c>
      <c r="J7" s="67" t="s">
        <v>500</v>
      </c>
      <c r="K7" s="55"/>
      <c r="L7" s="55"/>
      <c r="CK7" t="s">
        <v>626</v>
      </c>
      <c r="CL7" t="s">
        <v>144</v>
      </c>
      <c r="CM7" t="s">
        <v>145</v>
      </c>
      <c r="CN7" t="s">
        <v>146</v>
      </c>
      <c r="CO7" t="s">
        <v>148</v>
      </c>
    </row>
    <row r="8" spans="1:93" x14ac:dyDescent="0.25">
      <c r="A8" s="66" t="s">
        <v>4</v>
      </c>
      <c r="B8" s="65" t="s">
        <v>110</v>
      </c>
      <c r="C8" s="66"/>
      <c r="D8" s="66"/>
      <c r="E8" s="66" t="s">
        <v>4</v>
      </c>
      <c r="F8" s="65" t="s">
        <v>110</v>
      </c>
      <c r="G8" s="65"/>
      <c r="H8" s="65" t="s">
        <v>454</v>
      </c>
      <c r="I8" s="67">
        <v>44993</v>
      </c>
      <c r="J8" s="67" t="s">
        <v>500</v>
      </c>
      <c r="K8" s="55"/>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23</v>
      </c>
      <c r="C9">
        <f>VLOOKUP(D1_OCTUBRE_2025[[#This Row],[SUPER]],DATA_OCTUBRE_2025[[SUPERVISOR]:[META]],3,0)</f>
        <v>22000</v>
      </c>
      <c r="D9">
        <f>D1_OCTUBRE_2025[[#This Row],[RECUPERO]]/D1_OCTUBRE_2025[[#This Row],[META]]</f>
        <v>2.6484327272727275</v>
      </c>
      <c r="E9" t="s">
        <v>3</v>
      </c>
      <c r="F9" t="s">
        <v>23</v>
      </c>
      <c r="G9">
        <v>58265.520000000004</v>
      </c>
      <c r="H9" t="s">
        <v>445</v>
      </c>
      <c r="I9" s="55">
        <v>44111</v>
      </c>
      <c r="J9" s="55" t="s">
        <v>501</v>
      </c>
      <c r="K9" s="55"/>
      <c r="L9" s="55"/>
      <c r="M9" s="1">
        <f>DATA_OCTUBRE_2025[[#This Row],[RECUPERO]]/DATA_OCTUBRE_2025[[#This Row],[META]]</f>
        <v>0.26792452830188679</v>
      </c>
      <c r="N9">
        <f>6-ROUNDUP(_xlfn.RANK.EQ(DATA_OCTUBRE_2025[[#This Row],[AL_AC]],DATA_OCTUBRE_2025[AL_AC],0)/(COUNTA(DATA_OCTUBRE_2025[AL_AC])/5),0)</f>
        <v>1</v>
      </c>
      <c r="O9" t="s">
        <v>7</v>
      </c>
      <c r="P9">
        <f>SUM(DATA_OCTUBRE_2025[[#This Row],[1]:[31]])</f>
        <v>14200</v>
      </c>
      <c r="Q9">
        <v>53000</v>
      </c>
      <c r="R9" t="s">
        <v>18</v>
      </c>
      <c r="AH9">
        <v>600</v>
      </c>
      <c r="AQ9">
        <v>2100</v>
      </c>
      <c r="AT9">
        <v>5000</v>
      </c>
      <c r="AV9">
        <v>1500</v>
      </c>
      <c r="AW9">
        <v>5000</v>
      </c>
      <c r="AX9" t="s">
        <v>159</v>
      </c>
      <c r="AZ9">
        <f>VLOOKUP($M$3&amp;$N$3&amp;DITE_OCTUBRE_2025[[#This Row],[SUPER]],TablaMeta[],5,0)</f>
        <v>698156</v>
      </c>
      <c r="BA9" s="11">
        <f>MAX(DITE_OCTUBRE_2025[[#This Row],[1]:[31]])</f>
        <v>617356.96</v>
      </c>
      <c r="BB9" s="17">
        <f>IFERROR(DITE_OCTUBRE_2025[[#This Row],[RECUPERO SUPERVISOR]]/DITE_OCTUBRE_2025[[#This Row],[META SUPER]],"")</f>
        <v>0.88426792865777848</v>
      </c>
      <c r="BC9" t="s">
        <v>8</v>
      </c>
      <c r="BD9">
        <v>22865</v>
      </c>
      <c r="BE9">
        <v>22865</v>
      </c>
      <c r="BF9">
        <v>25141</v>
      </c>
      <c r="BG9">
        <v>25141</v>
      </c>
      <c r="BH9">
        <v>25141</v>
      </c>
      <c r="BI9">
        <v>41451</v>
      </c>
      <c r="BJ9">
        <v>75907</v>
      </c>
      <c r="BK9">
        <v>75907</v>
      </c>
      <c r="BL9">
        <v>103907</v>
      </c>
      <c r="BM9">
        <v>170407</v>
      </c>
      <c r="BN9">
        <v>170630</v>
      </c>
      <c r="BO9">
        <v>170630</v>
      </c>
      <c r="BP9">
        <v>195080</v>
      </c>
      <c r="BQ9">
        <v>240108.05</v>
      </c>
      <c r="BR9">
        <v>283227.05</v>
      </c>
      <c r="BS9">
        <v>305572.05</v>
      </c>
      <c r="BT9">
        <v>319859.55</v>
      </c>
      <c r="BU9">
        <v>320214.55</v>
      </c>
      <c r="BV9">
        <v>320214.55</v>
      </c>
      <c r="BW9">
        <v>331040.55</v>
      </c>
      <c r="BX9">
        <v>375363.55</v>
      </c>
      <c r="BY9">
        <v>396859.55</v>
      </c>
      <c r="BZ9">
        <v>422884.55</v>
      </c>
      <c r="CA9">
        <v>442221.55</v>
      </c>
      <c r="CB9">
        <v>442871.55</v>
      </c>
      <c r="CC9">
        <v>442871.55</v>
      </c>
      <c r="CD9">
        <v>449721.55</v>
      </c>
      <c r="CE9">
        <v>462221.55</v>
      </c>
      <c r="CF9">
        <v>517936.95999999996</v>
      </c>
      <c r="CG9">
        <v>554515.96</v>
      </c>
      <c r="CH9">
        <v>617356.96</v>
      </c>
      <c r="CI9" s="11" t="str">
        <f>VLOOKUP($M$3&amp;$N$3&amp;DITE_OCTUBRE_2025[[#This Row],[SUPER]],TablaMeta[],7,0)</f>
        <v>BBVA - NUEVO</v>
      </c>
      <c r="CK9" t="s">
        <v>8</v>
      </c>
      <c r="CL9" t="s">
        <v>8</v>
      </c>
      <c r="CM9" t="s">
        <v>8</v>
      </c>
      <c r="CN9" t="s">
        <v>8</v>
      </c>
      <c r="CO9" t="s">
        <v>8</v>
      </c>
    </row>
    <row r="10" spans="1:93" x14ac:dyDescent="0.25">
      <c r="A10" t="s">
        <v>3</v>
      </c>
      <c r="B10" t="s">
        <v>44</v>
      </c>
      <c r="C10">
        <f>VLOOKUP(D1_OCTUBRE_2025[[#This Row],[SUPER]],DATA_OCTUBRE_2025[[SUPERVISOR]:[META]],3,0)</f>
        <v>22000</v>
      </c>
      <c r="D10">
        <f>D1_OCTUBRE_2025[[#This Row],[RECUPERO]]/D1_OCTUBRE_2025[[#This Row],[META]]</f>
        <v>1.1218181818181818</v>
      </c>
      <c r="E10" t="s">
        <v>3</v>
      </c>
      <c r="F10" t="s">
        <v>44</v>
      </c>
      <c r="G10">
        <v>24680</v>
      </c>
      <c r="H10" t="s">
        <v>467</v>
      </c>
      <c r="I10" s="55">
        <v>45804</v>
      </c>
      <c r="J10" s="55" t="s">
        <v>501</v>
      </c>
      <c r="K10" s="55"/>
      <c r="L10" s="55"/>
      <c r="M10" s="1">
        <f>DATA_OCTUBRE_2025[[#This Row],[RECUPERO]]/DATA_OCTUBRE_2025[[#This Row],[META]]</f>
        <v>0.53933962264150948</v>
      </c>
      <c r="N10">
        <f>6-ROUNDUP(_xlfn.RANK.EQ(DATA_OCTUBRE_2025[[#This Row],[AL_AC]],DATA_OCTUBRE_2025[AL_AC],0)/(COUNTA(DATA_OCTUBRE_2025[AL_AC])/5),0)</f>
        <v>2</v>
      </c>
      <c r="O10" t="s">
        <v>7</v>
      </c>
      <c r="P10">
        <f>SUM(DATA_OCTUBRE_2025[[#This Row],[1]:[31]])</f>
        <v>28585</v>
      </c>
      <c r="Q10">
        <v>53000</v>
      </c>
      <c r="R10" t="s">
        <v>21</v>
      </c>
      <c r="Y10">
        <v>400</v>
      </c>
      <c r="AG10">
        <v>600</v>
      </c>
      <c r="AL10">
        <v>600</v>
      </c>
      <c r="AM10">
        <v>15800</v>
      </c>
      <c r="AN10">
        <v>2300</v>
      </c>
      <c r="AP10">
        <v>485</v>
      </c>
      <c r="AS10">
        <v>1400</v>
      </c>
      <c r="AV10">
        <v>7000</v>
      </c>
      <c r="AX10" t="s">
        <v>159</v>
      </c>
      <c r="AZ10">
        <f>VLOOKUP($M$3&amp;$N$3&amp;DITE_OCTUBRE_2025[[#This Row],[SUPER]],TablaMeta[],5,0)</f>
        <v>253237</v>
      </c>
      <c r="BA10" s="11">
        <f>MAX(DITE_OCTUBRE_2025[[#This Row],[1]:[31]])</f>
        <v>228768</v>
      </c>
      <c r="BB10" s="17">
        <f>IFERROR(DITE_OCTUBRE_2025[[#This Row],[RECUPERO SUPERVISOR]]/DITE_OCTUBRE_2025[[#This Row],[META SUPER]],"")</f>
        <v>0.90337509921535952</v>
      </c>
      <c r="BC10" t="s">
        <v>125</v>
      </c>
      <c r="BD10">
        <v>1753</v>
      </c>
      <c r="BE10">
        <v>1753</v>
      </c>
      <c r="BF10">
        <v>6603</v>
      </c>
      <c r="BG10">
        <v>6603</v>
      </c>
      <c r="BH10">
        <v>6603</v>
      </c>
      <c r="BI10">
        <v>8053</v>
      </c>
      <c r="BJ10">
        <v>11253</v>
      </c>
      <c r="BK10">
        <v>11253</v>
      </c>
      <c r="BL10">
        <v>14806</v>
      </c>
      <c r="BM10">
        <v>19411</v>
      </c>
      <c r="BN10">
        <v>19411</v>
      </c>
      <c r="BO10">
        <v>19411</v>
      </c>
      <c r="BP10">
        <v>32222</v>
      </c>
      <c r="BQ10">
        <v>58522</v>
      </c>
      <c r="BR10">
        <v>61917.5</v>
      </c>
      <c r="BS10">
        <v>89372.5</v>
      </c>
      <c r="BT10">
        <v>94452.5</v>
      </c>
      <c r="BU10">
        <v>94452.5</v>
      </c>
      <c r="BV10">
        <v>94452.5</v>
      </c>
      <c r="BW10">
        <v>98837.5</v>
      </c>
      <c r="BX10">
        <v>103437.5</v>
      </c>
      <c r="BY10">
        <v>116587.5</v>
      </c>
      <c r="BZ10">
        <v>120587.5</v>
      </c>
      <c r="CA10">
        <v>131797.5</v>
      </c>
      <c r="CB10">
        <v>131797.5</v>
      </c>
      <c r="CC10">
        <v>133297.5</v>
      </c>
      <c r="CD10">
        <v>134707.5</v>
      </c>
      <c r="CE10">
        <v>157607.5</v>
      </c>
      <c r="CF10">
        <v>160357.5</v>
      </c>
      <c r="CG10">
        <v>173730.5</v>
      </c>
      <c r="CH10">
        <v>228768</v>
      </c>
      <c r="CI10" s="11" t="str">
        <f>VLOOKUP($M$3&amp;$N$3&amp;DITE_OCTUBRE_2025[[#This Row],[SUPER]],TablaMeta[],7,0)</f>
        <v>S2</v>
      </c>
      <c r="CK10" t="s">
        <v>2</v>
      </c>
      <c r="CL10" t="s">
        <v>2</v>
      </c>
      <c r="CM10" t="s">
        <v>2</v>
      </c>
      <c r="CN10" t="s">
        <v>2</v>
      </c>
      <c r="CO10" t="s">
        <v>2</v>
      </c>
    </row>
    <row r="11" spans="1:93" x14ac:dyDescent="0.25">
      <c r="A11" t="s">
        <v>3</v>
      </c>
      <c r="B11" t="s">
        <v>48</v>
      </c>
      <c r="C11">
        <f>VLOOKUP(D1_OCTUBRE_2025[[#This Row],[SUPER]],DATA_OCTUBRE_2025[[SUPERVISOR]:[META]],3,0)</f>
        <v>22000</v>
      </c>
      <c r="D11">
        <f>D1_OCTUBRE_2025[[#This Row],[RECUPERO]]/D1_OCTUBRE_2025[[#This Row],[META]]</f>
        <v>1.079690909090909</v>
      </c>
      <c r="E11" t="s">
        <v>3</v>
      </c>
      <c r="F11" t="s">
        <v>48</v>
      </c>
      <c r="G11">
        <v>23753.200000000001</v>
      </c>
      <c r="H11" t="s">
        <v>421</v>
      </c>
      <c r="I11" s="55">
        <v>44748</v>
      </c>
      <c r="J11" s="55" t="s">
        <v>501</v>
      </c>
      <c r="K11" s="55"/>
      <c r="L11" s="55"/>
      <c r="M11" s="1">
        <f>DATA_OCTUBRE_2025[[#This Row],[RECUPERO]]/DATA_OCTUBRE_2025[[#This Row],[META]]</f>
        <v>0.45182075471698113</v>
      </c>
      <c r="N11">
        <f>6-ROUNDUP(_xlfn.RANK.EQ(DATA_OCTUBRE_2025[[#This Row],[AL_AC]],DATA_OCTUBRE_2025[AL_AC],0)/(COUNTA(DATA_OCTUBRE_2025[AL_AC])/5),0)</f>
        <v>2</v>
      </c>
      <c r="O11" t="s">
        <v>7</v>
      </c>
      <c r="P11">
        <f>SUM(DATA_OCTUBRE_2025[[#This Row],[1]:[31]])</f>
        <v>23946.5</v>
      </c>
      <c r="Q11">
        <v>53000</v>
      </c>
      <c r="R11" t="s">
        <v>58</v>
      </c>
      <c r="U11">
        <v>4000</v>
      </c>
      <c r="X11">
        <v>2120</v>
      </c>
      <c r="Y11">
        <v>700</v>
      </c>
      <c r="AE11">
        <v>2300</v>
      </c>
      <c r="AG11">
        <v>600</v>
      </c>
      <c r="AM11">
        <v>3000</v>
      </c>
      <c r="AP11">
        <v>688</v>
      </c>
      <c r="AV11">
        <v>700</v>
      </c>
      <c r="AW11">
        <v>9838.5</v>
      </c>
      <c r="AX11" t="s">
        <v>159</v>
      </c>
      <c r="AZ11">
        <f>VLOOKUP($M$3&amp;$N$3&amp;DITE_OCTUBRE_2025[[#This Row],[SUPER]],TablaMeta[],5,0)</f>
        <v>253237</v>
      </c>
      <c r="BA11" s="11">
        <f>MAX(DITE_OCTUBRE_2025[[#This Row],[1]:[31]])</f>
        <v>200576.3</v>
      </c>
      <c r="BB11" s="17">
        <f>IFERROR(DITE_OCTUBRE_2025[[#This Row],[RECUPERO SUPERVISOR]]/DITE_OCTUBRE_2025[[#This Row],[META SUPER]],"")</f>
        <v>0.79204973996690842</v>
      </c>
      <c r="BC11" t="s">
        <v>5</v>
      </c>
      <c r="BD11">
        <v>1600</v>
      </c>
      <c r="BE11">
        <v>1600</v>
      </c>
      <c r="BF11">
        <v>4107</v>
      </c>
      <c r="BG11">
        <v>4107</v>
      </c>
      <c r="BH11">
        <v>4107</v>
      </c>
      <c r="BI11">
        <v>7869</v>
      </c>
      <c r="BJ11">
        <v>11219</v>
      </c>
      <c r="BK11">
        <v>11219</v>
      </c>
      <c r="BL11">
        <v>21870</v>
      </c>
      <c r="BM11">
        <v>26370</v>
      </c>
      <c r="BN11">
        <v>26370</v>
      </c>
      <c r="BO11">
        <v>26970</v>
      </c>
      <c r="BP11">
        <v>29309</v>
      </c>
      <c r="BQ11">
        <v>38159</v>
      </c>
      <c r="BR11">
        <v>39200.300000000003</v>
      </c>
      <c r="BS11">
        <v>43159.3</v>
      </c>
      <c r="BT11">
        <v>48759.3</v>
      </c>
      <c r="BU11">
        <v>48759.3</v>
      </c>
      <c r="BV11">
        <v>48759.3</v>
      </c>
      <c r="BW11">
        <v>56668.3</v>
      </c>
      <c r="BX11">
        <v>62843.3</v>
      </c>
      <c r="BY11">
        <v>71443.3</v>
      </c>
      <c r="BZ11">
        <v>76712.3</v>
      </c>
      <c r="CA11">
        <v>97207.3</v>
      </c>
      <c r="CB11">
        <v>100041.3</v>
      </c>
      <c r="CC11">
        <v>100041.3</v>
      </c>
      <c r="CD11">
        <v>110955.3</v>
      </c>
      <c r="CE11">
        <v>121465.3</v>
      </c>
      <c r="CF11">
        <v>128909.3</v>
      </c>
      <c r="CG11">
        <v>174999.3</v>
      </c>
      <c r="CH11">
        <v>200576.3</v>
      </c>
      <c r="CI11" s="11" t="str">
        <f>VLOOKUP($M$3&amp;$N$3&amp;DITE_OCTUBRE_2025[[#This Row],[SUPER]],TablaMeta[],7,0)</f>
        <v>S2</v>
      </c>
      <c r="CK11" t="s">
        <v>5</v>
      </c>
      <c r="CL11" t="s">
        <v>5</v>
      </c>
      <c r="CM11" t="s">
        <v>5</v>
      </c>
      <c r="CN11" t="s">
        <v>5</v>
      </c>
      <c r="CO11" t="s">
        <v>5</v>
      </c>
    </row>
    <row r="12" spans="1:93" x14ac:dyDescent="0.25">
      <c r="A12" t="s">
        <v>3</v>
      </c>
      <c r="B12" t="s">
        <v>43</v>
      </c>
      <c r="C12">
        <f>VLOOKUP(D1_OCTUBRE_2025[[#This Row],[SUPER]],DATA_OCTUBRE_2025[[SUPERVISOR]:[META]],3,0)</f>
        <v>22000</v>
      </c>
      <c r="D12">
        <f>D1_OCTUBRE_2025[[#This Row],[RECUPERO]]/D1_OCTUBRE_2025[[#This Row],[META]]</f>
        <v>1.011590909090909</v>
      </c>
      <c r="E12" t="s">
        <v>3</v>
      </c>
      <c r="F12" t="s">
        <v>43</v>
      </c>
      <c r="G12">
        <v>22255</v>
      </c>
      <c r="H12" t="s">
        <v>471</v>
      </c>
      <c r="I12" s="55">
        <v>45793</v>
      </c>
      <c r="J12" s="55" t="s">
        <v>501</v>
      </c>
      <c r="K12" s="55"/>
      <c r="L12" s="55"/>
      <c r="M12" s="1">
        <f>DATA_OCTUBRE_2025[[#This Row],[RECUPERO]]/DATA_OCTUBRE_2025[[#This Row],[META]]</f>
        <v>0.39830434782608698</v>
      </c>
      <c r="N12">
        <f>6-ROUNDUP(_xlfn.RANK.EQ(DATA_OCTUBRE_2025[[#This Row],[AL_AC]],DATA_OCTUBRE_2025[AL_AC],0)/(COUNTA(DATA_OCTUBRE_2025[AL_AC])/5),0)</f>
        <v>1</v>
      </c>
      <c r="O12" t="s">
        <v>9</v>
      </c>
      <c r="P12">
        <f>SUM(DATA_OCTUBRE_2025[[#This Row],[1]:[31]])</f>
        <v>9161</v>
      </c>
      <c r="Q12">
        <v>23000</v>
      </c>
      <c r="R12" t="s">
        <v>54</v>
      </c>
      <c r="S12">
        <v>300</v>
      </c>
      <c r="U12">
        <v>130</v>
      </c>
      <c r="Y12">
        <v>300</v>
      </c>
      <c r="AE12">
        <v>200</v>
      </c>
      <c r="AG12">
        <v>83</v>
      </c>
      <c r="AM12">
        <v>2800</v>
      </c>
      <c r="AN12">
        <v>3500</v>
      </c>
      <c r="AU12">
        <v>848</v>
      </c>
      <c r="AW12">
        <v>1000</v>
      </c>
      <c r="AX12" t="s">
        <v>156</v>
      </c>
      <c r="AZ12">
        <f>VLOOKUP($M$3&amp;$N$3&amp;DITE_OCTUBRE_2025[[#This Row],[SUPER]],TablaMeta[],5,0)</f>
        <v>420827</v>
      </c>
      <c r="BA12" s="11">
        <f>MAX(DITE_OCTUBRE_2025[[#This Row],[1]:[31]])</f>
        <v>342721.12</v>
      </c>
      <c r="BB12" s="17">
        <f>IFERROR(DITE_OCTUBRE_2025[[#This Row],[RECUPERO SUPERVISOR]]/DITE_OCTUBRE_2025[[#This Row],[META SUPER]],"")</f>
        <v>0.81439907610490769</v>
      </c>
      <c r="BC12" t="s">
        <v>6</v>
      </c>
      <c r="BD12">
        <v>6448</v>
      </c>
      <c r="BE12">
        <v>8878</v>
      </c>
      <c r="BF12">
        <v>14878</v>
      </c>
      <c r="BG12">
        <v>17678</v>
      </c>
      <c r="BH12">
        <v>17678</v>
      </c>
      <c r="BI12">
        <v>18178</v>
      </c>
      <c r="BJ12">
        <v>23487</v>
      </c>
      <c r="BK12">
        <v>23487</v>
      </c>
      <c r="BL12">
        <v>24237</v>
      </c>
      <c r="BM12">
        <v>29137</v>
      </c>
      <c r="BN12">
        <v>29429</v>
      </c>
      <c r="BO12">
        <v>29429</v>
      </c>
      <c r="BP12">
        <v>85478</v>
      </c>
      <c r="BQ12">
        <v>121378</v>
      </c>
      <c r="BR12">
        <v>132978</v>
      </c>
      <c r="BS12">
        <v>157161</v>
      </c>
      <c r="BT12">
        <v>166461</v>
      </c>
      <c r="BU12">
        <v>166961</v>
      </c>
      <c r="BV12">
        <v>166961</v>
      </c>
      <c r="BW12">
        <v>171718</v>
      </c>
      <c r="BX12">
        <v>173857</v>
      </c>
      <c r="BY12">
        <v>176557</v>
      </c>
      <c r="BZ12">
        <v>178164</v>
      </c>
      <c r="CA12">
        <v>181039</v>
      </c>
      <c r="CB12">
        <v>190319</v>
      </c>
      <c r="CC12">
        <v>193619</v>
      </c>
      <c r="CD12">
        <v>213407</v>
      </c>
      <c r="CE12">
        <v>234007</v>
      </c>
      <c r="CF12">
        <v>241974</v>
      </c>
      <c r="CG12">
        <v>264728</v>
      </c>
      <c r="CH12">
        <v>342721.12</v>
      </c>
      <c r="CI12" s="11" t="str">
        <f>VLOOKUP($M$3&amp;$N$3&amp;DITE_OCTUBRE_2025[[#This Row],[SUPER]],TablaMeta[],7,0)</f>
        <v>S1</v>
      </c>
      <c r="CK12" t="s">
        <v>6</v>
      </c>
      <c r="CL12" t="s">
        <v>6</v>
      </c>
      <c r="CM12" t="s">
        <v>6</v>
      </c>
      <c r="CN12" t="s">
        <v>6</v>
      </c>
      <c r="CO12" t="s">
        <v>6</v>
      </c>
    </row>
    <row r="13" spans="1:93" x14ac:dyDescent="0.25">
      <c r="A13" t="s">
        <v>3</v>
      </c>
      <c r="B13" t="s">
        <v>102</v>
      </c>
      <c r="C13">
        <f>VLOOKUP(D1_OCTUBRE_2025[[#This Row],[SUPER]],DATA_OCTUBRE_2025[[SUPERVISOR]:[META]],3,0)</f>
        <v>22000</v>
      </c>
      <c r="D13">
        <f>D1_OCTUBRE_2025[[#This Row],[RECUPERO]]/D1_OCTUBRE_2025[[#This Row],[META]]</f>
        <v>0.94077272727272732</v>
      </c>
      <c r="E13" t="s">
        <v>3</v>
      </c>
      <c r="F13" t="s">
        <v>102</v>
      </c>
      <c r="G13">
        <v>20697</v>
      </c>
      <c r="H13" t="s">
        <v>481</v>
      </c>
      <c r="I13" s="55">
        <v>45875</v>
      </c>
      <c r="J13" s="55" t="s">
        <v>501</v>
      </c>
      <c r="K13" s="55"/>
      <c r="L13" s="55"/>
      <c r="M13" s="1">
        <f>DATA_OCTUBRE_2025[[#This Row],[RECUPERO]]/DATA_OCTUBRE_2025[[#This Row],[META]]</f>
        <v>0.55169811320754714</v>
      </c>
      <c r="N13">
        <f>6-ROUNDUP(_xlfn.RANK.EQ(DATA_OCTUBRE_2025[[#This Row],[AL_AC]],DATA_OCTUBRE_2025[AL_AC],0)/(COUNTA(DATA_OCTUBRE_2025[AL_AC])/5),0)</f>
        <v>2</v>
      </c>
      <c r="O13" t="s">
        <v>7</v>
      </c>
      <c r="P13">
        <f>SUM(DATA_OCTUBRE_2025[[#This Row],[1]:[31]])</f>
        <v>29240</v>
      </c>
      <c r="Q13">
        <v>53000</v>
      </c>
      <c r="R13" t="s">
        <v>60</v>
      </c>
      <c r="S13">
        <v>340</v>
      </c>
      <c r="U13">
        <v>750</v>
      </c>
      <c r="AI13">
        <v>600</v>
      </c>
      <c r="AJ13">
        <v>600</v>
      </c>
      <c r="AN13">
        <v>5000</v>
      </c>
      <c r="AP13">
        <v>3000</v>
      </c>
      <c r="AQ13">
        <v>700</v>
      </c>
      <c r="AS13">
        <v>1700</v>
      </c>
      <c r="AT13">
        <v>1500</v>
      </c>
      <c r="AW13">
        <v>15050</v>
      </c>
      <c r="AX13" t="s">
        <v>159</v>
      </c>
      <c r="AZ13">
        <f>VLOOKUP($M$3&amp;$N$3&amp;DITE_OCTUBRE_2025[[#This Row],[SUPER]],TablaMeta[],5,0)</f>
        <v>420827</v>
      </c>
      <c r="BA13" s="11">
        <f>MAX(DITE_OCTUBRE_2025[[#This Row],[1]:[31]])</f>
        <v>226204.5</v>
      </c>
      <c r="BB13" s="17">
        <f>IFERROR(DITE_OCTUBRE_2025[[#This Row],[RECUPERO SUPERVISOR]]/DITE_OCTUBRE_2025[[#This Row],[META SUPER]],"")</f>
        <v>0.53752373303043766</v>
      </c>
      <c r="BC13" t="s">
        <v>7</v>
      </c>
      <c r="BD13">
        <v>20340</v>
      </c>
      <c r="BE13">
        <v>21040</v>
      </c>
      <c r="BF13">
        <v>25790</v>
      </c>
      <c r="BG13">
        <v>26590</v>
      </c>
      <c r="BH13">
        <v>26590</v>
      </c>
      <c r="BI13">
        <v>29910</v>
      </c>
      <c r="BJ13">
        <v>33672</v>
      </c>
      <c r="BK13">
        <v>33672</v>
      </c>
      <c r="BL13">
        <v>35772</v>
      </c>
      <c r="BM13">
        <v>36164</v>
      </c>
      <c r="BN13">
        <v>36164</v>
      </c>
      <c r="BO13">
        <v>36164</v>
      </c>
      <c r="BP13">
        <v>41464</v>
      </c>
      <c r="BQ13">
        <v>43814</v>
      </c>
      <c r="BR13">
        <v>62014</v>
      </c>
      <c r="BS13">
        <v>76391</v>
      </c>
      <c r="BT13">
        <v>86891</v>
      </c>
      <c r="BU13">
        <v>87491</v>
      </c>
      <c r="BV13">
        <v>87491</v>
      </c>
      <c r="BW13">
        <v>91091</v>
      </c>
      <c r="BX13">
        <v>115541</v>
      </c>
      <c r="BY13">
        <v>123091</v>
      </c>
      <c r="BZ13">
        <v>127461</v>
      </c>
      <c r="CA13">
        <v>139834</v>
      </c>
      <c r="CB13">
        <v>142996</v>
      </c>
      <c r="CC13">
        <v>142996</v>
      </c>
      <c r="CD13">
        <v>150246</v>
      </c>
      <c r="CE13">
        <v>174446</v>
      </c>
      <c r="CF13">
        <v>175446</v>
      </c>
      <c r="CG13">
        <v>192846</v>
      </c>
      <c r="CH13">
        <v>226204.5</v>
      </c>
      <c r="CI13" s="11" t="str">
        <f>VLOOKUP($M$3&amp;$N$3&amp;DITE_OCTUBRE_2025[[#This Row],[SUPER]],TablaMeta[],7,0)</f>
        <v>S1</v>
      </c>
      <c r="CK13" t="s">
        <v>7</v>
      </c>
      <c r="CL13" t="s">
        <v>125</v>
      </c>
      <c r="CM13" t="s">
        <v>7</v>
      </c>
      <c r="CN13" t="s">
        <v>7</v>
      </c>
      <c r="CO13" t="s">
        <v>7</v>
      </c>
    </row>
    <row r="14" spans="1:93" x14ac:dyDescent="0.25">
      <c r="A14" t="s">
        <v>3</v>
      </c>
      <c r="B14" t="s">
        <v>97</v>
      </c>
      <c r="C14">
        <f>VLOOKUP(D1_OCTUBRE_2025[[#This Row],[SUPER]],DATA_OCTUBRE_2025[[SUPERVISOR]:[META]],3,0)</f>
        <v>22000</v>
      </c>
      <c r="D14">
        <f>D1_OCTUBRE_2025[[#This Row],[RECUPERO]]/D1_OCTUBRE_2025[[#This Row],[META]]</f>
        <v>0.85445454545454547</v>
      </c>
      <c r="E14" t="s">
        <v>3</v>
      </c>
      <c r="F14" t="s">
        <v>97</v>
      </c>
      <c r="G14">
        <v>18798</v>
      </c>
      <c r="H14" t="s">
        <v>485</v>
      </c>
      <c r="I14" s="55">
        <v>45889</v>
      </c>
      <c r="J14" s="55" t="s">
        <v>501</v>
      </c>
      <c r="K14" s="55"/>
      <c r="L14" s="55"/>
      <c r="M14" s="1">
        <f>DATA_OCTUBRE_2025[[#This Row],[RECUPERO]]/DATA_OCTUBRE_2025[[#This Row],[META]]</f>
        <v>0.96356249999999999</v>
      </c>
      <c r="N14">
        <f>6-ROUNDUP(_xlfn.RANK.EQ(DATA_OCTUBRE_2025[[#This Row],[AL_AC]],DATA_OCTUBRE_2025[AL_AC],0)/(COUNTA(DATA_OCTUBRE_2025[AL_AC])/5),0)</f>
        <v>4</v>
      </c>
      <c r="O14" t="s">
        <v>125</v>
      </c>
      <c r="P14">
        <f>SUM(DATA_OCTUBRE_2025[[#This Row],[1]:[31]])</f>
        <v>30834</v>
      </c>
      <c r="Q14">
        <v>32000</v>
      </c>
      <c r="R14" t="s">
        <v>15</v>
      </c>
      <c r="S14">
        <v>450</v>
      </c>
      <c r="U14">
        <v>600</v>
      </c>
      <c r="AB14">
        <v>330</v>
      </c>
      <c r="AE14">
        <v>254</v>
      </c>
      <c r="AF14">
        <v>20000</v>
      </c>
      <c r="AL14">
        <v>500</v>
      </c>
      <c r="AM14">
        <v>3000</v>
      </c>
      <c r="AN14">
        <v>2100</v>
      </c>
      <c r="AW14">
        <v>3600</v>
      </c>
      <c r="AX14" t="s">
        <v>158</v>
      </c>
      <c r="AZ14">
        <f>VLOOKUP($M$3&amp;$N$3&amp;DITE_OCTUBRE_2025[[#This Row],[SUPER]],TablaMeta[],5,0)</f>
        <v>230608</v>
      </c>
      <c r="BA14" s="11">
        <f>MAX(DITE_OCTUBRE_2025[[#This Row],[1]:[31]])</f>
        <v>256224</v>
      </c>
      <c r="BB14" s="17">
        <f>IFERROR(DITE_OCTUBRE_2025[[#This Row],[RECUPERO SUPERVISOR]]/DITE_OCTUBRE_2025[[#This Row],[META SUPER]],"")</f>
        <v>1.1110802747519601</v>
      </c>
      <c r="BC14" t="s">
        <v>9</v>
      </c>
      <c r="BD14">
        <v>3318</v>
      </c>
      <c r="BE14">
        <v>5784</v>
      </c>
      <c r="BF14">
        <v>8674</v>
      </c>
      <c r="BG14">
        <v>8674</v>
      </c>
      <c r="BH14">
        <v>8674</v>
      </c>
      <c r="BI14">
        <v>16654</v>
      </c>
      <c r="BJ14">
        <v>21711</v>
      </c>
      <c r="BK14">
        <v>21711</v>
      </c>
      <c r="BL14">
        <v>28619</v>
      </c>
      <c r="BM14">
        <v>31669</v>
      </c>
      <c r="BN14">
        <v>31669</v>
      </c>
      <c r="BO14">
        <v>31669</v>
      </c>
      <c r="BP14">
        <v>32499</v>
      </c>
      <c r="BQ14">
        <v>46929</v>
      </c>
      <c r="BR14">
        <v>48562</v>
      </c>
      <c r="BS14">
        <v>107742</v>
      </c>
      <c r="BT14">
        <v>115276</v>
      </c>
      <c r="BU14">
        <v>115976</v>
      </c>
      <c r="BV14">
        <v>115976</v>
      </c>
      <c r="BW14">
        <v>124110</v>
      </c>
      <c r="BX14">
        <v>133728</v>
      </c>
      <c r="BY14">
        <v>148428</v>
      </c>
      <c r="BZ14">
        <v>170911</v>
      </c>
      <c r="CA14">
        <v>172211</v>
      </c>
      <c r="CB14">
        <v>172211</v>
      </c>
      <c r="CC14">
        <v>172211</v>
      </c>
      <c r="CD14">
        <v>177161</v>
      </c>
      <c r="CE14">
        <v>193391</v>
      </c>
      <c r="CF14">
        <v>211939</v>
      </c>
      <c r="CG14">
        <v>243145</v>
      </c>
      <c r="CH14">
        <v>256224</v>
      </c>
      <c r="CI14" s="11" t="str">
        <f>VLOOKUP($M$3&amp;$N$3&amp;DITE_OCTUBRE_2025[[#This Row],[SUPER]],TablaMeta[],7,0)</f>
        <v>IBK - NUEVO</v>
      </c>
      <c r="CK14" t="s">
        <v>9</v>
      </c>
      <c r="CL14" t="s">
        <v>9</v>
      </c>
      <c r="CM14" t="s">
        <v>9</v>
      </c>
      <c r="CN14" t="s">
        <v>9</v>
      </c>
      <c r="CO14" t="s">
        <v>9</v>
      </c>
    </row>
    <row r="15" spans="1:93" x14ac:dyDescent="0.25">
      <c r="A15" t="s">
        <v>3</v>
      </c>
      <c r="B15" t="s">
        <v>33</v>
      </c>
      <c r="C15">
        <f>VLOOKUP(D1_OCTUBRE_2025[[#This Row],[SUPER]],DATA_OCTUBRE_2025[[SUPERVISOR]:[META]],3,0)</f>
        <v>22000</v>
      </c>
      <c r="D15">
        <f>D1_OCTUBRE_2025[[#This Row],[RECUPERO]]/D1_OCTUBRE_2025[[#This Row],[META]]</f>
        <v>0.76181818181818184</v>
      </c>
      <c r="E15" t="s">
        <v>3</v>
      </c>
      <c r="F15" t="s">
        <v>33</v>
      </c>
      <c r="G15">
        <v>16760</v>
      </c>
      <c r="H15" t="s">
        <v>439</v>
      </c>
      <c r="I15" s="55">
        <v>44869</v>
      </c>
      <c r="J15" s="55" t="s">
        <v>501</v>
      </c>
      <c r="K15" s="55"/>
      <c r="L15" s="55"/>
      <c r="M15" s="1">
        <f>DATA_OCTUBRE_2025[[#This Row],[RECUPERO]]/DATA_OCTUBRE_2025[[#This Row],[META]]</f>
        <v>0.43795454545454543</v>
      </c>
      <c r="N15">
        <f>6-ROUNDUP(_xlfn.RANK.EQ(DATA_OCTUBRE_2025[[#This Row],[AL_AC]],DATA_OCTUBRE_2025[AL_AC],0)/(COUNTA(DATA_OCTUBRE_2025[AL_AC])/5),0)</f>
        <v>2</v>
      </c>
      <c r="O15" t="s">
        <v>4</v>
      </c>
      <c r="P15">
        <f>SUM(DATA_OCTUBRE_2025[[#This Row],[1]:[31]])</f>
        <v>9635</v>
      </c>
      <c r="Q15">
        <v>22000</v>
      </c>
      <c r="R15" t="s">
        <v>92</v>
      </c>
      <c r="T15">
        <v>50</v>
      </c>
      <c r="U15">
        <v>400</v>
      </c>
      <c r="X15">
        <v>2500</v>
      </c>
      <c r="Y15">
        <v>400</v>
      </c>
      <c r="AE15">
        <v>100</v>
      </c>
      <c r="AI15">
        <v>600</v>
      </c>
      <c r="AL15">
        <v>150</v>
      </c>
      <c r="AN15">
        <v>450</v>
      </c>
      <c r="AP15">
        <v>4000</v>
      </c>
      <c r="AV15">
        <v>985</v>
      </c>
      <c r="AX15" t="s">
        <v>157</v>
      </c>
      <c r="AZ15">
        <f>VLOOKUP($M$3&amp;$N$3&amp;DITE_OCTUBRE_2025[[#This Row],[SUPER]],TablaMeta[],5,0)</f>
        <v>239472</v>
      </c>
      <c r="BA15" s="11">
        <f>MAX(DITE_OCTUBRE_2025[[#This Row],[1]:[31]])</f>
        <v>186482.05</v>
      </c>
      <c r="BB15" s="17">
        <f>IFERROR(DITE_OCTUBRE_2025[[#This Row],[RECUPERO SUPERVISOR]]/DITE_OCTUBRE_2025[[#This Row],[META SUPER]],"")</f>
        <v>0.77872172947150398</v>
      </c>
      <c r="BC15" t="s">
        <v>4</v>
      </c>
      <c r="BD15">
        <v>4856.05</v>
      </c>
      <c r="BE15">
        <v>6196.05</v>
      </c>
      <c r="BF15">
        <v>7556.05</v>
      </c>
      <c r="BG15">
        <v>8456.0499999999993</v>
      </c>
      <c r="BH15">
        <v>8456.0499999999993</v>
      </c>
      <c r="BI15">
        <v>10956.05</v>
      </c>
      <c r="BJ15">
        <v>14336.05</v>
      </c>
      <c r="BK15">
        <v>14336.05</v>
      </c>
      <c r="BL15">
        <v>16336.05</v>
      </c>
      <c r="BM15">
        <v>23136.05</v>
      </c>
      <c r="BN15">
        <v>23136.05</v>
      </c>
      <c r="BO15">
        <v>23336.05</v>
      </c>
      <c r="BP15">
        <v>29176.05</v>
      </c>
      <c r="BQ15">
        <v>30374.05</v>
      </c>
      <c r="BR15">
        <v>52974.05</v>
      </c>
      <c r="BS15">
        <v>74874.05</v>
      </c>
      <c r="BT15">
        <v>75974.05</v>
      </c>
      <c r="BU15">
        <v>76254.05</v>
      </c>
      <c r="BV15">
        <v>76254.05</v>
      </c>
      <c r="BW15">
        <v>95344.05</v>
      </c>
      <c r="BX15">
        <v>98292.05</v>
      </c>
      <c r="BY15">
        <v>102788.05</v>
      </c>
      <c r="BZ15">
        <v>110176.05</v>
      </c>
      <c r="CA15">
        <v>118849.05</v>
      </c>
      <c r="CB15">
        <v>121069.05</v>
      </c>
      <c r="CC15">
        <v>121069.05</v>
      </c>
      <c r="CD15">
        <v>126749.05</v>
      </c>
      <c r="CE15">
        <v>128909.05</v>
      </c>
      <c r="CF15">
        <v>135969.04999999999</v>
      </c>
      <c r="CG15">
        <v>154516.04999999999</v>
      </c>
      <c r="CH15">
        <v>186482.05</v>
      </c>
      <c r="CI15" s="11" t="str">
        <f>VLOOKUP($M$3&amp;$N$3&amp;DITE_OCTUBRE_2025[[#This Row],[SUPER]],TablaMeta[],7,0)</f>
        <v>S3 - 4</v>
      </c>
      <c r="CK15" t="s">
        <v>4</v>
      </c>
      <c r="CL15" t="s">
        <v>4</v>
      </c>
      <c r="CM15" t="s">
        <v>4</v>
      </c>
      <c r="CN15" t="s">
        <v>4</v>
      </c>
      <c r="CO15" t="s">
        <v>4</v>
      </c>
    </row>
    <row r="16" spans="1:93" x14ac:dyDescent="0.25">
      <c r="A16" t="s">
        <v>3</v>
      </c>
      <c r="B16" t="s">
        <v>106</v>
      </c>
      <c r="C16">
        <f>VLOOKUP(D1_OCTUBRE_2025[[#This Row],[SUPER]],DATA_OCTUBRE_2025[[SUPERVISOR]:[META]],3,0)</f>
        <v>22000</v>
      </c>
      <c r="D16">
        <f>D1_OCTUBRE_2025[[#This Row],[RECUPERO]]/D1_OCTUBRE_2025[[#This Row],[META]]</f>
        <v>0.69650000000000001</v>
      </c>
      <c r="E16" t="s">
        <v>3</v>
      </c>
      <c r="F16" t="s">
        <v>106</v>
      </c>
      <c r="G16">
        <v>15323</v>
      </c>
      <c r="H16" t="s">
        <v>392</v>
      </c>
      <c r="I16" s="55">
        <v>44748</v>
      </c>
      <c r="J16" s="55" t="s">
        <v>501</v>
      </c>
      <c r="K16" s="55"/>
      <c r="L16" s="55"/>
      <c r="M16" s="1">
        <f>DATA_OCTUBRE_2025[[#This Row],[RECUPERO]]/DATA_OCTUBRE_2025[[#This Row],[META]]</f>
        <v>1.3928301886792454</v>
      </c>
      <c r="N16">
        <f>6-ROUNDUP(_xlfn.RANK.EQ(DATA_OCTUBRE_2025[[#This Row],[AL_AC]],DATA_OCTUBRE_2025[AL_AC],0)/(COUNTA(DATA_OCTUBRE_2025[AL_AC])/5),0)</f>
        <v>5</v>
      </c>
      <c r="O16" t="s">
        <v>7</v>
      </c>
      <c r="P16">
        <f>SUM(DATA_OCTUBRE_2025[[#This Row],[1]:[31]])</f>
        <v>73820</v>
      </c>
      <c r="Q16">
        <v>53000</v>
      </c>
      <c r="R16" t="s">
        <v>69</v>
      </c>
      <c r="S16">
        <v>20000</v>
      </c>
      <c r="V16">
        <v>800</v>
      </c>
      <c r="AA16">
        <v>2100</v>
      </c>
      <c r="AE16">
        <v>3000</v>
      </c>
      <c r="AG16">
        <v>10000</v>
      </c>
      <c r="AH16">
        <v>7500</v>
      </c>
      <c r="AI16">
        <v>5900</v>
      </c>
      <c r="AL16">
        <v>3000</v>
      </c>
      <c r="AO16">
        <v>170</v>
      </c>
      <c r="AP16">
        <v>3500</v>
      </c>
      <c r="AS16">
        <v>150</v>
      </c>
      <c r="AT16">
        <v>10500</v>
      </c>
      <c r="AV16">
        <v>5600</v>
      </c>
      <c r="AW16">
        <v>1600</v>
      </c>
      <c r="AX16" t="s">
        <v>159</v>
      </c>
      <c r="AZ16">
        <f>VLOOKUP($M$3&amp;$N$3&amp;DITE_OCTUBRE_2025[[#This Row],[SUPER]],TablaMeta[],5,0)</f>
        <v>239472</v>
      </c>
      <c r="BA16" s="11">
        <f>MAX(DITE_OCTUBRE_2025[[#This Row],[1]:[31]])</f>
        <v>238244.12</v>
      </c>
      <c r="BB16" s="17">
        <f>IFERROR(DITE_OCTUBRE_2025[[#This Row],[RECUPERO SUPERVISOR]]/DITE_OCTUBRE_2025[[#This Row],[META SUPER]],"")</f>
        <v>0.99487255294982291</v>
      </c>
      <c r="BC16" t="s">
        <v>3</v>
      </c>
      <c r="BD16">
        <v>7646.4</v>
      </c>
      <c r="BE16">
        <v>8664.4</v>
      </c>
      <c r="BF16">
        <v>10177.4</v>
      </c>
      <c r="BG16">
        <v>11633.4</v>
      </c>
      <c r="BH16">
        <v>11633.4</v>
      </c>
      <c r="BI16">
        <v>15914.4</v>
      </c>
      <c r="BJ16">
        <v>17824.400000000001</v>
      </c>
      <c r="BK16">
        <v>17824.400000000001</v>
      </c>
      <c r="BL16">
        <v>19549.400000000001</v>
      </c>
      <c r="BM16">
        <v>27081.4</v>
      </c>
      <c r="BN16">
        <v>27931.4</v>
      </c>
      <c r="BO16">
        <v>27931.4</v>
      </c>
      <c r="BP16">
        <v>37476.400000000001</v>
      </c>
      <c r="BQ16">
        <v>60726.92</v>
      </c>
      <c r="BR16">
        <v>74182.92</v>
      </c>
      <c r="BS16">
        <v>76157.919999999998</v>
      </c>
      <c r="BT16">
        <v>85004.92</v>
      </c>
      <c r="BU16">
        <v>85344.92</v>
      </c>
      <c r="BV16">
        <v>85344.92</v>
      </c>
      <c r="BW16">
        <v>97047.92</v>
      </c>
      <c r="BX16">
        <v>117722.92</v>
      </c>
      <c r="BY16">
        <v>131956.91999999998</v>
      </c>
      <c r="BZ16">
        <v>145676.91999999998</v>
      </c>
      <c r="CA16">
        <v>150545.91999999998</v>
      </c>
      <c r="CB16">
        <v>151921.91999999998</v>
      </c>
      <c r="CC16">
        <v>151921.91999999998</v>
      </c>
      <c r="CD16">
        <v>167377.91999999998</v>
      </c>
      <c r="CE16">
        <v>172477.91999999998</v>
      </c>
      <c r="CF16">
        <v>186972.91999999998</v>
      </c>
      <c r="CG16">
        <v>215601.12</v>
      </c>
      <c r="CH16">
        <v>238244.12</v>
      </c>
      <c r="CI16" s="11" t="str">
        <f>VLOOKUP($M$3&amp;$N$3&amp;DITE_OCTUBRE_2025[[#This Row],[SUPER]],TablaMeta[],7,0)</f>
        <v>S3 - 4</v>
      </c>
      <c r="CK16" t="s">
        <v>3</v>
      </c>
      <c r="CL16" t="s">
        <v>3</v>
      </c>
      <c r="CM16" t="s">
        <v>3</v>
      </c>
      <c r="CN16" t="s">
        <v>125</v>
      </c>
      <c r="CO16" t="s">
        <v>3</v>
      </c>
    </row>
    <row r="17" spans="1:50" x14ac:dyDescent="0.25">
      <c r="A17" t="s">
        <v>3</v>
      </c>
      <c r="B17" t="s">
        <v>53</v>
      </c>
      <c r="C17">
        <f>VLOOKUP(D1_OCTUBRE_2025[[#This Row],[SUPER]],DATA_OCTUBRE_2025[[SUPERVISOR]:[META]],3,0)</f>
        <v>22000</v>
      </c>
      <c r="D17">
        <f>D1_OCTUBRE_2025[[#This Row],[RECUPERO]]/D1_OCTUBRE_2025[[#This Row],[META]]</f>
        <v>0.45429090909090908</v>
      </c>
      <c r="E17" t="s">
        <v>3</v>
      </c>
      <c r="F17" t="s">
        <v>53</v>
      </c>
      <c r="G17">
        <v>9994.4</v>
      </c>
      <c r="H17" t="s">
        <v>457</v>
      </c>
      <c r="I17" s="55">
        <v>45727</v>
      </c>
      <c r="J17" s="55" t="s">
        <v>501</v>
      </c>
      <c r="K17" s="55"/>
      <c r="L17" s="55"/>
      <c r="M17" s="1">
        <f>DATA_OCTUBRE_2025[[#This Row],[RECUPERO]]/DATA_OCTUBRE_2025[[#This Row],[META]]</f>
        <v>0.84500226415094348</v>
      </c>
      <c r="N17">
        <f>6-ROUNDUP(_xlfn.RANK.EQ(DATA_OCTUBRE_2025[[#This Row],[AL_AC]],DATA_OCTUBRE_2025[AL_AC],0)/(COUNTA(DATA_OCTUBRE_2025[AL_AC])/5),0)</f>
        <v>3</v>
      </c>
      <c r="O17" t="s">
        <v>6</v>
      </c>
      <c r="P17">
        <f>SUM(DATA_OCTUBRE_2025[[#This Row],[1]:[31]])</f>
        <v>44785.120000000003</v>
      </c>
      <c r="Q17">
        <v>53000</v>
      </c>
      <c r="R17" t="s">
        <v>67</v>
      </c>
      <c r="S17">
        <v>531</v>
      </c>
      <c r="T17">
        <v>830</v>
      </c>
      <c r="AB17">
        <v>1900</v>
      </c>
      <c r="AE17">
        <v>7000</v>
      </c>
      <c r="AG17">
        <v>4000</v>
      </c>
      <c r="AL17">
        <v>1000</v>
      </c>
      <c r="AN17">
        <v>1000</v>
      </c>
      <c r="AQ17">
        <v>5000</v>
      </c>
      <c r="AS17">
        <v>700</v>
      </c>
      <c r="AT17">
        <v>12700</v>
      </c>
      <c r="AU17">
        <v>1315</v>
      </c>
      <c r="AV17">
        <v>2505</v>
      </c>
      <c r="AW17">
        <v>6304.12</v>
      </c>
      <c r="AX17" t="s">
        <v>159</v>
      </c>
    </row>
    <row r="18" spans="1:50" x14ac:dyDescent="0.25">
      <c r="A18" t="s">
        <v>3</v>
      </c>
      <c r="B18" t="s">
        <v>101</v>
      </c>
      <c r="C18">
        <f>VLOOKUP(D1_OCTUBRE_2025[[#This Row],[SUPER]],DATA_OCTUBRE_2025[[SUPERVISOR]:[META]],3,0)</f>
        <v>22000</v>
      </c>
      <c r="D18">
        <f>D1_OCTUBRE_2025[[#This Row],[RECUPERO]]/D1_OCTUBRE_2025[[#This Row],[META]]</f>
        <v>0.32363636363636361</v>
      </c>
      <c r="E18" t="s">
        <v>3</v>
      </c>
      <c r="F18" t="s">
        <v>101</v>
      </c>
      <c r="G18">
        <v>7120</v>
      </c>
      <c r="H18" t="s">
        <v>488</v>
      </c>
      <c r="I18" s="55">
        <v>45875</v>
      </c>
      <c r="J18" s="55" t="s">
        <v>501</v>
      </c>
      <c r="K18" s="55"/>
      <c r="L18" s="55"/>
      <c r="M18" s="1">
        <f>DATA_OCTUBRE_2025[[#This Row],[RECUPERO]]/DATA_OCTUBRE_2025[[#This Row],[META]]</f>
        <v>0.42222727272727273</v>
      </c>
      <c r="N18">
        <f>6-ROUNDUP(_xlfn.RANK.EQ(DATA_OCTUBRE_2025[[#This Row],[AL_AC]],DATA_OCTUBRE_2025[AL_AC],0)/(COUNTA(DATA_OCTUBRE_2025[AL_AC])/5),0)</f>
        <v>2</v>
      </c>
      <c r="O18" t="s">
        <v>4</v>
      </c>
      <c r="P18">
        <f>SUM(DATA_OCTUBRE_2025[[#This Row],[1]:[31]])</f>
        <v>9289</v>
      </c>
      <c r="Q18">
        <v>22000</v>
      </c>
      <c r="R18" t="s">
        <v>104</v>
      </c>
      <c r="U18">
        <v>200</v>
      </c>
      <c r="AA18">
        <v>300</v>
      </c>
      <c r="AG18">
        <v>350</v>
      </c>
      <c r="AH18">
        <v>2000</v>
      </c>
      <c r="AM18">
        <v>248</v>
      </c>
      <c r="AN18">
        <v>1400</v>
      </c>
      <c r="AO18">
        <v>300</v>
      </c>
      <c r="AP18">
        <v>650</v>
      </c>
      <c r="AS18">
        <v>750</v>
      </c>
      <c r="AU18">
        <v>1000</v>
      </c>
      <c r="AV18">
        <v>1230</v>
      </c>
      <c r="AW18">
        <v>861</v>
      </c>
      <c r="AX18" t="s">
        <v>157</v>
      </c>
    </row>
    <row r="19" spans="1:50" x14ac:dyDescent="0.25">
      <c r="A19" t="s">
        <v>4</v>
      </c>
      <c r="B19" t="s">
        <v>40</v>
      </c>
      <c r="C19">
        <f>VLOOKUP(D1_OCTUBRE_2025[[#This Row],[SUPER]],DATA_OCTUBRE_2025[[SUPERVISOR]:[META]],3,0)</f>
        <v>22000</v>
      </c>
      <c r="D19">
        <f>D1_OCTUBRE_2025[[#This Row],[RECUPERO]]/D1_OCTUBRE_2025[[#This Row],[META]]</f>
        <v>2.3106363636363638</v>
      </c>
      <c r="E19" t="s">
        <v>4</v>
      </c>
      <c r="F19" t="s">
        <v>40</v>
      </c>
      <c r="G19">
        <v>50834</v>
      </c>
      <c r="H19" t="s">
        <v>424</v>
      </c>
      <c r="I19" s="55">
        <v>45429</v>
      </c>
      <c r="J19" s="55" t="s">
        <v>501</v>
      </c>
      <c r="K19" s="55"/>
      <c r="L19" s="55"/>
      <c r="M19" s="1">
        <f>DATA_OCTUBRE_2025[[#This Row],[RECUPERO]]/DATA_OCTUBRE_2025[[#This Row],[META]]</f>
        <v>1.4431739130434782</v>
      </c>
      <c r="N19">
        <f>6-ROUNDUP(_xlfn.RANK.EQ(DATA_OCTUBRE_2025[[#This Row],[AL_AC]],DATA_OCTUBRE_2025[AL_AC],0)/(COUNTA(DATA_OCTUBRE_2025[AL_AC])/5),0)</f>
        <v>5</v>
      </c>
      <c r="O19" t="s">
        <v>9</v>
      </c>
      <c r="P19">
        <f>SUM(DATA_OCTUBRE_2025[[#This Row],[1]:[31]])</f>
        <v>33193</v>
      </c>
      <c r="Q19">
        <v>23000</v>
      </c>
      <c r="R19" t="s">
        <v>19</v>
      </c>
      <c r="T19">
        <v>500</v>
      </c>
      <c r="U19">
        <v>2255</v>
      </c>
      <c r="Y19">
        <v>1750</v>
      </c>
      <c r="AA19">
        <v>258</v>
      </c>
      <c r="AE19">
        <v>130</v>
      </c>
      <c r="AJ19">
        <v>700</v>
      </c>
      <c r="AL19">
        <v>1000</v>
      </c>
      <c r="AN19">
        <v>6700</v>
      </c>
      <c r="AO19">
        <v>1000</v>
      </c>
      <c r="AS19">
        <v>2000</v>
      </c>
      <c r="AU19">
        <v>1300</v>
      </c>
      <c r="AV19">
        <v>14000</v>
      </c>
      <c r="AW19">
        <v>1600</v>
      </c>
      <c r="AX19" t="s">
        <v>156</v>
      </c>
    </row>
    <row r="20" spans="1:50" x14ac:dyDescent="0.25">
      <c r="A20" t="s">
        <v>4</v>
      </c>
      <c r="B20" t="s">
        <v>93</v>
      </c>
      <c r="C20">
        <f>VLOOKUP(D1_OCTUBRE_2025[[#This Row],[SUPER]],DATA_OCTUBRE_2025[[SUPERVISOR]:[META]],3,0)</f>
        <v>22000</v>
      </c>
      <c r="D20">
        <f>D1_OCTUBRE_2025[[#This Row],[RECUPERO]]/D1_OCTUBRE_2025[[#This Row],[META]]</f>
        <v>1.1891818181818181</v>
      </c>
      <c r="E20" t="s">
        <v>4</v>
      </c>
      <c r="F20" t="s">
        <v>93</v>
      </c>
      <c r="G20">
        <v>26162</v>
      </c>
      <c r="H20" t="s">
        <v>482</v>
      </c>
      <c r="I20" s="55">
        <v>44644</v>
      </c>
      <c r="J20" s="55" t="s">
        <v>501</v>
      </c>
      <c r="K20" s="55"/>
      <c r="L20" s="55"/>
      <c r="M20" s="1">
        <f>DATA_OCTUBRE_2025[[#This Row],[RECUPERO]]/DATA_OCTUBRE_2025[[#This Row],[META]]</f>
        <v>0.45429090909090908</v>
      </c>
      <c r="N20">
        <f>6-ROUNDUP(_xlfn.RANK.EQ(DATA_OCTUBRE_2025[[#This Row],[AL_AC]],DATA_OCTUBRE_2025[AL_AC],0)/(COUNTA(DATA_OCTUBRE_2025[AL_AC])/5),0)</f>
        <v>2</v>
      </c>
      <c r="O20" t="s">
        <v>3</v>
      </c>
      <c r="P20">
        <f>SUM(DATA_OCTUBRE_2025[[#This Row],[1]:[31]])</f>
        <v>9994.4</v>
      </c>
      <c r="Q20">
        <v>22000</v>
      </c>
      <c r="R20" t="s">
        <v>53</v>
      </c>
      <c r="S20">
        <v>506.4</v>
      </c>
      <c r="T20">
        <v>318</v>
      </c>
      <c r="AG20">
        <v>7000</v>
      </c>
      <c r="AI20">
        <v>560</v>
      </c>
      <c r="AL20">
        <v>1610</v>
      </c>
      <c r="AX20" t="s">
        <v>157</v>
      </c>
    </row>
    <row r="21" spans="1:50" x14ac:dyDescent="0.25">
      <c r="A21" t="s">
        <v>4</v>
      </c>
      <c r="B21" t="s">
        <v>35</v>
      </c>
      <c r="C21">
        <f>VLOOKUP(D1_OCTUBRE_2025[[#This Row],[SUPER]],DATA_OCTUBRE_2025[[SUPERVISOR]:[META]],3,0)</f>
        <v>22000</v>
      </c>
      <c r="D21">
        <f>D1_OCTUBRE_2025[[#This Row],[RECUPERO]]/D1_OCTUBRE_2025[[#This Row],[META]]</f>
        <v>0.80418181818181822</v>
      </c>
      <c r="E21" t="s">
        <v>4</v>
      </c>
      <c r="F21" t="s">
        <v>35</v>
      </c>
      <c r="G21">
        <v>17692</v>
      </c>
      <c r="H21" t="s">
        <v>401</v>
      </c>
      <c r="I21" s="55">
        <v>44748</v>
      </c>
      <c r="J21" s="55" t="s">
        <v>501</v>
      </c>
      <c r="K21" s="55"/>
      <c r="L21" s="55"/>
      <c r="M21" s="1">
        <f>DATA_OCTUBRE_2025[[#This Row],[RECUPERO]]/DATA_OCTUBRE_2025[[#This Row],[META]]</f>
        <v>0.3354375</v>
      </c>
      <c r="N21">
        <f>6-ROUNDUP(_xlfn.RANK.EQ(DATA_OCTUBRE_2025[[#This Row],[AL_AC]],DATA_OCTUBRE_2025[AL_AC],0)/(COUNTA(DATA_OCTUBRE_2025[AL_AC])/5),0)</f>
        <v>1</v>
      </c>
      <c r="O21" t="s">
        <v>125</v>
      </c>
      <c r="P21">
        <f>SUM(DATA_OCTUBRE_2025[[#This Row],[1]:[31]])</f>
        <v>10734</v>
      </c>
      <c r="Q21">
        <v>32000</v>
      </c>
      <c r="R21" t="s">
        <v>41</v>
      </c>
      <c r="AB21">
        <v>320</v>
      </c>
      <c r="AE21">
        <v>257</v>
      </c>
      <c r="AH21">
        <v>300</v>
      </c>
      <c r="AI21">
        <v>230</v>
      </c>
      <c r="AN21">
        <v>1000</v>
      </c>
      <c r="AO21">
        <v>300</v>
      </c>
      <c r="AP21">
        <v>5500</v>
      </c>
      <c r="AS21">
        <v>1000</v>
      </c>
      <c r="AU21">
        <v>650</v>
      </c>
      <c r="AW21">
        <v>1177</v>
      </c>
      <c r="AX21" t="s">
        <v>158</v>
      </c>
    </row>
    <row r="22" spans="1:50" x14ac:dyDescent="0.25">
      <c r="A22" t="s">
        <v>4</v>
      </c>
      <c r="B22" t="s">
        <v>55</v>
      </c>
      <c r="C22">
        <f>VLOOKUP(D1_OCTUBRE_2025[[#This Row],[SUPER]],DATA_OCTUBRE_2025[[SUPERVISOR]:[META]],3,0)</f>
        <v>22000</v>
      </c>
      <c r="D22">
        <f>D1_OCTUBRE_2025[[#This Row],[RECUPERO]]/D1_OCTUBRE_2025[[#This Row],[META]]</f>
        <v>0.72113863636363629</v>
      </c>
      <c r="E22" t="s">
        <v>4</v>
      </c>
      <c r="F22" t="s">
        <v>55</v>
      </c>
      <c r="G22">
        <v>15865.05</v>
      </c>
      <c r="H22" t="s">
        <v>475</v>
      </c>
      <c r="I22" s="55">
        <v>45818</v>
      </c>
      <c r="J22" s="55" t="s">
        <v>501</v>
      </c>
      <c r="K22" s="55"/>
      <c r="L22" s="55"/>
      <c r="M22" s="1">
        <f>DATA_OCTUBRE_2025[[#This Row],[RECUPERO]]/DATA_OCTUBRE_2025[[#This Row],[META]]</f>
        <v>1.6813142857142858</v>
      </c>
      <c r="N22">
        <f>6-ROUNDUP(_xlfn.RANK.EQ(DATA_OCTUBRE_2025[[#This Row],[AL_AC]],DATA_OCTUBRE_2025[AL_AC],0)/(COUNTA(DATA_OCTUBRE_2025[AL_AC])/5),0)</f>
        <v>5</v>
      </c>
      <c r="O22" t="s">
        <v>8</v>
      </c>
      <c r="P22">
        <f>SUM(DATA_OCTUBRE_2025[[#This Row],[1]:[31]])</f>
        <v>117692</v>
      </c>
      <c r="Q22">
        <v>70000</v>
      </c>
      <c r="R22" t="s">
        <v>61</v>
      </c>
      <c r="S22">
        <v>1000</v>
      </c>
      <c r="U22">
        <v>700</v>
      </c>
      <c r="AB22">
        <v>21000</v>
      </c>
      <c r="AG22">
        <v>10855</v>
      </c>
      <c r="AH22">
        <v>11500</v>
      </c>
      <c r="AI22">
        <v>6690</v>
      </c>
      <c r="AM22">
        <v>20000</v>
      </c>
      <c r="AN22">
        <v>8200</v>
      </c>
      <c r="AO22">
        <v>7300</v>
      </c>
      <c r="AP22">
        <v>6132</v>
      </c>
      <c r="AS22">
        <v>900</v>
      </c>
      <c r="AU22">
        <v>3600</v>
      </c>
      <c r="AV22">
        <v>6315</v>
      </c>
      <c r="AW22">
        <v>13500</v>
      </c>
      <c r="AX22" t="s">
        <v>155</v>
      </c>
    </row>
    <row r="23" spans="1:50" x14ac:dyDescent="0.25">
      <c r="A23" t="s">
        <v>4</v>
      </c>
      <c r="B23" t="s">
        <v>71</v>
      </c>
      <c r="C23">
        <f>VLOOKUP(D1_OCTUBRE_2025[[#This Row],[SUPER]],DATA_OCTUBRE_2025[[SUPERVISOR]:[META]],3,0)</f>
        <v>22000</v>
      </c>
      <c r="D23">
        <f>D1_OCTUBRE_2025[[#This Row],[RECUPERO]]/D1_OCTUBRE_2025[[#This Row],[META]]</f>
        <v>0.54481818181818187</v>
      </c>
      <c r="E23" t="s">
        <v>4</v>
      </c>
      <c r="F23" t="s">
        <v>71</v>
      </c>
      <c r="G23">
        <v>11986</v>
      </c>
      <c r="H23" t="s">
        <v>414</v>
      </c>
      <c r="I23" s="55">
        <v>45423</v>
      </c>
      <c r="J23" s="55" t="s">
        <v>501</v>
      </c>
      <c r="K23" s="55"/>
      <c r="L23" s="55"/>
      <c r="M23" s="1">
        <f>DATA_OCTUBRE_2025[[#This Row],[RECUPERO]]/DATA_OCTUBRE_2025[[#This Row],[META]]</f>
        <v>1.7717391304347827</v>
      </c>
      <c r="N23">
        <f>6-ROUNDUP(_xlfn.RANK.EQ(DATA_OCTUBRE_2025[[#This Row],[AL_AC]],DATA_OCTUBRE_2025[AL_AC],0)/(COUNTA(DATA_OCTUBRE_2025[AL_AC])/5),0)</f>
        <v>5</v>
      </c>
      <c r="O23" t="s">
        <v>9</v>
      </c>
      <c r="P23">
        <f>SUM(DATA_OCTUBRE_2025[[#This Row],[1]:[31]])</f>
        <v>40750</v>
      </c>
      <c r="Q23">
        <v>23000</v>
      </c>
      <c r="R23" t="s">
        <v>80</v>
      </c>
      <c r="S23">
        <v>235</v>
      </c>
      <c r="AA23">
        <v>800</v>
      </c>
      <c r="AB23">
        <v>365</v>
      </c>
      <c r="AF23">
        <v>800</v>
      </c>
      <c r="AH23">
        <v>38000</v>
      </c>
      <c r="AL23">
        <v>400</v>
      </c>
      <c r="AM23">
        <v>150</v>
      </c>
      <c r="AX23" t="s">
        <v>156</v>
      </c>
    </row>
    <row r="24" spans="1:50" x14ac:dyDescent="0.25">
      <c r="A24" t="s">
        <v>4</v>
      </c>
      <c r="B24" t="s">
        <v>74</v>
      </c>
      <c r="C24">
        <f>VLOOKUP(D1_OCTUBRE_2025[[#This Row],[SUPER]],DATA_OCTUBRE_2025[[SUPERVISOR]:[META]],3,0)</f>
        <v>22000</v>
      </c>
      <c r="D24">
        <f>D1_OCTUBRE_2025[[#This Row],[RECUPERO]]/D1_OCTUBRE_2025[[#This Row],[META]]</f>
        <v>0.53149999999999997</v>
      </c>
      <c r="E24" t="s">
        <v>4</v>
      </c>
      <c r="F24" t="s">
        <v>74</v>
      </c>
      <c r="G24">
        <v>11693</v>
      </c>
      <c r="H24" t="s">
        <v>395</v>
      </c>
      <c r="I24" s="55">
        <v>44470</v>
      </c>
      <c r="J24" s="55" t="s">
        <v>501</v>
      </c>
      <c r="K24" s="55"/>
      <c r="L24" s="55"/>
      <c r="M24" s="1">
        <f>DATA_OCTUBRE_2025[[#This Row],[RECUPERO]]/DATA_OCTUBRE_2025[[#This Row],[META]]</f>
        <v>2.3106363636363638</v>
      </c>
      <c r="N24">
        <f>6-ROUNDUP(_xlfn.RANK.EQ(DATA_OCTUBRE_2025[[#This Row],[AL_AC]],DATA_OCTUBRE_2025[AL_AC],0)/(COUNTA(DATA_OCTUBRE_2025[AL_AC])/5),0)</f>
        <v>5</v>
      </c>
      <c r="O24" t="s">
        <v>4</v>
      </c>
      <c r="P24">
        <f>SUM(DATA_OCTUBRE_2025[[#This Row],[1]:[31]])</f>
        <v>50834</v>
      </c>
      <c r="Q24">
        <v>22000</v>
      </c>
      <c r="R24" t="s">
        <v>40</v>
      </c>
      <c r="S24">
        <v>1700</v>
      </c>
      <c r="AA24">
        <v>1700</v>
      </c>
      <c r="AB24">
        <v>800</v>
      </c>
      <c r="AD24">
        <v>200</v>
      </c>
      <c r="AE24">
        <v>1000</v>
      </c>
      <c r="AF24">
        <v>300</v>
      </c>
      <c r="AG24">
        <v>20300</v>
      </c>
      <c r="AJ24">
        <v>280</v>
      </c>
      <c r="AL24">
        <v>390</v>
      </c>
      <c r="AN24">
        <v>700</v>
      </c>
      <c r="AP24">
        <v>294</v>
      </c>
      <c r="AQ24">
        <v>220</v>
      </c>
      <c r="AS24">
        <v>1200</v>
      </c>
      <c r="AW24">
        <v>21750</v>
      </c>
      <c r="AX24" t="s">
        <v>157</v>
      </c>
    </row>
    <row r="25" spans="1:50" x14ac:dyDescent="0.25">
      <c r="A25" t="s">
        <v>4</v>
      </c>
      <c r="B25" t="s">
        <v>92</v>
      </c>
      <c r="C25">
        <f>VLOOKUP(D1_OCTUBRE_2025[[#This Row],[SUPER]],DATA_OCTUBRE_2025[[SUPERVISOR]:[META]],3,0)</f>
        <v>22000</v>
      </c>
      <c r="D25">
        <f>D1_OCTUBRE_2025[[#This Row],[RECUPERO]]/D1_OCTUBRE_2025[[#This Row],[META]]</f>
        <v>0.43795454545454543</v>
      </c>
      <c r="E25" t="s">
        <v>4</v>
      </c>
      <c r="F25" t="s">
        <v>92</v>
      </c>
      <c r="G25">
        <v>9635</v>
      </c>
      <c r="H25" t="s">
        <v>486</v>
      </c>
      <c r="I25" s="55">
        <v>45399</v>
      </c>
      <c r="J25" s="55" t="s">
        <v>501</v>
      </c>
      <c r="K25" s="55"/>
      <c r="L25" s="55"/>
      <c r="M25" s="1">
        <f>DATA_OCTUBRE_2025[[#This Row],[RECUPERO]]/DATA_OCTUBRE_2025[[#This Row],[META]]</f>
        <v>1.3420721428571429</v>
      </c>
      <c r="N25">
        <f>6-ROUNDUP(_xlfn.RANK.EQ(DATA_OCTUBRE_2025[[#This Row],[AL_AC]],DATA_OCTUBRE_2025[AL_AC],0)/(COUNTA(DATA_OCTUBRE_2025[AL_AC])/5),0)</f>
        <v>5</v>
      </c>
      <c r="O25" t="s">
        <v>8</v>
      </c>
      <c r="P25">
        <f>SUM(DATA_OCTUBRE_2025[[#This Row],[1]:[31]])</f>
        <v>93945.05</v>
      </c>
      <c r="Q25">
        <v>70000</v>
      </c>
      <c r="R25" t="s">
        <v>81</v>
      </c>
      <c r="S25">
        <v>400</v>
      </c>
      <c r="U25">
        <v>1000</v>
      </c>
      <c r="Y25">
        <v>18882</v>
      </c>
      <c r="AB25">
        <v>2000</v>
      </c>
      <c r="AC25">
        <v>223</v>
      </c>
      <c r="AF25">
        <v>36128.050000000003</v>
      </c>
      <c r="AG25">
        <v>3959</v>
      </c>
      <c r="AH25">
        <v>220</v>
      </c>
      <c r="AJ25">
        <v>355</v>
      </c>
      <c r="AL25">
        <v>3020</v>
      </c>
      <c r="AM25">
        <v>6000</v>
      </c>
      <c r="AN25">
        <v>1741</v>
      </c>
      <c r="AP25">
        <v>5900</v>
      </c>
      <c r="AS25">
        <v>400</v>
      </c>
      <c r="AT25">
        <v>600</v>
      </c>
      <c r="AU25">
        <v>6000</v>
      </c>
      <c r="AV25">
        <v>6430</v>
      </c>
      <c r="AW25">
        <v>687</v>
      </c>
      <c r="AX25" t="s">
        <v>155</v>
      </c>
    </row>
    <row r="26" spans="1:50" x14ac:dyDescent="0.25">
      <c r="A26" t="s">
        <v>4</v>
      </c>
      <c r="B26" t="s">
        <v>114</v>
      </c>
      <c r="C26">
        <f>VLOOKUP(D1_OCTUBRE_2025[[#This Row],[SUPER]],DATA_OCTUBRE_2025[[SUPERVISOR]:[META]],3,0)</f>
        <v>22000</v>
      </c>
      <c r="D26">
        <f>D1_OCTUBRE_2025[[#This Row],[RECUPERO]]/D1_OCTUBRE_2025[[#This Row],[META]]</f>
        <v>0.41581818181818181</v>
      </c>
      <c r="E26" t="s">
        <v>4</v>
      </c>
      <c r="F26" t="s">
        <v>114</v>
      </c>
      <c r="G26">
        <v>9148</v>
      </c>
      <c r="H26" t="s">
        <v>490</v>
      </c>
      <c r="I26" s="55">
        <v>45917</v>
      </c>
      <c r="J26" s="55" t="s">
        <v>501</v>
      </c>
      <c r="K26" s="55"/>
      <c r="L26" s="55"/>
      <c r="M26" s="1">
        <f>DATA_OCTUBRE_2025[[#This Row],[RECUPERO]]/DATA_OCTUBRE_2025[[#This Row],[META]]</f>
        <v>0.36471874999999998</v>
      </c>
      <c r="N26">
        <f>6-ROUNDUP(_xlfn.RANK.EQ(DATA_OCTUBRE_2025[[#This Row],[AL_AC]],DATA_OCTUBRE_2025[AL_AC],0)/(COUNTA(DATA_OCTUBRE_2025[AL_AC])/5),0)</f>
        <v>1</v>
      </c>
      <c r="O26" t="s">
        <v>5</v>
      </c>
      <c r="P26">
        <f>SUM(DATA_OCTUBRE_2025[[#This Row],[1]:[31]])</f>
        <v>11671</v>
      </c>
      <c r="Q26">
        <v>32000</v>
      </c>
      <c r="R26" t="s">
        <v>28</v>
      </c>
      <c r="U26">
        <v>207</v>
      </c>
      <c r="X26">
        <v>2000</v>
      </c>
      <c r="AB26">
        <v>800</v>
      </c>
      <c r="AM26">
        <v>400</v>
      </c>
      <c r="AO26">
        <v>2700</v>
      </c>
      <c r="AS26">
        <v>314</v>
      </c>
      <c r="AT26">
        <v>850</v>
      </c>
      <c r="AV26">
        <v>400</v>
      </c>
      <c r="AW26">
        <v>4000</v>
      </c>
      <c r="AX26" t="s">
        <v>158</v>
      </c>
    </row>
    <row r="27" spans="1:50" x14ac:dyDescent="0.25">
      <c r="A27" t="s">
        <v>4</v>
      </c>
      <c r="B27" t="s">
        <v>49</v>
      </c>
      <c r="C27">
        <f>VLOOKUP(D1_OCTUBRE_2025[[#This Row],[SUPER]],DATA_OCTUBRE_2025[[SUPERVISOR]:[META]],3,0)</f>
        <v>22000</v>
      </c>
      <c r="D27">
        <f>D1_OCTUBRE_2025[[#This Row],[RECUPERO]]/D1_OCTUBRE_2025[[#This Row],[META]]</f>
        <v>0.42295454545454547</v>
      </c>
      <c r="E27" t="s">
        <v>4</v>
      </c>
      <c r="F27" t="s">
        <v>49</v>
      </c>
      <c r="G27">
        <v>9305</v>
      </c>
      <c r="H27" t="s">
        <v>436</v>
      </c>
      <c r="I27" s="55">
        <v>42814</v>
      </c>
      <c r="J27" s="55" t="s">
        <v>501</v>
      </c>
      <c r="K27" s="55"/>
      <c r="L27" s="55"/>
      <c r="M27" s="1">
        <f>DATA_OCTUBRE_2025[[#This Row],[RECUPERO]]/DATA_OCTUBRE_2025[[#This Row],[META]]</f>
        <v>1.5539156250000001</v>
      </c>
      <c r="N27">
        <f>6-ROUNDUP(_xlfn.RANK.EQ(DATA_OCTUBRE_2025[[#This Row],[AL_AC]],DATA_OCTUBRE_2025[AL_AC],0)/(COUNTA(DATA_OCTUBRE_2025[AL_AC])/5),0)</f>
        <v>5</v>
      </c>
      <c r="O27" t="s">
        <v>5</v>
      </c>
      <c r="P27">
        <f>SUM(DATA_OCTUBRE_2025[[#This Row],[1]:[31]])</f>
        <v>49725.3</v>
      </c>
      <c r="Q27">
        <v>32000</v>
      </c>
      <c r="R27" t="s">
        <v>72</v>
      </c>
      <c r="Y27">
        <v>850</v>
      </c>
      <c r="AE27">
        <v>650</v>
      </c>
      <c r="AF27">
        <v>950</v>
      </c>
      <c r="AG27">
        <v>1041.3</v>
      </c>
      <c r="AH27">
        <v>2200</v>
      </c>
      <c r="AO27">
        <v>2000</v>
      </c>
      <c r="AP27">
        <v>2550</v>
      </c>
      <c r="AQ27">
        <v>2134</v>
      </c>
      <c r="AS27">
        <v>1100</v>
      </c>
      <c r="AT27">
        <v>9500</v>
      </c>
      <c r="AV27">
        <v>25550</v>
      </c>
      <c r="AW27">
        <v>1200</v>
      </c>
      <c r="AX27" t="s">
        <v>158</v>
      </c>
    </row>
    <row r="28" spans="1:50" x14ac:dyDescent="0.25">
      <c r="A28" t="s">
        <v>4</v>
      </c>
      <c r="B28" t="s">
        <v>104</v>
      </c>
      <c r="C28">
        <f>VLOOKUP(D1_OCTUBRE_2025[[#This Row],[SUPER]],DATA_OCTUBRE_2025[[SUPERVISOR]:[META]],3,0)</f>
        <v>22000</v>
      </c>
      <c r="D28">
        <f>D1_OCTUBRE_2025[[#This Row],[RECUPERO]]/D1_OCTUBRE_2025[[#This Row],[META]]</f>
        <v>0.42222727272727273</v>
      </c>
      <c r="E28" t="s">
        <v>4</v>
      </c>
      <c r="F28" t="s">
        <v>104</v>
      </c>
      <c r="G28">
        <v>9289</v>
      </c>
      <c r="H28" t="s">
        <v>456</v>
      </c>
      <c r="I28" s="55">
        <v>44104</v>
      </c>
      <c r="J28" s="55" t="s">
        <v>501</v>
      </c>
      <c r="K28" s="55"/>
      <c r="L28" s="55"/>
      <c r="M28" s="1">
        <f>DATA_OCTUBRE_2025[[#This Row],[RECUPERO]]/DATA_OCTUBRE_2025[[#This Row],[META]]</f>
        <v>1.1283018867924528</v>
      </c>
      <c r="N28">
        <f>6-ROUNDUP(_xlfn.RANK.EQ(DATA_OCTUBRE_2025[[#This Row],[AL_AC]],DATA_OCTUBRE_2025[AL_AC],0)/(COUNTA(DATA_OCTUBRE_2025[AL_AC])/5),0)</f>
        <v>5</v>
      </c>
      <c r="O28" t="s">
        <v>6</v>
      </c>
      <c r="P28">
        <f>SUM(DATA_OCTUBRE_2025[[#This Row],[1]:[31]])</f>
        <v>59800</v>
      </c>
      <c r="Q28">
        <v>53000</v>
      </c>
      <c r="R28" t="s">
        <v>22</v>
      </c>
      <c r="T28">
        <v>1000</v>
      </c>
      <c r="Y28">
        <v>145</v>
      </c>
      <c r="AA28">
        <v>350</v>
      </c>
      <c r="AB28">
        <v>3000</v>
      </c>
      <c r="AE28">
        <v>17830</v>
      </c>
      <c r="AH28">
        <v>19283</v>
      </c>
      <c r="AI28">
        <v>2300</v>
      </c>
      <c r="AN28">
        <v>800</v>
      </c>
      <c r="AO28">
        <v>687</v>
      </c>
      <c r="AQ28">
        <v>4000</v>
      </c>
      <c r="AU28">
        <v>5000</v>
      </c>
      <c r="AW28">
        <v>5405</v>
      </c>
      <c r="AX28" t="s">
        <v>159</v>
      </c>
    </row>
    <row r="29" spans="1:50" x14ac:dyDescent="0.25">
      <c r="A29" t="s">
        <v>125</v>
      </c>
      <c r="B29" t="s">
        <v>65</v>
      </c>
      <c r="C29">
        <f>VLOOKUP(D1_OCTUBRE_2025[[#This Row],[SUPER]],DATA_OCTUBRE_2025[[SUPERVISOR]:[META]],3,0)</f>
        <v>32000</v>
      </c>
      <c r="D29">
        <f>D1_OCTUBRE_2025[[#This Row],[RECUPERO]]/D1_OCTUBRE_2025[[#This Row],[META]]</f>
        <v>1.3979375000000001</v>
      </c>
      <c r="E29" t="s">
        <v>125</v>
      </c>
      <c r="F29" t="s">
        <v>65</v>
      </c>
      <c r="G29">
        <v>44734</v>
      </c>
      <c r="H29" t="s">
        <v>438</v>
      </c>
      <c r="I29" s="55">
        <v>45021</v>
      </c>
      <c r="J29" s="55" t="s">
        <v>501</v>
      </c>
      <c r="K29" s="55"/>
      <c r="L29" s="55"/>
      <c r="M29" s="1">
        <f>DATA_OCTUBRE_2025[[#This Row],[RECUPERO]]/DATA_OCTUBRE_2025[[#This Row],[META]]</f>
        <v>1.0704347826086957</v>
      </c>
      <c r="N29">
        <f>6-ROUNDUP(_xlfn.RANK.EQ(DATA_OCTUBRE_2025[[#This Row],[AL_AC]],DATA_OCTUBRE_2025[AL_AC],0)/(COUNTA(DATA_OCTUBRE_2025[AL_AC])/5),0)</f>
        <v>4</v>
      </c>
      <c r="O29" t="s">
        <v>9</v>
      </c>
      <c r="P29">
        <f>SUM(DATA_OCTUBRE_2025[[#This Row],[1]:[31]])</f>
        <v>24620</v>
      </c>
      <c r="Q29">
        <v>23000</v>
      </c>
      <c r="R29" t="s">
        <v>24</v>
      </c>
      <c r="X29">
        <v>250</v>
      </c>
      <c r="Y29">
        <v>210</v>
      </c>
      <c r="AA29">
        <v>500</v>
      </c>
      <c r="AH29">
        <v>160</v>
      </c>
      <c r="AI29">
        <v>6000</v>
      </c>
      <c r="AL29">
        <v>5544</v>
      </c>
      <c r="AM29">
        <v>800</v>
      </c>
      <c r="AO29">
        <v>2000</v>
      </c>
      <c r="AP29">
        <v>250</v>
      </c>
      <c r="AT29">
        <v>500</v>
      </c>
      <c r="AU29">
        <v>1300</v>
      </c>
      <c r="AV29">
        <v>5906</v>
      </c>
      <c r="AW29">
        <v>1200</v>
      </c>
      <c r="AX29" t="s">
        <v>156</v>
      </c>
    </row>
    <row r="30" spans="1:50" x14ac:dyDescent="0.25">
      <c r="A30" t="s">
        <v>125</v>
      </c>
      <c r="B30" t="s">
        <v>91</v>
      </c>
      <c r="C30">
        <f>VLOOKUP(D1_OCTUBRE_2025[[#This Row],[SUPER]],DATA_OCTUBRE_2025[[SUPERVISOR]:[META]],3,0)</f>
        <v>32000</v>
      </c>
      <c r="D30">
        <f>D1_OCTUBRE_2025[[#This Row],[RECUPERO]]/D1_OCTUBRE_2025[[#This Row],[META]]</f>
        <v>0.99562499999999998</v>
      </c>
      <c r="E30" t="s">
        <v>125</v>
      </c>
      <c r="F30" t="s">
        <v>91</v>
      </c>
      <c r="G30">
        <v>31860</v>
      </c>
      <c r="H30" t="s">
        <v>483</v>
      </c>
      <c r="I30" s="55">
        <v>45882</v>
      </c>
      <c r="J30" s="55" t="s">
        <v>501</v>
      </c>
      <c r="K30" s="55"/>
      <c r="L30" s="55"/>
      <c r="M30" s="1">
        <f>DATA_OCTUBRE_2025[[#This Row],[RECUPERO]]/DATA_OCTUBRE_2025[[#This Row],[META]]</f>
        <v>0.34173584905660376</v>
      </c>
      <c r="N30">
        <f>6-ROUNDUP(_xlfn.RANK.EQ(DATA_OCTUBRE_2025[[#This Row],[AL_AC]],DATA_OCTUBRE_2025[AL_AC],0)/(COUNTA(DATA_OCTUBRE_2025[AL_AC])/5),0)</f>
        <v>1</v>
      </c>
      <c r="O30" t="s">
        <v>7</v>
      </c>
      <c r="P30">
        <f>SUM(DATA_OCTUBRE_2025[[#This Row],[1]:[31]])</f>
        <v>18112</v>
      </c>
      <c r="Q30">
        <v>53000</v>
      </c>
      <c r="R30" t="s">
        <v>105</v>
      </c>
      <c r="Y30">
        <v>1862</v>
      </c>
      <c r="AG30">
        <v>4000</v>
      </c>
      <c r="AH30">
        <v>4000</v>
      </c>
      <c r="AO30">
        <v>4200</v>
      </c>
      <c r="AP30">
        <v>700</v>
      </c>
      <c r="AT30">
        <v>1800</v>
      </c>
      <c r="AV30">
        <v>300</v>
      </c>
      <c r="AW30">
        <v>1250</v>
      </c>
      <c r="AX30" t="s">
        <v>159</v>
      </c>
    </row>
    <row r="31" spans="1:50" x14ac:dyDescent="0.25">
      <c r="A31" t="s">
        <v>125</v>
      </c>
      <c r="B31" t="s">
        <v>16</v>
      </c>
      <c r="C31">
        <f>VLOOKUP(D1_OCTUBRE_2025[[#This Row],[SUPER]],DATA_OCTUBRE_2025[[SUPERVISOR]:[META]],3,0)</f>
        <v>32000</v>
      </c>
      <c r="D31">
        <f>D1_OCTUBRE_2025[[#This Row],[RECUPERO]]/D1_OCTUBRE_2025[[#This Row],[META]]</f>
        <v>0.95665624999999999</v>
      </c>
      <c r="E31" t="s">
        <v>125</v>
      </c>
      <c r="F31" t="s">
        <v>16</v>
      </c>
      <c r="G31">
        <v>30613</v>
      </c>
      <c r="H31" t="s">
        <v>388</v>
      </c>
      <c r="I31" s="55">
        <v>45334</v>
      </c>
      <c r="J31" s="55" t="s">
        <v>501</v>
      </c>
      <c r="K31" s="55"/>
      <c r="L31" s="55"/>
      <c r="M31" s="1">
        <f>DATA_OCTUBRE_2025[[#This Row],[RECUPERO]]/DATA_OCTUBRE_2025[[#This Row],[META]]</f>
        <v>0.95665624999999999</v>
      </c>
      <c r="N31">
        <f>6-ROUNDUP(_xlfn.RANK.EQ(DATA_OCTUBRE_2025[[#This Row],[AL_AC]],DATA_OCTUBRE_2025[AL_AC],0)/(COUNTA(DATA_OCTUBRE_2025[AL_AC])/5),0)</f>
        <v>4</v>
      </c>
      <c r="O31" t="s">
        <v>125</v>
      </c>
      <c r="P31">
        <f>SUM(DATA_OCTUBRE_2025[[#This Row],[1]:[31]])</f>
        <v>30613</v>
      </c>
      <c r="Q31">
        <v>32000</v>
      </c>
      <c r="R31" t="s">
        <v>16</v>
      </c>
      <c r="S31">
        <v>600</v>
      </c>
      <c r="U31">
        <v>600</v>
      </c>
      <c r="AA31">
        <v>600</v>
      </c>
      <c r="AE31">
        <v>8800</v>
      </c>
      <c r="AF31">
        <v>2900</v>
      </c>
      <c r="AI31">
        <v>3000</v>
      </c>
      <c r="AL31">
        <v>600</v>
      </c>
      <c r="AO31">
        <v>400</v>
      </c>
      <c r="AT31">
        <v>5000</v>
      </c>
      <c r="AU31">
        <v>1500</v>
      </c>
      <c r="AV31">
        <v>813</v>
      </c>
      <c r="AW31">
        <v>5800</v>
      </c>
      <c r="AX31" t="s">
        <v>158</v>
      </c>
    </row>
    <row r="32" spans="1:50" x14ac:dyDescent="0.25">
      <c r="A32" t="s">
        <v>125</v>
      </c>
      <c r="B32" t="s">
        <v>15</v>
      </c>
      <c r="C32">
        <f>VLOOKUP(D1_OCTUBRE_2025[[#This Row],[SUPER]],DATA_OCTUBRE_2025[[SUPERVISOR]:[META]],3,0)</f>
        <v>32000</v>
      </c>
      <c r="D32">
        <f>D1_OCTUBRE_2025[[#This Row],[RECUPERO]]/D1_OCTUBRE_2025[[#This Row],[META]]</f>
        <v>0.96356249999999999</v>
      </c>
      <c r="E32" t="s">
        <v>125</v>
      </c>
      <c r="F32" t="s">
        <v>15</v>
      </c>
      <c r="G32">
        <v>30834</v>
      </c>
      <c r="H32" t="s">
        <v>410</v>
      </c>
      <c r="I32" s="55">
        <v>44735</v>
      </c>
      <c r="J32" s="55" t="s">
        <v>501</v>
      </c>
      <c r="K32" s="55"/>
      <c r="L32" s="55"/>
      <c r="M32" s="1">
        <f>DATA_OCTUBRE_2025[[#This Row],[RECUPERO]]/DATA_OCTUBRE_2025[[#This Row],[META]]</f>
        <v>0.7658571428571429</v>
      </c>
      <c r="N32">
        <f>6-ROUNDUP(_xlfn.RANK.EQ(DATA_OCTUBRE_2025[[#This Row],[AL_AC]],DATA_OCTUBRE_2025[AL_AC],0)/(COUNTA(DATA_OCTUBRE_2025[AL_AC])/5),0)</f>
        <v>3</v>
      </c>
      <c r="O32" t="s">
        <v>8</v>
      </c>
      <c r="P32">
        <f>SUM(DATA_OCTUBRE_2025[[#This Row],[1]:[31]])</f>
        <v>53610</v>
      </c>
      <c r="Q32">
        <v>70000</v>
      </c>
      <c r="R32" t="s">
        <v>27</v>
      </c>
      <c r="U32">
        <v>576</v>
      </c>
      <c r="X32">
        <v>5000</v>
      </c>
      <c r="AF32">
        <v>1000</v>
      </c>
      <c r="AG32">
        <v>1000</v>
      </c>
      <c r="AU32">
        <v>25600</v>
      </c>
      <c r="AV32">
        <v>2034</v>
      </c>
      <c r="AW32">
        <v>18400</v>
      </c>
      <c r="AX32" t="s">
        <v>155</v>
      </c>
    </row>
    <row r="33" spans="1:50" x14ac:dyDescent="0.25">
      <c r="A33" t="s">
        <v>125</v>
      </c>
      <c r="B33" t="s">
        <v>38</v>
      </c>
      <c r="C33">
        <f>VLOOKUP(D1_OCTUBRE_2025[[#This Row],[SUPER]],DATA_OCTUBRE_2025[[SUPERVISOR]:[META]],3,0)</f>
        <v>32000</v>
      </c>
      <c r="D33">
        <f>D1_OCTUBRE_2025[[#This Row],[RECUPERO]]/D1_OCTUBRE_2025[[#This Row],[META]]</f>
        <v>0.95709374999999997</v>
      </c>
      <c r="E33" t="s">
        <v>125</v>
      </c>
      <c r="F33" t="s">
        <v>38</v>
      </c>
      <c r="G33">
        <v>30627</v>
      </c>
      <c r="H33" t="s">
        <v>469</v>
      </c>
      <c r="I33" s="55">
        <v>45805</v>
      </c>
      <c r="J33" s="55" t="s">
        <v>501</v>
      </c>
      <c r="K33" s="55"/>
      <c r="L33" s="55"/>
      <c r="M33" s="1">
        <f>DATA_OCTUBRE_2025[[#This Row],[RECUPERO]]/DATA_OCTUBRE_2025[[#This Row],[META]]</f>
        <v>0.86759375000000005</v>
      </c>
      <c r="N33">
        <f>6-ROUNDUP(_xlfn.RANK.EQ(DATA_OCTUBRE_2025[[#This Row],[AL_AC]],DATA_OCTUBRE_2025[AL_AC],0)/(COUNTA(DATA_OCTUBRE_2025[AL_AC])/5),0)</f>
        <v>3</v>
      </c>
      <c r="O33" t="s">
        <v>125</v>
      </c>
      <c r="P33">
        <f>SUM(DATA_OCTUBRE_2025[[#This Row],[1]:[31]])</f>
        <v>27763</v>
      </c>
      <c r="Q33">
        <v>32000</v>
      </c>
      <c r="R33" t="s">
        <v>12</v>
      </c>
      <c r="U33">
        <v>1900</v>
      </c>
      <c r="X33">
        <v>600</v>
      </c>
      <c r="AA33">
        <v>1100</v>
      </c>
      <c r="AB33">
        <v>800</v>
      </c>
      <c r="AE33">
        <v>3500</v>
      </c>
      <c r="AG33">
        <v>1282</v>
      </c>
      <c r="AM33">
        <v>600</v>
      </c>
      <c r="AN33">
        <v>3450</v>
      </c>
      <c r="AV33">
        <v>531</v>
      </c>
      <c r="AW33">
        <v>14000</v>
      </c>
      <c r="AX33" t="s">
        <v>158</v>
      </c>
    </row>
    <row r="34" spans="1:50" x14ac:dyDescent="0.25">
      <c r="A34" t="s">
        <v>125</v>
      </c>
      <c r="B34" t="s">
        <v>12</v>
      </c>
      <c r="C34">
        <f>VLOOKUP(D1_OCTUBRE_2025[[#This Row],[SUPER]],DATA_OCTUBRE_2025[[SUPERVISOR]:[META]],3,0)</f>
        <v>32000</v>
      </c>
      <c r="D34">
        <f>D1_OCTUBRE_2025[[#This Row],[RECUPERO]]/D1_OCTUBRE_2025[[#This Row],[META]]</f>
        <v>0.86759375000000005</v>
      </c>
      <c r="E34" t="s">
        <v>125</v>
      </c>
      <c r="F34" t="s">
        <v>12</v>
      </c>
      <c r="G34">
        <v>27763</v>
      </c>
      <c r="H34" t="s">
        <v>389</v>
      </c>
      <c r="I34" s="55">
        <v>44870</v>
      </c>
      <c r="J34" s="55" t="s">
        <v>501</v>
      </c>
      <c r="K34" s="55"/>
      <c r="L34" s="55"/>
      <c r="M34" s="1">
        <f>DATA_OCTUBRE_2025[[#This Row],[RECUPERO]]/DATA_OCTUBRE_2025[[#This Row],[META]]</f>
        <v>0.72826086956521741</v>
      </c>
      <c r="N34">
        <f>6-ROUNDUP(_xlfn.RANK.EQ(DATA_OCTUBRE_2025[[#This Row],[AL_AC]],DATA_OCTUBRE_2025[AL_AC],0)/(COUNTA(DATA_OCTUBRE_2025[AL_AC])/5),0)</f>
        <v>3</v>
      </c>
      <c r="O34" t="s">
        <v>9</v>
      </c>
      <c r="P34">
        <f>SUM(DATA_OCTUBRE_2025[[#This Row],[1]:[31]])</f>
        <v>16750</v>
      </c>
      <c r="Q34">
        <v>23000</v>
      </c>
      <c r="R34" t="s">
        <v>51</v>
      </c>
      <c r="X34">
        <v>1580</v>
      </c>
      <c r="AE34">
        <v>500</v>
      </c>
      <c r="AG34">
        <v>160</v>
      </c>
      <c r="AH34">
        <v>720</v>
      </c>
      <c r="AI34">
        <v>380</v>
      </c>
      <c r="AL34">
        <v>650</v>
      </c>
      <c r="AP34">
        <v>400</v>
      </c>
      <c r="AS34">
        <v>400</v>
      </c>
      <c r="AU34">
        <v>4800</v>
      </c>
      <c r="AV34">
        <v>7000</v>
      </c>
      <c r="AW34">
        <v>160</v>
      </c>
      <c r="AX34" t="s">
        <v>156</v>
      </c>
    </row>
    <row r="35" spans="1:50" x14ac:dyDescent="0.25">
      <c r="A35" t="s">
        <v>125</v>
      </c>
      <c r="B35" t="s">
        <v>73</v>
      </c>
      <c r="C35">
        <f>VLOOKUP(D1_OCTUBRE_2025[[#This Row],[SUPER]],DATA_OCTUBRE_2025[[SUPERVISOR]:[META]],3,0)</f>
        <v>32000</v>
      </c>
      <c r="D35">
        <f>D1_OCTUBRE_2025[[#This Row],[RECUPERO]]/D1_OCTUBRE_2025[[#This Row],[META]]</f>
        <v>0.44046875000000002</v>
      </c>
      <c r="E35" t="s">
        <v>125</v>
      </c>
      <c r="F35" t="s">
        <v>73</v>
      </c>
      <c r="G35">
        <v>14095</v>
      </c>
      <c r="H35" t="s">
        <v>420</v>
      </c>
      <c r="I35" s="55">
        <v>45145</v>
      </c>
      <c r="J35" s="55" t="s">
        <v>501</v>
      </c>
      <c r="K35" s="55"/>
      <c r="L35" s="55"/>
      <c r="M35" s="1">
        <f>DATA_OCTUBRE_2025[[#This Row],[RECUPERO]]/DATA_OCTUBRE_2025[[#This Row],[META]]</f>
        <v>1.1891818181818181</v>
      </c>
      <c r="N35">
        <f>6-ROUNDUP(_xlfn.RANK.EQ(DATA_OCTUBRE_2025[[#This Row],[AL_AC]],DATA_OCTUBRE_2025[AL_AC],0)/(COUNTA(DATA_OCTUBRE_2025[AL_AC])/5),0)</f>
        <v>5</v>
      </c>
      <c r="O35" t="s">
        <v>4</v>
      </c>
      <c r="P35">
        <f>SUM(DATA_OCTUBRE_2025[[#This Row],[1]:[31]])</f>
        <v>26162</v>
      </c>
      <c r="Q35">
        <v>22000</v>
      </c>
      <c r="R35" t="s">
        <v>93</v>
      </c>
      <c r="S35">
        <v>200</v>
      </c>
      <c r="AE35">
        <v>540</v>
      </c>
      <c r="AG35">
        <v>200</v>
      </c>
      <c r="AH35">
        <v>14200</v>
      </c>
      <c r="AI35">
        <v>100</v>
      </c>
      <c r="AL35">
        <v>5000</v>
      </c>
      <c r="AM35">
        <v>300</v>
      </c>
      <c r="AN35">
        <v>230</v>
      </c>
      <c r="AS35">
        <v>590</v>
      </c>
      <c r="AU35">
        <v>2180</v>
      </c>
      <c r="AV35">
        <v>800</v>
      </c>
      <c r="AW35">
        <v>1822</v>
      </c>
      <c r="AX35" t="s">
        <v>157</v>
      </c>
    </row>
    <row r="36" spans="1:50" x14ac:dyDescent="0.25">
      <c r="A36" t="s">
        <v>125</v>
      </c>
      <c r="B36" t="s">
        <v>41</v>
      </c>
      <c r="C36">
        <f>VLOOKUP(D1_OCTUBRE_2025[[#This Row],[SUPER]],DATA_OCTUBRE_2025[[SUPERVISOR]:[META]],3,0)</f>
        <v>32000</v>
      </c>
      <c r="D36">
        <f>D1_OCTUBRE_2025[[#This Row],[RECUPERO]]/D1_OCTUBRE_2025[[#This Row],[META]]</f>
        <v>0.3354375</v>
      </c>
      <c r="E36" t="s">
        <v>125</v>
      </c>
      <c r="F36" t="s">
        <v>41</v>
      </c>
      <c r="G36">
        <v>10734</v>
      </c>
      <c r="H36" t="s">
        <v>387</v>
      </c>
      <c r="I36" s="55">
        <v>45304</v>
      </c>
      <c r="J36" s="55" t="s">
        <v>501</v>
      </c>
      <c r="K36" s="55"/>
      <c r="L36" s="55"/>
      <c r="M36" s="1">
        <f>DATA_OCTUBRE_2025[[#This Row],[RECUPERO]]/DATA_OCTUBRE_2025[[#This Row],[META]]</f>
        <v>1.1452608695652173</v>
      </c>
      <c r="N36">
        <f>6-ROUNDUP(_xlfn.RANK.EQ(DATA_OCTUBRE_2025[[#This Row],[AL_AC]],DATA_OCTUBRE_2025[AL_AC],0)/(COUNTA(DATA_OCTUBRE_2025[AL_AC])/5),0)</f>
        <v>5</v>
      </c>
      <c r="O36" t="s">
        <v>9</v>
      </c>
      <c r="P36">
        <f>SUM(DATA_OCTUBRE_2025[[#This Row],[1]:[31]])</f>
        <v>26341</v>
      </c>
      <c r="Q36">
        <v>23000</v>
      </c>
      <c r="R36" t="s">
        <v>13</v>
      </c>
      <c r="S36">
        <v>1800</v>
      </c>
      <c r="T36">
        <v>266</v>
      </c>
      <c r="X36">
        <v>4200</v>
      </c>
      <c r="Y36">
        <v>2000</v>
      </c>
      <c r="AA36">
        <v>350</v>
      </c>
      <c r="AB36">
        <v>1365</v>
      </c>
      <c r="AM36">
        <v>360</v>
      </c>
      <c r="AO36">
        <v>16000</v>
      </c>
      <c r="AX36" t="s">
        <v>156</v>
      </c>
    </row>
    <row r="37" spans="1:50" x14ac:dyDescent="0.25">
      <c r="A37" t="s">
        <v>5</v>
      </c>
      <c r="B37" t="s">
        <v>72</v>
      </c>
      <c r="C37">
        <f>VLOOKUP(D1_OCTUBRE_2025[[#This Row],[SUPER]],DATA_OCTUBRE_2025[[SUPERVISOR]:[META]],3,0)</f>
        <v>32000</v>
      </c>
      <c r="D37">
        <f>D1_OCTUBRE_2025[[#This Row],[RECUPERO]]/D1_OCTUBRE_2025[[#This Row],[META]]</f>
        <v>1.5539156250000001</v>
      </c>
      <c r="E37" t="s">
        <v>5</v>
      </c>
      <c r="F37" t="s">
        <v>72</v>
      </c>
      <c r="G37">
        <v>49725.3</v>
      </c>
      <c r="H37" t="s">
        <v>450</v>
      </c>
      <c r="I37" s="55">
        <v>45084</v>
      </c>
      <c r="J37" s="55" t="s">
        <v>501</v>
      </c>
      <c r="K37" s="55"/>
      <c r="L37" s="55"/>
      <c r="M37" s="1">
        <f>DATA_OCTUBRE_2025[[#This Row],[RECUPERO]]/DATA_OCTUBRE_2025[[#This Row],[META]]</f>
        <v>1.1218181818181818</v>
      </c>
      <c r="N37">
        <f>6-ROUNDUP(_xlfn.RANK.EQ(DATA_OCTUBRE_2025[[#This Row],[AL_AC]],DATA_OCTUBRE_2025[AL_AC],0)/(COUNTA(DATA_OCTUBRE_2025[AL_AC])/5),0)</f>
        <v>4</v>
      </c>
      <c r="O37" t="s">
        <v>3</v>
      </c>
      <c r="P37">
        <f>SUM(DATA_OCTUBRE_2025[[#This Row],[1]:[31]])</f>
        <v>24680</v>
      </c>
      <c r="Q37">
        <v>22000</v>
      </c>
      <c r="R37" t="s">
        <v>44</v>
      </c>
      <c r="S37">
        <v>1000</v>
      </c>
      <c r="U37">
        <v>270</v>
      </c>
      <c r="AC37">
        <v>650</v>
      </c>
      <c r="AF37">
        <v>12000</v>
      </c>
      <c r="AG37">
        <v>1300</v>
      </c>
      <c r="AH37">
        <v>300</v>
      </c>
      <c r="AL37">
        <v>550</v>
      </c>
      <c r="AM37">
        <v>2800</v>
      </c>
      <c r="AN37">
        <v>150</v>
      </c>
      <c r="AS37">
        <v>1900</v>
      </c>
      <c r="AT37">
        <v>500</v>
      </c>
      <c r="AV37">
        <v>180</v>
      </c>
      <c r="AW37">
        <v>3080</v>
      </c>
      <c r="AX37" t="s">
        <v>157</v>
      </c>
    </row>
    <row r="38" spans="1:50" x14ac:dyDescent="0.25">
      <c r="A38" t="s">
        <v>5</v>
      </c>
      <c r="B38" t="s">
        <v>68</v>
      </c>
      <c r="C38">
        <f>VLOOKUP(D1_OCTUBRE_2025[[#This Row],[SUPER]],DATA_OCTUBRE_2025[[SUPERVISOR]:[META]],3,0)</f>
        <v>32000</v>
      </c>
      <c r="D38">
        <f>D1_OCTUBRE_2025[[#This Row],[RECUPERO]]/D1_OCTUBRE_2025[[#This Row],[META]]</f>
        <v>0.94443750000000004</v>
      </c>
      <c r="E38" t="s">
        <v>5</v>
      </c>
      <c r="F38" t="s">
        <v>68</v>
      </c>
      <c r="G38">
        <v>30222</v>
      </c>
      <c r="H38" t="s">
        <v>440</v>
      </c>
      <c r="I38" s="55">
        <v>45364</v>
      </c>
      <c r="J38" s="55" t="s">
        <v>501</v>
      </c>
      <c r="K38" s="55"/>
      <c r="L38" s="55"/>
      <c r="M38" s="1">
        <f>DATA_OCTUBRE_2025[[#This Row],[RECUPERO]]/DATA_OCTUBRE_2025[[#This Row],[META]]</f>
        <v>0.54481818181818187</v>
      </c>
      <c r="N38">
        <f>6-ROUNDUP(_xlfn.RANK.EQ(DATA_OCTUBRE_2025[[#This Row],[AL_AC]],DATA_OCTUBRE_2025[AL_AC],0)/(COUNTA(DATA_OCTUBRE_2025[AL_AC])/5),0)</f>
        <v>2</v>
      </c>
      <c r="O38" t="s">
        <v>4</v>
      </c>
      <c r="P38">
        <f>SUM(DATA_OCTUBRE_2025[[#This Row],[1]:[31]])</f>
        <v>11986</v>
      </c>
      <c r="Q38">
        <v>22000</v>
      </c>
      <c r="R38" t="s">
        <v>71</v>
      </c>
      <c r="S38">
        <v>153</v>
      </c>
      <c r="T38">
        <v>690</v>
      </c>
      <c r="AE38">
        <v>700</v>
      </c>
      <c r="AG38">
        <v>200</v>
      </c>
      <c r="AL38">
        <v>250</v>
      </c>
      <c r="AN38">
        <v>1716</v>
      </c>
      <c r="AO38">
        <v>720</v>
      </c>
      <c r="AP38">
        <v>2137</v>
      </c>
      <c r="AQ38">
        <v>1500</v>
      </c>
      <c r="AS38">
        <v>1050</v>
      </c>
      <c r="AU38">
        <v>2400</v>
      </c>
      <c r="AV38">
        <v>270</v>
      </c>
      <c r="AW38">
        <v>200</v>
      </c>
      <c r="AX38" t="s">
        <v>157</v>
      </c>
    </row>
    <row r="39" spans="1:50" x14ac:dyDescent="0.25">
      <c r="A39" t="s">
        <v>5</v>
      </c>
      <c r="B39" t="s">
        <v>79</v>
      </c>
      <c r="C39">
        <f>VLOOKUP(D1_OCTUBRE_2025[[#This Row],[SUPER]],DATA_OCTUBRE_2025[[SUPERVISOR]:[META]],3,0)</f>
        <v>32000</v>
      </c>
      <c r="D39">
        <f>D1_OCTUBRE_2025[[#This Row],[RECUPERO]]/D1_OCTUBRE_2025[[#This Row],[META]]</f>
        <v>0.89687499999999998</v>
      </c>
      <c r="E39" t="s">
        <v>5</v>
      </c>
      <c r="F39" t="s">
        <v>79</v>
      </c>
      <c r="G39">
        <v>28700</v>
      </c>
      <c r="H39" t="s">
        <v>453</v>
      </c>
      <c r="I39" s="55">
        <v>44566</v>
      </c>
      <c r="J39" s="55" t="s">
        <v>501</v>
      </c>
      <c r="K39" s="55"/>
      <c r="L39" s="55"/>
      <c r="M39" s="1">
        <f>DATA_OCTUBRE_2025[[#This Row],[RECUPERO]]/DATA_OCTUBRE_2025[[#This Row],[META]]</f>
        <v>0.64928571428571424</v>
      </c>
      <c r="N39">
        <f>6-ROUNDUP(_xlfn.RANK.EQ(DATA_OCTUBRE_2025[[#This Row],[AL_AC]],DATA_OCTUBRE_2025[AL_AC],0)/(COUNTA(DATA_OCTUBRE_2025[AL_AC])/5),0)</f>
        <v>3</v>
      </c>
      <c r="O39" t="s">
        <v>8</v>
      </c>
      <c r="P39">
        <f>SUM(DATA_OCTUBRE_2025[[#This Row],[1]:[31]])</f>
        <v>45450</v>
      </c>
      <c r="Q39">
        <v>70000</v>
      </c>
      <c r="R39" t="s">
        <v>42</v>
      </c>
      <c r="AA39">
        <v>8700</v>
      </c>
      <c r="AB39">
        <v>3500</v>
      </c>
      <c r="AF39">
        <v>2900</v>
      </c>
      <c r="AO39">
        <v>5000</v>
      </c>
      <c r="AQ39">
        <v>650</v>
      </c>
      <c r="AT39">
        <v>5000</v>
      </c>
      <c r="AU39">
        <v>3200</v>
      </c>
      <c r="AV39">
        <v>5500</v>
      </c>
      <c r="AW39">
        <v>11000</v>
      </c>
      <c r="AX39" t="s">
        <v>155</v>
      </c>
    </row>
    <row r="40" spans="1:50" x14ac:dyDescent="0.25">
      <c r="A40" t="s">
        <v>5</v>
      </c>
      <c r="B40" t="s">
        <v>96</v>
      </c>
      <c r="C40">
        <f>VLOOKUP(D1_OCTUBRE_2025[[#This Row],[SUPER]],DATA_OCTUBRE_2025[[SUPERVISOR]:[META]],3,0)</f>
        <v>32000</v>
      </c>
      <c r="D40">
        <f>D1_OCTUBRE_2025[[#This Row],[RECUPERO]]/D1_OCTUBRE_2025[[#This Row],[META]]</f>
        <v>0.88634374999999999</v>
      </c>
      <c r="E40" t="s">
        <v>5</v>
      </c>
      <c r="F40" t="s">
        <v>96</v>
      </c>
      <c r="G40">
        <v>28363</v>
      </c>
      <c r="H40" t="s">
        <v>437</v>
      </c>
      <c r="I40" s="55">
        <v>45671</v>
      </c>
      <c r="J40" s="55" t="s">
        <v>501</v>
      </c>
      <c r="K40" s="55"/>
      <c r="L40" s="55"/>
      <c r="M40" s="1">
        <f>DATA_OCTUBRE_2025[[#This Row],[RECUPERO]]/DATA_OCTUBRE_2025[[#This Row],[META]]</f>
        <v>0.41581818181818181</v>
      </c>
      <c r="N40">
        <f>6-ROUNDUP(_xlfn.RANK.EQ(DATA_OCTUBRE_2025[[#This Row],[AL_AC]],DATA_OCTUBRE_2025[AL_AC],0)/(COUNTA(DATA_OCTUBRE_2025[AL_AC])/5),0)</f>
        <v>2</v>
      </c>
      <c r="O40" t="s">
        <v>4</v>
      </c>
      <c r="P40">
        <f>SUM(DATA_OCTUBRE_2025[[#This Row],[1]:[31]])</f>
        <v>9148</v>
      </c>
      <c r="Q40">
        <v>22000</v>
      </c>
      <c r="R40" t="s">
        <v>114</v>
      </c>
      <c r="AB40">
        <v>1000</v>
      </c>
      <c r="AF40">
        <v>398</v>
      </c>
      <c r="AG40">
        <v>750</v>
      </c>
      <c r="AV40">
        <v>7000</v>
      </c>
      <c r="AX40" t="s">
        <v>157</v>
      </c>
    </row>
    <row r="41" spans="1:50" x14ac:dyDescent="0.25">
      <c r="A41" t="s">
        <v>5</v>
      </c>
      <c r="B41" t="s">
        <v>26</v>
      </c>
      <c r="C41">
        <f>VLOOKUP(D1_OCTUBRE_2025[[#This Row],[SUPER]],DATA_OCTUBRE_2025[[SUPERVISOR]:[META]],3,0)</f>
        <v>32000</v>
      </c>
      <c r="D41">
        <f>D1_OCTUBRE_2025[[#This Row],[RECUPERO]]/D1_OCTUBRE_2025[[#This Row],[META]]</f>
        <v>0.80615625000000002</v>
      </c>
      <c r="E41" t="s">
        <v>5</v>
      </c>
      <c r="F41" t="s">
        <v>26</v>
      </c>
      <c r="G41">
        <v>25797</v>
      </c>
      <c r="H41" t="s">
        <v>391</v>
      </c>
      <c r="I41" s="55">
        <v>44259</v>
      </c>
      <c r="J41" s="55" t="s">
        <v>501</v>
      </c>
      <c r="K41" s="55"/>
      <c r="L41" s="55"/>
      <c r="M41" s="1">
        <f>DATA_OCTUBRE_2025[[#This Row],[RECUPERO]]/DATA_OCTUBRE_2025[[#This Row],[META]]</f>
        <v>0.2713913043478261</v>
      </c>
      <c r="N41">
        <f>6-ROUNDUP(_xlfn.RANK.EQ(DATA_OCTUBRE_2025[[#This Row],[AL_AC]],DATA_OCTUBRE_2025[AL_AC],0)/(COUNTA(DATA_OCTUBRE_2025[AL_AC])/5),0)</f>
        <v>1</v>
      </c>
      <c r="O41" t="s">
        <v>9</v>
      </c>
      <c r="P41">
        <f>SUM(DATA_OCTUBRE_2025[[#This Row],[1]:[31]])</f>
        <v>6242</v>
      </c>
      <c r="Q41">
        <v>23000</v>
      </c>
      <c r="R41" t="s">
        <v>100</v>
      </c>
      <c r="AB41">
        <v>475</v>
      </c>
      <c r="AG41">
        <v>252</v>
      </c>
      <c r="AH41">
        <v>1500</v>
      </c>
      <c r="AI41">
        <v>100</v>
      </c>
      <c r="AN41">
        <v>2000</v>
      </c>
      <c r="AP41">
        <v>650</v>
      </c>
      <c r="AT41">
        <v>230</v>
      </c>
      <c r="AU41">
        <v>475</v>
      </c>
      <c r="AV41">
        <v>300</v>
      </c>
      <c r="AW41">
        <v>260</v>
      </c>
      <c r="AX41" t="s">
        <v>156</v>
      </c>
    </row>
    <row r="42" spans="1:50" x14ac:dyDescent="0.25">
      <c r="A42" t="s">
        <v>5</v>
      </c>
      <c r="B42" t="s">
        <v>103</v>
      </c>
      <c r="C42">
        <f>VLOOKUP(D1_OCTUBRE_2025[[#This Row],[SUPER]],DATA_OCTUBRE_2025[[SUPERVISOR]:[META]],3,0)</f>
        <v>32000</v>
      </c>
      <c r="D42">
        <f>D1_OCTUBRE_2025[[#This Row],[RECUPERO]]/D1_OCTUBRE_2025[[#This Row],[META]]</f>
        <v>0.60309374999999998</v>
      </c>
      <c r="E42" t="s">
        <v>5</v>
      </c>
      <c r="F42" t="s">
        <v>103</v>
      </c>
      <c r="G42">
        <v>19299</v>
      </c>
      <c r="H42" t="s">
        <v>419</v>
      </c>
      <c r="I42" s="55">
        <v>45451</v>
      </c>
      <c r="J42" s="55" t="s">
        <v>501</v>
      </c>
      <c r="K42" s="55"/>
      <c r="L42" s="55"/>
      <c r="M42" s="1">
        <f>DATA_OCTUBRE_2025[[#This Row],[RECUPERO]]/DATA_OCTUBRE_2025[[#This Row],[META]]</f>
        <v>0.28318571428571426</v>
      </c>
      <c r="N42">
        <f>6-ROUNDUP(_xlfn.RANK.EQ(DATA_OCTUBRE_2025[[#This Row],[AL_AC]],DATA_OCTUBRE_2025[AL_AC],0)/(COUNTA(DATA_OCTUBRE_2025[AL_AC])/5),0)</f>
        <v>1</v>
      </c>
      <c r="O42" t="s">
        <v>8</v>
      </c>
      <c r="P42">
        <f>SUM(DATA_OCTUBRE_2025[[#This Row],[1]:[31]])</f>
        <v>19823</v>
      </c>
      <c r="Q42">
        <v>70000</v>
      </c>
      <c r="R42" t="s">
        <v>57</v>
      </c>
      <c r="AF42">
        <v>5000</v>
      </c>
      <c r="AG42">
        <v>9000</v>
      </c>
      <c r="AM42">
        <v>823</v>
      </c>
      <c r="AT42">
        <v>5000</v>
      </c>
      <c r="AX42" t="s">
        <v>155</v>
      </c>
    </row>
    <row r="43" spans="1:50" x14ac:dyDescent="0.25">
      <c r="A43" t="s">
        <v>5</v>
      </c>
      <c r="B43" t="s">
        <v>28</v>
      </c>
      <c r="C43">
        <f>VLOOKUP(D1_OCTUBRE_2025[[#This Row],[SUPER]],DATA_OCTUBRE_2025[[SUPERVISOR]:[META]],3,0)</f>
        <v>32000</v>
      </c>
      <c r="D43">
        <f>D1_OCTUBRE_2025[[#This Row],[RECUPERO]]/D1_OCTUBRE_2025[[#This Row],[META]]</f>
        <v>0.36471874999999998</v>
      </c>
      <c r="E43" t="s">
        <v>5</v>
      </c>
      <c r="F43" t="s">
        <v>28</v>
      </c>
      <c r="G43">
        <v>11671</v>
      </c>
      <c r="H43" t="s">
        <v>478</v>
      </c>
      <c r="I43" s="55">
        <v>45845</v>
      </c>
      <c r="J43" s="55" t="s">
        <v>501</v>
      </c>
      <c r="K43" s="55"/>
      <c r="L43" s="55"/>
      <c r="M43" s="1">
        <f>DATA_OCTUBRE_2025[[#This Row],[RECUPERO]]/DATA_OCTUBRE_2025[[#This Row],[META]]</f>
        <v>0.42295454545454547</v>
      </c>
      <c r="N43">
        <f>6-ROUNDUP(_xlfn.RANK.EQ(DATA_OCTUBRE_2025[[#This Row],[AL_AC]],DATA_OCTUBRE_2025[AL_AC],0)/(COUNTA(DATA_OCTUBRE_2025[AL_AC])/5),0)</f>
        <v>2</v>
      </c>
      <c r="O43" t="s">
        <v>4</v>
      </c>
      <c r="P43">
        <f>SUM(DATA_OCTUBRE_2025[[#This Row],[1]:[31]])</f>
        <v>9305</v>
      </c>
      <c r="Q43">
        <v>22000</v>
      </c>
      <c r="R43" t="s">
        <v>49</v>
      </c>
      <c r="Y43">
        <v>680</v>
      </c>
      <c r="AF43">
        <v>500</v>
      </c>
      <c r="AG43">
        <v>100</v>
      </c>
      <c r="AH43">
        <v>500</v>
      </c>
      <c r="AI43">
        <v>400</v>
      </c>
      <c r="AM43">
        <v>2000</v>
      </c>
      <c r="AP43">
        <v>1000</v>
      </c>
      <c r="AQ43">
        <v>500</v>
      </c>
      <c r="AT43">
        <v>325</v>
      </c>
      <c r="AU43">
        <v>700</v>
      </c>
      <c r="AV43">
        <v>300</v>
      </c>
      <c r="AW43">
        <v>2300</v>
      </c>
      <c r="AX43" t="s">
        <v>157</v>
      </c>
    </row>
    <row r="44" spans="1:50" x14ac:dyDescent="0.25">
      <c r="A44" t="s">
        <v>5</v>
      </c>
      <c r="B44" t="s">
        <v>70</v>
      </c>
      <c r="C44">
        <f>VLOOKUP(D1_OCTUBRE_2025[[#This Row],[SUPER]],DATA_OCTUBRE_2025[[SUPERVISOR]:[META]],3,0)</f>
        <v>32000</v>
      </c>
      <c r="D44">
        <f>D1_OCTUBRE_2025[[#This Row],[RECUPERO]]/D1_OCTUBRE_2025[[#This Row],[META]]</f>
        <v>0.13746875</v>
      </c>
      <c r="E44" t="s">
        <v>5</v>
      </c>
      <c r="F44" t="s">
        <v>70</v>
      </c>
      <c r="G44">
        <v>4399</v>
      </c>
      <c r="H44" t="s">
        <v>418</v>
      </c>
      <c r="I44" s="55">
        <v>44971</v>
      </c>
      <c r="J44" s="55" t="s">
        <v>501</v>
      </c>
      <c r="K44" s="55"/>
      <c r="L44" s="55"/>
      <c r="M44" s="1">
        <f>DATA_OCTUBRE_2025[[#This Row],[RECUPERO]]/DATA_OCTUBRE_2025[[#This Row],[META]]</f>
        <v>0.80615625000000002</v>
      </c>
      <c r="N44">
        <f>6-ROUNDUP(_xlfn.RANK.EQ(DATA_OCTUBRE_2025[[#This Row],[AL_AC]],DATA_OCTUBRE_2025[AL_AC],0)/(COUNTA(DATA_OCTUBRE_2025[AL_AC])/5),0)</f>
        <v>3</v>
      </c>
      <c r="O44" t="s">
        <v>5</v>
      </c>
      <c r="P44">
        <f>SUM(DATA_OCTUBRE_2025[[#This Row],[1]:[31]])</f>
        <v>25797</v>
      </c>
      <c r="Q44">
        <v>32000</v>
      </c>
      <c r="R44" t="s">
        <v>26</v>
      </c>
      <c r="U44">
        <v>400</v>
      </c>
      <c r="X44">
        <v>1262</v>
      </c>
      <c r="AA44">
        <v>800</v>
      </c>
      <c r="AB44">
        <v>3000</v>
      </c>
      <c r="AF44">
        <v>3500</v>
      </c>
      <c r="AH44">
        <v>800</v>
      </c>
      <c r="AI44">
        <v>3500</v>
      </c>
      <c r="AL44">
        <v>510</v>
      </c>
      <c r="AM44">
        <v>775</v>
      </c>
      <c r="AW44">
        <v>11250</v>
      </c>
      <c r="AX44" t="s">
        <v>158</v>
      </c>
    </row>
    <row r="45" spans="1:50" x14ac:dyDescent="0.25">
      <c r="A45" t="s">
        <v>6</v>
      </c>
      <c r="B45" t="s">
        <v>75</v>
      </c>
      <c r="C45">
        <f>VLOOKUP(D1_OCTUBRE_2025[[#This Row],[SUPER]],DATA_OCTUBRE_2025[[SUPERVISOR]:[META]],3,0)</f>
        <v>53000</v>
      </c>
      <c r="D45">
        <f>D1_OCTUBRE_2025[[#This Row],[RECUPERO]]/D1_OCTUBRE_2025[[#This Row],[META]]</f>
        <v>1.9579811320754716</v>
      </c>
      <c r="E45" t="s">
        <v>6</v>
      </c>
      <c r="F45" t="s">
        <v>75</v>
      </c>
      <c r="G45">
        <v>103773</v>
      </c>
      <c r="H45" t="s">
        <v>428</v>
      </c>
      <c r="I45" s="55">
        <v>44716</v>
      </c>
      <c r="J45" s="55" t="s">
        <v>501</v>
      </c>
      <c r="K45" s="55"/>
      <c r="L45" s="55"/>
      <c r="M45" s="1">
        <f>DATA_OCTUBRE_2025[[#This Row],[RECUPERO]]/DATA_OCTUBRE_2025[[#This Row],[META]]</f>
        <v>0.88634374999999999</v>
      </c>
      <c r="N45">
        <f>6-ROUNDUP(_xlfn.RANK.EQ(DATA_OCTUBRE_2025[[#This Row],[AL_AC]],DATA_OCTUBRE_2025[AL_AC],0)/(COUNTA(DATA_OCTUBRE_2025[AL_AC])/5),0)</f>
        <v>4</v>
      </c>
      <c r="O45" t="s">
        <v>5</v>
      </c>
      <c r="P45">
        <f>SUM(DATA_OCTUBRE_2025[[#This Row],[1]:[31]])</f>
        <v>28363</v>
      </c>
      <c r="Q45">
        <v>32000</v>
      </c>
      <c r="R45" t="s">
        <v>96</v>
      </c>
      <c r="AF45">
        <v>1200</v>
      </c>
      <c r="AH45">
        <v>600</v>
      </c>
      <c r="AM45">
        <v>5000</v>
      </c>
      <c r="AO45">
        <v>300</v>
      </c>
      <c r="AP45">
        <v>5800</v>
      </c>
      <c r="AT45">
        <v>160</v>
      </c>
      <c r="AU45">
        <v>4383</v>
      </c>
      <c r="AV45">
        <v>4520</v>
      </c>
      <c r="AW45">
        <v>6400</v>
      </c>
      <c r="AX45" t="s">
        <v>158</v>
      </c>
    </row>
    <row r="46" spans="1:50" x14ac:dyDescent="0.25">
      <c r="A46" t="s">
        <v>6</v>
      </c>
      <c r="B46" t="s">
        <v>22</v>
      </c>
      <c r="C46">
        <f>VLOOKUP(D1_OCTUBRE_2025[[#This Row],[SUPER]],DATA_OCTUBRE_2025[[SUPERVISOR]:[META]],3,0)</f>
        <v>53000</v>
      </c>
      <c r="D46">
        <f>D1_OCTUBRE_2025[[#This Row],[RECUPERO]]/D1_OCTUBRE_2025[[#This Row],[META]]</f>
        <v>1.1283018867924528</v>
      </c>
      <c r="E46" t="s">
        <v>6</v>
      </c>
      <c r="F46" t="s">
        <v>22</v>
      </c>
      <c r="G46">
        <v>59800</v>
      </c>
      <c r="H46" t="s">
        <v>442</v>
      </c>
      <c r="I46" s="55">
        <v>45299</v>
      </c>
      <c r="J46" s="55" t="s">
        <v>501</v>
      </c>
      <c r="K46" s="55"/>
      <c r="L46" s="55"/>
      <c r="M46" s="1">
        <f>DATA_OCTUBRE_2025[[#This Row],[RECUPERO]]/DATA_OCTUBRE_2025[[#This Row],[META]]</f>
        <v>1.3979375000000001</v>
      </c>
      <c r="N46">
        <f>6-ROUNDUP(_xlfn.RANK.EQ(DATA_OCTUBRE_2025[[#This Row],[AL_AC]],DATA_OCTUBRE_2025[AL_AC],0)/(COUNTA(DATA_OCTUBRE_2025[AL_AC])/5),0)</f>
        <v>5</v>
      </c>
      <c r="O46" t="s">
        <v>125</v>
      </c>
      <c r="P46">
        <f>SUM(DATA_OCTUBRE_2025[[#This Row],[1]:[31]])</f>
        <v>44734</v>
      </c>
      <c r="Q46">
        <v>32000</v>
      </c>
      <c r="R46" t="s">
        <v>65</v>
      </c>
      <c r="U46">
        <v>1200</v>
      </c>
      <c r="Y46">
        <v>3200</v>
      </c>
      <c r="AB46">
        <v>800</v>
      </c>
      <c r="AF46">
        <v>3400</v>
      </c>
      <c r="AI46">
        <v>1500</v>
      </c>
      <c r="AL46">
        <v>1498</v>
      </c>
      <c r="AM46">
        <v>1000</v>
      </c>
      <c r="AO46">
        <v>1400</v>
      </c>
      <c r="AP46">
        <v>3200</v>
      </c>
      <c r="AT46">
        <v>13300</v>
      </c>
      <c r="AV46">
        <v>10319</v>
      </c>
      <c r="AW46">
        <v>3917</v>
      </c>
      <c r="AX46" t="s">
        <v>158</v>
      </c>
    </row>
    <row r="47" spans="1:50" x14ac:dyDescent="0.25">
      <c r="A47" t="s">
        <v>6</v>
      </c>
      <c r="B47" t="s">
        <v>78</v>
      </c>
      <c r="C47">
        <f>VLOOKUP(D1_OCTUBRE_2025[[#This Row],[SUPER]],DATA_OCTUBRE_2025[[SUPERVISOR]:[META]],3,0)</f>
        <v>53000</v>
      </c>
      <c r="D47">
        <f>D1_OCTUBRE_2025[[#This Row],[RECUPERO]]/D1_OCTUBRE_2025[[#This Row],[META]]</f>
        <v>0.95771698113207548</v>
      </c>
      <c r="E47" t="s">
        <v>6</v>
      </c>
      <c r="F47" t="s">
        <v>78</v>
      </c>
      <c r="G47">
        <v>50759</v>
      </c>
      <c r="H47" t="s">
        <v>397</v>
      </c>
      <c r="I47" s="55">
        <v>44945</v>
      </c>
      <c r="J47" s="55" t="s">
        <v>501</v>
      </c>
      <c r="K47" s="55"/>
      <c r="L47" s="55"/>
      <c r="M47" s="1">
        <f>DATA_OCTUBRE_2025[[#This Row],[RECUPERO]]/DATA_OCTUBRE_2025[[#This Row],[META]]</f>
        <v>0.26111320754716982</v>
      </c>
      <c r="N47">
        <f>6-ROUNDUP(_xlfn.RANK.EQ(DATA_OCTUBRE_2025[[#This Row],[AL_AC]],DATA_OCTUBRE_2025[AL_AC],0)/(COUNTA(DATA_OCTUBRE_2025[AL_AC])/5),0)</f>
        <v>1</v>
      </c>
      <c r="O47" t="s">
        <v>7</v>
      </c>
      <c r="P47">
        <f>SUM(DATA_OCTUBRE_2025[[#This Row],[1]:[31]])</f>
        <v>13839</v>
      </c>
      <c r="Q47">
        <v>53000</v>
      </c>
      <c r="R47" t="s">
        <v>20</v>
      </c>
      <c r="T47">
        <v>700</v>
      </c>
      <c r="Y47">
        <v>800</v>
      </c>
      <c r="AF47">
        <v>2350</v>
      </c>
      <c r="AH47">
        <v>2277</v>
      </c>
      <c r="AM47">
        <v>650</v>
      </c>
      <c r="AP47">
        <v>4000</v>
      </c>
      <c r="AQ47">
        <v>362</v>
      </c>
      <c r="AT47">
        <v>400</v>
      </c>
      <c r="AV47">
        <v>2300</v>
      </c>
      <c r="AX47" t="s">
        <v>159</v>
      </c>
    </row>
    <row r="48" spans="1:50" x14ac:dyDescent="0.25">
      <c r="A48" t="s">
        <v>6</v>
      </c>
      <c r="B48" t="s">
        <v>67</v>
      </c>
      <c r="C48">
        <f>VLOOKUP(D1_OCTUBRE_2025[[#This Row],[SUPER]],DATA_OCTUBRE_2025[[SUPERVISOR]:[META]],3,0)</f>
        <v>53000</v>
      </c>
      <c r="D48">
        <f>D1_OCTUBRE_2025[[#This Row],[RECUPERO]]/D1_OCTUBRE_2025[[#This Row],[META]]</f>
        <v>0.84500226415094348</v>
      </c>
      <c r="E48" t="s">
        <v>6</v>
      </c>
      <c r="F48" t="s">
        <v>67</v>
      </c>
      <c r="G48">
        <v>44785.120000000003</v>
      </c>
      <c r="H48" t="s">
        <v>381</v>
      </c>
      <c r="I48" s="55">
        <v>44811</v>
      </c>
      <c r="J48" s="55" t="s">
        <v>501</v>
      </c>
      <c r="K48" s="55"/>
      <c r="L48" s="55"/>
      <c r="M48" s="1">
        <f>DATA_OCTUBRE_2025[[#This Row],[RECUPERO]]/DATA_OCTUBRE_2025[[#This Row],[META]]</f>
        <v>0.69650000000000001</v>
      </c>
      <c r="N48">
        <f>6-ROUNDUP(_xlfn.RANK.EQ(DATA_OCTUBRE_2025[[#This Row],[AL_AC]],DATA_OCTUBRE_2025[AL_AC],0)/(COUNTA(DATA_OCTUBRE_2025[AL_AC])/5),0)</f>
        <v>3</v>
      </c>
      <c r="O48" t="s">
        <v>3</v>
      </c>
      <c r="P48">
        <f>SUM(DATA_OCTUBRE_2025[[#This Row],[1]:[31]])</f>
        <v>15323</v>
      </c>
      <c r="Q48">
        <v>22000</v>
      </c>
      <c r="R48" t="s">
        <v>106</v>
      </c>
      <c r="X48">
        <v>150</v>
      </c>
      <c r="Y48">
        <v>200</v>
      </c>
      <c r="AC48">
        <v>200</v>
      </c>
      <c r="AG48">
        <v>550</v>
      </c>
      <c r="AS48">
        <v>3305</v>
      </c>
      <c r="AU48">
        <v>600</v>
      </c>
      <c r="AV48">
        <v>6000</v>
      </c>
      <c r="AW48">
        <v>4318</v>
      </c>
      <c r="AX48" t="s">
        <v>157</v>
      </c>
    </row>
    <row r="49" spans="1:50" x14ac:dyDescent="0.25">
      <c r="A49" t="s">
        <v>6</v>
      </c>
      <c r="B49" t="s">
        <v>99</v>
      </c>
      <c r="C49">
        <f>VLOOKUP(D1_OCTUBRE_2025[[#This Row],[SUPER]],DATA_OCTUBRE_2025[[SUPERVISOR]:[META]],3,0)</f>
        <v>53000</v>
      </c>
      <c r="D49">
        <f>D1_OCTUBRE_2025[[#This Row],[RECUPERO]]/D1_OCTUBRE_2025[[#This Row],[META]]</f>
        <v>0.73509433962264148</v>
      </c>
      <c r="E49" t="s">
        <v>6</v>
      </c>
      <c r="F49" t="s">
        <v>99</v>
      </c>
      <c r="G49">
        <v>38960</v>
      </c>
      <c r="H49" t="s">
        <v>484</v>
      </c>
      <c r="I49" s="55">
        <v>45896</v>
      </c>
      <c r="J49" s="55" t="s">
        <v>501</v>
      </c>
      <c r="K49" s="55"/>
      <c r="L49" s="55"/>
      <c r="M49" s="1">
        <f>DATA_OCTUBRE_2025[[#This Row],[RECUPERO]]/DATA_OCTUBRE_2025[[#This Row],[META]]</f>
        <v>0.65221739130434786</v>
      </c>
      <c r="N49">
        <f>6-ROUNDUP(_xlfn.RANK.EQ(DATA_OCTUBRE_2025[[#This Row],[AL_AC]],DATA_OCTUBRE_2025[AL_AC],0)/(COUNTA(DATA_OCTUBRE_2025[AL_AC])/5),0)</f>
        <v>3</v>
      </c>
      <c r="O49" t="s">
        <v>9</v>
      </c>
      <c r="P49">
        <f>SUM(DATA_OCTUBRE_2025[[#This Row],[1]:[31]])</f>
        <v>15001</v>
      </c>
      <c r="Q49">
        <v>23000</v>
      </c>
      <c r="R49" t="s">
        <v>77</v>
      </c>
      <c r="AB49">
        <v>160</v>
      </c>
      <c r="AF49">
        <v>130</v>
      </c>
      <c r="AG49">
        <v>113</v>
      </c>
      <c r="AI49">
        <v>1054</v>
      </c>
      <c r="AL49">
        <v>330</v>
      </c>
      <c r="AM49">
        <v>258</v>
      </c>
      <c r="AS49">
        <v>400</v>
      </c>
      <c r="AT49">
        <v>4000</v>
      </c>
      <c r="AU49">
        <v>250</v>
      </c>
      <c r="AW49">
        <v>8306</v>
      </c>
      <c r="AX49" t="s">
        <v>156</v>
      </c>
    </row>
    <row r="50" spans="1:50" x14ac:dyDescent="0.25">
      <c r="A50" t="s">
        <v>6</v>
      </c>
      <c r="B50" t="s">
        <v>36</v>
      </c>
      <c r="C50">
        <f>VLOOKUP(D1_OCTUBRE_2025[[#This Row],[SUPER]],DATA_OCTUBRE_2025[[SUPERVISOR]:[META]],3,0)</f>
        <v>53000</v>
      </c>
      <c r="D50">
        <f>D1_OCTUBRE_2025[[#This Row],[RECUPERO]]/D1_OCTUBRE_2025[[#This Row],[META]]</f>
        <v>0.27422641509433965</v>
      </c>
      <c r="E50" t="s">
        <v>6</v>
      </c>
      <c r="F50" t="s">
        <v>36</v>
      </c>
      <c r="G50">
        <v>14534</v>
      </c>
      <c r="H50" t="s">
        <v>406</v>
      </c>
      <c r="I50" s="55">
        <v>44941</v>
      </c>
      <c r="J50" s="55" t="s">
        <v>501</v>
      </c>
      <c r="K50" s="55"/>
      <c r="L50" s="55"/>
      <c r="M50" s="1">
        <f>DATA_OCTUBRE_2025[[#This Row],[RECUPERO]]/DATA_OCTUBRE_2025[[#This Row],[META]]</f>
        <v>0.80418181818181822</v>
      </c>
      <c r="N50">
        <f>6-ROUNDUP(_xlfn.RANK.EQ(DATA_OCTUBRE_2025[[#This Row],[AL_AC]],DATA_OCTUBRE_2025[AL_AC],0)/(COUNTA(DATA_OCTUBRE_2025[AL_AC])/5),0)</f>
        <v>3</v>
      </c>
      <c r="O50" t="s">
        <v>4</v>
      </c>
      <c r="P50">
        <f>SUM(DATA_OCTUBRE_2025[[#This Row],[1]:[31]])</f>
        <v>17692</v>
      </c>
      <c r="Q50">
        <v>22000</v>
      </c>
      <c r="R50" t="s">
        <v>35</v>
      </c>
      <c r="S50">
        <v>520</v>
      </c>
      <c r="T50">
        <v>600</v>
      </c>
      <c r="Y50">
        <v>2000</v>
      </c>
      <c r="AB50">
        <v>4400</v>
      </c>
      <c r="AG50">
        <v>700</v>
      </c>
      <c r="AH50">
        <v>700</v>
      </c>
      <c r="AL50">
        <v>2300</v>
      </c>
      <c r="AO50">
        <v>368</v>
      </c>
      <c r="AP50">
        <v>592</v>
      </c>
      <c r="AS50">
        <v>290</v>
      </c>
      <c r="AV50">
        <v>2222</v>
      </c>
      <c r="AW50">
        <v>3000</v>
      </c>
      <c r="AX50" t="s">
        <v>157</v>
      </c>
    </row>
    <row r="51" spans="1:50" x14ac:dyDescent="0.25">
      <c r="A51" t="s">
        <v>6</v>
      </c>
      <c r="B51" t="s">
        <v>29</v>
      </c>
      <c r="C51">
        <f>VLOOKUP(D1_OCTUBRE_2025[[#This Row],[SUPER]],DATA_OCTUBRE_2025[[SUPERVISOR]:[META]],3,0)</f>
        <v>53000</v>
      </c>
      <c r="D51">
        <f>D1_OCTUBRE_2025[[#This Row],[RECUPERO]]/D1_OCTUBRE_2025[[#This Row],[META]]</f>
        <v>0.19549056603773585</v>
      </c>
      <c r="E51" t="s">
        <v>6</v>
      </c>
      <c r="F51" t="s">
        <v>29</v>
      </c>
      <c r="G51">
        <v>10361</v>
      </c>
      <c r="H51" t="s">
        <v>416</v>
      </c>
      <c r="I51" s="55">
        <v>44687</v>
      </c>
      <c r="J51" s="55" t="s">
        <v>501</v>
      </c>
      <c r="K51" s="55"/>
      <c r="L51" s="55"/>
      <c r="M51" s="1">
        <f>DATA_OCTUBRE_2025[[#This Row],[RECUPERO]]/DATA_OCTUBRE_2025[[#This Row],[META]]</f>
        <v>0.37164285714285716</v>
      </c>
      <c r="N51">
        <f>6-ROUNDUP(_xlfn.RANK.EQ(DATA_OCTUBRE_2025[[#This Row],[AL_AC]],DATA_OCTUBRE_2025[AL_AC],0)/(COUNTA(DATA_OCTUBRE_2025[AL_AC])/5),0)</f>
        <v>1</v>
      </c>
      <c r="O51" t="s">
        <v>8</v>
      </c>
      <c r="P51">
        <f>SUM(DATA_OCTUBRE_2025[[#This Row],[1]:[31]])</f>
        <v>26015</v>
      </c>
      <c r="Q51">
        <v>70000</v>
      </c>
      <c r="R51" t="s">
        <v>46</v>
      </c>
      <c r="S51">
        <v>16005</v>
      </c>
      <c r="X51">
        <v>1310</v>
      </c>
      <c r="Y51">
        <v>4350</v>
      </c>
      <c r="AG51">
        <v>600</v>
      </c>
      <c r="AH51">
        <v>3750</v>
      </c>
      <c r="AX51" t="s">
        <v>155</v>
      </c>
    </row>
    <row r="52" spans="1:50" x14ac:dyDescent="0.25">
      <c r="A52" t="s">
        <v>6</v>
      </c>
      <c r="B52" t="s">
        <v>31</v>
      </c>
      <c r="C52">
        <f>VLOOKUP(D1_OCTUBRE_2025[[#This Row],[SUPER]],DATA_OCTUBRE_2025[[SUPERVISOR]:[META]],3,0)</f>
        <v>53000</v>
      </c>
      <c r="D52">
        <f>D1_OCTUBRE_2025[[#This Row],[RECUPERO]]/D1_OCTUBRE_2025[[#This Row],[META]]</f>
        <v>0.14150943396226415</v>
      </c>
      <c r="E52" t="s">
        <v>6</v>
      </c>
      <c r="F52" t="s">
        <v>31</v>
      </c>
      <c r="G52">
        <v>7500</v>
      </c>
      <c r="H52" t="s">
        <v>403</v>
      </c>
      <c r="I52" s="55">
        <v>45334</v>
      </c>
      <c r="J52" s="55" t="s">
        <v>501</v>
      </c>
      <c r="K52" s="55"/>
      <c r="L52" s="55"/>
      <c r="M52" s="1">
        <f>DATA_OCTUBRE_2025[[#This Row],[RECUPERO]]/DATA_OCTUBRE_2025[[#This Row],[META]]</f>
        <v>0.16347826086956521</v>
      </c>
      <c r="N52">
        <f>6-ROUNDUP(_xlfn.RANK.EQ(DATA_OCTUBRE_2025[[#This Row],[AL_AC]],DATA_OCTUBRE_2025[AL_AC],0)/(COUNTA(DATA_OCTUBRE_2025[AL_AC])/5),0)</f>
        <v>1</v>
      </c>
      <c r="O52" t="s">
        <v>9</v>
      </c>
      <c r="P52">
        <f>SUM(DATA_OCTUBRE_2025[[#This Row],[1]:[31]])</f>
        <v>3760</v>
      </c>
      <c r="Q52">
        <v>23000</v>
      </c>
      <c r="R52" t="s">
        <v>50</v>
      </c>
      <c r="AB52">
        <v>685</v>
      </c>
      <c r="AN52">
        <v>2500</v>
      </c>
      <c r="AU52">
        <v>575</v>
      </c>
      <c r="AX52" t="s">
        <v>156</v>
      </c>
    </row>
    <row r="53" spans="1:50" x14ac:dyDescent="0.25">
      <c r="A53" t="s">
        <v>7</v>
      </c>
      <c r="B53" t="s">
        <v>69</v>
      </c>
      <c r="C53">
        <f>VLOOKUP(D1_OCTUBRE_2025[[#This Row],[SUPER]],DATA_OCTUBRE_2025[[SUPERVISOR]:[META]],3,0)</f>
        <v>53000</v>
      </c>
      <c r="D53">
        <f>D1_OCTUBRE_2025[[#This Row],[RECUPERO]]/D1_OCTUBRE_2025[[#This Row],[META]]</f>
        <v>1.3928301886792454</v>
      </c>
      <c r="E53" t="s">
        <v>7</v>
      </c>
      <c r="F53" t="s">
        <v>69</v>
      </c>
      <c r="G53">
        <v>73820</v>
      </c>
      <c r="H53" t="s">
        <v>379</v>
      </c>
      <c r="I53" s="55">
        <v>44461</v>
      </c>
      <c r="J53" s="55" t="s">
        <v>501</v>
      </c>
      <c r="K53" s="55"/>
      <c r="L53" s="55"/>
      <c r="M53" s="1">
        <f>DATA_OCTUBRE_2025[[#This Row],[RECUPERO]]/DATA_OCTUBRE_2025[[#This Row],[META]]</f>
        <v>0.76181818181818184</v>
      </c>
      <c r="N53">
        <f>6-ROUNDUP(_xlfn.RANK.EQ(DATA_OCTUBRE_2025[[#This Row],[AL_AC]],DATA_OCTUBRE_2025[AL_AC],0)/(COUNTA(DATA_OCTUBRE_2025[AL_AC])/5),0)</f>
        <v>3</v>
      </c>
      <c r="O53" t="s">
        <v>3</v>
      </c>
      <c r="P53">
        <f>SUM(DATA_OCTUBRE_2025[[#This Row],[1]:[31]])</f>
        <v>16760</v>
      </c>
      <c r="Q53">
        <v>22000</v>
      </c>
      <c r="R53" t="s">
        <v>33</v>
      </c>
      <c r="V53">
        <v>1062</v>
      </c>
      <c r="X53">
        <v>400</v>
      </c>
      <c r="Y53">
        <v>150</v>
      </c>
      <c r="AF53">
        <v>300</v>
      </c>
      <c r="AG53">
        <v>618</v>
      </c>
      <c r="AI53">
        <v>2000</v>
      </c>
      <c r="AL53">
        <v>4500</v>
      </c>
      <c r="AO53">
        <v>820</v>
      </c>
      <c r="AP53">
        <v>400</v>
      </c>
      <c r="AS53">
        <v>3000</v>
      </c>
      <c r="AT53">
        <v>500</v>
      </c>
      <c r="AV53">
        <v>1310</v>
      </c>
      <c r="AW53">
        <v>1700</v>
      </c>
      <c r="AX53" t="s">
        <v>157</v>
      </c>
    </row>
    <row r="54" spans="1:50" x14ac:dyDescent="0.25">
      <c r="A54" t="s">
        <v>7</v>
      </c>
      <c r="B54" t="s">
        <v>60</v>
      </c>
      <c r="C54">
        <f>VLOOKUP(D1_OCTUBRE_2025[[#This Row],[SUPER]],DATA_OCTUBRE_2025[[SUPERVISOR]:[META]],3,0)</f>
        <v>53000</v>
      </c>
      <c r="D54">
        <f>D1_OCTUBRE_2025[[#This Row],[RECUPERO]]/D1_OCTUBRE_2025[[#This Row],[META]]</f>
        <v>0.55169811320754714</v>
      </c>
      <c r="E54" t="s">
        <v>7</v>
      </c>
      <c r="F54" t="s">
        <v>60</v>
      </c>
      <c r="G54">
        <v>29240</v>
      </c>
      <c r="H54" t="s">
        <v>423</v>
      </c>
      <c r="I54" s="55">
        <v>45323</v>
      </c>
      <c r="J54" s="55" t="s">
        <v>501</v>
      </c>
      <c r="K54" s="55"/>
      <c r="L54" s="55"/>
      <c r="M54" s="1">
        <f>DATA_OCTUBRE_2025[[#This Row],[RECUPERO]]/DATA_OCTUBRE_2025[[#This Row],[META]]</f>
        <v>2.6484327272727275</v>
      </c>
      <c r="N54">
        <f>6-ROUNDUP(_xlfn.RANK.EQ(DATA_OCTUBRE_2025[[#This Row],[AL_AC]],DATA_OCTUBRE_2025[AL_AC],0)/(COUNTA(DATA_OCTUBRE_2025[AL_AC])/5),0)</f>
        <v>5</v>
      </c>
      <c r="O54" t="s">
        <v>3</v>
      </c>
      <c r="P54">
        <f>SUM(DATA_OCTUBRE_2025[[#This Row],[1]:[31]])</f>
        <v>58265.520000000004</v>
      </c>
      <c r="Q54">
        <v>22000</v>
      </c>
      <c r="R54" t="s">
        <v>23</v>
      </c>
      <c r="S54">
        <v>350</v>
      </c>
      <c r="U54">
        <v>403</v>
      </c>
      <c r="X54">
        <v>400</v>
      </c>
      <c r="AA54">
        <v>1045</v>
      </c>
      <c r="AB54">
        <v>3832</v>
      </c>
      <c r="AE54">
        <v>5300</v>
      </c>
      <c r="AF54">
        <v>8500.52</v>
      </c>
      <c r="AG54">
        <v>1300</v>
      </c>
      <c r="AH54">
        <v>600</v>
      </c>
      <c r="AL54">
        <v>860</v>
      </c>
      <c r="AM54">
        <v>10950</v>
      </c>
      <c r="AO54">
        <v>4000</v>
      </c>
      <c r="AP54">
        <v>200</v>
      </c>
      <c r="AS54">
        <v>3000</v>
      </c>
      <c r="AT54">
        <v>2500</v>
      </c>
      <c r="AU54">
        <v>3200</v>
      </c>
      <c r="AV54">
        <v>4000</v>
      </c>
      <c r="AW54">
        <v>7825</v>
      </c>
      <c r="AX54" t="s">
        <v>157</v>
      </c>
    </row>
    <row r="55" spans="1:50" x14ac:dyDescent="0.25">
      <c r="A55" t="s">
        <v>7</v>
      </c>
      <c r="B55" t="s">
        <v>21</v>
      </c>
      <c r="C55">
        <f>VLOOKUP(D1_OCTUBRE_2025[[#This Row],[SUPER]],DATA_OCTUBRE_2025[[SUPERVISOR]:[META]],3,0)</f>
        <v>53000</v>
      </c>
      <c r="D55">
        <f>D1_OCTUBRE_2025[[#This Row],[RECUPERO]]/D1_OCTUBRE_2025[[#This Row],[META]]</f>
        <v>0.53933962264150948</v>
      </c>
      <c r="E55" t="s">
        <v>7</v>
      </c>
      <c r="F55" t="s">
        <v>21</v>
      </c>
      <c r="G55">
        <v>28585</v>
      </c>
      <c r="H55" t="s">
        <v>409</v>
      </c>
      <c r="I55" s="55">
        <v>44301</v>
      </c>
      <c r="J55" s="55" t="s">
        <v>501</v>
      </c>
      <c r="K55" s="55"/>
      <c r="L55" s="55"/>
      <c r="M55" s="1">
        <f>DATA_OCTUBRE_2025[[#This Row],[RECUPERO]]/DATA_OCTUBRE_2025[[#This Row],[META]]</f>
        <v>0.94443750000000004</v>
      </c>
      <c r="N55">
        <f>6-ROUNDUP(_xlfn.RANK.EQ(DATA_OCTUBRE_2025[[#This Row],[AL_AC]],DATA_OCTUBRE_2025[AL_AC],0)/(COUNTA(DATA_OCTUBRE_2025[AL_AC])/5),0)</f>
        <v>4</v>
      </c>
      <c r="O55" t="s">
        <v>5</v>
      </c>
      <c r="P55">
        <f>SUM(DATA_OCTUBRE_2025[[#This Row],[1]:[31]])</f>
        <v>30222</v>
      </c>
      <c r="Q55">
        <v>32000</v>
      </c>
      <c r="R55" t="s">
        <v>68</v>
      </c>
      <c r="S55">
        <v>1000</v>
      </c>
      <c r="Y55">
        <v>300</v>
      </c>
      <c r="AI55">
        <v>2100</v>
      </c>
      <c r="AN55">
        <v>2000</v>
      </c>
      <c r="AO55">
        <v>269</v>
      </c>
      <c r="AP55">
        <v>10545</v>
      </c>
      <c r="AS55">
        <v>8000</v>
      </c>
      <c r="AU55">
        <v>261</v>
      </c>
      <c r="AV55">
        <v>4920</v>
      </c>
      <c r="AW55">
        <v>827</v>
      </c>
      <c r="AX55" t="s">
        <v>158</v>
      </c>
    </row>
    <row r="56" spans="1:50" x14ac:dyDescent="0.25">
      <c r="A56" t="s">
        <v>7</v>
      </c>
      <c r="B56" t="s">
        <v>11</v>
      </c>
      <c r="C56">
        <f>VLOOKUP(D1_OCTUBRE_2025[[#This Row],[SUPER]],DATA_OCTUBRE_2025[[SUPERVISOR]:[META]],3,0)</f>
        <v>53000</v>
      </c>
      <c r="D56">
        <f>D1_OCTUBRE_2025[[#This Row],[RECUPERO]]/D1_OCTUBRE_2025[[#This Row],[META]]</f>
        <v>0.46154716981132077</v>
      </c>
      <c r="E56" t="s">
        <v>7</v>
      </c>
      <c r="F56" t="s">
        <v>11</v>
      </c>
      <c r="G56">
        <v>24462</v>
      </c>
      <c r="H56" t="s">
        <v>429</v>
      </c>
      <c r="I56" s="55">
        <v>45371</v>
      </c>
      <c r="J56" s="55" t="s">
        <v>501</v>
      </c>
      <c r="K56" s="55"/>
      <c r="L56" s="55"/>
      <c r="M56" s="1">
        <f>DATA_OCTUBRE_2025[[#This Row],[RECUPERO]]/DATA_OCTUBRE_2025[[#This Row],[META]]</f>
        <v>0.14150943396226415</v>
      </c>
      <c r="N56">
        <f>6-ROUNDUP(_xlfn.RANK.EQ(DATA_OCTUBRE_2025[[#This Row],[AL_AC]],DATA_OCTUBRE_2025[AL_AC],0)/(COUNTA(DATA_OCTUBRE_2025[AL_AC])/5),0)</f>
        <v>1</v>
      </c>
      <c r="O56" t="s">
        <v>6</v>
      </c>
      <c r="P56">
        <f>SUM(DATA_OCTUBRE_2025[[#This Row],[1]:[31]])</f>
        <v>7500</v>
      </c>
      <c r="Q56">
        <v>53000</v>
      </c>
      <c r="R56" t="s">
        <v>31</v>
      </c>
      <c r="AP56">
        <v>1000</v>
      </c>
      <c r="AS56">
        <v>4000</v>
      </c>
      <c r="AV56">
        <v>2500</v>
      </c>
      <c r="AX56" t="s">
        <v>159</v>
      </c>
    </row>
    <row r="57" spans="1:50" x14ac:dyDescent="0.25">
      <c r="A57" t="s">
        <v>7</v>
      </c>
      <c r="B57" t="s">
        <v>58</v>
      </c>
      <c r="C57">
        <f>VLOOKUP(D1_OCTUBRE_2025[[#This Row],[SUPER]],DATA_OCTUBRE_2025[[SUPERVISOR]:[META]],3,0)</f>
        <v>53000</v>
      </c>
      <c r="D57">
        <f>D1_OCTUBRE_2025[[#This Row],[RECUPERO]]/D1_OCTUBRE_2025[[#This Row],[META]]</f>
        <v>0.45182075471698113</v>
      </c>
      <c r="E57" t="s">
        <v>7</v>
      </c>
      <c r="F57" t="s">
        <v>58</v>
      </c>
      <c r="G57">
        <v>23946.5</v>
      </c>
      <c r="H57" t="s">
        <v>441</v>
      </c>
      <c r="I57" s="55">
        <v>43035</v>
      </c>
      <c r="J57" s="55" t="s">
        <v>501</v>
      </c>
      <c r="K57" s="55"/>
      <c r="L57" s="55"/>
      <c r="M57" s="1">
        <f>DATA_OCTUBRE_2025[[#This Row],[RECUPERO]]/DATA_OCTUBRE_2025[[#This Row],[META]]</f>
        <v>0.32363636363636361</v>
      </c>
      <c r="N57">
        <f>6-ROUNDUP(_xlfn.RANK.EQ(DATA_OCTUBRE_2025[[#This Row],[AL_AC]],DATA_OCTUBRE_2025[AL_AC],0)/(COUNTA(DATA_OCTUBRE_2025[AL_AC])/5),0)</f>
        <v>1</v>
      </c>
      <c r="O57" t="s">
        <v>3</v>
      </c>
      <c r="P57">
        <f>SUM(DATA_OCTUBRE_2025[[#This Row],[1]:[31]])</f>
        <v>7120</v>
      </c>
      <c r="Q57">
        <v>22000</v>
      </c>
      <c r="R57" t="s">
        <v>101</v>
      </c>
      <c r="S57">
        <v>2520</v>
      </c>
      <c r="AA57">
        <v>380</v>
      </c>
      <c r="AG57">
        <v>1000</v>
      </c>
      <c r="AI57">
        <v>2200</v>
      </c>
      <c r="AN57">
        <v>500</v>
      </c>
      <c r="AP57">
        <v>300</v>
      </c>
      <c r="AQ57">
        <v>220</v>
      </c>
      <c r="AX57" t="s">
        <v>157</v>
      </c>
    </row>
    <row r="58" spans="1:50" x14ac:dyDescent="0.25">
      <c r="A58" t="s">
        <v>7</v>
      </c>
      <c r="B58" t="s">
        <v>105</v>
      </c>
      <c r="C58">
        <f>VLOOKUP(D1_OCTUBRE_2025[[#This Row],[SUPER]],DATA_OCTUBRE_2025[[SUPERVISOR]:[META]],3,0)</f>
        <v>53000</v>
      </c>
      <c r="D58">
        <f>D1_OCTUBRE_2025[[#This Row],[RECUPERO]]/D1_OCTUBRE_2025[[#This Row],[META]]</f>
        <v>0.34173584905660376</v>
      </c>
      <c r="E58" t="s">
        <v>7</v>
      </c>
      <c r="F58" t="s">
        <v>105</v>
      </c>
      <c r="G58">
        <v>18112</v>
      </c>
      <c r="H58" t="s">
        <v>463</v>
      </c>
      <c r="I58" s="55">
        <v>45748</v>
      </c>
      <c r="J58" s="55" t="s">
        <v>501</v>
      </c>
      <c r="K58" s="55"/>
      <c r="L58" s="55"/>
      <c r="M58" s="1">
        <f>DATA_OCTUBRE_2025[[#This Row],[RECUPERO]]/DATA_OCTUBRE_2025[[#This Row],[META]]</f>
        <v>0.19549056603773585</v>
      </c>
      <c r="N58">
        <f>6-ROUNDUP(_xlfn.RANK.EQ(DATA_OCTUBRE_2025[[#This Row],[AL_AC]],DATA_OCTUBRE_2025[AL_AC],0)/(COUNTA(DATA_OCTUBRE_2025[AL_AC])/5),0)</f>
        <v>1</v>
      </c>
      <c r="O58" t="s">
        <v>6</v>
      </c>
      <c r="P58">
        <f>SUM(DATA_OCTUBRE_2025[[#This Row],[1]:[31]])</f>
        <v>10361</v>
      </c>
      <c r="Q58">
        <v>53000</v>
      </c>
      <c r="R58" t="s">
        <v>29</v>
      </c>
      <c r="S58">
        <v>600</v>
      </c>
      <c r="AC58">
        <v>292</v>
      </c>
      <c r="AE58">
        <v>569</v>
      </c>
      <c r="AH58">
        <v>2000</v>
      </c>
      <c r="AL58">
        <v>600</v>
      </c>
      <c r="AO58">
        <v>500</v>
      </c>
      <c r="AT58">
        <v>2000</v>
      </c>
      <c r="AV58">
        <v>3000</v>
      </c>
      <c r="AW58">
        <v>800</v>
      </c>
      <c r="AX58" t="s">
        <v>159</v>
      </c>
    </row>
    <row r="59" spans="1:50" x14ac:dyDescent="0.25">
      <c r="A59" t="s">
        <v>7</v>
      </c>
      <c r="B59" t="s">
        <v>18</v>
      </c>
      <c r="C59">
        <f>VLOOKUP(D1_OCTUBRE_2025[[#This Row],[SUPER]],DATA_OCTUBRE_2025[[SUPERVISOR]:[META]],3,0)</f>
        <v>53000</v>
      </c>
      <c r="D59">
        <f>D1_OCTUBRE_2025[[#This Row],[RECUPERO]]/D1_OCTUBRE_2025[[#This Row],[META]]</f>
        <v>0.26792452830188679</v>
      </c>
      <c r="E59" t="s">
        <v>7</v>
      </c>
      <c r="F59" t="s">
        <v>18</v>
      </c>
      <c r="G59">
        <v>14200</v>
      </c>
      <c r="H59" t="s">
        <v>431</v>
      </c>
      <c r="I59" s="55">
        <v>45133</v>
      </c>
      <c r="J59" s="55" t="s">
        <v>501</v>
      </c>
      <c r="K59" s="55"/>
      <c r="L59" s="55"/>
      <c r="M59" s="1">
        <f>DATA_OCTUBRE_2025[[#This Row],[RECUPERO]]/DATA_OCTUBRE_2025[[#This Row],[META]]</f>
        <v>0.73509433962264148</v>
      </c>
      <c r="N59">
        <f>6-ROUNDUP(_xlfn.RANK.EQ(DATA_OCTUBRE_2025[[#This Row],[AL_AC]],DATA_OCTUBRE_2025[AL_AC],0)/(COUNTA(DATA_OCTUBRE_2025[AL_AC])/5),0)</f>
        <v>3</v>
      </c>
      <c r="O59" t="s">
        <v>6</v>
      </c>
      <c r="P59">
        <f>SUM(DATA_OCTUBRE_2025[[#This Row],[1]:[31]])</f>
        <v>38960</v>
      </c>
      <c r="Q59">
        <v>53000</v>
      </c>
      <c r="R59" t="s">
        <v>99</v>
      </c>
      <c r="U59">
        <v>5000</v>
      </c>
      <c r="AG59">
        <v>4000</v>
      </c>
      <c r="AH59">
        <v>2900</v>
      </c>
      <c r="AM59">
        <v>150</v>
      </c>
      <c r="AQ59">
        <v>280</v>
      </c>
      <c r="AR59">
        <v>1300</v>
      </c>
      <c r="AS59">
        <v>2000</v>
      </c>
      <c r="AV59">
        <v>4500</v>
      </c>
      <c r="AW59">
        <v>18830</v>
      </c>
      <c r="AX59" t="s">
        <v>159</v>
      </c>
    </row>
    <row r="60" spans="1:50" x14ac:dyDescent="0.25">
      <c r="A60" t="s">
        <v>7</v>
      </c>
      <c r="B60" t="s">
        <v>20</v>
      </c>
      <c r="C60">
        <f>VLOOKUP(D1_OCTUBRE_2025[[#This Row],[SUPER]],DATA_OCTUBRE_2025[[SUPERVISOR]:[META]],3,0)</f>
        <v>53000</v>
      </c>
      <c r="D60">
        <f>D1_OCTUBRE_2025[[#This Row],[RECUPERO]]/D1_OCTUBRE_2025[[#This Row],[META]]</f>
        <v>0.26111320754716982</v>
      </c>
      <c r="E60" t="s">
        <v>7</v>
      </c>
      <c r="F60" t="s">
        <v>20</v>
      </c>
      <c r="G60">
        <v>13839</v>
      </c>
      <c r="H60" t="s">
        <v>427</v>
      </c>
      <c r="I60" s="55">
        <v>45142</v>
      </c>
      <c r="J60" s="55" t="s">
        <v>501</v>
      </c>
      <c r="K60" s="55"/>
      <c r="L60" s="55"/>
      <c r="M60" s="1">
        <f>DATA_OCTUBRE_2025[[#This Row],[RECUPERO]]/DATA_OCTUBRE_2025[[#This Row],[META]]</f>
        <v>1.011590909090909</v>
      </c>
      <c r="N60">
        <f>6-ROUNDUP(_xlfn.RANK.EQ(DATA_OCTUBRE_2025[[#This Row],[AL_AC]],DATA_OCTUBRE_2025[AL_AC],0)/(COUNTA(DATA_OCTUBRE_2025[AL_AC])/5),0)</f>
        <v>4</v>
      </c>
      <c r="O60" t="s">
        <v>3</v>
      </c>
      <c r="P60">
        <f>SUM(DATA_OCTUBRE_2025[[#This Row],[1]:[31]])</f>
        <v>22255</v>
      </c>
      <c r="Q60">
        <v>22000</v>
      </c>
      <c r="R60" t="s">
        <v>43</v>
      </c>
      <c r="V60">
        <v>208</v>
      </c>
      <c r="Y60">
        <v>560</v>
      </c>
      <c r="AF60">
        <v>2000</v>
      </c>
      <c r="AG60">
        <v>1100</v>
      </c>
      <c r="AI60">
        <v>1047</v>
      </c>
      <c r="AL60">
        <v>2500</v>
      </c>
      <c r="AO60">
        <v>1000</v>
      </c>
      <c r="AP60">
        <v>775</v>
      </c>
      <c r="AS60">
        <v>100</v>
      </c>
      <c r="AU60">
        <v>9240</v>
      </c>
      <c r="AV60">
        <v>3725</v>
      </c>
      <c r="AX60" t="s">
        <v>157</v>
      </c>
    </row>
    <row r="61" spans="1:50" x14ac:dyDescent="0.25">
      <c r="A61" t="s">
        <v>8</v>
      </c>
      <c r="B61" t="s">
        <v>61</v>
      </c>
      <c r="C61">
        <f>VLOOKUP(D1_OCTUBRE_2025[[#This Row],[SUPER]],DATA_OCTUBRE_2025[[SUPERVISOR]:[META]],3,0)</f>
        <v>70000</v>
      </c>
      <c r="D61">
        <f>D1_OCTUBRE_2025[[#This Row],[RECUPERO]]/D1_OCTUBRE_2025[[#This Row],[META]]</f>
        <v>1.6813142857142858</v>
      </c>
      <c r="E61" t="s">
        <v>8</v>
      </c>
      <c r="F61" t="s">
        <v>61</v>
      </c>
      <c r="G61">
        <v>117692</v>
      </c>
      <c r="H61" t="s">
        <v>411</v>
      </c>
      <c r="I61" s="55">
        <v>44909</v>
      </c>
      <c r="J61" s="55" t="s">
        <v>501</v>
      </c>
      <c r="K61" s="55"/>
      <c r="L61" s="55"/>
      <c r="M61" s="1">
        <f>DATA_OCTUBRE_2025[[#This Row],[RECUPERO]]/DATA_OCTUBRE_2025[[#This Row],[META]]</f>
        <v>0.52096428571428577</v>
      </c>
      <c r="N61">
        <f>6-ROUNDUP(_xlfn.RANK.EQ(DATA_OCTUBRE_2025[[#This Row],[AL_AC]],DATA_OCTUBRE_2025[AL_AC],0)/(COUNTA(DATA_OCTUBRE_2025[AL_AC])/5),0)</f>
        <v>2</v>
      </c>
      <c r="O61" t="s">
        <v>8</v>
      </c>
      <c r="P61">
        <f>SUM(DATA_OCTUBRE_2025[[#This Row],[1]:[31]])</f>
        <v>36467.5</v>
      </c>
      <c r="Q61">
        <v>70000</v>
      </c>
      <c r="R61" t="s">
        <v>25</v>
      </c>
      <c r="S61">
        <v>3000</v>
      </c>
      <c r="Y61">
        <v>5000</v>
      </c>
      <c r="AH61">
        <v>1000</v>
      </c>
      <c r="AI61">
        <v>7097.5</v>
      </c>
      <c r="AL61">
        <v>506</v>
      </c>
      <c r="AO61">
        <v>2925</v>
      </c>
      <c r="AP61">
        <v>2925</v>
      </c>
      <c r="AS61">
        <v>5000</v>
      </c>
      <c r="AU61">
        <v>6500</v>
      </c>
      <c r="AW61">
        <v>2514</v>
      </c>
      <c r="AX61" t="s">
        <v>155</v>
      </c>
    </row>
    <row r="62" spans="1:50" x14ac:dyDescent="0.25">
      <c r="A62" t="s">
        <v>8</v>
      </c>
      <c r="B62" t="s">
        <v>81</v>
      </c>
      <c r="C62">
        <f>VLOOKUP(D1_OCTUBRE_2025[[#This Row],[SUPER]],DATA_OCTUBRE_2025[[SUPERVISOR]:[META]],3,0)</f>
        <v>70000</v>
      </c>
      <c r="D62">
        <f>D1_OCTUBRE_2025[[#This Row],[RECUPERO]]/D1_OCTUBRE_2025[[#This Row],[META]]</f>
        <v>1.3420721428571429</v>
      </c>
      <c r="E62" t="s">
        <v>8</v>
      </c>
      <c r="F62" t="s">
        <v>81</v>
      </c>
      <c r="G62">
        <v>93945.05</v>
      </c>
      <c r="H62" t="s">
        <v>425</v>
      </c>
      <c r="I62" s="55">
        <v>45506</v>
      </c>
      <c r="J62" s="55" t="s">
        <v>501</v>
      </c>
      <c r="K62" s="55"/>
      <c r="L62" s="55"/>
      <c r="M62" s="1">
        <f>DATA_OCTUBRE_2025[[#This Row],[RECUPERO]]/DATA_OCTUBRE_2025[[#This Row],[META]]</f>
        <v>0.95709374999999997</v>
      </c>
      <c r="N62">
        <f>6-ROUNDUP(_xlfn.RANK.EQ(DATA_OCTUBRE_2025[[#This Row],[AL_AC]],DATA_OCTUBRE_2025[AL_AC],0)/(COUNTA(DATA_OCTUBRE_2025[AL_AC])/5),0)</f>
        <v>4</v>
      </c>
      <c r="O62" t="s">
        <v>125</v>
      </c>
      <c r="P62">
        <f>SUM(DATA_OCTUBRE_2025[[#This Row],[1]:[31]])</f>
        <v>30627</v>
      </c>
      <c r="Q62">
        <v>32000</v>
      </c>
      <c r="R62" t="s">
        <v>38</v>
      </c>
      <c r="U62">
        <v>550</v>
      </c>
      <c r="X62">
        <v>850</v>
      </c>
      <c r="AA62">
        <v>158</v>
      </c>
      <c r="AB62">
        <v>1600</v>
      </c>
      <c r="AG62">
        <v>428.5</v>
      </c>
      <c r="AH62">
        <v>13975</v>
      </c>
      <c r="AL62">
        <v>787</v>
      </c>
      <c r="AN62">
        <v>600</v>
      </c>
      <c r="AO62">
        <v>1300</v>
      </c>
      <c r="AP62">
        <v>1000</v>
      </c>
      <c r="AS62">
        <v>100</v>
      </c>
      <c r="AT62">
        <v>4000</v>
      </c>
      <c r="AW62">
        <v>5278.5</v>
      </c>
      <c r="AX62" t="s">
        <v>158</v>
      </c>
    </row>
    <row r="63" spans="1:50" x14ac:dyDescent="0.25">
      <c r="A63" t="s">
        <v>8</v>
      </c>
      <c r="B63" t="s">
        <v>76</v>
      </c>
      <c r="C63">
        <f>VLOOKUP(D1_OCTUBRE_2025[[#This Row],[SUPER]],DATA_OCTUBRE_2025[[SUPERVISOR]:[META]],3,0)</f>
        <v>70000</v>
      </c>
      <c r="D63">
        <f>D1_OCTUBRE_2025[[#This Row],[RECUPERO]]/D1_OCTUBRE_2025[[#This Row],[META]]</f>
        <v>0.91550585714285715</v>
      </c>
      <c r="E63" t="s">
        <v>8</v>
      </c>
      <c r="F63" t="s">
        <v>76</v>
      </c>
      <c r="G63">
        <v>64085.41</v>
      </c>
      <c r="H63" t="s">
        <v>408</v>
      </c>
      <c r="I63" s="55">
        <v>44819</v>
      </c>
      <c r="J63" s="55" t="s">
        <v>501</v>
      </c>
      <c r="K63" s="55"/>
      <c r="L63" s="55"/>
      <c r="M63" s="1">
        <f>DATA_OCTUBRE_2025[[#This Row],[RECUPERO]]/DATA_OCTUBRE_2025[[#This Row],[META]]</f>
        <v>1.9579811320754716</v>
      </c>
      <c r="N63">
        <f>6-ROUNDUP(_xlfn.RANK.EQ(DATA_OCTUBRE_2025[[#This Row],[AL_AC]],DATA_OCTUBRE_2025[AL_AC],0)/(COUNTA(DATA_OCTUBRE_2025[AL_AC])/5),0)</f>
        <v>5</v>
      </c>
      <c r="O63" t="s">
        <v>6</v>
      </c>
      <c r="P63">
        <f>SUM(DATA_OCTUBRE_2025[[#This Row],[1]:[31]])</f>
        <v>103773</v>
      </c>
      <c r="Q63">
        <v>53000</v>
      </c>
      <c r="R63" t="s">
        <v>75</v>
      </c>
      <c r="S63">
        <v>1500</v>
      </c>
      <c r="V63">
        <v>600</v>
      </c>
      <c r="AE63">
        <v>28500</v>
      </c>
      <c r="AF63">
        <v>15000</v>
      </c>
      <c r="AI63">
        <v>7000</v>
      </c>
      <c r="AR63">
        <v>2000</v>
      </c>
      <c r="AS63">
        <v>10000</v>
      </c>
      <c r="AT63">
        <v>1600</v>
      </c>
      <c r="AU63">
        <v>420</v>
      </c>
      <c r="AV63">
        <v>1049</v>
      </c>
      <c r="AW63">
        <v>36104</v>
      </c>
      <c r="AX63" t="s">
        <v>159</v>
      </c>
    </row>
    <row r="64" spans="1:50" x14ac:dyDescent="0.25">
      <c r="A64" t="s">
        <v>8</v>
      </c>
      <c r="B64" t="s">
        <v>10</v>
      </c>
      <c r="C64">
        <f>VLOOKUP(D1_OCTUBRE_2025[[#This Row],[SUPER]],DATA_OCTUBRE_2025[[SUPERVISOR]:[META]],3,0)</f>
        <v>70000</v>
      </c>
      <c r="D64">
        <f>D1_OCTUBRE_2025[[#This Row],[RECUPERO]]/D1_OCTUBRE_2025[[#This Row],[META]]</f>
        <v>0.87085714285714289</v>
      </c>
      <c r="E64" t="s">
        <v>8</v>
      </c>
      <c r="F64" t="s">
        <v>10</v>
      </c>
      <c r="G64">
        <v>60960</v>
      </c>
      <c r="H64" t="s">
        <v>449</v>
      </c>
      <c r="I64" s="55">
        <v>44706</v>
      </c>
      <c r="J64" s="55" t="s">
        <v>501</v>
      </c>
      <c r="K64" s="55"/>
      <c r="L64" s="55"/>
      <c r="M64" s="1">
        <f>DATA_OCTUBRE_2025[[#This Row],[RECUPERO]]/DATA_OCTUBRE_2025[[#This Row],[META]]</f>
        <v>0.72113863636363629</v>
      </c>
      <c r="N64">
        <f>6-ROUNDUP(_xlfn.RANK.EQ(DATA_OCTUBRE_2025[[#This Row],[AL_AC]],DATA_OCTUBRE_2025[AL_AC],0)/(COUNTA(DATA_OCTUBRE_2025[AL_AC])/5),0)</f>
        <v>3</v>
      </c>
      <c r="O64" t="s">
        <v>4</v>
      </c>
      <c r="P64">
        <f>SUM(DATA_OCTUBRE_2025[[#This Row],[1]:[31]])</f>
        <v>15865.05</v>
      </c>
      <c r="Q64">
        <v>22000</v>
      </c>
      <c r="R64" t="s">
        <v>55</v>
      </c>
      <c r="S64">
        <v>1100.05</v>
      </c>
      <c r="U64">
        <v>510</v>
      </c>
      <c r="V64">
        <v>200</v>
      </c>
      <c r="Y64">
        <v>300</v>
      </c>
      <c r="AB64">
        <v>100</v>
      </c>
      <c r="AH64">
        <v>4000</v>
      </c>
      <c r="AL64">
        <v>6000</v>
      </c>
      <c r="AM64">
        <v>400</v>
      </c>
      <c r="AS64">
        <v>200</v>
      </c>
      <c r="AT64">
        <v>1575</v>
      </c>
      <c r="AU64">
        <v>480</v>
      </c>
      <c r="AV64">
        <v>200</v>
      </c>
      <c r="AW64">
        <v>800</v>
      </c>
      <c r="AX64" t="s">
        <v>157</v>
      </c>
    </row>
    <row r="65" spans="1:50" x14ac:dyDescent="0.25">
      <c r="A65" t="s">
        <v>8</v>
      </c>
      <c r="B65" t="s">
        <v>27</v>
      </c>
      <c r="C65">
        <f>VLOOKUP(D1_OCTUBRE_2025[[#This Row],[SUPER]],DATA_OCTUBRE_2025[[SUPERVISOR]:[META]],3,0)</f>
        <v>70000</v>
      </c>
      <c r="D65">
        <f>D1_OCTUBRE_2025[[#This Row],[RECUPERO]]/D1_OCTUBRE_2025[[#This Row],[META]]</f>
        <v>0.7658571428571429</v>
      </c>
      <c r="E65" t="s">
        <v>8</v>
      </c>
      <c r="F65" t="s">
        <v>27</v>
      </c>
      <c r="G65">
        <v>53610</v>
      </c>
      <c r="H65" t="s">
        <v>412</v>
      </c>
      <c r="I65" s="55">
        <v>45675</v>
      </c>
      <c r="J65" s="55" t="s">
        <v>501</v>
      </c>
      <c r="K65" s="55"/>
      <c r="L65" s="55"/>
      <c r="M65" s="1">
        <f>DATA_OCTUBRE_2025[[#This Row],[RECUPERO]]/DATA_OCTUBRE_2025[[#This Row],[META]]</f>
        <v>0.27422641509433965</v>
      </c>
      <c r="N65">
        <f>6-ROUNDUP(_xlfn.RANK.EQ(DATA_OCTUBRE_2025[[#This Row],[AL_AC]],DATA_OCTUBRE_2025[AL_AC],0)/(COUNTA(DATA_OCTUBRE_2025[AL_AC])/5),0)</f>
        <v>1</v>
      </c>
      <c r="O65" t="s">
        <v>6</v>
      </c>
      <c r="P65">
        <f>SUM(DATA_OCTUBRE_2025[[#This Row],[1]:[31]])</f>
        <v>14534</v>
      </c>
      <c r="Q65">
        <v>53000</v>
      </c>
      <c r="R65" t="s">
        <v>36</v>
      </c>
      <c r="T65">
        <v>600</v>
      </c>
      <c r="Y65">
        <v>1164</v>
      </c>
      <c r="AF65">
        <v>900</v>
      </c>
      <c r="AL65">
        <v>600</v>
      </c>
      <c r="AM65">
        <v>770</v>
      </c>
      <c r="AN65">
        <v>600</v>
      </c>
      <c r="AS65">
        <v>3000</v>
      </c>
      <c r="AT65">
        <v>300</v>
      </c>
      <c r="AV65">
        <v>600</v>
      </c>
      <c r="AW65">
        <v>6000</v>
      </c>
      <c r="AX65" t="s">
        <v>159</v>
      </c>
    </row>
    <row r="66" spans="1:50" x14ac:dyDescent="0.25">
      <c r="A66" t="s">
        <v>8</v>
      </c>
      <c r="B66" t="s">
        <v>42</v>
      </c>
      <c r="C66">
        <f>VLOOKUP(D1_OCTUBRE_2025[[#This Row],[SUPER]],DATA_OCTUBRE_2025[[SUPERVISOR]:[META]],3,0)</f>
        <v>70000</v>
      </c>
      <c r="D66">
        <f>D1_OCTUBRE_2025[[#This Row],[RECUPERO]]/D1_OCTUBRE_2025[[#This Row],[META]]</f>
        <v>0.64928571428571424</v>
      </c>
      <c r="E66" t="s">
        <v>8</v>
      </c>
      <c r="F66" t="s">
        <v>42</v>
      </c>
      <c r="G66">
        <v>45450</v>
      </c>
      <c r="H66" t="s">
        <v>415</v>
      </c>
      <c r="I66" s="55">
        <v>45399</v>
      </c>
      <c r="J66" s="55" t="s">
        <v>501</v>
      </c>
      <c r="K66" s="55"/>
      <c r="L66" s="55"/>
      <c r="M66" s="1">
        <f>DATA_OCTUBRE_2025[[#This Row],[RECUPERO]]/DATA_OCTUBRE_2025[[#This Row],[META]]</f>
        <v>0.13746875</v>
      </c>
      <c r="N66">
        <f>6-ROUNDUP(_xlfn.RANK.EQ(DATA_OCTUBRE_2025[[#This Row],[AL_AC]],DATA_OCTUBRE_2025[AL_AC],0)/(COUNTA(DATA_OCTUBRE_2025[AL_AC])/5),0)</f>
        <v>1</v>
      </c>
      <c r="O66" t="s">
        <v>5</v>
      </c>
      <c r="P66">
        <f>SUM(DATA_OCTUBRE_2025[[#This Row],[1]:[31]])</f>
        <v>4399</v>
      </c>
      <c r="Q66">
        <v>32000</v>
      </c>
      <c r="R66" t="s">
        <v>70</v>
      </c>
      <c r="AA66">
        <v>851</v>
      </c>
      <c r="AE66">
        <v>1289</v>
      </c>
      <c r="AH66">
        <v>359</v>
      </c>
      <c r="AQ66">
        <v>700</v>
      </c>
      <c r="AU66">
        <v>200</v>
      </c>
      <c r="AV66">
        <v>1000</v>
      </c>
      <c r="AX66" t="s">
        <v>158</v>
      </c>
    </row>
    <row r="67" spans="1:50" x14ac:dyDescent="0.25">
      <c r="A67" t="s">
        <v>8</v>
      </c>
      <c r="B67" t="s">
        <v>25</v>
      </c>
      <c r="C67">
        <f>VLOOKUP(D1_OCTUBRE_2025[[#This Row],[SUPER]],DATA_OCTUBRE_2025[[SUPERVISOR]:[META]],3,0)</f>
        <v>70000</v>
      </c>
      <c r="D67">
        <f>D1_OCTUBRE_2025[[#This Row],[RECUPERO]]/D1_OCTUBRE_2025[[#This Row],[META]]</f>
        <v>0.52096428571428577</v>
      </c>
      <c r="E67" t="s">
        <v>8</v>
      </c>
      <c r="F67" t="s">
        <v>25</v>
      </c>
      <c r="G67">
        <v>36467.5</v>
      </c>
      <c r="H67" t="s">
        <v>446</v>
      </c>
      <c r="I67" s="55">
        <v>44820</v>
      </c>
      <c r="J67" s="55" t="s">
        <v>501</v>
      </c>
      <c r="K67" s="55"/>
      <c r="L67" s="55"/>
      <c r="M67" s="1">
        <f>DATA_OCTUBRE_2025[[#This Row],[RECUPERO]]/DATA_OCTUBRE_2025[[#This Row],[META]]</f>
        <v>0.46154716981132077</v>
      </c>
      <c r="N67">
        <f>6-ROUNDUP(_xlfn.RANK.EQ(DATA_OCTUBRE_2025[[#This Row],[AL_AC]],DATA_OCTUBRE_2025[AL_AC],0)/(COUNTA(DATA_OCTUBRE_2025[AL_AC])/5),0)</f>
        <v>2</v>
      </c>
      <c r="O67" t="s">
        <v>7</v>
      </c>
      <c r="P67">
        <f>SUM(DATA_OCTUBRE_2025[[#This Row],[1]:[31]])</f>
        <v>24462</v>
      </c>
      <c r="Q67">
        <v>53000</v>
      </c>
      <c r="R67" t="s">
        <v>11</v>
      </c>
      <c r="X67">
        <v>1200</v>
      </c>
      <c r="AB67">
        <v>392</v>
      </c>
      <c r="AG67">
        <v>3000</v>
      </c>
      <c r="AI67">
        <v>4000</v>
      </c>
      <c r="AM67">
        <v>5000</v>
      </c>
      <c r="AN67">
        <v>250</v>
      </c>
      <c r="AS67">
        <v>4000</v>
      </c>
      <c r="AT67">
        <v>5000</v>
      </c>
      <c r="AU67">
        <v>1000</v>
      </c>
      <c r="AW67">
        <v>620</v>
      </c>
      <c r="AX67" t="s">
        <v>159</v>
      </c>
    </row>
    <row r="68" spans="1:50" x14ac:dyDescent="0.25">
      <c r="A68" t="s">
        <v>8</v>
      </c>
      <c r="B68" t="s">
        <v>57</v>
      </c>
      <c r="C68">
        <f>VLOOKUP(D1_OCTUBRE_2025[[#This Row],[SUPER]],DATA_OCTUBRE_2025[[SUPERVISOR]:[META]],3,0)</f>
        <v>70000</v>
      </c>
      <c r="D68">
        <f>D1_OCTUBRE_2025[[#This Row],[RECUPERO]]/D1_OCTUBRE_2025[[#This Row],[META]]</f>
        <v>0.28318571428571426</v>
      </c>
      <c r="E68" t="s">
        <v>8</v>
      </c>
      <c r="F68" t="s">
        <v>57</v>
      </c>
      <c r="G68">
        <v>19823</v>
      </c>
      <c r="H68" t="s">
        <v>443</v>
      </c>
      <c r="I68" s="55">
        <v>45590</v>
      </c>
      <c r="J68" s="55" t="s">
        <v>501</v>
      </c>
      <c r="K68" s="55"/>
      <c r="L68" s="55"/>
      <c r="M68" s="1">
        <f>DATA_OCTUBRE_2025[[#This Row],[RECUPERO]]/DATA_OCTUBRE_2025[[#This Row],[META]]</f>
        <v>0.99562499999999998</v>
      </c>
      <c r="N68">
        <f>6-ROUNDUP(_xlfn.RANK.EQ(DATA_OCTUBRE_2025[[#This Row],[AL_AC]],DATA_OCTUBRE_2025[AL_AC],0)/(COUNTA(DATA_OCTUBRE_2025[AL_AC])/5),0)</f>
        <v>4</v>
      </c>
      <c r="O68" t="s">
        <v>125</v>
      </c>
      <c r="P68">
        <f>SUM(DATA_OCTUBRE_2025[[#This Row],[1]:[31]])</f>
        <v>31860</v>
      </c>
      <c r="Q68">
        <v>32000</v>
      </c>
      <c r="R68" t="s">
        <v>91</v>
      </c>
      <c r="AB68">
        <v>105</v>
      </c>
      <c r="AG68">
        <v>985</v>
      </c>
      <c r="AH68">
        <v>13000</v>
      </c>
      <c r="AI68">
        <v>350</v>
      </c>
      <c r="AP68">
        <v>1000</v>
      </c>
      <c r="AR68">
        <v>1500</v>
      </c>
      <c r="AU68">
        <v>600</v>
      </c>
      <c r="AV68">
        <v>860</v>
      </c>
      <c r="AW68">
        <v>13460</v>
      </c>
      <c r="AX68" t="s">
        <v>158</v>
      </c>
    </row>
    <row r="69" spans="1:50" x14ac:dyDescent="0.25">
      <c r="A69" t="s">
        <v>9</v>
      </c>
      <c r="B69" t="s">
        <v>80</v>
      </c>
      <c r="C69">
        <f>VLOOKUP(D1_OCTUBRE_2025[[#This Row],[SUPER]],DATA_OCTUBRE_2025[[SUPERVISOR]:[META]],3,0)</f>
        <v>23000</v>
      </c>
      <c r="D69">
        <f>D1_OCTUBRE_2025[[#This Row],[RECUPERO]]/D1_OCTUBRE_2025[[#This Row],[META]]</f>
        <v>1.7717391304347827</v>
      </c>
      <c r="E69" t="s">
        <v>9</v>
      </c>
      <c r="F69" t="s">
        <v>80</v>
      </c>
      <c r="G69">
        <v>40750</v>
      </c>
      <c r="H69" t="s">
        <v>433</v>
      </c>
      <c r="I69" s="55">
        <v>45285</v>
      </c>
      <c r="J69" s="55" t="s">
        <v>501</v>
      </c>
      <c r="K69" s="55"/>
      <c r="L69" s="55"/>
      <c r="M69" s="1">
        <f>DATA_OCTUBRE_2025[[#This Row],[RECUPERO]]/DATA_OCTUBRE_2025[[#This Row],[META]]</f>
        <v>0.53149999999999997</v>
      </c>
      <c r="N69">
        <f>6-ROUNDUP(_xlfn.RANK.EQ(DATA_OCTUBRE_2025[[#This Row],[AL_AC]],DATA_OCTUBRE_2025[AL_AC],0)/(COUNTA(DATA_OCTUBRE_2025[AL_AC])/5),0)</f>
        <v>2</v>
      </c>
      <c r="O69" t="s">
        <v>4</v>
      </c>
      <c r="P69">
        <f>SUM(DATA_OCTUBRE_2025[[#This Row],[1]:[31]])</f>
        <v>11693</v>
      </c>
      <c r="Q69">
        <v>22000</v>
      </c>
      <c r="R69" t="s">
        <v>74</v>
      </c>
      <c r="S69">
        <v>120</v>
      </c>
      <c r="U69">
        <v>250</v>
      </c>
      <c r="AE69">
        <v>3500</v>
      </c>
      <c r="AH69">
        <v>500</v>
      </c>
      <c r="AO69">
        <v>6000</v>
      </c>
      <c r="AT69">
        <v>260</v>
      </c>
      <c r="AU69">
        <v>300</v>
      </c>
      <c r="AV69">
        <v>340</v>
      </c>
      <c r="AW69">
        <v>423</v>
      </c>
      <c r="AX69" t="s">
        <v>157</v>
      </c>
    </row>
    <row r="70" spans="1:50" x14ac:dyDescent="0.25">
      <c r="A70" t="s">
        <v>9</v>
      </c>
      <c r="B70" t="s">
        <v>19</v>
      </c>
      <c r="C70">
        <f>VLOOKUP(D1_OCTUBRE_2025[[#This Row],[SUPER]],DATA_OCTUBRE_2025[[SUPERVISOR]:[META]],3,0)</f>
        <v>23000</v>
      </c>
      <c r="D70">
        <f>D1_OCTUBRE_2025[[#This Row],[RECUPERO]]/D1_OCTUBRE_2025[[#This Row],[META]]</f>
        <v>1.4431739130434782</v>
      </c>
      <c r="E70" t="s">
        <v>9</v>
      </c>
      <c r="F70" t="s">
        <v>19</v>
      </c>
      <c r="G70">
        <v>33193</v>
      </c>
      <c r="H70" t="s">
        <v>399</v>
      </c>
      <c r="I70" s="55">
        <v>44673</v>
      </c>
      <c r="J70" s="55" t="s">
        <v>501</v>
      </c>
      <c r="K70" s="55"/>
      <c r="L70" s="55"/>
      <c r="M70" s="1">
        <f>DATA_OCTUBRE_2025[[#This Row],[RECUPERO]]/DATA_OCTUBRE_2025[[#This Row],[META]]</f>
        <v>0.89687499999999998</v>
      </c>
      <c r="N70">
        <f>6-ROUNDUP(_xlfn.RANK.EQ(DATA_OCTUBRE_2025[[#This Row],[AL_AC]],DATA_OCTUBRE_2025[AL_AC],0)/(COUNTA(DATA_OCTUBRE_2025[AL_AC])/5),0)</f>
        <v>4</v>
      </c>
      <c r="O70" t="s">
        <v>5</v>
      </c>
      <c r="P70">
        <f>SUM(DATA_OCTUBRE_2025[[#This Row],[1]:[31]])</f>
        <v>28700</v>
      </c>
      <c r="Q70">
        <v>32000</v>
      </c>
      <c r="R70" t="s">
        <v>79</v>
      </c>
      <c r="Y70">
        <v>2200</v>
      </c>
      <c r="AA70">
        <v>9000</v>
      </c>
      <c r="AE70">
        <v>400</v>
      </c>
      <c r="AF70">
        <v>3200</v>
      </c>
      <c r="AL70">
        <v>1500</v>
      </c>
      <c r="AN70">
        <v>6600</v>
      </c>
      <c r="AP70">
        <v>1600</v>
      </c>
      <c r="AV70">
        <v>3800</v>
      </c>
      <c r="AW70">
        <v>400</v>
      </c>
      <c r="AX70" t="s">
        <v>158</v>
      </c>
    </row>
    <row r="71" spans="1:50" x14ac:dyDescent="0.25">
      <c r="A71" t="s">
        <v>9</v>
      </c>
      <c r="B71" t="s">
        <v>34</v>
      </c>
      <c r="C71">
        <f>VLOOKUP(D1_OCTUBRE_2025[[#This Row],[SUPER]],DATA_OCTUBRE_2025[[SUPERVISOR]:[META]],3,0)</f>
        <v>23000</v>
      </c>
      <c r="D71">
        <f>D1_OCTUBRE_2025[[#This Row],[RECUPERO]]/D1_OCTUBRE_2025[[#This Row],[META]]</f>
        <v>1.2923913043478261</v>
      </c>
      <c r="E71" t="s">
        <v>9</v>
      </c>
      <c r="F71" t="s">
        <v>34</v>
      </c>
      <c r="G71">
        <v>29725</v>
      </c>
      <c r="H71" t="s">
        <v>407</v>
      </c>
      <c r="I71" s="55">
        <v>45175</v>
      </c>
      <c r="J71" s="55" t="s">
        <v>501</v>
      </c>
      <c r="K71" s="55"/>
      <c r="L71" s="55"/>
      <c r="M71" s="1">
        <f>DATA_OCTUBRE_2025[[#This Row],[RECUPERO]]/DATA_OCTUBRE_2025[[#This Row],[META]]</f>
        <v>0.85445454545454547</v>
      </c>
      <c r="N71">
        <f>6-ROUNDUP(_xlfn.RANK.EQ(DATA_OCTUBRE_2025[[#This Row],[AL_AC]],DATA_OCTUBRE_2025[AL_AC],0)/(COUNTA(DATA_OCTUBRE_2025[AL_AC])/5),0)</f>
        <v>3</v>
      </c>
      <c r="O71" t="s">
        <v>3</v>
      </c>
      <c r="P71">
        <f>SUM(DATA_OCTUBRE_2025[[#This Row],[1]:[31]])</f>
        <v>18798</v>
      </c>
      <c r="Q71">
        <v>22000</v>
      </c>
      <c r="R71" t="s">
        <v>97</v>
      </c>
      <c r="S71">
        <v>300</v>
      </c>
      <c r="T71">
        <v>200</v>
      </c>
      <c r="X71">
        <v>1070</v>
      </c>
      <c r="Y71">
        <v>1000</v>
      </c>
      <c r="AA71">
        <v>300</v>
      </c>
      <c r="AE71">
        <v>1310</v>
      </c>
      <c r="AF71">
        <v>300</v>
      </c>
      <c r="AG71">
        <v>288</v>
      </c>
      <c r="AI71">
        <v>1040</v>
      </c>
      <c r="AL71">
        <v>1150</v>
      </c>
      <c r="AM71">
        <v>475</v>
      </c>
      <c r="AO71">
        <v>7500</v>
      </c>
      <c r="AP71">
        <v>1570</v>
      </c>
      <c r="AS71">
        <v>200</v>
      </c>
      <c r="AU71">
        <v>175</v>
      </c>
      <c r="AV71">
        <v>1400</v>
      </c>
      <c r="AW71">
        <v>520</v>
      </c>
      <c r="AX71" t="s">
        <v>157</v>
      </c>
    </row>
    <row r="72" spans="1:50" x14ac:dyDescent="0.25">
      <c r="A72" t="s">
        <v>9</v>
      </c>
      <c r="B72" t="s">
        <v>13</v>
      </c>
      <c r="C72">
        <f>VLOOKUP(D1_OCTUBRE_2025[[#This Row],[SUPER]],DATA_OCTUBRE_2025[[SUPERVISOR]:[META]],3,0)</f>
        <v>23000</v>
      </c>
      <c r="D72">
        <f>D1_OCTUBRE_2025[[#This Row],[RECUPERO]]/D1_OCTUBRE_2025[[#This Row],[META]]</f>
        <v>1.1452608695652173</v>
      </c>
      <c r="E72" t="s">
        <v>9</v>
      </c>
      <c r="F72" t="s">
        <v>13</v>
      </c>
      <c r="G72">
        <v>26341</v>
      </c>
      <c r="H72" t="s">
        <v>382</v>
      </c>
      <c r="I72" s="55">
        <v>44811</v>
      </c>
      <c r="J72" s="55" t="s">
        <v>501</v>
      </c>
      <c r="K72" s="55"/>
      <c r="L72" s="55"/>
      <c r="M72" s="1">
        <f>DATA_OCTUBRE_2025[[#This Row],[RECUPERO]]/DATA_OCTUBRE_2025[[#This Row],[META]]</f>
        <v>0.94077272727272732</v>
      </c>
      <c r="N72">
        <f>6-ROUNDUP(_xlfn.RANK.EQ(DATA_OCTUBRE_2025[[#This Row],[AL_AC]],DATA_OCTUBRE_2025[AL_AC],0)/(COUNTA(DATA_OCTUBRE_2025[AL_AC])/5),0)</f>
        <v>4</v>
      </c>
      <c r="O72" t="s">
        <v>3</v>
      </c>
      <c r="P72">
        <f>SUM(DATA_OCTUBRE_2025[[#This Row],[1]:[31]])</f>
        <v>20697</v>
      </c>
      <c r="Q72">
        <v>22000</v>
      </c>
      <c r="R72" t="s">
        <v>102</v>
      </c>
      <c r="T72">
        <v>500</v>
      </c>
      <c r="U72">
        <v>340</v>
      </c>
      <c r="X72">
        <v>500</v>
      </c>
      <c r="AB72">
        <v>2000</v>
      </c>
      <c r="AG72">
        <v>300</v>
      </c>
      <c r="AH72">
        <v>375</v>
      </c>
      <c r="AJ72">
        <v>340</v>
      </c>
      <c r="AM72">
        <v>800</v>
      </c>
      <c r="AN72">
        <v>3584</v>
      </c>
      <c r="AP72">
        <v>1026</v>
      </c>
      <c r="AQ72">
        <v>806</v>
      </c>
      <c r="AS72">
        <v>3551</v>
      </c>
      <c r="AU72">
        <v>880</v>
      </c>
      <c r="AV72">
        <v>695</v>
      </c>
      <c r="AW72">
        <v>5000</v>
      </c>
      <c r="AX72" t="s">
        <v>157</v>
      </c>
    </row>
    <row r="73" spans="1:50" x14ac:dyDescent="0.25">
      <c r="A73" t="s">
        <v>9</v>
      </c>
      <c r="B73" t="s">
        <v>24</v>
      </c>
      <c r="C73">
        <f>VLOOKUP(D1_OCTUBRE_2025[[#This Row],[SUPER]],DATA_OCTUBRE_2025[[SUPERVISOR]:[META]],3,0)</f>
        <v>23000</v>
      </c>
      <c r="D73">
        <f>D1_OCTUBRE_2025[[#This Row],[RECUPERO]]/D1_OCTUBRE_2025[[#This Row],[META]]</f>
        <v>1.0704347826086957</v>
      </c>
      <c r="E73" t="s">
        <v>9</v>
      </c>
      <c r="F73" t="s">
        <v>24</v>
      </c>
      <c r="G73">
        <v>24620</v>
      </c>
      <c r="H73" t="s">
        <v>434</v>
      </c>
      <c r="I73" s="55">
        <v>45334</v>
      </c>
      <c r="J73" s="55" t="s">
        <v>501</v>
      </c>
      <c r="M73" s="1">
        <f>DATA_OCTUBRE_2025[[#This Row],[RECUPERO]]/DATA_OCTUBRE_2025[[#This Row],[META]]</f>
        <v>0.60309374999999998</v>
      </c>
      <c r="N73">
        <f>6-ROUNDUP(_xlfn.RANK.EQ(DATA_OCTUBRE_2025[[#This Row],[AL_AC]],DATA_OCTUBRE_2025[AL_AC],0)/(COUNTA(DATA_OCTUBRE_2025[AL_AC])/5),0)</f>
        <v>2</v>
      </c>
      <c r="O73" t="s">
        <v>5</v>
      </c>
      <c r="P73">
        <f>SUM(DATA_OCTUBRE_2025[[#This Row],[1]:[31]])</f>
        <v>19299</v>
      </c>
      <c r="Q73">
        <v>32000</v>
      </c>
      <c r="R73" t="s">
        <v>103</v>
      </c>
      <c r="U73">
        <v>1900</v>
      </c>
      <c r="AL73">
        <v>5899</v>
      </c>
      <c r="AS73">
        <v>1500</v>
      </c>
      <c r="AU73">
        <v>2600</v>
      </c>
      <c r="AV73">
        <v>5900</v>
      </c>
      <c r="AW73">
        <v>1500</v>
      </c>
      <c r="AX73" t="s">
        <v>158</v>
      </c>
    </row>
    <row r="74" spans="1:50" x14ac:dyDescent="0.25">
      <c r="A74" t="s">
        <v>9</v>
      </c>
      <c r="B74" t="s">
        <v>51</v>
      </c>
      <c r="C74">
        <f>VLOOKUP(D1_OCTUBRE_2025[[#This Row],[SUPER]],DATA_OCTUBRE_2025[[SUPERVISOR]:[META]],3,0)</f>
        <v>23000</v>
      </c>
      <c r="D74">
        <f>D1_OCTUBRE_2025[[#This Row],[RECUPERO]]/D1_OCTUBRE_2025[[#This Row],[META]]</f>
        <v>0.72826086956521741</v>
      </c>
      <c r="E74" t="s">
        <v>9</v>
      </c>
      <c r="F74" t="s">
        <v>51</v>
      </c>
      <c r="G74">
        <v>16750</v>
      </c>
      <c r="H74" t="s">
        <v>413</v>
      </c>
      <c r="I74" s="55">
        <v>45674</v>
      </c>
      <c r="J74" s="55" t="s">
        <v>501</v>
      </c>
      <c r="M74" s="1">
        <f>DATA_OCTUBRE_2025[[#This Row],[RECUPERO]]/DATA_OCTUBRE_2025[[#This Row],[META]]</f>
        <v>0.44046875000000002</v>
      </c>
      <c r="N74">
        <f>6-ROUNDUP(_xlfn.RANK.EQ(DATA_OCTUBRE_2025[[#This Row],[AL_AC]],DATA_OCTUBRE_2025[AL_AC],0)/(COUNTA(DATA_OCTUBRE_2025[AL_AC])/5),0)</f>
        <v>2</v>
      </c>
      <c r="O74" t="s">
        <v>125</v>
      </c>
      <c r="P74">
        <f>SUM(DATA_OCTUBRE_2025[[#This Row],[1]:[31]])</f>
        <v>14095</v>
      </c>
      <c r="Q74">
        <v>32000</v>
      </c>
      <c r="R74" t="s">
        <v>73</v>
      </c>
      <c r="AA74">
        <v>1200</v>
      </c>
      <c r="AB74">
        <v>650</v>
      </c>
      <c r="AG74">
        <v>700</v>
      </c>
      <c r="AH74">
        <v>180</v>
      </c>
      <c r="AN74">
        <v>4500</v>
      </c>
      <c r="AP74">
        <v>510</v>
      </c>
      <c r="AV74">
        <v>850</v>
      </c>
      <c r="AW74">
        <v>5505</v>
      </c>
      <c r="AX74" t="s">
        <v>158</v>
      </c>
    </row>
    <row r="75" spans="1:50" x14ac:dyDescent="0.25">
      <c r="A75" t="s">
        <v>9</v>
      </c>
      <c r="B75" t="s">
        <v>77</v>
      </c>
      <c r="C75">
        <f>VLOOKUP(D1_OCTUBRE_2025[[#This Row],[SUPER]],DATA_OCTUBRE_2025[[SUPERVISOR]:[META]],3,0)</f>
        <v>23000</v>
      </c>
      <c r="D75">
        <f>D1_OCTUBRE_2025[[#This Row],[RECUPERO]]/D1_OCTUBRE_2025[[#This Row],[META]]</f>
        <v>0.65221739130434786</v>
      </c>
      <c r="E75" t="s">
        <v>9</v>
      </c>
      <c r="F75" t="s">
        <v>77</v>
      </c>
      <c r="G75">
        <v>15001</v>
      </c>
      <c r="H75" t="s">
        <v>393</v>
      </c>
      <c r="I75" s="55">
        <v>44840</v>
      </c>
      <c r="J75" s="55" t="s">
        <v>501</v>
      </c>
      <c r="M75" s="1">
        <f>DATA_OCTUBRE_2025[[#This Row],[RECUPERO]]/DATA_OCTUBRE_2025[[#This Row],[META]]</f>
        <v>1.2923913043478261</v>
      </c>
      <c r="N75">
        <f>6-ROUNDUP(_xlfn.RANK.EQ(DATA_OCTUBRE_2025[[#This Row],[AL_AC]],DATA_OCTUBRE_2025[AL_AC],0)/(COUNTA(DATA_OCTUBRE_2025[AL_AC])/5),0)</f>
        <v>5</v>
      </c>
      <c r="O75" t="s">
        <v>9</v>
      </c>
      <c r="P75">
        <f>SUM(DATA_OCTUBRE_2025[[#This Row],[1]:[31]])</f>
        <v>29725</v>
      </c>
      <c r="Q75">
        <v>23000</v>
      </c>
      <c r="R75" t="s">
        <v>34</v>
      </c>
      <c r="S75">
        <v>430</v>
      </c>
      <c r="T75">
        <v>1700</v>
      </c>
      <c r="U75">
        <v>310</v>
      </c>
      <c r="X75">
        <v>450</v>
      </c>
      <c r="Y75">
        <v>400</v>
      </c>
      <c r="AA75">
        <v>5000</v>
      </c>
      <c r="AF75">
        <v>13500</v>
      </c>
      <c r="AG75">
        <v>1025</v>
      </c>
      <c r="AH75">
        <v>800</v>
      </c>
      <c r="AL75">
        <v>210</v>
      </c>
      <c r="AM75">
        <v>250</v>
      </c>
      <c r="AS75">
        <v>2150</v>
      </c>
      <c r="AT75">
        <v>1500</v>
      </c>
      <c r="AU75">
        <v>2000</v>
      </c>
      <c r="AX75" t="s">
        <v>156</v>
      </c>
    </row>
    <row r="76" spans="1:50" x14ac:dyDescent="0.25">
      <c r="A76" t="s">
        <v>9</v>
      </c>
      <c r="B76" t="s">
        <v>54</v>
      </c>
      <c r="C76">
        <f>VLOOKUP(D1_OCTUBRE_2025[[#This Row],[SUPER]],DATA_OCTUBRE_2025[[SUPERVISOR]:[META]],3,0)</f>
        <v>23000</v>
      </c>
      <c r="D76">
        <f>D1_OCTUBRE_2025[[#This Row],[RECUPERO]]/D1_OCTUBRE_2025[[#This Row],[META]]</f>
        <v>0.39830434782608698</v>
      </c>
      <c r="E76" t="s">
        <v>9</v>
      </c>
      <c r="F76" t="s">
        <v>54</v>
      </c>
      <c r="G76">
        <v>9161</v>
      </c>
      <c r="H76" t="s">
        <v>474</v>
      </c>
      <c r="I76" s="55">
        <v>45819</v>
      </c>
      <c r="J76" s="55" t="s">
        <v>501</v>
      </c>
      <c r="M76" s="1">
        <f>DATA_OCTUBRE_2025[[#This Row],[RECUPERO]]/DATA_OCTUBRE_2025[[#This Row],[META]]</f>
        <v>0.95771698113207548</v>
      </c>
      <c r="N76">
        <f>6-ROUNDUP(_xlfn.RANK.EQ(DATA_OCTUBRE_2025[[#This Row],[AL_AC]],DATA_OCTUBRE_2025[AL_AC],0)/(COUNTA(DATA_OCTUBRE_2025[AL_AC])/5),0)</f>
        <v>4</v>
      </c>
      <c r="O76" t="s">
        <v>6</v>
      </c>
      <c r="P76">
        <f>SUM(DATA_OCTUBRE_2025[[#This Row],[1]:[31]])</f>
        <v>50759</v>
      </c>
      <c r="Q76">
        <v>53000</v>
      </c>
      <c r="R76" t="s">
        <v>78</v>
      </c>
      <c r="U76">
        <v>1000</v>
      </c>
      <c r="X76">
        <v>500</v>
      </c>
      <c r="AA76">
        <v>400</v>
      </c>
      <c r="AE76">
        <v>2150</v>
      </c>
      <c r="AF76">
        <v>20000</v>
      </c>
      <c r="AG76">
        <v>3600</v>
      </c>
      <c r="AL76">
        <v>1057</v>
      </c>
      <c r="AM76">
        <v>1219</v>
      </c>
      <c r="AN76">
        <v>300</v>
      </c>
      <c r="AO76">
        <v>420</v>
      </c>
      <c r="AP76">
        <v>1875</v>
      </c>
      <c r="AS76">
        <v>88</v>
      </c>
      <c r="AT76">
        <v>4000</v>
      </c>
      <c r="AU76">
        <v>1000</v>
      </c>
      <c r="AV76">
        <v>8600</v>
      </c>
      <c r="AW76">
        <v>4550</v>
      </c>
      <c r="AX76" t="s">
        <v>159</v>
      </c>
    </row>
    <row r="77" spans="1:50" x14ac:dyDescent="0.25">
      <c r="A77" t="s">
        <v>9</v>
      </c>
      <c r="B77" t="s">
        <v>100</v>
      </c>
      <c r="C77">
        <f>VLOOKUP(D1_OCTUBRE_2025[[#This Row],[SUPER]],DATA_OCTUBRE_2025[[SUPERVISOR]:[META]],3,0)</f>
        <v>23000</v>
      </c>
      <c r="D77">
        <f>D1_OCTUBRE_2025[[#This Row],[RECUPERO]]/D1_OCTUBRE_2025[[#This Row],[META]]</f>
        <v>0.2713913043478261</v>
      </c>
      <c r="E77" t="s">
        <v>9</v>
      </c>
      <c r="F77" t="s">
        <v>100</v>
      </c>
      <c r="G77">
        <v>6242</v>
      </c>
      <c r="H77" t="s">
        <v>489</v>
      </c>
      <c r="I77" s="55">
        <v>45895</v>
      </c>
      <c r="J77" s="55" t="s">
        <v>501</v>
      </c>
      <c r="M77" s="1">
        <f>DATA_OCTUBRE_2025[[#This Row],[RECUPERO]]/DATA_OCTUBRE_2025[[#This Row],[META]]</f>
        <v>1.079690909090909</v>
      </c>
      <c r="N77">
        <f>6-ROUNDUP(_xlfn.RANK.EQ(DATA_OCTUBRE_2025[[#This Row],[AL_AC]],DATA_OCTUBRE_2025[AL_AC],0)/(COUNTA(DATA_OCTUBRE_2025[AL_AC])/5),0)</f>
        <v>4</v>
      </c>
      <c r="O77" t="s">
        <v>3</v>
      </c>
      <c r="P77">
        <f>SUM(DATA_OCTUBRE_2025[[#This Row],[1]:[31]])</f>
        <v>23753.200000000001</v>
      </c>
      <c r="Q77">
        <v>22000</v>
      </c>
      <c r="R77" t="s">
        <v>48</v>
      </c>
      <c r="U77">
        <v>500</v>
      </c>
      <c r="AB77">
        <v>1700</v>
      </c>
      <c r="AE77">
        <v>2485</v>
      </c>
      <c r="AF77">
        <v>150</v>
      </c>
      <c r="AH77">
        <v>700</v>
      </c>
      <c r="AM77">
        <v>3500</v>
      </c>
      <c r="AN77">
        <v>10000</v>
      </c>
      <c r="AS77">
        <v>400</v>
      </c>
      <c r="AV77">
        <v>4318.2</v>
      </c>
      <c r="AW77">
        <v>0</v>
      </c>
      <c r="AX77" t="s">
        <v>157</v>
      </c>
    </row>
    <row r="78" spans="1:50" x14ac:dyDescent="0.25">
      <c r="A78" t="s">
        <v>9</v>
      </c>
      <c r="B78" t="s">
        <v>50</v>
      </c>
      <c r="C78">
        <f>VLOOKUP(D1_OCTUBRE_2025[[#This Row],[SUPER]],DATA_OCTUBRE_2025[[SUPERVISOR]:[META]],3,0)</f>
        <v>23000</v>
      </c>
      <c r="D78">
        <f>D1_OCTUBRE_2025[[#This Row],[RECUPERO]]/D1_OCTUBRE_2025[[#This Row],[META]]</f>
        <v>0.16347826086956521</v>
      </c>
      <c r="E78" t="s">
        <v>9</v>
      </c>
      <c r="F78" t="s">
        <v>50</v>
      </c>
      <c r="G78">
        <v>3760</v>
      </c>
      <c r="H78" t="s">
        <v>402</v>
      </c>
      <c r="I78" s="55">
        <v>45523</v>
      </c>
      <c r="J78" s="55" t="s">
        <v>501</v>
      </c>
      <c r="M78" s="1">
        <f>DATA_OCTUBRE_2025[[#This Row],[RECUPERO]]/DATA_OCTUBRE_2025[[#This Row],[META]]</f>
        <v>0.87085714285714289</v>
      </c>
      <c r="N78">
        <f>6-ROUNDUP(_xlfn.RANK.EQ(DATA_OCTUBRE_2025[[#This Row],[AL_AC]],DATA_OCTUBRE_2025[AL_AC],0)/(COUNTA(DATA_OCTUBRE_2025[AL_AC])/5),0)</f>
        <v>3</v>
      </c>
      <c r="O78" t="s">
        <v>8</v>
      </c>
      <c r="P78">
        <f>SUM(DATA_OCTUBRE_2025[[#This Row],[1]:[31]])</f>
        <v>60960</v>
      </c>
      <c r="Q78">
        <v>70000</v>
      </c>
      <c r="R78" t="s">
        <v>10</v>
      </c>
      <c r="S78">
        <v>200</v>
      </c>
      <c r="AA78">
        <v>3700</v>
      </c>
      <c r="AE78">
        <v>3250</v>
      </c>
      <c r="AG78">
        <v>1405</v>
      </c>
      <c r="AH78">
        <v>2000</v>
      </c>
      <c r="AI78">
        <v>500</v>
      </c>
      <c r="AL78">
        <v>4300</v>
      </c>
      <c r="AM78">
        <v>8000</v>
      </c>
      <c r="AN78">
        <v>775</v>
      </c>
      <c r="AO78">
        <v>9900</v>
      </c>
      <c r="AP78">
        <v>4380</v>
      </c>
      <c r="AT78">
        <v>1000</v>
      </c>
      <c r="AV78">
        <v>8550</v>
      </c>
      <c r="AW78">
        <v>13000</v>
      </c>
      <c r="AX78" t="s">
        <v>155</v>
      </c>
    </row>
    <row r="79" spans="1:50" x14ac:dyDescent="0.25">
      <c r="A79" t="s">
        <v>8</v>
      </c>
      <c r="B79" t="s">
        <v>46</v>
      </c>
      <c r="C79">
        <f>VLOOKUP(D1_OCTUBRE_2025[[#This Row],[SUPER]],DATA_OCTUBRE_2025[[SUPERVISOR]:[META]],3,0)</f>
        <v>70000</v>
      </c>
      <c r="D79">
        <f>D1_OCTUBRE_2025[[#This Row],[RECUPERO]]/D1_OCTUBRE_2025[[#This Row],[META]]</f>
        <v>0.37164285714285716</v>
      </c>
      <c r="E79" t="s">
        <v>8</v>
      </c>
      <c r="F79" t="s">
        <v>46</v>
      </c>
      <c r="G79">
        <v>26015</v>
      </c>
      <c r="H79" t="s">
        <v>394</v>
      </c>
      <c r="I79" s="55">
        <v>45344</v>
      </c>
      <c r="J79" s="55" t="s">
        <v>501</v>
      </c>
      <c r="M79" s="1">
        <f>DATA_OCTUBRE_2025[[#This Row],[RECUPERO]]/DATA_OCTUBRE_2025[[#This Row],[META]]</f>
        <v>0.91550585714285715</v>
      </c>
      <c r="N79">
        <f>6-ROUNDUP(_xlfn.RANK.EQ(DATA_OCTUBRE_2025[[#This Row],[AL_AC]],DATA_OCTUBRE_2025[AL_AC],0)/(COUNTA(DATA_OCTUBRE_2025[AL_AC])/5),0)</f>
        <v>4</v>
      </c>
      <c r="O79" t="s">
        <v>8</v>
      </c>
      <c r="P79">
        <f>SUM(DATA_OCTUBRE_2025[[#This Row],[1]:[31]])</f>
        <v>64085.41</v>
      </c>
      <c r="Q79">
        <v>70000</v>
      </c>
      <c r="R79" t="s">
        <v>76</v>
      </c>
      <c r="S79">
        <v>1000</v>
      </c>
      <c r="X79">
        <v>10000</v>
      </c>
      <c r="Y79">
        <v>4775</v>
      </c>
      <c r="AA79">
        <v>600</v>
      </c>
      <c r="AE79">
        <v>20500</v>
      </c>
      <c r="AG79">
        <v>2500</v>
      </c>
      <c r="AH79">
        <v>3875</v>
      </c>
      <c r="AN79">
        <v>9780</v>
      </c>
      <c r="AO79">
        <v>900</v>
      </c>
      <c r="AT79">
        <v>900</v>
      </c>
      <c r="AU79">
        <v>815.41</v>
      </c>
      <c r="AV79">
        <v>7150</v>
      </c>
      <c r="AW79">
        <v>1290</v>
      </c>
      <c r="AX79" t="s">
        <v>155</v>
      </c>
    </row>
    <row r="116" spans="19:19" x14ac:dyDescent="0.25">
      <c r="S116" s="3"/>
    </row>
    <row r="117" spans="19:19" x14ac:dyDescent="0.25">
      <c r="S117" s="3"/>
    </row>
    <row r="118" spans="19:19" x14ac:dyDescent="0.25">
      <c r="S118" s="3"/>
    </row>
    <row r="119" spans="19:19" x14ac:dyDescent="0.25">
      <c r="S119" s="3"/>
    </row>
    <row r="120" spans="19:19" x14ac:dyDescent="0.25">
      <c r="S120" s="3"/>
    </row>
    <row r="121" spans="19:19" x14ac:dyDescent="0.25">
      <c r="S121" s="3"/>
    </row>
    <row r="122" spans="19:19" x14ac:dyDescent="0.25">
      <c r="S122" s="3"/>
    </row>
    <row r="123" spans="19:19" x14ac:dyDescent="0.25">
      <c r="S123" s="3"/>
    </row>
    <row r="132" spans="19:19" x14ac:dyDescent="0.25">
      <c r="S132" s="47"/>
    </row>
    <row r="142" spans="19:19" x14ac:dyDescent="0.25">
      <c r="S142" s="47"/>
    </row>
    <row r="143" spans="19:19" x14ac:dyDescent="0.25">
      <c r="S143" s="47"/>
    </row>
    <row r="144" spans="19:19" x14ac:dyDescent="0.25">
      <c r="S144" s="47"/>
    </row>
    <row r="145" spans="19:19" x14ac:dyDescent="0.25">
      <c r="S145" s="47"/>
    </row>
    <row r="152" spans="19:19" x14ac:dyDescent="0.25">
      <c r="S152" s="3"/>
    </row>
    <row r="153" spans="19:19" x14ac:dyDescent="0.25">
      <c r="S153" s="3"/>
    </row>
    <row r="154" spans="19:19" x14ac:dyDescent="0.25">
      <c r="S154" s="3"/>
    </row>
    <row r="155" spans="19:19" x14ac:dyDescent="0.25">
      <c r="S155" s="3"/>
    </row>
    <row r="156" spans="19:19" x14ac:dyDescent="0.25">
      <c r="S156" s="3"/>
    </row>
    <row r="157" spans="19:19" x14ac:dyDescent="0.25">
      <c r="S157" s="3"/>
    </row>
    <row r="158" spans="19:19" x14ac:dyDescent="0.25">
      <c r="S158" s="3"/>
    </row>
    <row r="159" spans="19:19" x14ac:dyDescent="0.25">
      <c r="S159" s="3"/>
    </row>
  </sheetData>
  <phoneticPr fontId="2" type="noConversion"/>
  <pageMargins left="0.7" right="0.7" top="0.75" bottom="0.75" header="0.3" footer="0.3"/>
  <tableParts count="4">
    <tablePart r:id="rId1"/>
    <tablePart r:id="rId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29C38-09BC-4232-8B2E-DE9675EF6F44}">
  <dimension ref="A1:CO68"/>
  <sheetViews>
    <sheetView topLeftCell="D1" zoomScale="70" zoomScaleNormal="70" workbookViewId="0">
      <selection activeCell="N8" sqref="N8"/>
    </sheetView>
  </sheetViews>
  <sheetFormatPr baseColWidth="10" defaultRowHeight="15" x14ac:dyDescent="0.25"/>
  <cols>
    <col min="1" max="1" width="13" bestFit="1" customWidth="1"/>
    <col min="2" max="2" width="30.28515625" customWidth="1"/>
    <col min="3" max="3" width="12.28515625" customWidth="1"/>
    <col min="4" max="4" width="16" style="1" bestFit="1" customWidth="1"/>
    <col min="5" max="5" width="16" style="1" customWidth="1"/>
    <col min="6" max="6" width="30.28515625" bestFit="1" customWidth="1"/>
    <col min="7" max="7" width="17.85546875" bestFit="1" customWidth="1"/>
    <col min="9" max="9" width="27.85546875" style="55" bestFit="1" customWidth="1"/>
    <col min="13" max="13" width="16" bestFit="1" customWidth="1"/>
    <col min="14" max="14" width="26" bestFit="1" customWidth="1"/>
    <col min="15" max="15" width="20.28515625" bestFit="1" customWidth="1"/>
    <col min="16" max="16" width="17.85546875" bestFit="1" customWidth="1"/>
    <col min="18" max="18" width="30.28515625" bestFit="1" customWidth="1"/>
    <col min="19" max="23" width="12" bestFit="1" customWidth="1"/>
    <col min="24" max="24" width="13" bestFit="1" customWidth="1"/>
    <col min="25" max="25" width="12.5703125" bestFit="1" customWidth="1"/>
    <col min="26" max="31" width="13" bestFit="1" customWidth="1"/>
    <col min="32" max="32" width="13.42578125" bestFit="1" customWidth="1"/>
    <col min="33" max="33" width="13" bestFit="1" customWidth="1"/>
    <col min="34" max="39" width="13.42578125" bestFit="1" customWidth="1"/>
    <col min="40" max="40" width="13.42578125" customWidth="1"/>
    <col min="43" max="43" width="20" bestFit="1" customWidth="1"/>
    <col min="44" max="44" width="15.140625" customWidth="1"/>
    <col min="45" max="45" width="20.140625" bestFit="1" customWidth="1"/>
    <col min="46" max="46" width="12"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68" t="s">
        <v>558</v>
      </c>
      <c r="J2" s="58" t="s">
        <v>499</v>
      </c>
      <c r="K2" s="58" t="s">
        <v>567</v>
      </c>
      <c r="L2" s="55"/>
      <c r="M2" s="32" t="s">
        <v>166</v>
      </c>
      <c r="N2" s="32" t="s">
        <v>136</v>
      </c>
      <c r="O2" s="32" t="s">
        <v>205</v>
      </c>
    </row>
    <row r="3" spans="1:93" ht="26.25" x14ac:dyDescent="0.4">
      <c r="A3" s="65" t="s">
        <v>2</v>
      </c>
      <c r="B3" s="65" t="s">
        <v>25</v>
      </c>
      <c r="C3" s="66"/>
      <c r="D3" s="66"/>
      <c r="E3" s="65" t="s">
        <v>2</v>
      </c>
      <c r="F3" s="65" t="s">
        <v>25</v>
      </c>
      <c r="G3" s="65"/>
      <c r="H3" s="65" t="s">
        <v>446</v>
      </c>
      <c r="I3" s="67">
        <v>44818</v>
      </c>
      <c r="J3" s="67" t="s">
        <v>500</v>
      </c>
      <c r="L3" s="55"/>
      <c r="M3" s="33">
        <v>2025</v>
      </c>
      <c r="N3" s="33" t="s">
        <v>149</v>
      </c>
      <c r="O3" s="33">
        <v>21</v>
      </c>
    </row>
    <row r="4" spans="1:93" x14ac:dyDescent="0.25">
      <c r="A4" s="65" t="s">
        <v>2</v>
      </c>
      <c r="B4" s="65" t="s">
        <v>33</v>
      </c>
      <c r="C4" s="66"/>
      <c r="D4" s="66"/>
      <c r="E4" s="65" t="s">
        <v>2</v>
      </c>
      <c r="F4" s="65" t="s">
        <v>33</v>
      </c>
      <c r="G4" s="65"/>
      <c r="H4" s="65" t="s">
        <v>439</v>
      </c>
      <c r="I4" s="67">
        <v>44867</v>
      </c>
      <c r="J4" s="67" t="s">
        <v>500</v>
      </c>
      <c r="L4" s="55"/>
    </row>
    <row r="5" spans="1:93" x14ac:dyDescent="0.25">
      <c r="A5" s="65" t="s">
        <v>2</v>
      </c>
      <c r="B5" s="65" t="s">
        <v>12</v>
      </c>
      <c r="C5" s="66"/>
      <c r="D5" s="66"/>
      <c r="E5" s="65" t="s">
        <v>2</v>
      </c>
      <c r="F5" s="65" t="s">
        <v>12</v>
      </c>
      <c r="G5" s="65"/>
      <c r="H5" s="65" t="s">
        <v>389</v>
      </c>
      <c r="I5" s="67">
        <v>44868</v>
      </c>
      <c r="J5" s="67" t="s">
        <v>500</v>
      </c>
      <c r="L5" s="55"/>
    </row>
    <row r="6" spans="1:93" x14ac:dyDescent="0.25">
      <c r="A6" s="65" t="s">
        <v>2</v>
      </c>
      <c r="B6" s="65" t="s">
        <v>34</v>
      </c>
      <c r="C6" s="66"/>
      <c r="D6" s="66"/>
      <c r="E6" s="65" t="s">
        <v>2</v>
      </c>
      <c r="F6" s="65" t="s">
        <v>34</v>
      </c>
      <c r="G6" s="65"/>
      <c r="H6" s="65" t="s">
        <v>407</v>
      </c>
      <c r="I6" s="67">
        <v>45173</v>
      </c>
      <c r="J6" s="67" t="s">
        <v>500</v>
      </c>
      <c r="L6" s="55"/>
    </row>
    <row r="7" spans="1:93" x14ac:dyDescent="0.25">
      <c r="A7" t="s">
        <v>5</v>
      </c>
      <c r="B7" t="s">
        <v>29</v>
      </c>
      <c r="C7">
        <f>VLOOKUP(D1_NOVIEMBRE_2025[[#This Row],[SUPER]],DATA_NOVIEMBRE_2025[[SUPERVISOR]:[META]],3,0)</f>
        <v>14000</v>
      </c>
      <c r="D7" s="1">
        <f>D1_NOVIEMBRE_2025[[#This Row],[RECUPERO]]/C7</f>
        <v>1.669</v>
      </c>
      <c r="E7" s="1" t="s">
        <v>5</v>
      </c>
      <c r="F7" t="s">
        <v>29</v>
      </c>
      <c r="G7">
        <v>23366</v>
      </c>
      <c r="H7" t="s">
        <v>416</v>
      </c>
      <c r="I7" s="55">
        <v>44687</v>
      </c>
      <c r="J7" t="s">
        <v>501</v>
      </c>
      <c r="L7" s="55"/>
      <c r="N7" s="1"/>
      <c r="CK7" t="s">
        <v>626</v>
      </c>
      <c r="CL7" t="s">
        <v>145</v>
      </c>
      <c r="CM7" t="s">
        <v>146</v>
      </c>
      <c r="CN7" t="s">
        <v>148</v>
      </c>
      <c r="CO7" t="s">
        <v>149</v>
      </c>
    </row>
    <row r="8" spans="1:93" x14ac:dyDescent="0.25">
      <c r="A8" t="s">
        <v>5</v>
      </c>
      <c r="B8" t="s">
        <v>96</v>
      </c>
      <c r="C8">
        <f>VLOOKUP(D1_NOVIEMBRE_2025[[#This Row],[SUPER]],DATA_NOVIEMBRE_2025[[SUPERVISOR]:[META]],3,0)</f>
        <v>14000</v>
      </c>
      <c r="D8" s="1">
        <f>D1_NOVIEMBRE_2025[[#This Row],[RECUPERO]]/C8</f>
        <v>1.4307857142857143</v>
      </c>
      <c r="E8" s="1" t="s">
        <v>5</v>
      </c>
      <c r="F8" t="s">
        <v>96</v>
      </c>
      <c r="G8">
        <v>20031</v>
      </c>
      <c r="H8" t="s">
        <v>437</v>
      </c>
      <c r="I8" s="55">
        <v>45671</v>
      </c>
      <c r="J8" t="s">
        <v>501</v>
      </c>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J8" s="77"/>
      <c r="CK8" s="73" t="s">
        <v>627</v>
      </c>
      <c r="CL8" s="73" t="s">
        <v>533</v>
      </c>
      <c r="CM8" s="73" t="s">
        <v>503</v>
      </c>
      <c r="CN8" s="73" t="s">
        <v>525</v>
      </c>
      <c r="CO8" s="73" t="s">
        <v>529</v>
      </c>
    </row>
    <row r="9" spans="1:93" x14ac:dyDescent="0.25">
      <c r="A9" t="s">
        <v>5</v>
      </c>
      <c r="B9" t="s">
        <v>79</v>
      </c>
      <c r="C9">
        <f>VLOOKUP(D1_NOVIEMBRE_2025[[#This Row],[SUPER]],DATA_NOVIEMBRE_2025[[SUPERVISOR]:[META]],3,0)</f>
        <v>14000</v>
      </c>
      <c r="D9" s="1">
        <f>D1_NOVIEMBRE_2025[[#This Row],[RECUPERO]]/C9</f>
        <v>1.0025714285714287</v>
      </c>
      <c r="E9" s="1" t="s">
        <v>5</v>
      </c>
      <c r="F9" t="s">
        <v>79</v>
      </c>
      <c r="G9">
        <v>14036</v>
      </c>
      <c r="H9" t="s">
        <v>453</v>
      </c>
      <c r="I9" s="55">
        <v>44566</v>
      </c>
      <c r="J9" t="s">
        <v>501</v>
      </c>
      <c r="L9" s="55"/>
      <c r="M9" s="1">
        <f>DATA_NOVIEMBRE_2025[[#This Row],[RECUPERO]]/DATA_NOVIEMBRE_2025[[#This Row],[META]]</f>
        <v>1.8016181395348838</v>
      </c>
      <c r="N9" s="5">
        <f>6-ROUNDUP(_xlfn.RANK.EQ(DATA_NOVIEMBRE_2025[[#This Row],[AL_AC]],DATA_NOVIEMBRE_2025[AL_AC],0)/(COUNTA(DATA_NOVIEMBRE_2025[AL_AC])/5),0)</f>
        <v>5</v>
      </c>
      <c r="O9" t="s">
        <v>6</v>
      </c>
      <c r="P9">
        <f>SUM(DATA_NOVIEMBRE_2025[[#This Row],[1]:[31]])</f>
        <v>77469.58</v>
      </c>
      <c r="Q9">
        <v>43000</v>
      </c>
      <c r="R9" t="s">
        <v>18</v>
      </c>
      <c r="U9">
        <v>8000</v>
      </c>
      <c r="V9">
        <v>4050</v>
      </c>
      <c r="X9">
        <v>16267.58</v>
      </c>
      <c r="AC9">
        <v>3000</v>
      </c>
      <c r="AD9">
        <v>7000</v>
      </c>
      <c r="AI9">
        <v>12000</v>
      </c>
      <c r="AJ9">
        <v>5760</v>
      </c>
      <c r="AP9">
        <v>575</v>
      </c>
      <c r="AR9">
        <v>5000</v>
      </c>
      <c r="AS9">
        <v>9000</v>
      </c>
      <c r="AT9">
        <v>4700</v>
      </c>
      <c r="AV9">
        <v>2117</v>
      </c>
      <c r="AX9" t="s">
        <v>161</v>
      </c>
      <c r="AZ9">
        <v>100323</v>
      </c>
      <c r="BA9">
        <f>MAX(DITE_NOVIEMBRE_2025[[#This Row],[1]:[31]])</f>
        <v>132012</v>
      </c>
      <c r="BB9" s="1">
        <f>DITE_NOVIEMBRE_2025[[#This Row],[RECUPERO SUPERVISOR]]/DITE_NOVIEMBRE_2025[[#This Row],[META SUPER]]</f>
        <v>1.3158697407374182</v>
      </c>
      <c r="BC9" t="s">
        <v>5</v>
      </c>
      <c r="BD9">
        <v>0</v>
      </c>
      <c r="BE9">
        <v>0</v>
      </c>
      <c r="BF9">
        <v>1500</v>
      </c>
      <c r="BG9">
        <v>3455</v>
      </c>
      <c r="BH9">
        <v>10998</v>
      </c>
      <c r="BI9">
        <v>23990</v>
      </c>
      <c r="BJ9">
        <v>26228</v>
      </c>
      <c r="BK9">
        <v>26228</v>
      </c>
      <c r="BL9">
        <v>26228</v>
      </c>
      <c r="BM9">
        <v>32122</v>
      </c>
      <c r="BN9">
        <v>36822</v>
      </c>
      <c r="BO9">
        <v>48145</v>
      </c>
      <c r="BP9">
        <v>48975</v>
      </c>
      <c r="BQ9">
        <v>55463</v>
      </c>
      <c r="BR9">
        <v>55888</v>
      </c>
      <c r="BS9">
        <v>55888</v>
      </c>
      <c r="BT9">
        <v>59818</v>
      </c>
      <c r="BU9">
        <v>60599</v>
      </c>
      <c r="BV9">
        <v>66003</v>
      </c>
      <c r="BW9">
        <v>67303</v>
      </c>
      <c r="BX9">
        <v>84328</v>
      </c>
      <c r="BY9">
        <v>87528</v>
      </c>
      <c r="BZ9">
        <v>87528</v>
      </c>
      <c r="CA9">
        <v>88663</v>
      </c>
      <c r="CB9">
        <v>97708</v>
      </c>
      <c r="CC9">
        <v>103078</v>
      </c>
      <c r="CD9">
        <v>114303</v>
      </c>
      <c r="CE9">
        <v>129515</v>
      </c>
      <c r="CF9">
        <v>132012</v>
      </c>
      <c r="CG9">
        <v>132012</v>
      </c>
      <c r="CH9">
        <v>132012</v>
      </c>
      <c r="CI9" t="s">
        <v>160</v>
      </c>
      <c r="CK9" t="s">
        <v>5</v>
      </c>
      <c r="CL9" t="s">
        <v>5</v>
      </c>
      <c r="CM9" t="s">
        <v>5</v>
      </c>
      <c r="CN9" t="s">
        <v>5</v>
      </c>
      <c r="CO9" t="s">
        <v>5</v>
      </c>
    </row>
    <row r="10" spans="1:93" x14ac:dyDescent="0.25">
      <c r="A10" t="s">
        <v>5</v>
      </c>
      <c r="B10" t="s">
        <v>77</v>
      </c>
      <c r="C10">
        <f>VLOOKUP(D1_NOVIEMBRE_2025[[#This Row],[SUPER]],DATA_NOVIEMBRE_2025[[SUPERVISOR]:[META]],3,0)</f>
        <v>14000</v>
      </c>
      <c r="D10" s="1">
        <f>D1_NOVIEMBRE_2025[[#This Row],[RECUPERO]]/C10</f>
        <v>0.90349999999999997</v>
      </c>
      <c r="E10" s="1" t="s">
        <v>5</v>
      </c>
      <c r="F10" t="s">
        <v>77</v>
      </c>
      <c r="G10">
        <v>12649</v>
      </c>
      <c r="H10" t="s">
        <v>393</v>
      </c>
      <c r="I10" s="55">
        <v>44840</v>
      </c>
      <c r="J10" t="s">
        <v>501</v>
      </c>
      <c r="L10" s="55"/>
      <c r="M10" s="1">
        <f>DATA_NOVIEMBRE_2025[[#This Row],[RECUPERO]]/DATA_NOVIEMBRE_2025[[#This Row],[META]]</f>
        <v>1.0766666666666667</v>
      </c>
      <c r="N10" s="5">
        <f>6-ROUNDUP(_xlfn.RANK.EQ(DATA_NOVIEMBRE_2025[[#This Row],[AL_AC]],DATA_NOVIEMBRE_2025[AL_AC],0)/(COUNTA(DATA_NOVIEMBRE_2025[AL_AC])/5),0)</f>
        <v>4</v>
      </c>
      <c r="O10" t="s">
        <v>2</v>
      </c>
      <c r="P10">
        <f>SUM(DATA_NOVIEMBRE_2025[[#This Row],[1]:[31]])</f>
        <v>16150</v>
      </c>
      <c r="Q10">
        <v>15000</v>
      </c>
      <c r="R10" t="s">
        <v>21</v>
      </c>
      <c r="W10">
        <v>3000</v>
      </c>
      <c r="AB10">
        <v>2550</v>
      </c>
      <c r="AC10">
        <v>1500</v>
      </c>
      <c r="AE10">
        <v>600</v>
      </c>
      <c r="AK10">
        <v>800</v>
      </c>
      <c r="AP10">
        <v>200</v>
      </c>
      <c r="AT10">
        <v>5000</v>
      </c>
      <c r="AU10">
        <v>2500</v>
      </c>
      <c r="AX10" t="s">
        <v>158</v>
      </c>
      <c r="AZ10">
        <v>144490</v>
      </c>
      <c r="BA10">
        <f>MAX(DITE_NOVIEMBRE_2025[[#This Row],[1]:[31]])</f>
        <v>174651</v>
      </c>
      <c r="BB10" s="1">
        <f>DITE_NOVIEMBRE_2025[[#This Row],[RECUPERO SUPERVISOR]]/DITE_NOVIEMBRE_2025[[#This Row],[META SUPER]]</f>
        <v>1.2087410893487438</v>
      </c>
      <c r="BC10" t="s">
        <v>2</v>
      </c>
      <c r="BD10">
        <v>0</v>
      </c>
      <c r="BE10">
        <v>0</v>
      </c>
      <c r="BF10">
        <v>260</v>
      </c>
      <c r="BG10">
        <v>3485.5</v>
      </c>
      <c r="BH10">
        <v>15105.5</v>
      </c>
      <c r="BI10">
        <v>16605.5</v>
      </c>
      <c r="BJ10">
        <v>53892.5</v>
      </c>
      <c r="BK10">
        <v>63892.5</v>
      </c>
      <c r="BL10">
        <v>63892.5</v>
      </c>
      <c r="BM10">
        <v>73077.5</v>
      </c>
      <c r="BN10">
        <v>82677.5</v>
      </c>
      <c r="BO10">
        <v>90877.5</v>
      </c>
      <c r="BP10">
        <v>93527.5</v>
      </c>
      <c r="BQ10">
        <v>93527.5</v>
      </c>
      <c r="BR10">
        <v>94332.5</v>
      </c>
      <c r="BS10">
        <v>94332.5</v>
      </c>
      <c r="BT10">
        <v>95654.5</v>
      </c>
      <c r="BU10">
        <v>101654.5</v>
      </c>
      <c r="BV10">
        <v>103254.5</v>
      </c>
      <c r="BW10">
        <v>107224.5</v>
      </c>
      <c r="BX10">
        <v>115704.5</v>
      </c>
      <c r="BY10">
        <v>115704.5</v>
      </c>
      <c r="BZ10">
        <v>115704.5</v>
      </c>
      <c r="CA10">
        <v>124104.5</v>
      </c>
      <c r="CB10">
        <v>135944.5</v>
      </c>
      <c r="CC10">
        <v>137470</v>
      </c>
      <c r="CD10">
        <v>140212</v>
      </c>
      <c r="CE10">
        <v>167218</v>
      </c>
      <c r="CF10">
        <v>174651</v>
      </c>
      <c r="CG10">
        <v>174651</v>
      </c>
      <c r="CH10">
        <v>174651</v>
      </c>
      <c r="CI10" t="s">
        <v>158</v>
      </c>
      <c r="CK10" t="s">
        <v>2</v>
      </c>
      <c r="CL10" t="s">
        <v>2</v>
      </c>
      <c r="CM10" t="s">
        <v>2</v>
      </c>
      <c r="CN10" t="s">
        <v>125</v>
      </c>
      <c r="CO10" t="s">
        <v>2</v>
      </c>
    </row>
    <row r="11" spans="1:93" x14ac:dyDescent="0.25">
      <c r="A11" t="s">
        <v>5</v>
      </c>
      <c r="B11" t="s">
        <v>55</v>
      </c>
      <c r="C11">
        <f>VLOOKUP(D1_NOVIEMBRE_2025[[#This Row],[SUPER]],DATA_NOVIEMBRE_2025[[SUPERVISOR]:[META]],3,0)</f>
        <v>14000</v>
      </c>
      <c r="D11" s="1">
        <f>D1_NOVIEMBRE_2025[[#This Row],[RECUPERO]]/C11</f>
        <v>0.79571428571428571</v>
      </c>
      <c r="E11" s="1" t="s">
        <v>5</v>
      </c>
      <c r="F11" t="s">
        <v>55</v>
      </c>
      <c r="G11">
        <v>11140</v>
      </c>
      <c r="H11" t="s">
        <v>475</v>
      </c>
      <c r="I11" s="55">
        <v>45818</v>
      </c>
      <c r="J11" t="s">
        <v>501</v>
      </c>
      <c r="L11" s="55"/>
      <c r="M11" s="1">
        <f>DATA_NOVIEMBRE_2025[[#This Row],[RECUPERO]]/DATA_NOVIEMBRE_2025[[#This Row],[META]]</f>
        <v>0.47525454545454543</v>
      </c>
      <c r="N11" s="5">
        <f>6-ROUNDUP(_xlfn.RANK.EQ(DATA_NOVIEMBRE_2025[[#This Row],[AL_AC]],DATA_NOVIEMBRE_2025[AL_AC],0)/(COUNTA(DATA_NOVIEMBRE_2025[AL_AC])/5),0)</f>
        <v>2</v>
      </c>
      <c r="O11" t="s">
        <v>4</v>
      </c>
      <c r="P11">
        <f>SUM(DATA_NOVIEMBRE_2025[[#This Row],[1]:[31]])</f>
        <v>26139</v>
      </c>
      <c r="Q11">
        <v>55000</v>
      </c>
      <c r="R11" t="s">
        <v>58</v>
      </c>
      <c r="V11">
        <v>600</v>
      </c>
      <c r="X11">
        <v>3000</v>
      </c>
      <c r="Z11">
        <v>620</v>
      </c>
      <c r="AB11">
        <v>223</v>
      </c>
      <c r="AI11">
        <v>800</v>
      </c>
      <c r="AK11">
        <v>250</v>
      </c>
      <c r="AM11">
        <v>688</v>
      </c>
      <c r="AQ11">
        <v>10392</v>
      </c>
      <c r="AS11">
        <v>900</v>
      </c>
      <c r="AT11">
        <v>630</v>
      </c>
      <c r="AU11">
        <v>6300</v>
      </c>
      <c r="AV11">
        <v>1736</v>
      </c>
      <c r="AX11" t="s">
        <v>159</v>
      </c>
      <c r="AZ11">
        <v>346906</v>
      </c>
      <c r="BA11">
        <f>MAX(DITE_NOVIEMBRE_2025[[#This Row],[1]:[31]])</f>
        <v>451622.27999999997</v>
      </c>
      <c r="BB11" s="1">
        <f>DITE_NOVIEMBRE_2025[[#This Row],[RECUPERO SUPERVISOR]]/DITE_NOVIEMBRE_2025[[#This Row],[META SUPER]]</f>
        <v>1.3018577943304526</v>
      </c>
      <c r="BC11" t="s">
        <v>6</v>
      </c>
      <c r="BD11">
        <v>0</v>
      </c>
      <c r="BE11">
        <v>0</v>
      </c>
      <c r="BF11">
        <v>8660</v>
      </c>
      <c r="BG11">
        <v>18410</v>
      </c>
      <c r="BH11">
        <v>40990</v>
      </c>
      <c r="BI11">
        <v>60475.58</v>
      </c>
      <c r="BJ11">
        <v>73500.58</v>
      </c>
      <c r="BK11">
        <v>73950.58</v>
      </c>
      <c r="BL11">
        <v>73950.58</v>
      </c>
      <c r="BM11">
        <v>100195.58</v>
      </c>
      <c r="BN11">
        <v>121338.48000000001</v>
      </c>
      <c r="BO11">
        <v>133263.48000000001</v>
      </c>
      <c r="BP11">
        <v>150116.48000000001</v>
      </c>
      <c r="BQ11">
        <v>151921.48000000001</v>
      </c>
      <c r="BR11">
        <v>152917.48000000001</v>
      </c>
      <c r="BS11">
        <v>152917.48000000001</v>
      </c>
      <c r="BT11">
        <v>189737.48</v>
      </c>
      <c r="BU11">
        <v>209397.48</v>
      </c>
      <c r="BV11">
        <v>217447.48</v>
      </c>
      <c r="BW11">
        <v>224552.48</v>
      </c>
      <c r="BX11">
        <v>232202.48</v>
      </c>
      <c r="BY11">
        <v>250402.48</v>
      </c>
      <c r="BZ11">
        <v>250402.48</v>
      </c>
      <c r="CA11">
        <v>266664.98</v>
      </c>
      <c r="CB11">
        <v>305914.98</v>
      </c>
      <c r="CC11">
        <v>323122.98</v>
      </c>
      <c r="CD11">
        <v>341276.98</v>
      </c>
      <c r="CE11">
        <v>420691.27999999997</v>
      </c>
      <c r="CF11">
        <v>449505.27999999997</v>
      </c>
      <c r="CG11">
        <v>451622.27999999997</v>
      </c>
      <c r="CH11">
        <v>451622.27999999997</v>
      </c>
      <c r="CI11" t="s">
        <v>161</v>
      </c>
      <c r="CK11" t="s">
        <v>6</v>
      </c>
      <c r="CL11" t="s">
        <v>6</v>
      </c>
      <c r="CM11" t="s">
        <v>6</v>
      </c>
      <c r="CN11" t="s">
        <v>6</v>
      </c>
      <c r="CO11" t="s">
        <v>6</v>
      </c>
    </row>
    <row r="12" spans="1:93" x14ac:dyDescent="0.25">
      <c r="A12" t="s">
        <v>5</v>
      </c>
      <c r="B12" t="s">
        <v>54</v>
      </c>
      <c r="C12">
        <f>VLOOKUP(D1_NOVIEMBRE_2025[[#This Row],[SUPER]],DATA_NOVIEMBRE_2025[[SUPERVISOR]:[META]],3,0)</f>
        <v>14000</v>
      </c>
      <c r="D12" s="1">
        <f>D1_NOVIEMBRE_2025[[#This Row],[RECUPERO]]/C12</f>
        <v>0.71664285714285714</v>
      </c>
      <c r="E12" s="1" t="s">
        <v>5</v>
      </c>
      <c r="F12" t="s">
        <v>54</v>
      </c>
      <c r="G12">
        <v>10033</v>
      </c>
      <c r="H12" t="s">
        <v>474</v>
      </c>
      <c r="I12" s="55">
        <v>45819</v>
      </c>
      <c r="J12" t="s">
        <v>501</v>
      </c>
      <c r="L12" s="55"/>
      <c r="M12" s="1">
        <f>DATA_NOVIEMBRE_2025[[#This Row],[RECUPERO]]/DATA_NOVIEMBRE_2025[[#This Row],[META]]</f>
        <v>0.71664285714285714</v>
      </c>
      <c r="N12" s="5">
        <f>6-ROUNDUP(_xlfn.RANK.EQ(DATA_NOVIEMBRE_2025[[#This Row],[AL_AC]],DATA_NOVIEMBRE_2025[AL_AC],0)/(COUNTA(DATA_NOVIEMBRE_2025[AL_AC])/5),0)</f>
        <v>3</v>
      </c>
      <c r="O12" t="s">
        <v>5</v>
      </c>
      <c r="P12">
        <f>SUM(DATA_NOVIEMBRE_2025[[#This Row],[1]:[31]])</f>
        <v>10033</v>
      </c>
      <c r="Q12">
        <v>14000</v>
      </c>
      <c r="R12" t="s">
        <v>54</v>
      </c>
      <c r="Y12">
        <v>360</v>
      </c>
      <c r="AB12">
        <v>100</v>
      </c>
      <c r="AF12">
        <v>438</v>
      </c>
      <c r="AL12">
        <v>640</v>
      </c>
      <c r="AP12">
        <v>415</v>
      </c>
      <c r="AR12">
        <v>300</v>
      </c>
      <c r="AS12">
        <v>5200</v>
      </c>
      <c r="AT12">
        <v>2080</v>
      </c>
      <c r="AU12">
        <v>500</v>
      </c>
      <c r="AX12" t="s">
        <v>160</v>
      </c>
      <c r="AZ12">
        <v>100323</v>
      </c>
      <c r="BA12">
        <f>MAX(DITE_NOVIEMBRE_2025[[#This Row],[1]:[31]])</f>
        <v>100740</v>
      </c>
      <c r="BB12" s="1">
        <f>DITE_NOVIEMBRE_2025[[#This Row],[RECUPERO SUPERVISOR]]/DITE_NOVIEMBRE_2025[[#This Row],[META SUPER]]</f>
        <v>1.0041565742651237</v>
      </c>
      <c r="BC12" t="s">
        <v>7</v>
      </c>
      <c r="BD12">
        <v>0</v>
      </c>
      <c r="BE12">
        <v>0</v>
      </c>
      <c r="BF12">
        <v>0</v>
      </c>
      <c r="BG12">
        <v>1800</v>
      </c>
      <c r="BH12">
        <v>2186</v>
      </c>
      <c r="BI12">
        <v>8766</v>
      </c>
      <c r="BJ12">
        <v>9726</v>
      </c>
      <c r="BK12">
        <v>9726</v>
      </c>
      <c r="BL12">
        <v>9726</v>
      </c>
      <c r="BM12">
        <v>11026</v>
      </c>
      <c r="BN12">
        <v>28076</v>
      </c>
      <c r="BO12">
        <v>41326</v>
      </c>
      <c r="BP12">
        <v>43096</v>
      </c>
      <c r="BQ12">
        <v>48296</v>
      </c>
      <c r="BR12">
        <v>48296</v>
      </c>
      <c r="BS12">
        <v>48296</v>
      </c>
      <c r="BT12">
        <v>54414</v>
      </c>
      <c r="BU12">
        <v>60444</v>
      </c>
      <c r="BV12">
        <v>62154</v>
      </c>
      <c r="BW12">
        <v>64460</v>
      </c>
      <c r="BX12">
        <v>68702</v>
      </c>
      <c r="BY12">
        <v>70402</v>
      </c>
      <c r="BZ12">
        <v>70402</v>
      </c>
      <c r="CA12">
        <v>76382</v>
      </c>
      <c r="CB12">
        <v>79312</v>
      </c>
      <c r="CC12">
        <v>81091</v>
      </c>
      <c r="CD12">
        <v>82938</v>
      </c>
      <c r="CE12">
        <v>98490</v>
      </c>
      <c r="CF12">
        <v>100140</v>
      </c>
      <c r="CG12">
        <v>100740</v>
      </c>
      <c r="CH12">
        <v>100740</v>
      </c>
      <c r="CI12" t="s">
        <v>160</v>
      </c>
      <c r="CK12" t="s">
        <v>7</v>
      </c>
      <c r="CL12" t="s">
        <v>7</v>
      </c>
      <c r="CM12" t="s">
        <v>7</v>
      </c>
      <c r="CN12" t="s">
        <v>7</v>
      </c>
      <c r="CO12" t="s">
        <v>7</v>
      </c>
    </row>
    <row r="13" spans="1:93" x14ac:dyDescent="0.25">
      <c r="A13" t="s">
        <v>5</v>
      </c>
      <c r="B13" t="s">
        <v>100</v>
      </c>
      <c r="C13">
        <f>VLOOKUP(D1_NOVIEMBRE_2025[[#This Row],[SUPER]],DATA_NOVIEMBRE_2025[[SUPERVISOR]:[META]],3,0)</f>
        <v>14000</v>
      </c>
      <c r="D13" s="1">
        <f>D1_NOVIEMBRE_2025[[#This Row],[RECUPERO]]/C13</f>
        <v>0.64514285714285713</v>
      </c>
      <c r="E13" s="1" t="s">
        <v>5</v>
      </c>
      <c r="F13" t="s">
        <v>100</v>
      </c>
      <c r="G13">
        <v>9032</v>
      </c>
      <c r="H13" t="s">
        <v>489</v>
      </c>
      <c r="I13" s="55">
        <v>45895</v>
      </c>
      <c r="J13" t="s">
        <v>501</v>
      </c>
      <c r="L13" s="55"/>
      <c r="M13" s="1">
        <f>DATA_NOVIEMBRE_2025[[#This Row],[RECUPERO]]/DATA_NOVIEMBRE_2025[[#This Row],[META]]</f>
        <v>0.79178181818181814</v>
      </c>
      <c r="N13" s="5">
        <f>6-ROUNDUP(_xlfn.RANK.EQ(DATA_NOVIEMBRE_2025[[#This Row],[AL_AC]],DATA_NOVIEMBRE_2025[AL_AC],0)/(COUNTA(DATA_NOVIEMBRE_2025[AL_AC])/5),0)</f>
        <v>3</v>
      </c>
      <c r="O13" t="s">
        <v>4</v>
      </c>
      <c r="P13">
        <f>SUM(DATA_NOVIEMBRE_2025[[#This Row],[1]:[31]])</f>
        <v>43548</v>
      </c>
      <c r="Q13">
        <v>55000</v>
      </c>
      <c r="R13" t="s">
        <v>60</v>
      </c>
      <c r="U13">
        <v>2740</v>
      </c>
      <c r="V13">
        <v>992</v>
      </c>
      <c r="AB13">
        <v>1500</v>
      </c>
      <c r="AE13">
        <v>600</v>
      </c>
      <c r="AF13">
        <v>1134</v>
      </c>
      <c r="AI13">
        <v>3000</v>
      </c>
      <c r="AJ13">
        <v>5100</v>
      </c>
      <c r="AK13">
        <v>1100</v>
      </c>
      <c r="AL13">
        <v>5500</v>
      </c>
      <c r="AM13">
        <v>2000</v>
      </c>
      <c r="AP13">
        <v>6100</v>
      </c>
      <c r="AQ13">
        <v>5000</v>
      </c>
      <c r="AR13">
        <v>2500</v>
      </c>
      <c r="AT13">
        <v>6282</v>
      </c>
      <c r="AX13" t="s">
        <v>159</v>
      </c>
      <c r="AZ13">
        <v>599640</v>
      </c>
      <c r="BA13">
        <f>MAX(DITE_NOVIEMBRE_2025[[#This Row],[1]:[31]])</f>
        <v>374983</v>
      </c>
      <c r="BB13" s="1">
        <f>DITE_NOVIEMBRE_2025[[#This Row],[RECUPERO SUPERVISOR]]/DITE_NOVIEMBRE_2025[[#This Row],[META SUPER]]</f>
        <v>0.62534687479154161</v>
      </c>
      <c r="BC13" t="s">
        <v>4</v>
      </c>
      <c r="BD13">
        <v>1300</v>
      </c>
      <c r="BE13">
        <v>1300</v>
      </c>
      <c r="BF13">
        <v>5210</v>
      </c>
      <c r="BG13">
        <v>7692</v>
      </c>
      <c r="BH13">
        <v>13042</v>
      </c>
      <c r="BI13">
        <v>24042</v>
      </c>
      <c r="BJ13">
        <v>32042</v>
      </c>
      <c r="BK13">
        <v>32662</v>
      </c>
      <c r="BL13">
        <v>32662</v>
      </c>
      <c r="BM13">
        <v>58105</v>
      </c>
      <c r="BN13">
        <v>73712.5</v>
      </c>
      <c r="BO13">
        <v>75412.5</v>
      </c>
      <c r="BP13">
        <v>82112.5</v>
      </c>
      <c r="BQ13">
        <v>95679.5</v>
      </c>
      <c r="BR13">
        <v>95679.5</v>
      </c>
      <c r="BS13">
        <v>96549.5</v>
      </c>
      <c r="BT13">
        <v>124249.5</v>
      </c>
      <c r="BU13">
        <v>145539.5</v>
      </c>
      <c r="BV13">
        <v>159017.5</v>
      </c>
      <c r="BW13">
        <v>180740.5</v>
      </c>
      <c r="BX13">
        <v>197891</v>
      </c>
      <c r="BY13">
        <v>199810</v>
      </c>
      <c r="BZ13">
        <v>199810</v>
      </c>
      <c r="CA13">
        <v>236425</v>
      </c>
      <c r="CB13">
        <v>265194</v>
      </c>
      <c r="CC13">
        <v>272344</v>
      </c>
      <c r="CD13">
        <v>298190</v>
      </c>
      <c r="CE13">
        <v>346687</v>
      </c>
      <c r="CF13">
        <v>373247</v>
      </c>
      <c r="CG13">
        <v>374983</v>
      </c>
      <c r="CH13">
        <v>374983</v>
      </c>
      <c r="CI13" t="s">
        <v>159</v>
      </c>
      <c r="CK13" t="s">
        <v>4</v>
      </c>
      <c r="CL13" t="s">
        <v>4</v>
      </c>
      <c r="CM13" t="s">
        <v>4</v>
      </c>
      <c r="CN13" t="s">
        <v>4</v>
      </c>
      <c r="CO13" t="s">
        <v>4</v>
      </c>
    </row>
    <row r="14" spans="1:93" x14ac:dyDescent="0.25">
      <c r="A14" t="s">
        <v>5</v>
      </c>
      <c r="B14" t="s">
        <v>36</v>
      </c>
      <c r="C14">
        <f>VLOOKUP(D1_NOVIEMBRE_2025[[#This Row],[SUPER]],DATA_NOVIEMBRE_2025[[SUPERVISOR]:[META]],3,0)</f>
        <v>14000</v>
      </c>
      <c r="D14" s="1">
        <f>D1_NOVIEMBRE_2025[[#This Row],[RECUPERO]]/C14</f>
        <v>0.40885714285714286</v>
      </c>
      <c r="E14" s="1" t="s">
        <v>5</v>
      </c>
      <c r="F14" t="s">
        <v>36</v>
      </c>
      <c r="G14">
        <v>5724</v>
      </c>
      <c r="H14" t="s">
        <v>406</v>
      </c>
      <c r="I14" s="55">
        <v>44941</v>
      </c>
      <c r="J14" t="s">
        <v>501</v>
      </c>
      <c r="L14" s="55"/>
      <c r="M14" s="1">
        <f>DATA_NOVIEMBRE_2025[[#This Row],[RECUPERO]]/DATA_NOVIEMBRE_2025[[#This Row],[META]]</f>
        <v>3.7</v>
      </c>
      <c r="N14" s="5">
        <f>6-ROUNDUP(_xlfn.RANK.EQ(DATA_NOVIEMBRE_2025[[#This Row],[AL_AC]],DATA_NOVIEMBRE_2025[AL_AC],0)/(COUNTA(DATA_NOVIEMBRE_2025[AL_AC])/5),0)</f>
        <v>5</v>
      </c>
      <c r="O14" t="s">
        <v>2</v>
      </c>
      <c r="P14">
        <f>SUM(DATA_NOVIEMBRE_2025[[#This Row],[1]:[31]])</f>
        <v>55500</v>
      </c>
      <c r="Q14">
        <v>15000</v>
      </c>
      <c r="R14" t="s">
        <v>15</v>
      </c>
      <c r="Y14">
        <v>36000</v>
      </c>
      <c r="Z14">
        <v>10000</v>
      </c>
      <c r="AD14">
        <v>4500</v>
      </c>
      <c r="AP14">
        <v>1500</v>
      </c>
      <c r="AS14">
        <v>2000</v>
      </c>
      <c r="AU14">
        <v>1500</v>
      </c>
      <c r="AX14" t="s">
        <v>158</v>
      </c>
      <c r="AZ14">
        <v>599640</v>
      </c>
      <c r="BA14">
        <f>MAX(DITE_NOVIEMBRE_2025[[#This Row],[1]:[31]])</f>
        <v>386619.5</v>
      </c>
      <c r="BB14" s="1">
        <f>DITE_NOVIEMBRE_2025[[#This Row],[RECUPERO SUPERVISOR]]/DITE_NOVIEMBRE_2025[[#This Row],[META SUPER]]</f>
        <v>0.64475268494429994</v>
      </c>
      <c r="BC14" t="s">
        <v>3</v>
      </c>
      <c r="BD14">
        <v>997.5</v>
      </c>
      <c r="BE14">
        <v>997.5</v>
      </c>
      <c r="BF14">
        <v>21097.5</v>
      </c>
      <c r="BG14">
        <v>29702.5</v>
      </c>
      <c r="BH14">
        <v>61304.5</v>
      </c>
      <c r="BI14">
        <v>66854.5</v>
      </c>
      <c r="BJ14">
        <v>75847.5</v>
      </c>
      <c r="BK14">
        <v>85347.5</v>
      </c>
      <c r="BL14">
        <v>85347.5</v>
      </c>
      <c r="BM14">
        <v>86347.5</v>
      </c>
      <c r="BN14">
        <v>96647.5</v>
      </c>
      <c r="BO14">
        <v>100447.5</v>
      </c>
      <c r="BP14">
        <v>105216.5</v>
      </c>
      <c r="BQ14">
        <v>121116.5</v>
      </c>
      <c r="BR14">
        <v>124949.5</v>
      </c>
      <c r="BS14">
        <v>124949.5</v>
      </c>
      <c r="BT14">
        <v>147520.5</v>
      </c>
      <c r="BU14">
        <v>151995.5</v>
      </c>
      <c r="BV14">
        <v>169646.5</v>
      </c>
      <c r="BW14">
        <v>187161.5</v>
      </c>
      <c r="BX14">
        <v>208166.5</v>
      </c>
      <c r="BY14">
        <v>210346.5</v>
      </c>
      <c r="BZ14">
        <v>210346.5</v>
      </c>
      <c r="CA14">
        <v>245001.5</v>
      </c>
      <c r="CB14">
        <v>253001.5</v>
      </c>
      <c r="CC14">
        <v>280542.5</v>
      </c>
      <c r="CD14">
        <v>303368.5</v>
      </c>
      <c r="CE14">
        <v>352722.5</v>
      </c>
      <c r="CF14">
        <v>377705.5</v>
      </c>
      <c r="CG14">
        <v>386619.5</v>
      </c>
      <c r="CH14">
        <v>386619.5</v>
      </c>
      <c r="CI14" t="s">
        <v>159</v>
      </c>
      <c r="CK14" t="s">
        <v>3</v>
      </c>
      <c r="CL14" t="s">
        <v>3</v>
      </c>
      <c r="CM14" t="s">
        <v>125</v>
      </c>
      <c r="CN14" t="s">
        <v>3</v>
      </c>
      <c r="CO14" t="s">
        <v>3</v>
      </c>
    </row>
    <row r="15" spans="1:93" x14ac:dyDescent="0.25">
      <c r="A15" t="s">
        <v>2</v>
      </c>
      <c r="B15" t="s">
        <v>15</v>
      </c>
      <c r="C15">
        <f>VLOOKUP(D1_NOVIEMBRE_2025[[#This Row],[SUPER]],DATA_NOVIEMBRE_2025[[SUPERVISOR]:[META]],3,0)</f>
        <v>15000</v>
      </c>
      <c r="D15" s="1">
        <f>D1_NOVIEMBRE_2025[[#This Row],[RECUPERO]]/C15</f>
        <v>3.7</v>
      </c>
      <c r="E15" s="1" t="s">
        <v>2</v>
      </c>
      <c r="F15" t="s">
        <v>15</v>
      </c>
      <c r="G15">
        <v>55500</v>
      </c>
      <c r="H15" t="s">
        <v>410</v>
      </c>
      <c r="I15" s="55">
        <v>44735</v>
      </c>
      <c r="J15" t="s">
        <v>501</v>
      </c>
      <c r="L15" s="55"/>
      <c r="M15" s="1">
        <f>DATA_NOVIEMBRE_2025[[#This Row],[RECUPERO]]/DATA_NOVIEMBRE_2025[[#This Row],[META]]</f>
        <v>0.38800000000000001</v>
      </c>
      <c r="N15" s="5">
        <f>6-ROUNDUP(_xlfn.RANK.EQ(DATA_NOVIEMBRE_2025[[#This Row],[AL_AC]],DATA_NOVIEMBRE_2025[AL_AC],0)/(COUNTA(DATA_NOVIEMBRE_2025[AL_AC])/5),0)</f>
        <v>1</v>
      </c>
      <c r="O15" t="s">
        <v>7</v>
      </c>
      <c r="P15">
        <f>SUM(DATA_NOVIEMBRE_2025[[#This Row],[1]:[31]])</f>
        <v>5432</v>
      </c>
      <c r="Q15">
        <v>14000</v>
      </c>
      <c r="R15" t="s">
        <v>92</v>
      </c>
      <c r="V15">
        <v>500</v>
      </c>
      <c r="W15">
        <v>200</v>
      </c>
      <c r="X15">
        <v>3000</v>
      </c>
      <c r="AT15">
        <v>532</v>
      </c>
      <c r="AU15">
        <v>1200</v>
      </c>
      <c r="AX15" t="s">
        <v>160</v>
      </c>
    </row>
    <row r="16" spans="1:93" x14ac:dyDescent="0.25">
      <c r="A16" t="s">
        <v>2</v>
      </c>
      <c r="B16" t="s">
        <v>49</v>
      </c>
      <c r="C16">
        <f>VLOOKUP(D1_NOVIEMBRE_2025[[#This Row],[SUPER]],DATA_NOVIEMBRE_2025[[SUPERVISOR]:[META]],3,0)</f>
        <v>15000</v>
      </c>
      <c r="D16" s="1">
        <f>D1_NOVIEMBRE_2025[[#This Row],[RECUPERO]]/C16</f>
        <v>1.37</v>
      </c>
      <c r="E16" s="1" t="s">
        <v>2</v>
      </c>
      <c r="F16" t="s">
        <v>49</v>
      </c>
      <c r="G16">
        <v>20550</v>
      </c>
      <c r="H16" t="s">
        <v>436</v>
      </c>
      <c r="I16" s="55">
        <v>42814</v>
      </c>
      <c r="J16" t="s">
        <v>501</v>
      </c>
      <c r="L16" s="55"/>
      <c r="M16" s="1">
        <f>DATA_NOVIEMBRE_2025[[#This Row],[RECUPERO]]/DATA_NOVIEMBRE_2025[[#This Row],[META]]</f>
        <v>0.83343636363636364</v>
      </c>
      <c r="N16" s="5">
        <f>6-ROUNDUP(_xlfn.RANK.EQ(DATA_NOVIEMBRE_2025[[#This Row],[AL_AC]],DATA_NOVIEMBRE_2025[AL_AC],0)/(COUNTA(DATA_NOVIEMBRE_2025[AL_AC])/5),0)</f>
        <v>3</v>
      </c>
      <c r="O16" t="s">
        <v>3</v>
      </c>
      <c r="P16">
        <f>SUM(DATA_NOVIEMBRE_2025[[#This Row],[1]:[31]])</f>
        <v>45839</v>
      </c>
      <c r="Q16">
        <v>55000</v>
      </c>
      <c r="R16" t="s">
        <v>69</v>
      </c>
      <c r="W16">
        <v>2500</v>
      </c>
      <c r="X16">
        <v>100</v>
      </c>
      <c r="AE16">
        <v>512</v>
      </c>
      <c r="AG16">
        <v>1200</v>
      </c>
      <c r="AI16">
        <v>5000</v>
      </c>
      <c r="AK16">
        <v>1480</v>
      </c>
      <c r="AL16">
        <v>7500</v>
      </c>
      <c r="AM16">
        <v>10000</v>
      </c>
      <c r="AN16">
        <v>600</v>
      </c>
      <c r="AQ16">
        <v>300</v>
      </c>
      <c r="AR16">
        <v>800</v>
      </c>
      <c r="AS16">
        <v>3650</v>
      </c>
      <c r="AT16">
        <v>11697</v>
      </c>
      <c r="AU16">
        <v>500</v>
      </c>
      <c r="AX16" t="s">
        <v>159</v>
      </c>
    </row>
    <row r="17" spans="1:50" x14ac:dyDescent="0.25">
      <c r="A17" t="s">
        <v>2</v>
      </c>
      <c r="B17" t="s">
        <v>68</v>
      </c>
      <c r="C17">
        <f>VLOOKUP(D1_NOVIEMBRE_2025[[#This Row],[SUPER]],DATA_NOVIEMBRE_2025[[SUPERVISOR]:[META]],3,0)</f>
        <v>15000</v>
      </c>
      <c r="D17" s="1">
        <f>D1_NOVIEMBRE_2025[[#This Row],[RECUPERO]]/C17</f>
        <v>1.357</v>
      </c>
      <c r="E17" s="1" t="s">
        <v>2</v>
      </c>
      <c r="F17" t="s">
        <v>68</v>
      </c>
      <c r="G17">
        <v>20355</v>
      </c>
      <c r="H17" t="s">
        <v>440</v>
      </c>
      <c r="I17" s="55">
        <v>45364</v>
      </c>
      <c r="J17" t="s">
        <v>501</v>
      </c>
      <c r="L17" s="55"/>
      <c r="M17" s="1">
        <f>DATA_NOVIEMBRE_2025[[#This Row],[RECUPERO]]/DATA_NOVIEMBRE_2025[[#This Row],[META]]</f>
        <v>0.94614500000000012</v>
      </c>
      <c r="N17" s="5">
        <f>6-ROUNDUP(_xlfn.RANK.EQ(DATA_NOVIEMBRE_2025[[#This Row],[AL_AC]],DATA_NOVIEMBRE_2025[AL_AC],0)/(COUNTA(DATA_NOVIEMBRE_2025[AL_AC])/5),0)</f>
        <v>4</v>
      </c>
      <c r="O17" t="s">
        <v>6</v>
      </c>
      <c r="P17">
        <f>SUM(DATA_NOVIEMBRE_2025[[#This Row],[1]:[31]])</f>
        <v>18922.900000000001</v>
      </c>
      <c r="Q17">
        <v>20000</v>
      </c>
      <c r="R17" t="s">
        <v>67</v>
      </c>
      <c r="AC17">
        <v>122.9</v>
      </c>
      <c r="AE17">
        <v>1000</v>
      </c>
      <c r="AI17">
        <v>400</v>
      </c>
      <c r="AJ17">
        <v>2000</v>
      </c>
      <c r="AK17">
        <v>3000</v>
      </c>
      <c r="AM17">
        <v>700</v>
      </c>
      <c r="AQ17">
        <v>8600</v>
      </c>
      <c r="AS17">
        <v>2000</v>
      </c>
      <c r="AT17">
        <v>1100</v>
      </c>
      <c r="AX17" t="s">
        <v>161</v>
      </c>
    </row>
    <row r="18" spans="1:50" x14ac:dyDescent="0.25">
      <c r="A18" t="s">
        <v>2</v>
      </c>
      <c r="B18" t="s">
        <v>38</v>
      </c>
      <c r="C18">
        <f>VLOOKUP(D1_NOVIEMBRE_2025[[#This Row],[SUPER]],DATA_NOVIEMBRE_2025[[SUPERVISOR]:[META]],3,0)</f>
        <v>15000</v>
      </c>
      <c r="D18" s="1">
        <f>D1_NOVIEMBRE_2025[[#This Row],[RECUPERO]]/C18</f>
        <v>1.2083999999999999</v>
      </c>
      <c r="E18" s="1" t="s">
        <v>2</v>
      </c>
      <c r="F18" t="s">
        <v>38</v>
      </c>
      <c r="G18">
        <v>18126</v>
      </c>
      <c r="H18" t="s">
        <v>469</v>
      </c>
      <c r="I18" s="55">
        <v>45805</v>
      </c>
      <c r="J18" t="s">
        <v>501</v>
      </c>
      <c r="L18" s="55"/>
      <c r="M18" s="1">
        <f>DATA_NOVIEMBRE_2025[[#This Row],[RECUPERO]]/DATA_NOVIEMBRE_2025[[#This Row],[META]]</f>
        <v>0.72604999999999997</v>
      </c>
      <c r="N18" s="5">
        <f>6-ROUNDUP(_xlfn.RANK.EQ(DATA_NOVIEMBRE_2025[[#This Row],[AL_AC]],DATA_NOVIEMBRE_2025[AL_AC],0)/(COUNTA(DATA_NOVIEMBRE_2025[AL_AC])/5),0)</f>
        <v>3</v>
      </c>
      <c r="O18" t="s">
        <v>6</v>
      </c>
      <c r="P18">
        <f>SUM(DATA_NOVIEMBRE_2025[[#This Row],[1]:[31]])</f>
        <v>14521</v>
      </c>
      <c r="Q18">
        <v>20000</v>
      </c>
      <c r="R18" t="s">
        <v>19</v>
      </c>
      <c r="Y18">
        <v>400</v>
      </c>
      <c r="AB18">
        <v>360</v>
      </c>
      <c r="AI18">
        <v>2150</v>
      </c>
      <c r="AL18">
        <v>2875</v>
      </c>
      <c r="AM18">
        <v>480</v>
      </c>
      <c r="AQ18">
        <v>500</v>
      </c>
      <c r="AS18">
        <v>2020</v>
      </c>
      <c r="AT18">
        <v>3736</v>
      </c>
      <c r="AU18">
        <v>2000</v>
      </c>
      <c r="AX18" t="s">
        <v>161</v>
      </c>
    </row>
    <row r="19" spans="1:50" x14ac:dyDescent="0.25">
      <c r="A19" t="s">
        <v>2</v>
      </c>
      <c r="B19" t="s">
        <v>42</v>
      </c>
      <c r="C19">
        <f>VLOOKUP(D1_NOVIEMBRE_2025[[#This Row],[SUPER]],DATA_NOVIEMBRE_2025[[SUPERVISOR]:[META]],3,0)</f>
        <v>15000</v>
      </c>
      <c r="D19" s="1">
        <f>D1_NOVIEMBRE_2025[[#This Row],[RECUPERO]]/C19</f>
        <v>1.1672</v>
      </c>
      <c r="E19" s="1" t="s">
        <v>2</v>
      </c>
      <c r="F19" t="s">
        <v>42</v>
      </c>
      <c r="G19">
        <v>17508</v>
      </c>
      <c r="H19" t="s">
        <v>415</v>
      </c>
      <c r="I19" s="55">
        <v>45399</v>
      </c>
      <c r="J19" t="s">
        <v>501</v>
      </c>
      <c r="L19" s="55"/>
      <c r="M19" s="1">
        <f>DATA_NOVIEMBRE_2025[[#This Row],[RECUPERO]]/DATA_NOVIEMBRE_2025[[#This Row],[META]]</f>
        <v>9.2142857142857137E-2</v>
      </c>
      <c r="N19" s="5">
        <f>6-ROUNDUP(_xlfn.RANK.EQ(DATA_NOVIEMBRE_2025[[#This Row],[AL_AC]],DATA_NOVIEMBRE_2025[AL_AC],0)/(COUNTA(DATA_NOVIEMBRE_2025[AL_AC])/5),0)</f>
        <v>1</v>
      </c>
      <c r="O19" t="s">
        <v>7</v>
      </c>
      <c r="P19">
        <f>SUM(DATA_NOVIEMBRE_2025[[#This Row],[1]:[31]])</f>
        <v>1290</v>
      </c>
      <c r="Q19">
        <v>14000</v>
      </c>
      <c r="R19" t="s">
        <v>53</v>
      </c>
      <c r="AB19">
        <v>300</v>
      </c>
      <c r="AD19">
        <v>100</v>
      </c>
      <c r="AI19">
        <v>390</v>
      </c>
      <c r="AS19">
        <v>500</v>
      </c>
      <c r="AX19" t="s">
        <v>160</v>
      </c>
    </row>
    <row r="20" spans="1:50" x14ac:dyDescent="0.25">
      <c r="A20" t="s">
        <v>2</v>
      </c>
      <c r="B20" t="s">
        <v>21</v>
      </c>
      <c r="C20">
        <f>VLOOKUP(D1_NOVIEMBRE_2025[[#This Row],[SUPER]],DATA_NOVIEMBRE_2025[[SUPERVISOR]:[META]],3,0)</f>
        <v>15000</v>
      </c>
      <c r="D20" s="1">
        <f>D1_NOVIEMBRE_2025[[#This Row],[RECUPERO]]/C20</f>
        <v>1.0766666666666667</v>
      </c>
      <c r="E20" s="1" t="s">
        <v>2</v>
      </c>
      <c r="F20" t="s">
        <v>21</v>
      </c>
      <c r="G20">
        <v>16150</v>
      </c>
      <c r="H20" t="s">
        <v>409</v>
      </c>
      <c r="I20" s="55">
        <v>44301</v>
      </c>
      <c r="J20" t="s">
        <v>501</v>
      </c>
      <c r="L20" s="55"/>
      <c r="M20" s="1">
        <f>DATA_NOVIEMBRE_2025[[#This Row],[RECUPERO]]/DATA_NOVIEMBRE_2025[[#This Row],[META]]</f>
        <v>0.30764999999999998</v>
      </c>
      <c r="N20" s="5">
        <f>6-ROUNDUP(_xlfn.RANK.EQ(DATA_NOVIEMBRE_2025[[#This Row],[AL_AC]],DATA_NOVIEMBRE_2025[AL_AC],0)/(COUNTA(DATA_NOVIEMBRE_2025[AL_AC])/5),0)</f>
        <v>1</v>
      </c>
      <c r="O20" t="s">
        <v>6</v>
      </c>
      <c r="P20">
        <f>SUM(DATA_NOVIEMBRE_2025[[#This Row],[1]:[31]])</f>
        <v>6153</v>
      </c>
      <c r="Q20">
        <v>20000</v>
      </c>
      <c r="R20" t="s">
        <v>41</v>
      </c>
      <c r="W20">
        <v>800</v>
      </c>
      <c r="AD20">
        <v>1500</v>
      </c>
      <c r="AM20">
        <v>400</v>
      </c>
      <c r="AN20">
        <v>2000</v>
      </c>
      <c r="AP20">
        <v>600</v>
      </c>
      <c r="AQ20">
        <v>300</v>
      </c>
      <c r="AT20">
        <v>553</v>
      </c>
      <c r="AX20" t="s">
        <v>161</v>
      </c>
    </row>
    <row r="21" spans="1:50" x14ac:dyDescent="0.25">
      <c r="A21" t="s">
        <v>2</v>
      </c>
      <c r="B21" t="s">
        <v>73</v>
      </c>
      <c r="C21">
        <f>VLOOKUP(D1_NOVIEMBRE_2025[[#This Row],[SUPER]],DATA_NOVIEMBRE_2025[[SUPERVISOR]:[META]],3,0)</f>
        <v>15000</v>
      </c>
      <c r="D21" s="1">
        <f>D1_NOVIEMBRE_2025[[#This Row],[RECUPERO]]/C21</f>
        <v>0.72399999999999998</v>
      </c>
      <c r="E21" s="1" t="s">
        <v>2</v>
      </c>
      <c r="F21" t="s">
        <v>73</v>
      </c>
      <c r="G21">
        <v>10860</v>
      </c>
      <c r="H21" t="s">
        <v>420</v>
      </c>
      <c r="I21" s="55">
        <v>45145</v>
      </c>
      <c r="J21" t="s">
        <v>501</v>
      </c>
      <c r="L21" s="55"/>
      <c r="M21" s="1">
        <f>DATA_NOVIEMBRE_2025[[#This Row],[RECUPERO]]/DATA_NOVIEMBRE_2025[[#This Row],[META]]</f>
        <v>0.93720930232558142</v>
      </c>
      <c r="N21" s="5">
        <f>6-ROUNDUP(_xlfn.RANK.EQ(DATA_NOVIEMBRE_2025[[#This Row],[AL_AC]],DATA_NOVIEMBRE_2025[AL_AC],0)/(COUNTA(DATA_NOVIEMBRE_2025[AL_AC])/5),0)</f>
        <v>4</v>
      </c>
      <c r="O21" t="s">
        <v>6</v>
      </c>
      <c r="P21">
        <f>SUM(DATA_NOVIEMBRE_2025[[#This Row],[1]:[31]])</f>
        <v>40300</v>
      </c>
      <c r="Q21">
        <v>43000</v>
      </c>
      <c r="R21" t="s">
        <v>61</v>
      </c>
      <c r="AB21">
        <v>4500</v>
      </c>
      <c r="AI21">
        <v>1600</v>
      </c>
      <c r="AK21">
        <v>1100</v>
      </c>
      <c r="AM21">
        <v>1500</v>
      </c>
      <c r="AQ21">
        <v>13700</v>
      </c>
      <c r="AT21">
        <v>3200</v>
      </c>
      <c r="AU21">
        <v>14700</v>
      </c>
      <c r="AX21" t="s">
        <v>161</v>
      </c>
    </row>
    <row r="22" spans="1:50" x14ac:dyDescent="0.25">
      <c r="A22" t="s">
        <v>2</v>
      </c>
      <c r="B22" t="s">
        <v>48</v>
      </c>
      <c r="C22">
        <f>VLOOKUP(D1_NOVIEMBRE_2025[[#This Row],[SUPER]],DATA_NOVIEMBRE_2025[[SUPERVISOR]:[META]],3,0)</f>
        <v>15000</v>
      </c>
      <c r="D22" s="1">
        <f>D1_NOVIEMBRE_2025[[#This Row],[RECUPERO]]/C22</f>
        <v>0.53266666666666662</v>
      </c>
      <c r="E22" s="1" t="s">
        <v>2</v>
      </c>
      <c r="F22" t="s">
        <v>48</v>
      </c>
      <c r="G22">
        <v>7990</v>
      </c>
      <c r="H22" t="s">
        <v>421</v>
      </c>
      <c r="I22" s="55">
        <v>44748</v>
      </c>
      <c r="J22" t="s">
        <v>501</v>
      </c>
      <c r="L22" s="55"/>
      <c r="M22" s="1">
        <f>DATA_NOVIEMBRE_2025[[#This Row],[RECUPERO]]/DATA_NOVIEMBRE_2025[[#This Row],[META]]</f>
        <v>0.5117454545454545</v>
      </c>
      <c r="N22" s="5">
        <f>6-ROUNDUP(_xlfn.RANK.EQ(DATA_NOVIEMBRE_2025[[#This Row],[AL_AC]],DATA_NOVIEMBRE_2025[AL_AC],0)/(COUNTA(DATA_NOVIEMBRE_2025[AL_AC])/5),0)</f>
        <v>2</v>
      </c>
      <c r="O22" t="s">
        <v>4</v>
      </c>
      <c r="P22">
        <f>SUM(DATA_NOVIEMBRE_2025[[#This Row],[1]:[31]])</f>
        <v>28146</v>
      </c>
      <c r="Q22">
        <v>55000</v>
      </c>
      <c r="R22" t="s">
        <v>80</v>
      </c>
      <c r="Y22">
        <v>5000</v>
      </c>
      <c r="AD22">
        <v>600</v>
      </c>
      <c r="AI22">
        <v>8500</v>
      </c>
      <c r="AR22">
        <v>500</v>
      </c>
      <c r="AS22">
        <v>746</v>
      </c>
      <c r="AT22">
        <v>11300</v>
      </c>
      <c r="AU22">
        <v>1500</v>
      </c>
      <c r="AX22" t="s">
        <v>159</v>
      </c>
    </row>
    <row r="23" spans="1:50" x14ac:dyDescent="0.25">
      <c r="A23" t="s">
        <v>2</v>
      </c>
      <c r="B23" t="s">
        <v>27</v>
      </c>
      <c r="C23">
        <f>VLOOKUP(D1_NOVIEMBRE_2025[[#This Row],[SUPER]],DATA_NOVIEMBRE_2025[[SUPERVISOR]:[META]],3,0)</f>
        <v>15000</v>
      </c>
      <c r="D23" s="1">
        <f>D1_NOVIEMBRE_2025[[#This Row],[RECUPERO]]/C23</f>
        <v>0.4</v>
      </c>
      <c r="E23" s="1" t="s">
        <v>2</v>
      </c>
      <c r="F23" t="s">
        <v>27</v>
      </c>
      <c r="G23">
        <v>6000</v>
      </c>
      <c r="H23" t="s">
        <v>412</v>
      </c>
      <c r="I23" s="55">
        <v>45675</v>
      </c>
      <c r="J23" t="s">
        <v>501</v>
      </c>
      <c r="L23" s="55"/>
      <c r="M23" s="1">
        <f>DATA_NOVIEMBRE_2025[[#This Row],[RECUPERO]]/DATA_NOVIEMBRE_2025[[#This Row],[META]]</f>
        <v>0.26076363636363636</v>
      </c>
      <c r="N23" s="5">
        <f>6-ROUNDUP(_xlfn.RANK.EQ(DATA_NOVIEMBRE_2025[[#This Row],[AL_AC]],DATA_NOVIEMBRE_2025[AL_AC],0)/(COUNTA(DATA_NOVIEMBRE_2025[AL_AC])/5),0)</f>
        <v>1</v>
      </c>
      <c r="O23" t="s">
        <v>4</v>
      </c>
      <c r="P23">
        <f>SUM(DATA_NOVIEMBRE_2025[[#This Row],[1]:[31]])</f>
        <v>14342</v>
      </c>
      <c r="Q23">
        <v>55000</v>
      </c>
      <c r="R23" t="s">
        <v>40</v>
      </c>
      <c r="W23">
        <v>2750</v>
      </c>
      <c r="AK23">
        <v>1000</v>
      </c>
      <c r="AL23">
        <v>500</v>
      </c>
      <c r="AQ23">
        <v>4000</v>
      </c>
      <c r="AS23">
        <v>2800</v>
      </c>
      <c r="AT23">
        <v>3292</v>
      </c>
      <c r="AX23" t="s">
        <v>159</v>
      </c>
    </row>
    <row r="24" spans="1:50" x14ac:dyDescent="0.25">
      <c r="A24" t="s">
        <v>7</v>
      </c>
      <c r="B24" t="s">
        <v>122</v>
      </c>
      <c r="C24">
        <f>VLOOKUP(D1_NOVIEMBRE_2025[[#This Row],[SUPER]],DATA_NOVIEMBRE_2025[[SUPERVISOR]:[META]],3,0)</f>
        <v>14000</v>
      </c>
      <c r="D24" s="1">
        <f>D1_NOVIEMBRE_2025[[#This Row],[RECUPERO]]/C24</f>
        <v>1.9712857142857143</v>
      </c>
      <c r="E24" s="1" t="s">
        <v>7</v>
      </c>
      <c r="F24" t="s">
        <v>122</v>
      </c>
      <c r="G24">
        <v>27598</v>
      </c>
      <c r="H24" t="s">
        <v>426</v>
      </c>
      <c r="I24" s="55">
        <v>45082</v>
      </c>
      <c r="J24" t="s">
        <v>501</v>
      </c>
      <c r="L24" s="55"/>
      <c r="M24" s="1">
        <f>DATA_NOVIEMBRE_2025[[#This Row],[RECUPERO]]/DATA_NOVIEMBRE_2025[[#This Row],[META]]</f>
        <v>1.0549999999999999</v>
      </c>
      <c r="N24" s="5">
        <f>6-ROUNDUP(_xlfn.RANK.EQ(DATA_NOVIEMBRE_2025[[#This Row],[AL_AC]],DATA_NOVIEMBRE_2025[AL_AC],0)/(COUNTA(DATA_NOVIEMBRE_2025[AL_AC])/5),0)</f>
        <v>4</v>
      </c>
      <c r="O24" t="s">
        <v>6</v>
      </c>
      <c r="P24">
        <f>SUM(DATA_NOVIEMBRE_2025[[#This Row],[1]:[31]])</f>
        <v>21100</v>
      </c>
      <c r="Q24">
        <v>20000</v>
      </c>
      <c r="R24" t="s">
        <v>81</v>
      </c>
      <c r="U24">
        <v>260</v>
      </c>
      <c r="W24">
        <v>100</v>
      </c>
      <c r="AB24">
        <v>1200</v>
      </c>
      <c r="AC24">
        <v>2000</v>
      </c>
      <c r="AF24">
        <v>110</v>
      </c>
      <c r="AK24">
        <v>2800</v>
      </c>
      <c r="AP24">
        <v>5930</v>
      </c>
      <c r="AQ24">
        <v>2200</v>
      </c>
      <c r="AT24">
        <v>6500</v>
      </c>
      <c r="AX24" t="s">
        <v>161</v>
      </c>
    </row>
    <row r="25" spans="1:50" x14ac:dyDescent="0.25">
      <c r="A25" t="s">
        <v>7</v>
      </c>
      <c r="B25" t="s">
        <v>72</v>
      </c>
      <c r="C25">
        <f>VLOOKUP(D1_NOVIEMBRE_2025[[#This Row],[SUPER]],DATA_NOVIEMBRE_2025[[SUPERVISOR]:[META]],3,0)</f>
        <v>14000</v>
      </c>
      <c r="D25" s="1">
        <f>D1_NOVIEMBRE_2025[[#This Row],[RECUPERO]]/C25</f>
        <v>1.3121428571428571</v>
      </c>
      <c r="E25" s="1" t="s">
        <v>7</v>
      </c>
      <c r="F25" t="s">
        <v>72</v>
      </c>
      <c r="G25">
        <v>18370</v>
      </c>
      <c r="H25" t="s">
        <v>450</v>
      </c>
      <c r="I25" s="55">
        <v>45084</v>
      </c>
      <c r="J25" t="s">
        <v>501</v>
      </c>
      <c r="L25" s="55"/>
      <c r="M25" s="1">
        <f>DATA_NOVIEMBRE_2025[[#This Row],[RECUPERO]]/DATA_NOVIEMBRE_2025[[#This Row],[META]]</f>
        <v>1.3121428571428571</v>
      </c>
      <c r="N25" s="5">
        <f>6-ROUNDUP(_xlfn.RANK.EQ(DATA_NOVIEMBRE_2025[[#This Row],[AL_AC]],DATA_NOVIEMBRE_2025[AL_AC],0)/(COUNTA(DATA_NOVIEMBRE_2025[AL_AC])/5),0)</f>
        <v>5</v>
      </c>
      <c r="O25" t="s">
        <v>7</v>
      </c>
      <c r="P25">
        <f>SUM(DATA_NOVIEMBRE_2025[[#This Row],[1]:[31]])</f>
        <v>18370</v>
      </c>
      <c r="Q25">
        <v>14000</v>
      </c>
      <c r="R25" t="s">
        <v>72</v>
      </c>
      <c r="W25">
        <v>186</v>
      </c>
      <c r="X25">
        <v>480</v>
      </c>
      <c r="AB25">
        <v>500</v>
      </c>
      <c r="AC25">
        <v>300</v>
      </c>
      <c r="AL25">
        <v>1800</v>
      </c>
      <c r="AM25">
        <v>950</v>
      </c>
      <c r="AP25">
        <v>3084</v>
      </c>
      <c r="AQ25">
        <v>480</v>
      </c>
      <c r="AS25">
        <v>290</v>
      </c>
      <c r="AT25">
        <v>10300</v>
      </c>
      <c r="AX25" t="s">
        <v>160</v>
      </c>
    </row>
    <row r="26" spans="1:50" x14ac:dyDescent="0.25">
      <c r="A26" t="s">
        <v>7</v>
      </c>
      <c r="B26" t="s">
        <v>74</v>
      </c>
      <c r="C26">
        <f>VLOOKUP(D1_NOVIEMBRE_2025[[#This Row],[SUPER]],DATA_NOVIEMBRE_2025[[SUPERVISOR]:[META]],3,0)</f>
        <v>14000</v>
      </c>
      <c r="D26" s="1">
        <f>D1_NOVIEMBRE_2025[[#This Row],[RECUPERO]]/C26</f>
        <v>0.58799999999999997</v>
      </c>
      <c r="E26" s="1" t="s">
        <v>7</v>
      </c>
      <c r="F26" t="s">
        <v>74</v>
      </c>
      <c r="G26">
        <v>8232</v>
      </c>
      <c r="H26" t="s">
        <v>395</v>
      </c>
      <c r="I26" s="55">
        <v>44470</v>
      </c>
      <c r="J26" t="s">
        <v>501</v>
      </c>
      <c r="L26" s="55"/>
      <c r="M26" s="1">
        <f>DATA_NOVIEMBRE_2025[[#This Row],[RECUPERO]]/DATA_NOVIEMBRE_2025[[#This Row],[META]]</f>
        <v>0.49916363636363636</v>
      </c>
      <c r="N26" s="5">
        <f>6-ROUNDUP(_xlfn.RANK.EQ(DATA_NOVIEMBRE_2025[[#This Row],[AL_AC]],DATA_NOVIEMBRE_2025[AL_AC],0)/(COUNTA(DATA_NOVIEMBRE_2025[AL_AC])/5),0)</f>
        <v>2</v>
      </c>
      <c r="O26" t="s">
        <v>3</v>
      </c>
      <c r="P26">
        <f>SUM(DATA_NOVIEMBRE_2025[[#This Row],[1]:[31]])</f>
        <v>27454</v>
      </c>
      <c r="Q26">
        <v>55000</v>
      </c>
      <c r="R26" t="s">
        <v>22</v>
      </c>
      <c r="U26">
        <v>1600</v>
      </c>
      <c r="W26">
        <v>636</v>
      </c>
      <c r="Y26">
        <v>145</v>
      </c>
      <c r="AF26">
        <v>700</v>
      </c>
      <c r="AI26">
        <v>600</v>
      </c>
      <c r="AJ26">
        <v>500</v>
      </c>
      <c r="AL26">
        <v>700</v>
      </c>
      <c r="AM26">
        <v>1885</v>
      </c>
      <c r="AN26">
        <v>800</v>
      </c>
      <c r="AP26">
        <v>200</v>
      </c>
      <c r="AQ26">
        <v>700</v>
      </c>
      <c r="AS26">
        <v>14576</v>
      </c>
      <c r="AT26">
        <v>1700</v>
      </c>
      <c r="AU26">
        <v>1748</v>
      </c>
      <c r="AV26">
        <v>964</v>
      </c>
      <c r="AX26" t="s">
        <v>159</v>
      </c>
    </row>
    <row r="27" spans="1:50" x14ac:dyDescent="0.25">
      <c r="A27" t="s">
        <v>7</v>
      </c>
      <c r="B27" t="s">
        <v>20</v>
      </c>
      <c r="C27">
        <f>VLOOKUP(D1_NOVIEMBRE_2025[[#This Row],[SUPER]],DATA_NOVIEMBRE_2025[[SUPERVISOR]:[META]],3,0)</f>
        <v>14000</v>
      </c>
      <c r="D27" s="1">
        <f>D1_NOVIEMBRE_2025[[#This Row],[RECUPERO]]/C27</f>
        <v>0.58257142857142852</v>
      </c>
      <c r="E27" s="1" t="s">
        <v>7</v>
      </c>
      <c r="F27" t="s">
        <v>20</v>
      </c>
      <c r="G27">
        <v>8156</v>
      </c>
      <c r="H27" t="s">
        <v>427</v>
      </c>
      <c r="I27" s="55">
        <v>45142</v>
      </c>
      <c r="J27" t="s">
        <v>501</v>
      </c>
      <c r="L27" s="55"/>
      <c r="M27" s="1">
        <f>DATA_NOVIEMBRE_2025[[#This Row],[RECUPERO]]/DATA_NOVIEMBRE_2025[[#This Row],[META]]</f>
        <v>1.3463488372093024</v>
      </c>
      <c r="N27" s="5">
        <f>6-ROUNDUP(_xlfn.RANK.EQ(DATA_NOVIEMBRE_2025[[#This Row],[AL_AC]],DATA_NOVIEMBRE_2025[AL_AC],0)/(COUNTA(DATA_NOVIEMBRE_2025[AL_AC])/5),0)</f>
        <v>5</v>
      </c>
      <c r="O27" t="s">
        <v>6</v>
      </c>
      <c r="P27">
        <f>SUM(DATA_NOVIEMBRE_2025[[#This Row],[1]:[31]])</f>
        <v>57893</v>
      </c>
      <c r="Q27">
        <v>43000</v>
      </c>
      <c r="R27" t="s">
        <v>24</v>
      </c>
      <c r="V27">
        <v>500</v>
      </c>
      <c r="X27">
        <v>68</v>
      </c>
      <c r="Y27">
        <v>4775</v>
      </c>
      <c r="AB27">
        <v>1000</v>
      </c>
      <c r="AC27">
        <v>13200</v>
      </c>
      <c r="AD27">
        <v>500</v>
      </c>
      <c r="AE27">
        <v>4000</v>
      </c>
      <c r="AI27">
        <v>12500</v>
      </c>
      <c r="AL27">
        <v>600</v>
      </c>
      <c r="AM27">
        <v>2000</v>
      </c>
      <c r="AP27">
        <v>600</v>
      </c>
      <c r="AQ27">
        <v>5750</v>
      </c>
      <c r="AR27">
        <v>8550</v>
      </c>
      <c r="AS27">
        <v>500</v>
      </c>
      <c r="AT27">
        <v>3350</v>
      </c>
      <c r="AX27" t="s">
        <v>161</v>
      </c>
    </row>
    <row r="28" spans="1:50" x14ac:dyDescent="0.25">
      <c r="A28" t="s">
        <v>7</v>
      </c>
      <c r="B28" t="s">
        <v>51</v>
      </c>
      <c r="C28">
        <f>VLOOKUP(D1_NOVIEMBRE_2025[[#This Row],[SUPER]],DATA_NOVIEMBRE_2025[[SUPERVISOR]:[META]],3,0)</f>
        <v>14000</v>
      </c>
      <c r="D28" s="1">
        <f>D1_NOVIEMBRE_2025[[#This Row],[RECUPERO]]/C28</f>
        <v>0.51142857142857145</v>
      </c>
      <c r="E28" s="1" t="s">
        <v>7</v>
      </c>
      <c r="F28" t="s">
        <v>51</v>
      </c>
      <c r="G28">
        <v>7160</v>
      </c>
      <c r="H28" t="s">
        <v>413</v>
      </c>
      <c r="I28" s="55">
        <v>45674</v>
      </c>
      <c r="J28" t="s">
        <v>501</v>
      </c>
      <c r="L28" s="55"/>
      <c r="M28" s="1">
        <f>DATA_NOVIEMBRE_2025[[#This Row],[RECUPERO]]/DATA_NOVIEMBRE_2025[[#This Row],[META]]</f>
        <v>0.50981818181818184</v>
      </c>
      <c r="N28" s="5">
        <f>6-ROUNDUP(_xlfn.RANK.EQ(DATA_NOVIEMBRE_2025[[#This Row],[AL_AC]],DATA_NOVIEMBRE_2025[AL_AC],0)/(COUNTA(DATA_NOVIEMBRE_2025[AL_AC])/5),0)</f>
        <v>2</v>
      </c>
      <c r="O28" t="s">
        <v>4</v>
      </c>
      <c r="P28">
        <f>SUM(DATA_NOVIEMBRE_2025[[#This Row],[1]:[31]])</f>
        <v>28040</v>
      </c>
      <c r="Q28">
        <v>55000</v>
      </c>
      <c r="R28" t="s">
        <v>105</v>
      </c>
      <c r="X28">
        <v>8000</v>
      </c>
      <c r="AI28">
        <v>6000</v>
      </c>
      <c r="AK28">
        <v>400</v>
      </c>
      <c r="AL28">
        <v>3400</v>
      </c>
      <c r="AM28">
        <v>6000</v>
      </c>
      <c r="AP28">
        <v>1590</v>
      </c>
      <c r="AR28">
        <v>650</v>
      </c>
      <c r="AT28">
        <v>2000</v>
      </c>
      <c r="AX28" t="s">
        <v>159</v>
      </c>
    </row>
    <row r="29" spans="1:50" x14ac:dyDescent="0.25">
      <c r="A29" t="s">
        <v>7</v>
      </c>
      <c r="B29" t="s">
        <v>92</v>
      </c>
      <c r="C29">
        <f>VLOOKUP(D1_NOVIEMBRE_2025[[#This Row],[SUPER]],DATA_NOVIEMBRE_2025[[SUPERVISOR]:[META]],3,0)</f>
        <v>14000</v>
      </c>
      <c r="D29" s="1">
        <f>D1_NOVIEMBRE_2025[[#This Row],[RECUPERO]]/C29</f>
        <v>0.38800000000000001</v>
      </c>
      <c r="E29" s="1" t="s">
        <v>7</v>
      </c>
      <c r="F29" t="s">
        <v>92</v>
      </c>
      <c r="G29">
        <v>5432</v>
      </c>
      <c r="H29" t="s">
        <v>486</v>
      </c>
      <c r="I29" s="55">
        <v>45399</v>
      </c>
      <c r="J29" t="s">
        <v>501</v>
      </c>
      <c r="L29" s="55"/>
      <c r="M29" s="1">
        <f>DATA_NOVIEMBRE_2025[[#This Row],[RECUPERO]]/DATA_NOVIEMBRE_2025[[#This Row],[META]]</f>
        <v>0.40736363636363637</v>
      </c>
      <c r="N29" s="5">
        <f>6-ROUNDUP(_xlfn.RANK.EQ(DATA_NOVIEMBRE_2025[[#This Row],[AL_AC]],DATA_NOVIEMBRE_2025[AL_AC],0)/(COUNTA(DATA_NOVIEMBRE_2025[AL_AC])/5),0)</f>
        <v>2</v>
      </c>
      <c r="O29" t="s">
        <v>3</v>
      </c>
      <c r="P29">
        <f>SUM(DATA_NOVIEMBRE_2025[[#This Row],[1]:[31]])</f>
        <v>22405</v>
      </c>
      <c r="Q29">
        <v>55000</v>
      </c>
      <c r="R29" t="s">
        <v>16</v>
      </c>
      <c r="U29">
        <v>275</v>
      </c>
      <c r="AG29">
        <v>700</v>
      </c>
      <c r="AK29">
        <v>3765</v>
      </c>
      <c r="AL29">
        <v>2500</v>
      </c>
      <c r="AP29">
        <v>5300</v>
      </c>
      <c r="AS29">
        <v>1900</v>
      </c>
      <c r="AT29">
        <v>7365</v>
      </c>
      <c r="AU29">
        <v>600</v>
      </c>
      <c r="AX29" t="s">
        <v>159</v>
      </c>
    </row>
    <row r="30" spans="1:50" x14ac:dyDescent="0.25">
      <c r="A30" t="s">
        <v>7</v>
      </c>
      <c r="B30" t="s">
        <v>114</v>
      </c>
      <c r="C30">
        <f>VLOOKUP(D1_NOVIEMBRE_2025[[#This Row],[SUPER]],DATA_NOVIEMBRE_2025[[SUPERVISOR]:[META]],3,0)</f>
        <v>14000</v>
      </c>
      <c r="D30" s="1">
        <f>D1_NOVIEMBRE_2025[[#This Row],[RECUPERO]]/C30</f>
        <v>0.3537142857142857</v>
      </c>
      <c r="E30" s="1" t="s">
        <v>7</v>
      </c>
      <c r="F30" t="s">
        <v>114</v>
      </c>
      <c r="G30">
        <v>4952</v>
      </c>
      <c r="H30" t="s">
        <v>490</v>
      </c>
      <c r="I30" s="55">
        <v>45917</v>
      </c>
      <c r="J30" t="s">
        <v>501</v>
      </c>
      <c r="L30" s="55"/>
      <c r="M30" s="1">
        <f>DATA_NOVIEMBRE_2025[[#This Row],[RECUPERO]]/DATA_NOVIEMBRE_2025[[#This Row],[META]]</f>
        <v>0.4</v>
      </c>
      <c r="N30" s="5">
        <f>6-ROUNDUP(_xlfn.RANK.EQ(DATA_NOVIEMBRE_2025[[#This Row],[AL_AC]],DATA_NOVIEMBRE_2025[AL_AC],0)/(COUNTA(DATA_NOVIEMBRE_2025[AL_AC])/5),0)</f>
        <v>1</v>
      </c>
      <c r="O30" t="s">
        <v>2</v>
      </c>
      <c r="P30">
        <f>SUM(DATA_NOVIEMBRE_2025[[#This Row],[1]:[31]])</f>
        <v>6000</v>
      </c>
      <c r="Q30">
        <v>15000</v>
      </c>
      <c r="R30" t="s">
        <v>27</v>
      </c>
      <c r="AJ30">
        <v>6000</v>
      </c>
      <c r="AX30" t="s">
        <v>158</v>
      </c>
    </row>
    <row r="31" spans="1:50" x14ac:dyDescent="0.25">
      <c r="A31" t="s">
        <v>7</v>
      </c>
      <c r="B31" t="s">
        <v>53</v>
      </c>
      <c r="C31">
        <f>VLOOKUP(D1_NOVIEMBRE_2025[[#This Row],[SUPER]],DATA_NOVIEMBRE_2025[[SUPERVISOR]:[META]],3,0)</f>
        <v>14000</v>
      </c>
      <c r="D31" s="1">
        <f>D1_NOVIEMBRE_2025[[#This Row],[RECUPERO]]/C31</f>
        <v>9.2142857142857137E-2</v>
      </c>
      <c r="E31" s="1" t="s">
        <v>7</v>
      </c>
      <c r="F31" t="s">
        <v>53</v>
      </c>
      <c r="G31">
        <v>1290</v>
      </c>
      <c r="H31" t="s">
        <v>457</v>
      </c>
      <c r="I31" s="55">
        <v>45727</v>
      </c>
      <c r="J31" t="s">
        <v>501</v>
      </c>
      <c r="L31" s="55"/>
      <c r="M31" s="1">
        <f>DATA_NOVIEMBRE_2025[[#This Row],[RECUPERO]]/DATA_NOVIEMBRE_2025[[#This Row],[META]]</f>
        <v>0.51142857142857145</v>
      </c>
      <c r="N31" s="5">
        <f>6-ROUNDUP(_xlfn.RANK.EQ(DATA_NOVIEMBRE_2025[[#This Row],[AL_AC]],DATA_NOVIEMBRE_2025[AL_AC],0)/(COUNTA(DATA_NOVIEMBRE_2025[AL_AC])/5),0)</f>
        <v>2</v>
      </c>
      <c r="O31" t="s">
        <v>7</v>
      </c>
      <c r="P31">
        <f>SUM(DATA_NOVIEMBRE_2025[[#This Row],[1]:[31]])</f>
        <v>7160</v>
      </c>
      <c r="Q31">
        <v>14000</v>
      </c>
      <c r="R31" t="s">
        <v>51</v>
      </c>
      <c r="Y31">
        <v>600</v>
      </c>
      <c r="AB31">
        <v>200</v>
      </c>
      <c r="AD31">
        <v>750</v>
      </c>
      <c r="AE31">
        <v>1500</v>
      </c>
      <c r="AJ31">
        <v>450</v>
      </c>
      <c r="AM31">
        <v>1700</v>
      </c>
      <c r="AN31">
        <v>1500</v>
      </c>
      <c r="AS31">
        <v>200</v>
      </c>
      <c r="AU31">
        <v>260</v>
      </c>
      <c r="AX31" t="s">
        <v>160</v>
      </c>
    </row>
    <row r="32" spans="1:50" x14ac:dyDescent="0.25">
      <c r="A32" t="s">
        <v>6</v>
      </c>
      <c r="B32" t="s">
        <v>18</v>
      </c>
      <c r="C32">
        <f>VLOOKUP(D1_NOVIEMBRE_2025[[#This Row],[SUPER]],DATA_NOVIEMBRE_2025[[SUPERVISOR]:[META]],3,0)</f>
        <v>43000</v>
      </c>
      <c r="D32" s="1">
        <f>D1_NOVIEMBRE_2025[[#This Row],[RECUPERO]]/C32</f>
        <v>1.8016181395348838</v>
      </c>
      <c r="E32" s="1" t="s">
        <v>6</v>
      </c>
      <c r="F32" t="s">
        <v>18</v>
      </c>
      <c r="G32">
        <v>77469.58</v>
      </c>
      <c r="H32" t="s">
        <v>431</v>
      </c>
      <c r="I32" s="55">
        <v>45133</v>
      </c>
      <c r="J32" t="s">
        <v>501</v>
      </c>
      <c r="L32" s="55"/>
      <c r="M32" s="1">
        <f>DATA_NOVIEMBRE_2025[[#This Row],[RECUPERO]]/DATA_NOVIEMBRE_2025[[#This Row],[META]]</f>
        <v>0.44977272727272727</v>
      </c>
      <c r="N32" s="5">
        <f>6-ROUNDUP(_xlfn.RANK.EQ(DATA_NOVIEMBRE_2025[[#This Row],[AL_AC]],DATA_NOVIEMBRE_2025[AL_AC],0)/(COUNTA(DATA_NOVIEMBRE_2025[AL_AC])/5),0)</f>
        <v>2</v>
      </c>
      <c r="O32" t="s">
        <v>4</v>
      </c>
      <c r="P32">
        <f>SUM(DATA_NOVIEMBRE_2025[[#This Row],[1]:[31]])</f>
        <v>24737.5</v>
      </c>
      <c r="Q32">
        <v>55000</v>
      </c>
      <c r="R32" t="s">
        <v>93</v>
      </c>
      <c r="U32">
        <v>170</v>
      </c>
      <c r="AB32">
        <v>7320</v>
      </c>
      <c r="AC32">
        <v>607.5</v>
      </c>
      <c r="AF32">
        <v>433</v>
      </c>
      <c r="AH32">
        <v>170</v>
      </c>
      <c r="AM32">
        <v>600</v>
      </c>
      <c r="AP32">
        <v>6000</v>
      </c>
      <c r="AQ32">
        <v>1627</v>
      </c>
      <c r="AS32">
        <v>3000</v>
      </c>
      <c r="AT32">
        <v>3310</v>
      </c>
      <c r="AU32">
        <v>1500</v>
      </c>
      <c r="AX32" t="s">
        <v>159</v>
      </c>
    </row>
    <row r="33" spans="1:50" x14ac:dyDescent="0.25">
      <c r="A33" t="s">
        <v>6</v>
      </c>
      <c r="B33" t="s">
        <v>24</v>
      </c>
      <c r="C33">
        <f>VLOOKUP(D1_NOVIEMBRE_2025[[#This Row],[SUPER]],DATA_NOVIEMBRE_2025[[SUPERVISOR]:[META]],3,0)</f>
        <v>43000</v>
      </c>
      <c r="D33" s="1">
        <f>D1_NOVIEMBRE_2025[[#This Row],[RECUPERO]]/C33</f>
        <v>1.3463488372093024</v>
      </c>
      <c r="E33" s="1" t="s">
        <v>6</v>
      </c>
      <c r="F33" t="s">
        <v>24</v>
      </c>
      <c r="G33">
        <v>57893</v>
      </c>
      <c r="H33" t="s">
        <v>434</v>
      </c>
      <c r="I33" s="55">
        <v>45334</v>
      </c>
      <c r="J33" t="s">
        <v>501</v>
      </c>
      <c r="L33" s="55"/>
      <c r="M33" s="1">
        <f>DATA_NOVIEMBRE_2025[[#This Row],[RECUPERO]]/DATA_NOVIEMBRE_2025[[#This Row],[META]]</f>
        <v>0.51090909090909087</v>
      </c>
      <c r="N33" s="5">
        <f>6-ROUNDUP(_xlfn.RANK.EQ(DATA_NOVIEMBRE_2025[[#This Row],[AL_AC]],DATA_NOVIEMBRE_2025[AL_AC],0)/(COUNTA(DATA_NOVIEMBRE_2025[AL_AC])/5),0)</f>
        <v>2</v>
      </c>
      <c r="O33" t="s">
        <v>3</v>
      </c>
      <c r="P33">
        <f>SUM(DATA_NOVIEMBRE_2025[[#This Row],[1]:[31]])</f>
        <v>28100</v>
      </c>
      <c r="Q33">
        <v>55000</v>
      </c>
      <c r="R33" t="s">
        <v>13</v>
      </c>
      <c r="U33">
        <v>400</v>
      </c>
      <c r="AC33">
        <v>3000</v>
      </c>
      <c r="AE33">
        <v>1000</v>
      </c>
      <c r="AI33">
        <v>4500</v>
      </c>
      <c r="AJ33">
        <v>800</v>
      </c>
      <c r="AK33">
        <v>5500</v>
      </c>
      <c r="AM33">
        <v>1000</v>
      </c>
      <c r="AP33">
        <v>300</v>
      </c>
      <c r="AR33">
        <v>1600</v>
      </c>
      <c r="AT33">
        <v>10000</v>
      </c>
      <c r="AX33" t="s">
        <v>159</v>
      </c>
    </row>
    <row r="34" spans="1:50" x14ac:dyDescent="0.25">
      <c r="A34" t="s">
        <v>6</v>
      </c>
      <c r="B34" t="s">
        <v>61</v>
      </c>
      <c r="C34">
        <f>VLOOKUP(D1_NOVIEMBRE_2025[[#This Row],[SUPER]],DATA_NOVIEMBRE_2025[[SUPERVISOR]:[META]],3,0)</f>
        <v>43000</v>
      </c>
      <c r="D34" s="1">
        <f>D1_NOVIEMBRE_2025[[#This Row],[RECUPERO]]/C34</f>
        <v>0.93720930232558142</v>
      </c>
      <c r="E34" s="1" t="s">
        <v>6</v>
      </c>
      <c r="F34" t="s">
        <v>61</v>
      </c>
      <c r="G34">
        <v>40300</v>
      </c>
      <c r="H34" t="s">
        <v>411</v>
      </c>
      <c r="I34" s="55">
        <v>44909</v>
      </c>
      <c r="J34" t="s">
        <v>501</v>
      </c>
      <c r="L34" s="55"/>
      <c r="M34" s="1">
        <f>DATA_NOVIEMBRE_2025[[#This Row],[RECUPERO]]/DATA_NOVIEMBRE_2025[[#This Row],[META]]</f>
        <v>0.55054545454545456</v>
      </c>
      <c r="N34" s="5">
        <f>6-ROUNDUP(_xlfn.RANK.EQ(DATA_NOVIEMBRE_2025[[#This Row],[AL_AC]],DATA_NOVIEMBRE_2025[AL_AC],0)/(COUNTA(DATA_NOVIEMBRE_2025[AL_AC])/5),0)</f>
        <v>2</v>
      </c>
      <c r="O34" t="s">
        <v>3</v>
      </c>
      <c r="P34">
        <f>SUM(DATA_NOVIEMBRE_2025[[#This Row],[1]:[31]])</f>
        <v>30280</v>
      </c>
      <c r="Q34">
        <v>55000</v>
      </c>
      <c r="R34" t="s">
        <v>32</v>
      </c>
      <c r="U34">
        <v>15000</v>
      </c>
      <c r="W34">
        <v>250</v>
      </c>
      <c r="X34">
        <v>250</v>
      </c>
      <c r="AB34">
        <v>500</v>
      </c>
      <c r="AC34">
        <v>5000</v>
      </c>
      <c r="AI34">
        <v>230</v>
      </c>
      <c r="AL34">
        <v>150</v>
      </c>
      <c r="AM34">
        <v>1100</v>
      </c>
      <c r="AP34">
        <v>200</v>
      </c>
      <c r="AR34">
        <v>1300</v>
      </c>
      <c r="AS34">
        <v>2700</v>
      </c>
      <c r="AT34">
        <v>600</v>
      </c>
      <c r="AU34">
        <v>3000</v>
      </c>
      <c r="AX34" t="s">
        <v>159</v>
      </c>
    </row>
    <row r="35" spans="1:50" x14ac:dyDescent="0.25">
      <c r="A35" t="s">
        <v>6</v>
      </c>
      <c r="B35" t="s">
        <v>78</v>
      </c>
      <c r="C35">
        <f>VLOOKUP(D1_NOVIEMBRE_2025[[#This Row],[SUPER]],DATA_NOVIEMBRE_2025[[SUPERVISOR]:[META]],3,0)</f>
        <v>43000</v>
      </c>
      <c r="D35" s="1">
        <f>D1_NOVIEMBRE_2025[[#This Row],[RECUPERO]]/C35</f>
        <v>0.24816279069767441</v>
      </c>
      <c r="E35" s="1" t="s">
        <v>6</v>
      </c>
      <c r="F35" t="s">
        <v>78</v>
      </c>
      <c r="G35">
        <v>10671</v>
      </c>
      <c r="H35" t="s">
        <v>397</v>
      </c>
      <c r="I35" s="55">
        <v>44945</v>
      </c>
      <c r="J35" t="s">
        <v>501</v>
      </c>
      <c r="L35" s="55"/>
      <c r="M35" s="1">
        <f>DATA_NOVIEMBRE_2025[[#This Row],[RECUPERO]]/DATA_NOVIEMBRE_2025[[#This Row],[META]]</f>
        <v>0.36241818181818181</v>
      </c>
      <c r="N35" s="5">
        <f>6-ROUNDUP(_xlfn.RANK.EQ(DATA_NOVIEMBRE_2025[[#This Row],[AL_AC]],DATA_NOVIEMBRE_2025[AL_AC],0)/(COUNTA(DATA_NOVIEMBRE_2025[AL_AC])/5),0)</f>
        <v>1</v>
      </c>
      <c r="O35" t="s">
        <v>3</v>
      </c>
      <c r="P35">
        <f>SUM(DATA_NOVIEMBRE_2025[[#This Row],[1]:[31]])</f>
        <v>19933</v>
      </c>
      <c r="Q35">
        <v>55000</v>
      </c>
      <c r="R35" t="s">
        <v>44</v>
      </c>
      <c r="Y35">
        <v>5800</v>
      </c>
      <c r="AD35">
        <v>650</v>
      </c>
      <c r="AE35">
        <v>257</v>
      </c>
      <c r="AF35">
        <v>600</v>
      </c>
      <c r="AG35">
        <v>1500</v>
      </c>
      <c r="AI35">
        <v>400</v>
      </c>
      <c r="AL35">
        <v>585</v>
      </c>
      <c r="AP35">
        <v>1000</v>
      </c>
      <c r="AQ35">
        <v>5000</v>
      </c>
      <c r="AR35">
        <v>1861</v>
      </c>
      <c r="AU35">
        <v>1680</v>
      </c>
      <c r="AV35">
        <v>600</v>
      </c>
      <c r="AX35" t="s">
        <v>159</v>
      </c>
    </row>
    <row r="36" spans="1:50" x14ac:dyDescent="0.25">
      <c r="A36" t="s">
        <v>6</v>
      </c>
      <c r="B36" t="s">
        <v>50</v>
      </c>
      <c r="C36">
        <f>VLOOKUP(D1_NOVIEMBRE_2025[[#This Row],[SUPER]],DATA_NOVIEMBRE_2025[[SUPERVISOR]:[META]],3,0)</f>
        <v>43000</v>
      </c>
      <c r="D36" s="1">
        <f>D1_NOVIEMBRE_2025[[#This Row],[RECUPERO]]/C36</f>
        <v>1.2903488372093024</v>
      </c>
      <c r="E36" s="1" t="s">
        <v>6</v>
      </c>
      <c r="F36" t="s">
        <v>50</v>
      </c>
      <c r="G36">
        <v>55485</v>
      </c>
      <c r="H36" t="s">
        <v>402</v>
      </c>
      <c r="I36" s="55">
        <v>45523</v>
      </c>
      <c r="J36" t="s">
        <v>501</v>
      </c>
      <c r="L36" s="55"/>
      <c r="M36" s="1">
        <f>DATA_NOVIEMBRE_2025[[#This Row],[RECUPERO]]/DATA_NOVIEMBRE_2025[[#This Row],[META]]</f>
        <v>1.1672</v>
      </c>
      <c r="N36" s="5">
        <f>6-ROUNDUP(_xlfn.RANK.EQ(DATA_NOVIEMBRE_2025[[#This Row],[AL_AC]],DATA_NOVIEMBRE_2025[AL_AC],0)/(COUNTA(DATA_NOVIEMBRE_2025[AL_AC])/5),0)</f>
        <v>4</v>
      </c>
      <c r="O36" t="s">
        <v>2</v>
      </c>
      <c r="P36">
        <f>SUM(DATA_NOVIEMBRE_2025[[#This Row],[1]:[31]])</f>
        <v>17508</v>
      </c>
      <c r="Q36">
        <v>15000</v>
      </c>
      <c r="R36" t="s">
        <v>42</v>
      </c>
      <c r="V36">
        <v>3000</v>
      </c>
      <c r="W36">
        <v>3000</v>
      </c>
      <c r="AB36">
        <v>350</v>
      </c>
      <c r="AD36">
        <v>1700</v>
      </c>
      <c r="AE36">
        <v>1200</v>
      </c>
      <c r="AL36">
        <v>3000</v>
      </c>
      <c r="AP36">
        <v>1800</v>
      </c>
      <c r="AQ36">
        <v>250</v>
      </c>
      <c r="AT36">
        <v>1680</v>
      </c>
      <c r="AU36">
        <v>1528</v>
      </c>
      <c r="AX36" t="s">
        <v>158</v>
      </c>
    </row>
    <row r="37" spans="1:50" x14ac:dyDescent="0.25">
      <c r="A37" t="s">
        <v>6</v>
      </c>
      <c r="B37" t="s">
        <v>35</v>
      </c>
      <c r="C37">
        <f>VLOOKUP(D1_NOVIEMBRE_2025[[#This Row],[SUPER]],DATA_NOVIEMBRE_2025[[SUPERVISOR]:[META]],3,0)</f>
        <v>43000</v>
      </c>
      <c r="D37" s="1">
        <f>D1_NOVIEMBRE_2025[[#This Row],[RECUPERO]]/C37</f>
        <v>0.73750000000000004</v>
      </c>
      <c r="E37" s="1" t="s">
        <v>6</v>
      </c>
      <c r="F37" t="s">
        <v>35</v>
      </c>
      <c r="G37">
        <v>31712.5</v>
      </c>
      <c r="H37" t="s">
        <v>401</v>
      </c>
      <c r="I37" s="55">
        <v>44748</v>
      </c>
      <c r="J37" t="s">
        <v>501</v>
      </c>
      <c r="L37" s="55"/>
      <c r="M37" s="1">
        <f>DATA_NOVIEMBRE_2025[[#This Row],[RECUPERO]]/DATA_NOVIEMBRE_2025[[#This Row],[META]]</f>
        <v>0.3537142857142857</v>
      </c>
      <c r="N37" s="5">
        <f>6-ROUNDUP(_xlfn.RANK.EQ(DATA_NOVIEMBRE_2025[[#This Row],[AL_AC]],DATA_NOVIEMBRE_2025[AL_AC],0)/(COUNTA(DATA_NOVIEMBRE_2025[AL_AC])/5),0)</f>
        <v>1</v>
      </c>
      <c r="O37" t="s">
        <v>7</v>
      </c>
      <c r="P37">
        <f>SUM(DATA_NOVIEMBRE_2025[[#This Row],[1]:[31]])</f>
        <v>4952</v>
      </c>
      <c r="Q37">
        <v>14000</v>
      </c>
      <c r="R37" t="s">
        <v>114</v>
      </c>
      <c r="Y37">
        <v>160</v>
      </c>
      <c r="AE37">
        <v>270</v>
      </c>
      <c r="AF37">
        <v>1300</v>
      </c>
      <c r="AJ37">
        <v>580</v>
      </c>
      <c r="AM37">
        <v>292</v>
      </c>
      <c r="AP37">
        <v>1300</v>
      </c>
      <c r="AS37">
        <v>500</v>
      </c>
      <c r="AT37">
        <v>360</v>
      </c>
      <c r="AU37">
        <v>190</v>
      </c>
      <c r="AX37" t="s">
        <v>160</v>
      </c>
    </row>
    <row r="38" spans="1:50" x14ac:dyDescent="0.25">
      <c r="A38" t="s">
        <v>6</v>
      </c>
      <c r="B38" t="s">
        <v>11</v>
      </c>
      <c r="C38">
        <f>VLOOKUP(D1_NOVIEMBRE_2025[[#This Row],[SUPER]],DATA_NOVIEMBRE_2025[[SUPERVISOR]:[META]],3,0)</f>
        <v>43000</v>
      </c>
      <c r="D38" s="1">
        <f>D1_NOVIEMBRE_2025[[#This Row],[RECUPERO]]/C38</f>
        <v>0.54106976744186042</v>
      </c>
      <c r="E38" s="1" t="s">
        <v>6</v>
      </c>
      <c r="F38" t="s">
        <v>11</v>
      </c>
      <c r="G38">
        <v>23266</v>
      </c>
      <c r="H38" t="s">
        <v>429</v>
      </c>
      <c r="I38" s="55">
        <v>45371</v>
      </c>
      <c r="J38" t="s">
        <v>501</v>
      </c>
      <c r="L38" s="55"/>
      <c r="M38" s="1">
        <f>DATA_NOVIEMBRE_2025[[#This Row],[RECUPERO]]/DATA_NOVIEMBRE_2025[[#This Row],[META]]</f>
        <v>0.64514285714285713</v>
      </c>
      <c r="N38" s="5">
        <f>6-ROUNDUP(_xlfn.RANK.EQ(DATA_NOVIEMBRE_2025[[#This Row],[AL_AC]],DATA_NOVIEMBRE_2025[AL_AC],0)/(COUNTA(DATA_NOVIEMBRE_2025[AL_AC])/5),0)</f>
        <v>3</v>
      </c>
      <c r="O38" t="s">
        <v>5</v>
      </c>
      <c r="P38">
        <f>SUM(DATA_NOVIEMBRE_2025[[#This Row],[1]:[31]])</f>
        <v>9032</v>
      </c>
      <c r="Q38">
        <v>14000</v>
      </c>
      <c r="R38" t="s">
        <v>100</v>
      </c>
      <c r="U38">
        <v>1000</v>
      </c>
      <c r="W38">
        <v>150</v>
      </c>
      <c r="AC38">
        <v>100</v>
      </c>
      <c r="AD38">
        <v>5300</v>
      </c>
      <c r="AF38">
        <v>400</v>
      </c>
      <c r="AI38">
        <v>500</v>
      </c>
      <c r="AQ38">
        <v>250</v>
      </c>
      <c r="AT38">
        <v>332</v>
      </c>
      <c r="AU38">
        <v>1000</v>
      </c>
      <c r="AX38" t="s">
        <v>160</v>
      </c>
    </row>
    <row r="39" spans="1:50" x14ac:dyDescent="0.25">
      <c r="A39" t="s">
        <v>6</v>
      </c>
      <c r="B39" t="s">
        <v>26</v>
      </c>
      <c r="C39">
        <f>VLOOKUP(D1_NOVIEMBRE_2025[[#This Row],[SUPER]],DATA_NOVIEMBRE_2025[[SUPERVISOR]:[META]],3,0)</f>
        <v>43000</v>
      </c>
      <c r="D39" s="1">
        <f>D1_NOVIEMBRE_2025[[#This Row],[RECUPERO]]/C39</f>
        <v>0.53658837209302324</v>
      </c>
      <c r="E39" s="1" t="s">
        <v>6</v>
      </c>
      <c r="F39" t="s">
        <v>26</v>
      </c>
      <c r="G39">
        <v>23073.3</v>
      </c>
      <c r="H39" t="s">
        <v>391</v>
      </c>
      <c r="I39" s="55">
        <v>44259</v>
      </c>
      <c r="J39" t="s">
        <v>501</v>
      </c>
      <c r="L39" s="55"/>
      <c r="M39" s="1">
        <f>DATA_NOVIEMBRE_2025[[#This Row],[RECUPERO]]/DATA_NOVIEMBRE_2025[[#This Row],[META]]</f>
        <v>0.94565454545454541</v>
      </c>
      <c r="N39" s="5">
        <f>6-ROUNDUP(_xlfn.RANK.EQ(DATA_NOVIEMBRE_2025[[#This Row],[AL_AC]],DATA_NOVIEMBRE_2025[AL_AC],0)/(COUNTA(DATA_NOVIEMBRE_2025[AL_AC])/5),0)</f>
        <v>4</v>
      </c>
      <c r="O39" t="s">
        <v>4</v>
      </c>
      <c r="P39">
        <f>SUM(DATA_NOVIEMBRE_2025[[#This Row],[1]:[31]])</f>
        <v>52011</v>
      </c>
      <c r="Q39">
        <v>55000</v>
      </c>
      <c r="R39" t="s">
        <v>57</v>
      </c>
      <c r="AC39">
        <v>1300</v>
      </c>
      <c r="AE39">
        <v>4000</v>
      </c>
      <c r="AF39">
        <v>10000</v>
      </c>
      <c r="AJ39">
        <v>9000</v>
      </c>
      <c r="AK39">
        <v>4728</v>
      </c>
      <c r="AL39">
        <v>823</v>
      </c>
      <c r="AP39">
        <v>15700</v>
      </c>
      <c r="AT39">
        <v>5600</v>
      </c>
      <c r="AU39">
        <v>860</v>
      </c>
      <c r="AX39" t="s">
        <v>159</v>
      </c>
    </row>
    <row r="40" spans="1:50" x14ac:dyDescent="0.25">
      <c r="A40" t="s">
        <v>6</v>
      </c>
      <c r="B40" t="s">
        <v>81</v>
      </c>
      <c r="C40">
        <f>VLOOKUP(D1_NOVIEMBRE_2025[[#This Row],[SUPER]],DATA_NOVIEMBRE_2025[[SUPERVISOR]:[META]],3,0)</f>
        <v>43000</v>
      </c>
      <c r="D40" s="1">
        <f>D1_NOVIEMBRE_2025[[#This Row],[RECUPERO]]/C40</f>
        <v>0.49069767441860462</v>
      </c>
      <c r="E40" s="1" t="s">
        <v>6</v>
      </c>
      <c r="F40" t="s">
        <v>81</v>
      </c>
      <c r="G40">
        <v>21100</v>
      </c>
      <c r="H40" t="s">
        <v>425</v>
      </c>
      <c r="I40" s="55">
        <v>45506</v>
      </c>
      <c r="J40" t="s">
        <v>501</v>
      </c>
      <c r="L40" s="55"/>
      <c r="M40" s="1">
        <f>DATA_NOVIEMBRE_2025[[#This Row],[RECUPERO]]/DATA_NOVIEMBRE_2025[[#This Row],[META]]</f>
        <v>1.37</v>
      </c>
      <c r="N40" s="5">
        <f>6-ROUNDUP(_xlfn.RANK.EQ(DATA_NOVIEMBRE_2025[[#This Row],[AL_AC]],DATA_NOVIEMBRE_2025[AL_AC],0)/(COUNTA(DATA_NOVIEMBRE_2025[AL_AC])/5),0)</f>
        <v>5</v>
      </c>
      <c r="O40" t="s">
        <v>2</v>
      </c>
      <c r="P40">
        <f>SUM(DATA_NOVIEMBRE_2025[[#This Row],[1]:[31]])</f>
        <v>20550</v>
      </c>
      <c r="Q40">
        <v>15000</v>
      </c>
      <c r="R40" t="s">
        <v>49</v>
      </c>
      <c r="X40">
        <v>1000</v>
      </c>
      <c r="AE40">
        <v>600</v>
      </c>
      <c r="AI40">
        <v>500</v>
      </c>
      <c r="AM40">
        <v>8000</v>
      </c>
      <c r="AP40">
        <v>4000</v>
      </c>
      <c r="AS40">
        <v>450</v>
      </c>
      <c r="AT40">
        <v>6000</v>
      </c>
      <c r="AX40" t="s">
        <v>158</v>
      </c>
    </row>
    <row r="41" spans="1:50" x14ac:dyDescent="0.25">
      <c r="A41" t="s">
        <v>6</v>
      </c>
      <c r="B41" t="s">
        <v>67</v>
      </c>
      <c r="C41">
        <f>VLOOKUP(D1_NOVIEMBRE_2025[[#This Row],[SUPER]],DATA_NOVIEMBRE_2025[[SUPERVISOR]:[META]],3,0)</f>
        <v>43000</v>
      </c>
      <c r="D41" s="1">
        <f>D1_NOVIEMBRE_2025[[#This Row],[RECUPERO]]/C41</f>
        <v>0.44006744186046515</v>
      </c>
      <c r="E41" s="1" t="s">
        <v>6</v>
      </c>
      <c r="F41" t="s">
        <v>67</v>
      </c>
      <c r="G41">
        <v>18922.900000000001</v>
      </c>
      <c r="H41" t="s">
        <v>381</v>
      </c>
      <c r="I41" s="55">
        <v>44811</v>
      </c>
      <c r="J41" t="s">
        <v>501</v>
      </c>
      <c r="L41" s="55"/>
      <c r="M41" s="1">
        <f>DATA_NOVIEMBRE_2025[[#This Row],[RECUPERO]]/DATA_NOVIEMBRE_2025[[#This Row],[META]]</f>
        <v>1.1536649999999999</v>
      </c>
      <c r="N41" s="5">
        <f>6-ROUNDUP(_xlfn.RANK.EQ(DATA_NOVIEMBRE_2025[[#This Row],[AL_AC]],DATA_NOVIEMBRE_2025[AL_AC],0)/(COUNTA(DATA_NOVIEMBRE_2025[AL_AC])/5),0)</f>
        <v>4</v>
      </c>
      <c r="O41" t="s">
        <v>6</v>
      </c>
      <c r="P41">
        <f>SUM(DATA_NOVIEMBRE_2025[[#This Row],[1]:[31]])</f>
        <v>23073.3</v>
      </c>
      <c r="Q41">
        <v>20000</v>
      </c>
      <c r="R41" t="s">
        <v>26</v>
      </c>
      <c r="W41">
        <v>180</v>
      </c>
      <c r="AB41">
        <v>3250</v>
      </c>
      <c r="AC41">
        <v>1200</v>
      </c>
      <c r="AE41">
        <v>150</v>
      </c>
      <c r="AG41">
        <v>113</v>
      </c>
      <c r="AI41">
        <v>220</v>
      </c>
      <c r="AK41">
        <v>400</v>
      </c>
      <c r="AL41">
        <v>1000</v>
      </c>
      <c r="AP41">
        <v>5660</v>
      </c>
      <c r="AQ41">
        <v>300</v>
      </c>
      <c r="AS41">
        <v>2000</v>
      </c>
      <c r="AT41">
        <v>6000.3</v>
      </c>
      <c r="AU41">
        <v>2600</v>
      </c>
      <c r="AX41" t="s">
        <v>161</v>
      </c>
    </row>
    <row r="42" spans="1:50" x14ac:dyDescent="0.25">
      <c r="A42" t="s">
        <v>6</v>
      </c>
      <c r="B42" t="s">
        <v>19</v>
      </c>
      <c r="C42">
        <f>VLOOKUP(D1_NOVIEMBRE_2025[[#This Row],[SUPER]],DATA_NOVIEMBRE_2025[[SUPERVISOR]:[META]],3,0)</f>
        <v>43000</v>
      </c>
      <c r="D42" s="1">
        <f>D1_NOVIEMBRE_2025[[#This Row],[RECUPERO]]/C42</f>
        <v>0.33769767441860465</v>
      </c>
      <c r="E42" s="1" t="s">
        <v>6</v>
      </c>
      <c r="F42" t="s">
        <v>19</v>
      </c>
      <c r="G42">
        <v>14521</v>
      </c>
      <c r="H42" t="s">
        <v>399</v>
      </c>
      <c r="I42" s="55">
        <v>44673</v>
      </c>
      <c r="J42" t="s">
        <v>501</v>
      </c>
      <c r="L42" s="55"/>
      <c r="M42" s="1">
        <f>DATA_NOVIEMBRE_2025[[#This Row],[RECUPERO]]/DATA_NOVIEMBRE_2025[[#This Row],[META]]</f>
        <v>1.9712857142857143</v>
      </c>
      <c r="N42" s="5">
        <f>6-ROUNDUP(_xlfn.RANK.EQ(DATA_NOVIEMBRE_2025[[#This Row],[AL_AC]],DATA_NOVIEMBRE_2025[AL_AC],0)/(COUNTA(DATA_NOVIEMBRE_2025[AL_AC])/5),0)</f>
        <v>5</v>
      </c>
      <c r="O42" t="s">
        <v>7</v>
      </c>
      <c r="P42">
        <f>SUM(DATA_NOVIEMBRE_2025[[#This Row],[1]:[31]])</f>
        <v>27598</v>
      </c>
      <c r="Q42">
        <v>14000</v>
      </c>
      <c r="R42" t="s">
        <v>122</v>
      </c>
      <c r="AC42">
        <v>16750</v>
      </c>
      <c r="AD42">
        <v>2400</v>
      </c>
      <c r="AF42">
        <v>200</v>
      </c>
      <c r="AI42">
        <v>5728</v>
      </c>
      <c r="AP42">
        <v>750</v>
      </c>
      <c r="AQ42">
        <v>220</v>
      </c>
      <c r="AR42">
        <v>250</v>
      </c>
      <c r="AT42">
        <v>1300</v>
      </c>
      <c r="AX42" t="s">
        <v>160</v>
      </c>
    </row>
    <row r="43" spans="1:50" x14ac:dyDescent="0.25">
      <c r="A43" t="s">
        <v>6</v>
      </c>
      <c r="B43" t="s">
        <v>65</v>
      </c>
      <c r="C43">
        <f>VLOOKUP(D1_NOVIEMBRE_2025[[#This Row],[SUPER]],DATA_NOVIEMBRE_2025[[SUPERVISOR]:[META]],3,0)</f>
        <v>43000</v>
      </c>
      <c r="D43" s="1">
        <f>D1_NOVIEMBRE_2025[[#This Row],[RECUPERO]]/C43</f>
        <v>0.32755813953488372</v>
      </c>
      <c r="E43" s="1" t="s">
        <v>6</v>
      </c>
      <c r="F43" t="s">
        <v>65</v>
      </c>
      <c r="G43">
        <v>14085</v>
      </c>
      <c r="H43" t="s">
        <v>438</v>
      </c>
      <c r="I43" s="55">
        <v>45021</v>
      </c>
      <c r="J43" t="s">
        <v>501</v>
      </c>
      <c r="L43" s="55"/>
      <c r="M43" s="1">
        <f>DATA_NOVIEMBRE_2025[[#This Row],[RECUPERO]]/DATA_NOVIEMBRE_2025[[#This Row],[META]]</f>
        <v>1.4307857142857143</v>
      </c>
      <c r="N43" s="5">
        <f>6-ROUNDUP(_xlfn.RANK.EQ(DATA_NOVIEMBRE_2025[[#This Row],[AL_AC]],DATA_NOVIEMBRE_2025[AL_AC],0)/(COUNTA(DATA_NOVIEMBRE_2025[AL_AC])/5),0)</f>
        <v>5</v>
      </c>
      <c r="O43" t="s">
        <v>5</v>
      </c>
      <c r="P43">
        <f>SUM(DATA_NOVIEMBRE_2025[[#This Row],[1]:[31]])</f>
        <v>20031</v>
      </c>
      <c r="Q43">
        <v>14000</v>
      </c>
      <c r="R43" t="s">
        <v>96</v>
      </c>
      <c r="W43">
        <v>1150</v>
      </c>
      <c r="X43">
        <v>4000</v>
      </c>
      <c r="AB43">
        <v>4650</v>
      </c>
      <c r="AI43">
        <v>2000</v>
      </c>
      <c r="AK43">
        <v>645</v>
      </c>
      <c r="AQ43">
        <v>720</v>
      </c>
      <c r="AR43">
        <v>690</v>
      </c>
      <c r="AS43">
        <v>1800</v>
      </c>
      <c r="AT43">
        <v>3650</v>
      </c>
      <c r="AU43">
        <v>726</v>
      </c>
      <c r="AX43" t="s">
        <v>160</v>
      </c>
    </row>
    <row r="44" spans="1:50" x14ac:dyDescent="0.25">
      <c r="A44" t="s">
        <v>6</v>
      </c>
      <c r="B44" t="s">
        <v>41</v>
      </c>
      <c r="C44">
        <f>VLOOKUP(D1_NOVIEMBRE_2025[[#This Row],[SUPER]],DATA_NOVIEMBRE_2025[[SUPERVISOR]:[META]],3,0)</f>
        <v>43000</v>
      </c>
      <c r="D44" s="1">
        <f>D1_NOVIEMBRE_2025[[#This Row],[RECUPERO]]/C44</f>
        <v>0.14309302325581397</v>
      </c>
      <c r="E44" s="1" t="s">
        <v>6</v>
      </c>
      <c r="F44" t="s">
        <v>41</v>
      </c>
      <c r="G44">
        <v>6153</v>
      </c>
      <c r="H44" t="s">
        <v>387</v>
      </c>
      <c r="I44" s="55">
        <v>45304</v>
      </c>
      <c r="J44" t="s">
        <v>501</v>
      </c>
      <c r="L44" s="55"/>
      <c r="M44" s="1">
        <f>DATA_NOVIEMBRE_2025[[#This Row],[RECUPERO]]/DATA_NOVIEMBRE_2025[[#This Row],[META]]</f>
        <v>0.70425000000000004</v>
      </c>
      <c r="N44" s="5">
        <f>6-ROUNDUP(_xlfn.RANK.EQ(DATA_NOVIEMBRE_2025[[#This Row],[AL_AC]],DATA_NOVIEMBRE_2025[AL_AC],0)/(COUNTA(DATA_NOVIEMBRE_2025[AL_AC])/5),0)</f>
        <v>3</v>
      </c>
      <c r="O44" t="s">
        <v>6</v>
      </c>
      <c r="P44">
        <f>SUM(DATA_NOVIEMBRE_2025[[#This Row],[1]:[31]])</f>
        <v>14085</v>
      </c>
      <c r="Q44">
        <v>20000</v>
      </c>
      <c r="R44" t="s">
        <v>65</v>
      </c>
      <c r="W44">
        <v>1500</v>
      </c>
      <c r="AE44">
        <v>7575</v>
      </c>
      <c r="AP44">
        <v>610</v>
      </c>
      <c r="AS44">
        <v>400</v>
      </c>
      <c r="AT44">
        <v>4000</v>
      </c>
      <c r="AX44" t="s">
        <v>161</v>
      </c>
    </row>
    <row r="45" spans="1:50" x14ac:dyDescent="0.25">
      <c r="A45" t="s">
        <v>4</v>
      </c>
      <c r="B45" t="s">
        <v>57</v>
      </c>
      <c r="C45">
        <f>VLOOKUP(D1_NOVIEMBRE_2025[[#This Row],[SUPER]],DATA_NOVIEMBRE_2025[[SUPERVISOR]:[META]],3,0)</f>
        <v>55000</v>
      </c>
      <c r="D45" s="1">
        <f>D1_NOVIEMBRE_2025[[#This Row],[RECUPERO]]/C45</f>
        <v>0.94565454545454541</v>
      </c>
      <c r="E45" s="1" t="s">
        <v>4</v>
      </c>
      <c r="F45" t="s">
        <v>57</v>
      </c>
      <c r="G45">
        <v>52011</v>
      </c>
      <c r="H45" t="s">
        <v>443</v>
      </c>
      <c r="I45" s="55">
        <v>45590</v>
      </c>
      <c r="J45" t="s">
        <v>501</v>
      </c>
      <c r="L45" s="55"/>
      <c r="M45" s="1">
        <f>DATA_NOVIEMBRE_2025[[#This Row],[RECUPERO]]/DATA_NOVIEMBRE_2025[[#This Row],[META]]</f>
        <v>0.58257142857142852</v>
      </c>
      <c r="N45" s="5">
        <f>6-ROUNDUP(_xlfn.RANK.EQ(DATA_NOVIEMBRE_2025[[#This Row],[AL_AC]],DATA_NOVIEMBRE_2025[AL_AC],0)/(COUNTA(DATA_NOVIEMBRE_2025[AL_AC])/5),0)</f>
        <v>2</v>
      </c>
      <c r="O45" t="s">
        <v>7</v>
      </c>
      <c r="P45">
        <f>SUM(DATA_NOVIEMBRE_2025[[#This Row],[1]:[31]])</f>
        <v>8156</v>
      </c>
      <c r="Q45">
        <v>14000</v>
      </c>
      <c r="R45" t="s">
        <v>20</v>
      </c>
      <c r="V45">
        <v>1000</v>
      </c>
      <c r="Y45">
        <v>200</v>
      </c>
      <c r="AF45">
        <v>3700</v>
      </c>
      <c r="AJ45">
        <v>1000</v>
      </c>
      <c r="AK45">
        <v>110</v>
      </c>
      <c r="AP45">
        <v>400</v>
      </c>
      <c r="AR45">
        <v>1000</v>
      </c>
      <c r="AS45">
        <v>166</v>
      </c>
      <c r="AT45">
        <v>580</v>
      </c>
      <c r="AX45" t="s">
        <v>160</v>
      </c>
    </row>
    <row r="46" spans="1:50" x14ac:dyDescent="0.25">
      <c r="A46" t="s">
        <v>4</v>
      </c>
      <c r="B46" t="s">
        <v>10</v>
      </c>
      <c r="C46">
        <f>VLOOKUP(D1_NOVIEMBRE_2025[[#This Row],[SUPER]],DATA_NOVIEMBRE_2025[[SUPERVISOR]:[META]],3,0)</f>
        <v>55000</v>
      </c>
      <c r="D46" s="1">
        <f>D1_NOVIEMBRE_2025[[#This Row],[RECUPERO]]/C46</f>
        <v>0.93278181818181816</v>
      </c>
      <c r="E46" s="1" t="s">
        <v>4</v>
      </c>
      <c r="F46" t="s">
        <v>10</v>
      </c>
      <c r="G46">
        <v>51303</v>
      </c>
      <c r="H46" t="s">
        <v>449</v>
      </c>
      <c r="I46" s="55">
        <v>44706</v>
      </c>
      <c r="J46" t="s">
        <v>501</v>
      </c>
      <c r="L46" s="55"/>
      <c r="M46" s="1">
        <f>DATA_NOVIEMBRE_2025[[#This Row],[RECUPERO]]/DATA_NOVIEMBRE_2025[[#This Row],[META]]</f>
        <v>0.15398181818181819</v>
      </c>
      <c r="N46" s="5">
        <f>6-ROUNDUP(_xlfn.RANK.EQ(DATA_NOVIEMBRE_2025[[#This Row],[AL_AC]],DATA_NOVIEMBRE_2025[AL_AC],0)/(COUNTA(DATA_NOVIEMBRE_2025[AL_AC])/5),0)</f>
        <v>1</v>
      </c>
      <c r="O46" t="s">
        <v>4</v>
      </c>
      <c r="P46">
        <f>SUM(DATA_NOVIEMBRE_2025[[#This Row],[1]:[31]])</f>
        <v>8469</v>
      </c>
      <c r="Q46">
        <v>55000</v>
      </c>
      <c r="R46" t="s">
        <v>37</v>
      </c>
      <c r="Y46">
        <v>2000</v>
      </c>
      <c r="AH46">
        <v>700</v>
      </c>
      <c r="AI46">
        <v>5000</v>
      </c>
      <c r="AN46">
        <v>200</v>
      </c>
      <c r="AT46">
        <v>569</v>
      </c>
      <c r="AX46" t="s">
        <v>159</v>
      </c>
    </row>
    <row r="47" spans="1:50" x14ac:dyDescent="0.25">
      <c r="A47" t="s">
        <v>4</v>
      </c>
      <c r="B47" t="s">
        <v>60</v>
      </c>
      <c r="C47">
        <f>VLOOKUP(D1_NOVIEMBRE_2025[[#This Row],[SUPER]],DATA_NOVIEMBRE_2025[[SUPERVISOR]:[META]],3,0)</f>
        <v>55000</v>
      </c>
      <c r="D47" s="1">
        <f>D1_NOVIEMBRE_2025[[#This Row],[RECUPERO]]/C47</f>
        <v>0.79178181818181814</v>
      </c>
      <c r="E47" s="1" t="s">
        <v>4</v>
      </c>
      <c r="F47" t="s">
        <v>60</v>
      </c>
      <c r="G47">
        <v>43548</v>
      </c>
      <c r="H47" t="s">
        <v>423</v>
      </c>
      <c r="I47" s="55">
        <v>45323</v>
      </c>
      <c r="J47" t="s">
        <v>501</v>
      </c>
      <c r="L47" s="55"/>
      <c r="M47" s="1">
        <f>DATA_NOVIEMBRE_2025[[#This Row],[RECUPERO]]/DATA_NOVIEMBRE_2025[[#This Row],[META]]</f>
        <v>0.90349999999999997</v>
      </c>
      <c r="N47" s="5">
        <f>6-ROUNDUP(_xlfn.RANK.EQ(DATA_NOVIEMBRE_2025[[#This Row],[AL_AC]],DATA_NOVIEMBRE_2025[AL_AC],0)/(COUNTA(DATA_NOVIEMBRE_2025[AL_AC])/5),0)</f>
        <v>3</v>
      </c>
      <c r="O47" t="s">
        <v>5</v>
      </c>
      <c r="P47">
        <f>SUM(DATA_NOVIEMBRE_2025[[#This Row],[1]:[31]])</f>
        <v>12649</v>
      </c>
      <c r="Q47">
        <v>14000</v>
      </c>
      <c r="R47" t="s">
        <v>77</v>
      </c>
      <c r="U47">
        <v>200</v>
      </c>
      <c r="V47">
        <v>500</v>
      </c>
      <c r="W47">
        <v>200</v>
      </c>
      <c r="X47">
        <v>550</v>
      </c>
      <c r="Y47">
        <v>1378</v>
      </c>
      <c r="AD47">
        <v>2500</v>
      </c>
      <c r="AF47">
        <v>200</v>
      </c>
      <c r="AK47">
        <v>1375</v>
      </c>
      <c r="AM47">
        <v>425</v>
      </c>
      <c r="AP47">
        <v>200</v>
      </c>
      <c r="AQ47">
        <v>800</v>
      </c>
      <c r="AS47">
        <v>2500</v>
      </c>
      <c r="AT47">
        <v>1750</v>
      </c>
      <c r="AU47">
        <v>71</v>
      </c>
      <c r="AX47" t="s">
        <v>160</v>
      </c>
    </row>
    <row r="48" spans="1:50" x14ac:dyDescent="0.25">
      <c r="A48" t="s">
        <v>4</v>
      </c>
      <c r="B48" t="s">
        <v>59</v>
      </c>
      <c r="C48">
        <f>VLOOKUP(D1_NOVIEMBRE_2025[[#This Row],[SUPER]],DATA_NOVIEMBRE_2025[[SUPERVISOR]:[META]],3,0)</f>
        <v>55000</v>
      </c>
      <c r="D48" s="1">
        <f>D1_NOVIEMBRE_2025[[#This Row],[RECUPERO]]/C48</f>
        <v>0.70281818181818179</v>
      </c>
      <c r="E48" s="1" t="s">
        <v>4</v>
      </c>
      <c r="F48" t="s">
        <v>59</v>
      </c>
      <c r="G48">
        <v>38655</v>
      </c>
      <c r="H48" t="s">
        <v>430</v>
      </c>
      <c r="I48" s="55">
        <v>45348</v>
      </c>
      <c r="J48" t="s">
        <v>501</v>
      </c>
      <c r="L48" s="55"/>
      <c r="M48" s="1">
        <f>DATA_NOVIEMBRE_2025[[#This Row],[RECUPERO]]/DATA_NOVIEMBRE_2025[[#This Row],[META]]</f>
        <v>1.5856250000000001</v>
      </c>
      <c r="N48" s="5">
        <f>6-ROUNDUP(_xlfn.RANK.EQ(DATA_NOVIEMBRE_2025[[#This Row],[AL_AC]],DATA_NOVIEMBRE_2025[AL_AC],0)/(COUNTA(DATA_NOVIEMBRE_2025[AL_AC])/5),0)</f>
        <v>5</v>
      </c>
      <c r="O48" t="s">
        <v>6</v>
      </c>
      <c r="P48">
        <f>SUM(DATA_NOVIEMBRE_2025[[#This Row],[1]:[31]])</f>
        <v>31712.5</v>
      </c>
      <c r="Q48">
        <v>20000</v>
      </c>
      <c r="R48" t="s">
        <v>35</v>
      </c>
      <c r="V48">
        <v>2200</v>
      </c>
      <c r="Y48">
        <v>7500</v>
      </c>
      <c r="Z48">
        <v>450</v>
      </c>
      <c r="AC48">
        <v>270</v>
      </c>
      <c r="AD48">
        <v>2225</v>
      </c>
      <c r="AE48">
        <v>1915</v>
      </c>
      <c r="AF48">
        <v>200</v>
      </c>
      <c r="AG48">
        <v>800</v>
      </c>
      <c r="AI48">
        <v>3400</v>
      </c>
      <c r="AJ48">
        <v>10000</v>
      </c>
      <c r="AL48">
        <v>340</v>
      </c>
      <c r="AN48">
        <v>700</v>
      </c>
      <c r="AP48">
        <v>187.5</v>
      </c>
      <c r="AQ48">
        <v>200</v>
      </c>
      <c r="AS48">
        <v>1100</v>
      </c>
      <c r="AT48">
        <v>225</v>
      </c>
      <c r="AX48" t="s">
        <v>161</v>
      </c>
    </row>
    <row r="49" spans="1:50" x14ac:dyDescent="0.25">
      <c r="A49" t="s">
        <v>4</v>
      </c>
      <c r="B49" t="s">
        <v>75</v>
      </c>
      <c r="C49">
        <f>VLOOKUP(D1_NOVIEMBRE_2025[[#This Row],[SUPER]],DATA_NOVIEMBRE_2025[[SUPERVISOR]:[META]],3,0)</f>
        <v>55000</v>
      </c>
      <c r="D49" s="1">
        <f>D1_NOVIEMBRE_2025[[#This Row],[RECUPERO]]/C49</f>
        <v>0.6931090909090909</v>
      </c>
      <c r="E49" s="1" t="s">
        <v>4</v>
      </c>
      <c r="F49" t="s">
        <v>75</v>
      </c>
      <c r="G49">
        <v>38121</v>
      </c>
      <c r="H49" t="s">
        <v>428</v>
      </c>
      <c r="I49" s="55">
        <v>44716</v>
      </c>
      <c r="J49" t="s">
        <v>501</v>
      </c>
      <c r="L49" s="55"/>
      <c r="M49" s="1">
        <f>DATA_NOVIEMBRE_2025[[#This Row],[RECUPERO]]/DATA_NOVIEMBRE_2025[[#This Row],[META]]</f>
        <v>2.7742499999999999</v>
      </c>
      <c r="N49" s="5">
        <f>6-ROUNDUP(_xlfn.RANK.EQ(DATA_NOVIEMBRE_2025[[#This Row],[AL_AC]],DATA_NOVIEMBRE_2025[AL_AC],0)/(COUNTA(DATA_NOVIEMBRE_2025[AL_AC])/5),0)</f>
        <v>5</v>
      </c>
      <c r="O49" t="s">
        <v>6</v>
      </c>
      <c r="P49">
        <f>SUM(DATA_NOVIEMBRE_2025[[#This Row],[1]:[31]])</f>
        <v>55485</v>
      </c>
      <c r="Q49">
        <v>20000</v>
      </c>
      <c r="R49" t="s">
        <v>50</v>
      </c>
      <c r="W49">
        <v>10000</v>
      </c>
      <c r="Y49">
        <v>350</v>
      </c>
      <c r="AB49">
        <v>14435</v>
      </c>
      <c r="AC49">
        <v>1350</v>
      </c>
      <c r="AF49">
        <v>1000</v>
      </c>
      <c r="AJ49">
        <v>1500</v>
      </c>
      <c r="AK49">
        <v>150</v>
      </c>
      <c r="AM49">
        <v>2000</v>
      </c>
      <c r="AN49">
        <v>15500</v>
      </c>
      <c r="AT49">
        <v>200</v>
      </c>
      <c r="AU49">
        <v>9000</v>
      </c>
      <c r="AX49" t="s">
        <v>161</v>
      </c>
    </row>
    <row r="50" spans="1:50" x14ac:dyDescent="0.25">
      <c r="A50" t="s">
        <v>4</v>
      </c>
      <c r="B50" t="s">
        <v>80</v>
      </c>
      <c r="C50">
        <f>VLOOKUP(D1_NOVIEMBRE_2025[[#This Row],[SUPER]],DATA_NOVIEMBRE_2025[[SUPERVISOR]:[META]],3,0)</f>
        <v>55000</v>
      </c>
      <c r="D50" s="1">
        <f>D1_NOVIEMBRE_2025[[#This Row],[RECUPERO]]/C50</f>
        <v>0.5117454545454545</v>
      </c>
      <c r="E50" s="1" t="s">
        <v>4</v>
      </c>
      <c r="F50" t="s">
        <v>80</v>
      </c>
      <c r="G50">
        <v>28146</v>
      </c>
      <c r="H50" t="s">
        <v>433</v>
      </c>
      <c r="I50" s="55">
        <v>45285</v>
      </c>
      <c r="J50" t="s">
        <v>501</v>
      </c>
      <c r="L50" s="55"/>
      <c r="M50" s="1">
        <f>DATA_NOVIEMBRE_2025[[#This Row],[RECUPERO]]/DATA_NOVIEMBRE_2025[[#This Row],[META]]</f>
        <v>1.1024</v>
      </c>
      <c r="N50" s="5">
        <f>6-ROUNDUP(_xlfn.RANK.EQ(DATA_NOVIEMBRE_2025[[#This Row],[AL_AC]],DATA_NOVIEMBRE_2025[AL_AC],0)/(COUNTA(DATA_NOVIEMBRE_2025[AL_AC])/5),0)</f>
        <v>4</v>
      </c>
      <c r="O50" t="s">
        <v>3</v>
      </c>
      <c r="P50">
        <f>SUM(DATA_NOVIEMBRE_2025[[#This Row],[1]:[31]])</f>
        <v>60632</v>
      </c>
      <c r="Q50">
        <v>55000</v>
      </c>
      <c r="R50" t="s">
        <v>23</v>
      </c>
      <c r="U50">
        <v>1200</v>
      </c>
      <c r="V50">
        <v>805</v>
      </c>
      <c r="X50">
        <v>4000</v>
      </c>
      <c r="Y50">
        <v>1448</v>
      </c>
      <c r="Z50">
        <v>9500</v>
      </c>
      <c r="AB50">
        <v>500</v>
      </c>
      <c r="AD50">
        <v>2900</v>
      </c>
      <c r="AF50">
        <v>1600</v>
      </c>
      <c r="AG50">
        <v>433</v>
      </c>
      <c r="AI50">
        <v>3341</v>
      </c>
      <c r="AK50">
        <v>1250</v>
      </c>
      <c r="AP50">
        <v>16655</v>
      </c>
      <c r="AQ50">
        <v>900</v>
      </c>
      <c r="AR50">
        <v>7500</v>
      </c>
      <c r="AT50">
        <v>750</v>
      </c>
      <c r="AU50">
        <v>1650</v>
      </c>
      <c r="AV50">
        <v>6200</v>
      </c>
      <c r="AX50" t="s">
        <v>159</v>
      </c>
    </row>
    <row r="51" spans="1:50" x14ac:dyDescent="0.25">
      <c r="A51" t="s">
        <v>4</v>
      </c>
      <c r="B51" t="s">
        <v>105</v>
      </c>
      <c r="C51">
        <f>VLOOKUP(D1_NOVIEMBRE_2025[[#This Row],[SUPER]],DATA_NOVIEMBRE_2025[[SUPERVISOR]:[META]],3,0)</f>
        <v>55000</v>
      </c>
      <c r="D51" s="1">
        <f>D1_NOVIEMBRE_2025[[#This Row],[RECUPERO]]/C51</f>
        <v>0.50981818181818184</v>
      </c>
      <c r="E51" s="1" t="s">
        <v>4</v>
      </c>
      <c r="F51" t="s">
        <v>105</v>
      </c>
      <c r="G51">
        <v>28040</v>
      </c>
      <c r="H51" t="s">
        <v>463</v>
      </c>
      <c r="I51" s="55">
        <v>45748</v>
      </c>
      <c r="J51" t="s">
        <v>501</v>
      </c>
      <c r="L51" s="55"/>
      <c r="M51" s="1">
        <f>DATA_NOVIEMBRE_2025[[#This Row],[RECUPERO]]/DATA_NOVIEMBRE_2025[[#This Row],[META]]</f>
        <v>1.357</v>
      </c>
      <c r="N51" s="5">
        <f>6-ROUNDUP(_xlfn.RANK.EQ(DATA_NOVIEMBRE_2025[[#This Row],[AL_AC]],DATA_NOVIEMBRE_2025[AL_AC],0)/(COUNTA(DATA_NOVIEMBRE_2025[AL_AC])/5),0)</f>
        <v>5</v>
      </c>
      <c r="O51" t="s">
        <v>2</v>
      </c>
      <c r="P51">
        <f>SUM(DATA_NOVIEMBRE_2025[[#This Row],[1]:[31]])</f>
        <v>20355</v>
      </c>
      <c r="Q51">
        <v>15000</v>
      </c>
      <c r="R51" t="s">
        <v>68</v>
      </c>
      <c r="X51">
        <v>300</v>
      </c>
      <c r="Y51">
        <v>1000</v>
      </c>
      <c r="AD51">
        <v>1500</v>
      </c>
      <c r="AK51">
        <v>400</v>
      </c>
      <c r="AL51">
        <v>300</v>
      </c>
      <c r="AP51">
        <v>300</v>
      </c>
      <c r="AQ51">
        <v>10690</v>
      </c>
      <c r="AT51">
        <v>5115</v>
      </c>
      <c r="AU51">
        <v>750</v>
      </c>
      <c r="AX51" t="s">
        <v>158</v>
      </c>
    </row>
    <row r="52" spans="1:50" x14ac:dyDescent="0.25">
      <c r="A52" t="s">
        <v>4</v>
      </c>
      <c r="B52" t="s">
        <v>58</v>
      </c>
      <c r="C52">
        <f>VLOOKUP(D1_NOVIEMBRE_2025[[#This Row],[SUPER]],DATA_NOVIEMBRE_2025[[SUPERVISOR]:[META]],3,0)</f>
        <v>55000</v>
      </c>
      <c r="D52" s="1">
        <f>D1_NOVIEMBRE_2025[[#This Row],[RECUPERO]]/C52</f>
        <v>0.47525454545454543</v>
      </c>
      <c r="E52" s="1" t="s">
        <v>4</v>
      </c>
      <c r="F52" t="s">
        <v>58</v>
      </c>
      <c r="G52">
        <v>26139</v>
      </c>
      <c r="H52" t="s">
        <v>441</v>
      </c>
      <c r="I52" s="55">
        <v>43035</v>
      </c>
      <c r="J52" t="s">
        <v>501</v>
      </c>
      <c r="L52" s="55"/>
      <c r="M52" s="1">
        <f>DATA_NOVIEMBRE_2025[[#This Row],[RECUPERO]]/DATA_NOVIEMBRE_2025[[#This Row],[META]]</f>
        <v>1.1293454545454547</v>
      </c>
      <c r="N52" s="5">
        <f>6-ROUNDUP(_xlfn.RANK.EQ(DATA_NOVIEMBRE_2025[[#This Row],[AL_AC]],DATA_NOVIEMBRE_2025[AL_AC],0)/(COUNTA(DATA_NOVIEMBRE_2025[AL_AC])/5),0)</f>
        <v>4</v>
      </c>
      <c r="O52" t="s">
        <v>3</v>
      </c>
      <c r="P52">
        <f>SUM(DATA_NOVIEMBRE_2025[[#This Row],[1]:[31]])</f>
        <v>62114</v>
      </c>
      <c r="Q52">
        <v>55000</v>
      </c>
      <c r="R52" t="s">
        <v>31</v>
      </c>
      <c r="U52">
        <v>30</v>
      </c>
      <c r="V52">
        <v>5800</v>
      </c>
      <c r="W52">
        <v>3000</v>
      </c>
      <c r="X52">
        <v>1200</v>
      </c>
      <c r="Y52">
        <v>1500</v>
      </c>
      <c r="AF52">
        <v>13000</v>
      </c>
      <c r="AJ52">
        <v>2500</v>
      </c>
      <c r="AK52">
        <v>2000</v>
      </c>
      <c r="AM52">
        <v>4500</v>
      </c>
      <c r="AR52">
        <v>10500</v>
      </c>
      <c r="AT52">
        <v>2279</v>
      </c>
      <c r="AU52">
        <v>15805</v>
      </c>
      <c r="AX52" t="s">
        <v>159</v>
      </c>
    </row>
    <row r="53" spans="1:50" x14ac:dyDescent="0.25">
      <c r="A53" t="s">
        <v>4</v>
      </c>
      <c r="B53" t="s">
        <v>93</v>
      </c>
      <c r="C53">
        <f>VLOOKUP(D1_NOVIEMBRE_2025[[#This Row],[SUPER]],DATA_NOVIEMBRE_2025[[SUPERVISOR]:[META]],3,0)</f>
        <v>55000</v>
      </c>
      <c r="D53" s="1">
        <f>D1_NOVIEMBRE_2025[[#This Row],[RECUPERO]]/C53</f>
        <v>0.44977272727272727</v>
      </c>
      <c r="E53" s="1" t="s">
        <v>4</v>
      </c>
      <c r="F53" t="s">
        <v>93</v>
      </c>
      <c r="G53">
        <v>24737.5</v>
      </c>
      <c r="H53" t="s">
        <v>482</v>
      </c>
      <c r="I53" s="55">
        <v>44644</v>
      </c>
      <c r="J53" t="s">
        <v>501</v>
      </c>
      <c r="L53" s="55"/>
      <c r="M53" s="1">
        <f>DATA_NOVIEMBRE_2025[[#This Row],[RECUPERO]]/DATA_NOVIEMBRE_2025[[#This Row],[META]]</f>
        <v>1.669</v>
      </c>
      <c r="N53" s="5">
        <f>6-ROUNDUP(_xlfn.RANK.EQ(DATA_NOVIEMBRE_2025[[#This Row],[AL_AC]],DATA_NOVIEMBRE_2025[AL_AC],0)/(COUNTA(DATA_NOVIEMBRE_2025[AL_AC])/5),0)</f>
        <v>5</v>
      </c>
      <c r="O53" t="s">
        <v>5</v>
      </c>
      <c r="P53">
        <f>SUM(DATA_NOVIEMBRE_2025[[#This Row],[1]:[31]])</f>
        <v>23366</v>
      </c>
      <c r="Q53">
        <v>14000</v>
      </c>
      <c r="R53" t="s">
        <v>29</v>
      </c>
      <c r="W53">
        <v>43</v>
      </c>
      <c r="X53">
        <v>7242</v>
      </c>
      <c r="AB53">
        <v>644</v>
      </c>
      <c r="AC53">
        <v>3700</v>
      </c>
      <c r="AD53">
        <v>2573</v>
      </c>
      <c r="AF53">
        <v>350</v>
      </c>
      <c r="AI53">
        <v>225</v>
      </c>
      <c r="AJ53">
        <v>200</v>
      </c>
      <c r="AK53">
        <v>2734</v>
      </c>
      <c r="AQ53">
        <v>2500</v>
      </c>
      <c r="AS53">
        <v>305</v>
      </c>
      <c r="AT53">
        <v>2650</v>
      </c>
      <c r="AU53">
        <v>200</v>
      </c>
      <c r="AX53" t="s">
        <v>160</v>
      </c>
    </row>
    <row r="54" spans="1:50" x14ac:dyDescent="0.25">
      <c r="A54" t="s">
        <v>4</v>
      </c>
      <c r="B54" t="s">
        <v>40</v>
      </c>
      <c r="C54">
        <f>VLOOKUP(D1_NOVIEMBRE_2025[[#This Row],[SUPER]],DATA_NOVIEMBRE_2025[[SUPERVISOR]:[META]],3,0)</f>
        <v>55000</v>
      </c>
      <c r="D54" s="1">
        <f>D1_NOVIEMBRE_2025[[#This Row],[RECUPERO]]/C54</f>
        <v>0.26076363636363636</v>
      </c>
      <c r="E54" s="1" t="s">
        <v>4</v>
      </c>
      <c r="F54" t="s">
        <v>40</v>
      </c>
      <c r="G54">
        <v>14342</v>
      </c>
      <c r="H54" t="s">
        <v>424</v>
      </c>
      <c r="I54" s="55">
        <v>45429</v>
      </c>
      <c r="J54" t="s">
        <v>501</v>
      </c>
      <c r="L54" s="55"/>
      <c r="M54" s="1">
        <f>DATA_NOVIEMBRE_2025[[#This Row],[RECUPERO]]/DATA_NOVIEMBRE_2025[[#This Row],[META]]</f>
        <v>0.36</v>
      </c>
      <c r="N54" s="5">
        <f>6-ROUNDUP(_xlfn.RANK.EQ(DATA_NOVIEMBRE_2025[[#This Row],[AL_AC]],DATA_NOVIEMBRE_2025[AL_AC],0)/(COUNTA(DATA_NOVIEMBRE_2025[AL_AC])/5),0)</f>
        <v>1</v>
      </c>
      <c r="O54" t="s">
        <v>3</v>
      </c>
      <c r="P54">
        <f>SUM(DATA_NOVIEMBRE_2025[[#This Row],[1]:[31]])</f>
        <v>19800</v>
      </c>
      <c r="Q54">
        <v>55000</v>
      </c>
      <c r="R54" t="s">
        <v>17</v>
      </c>
      <c r="AC54">
        <v>2000</v>
      </c>
      <c r="AL54">
        <v>6000</v>
      </c>
      <c r="AM54">
        <v>320</v>
      </c>
      <c r="AQ54">
        <v>1000</v>
      </c>
      <c r="AR54">
        <v>480</v>
      </c>
      <c r="AT54">
        <v>10000</v>
      </c>
      <c r="AX54" t="s">
        <v>159</v>
      </c>
    </row>
    <row r="55" spans="1:50" x14ac:dyDescent="0.25">
      <c r="A55" t="s">
        <v>4</v>
      </c>
      <c r="B55" t="s">
        <v>37</v>
      </c>
      <c r="C55">
        <f>VLOOKUP(D1_NOVIEMBRE_2025[[#This Row],[SUPER]],DATA_NOVIEMBRE_2025[[SUPERVISOR]:[META]],3,0)</f>
        <v>55000</v>
      </c>
      <c r="D55" s="1">
        <f>D1_NOVIEMBRE_2025[[#This Row],[RECUPERO]]/C55</f>
        <v>0.15398181818181819</v>
      </c>
      <c r="E55" s="1" t="s">
        <v>4</v>
      </c>
      <c r="F55" t="s">
        <v>37</v>
      </c>
      <c r="G55">
        <v>8469</v>
      </c>
      <c r="H55" t="s">
        <v>400</v>
      </c>
      <c r="I55" s="55">
        <v>43132</v>
      </c>
      <c r="J55" t="s">
        <v>501</v>
      </c>
      <c r="L55" s="55"/>
      <c r="M55" s="1">
        <f>DATA_NOVIEMBRE_2025[[#This Row],[RECUPERO]]/DATA_NOVIEMBRE_2025[[#This Row],[META]]</f>
        <v>1.2083999999999999</v>
      </c>
      <c r="N55" s="5">
        <f>6-ROUNDUP(_xlfn.RANK.EQ(DATA_NOVIEMBRE_2025[[#This Row],[AL_AC]],DATA_NOVIEMBRE_2025[AL_AC],0)/(COUNTA(DATA_NOVIEMBRE_2025[AL_AC])/5),0)</f>
        <v>5</v>
      </c>
      <c r="O55" t="s">
        <v>2</v>
      </c>
      <c r="P55">
        <f>SUM(DATA_NOVIEMBRE_2025[[#This Row],[1]:[31]])</f>
        <v>18126</v>
      </c>
      <c r="Q55">
        <v>15000</v>
      </c>
      <c r="R55" t="s">
        <v>38</v>
      </c>
      <c r="V55">
        <v>225.5</v>
      </c>
      <c r="X55">
        <v>200</v>
      </c>
      <c r="AB55">
        <v>800</v>
      </c>
      <c r="AC55">
        <v>6600</v>
      </c>
      <c r="AD55">
        <v>200</v>
      </c>
      <c r="AI55">
        <v>572</v>
      </c>
      <c r="AL55">
        <v>670</v>
      </c>
      <c r="AR55">
        <v>525.5</v>
      </c>
      <c r="AS55">
        <v>292</v>
      </c>
      <c r="AT55">
        <v>8041</v>
      </c>
      <c r="AX55" t="s">
        <v>158</v>
      </c>
    </row>
    <row r="56" spans="1:50" x14ac:dyDescent="0.25">
      <c r="A56" t="s">
        <v>3</v>
      </c>
      <c r="B56" t="s">
        <v>31</v>
      </c>
      <c r="C56">
        <f>VLOOKUP(D1_NOVIEMBRE_2025[[#This Row],[SUPER]],DATA_NOVIEMBRE_2025[[SUPERVISOR]:[META]],3,0)</f>
        <v>55000</v>
      </c>
      <c r="D56" s="1">
        <f>D1_NOVIEMBRE_2025[[#This Row],[RECUPERO]]/C56</f>
        <v>1.1293454545454547</v>
      </c>
      <c r="E56" s="1" t="s">
        <v>3</v>
      </c>
      <c r="F56" t="s">
        <v>31</v>
      </c>
      <c r="G56">
        <v>62114</v>
      </c>
      <c r="H56" t="s">
        <v>403</v>
      </c>
      <c r="I56" s="55">
        <v>45334</v>
      </c>
      <c r="J56" t="s">
        <v>501</v>
      </c>
      <c r="L56" s="55"/>
      <c r="M56" s="1">
        <f>DATA_NOVIEMBRE_2025[[#This Row],[RECUPERO]]/DATA_NOVIEMBRE_2025[[#This Row],[META]]</f>
        <v>0.6931090909090909</v>
      </c>
      <c r="N56" s="5">
        <f>6-ROUNDUP(_xlfn.RANK.EQ(DATA_NOVIEMBRE_2025[[#This Row],[AL_AC]],DATA_NOVIEMBRE_2025[AL_AC],0)/(COUNTA(DATA_NOVIEMBRE_2025[AL_AC])/5),0)</f>
        <v>3</v>
      </c>
      <c r="O56" t="s">
        <v>4</v>
      </c>
      <c r="P56">
        <f>SUM(DATA_NOVIEMBRE_2025[[#This Row],[1]:[31]])</f>
        <v>38121</v>
      </c>
      <c r="Q56">
        <v>55000</v>
      </c>
      <c r="R56" t="s">
        <v>75</v>
      </c>
      <c r="AC56">
        <v>10000</v>
      </c>
      <c r="AE56">
        <v>2100</v>
      </c>
      <c r="AJ56">
        <v>340</v>
      </c>
      <c r="AK56">
        <v>6000</v>
      </c>
      <c r="AN56">
        <v>1500</v>
      </c>
      <c r="AP56">
        <v>2500</v>
      </c>
      <c r="AQ56">
        <v>2000</v>
      </c>
      <c r="AR56">
        <v>3500</v>
      </c>
      <c r="AS56">
        <v>2500</v>
      </c>
      <c r="AT56">
        <v>3181</v>
      </c>
      <c r="AU56">
        <v>4500</v>
      </c>
      <c r="AX56" t="s">
        <v>159</v>
      </c>
    </row>
    <row r="57" spans="1:50" x14ac:dyDescent="0.25">
      <c r="A57" t="s">
        <v>3</v>
      </c>
      <c r="B57" t="s">
        <v>23</v>
      </c>
      <c r="C57">
        <f>VLOOKUP(D1_NOVIEMBRE_2025[[#This Row],[SUPER]],DATA_NOVIEMBRE_2025[[SUPERVISOR]:[META]],3,0)</f>
        <v>55000</v>
      </c>
      <c r="D57" s="1">
        <f>D1_NOVIEMBRE_2025[[#This Row],[RECUPERO]]/C57</f>
        <v>1.1024</v>
      </c>
      <c r="E57" s="1" t="s">
        <v>3</v>
      </c>
      <c r="F57" t="s">
        <v>23</v>
      </c>
      <c r="G57">
        <v>60632</v>
      </c>
      <c r="H57" t="s">
        <v>445</v>
      </c>
      <c r="I57" s="55">
        <v>44111</v>
      </c>
      <c r="J57" t="s">
        <v>501</v>
      </c>
      <c r="L57" s="55"/>
      <c r="M57" s="1">
        <f>DATA_NOVIEMBRE_2025[[#This Row],[RECUPERO]]/DATA_NOVIEMBRE_2025[[#This Row],[META]]</f>
        <v>0.79571428571428571</v>
      </c>
      <c r="N57" s="5">
        <f>6-ROUNDUP(_xlfn.RANK.EQ(DATA_NOVIEMBRE_2025[[#This Row],[AL_AC]],DATA_NOVIEMBRE_2025[AL_AC],0)/(COUNTA(DATA_NOVIEMBRE_2025[AL_AC])/5),0)</f>
        <v>3</v>
      </c>
      <c r="O57" t="s">
        <v>5</v>
      </c>
      <c r="P57">
        <f>SUM(DATA_NOVIEMBRE_2025[[#This Row],[1]:[31]])</f>
        <v>11140</v>
      </c>
      <c r="Q57">
        <v>14000</v>
      </c>
      <c r="R57" t="s">
        <v>55</v>
      </c>
      <c r="V57">
        <v>400</v>
      </c>
      <c r="W57">
        <v>4500</v>
      </c>
      <c r="X57">
        <v>200</v>
      </c>
      <c r="Y57">
        <v>300</v>
      </c>
      <c r="AB57">
        <v>300</v>
      </c>
      <c r="AC57">
        <v>900</v>
      </c>
      <c r="AD57">
        <v>150</v>
      </c>
      <c r="AG57">
        <v>300</v>
      </c>
      <c r="AI57">
        <v>900</v>
      </c>
      <c r="AK57">
        <v>150</v>
      </c>
      <c r="AL57">
        <v>660</v>
      </c>
      <c r="AP57">
        <v>80</v>
      </c>
      <c r="AQ57">
        <v>300</v>
      </c>
      <c r="AR57">
        <v>380</v>
      </c>
      <c r="AS57">
        <v>220</v>
      </c>
      <c r="AT57">
        <v>1400</v>
      </c>
      <c r="AX57" t="s">
        <v>160</v>
      </c>
    </row>
    <row r="58" spans="1:50" x14ac:dyDescent="0.25">
      <c r="A58" t="s">
        <v>3</v>
      </c>
      <c r="B58" t="s">
        <v>69</v>
      </c>
      <c r="C58">
        <f>VLOOKUP(D1_NOVIEMBRE_2025[[#This Row],[SUPER]],DATA_NOVIEMBRE_2025[[SUPERVISOR]:[META]],3,0)</f>
        <v>55000</v>
      </c>
      <c r="D58" s="1">
        <f>D1_NOVIEMBRE_2025[[#This Row],[RECUPERO]]/C58</f>
        <v>0.83343636363636364</v>
      </c>
      <c r="E58" s="1" t="s">
        <v>3</v>
      </c>
      <c r="F58" t="s">
        <v>69</v>
      </c>
      <c r="G58">
        <v>45839</v>
      </c>
      <c r="H58" t="s">
        <v>379</v>
      </c>
      <c r="I58" s="55">
        <v>44461</v>
      </c>
      <c r="J58" t="s">
        <v>501</v>
      </c>
      <c r="L58" s="55"/>
      <c r="M58" s="1">
        <f>DATA_NOVIEMBRE_2025[[#This Row],[RECUPERO]]/DATA_NOVIEMBRE_2025[[#This Row],[META]]</f>
        <v>0.40885714285714286</v>
      </c>
      <c r="N58" s="5">
        <f>6-ROUNDUP(_xlfn.RANK.EQ(DATA_NOVIEMBRE_2025[[#This Row],[AL_AC]],DATA_NOVIEMBRE_2025[AL_AC],0)/(COUNTA(DATA_NOVIEMBRE_2025[AL_AC])/5),0)</f>
        <v>2</v>
      </c>
      <c r="O58" t="s">
        <v>5</v>
      </c>
      <c r="P58">
        <f>SUM(DATA_NOVIEMBRE_2025[[#This Row],[1]:[31]])</f>
        <v>5724</v>
      </c>
      <c r="Q58">
        <v>14000</v>
      </c>
      <c r="R58" t="s">
        <v>36</v>
      </c>
      <c r="V58">
        <v>105</v>
      </c>
      <c r="W58">
        <v>500</v>
      </c>
      <c r="X58">
        <v>500</v>
      </c>
      <c r="AG58">
        <v>125</v>
      </c>
      <c r="AI58">
        <v>105</v>
      </c>
      <c r="AJ58">
        <v>430</v>
      </c>
      <c r="AN58">
        <v>3200</v>
      </c>
      <c r="AQ58">
        <v>559</v>
      </c>
      <c r="AS58">
        <v>200</v>
      </c>
      <c r="AX58" t="s">
        <v>160</v>
      </c>
    </row>
    <row r="59" spans="1:50" x14ac:dyDescent="0.25">
      <c r="A59" t="s">
        <v>3</v>
      </c>
      <c r="B59" t="s">
        <v>32</v>
      </c>
      <c r="C59">
        <f>VLOOKUP(D1_NOVIEMBRE_2025[[#This Row],[SUPER]],DATA_NOVIEMBRE_2025[[SUPERVISOR]:[META]],3,0)</f>
        <v>55000</v>
      </c>
      <c r="D59" s="1">
        <f>D1_NOVIEMBRE_2025[[#This Row],[RECUPERO]]/C59</f>
        <v>0.55054545454545456</v>
      </c>
      <c r="E59" s="1" t="s">
        <v>3</v>
      </c>
      <c r="F59" t="s">
        <v>32</v>
      </c>
      <c r="G59">
        <v>30280</v>
      </c>
      <c r="H59" t="s">
        <v>390</v>
      </c>
      <c r="I59" s="55">
        <v>45530</v>
      </c>
      <c r="J59" t="s">
        <v>501</v>
      </c>
      <c r="L59" s="55"/>
      <c r="M59" s="1">
        <f>DATA_NOVIEMBRE_2025[[#This Row],[RECUPERO]]/DATA_NOVIEMBRE_2025[[#This Row],[META]]</f>
        <v>1.1633</v>
      </c>
      <c r="N59" s="5">
        <f>6-ROUNDUP(_xlfn.RANK.EQ(DATA_NOVIEMBRE_2025[[#This Row],[AL_AC]],DATA_NOVIEMBRE_2025[AL_AC],0)/(COUNTA(DATA_NOVIEMBRE_2025[AL_AC])/5),0)</f>
        <v>4</v>
      </c>
      <c r="O59" t="s">
        <v>6</v>
      </c>
      <c r="P59">
        <f>SUM(DATA_NOVIEMBRE_2025[[#This Row],[1]:[31]])</f>
        <v>23266</v>
      </c>
      <c r="Q59">
        <v>20000</v>
      </c>
      <c r="R59" t="s">
        <v>11</v>
      </c>
      <c r="V59">
        <v>3000</v>
      </c>
      <c r="X59">
        <v>3150</v>
      </c>
      <c r="AE59">
        <v>1013</v>
      </c>
      <c r="AG59">
        <v>83</v>
      </c>
      <c r="AI59">
        <v>3850</v>
      </c>
      <c r="AJ59">
        <v>400</v>
      </c>
      <c r="AM59">
        <v>570</v>
      </c>
      <c r="AP59">
        <v>2100</v>
      </c>
      <c r="AQ59">
        <v>6200</v>
      </c>
      <c r="AR59">
        <v>500</v>
      </c>
      <c r="AS59">
        <v>400</v>
      </c>
      <c r="AT59">
        <v>2000</v>
      </c>
      <c r="AX59" t="s">
        <v>161</v>
      </c>
    </row>
    <row r="60" spans="1:50" x14ac:dyDescent="0.25">
      <c r="A60" t="s">
        <v>3</v>
      </c>
      <c r="B60" t="s">
        <v>13</v>
      </c>
      <c r="C60">
        <f>VLOOKUP(D1_NOVIEMBRE_2025[[#This Row],[SUPER]],DATA_NOVIEMBRE_2025[[SUPERVISOR]:[META]],3,0)</f>
        <v>55000</v>
      </c>
      <c r="D60" s="1">
        <f>D1_NOVIEMBRE_2025[[#This Row],[RECUPERO]]/C60</f>
        <v>0.51090909090909087</v>
      </c>
      <c r="E60" s="1" t="s">
        <v>3</v>
      </c>
      <c r="F60" t="s">
        <v>13</v>
      </c>
      <c r="G60">
        <v>28100</v>
      </c>
      <c r="H60" t="s">
        <v>382</v>
      </c>
      <c r="I60" s="55">
        <v>44811</v>
      </c>
      <c r="J60" t="s">
        <v>501</v>
      </c>
      <c r="L60" s="55"/>
      <c r="M60" s="1">
        <f>DATA_NOVIEMBRE_2025[[#This Row],[RECUPERO]]/DATA_NOVIEMBRE_2025[[#This Row],[META]]</f>
        <v>0.58799999999999997</v>
      </c>
      <c r="N60" s="5">
        <f>6-ROUNDUP(_xlfn.RANK.EQ(DATA_NOVIEMBRE_2025[[#This Row],[AL_AC]],DATA_NOVIEMBRE_2025[AL_AC],0)/(COUNTA(DATA_NOVIEMBRE_2025[AL_AC])/5),0)</f>
        <v>3</v>
      </c>
      <c r="O60" t="s">
        <v>7</v>
      </c>
      <c r="P60">
        <f>SUM(DATA_NOVIEMBRE_2025[[#This Row],[1]:[31]])</f>
        <v>8232</v>
      </c>
      <c r="Q60">
        <v>14000</v>
      </c>
      <c r="R60" t="s">
        <v>74</v>
      </c>
      <c r="X60">
        <v>2500</v>
      </c>
      <c r="AB60">
        <v>300</v>
      </c>
      <c r="AK60">
        <v>500</v>
      </c>
      <c r="AL60">
        <v>506</v>
      </c>
      <c r="AM60">
        <v>1300</v>
      </c>
      <c r="AP60">
        <v>446</v>
      </c>
      <c r="AQ60">
        <v>230</v>
      </c>
      <c r="AR60">
        <v>529</v>
      </c>
      <c r="AS60">
        <v>191</v>
      </c>
      <c r="AT60">
        <v>1730</v>
      </c>
      <c r="AX60" t="s">
        <v>160</v>
      </c>
    </row>
    <row r="61" spans="1:50" x14ac:dyDescent="0.25">
      <c r="A61" t="s">
        <v>3</v>
      </c>
      <c r="B61" t="s">
        <v>22</v>
      </c>
      <c r="C61">
        <f>VLOOKUP(D1_NOVIEMBRE_2025[[#This Row],[SUPER]],DATA_NOVIEMBRE_2025[[SUPERVISOR]:[META]],3,0)</f>
        <v>55000</v>
      </c>
      <c r="D61" s="1">
        <f>D1_NOVIEMBRE_2025[[#This Row],[RECUPERO]]/C61</f>
        <v>0.49916363636363636</v>
      </c>
      <c r="E61" s="1" t="s">
        <v>3</v>
      </c>
      <c r="F61" t="s">
        <v>22</v>
      </c>
      <c r="G61">
        <v>27454</v>
      </c>
      <c r="H61" t="s">
        <v>442</v>
      </c>
      <c r="I61" s="55">
        <v>45299</v>
      </c>
      <c r="J61" t="s">
        <v>501</v>
      </c>
      <c r="L61" s="55"/>
      <c r="M61" s="1">
        <f>DATA_NOVIEMBRE_2025[[#This Row],[RECUPERO]]/DATA_NOVIEMBRE_2025[[#This Row],[META]]</f>
        <v>1.0025714285714287</v>
      </c>
      <c r="N61" s="5">
        <f>6-ROUNDUP(_xlfn.RANK.EQ(DATA_NOVIEMBRE_2025[[#This Row],[AL_AC]],DATA_NOVIEMBRE_2025[AL_AC],0)/(COUNTA(DATA_NOVIEMBRE_2025[AL_AC])/5),0)</f>
        <v>4</v>
      </c>
      <c r="O61" t="s">
        <v>5</v>
      </c>
      <c r="P61">
        <f>SUM(DATA_NOVIEMBRE_2025[[#This Row],[1]:[31]])</f>
        <v>14036</v>
      </c>
      <c r="Q61">
        <v>14000</v>
      </c>
      <c r="R61" t="s">
        <v>79</v>
      </c>
      <c r="U61">
        <v>300</v>
      </c>
      <c r="W61">
        <v>650</v>
      </c>
      <c r="X61">
        <v>150</v>
      </c>
      <c r="Y61">
        <v>200</v>
      </c>
      <c r="AD61">
        <v>800</v>
      </c>
      <c r="AE61">
        <v>830</v>
      </c>
      <c r="AF61">
        <v>5100</v>
      </c>
      <c r="AI61">
        <v>200</v>
      </c>
      <c r="AK61">
        <v>500</v>
      </c>
      <c r="AM61">
        <v>1400</v>
      </c>
      <c r="AP61">
        <v>440</v>
      </c>
      <c r="AQ61">
        <v>416</v>
      </c>
      <c r="AT61">
        <v>3050</v>
      </c>
      <c r="AX61" t="s">
        <v>160</v>
      </c>
    </row>
    <row r="62" spans="1:50" x14ac:dyDescent="0.25">
      <c r="A62" t="s">
        <v>3</v>
      </c>
      <c r="B62" t="s">
        <v>16</v>
      </c>
      <c r="C62">
        <f>VLOOKUP(D1_NOVIEMBRE_2025[[#This Row],[SUPER]],DATA_NOVIEMBRE_2025[[SUPERVISOR]:[META]],3,0)</f>
        <v>55000</v>
      </c>
      <c r="D62" s="1">
        <f>D1_NOVIEMBRE_2025[[#This Row],[RECUPERO]]/C62</f>
        <v>0.40736363636363637</v>
      </c>
      <c r="E62" s="1" t="s">
        <v>3</v>
      </c>
      <c r="F62" t="s">
        <v>16</v>
      </c>
      <c r="G62">
        <v>22405</v>
      </c>
      <c r="H62" t="s">
        <v>388</v>
      </c>
      <c r="I62" s="55">
        <v>45334</v>
      </c>
      <c r="J62" t="s">
        <v>501</v>
      </c>
      <c r="L62" s="55"/>
      <c r="M62" s="1">
        <f>DATA_NOVIEMBRE_2025[[#This Row],[RECUPERO]]/DATA_NOVIEMBRE_2025[[#This Row],[META]]</f>
        <v>0.28127272727272729</v>
      </c>
      <c r="N62" s="5">
        <f>6-ROUNDUP(_xlfn.RANK.EQ(DATA_NOVIEMBRE_2025[[#This Row],[AL_AC]],DATA_NOVIEMBRE_2025[AL_AC],0)/(COUNTA(DATA_NOVIEMBRE_2025[AL_AC])/5),0)</f>
        <v>1</v>
      </c>
      <c r="O62" t="s">
        <v>3</v>
      </c>
      <c r="P62">
        <f>SUM(DATA_NOVIEMBRE_2025[[#This Row],[1]:[31]])</f>
        <v>15470</v>
      </c>
      <c r="Q62">
        <v>55000</v>
      </c>
      <c r="R62" t="s">
        <v>97</v>
      </c>
      <c r="W62">
        <v>115</v>
      </c>
      <c r="Y62">
        <v>100</v>
      </c>
      <c r="AI62">
        <v>8500</v>
      </c>
      <c r="AJ62">
        <v>175</v>
      </c>
      <c r="AL62">
        <v>80</v>
      </c>
      <c r="AM62">
        <v>2200</v>
      </c>
      <c r="AQ62">
        <v>100</v>
      </c>
      <c r="AR62">
        <v>1400</v>
      </c>
      <c r="AT62">
        <v>2800</v>
      </c>
      <c r="AX62" t="s">
        <v>159</v>
      </c>
    </row>
    <row r="63" spans="1:50" x14ac:dyDescent="0.25">
      <c r="A63" t="s">
        <v>3</v>
      </c>
      <c r="B63" t="s">
        <v>17</v>
      </c>
      <c r="C63">
        <f>VLOOKUP(D1_NOVIEMBRE_2025[[#This Row],[SUPER]],DATA_NOVIEMBRE_2025[[SUPERVISOR]:[META]],3,0)</f>
        <v>55000</v>
      </c>
      <c r="D63" s="1">
        <f>D1_NOVIEMBRE_2025[[#This Row],[RECUPERO]]/C63</f>
        <v>0.36</v>
      </c>
      <c r="E63" s="1" t="s">
        <v>3</v>
      </c>
      <c r="F63" t="s">
        <v>17</v>
      </c>
      <c r="G63">
        <v>19800</v>
      </c>
      <c r="H63" t="s">
        <v>385</v>
      </c>
      <c r="I63" s="55">
        <v>44888</v>
      </c>
      <c r="J63" t="s">
        <v>501</v>
      </c>
      <c r="M63" s="1">
        <f>DATA_NOVIEMBRE_2025[[#This Row],[RECUPERO]]/DATA_NOVIEMBRE_2025[[#This Row],[META]]</f>
        <v>0.70281818181818179</v>
      </c>
      <c r="N63" s="5">
        <f>6-ROUNDUP(_xlfn.RANK.EQ(DATA_NOVIEMBRE_2025[[#This Row],[AL_AC]],DATA_NOVIEMBRE_2025[AL_AC],0)/(COUNTA(DATA_NOVIEMBRE_2025[AL_AC])/5),0)</f>
        <v>3</v>
      </c>
      <c r="O63" t="s">
        <v>4</v>
      </c>
      <c r="P63">
        <f>SUM(DATA_NOVIEMBRE_2025[[#This Row],[1]:[31]])</f>
        <v>38655</v>
      </c>
      <c r="Q63">
        <v>55000</v>
      </c>
      <c r="R63" t="s">
        <v>59</v>
      </c>
      <c r="W63">
        <v>2000</v>
      </c>
      <c r="Y63">
        <v>1000</v>
      </c>
      <c r="AC63">
        <v>1200</v>
      </c>
      <c r="AD63">
        <v>1100</v>
      </c>
      <c r="AI63">
        <v>2000</v>
      </c>
      <c r="AJ63">
        <v>1800</v>
      </c>
      <c r="AL63">
        <v>2000</v>
      </c>
      <c r="AM63">
        <v>1000</v>
      </c>
      <c r="AP63">
        <v>475</v>
      </c>
      <c r="AQ63">
        <v>5750</v>
      </c>
      <c r="AS63">
        <v>15900</v>
      </c>
      <c r="AT63">
        <v>3930</v>
      </c>
      <c r="AU63">
        <v>500</v>
      </c>
      <c r="AX63" t="s">
        <v>159</v>
      </c>
    </row>
    <row r="64" spans="1:50" x14ac:dyDescent="0.25">
      <c r="A64" t="s">
        <v>3</v>
      </c>
      <c r="B64" t="s">
        <v>44</v>
      </c>
      <c r="C64">
        <f>VLOOKUP(D1_NOVIEMBRE_2025[[#This Row],[SUPER]],DATA_NOVIEMBRE_2025[[SUPERVISOR]:[META]],3,0)</f>
        <v>55000</v>
      </c>
      <c r="D64" s="1">
        <f>D1_NOVIEMBRE_2025[[#This Row],[RECUPERO]]/C64</f>
        <v>0.36241818181818181</v>
      </c>
      <c r="E64" s="1" t="s">
        <v>3</v>
      </c>
      <c r="F64" t="s">
        <v>44</v>
      </c>
      <c r="G64">
        <v>19933</v>
      </c>
      <c r="H64" t="s">
        <v>467</v>
      </c>
      <c r="I64" s="55">
        <v>45804</v>
      </c>
      <c r="J64" t="s">
        <v>501</v>
      </c>
      <c r="M64" s="1">
        <f>DATA_NOVIEMBRE_2025[[#This Row],[RECUPERO]]/DATA_NOVIEMBRE_2025[[#This Row],[META]]</f>
        <v>0.72399999999999998</v>
      </c>
      <c r="N64" s="5">
        <f>6-ROUNDUP(_xlfn.RANK.EQ(DATA_NOVIEMBRE_2025[[#This Row],[AL_AC]],DATA_NOVIEMBRE_2025[AL_AC],0)/(COUNTA(DATA_NOVIEMBRE_2025[AL_AC])/5),0)</f>
        <v>3</v>
      </c>
      <c r="O64" t="s">
        <v>2</v>
      </c>
      <c r="P64">
        <f>SUM(DATA_NOVIEMBRE_2025[[#This Row],[1]:[31]])</f>
        <v>10860</v>
      </c>
      <c r="Q64">
        <v>15000</v>
      </c>
      <c r="R64" t="s">
        <v>73</v>
      </c>
      <c r="U64">
        <v>260</v>
      </c>
      <c r="W64">
        <v>820</v>
      </c>
      <c r="Y64">
        <v>80</v>
      </c>
      <c r="AB64">
        <v>5000</v>
      </c>
      <c r="AD64">
        <v>300</v>
      </c>
      <c r="AI64">
        <v>250</v>
      </c>
      <c r="AK64">
        <v>400</v>
      </c>
      <c r="AM64">
        <v>480</v>
      </c>
      <c r="AP64">
        <v>600</v>
      </c>
      <c r="AQ64">
        <v>900</v>
      </c>
      <c r="AR64">
        <v>1000</v>
      </c>
      <c r="AT64">
        <v>770</v>
      </c>
      <c r="AX64" t="s">
        <v>158</v>
      </c>
    </row>
    <row r="65" spans="1:50" x14ac:dyDescent="0.25">
      <c r="A65" t="s">
        <v>3</v>
      </c>
      <c r="B65" t="s">
        <v>76</v>
      </c>
      <c r="C65">
        <f>VLOOKUP(D1_NOVIEMBRE_2025[[#This Row],[SUPER]],DATA_NOVIEMBRE_2025[[SUPERVISOR]:[META]],3,0)</f>
        <v>55000</v>
      </c>
      <c r="D65" s="1">
        <f>D1_NOVIEMBRE_2025[[#This Row],[RECUPERO]]/C65</f>
        <v>0.29169090909090911</v>
      </c>
      <c r="E65" s="1" t="s">
        <v>3</v>
      </c>
      <c r="F65" t="s">
        <v>76</v>
      </c>
      <c r="G65">
        <v>16043</v>
      </c>
      <c r="H65" t="s">
        <v>408</v>
      </c>
      <c r="I65" s="55">
        <v>44819</v>
      </c>
      <c r="J65" t="s">
        <v>501</v>
      </c>
      <c r="M65" s="1">
        <f>DATA_NOVIEMBRE_2025[[#This Row],[RECUPERO]]/DATA_NOVIEMBRE_2025[[#This Row],[META]]</f>
        <v>0.24816279069767441</v>
      </c>
      <c r="N65" s="5">
        <f>6-ROUNDUP(_xlfn.RANK.EQ(DATA_NOVIEMBRE_2025[[#This Row],[AL_AC]],DATA_NOVIEMBRE_2025[AL_AC],0)/(COUNTA(DATA_NOVIEMBRE_2025[AL_AC])/5),0)</f>
        <v>1</v>
      </c>
      <c r="O65" t="s">
        <v>6</v>
      </c>
      <c r="P65">
        <f>SUM(DATA_NOVIEMBRE_2025[[#This Row],[1]:[31]])</f>
        <v>10671</v>
      </c>
      <c r="Q65">
        <v>43000</v>
      </c>
      <c r="R65" t="s">
        <v>78</v>
      </c>
      <c r="AB65">
        <v>1000</v>
      </c>
      <c r="AD65">
        <v>700</v>
      </c>
      <c r="AE65">
        <v>1200</v>
      </c>
      <c r="AK65">
        <v>600</v>
      </c>
      <c r="AL65">
        <v>2290</v>
      </c>
      <c r="AQ65">
        <v>1500</v>
      </c>
      <c r="AR65">
        <v>533</v>
      </c>
      <c r="AS65">
        <v>734</v>
      </c>
      <c r="AT65">
        <v>1600</v>
      </c>
      <c r="AU65">
        <v>514</v>
      </c>
      <c r="AX65" t="s">
        <v>161</v>
      </c>
    </row>
    <row r="66" spans="1:50" x14ac:dyDescent="0.25">
      <c r="A66" t="s">
        <v>3</v>
      </c>
      <c r="B66" t="s">
        <v>97</v>
      </c>
      <c r="C66">
        <f>VLOOKUP(D1_NOVIEMBRE_2025[[#This Row],[SUPER]],DATA_NOVIEMBRE_2025[[SUPERVISOR]:[META]],3,0)</f>
        <v>55000</v>
      </c>
      <c r="D66" s="1">
        <f>D1_NOVIEMBRE_2025[[#This Row],[RECUPERO]]/C66</f>
        <v>0.28127272727272729</v>
      </c>
      <c r="E66" s="1" t="s">
        <v>3</v>
      </c>
      <c r="F66" t="s">
        <v>97</v>
      </c>
      <c r="G66">
        <v>15470</v>
      </c>
      <c r="H66" t="s">
        <v>485</v>
      </c>
      <c r="I66" s="55">
        <v>45889</v>
      </c>
      <c r="J66" t="s">
        <v>501</v>
      </c>
      <c r="M66" s="1">
        <f>DATA_NOVIEMBRE_2025[[#This Row],[RECUPERO]]/DATA_NOVIEMBRE_2025[[#This Row],[META]]</f>
        <v>0.53266666666666662</v>
      </c>
      <c r="N66" s="5">
        <f>6-ROUNDUP(_xlfn.RANK.EQ(DATA_NOVIEMBRE_2025[[#This Row],[AL_AC]],DATA_NOVIEMBRE_2025[AL_AC],0)/(COUNTA(DATA_NOVIEMBRE_2025[AL_AC])/5),0)</f>
        <v>2</v>
      </c>
      <c r="O66" t="s">
        <v>2</v>
      </c>
      <c r="P66">
        <f>SUM(DATA_NOVIEMBRE_2025[[#This Row],[1]:[31]])</f>
        <v>7990</v>
      </c>
      <c r="Q66">
        <v>15000</v>
      </c>
      <c r="R66" t="s">
        <v>48</v>
      </c>
      <c r="W66">
        <v>4800</v>
      </c>
      <c r="AB66">
        <v>485</v>
      </c>
      <c r="AC66">
        <v>900</v>
      </c>
      <c r="AE66">
        <v>250</v>
      </c>
      <c r="AT66">
        <v>400</v>
      </c>
      <c r="AU66">
        <v>1155</v>
      </c>
      <c r="AX66" t="s">
        <v>158</v>
      </c>
    </row>
    <row r="67" spans="1:50" x14ac:dyDescent="0.25">
      <c r="M67" s="1">
        <f>DATA_NOVIEMBRE_2025[[#This Row],[RECUPERO]]/DATA_NOVIEMBRE_2025[[#This Row],[META]]</f>
        <v>0.93278181818181816</v>
      </c>
      <c r="N67" s="5">
        <f>6-ROUNDUP(_xlfn.RANK.EQ(DATA_NOVIEMBRE_2025[[#This Row],[AL_AC]],DATA_NOVIEMBRE_2025[AL_AC],0)/(COUNTA(DATA_NOVIEMBRE_2025[AL_AC])/5),0)</f>
        <v>4</v>
      </c>
      <c r="O67" t="s">
        <v>4</v>
      </c>
      <c r="P67">
        <f>SUM(DATA_NOVIEMBRE_2025[[#This Row],[1]:[31]])</f>
        <v>51303</v>
      </c>
      <c r="Q67">
        <v>55000</v>
      </c>
      <c r="R67" t="s">
        <v>10</v>
      </c>
      <c r="W67">
        <v>600</v>
      </c>
      <c r="AB67">
        <v>1400</v>
      </c>
      <c r="AC67">
        <v>2500</v>
      </c>
      <c r="AF67">
        <v>2000</v>
      </c>
      <c r="AI67">
        <v>1800</v>
      </c>
      <c r="AJ67">
        <v>4250</v>
      </c>
      <c r="AL67">
        <v>9500</v>
      </c>
      <c r="AM67">
        <v>5800</v>
      </c>
      <c r="AP67">
        <v>4250</v>
      </c>
      <c r="AT67">
        <v>8403</v>
      </c>
      <c r="AU67">
        <v>10800</v>
      </c>
      <c r="AX67" t="s">
        <v>159</v>
      </c>
    </row>
    <row r="68" spans="1:50" x14ac:dyDescent="0.25">
      <c r="M68" s="1">
        <f>DATA_NOVIEMBRE_2025[[#This Row],[RECUPERO]]/DATA_NOVIEMBRE_2025[[#This Row],[META]]</f>
        <v>0.29169090909090911</v>
      </c>
      <c r="N68" s="5">
        <f>6-ROUNDUP(_xlfn.RANK.EQ(DATA_NOVIEMBRE_2025[[#This Row],[AL_AC]],DATA_NOVIEMBRE_2025[AL_AC],0)/(COUNTA(DATA_NOVIEMBRE_2025[AL_AC])/5),0)</f>
        <v>1</v>
      </c>
      <c r="O68" t="s">
        <v>3</v>
      </c>
      <c r="P68">
        <f>SUM(DATA_NOVIEMBRE_2025[[#This Row],[1]:[31]])</f>
        <v>16043</v>
      </c>
      <c r="Q68">
        <v>55000</v>
      </c>
      <c r="R68" t="s">
        <v>76</v>
      </c>
      <c r="W68">
        <v>5100</v>
      </c>
      <c r="AD68">
        <v>250</v>
      </c>
      <c r="AE68">
        <v>3000</v>
      </c>
      <c r="AJ68">
        <v>500</v>
      </c>
      <c r="AN68">
        <v>780</v>
      </c>
      <c r="AP68">
        <v>1000</v>
      </c>
      <c r="AR68">
        <v>2100</v>
      </c>
      <c r="AT68">
        <v>2163</v>
      </c>
      <c r="AV68">
        <v>1150</v>
      </c>
      <c r="AX68" t="s">
        <v>159</v>
      </c>
    </row>
  </sheetData>
  <phoneticPr fontId="2" type="noConversion"/>
  <pageMargins left="0.7" right="0.7" top="0.75" bottom="0.75" header="0.3" footer="0.3"/>
  <tableParts count="4">
    <tablePart r:id="rId1"/>
    <tablePart r:id="rId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FA76E-1341-4EEC-B8A6-4F17B63DFEF8}">
  <dimension ref="A1:CO62"/>
  <sheetViews>
    <sheetView topLeftCell="B1" zoomScale="70" zoomScaleNormal="70" workbookViewId="0">
      <selection activeCell="N8" sqref="N8"/>
    </sheetView>
  </sheetViews>
  <sheetFormatPr baseColWidth="10" defaultRowHeight="15" x14ac:dyDescent="0.25"/>
  <cols>
    <col min="3" max="3" width="13.5703125" bestFit="1" customWidth="1"/>
    <col min="7" max="7" width="17.85546875" bestFit="1" customWidth="1"/>
    <col min="8" max="8" width="15" style="34" customWidth="1"/>
    <col min="9" max="9" width="27.85546875" bestFit="1" customWidth="1"/>
    <col min="10" max="10" width="14.5703125" bestFit="1" customWidth="1"/>
    <col min="11" max="12" width="6.28515625" customWidth="1"/>
    <col min="14" max="14" width="19.85546875" bestFit="1" customWidth="1"/>
    <col min="15" max="15" width="16.42578125" bestFit="1" customWidth="1"/>
    <col min="18" max="18" width="30.28515625" bestFit="1" customWidth="1"/>
    <col min="19" max="19" width="14" bestFit="1" customWidth="1"/>
    <col min="89" max="89" width="17.7109375" bestFit="1" customWidth="1"/>
  </cols>
  <sheetData>
    <row r="1" spans="1:93" x14ac:dyDescent="0.25">
      <c r="A1" s="34"/>
      <c r="B1" s="34"/>
      <c r="C1" s="35"/>
      <c r="D1" s="35"/>
      <c r="E1" s="35"/>
      <c r="H1"/>
      <c r="L1" s="55"/>
      <c r="N1" s="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s="34" t="s">
        <v>4</v>
      </c>
      <c r="B3" s="34" t="s">
        <v>18</v>
      </c>
      <c r="C3" s="36">
        <f>VLOOKUP(D1_DICIEMBRE_2025[[#This Row],[SUPER]],DATA_DICIEMBRE_2025[[SUPERVISOR]:[META]],3,0)</f>
        <v>55500</v>
      </c>
      <c r="D3" s="35">
        <f>D1_DICIEMBRE_2025[[#This Row],[RECUPERO]]/D1_DICIEMBRE_2025[[#This Row],[META]]</f>
        <v>1.1104144144144144</v>
      </c>
      <c r="E3" s="35" t="s">
        <v>4</v>
      </c>
      <c r="F3" t="s">
        <v>18</v>
      </c>
      <c r="G3" s="3">
        <v>61628</v>
      </c>
      <c r="H3" t="s">
        <v>431</v>
      </c>
      <c r="I3" s="55">
        <v>45133</v>
      </c>
      <c r="J3" s="55" t="s">
        <v>501</v>
      </c>
      <c r="K3" s="55"/>
      <c r="L3" s="55"/>
      <c r="M3" s="33">
        <v>2025</v>
      </c>
      <c r="N3" s="33" t="s">
        <v>176</v>
      </c>
      <c r="O3" s="33">
        <v>20</v>
      </c>
    </row>
    <row r="4" spans="1:93" x14ac:dyDescent="0.25">
      <c r="A4" s="34" t="s">
        <v>7</v>
      </c>
      <c r="B4" s="34" t="s">
        <v>21</v>
      </c>
      <c r="C4" s="36">
        <f>VLOOKUP(D1_DICIEMBRE_2025[[#This Row],[SUPER]],DATA_DICIEMBRE_2025[[SUPERVISOR]:[META]],3,0)</f>
        <v>21000</v>
      </c>
      <c r="D4" s="35">
        <f>D1_DICIEMBRE_2025[[#This Row],[RECUPERO]]/D1_DICIEMBRE_2025[[#This Row],[META]]</f>
        <v>1.588095238095238</v>
      </c>
      <c r="E4" s="35" t="s">
        <v>7</v>
      </c>
      <c r="F4" t="s">
        <v>21</v>
      </c>
      <c r="G4" s="3">
        <v>33350</v>
      </c>
      <c r="H4" t="s">
        <v>409</v>
      </c>
      <c r="I4" s="55">
        <v>44301</v>
      </c>
      <c r="J4" s="55" t="s">
        <v>501</v>
      </c>
      <c r="K4" s="55"/>
      <c r="L4" s="55"/>
      <c r="N4" s="5"/>
    </row>
    <row r="5" spans="1:93" x14ac:dyDescent="0.25">
      <c r="A5" s="34" t="s">
        <v>7</v>
      </c>
      <c r="B5" s="34" t="s">
        <v>58</v>
      </c>
      <c r="C5" s="36">
        <f>VLOOKUP(D1_DICIEMBRE_2025[[#This Row],[SUPER]],DATA_DICIEMBRE_2025[[SUPERVISOR]:[META]],3,0)</f>
        <v>21000</v>
      </c>
      <c r="D5" s="35">
        <f>D1_DICIEMBRE_2025[[#This Row],[RECUPERO]]/D1_DICIEMBRE_2025[[#This Row],[META]]</f>
        <v>2.9866666666666668</v>
      </c>
      <c r="E5" s="35" t="s">
        <v>7</v>
      </c>
      <c r="F5" t="s">
        <v>58</v>
      </c>
      <c r="G5" s="3">
        <v>62720</v>
      </c>
      <c r="H5" t="s">
        <v>441</v>
      </c>
      <c r="I5" s="55">
        <v>43035</v>
      </c>
      <c r="J5" s="55" t="s">
        <v>501</v>
      </c>
      <c r="K5" s="55"/>
      <c r="L5" s="55"/>
      <c r="N5" s="5"/>
      <c r="BB5" s="45"/>
    </row>
    <row r="6" spans="1:93" x14ac:dyDescent="0.25">
      <c r="A6" s="34" t="s">
        <v>4</v>
      </c>
      <c r="B6" s="34" t="s">
        <v>60</v>
      </c>
      <c r="C6" s="36">
        <f>VLOOKUP(D1_DICIEMBRE_2025[[#This Row],[SUPER]],DATA_DICIEMBRE_2025[[SUPERVISOR]:[META]],3,0)</f>
        <v>55500</v>
      </c>
      <c r="D6" s="35">
        <f>D1_DICIEMBRE_2025[[#This Row],[RECUPERO]]/D1_DICIEMBRE_2025[[#This Row],[META]]</f>
        <v>1.2935315315315314</v>
      </c>
      <c r="E6" s="35" t="s">
        <v>4</v>
      </c>
      <c r="F6" t="s">
        <v>60</v>
      </c>
      <c r="G6" s="3">
        <v>71791</v>
      </c>
      <c r="H6" t="s">
        <v>423</v>
      </c>
      <c r="I6" s="55">
        <v>45323</v>
      </c>
      <c r="J6" s="55" t="s">
        <v>501</v>
      </c>
      <c r="K6" s="55"/>
      <c r="L6" s="55"/>
      <c r="N6" s="5"/>
    </row>
    <row r="7" spans="1:93" x14ac:dyDescent="0.25">
      <c r="A7" s="34" t="s">
        <v>2</v>
      </c>
      <c r="B7" s="34" t="s">
        <v>15</v>
      </c>
      <c r="C7" s="36">
        <f>VLOOKUP(D1_DICIEMBRE_2025[[#This Row],[SUPER]],DATA_DICIEMBRE_2025[[SUPERVISOR]:[META]],3,0)</f>
        <v>35500</v>
      </c>
      <c r="D7" s="35">
        <f>D1_DICIEMBRE_2025[[#This Row],[RECUPERO]]/D1_DICIEMBRE_2025[[#This Row],[META]]</f>
        <v>1.2428732394366198</v>
      </c>
      <c r="E7" s="35" t="s">
        <v>2</v>
      </c>
      <c r="F7" t="s">
        <v>15</v>
      </c>
      <c r="G7" s="3">
        <v>44122</v>
      </c>
      <c r="H7" t="s">
        <v>410</v>
      </c>
      <c r="I7" s="55">
        <v>44735</v>
      </c>
      <c r="J7" s="55" t="s">
        <v>501</v>
      </c>
      <c r="K7" s="55"/>
      <c r="L7" s="55"/>
      <c r="M7" s="1"/>
      <c r="N7" s="5"/>
      <c r="CK7" t="s">
        <v>626</v>
      </c>
      <c r="CL7" t="s">
        <v>146</v>
      </c>
      <c r="CM7" t="s">
        <v>148</v>
      </c>
      <c r="CN7" t="s">
        <v>149</v>
      </c>
      <c r="CO7" t="s">
        <v>176</v>
      </c>
    </row>
    <row r="8" spans="1:93" x14ac:dyDescent="0.25">
      <c r="A8" s="34" t="s">
        <v>7</v>
      </c>
      <c r="B8" s="34" t="s">
        <v>174</v>
      </c>
      <c r="C8" s="36">
        <f>VLOOKUP(D1_DICIEMBRE_2025[[#This Row],[SUPER]],DATA_DICIEMBRE_2025[[SUPERVISOR]:[META]],3,0)</f>
        <v>21000</v>
      </c>
      <c r="D8" s="35">
        <f>D1_DICIEMBRE_2025[[#This Row],[RECUPERO]]/D1_DICIEMBRE_2025[[#This Row],[META]]</f>
        <v>0.92719047619047623</v>
      </c>
      <c r="E8" s="35" t="s">
        <v>7</v>
      </c>
      <c r="F8" t="s">
        <v>174</v>
      </c>
      <c r="G8" s="3">
        <v>19471</v>
      </c>
      <c r="H8" t="s">
        <v>492</v>
      </c>
      <c r="I8" s="55">
        <v>45995</v>
      </c>
      <c r="J8" s="55" t="s">
        <v>501</v>
      </c>
      <c r="K8" s="55"/>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row>
    <row r="9" spans="1:93" x14ac:dyDescent="0.25">
      <c r="A9" s="34" t="s">
        <v>6</v>
      </c>
      <c r="B9" s="34" t="s">
        <v>19</v>
      </c>
      <c r="C9" s="36">
        <f>VLOOKUP(D1_DICIEMBRE_2025[[#This Row],[SUPER]],DATA_DICIEMBRE_2025[[SUPERVISOR]:[META]],3,0)</f>
        <v>29000</v>
      </c>
      <c r="D9" s="35">
        <f>D1_DICIEMBRE_2025[[#This Row],[RECUPERO]]/D1_DICIEMBRE_2025[[#This Row],[META]]</f>
        <v>3.3010344827586207</v>
      </c>
      <c r="E9" s="35" t="s">
        <v>6</v>
      </c>
      <c r="F9" t="s">
        <v>19</v>
      </c>
      <c r="G9" s="3">
        <v>95730</v>
      </c>
      <c r="H9" t="s">
        <v>399</v>
      </c>
      <c r="I9" s="55">
        <v>44673</v>
      </c>
      <c r="J9" s="55" t="s">
        <v>501</v>
      </c>
      <c r="K9" s="55"/>
      <c r="L9" s="55"/>
      <c r="M9">
        <f>DATA_DICIEMBRE_2025[[#This Row],[RECUPERO]]/DATA_DICIEMBRE_2025[[#This Row],[META]]</f>
        <v>1.1104144144144144</v>
      </c>
      <c r="N9" s="5">
        <f>6-ROUNDUP(_xlfn.RANK.EQ(DATA_DICIEMBRE_2025[[#This Row],[AL_AC]],DATA_DICIEMBRE_2025[AL_AC],0)/(COUNTA(DATA_DICIEMBRE_2025[AL_AC])/5),0)</f>
        <v>2</v>
      </c>
      <c r="O9" t="s">
        <v>4</v>
      </c>
      <c r="P9">
        <f>SUM(DATA_DICIEMBRE_2025[[#This Row],[1]:[31]])</f>
        <v>61628</v>
      </c>
      <c r="Q9">
        <v>55500</v>
      </c>
      <c r="R9" t="s">
        <v>18</v>
      </c>
      <c r="S9">
        <v>2350</v>
      </c>
      <c r="T9">
        <v>350</v>
      </c>
      <c r="U9">
        <v>8650</v>
      </c>
      <c r="W9">
        <v>3000</v>
      </c>
      <c r="Y9">
        <v>3150</v>
      </c>
      <c r="AD9">
        <v>18300</v>
      </c>
      <c r="AG9">
        <v>3800</v>
      </c>
      <c r="AH9">
        <v>1228</v>
      </c>
      <c r="AI9">
        <v>800</v>
      </c>
      <c r="AJ9">
        <v>8250</v>
      </c>
      <c r="AK9">
        <v>6000</v>
      </c>
      <c r="AO9">
        <v>5000</v>
      </c>
      <c r="AV9">
        <v>750</v>
      </c>
      <c r="AX9" t="s">
        <v>159</v>
      </c>
      <c r="AZ9" s="11">
        <v>319493</v>
      </c>
      <c r="BA9" s="11">
        <f>MAX(DITE_DICIEMBRE_2025[[#This Row],[1]:[31]])</f>
        <v>510279.6</v>
      </c>
      <c r="BB9" s="17">
        <f>DITE_DICIEMBRE_2025[[#This Row],[RECUPERO SUPERVISOR]]/AZ9</f>
        <v>1.597154241250982</v>
      </c>
      <c r="BC9" s="11" t="s">
        <v>2</v>
      </c>
      <c r="BD9" s="46">
        <v>8753</v>
      </c>
      <c r="BE9" s="46">
        <v>17265</v>
      </c>
      <c r="BF9" s="46">
        <v>26511.82</v>
      </c>
      <c r="BG9" s="46">
        <v>37002.82</v>
      </c>
      <c r="BH9" s="46">
        <v>54737.1</v>
      </c>
      <c r="BI9" s="46">
        <v>54737.1</v>
      </c>
      <c r="BJ9" s="46">
        <v>54737.1</v>
      </c>
      <c r="BK9" s="46">
        <v>54987.1</v>
      </c>
      <c r="BL9" s="46">
        <v>54987.1</v>
      </c>
      <c r="BM9" s="46">
        <v>59147.1</v>
      </c>
      <c r="BN9" s="46">
        <v>75251.100000000006</v>
      </c>
      <c r="BO9" s="46">
        <v>106731.1</v>
      </c>
      <c r="BP9" s="46">
        <v>124331.1</v>
      </c>
      <c r="BQ9" s="46">
        <v>124331.1</v>
      </c>
      <c r="BR9" s="46">
        <v>176198.1</v>
      </c>
      <c r="BS9" s="46">
        <v>214616.6</v>
      </c>
      <c r="BT9" s="46">
        <v>234466.6</v>
      </c>
      <c r="BU9" s="46">
        <v>270376.59999999998</v>
      </c>
      <c r="BV9" s="46">
        <v>303897.59999999998</v>
      </c>
      <c r="BW9" s="46">
        <v>304247.59999999998</v>
      </c>
      <c r="BX9" s="46">
        <v>304247.59999999998</v>
      </c>
      <c r="BY9" s="46">
        <v>363519.6</v>
      </c>
      <c r="BZ9" s="46">
        <v>400276.6</v>
      </c>
      <c r="CA9" s="46">
        <v>424788.6</v>
      </c>
      <c r="CB9" s="46">
        <v>424788.6</v>
      </c>
      <c r="CC9" s="46">
        <v>431163.6</v>
      </c>
      <c r="CD9" s="46">
        <v>431663.6</v>
      </c>
      <c r="CE9" s="46">
        <v>431663.6</v>
      </c>
      <c r="CF9" s="46">
        <v>451448.6</v>
      </c>
      <c r="CG9" s="46">
        <v>473504.6</v>
      </c>
      <c r="CH9" s="46">
        <v>510279.6</v>
      </c>
      <c r="CI9" s="10" t="s">
        <v>204</v>
      </c>
      <c r="CK9" t="s">
        <v>2</v>
      </c>
      <c r="CL9" t="s">
        <v>2</v>
      </c>
      <c r="CM9" t="s">
        <v>125</v>
      </c>
      <c r="CN9" t="s">
        <v>2</v>
      </c>
      <c r="CO9" t="s">
        <v>2</v>
      </c>
    </row>
    <row r="10" spans="1:93" x14ac:dyDescent="0.25">
      <c r="A10" s="34" t="s">
        <v>7</v>
      </c>
      <c r="B10" s="34" t="s">
        <v>41</v>
      </c>
      <c r="C10" s="36">
        <f>VLOOKUP(D1_DICIEMBRE_2025[[#This Row],[SUPER]],DATA_DICIEMBRE_2025[[SUPERVISOR]:[META]],3,0)</f>
        <v>21000</v>
      </c>
      <c r="D10" s="35">
        <f>D1_DICIEMBRE_2025[[#This Row],[RECUPERO]]/D1_DICIEMBRE_2025[[#This Row],[META]]</f>
        <v>1.5370952380952381</v>
      </c>
      <c r="E10" s="35" t="s">
        <v>7</v>
      </c>
      <c r="F10" t="s">
        <v>41</v>
      </c>
      <c r="G10" s="3">
        <v>32279</v>
      </c>
      <c r="H10" t="s">
        <v>387</v>
      </c>
      <c r="I10" s="55">
        <v>45304</v>
      </c>
      <c r="J10" s="55" t="s">
        <v>501</v>
      </c>
      <c r="K10" s="55"/>
      <c r="L10" s="55"/>
      <c r="M10">
        <f>DATA_DICIEMBRE_2025[[#This Row],[RECUPERO]]/DATA_DICIEMBRE_2025[[#This Row],[META]]</f>
        <v>1.588095238095238</v>
      </c>
      <c r="N10" s="5">
        <f>6-ROUNDUP(_xlfn.RANK.EQ(DATA_DICIEMBRE_2025[[#This Row],[AL_AC]],DATA_DICIEMBRE_2025[AL_AC],0)/(COUNTA(DATA_DICIEMBRE_2025[AL_AC])/5),0)</f>
        <v>4</v>
      </c>
      <c r="O10" t="s">
        <v>7</v>
      </c>
      <c r="P10">
        <f>SUM(DATA_DICIEMBRE_2025[[#This Row],[1]:[31]])</f>
        <v>33350</v>
      </c>
      <c r="Q10">
        <v>21000</v>
      </c>
      <c r="R10" t="s">
        <v>21</v>
      </c>
      <c r="T10">
        <v>630</v>
      </c>
      <c r="W10">
        <v>500</v>
      </c>
      <c r="X10">
        <v>2000</v>
      </c>
      <c r="AC10">
        <v>600</v>
      </c>
      <c r="AD10">
        <v>3000</v>
      </c>
      <c r="AI10">
        <v>1000</v>
      </c>
      <c r="AJ10">
        <v>3100</v>
      </c>
      <c r="AN10">
        <v>5000</v>
      </c>
      <c r="AO10">
        <v>7500</v>
      </c>
      <c r="AP10">
        <v>220</v>
      </c>
      <c r="AR10">
        <v>3000</v>
      </c>
      <c r="AU10">
        <v>1800</v>
      </c>
      <c r="AV10">
        <v>5000</v>
      </c>
      <c r="AX10" t="s">
        <v>175</v>
      </c>
      <c r="AZ10" s="11">
        <v>262676</v>
      </c>
      <c r="BA10" s="11">
        <f>MAX(DITE_DICIEMBRE_2025[[#This Row],[1]:[31]])</f>
        <v>469752</v>
      </c>
      <c r="BB10" s="17">
        <f>DITE_DICIEMBRE_2025[[#This Row],[RECUPERO SUPERVISOR]]/AZ10</f>
        <v>1.7883323942804064</v>
      </c>
      <c r="BC10" s="11" t="s">
        <v>6</v>
      </c>
      <c r="BD10" s="46">
        <v>11237.5</v>
      </c>
      <c r="BE10" s="46">
        <v>15037.5</v>
      </c>
      <c r="BF10" s="46">
        <v>23537.5</v>
      </c>
      <c r="BG10" s="46">
        <v>36212.5</v>
      </c>
      <c r="BH10" s="46">
        <v>54626</v>
      </c>
      <c r="BI10" s="46">
        <v>54626</v>
      </c>
      <c r="BJ10" s="46">
        <v>55056</v>
      </c>
      <c r="BK10" s="46">
        <v>55056</v>
      </c>
      <c r="BL10" s="46">
        <v>55056</v>
      </c>
      <c r="BM10" s="46">
        <v>62291</v>
      </c>
      <c r="BN10" s="46">
        <v>84338</v>
      </c>
      <c r="BO10" s="46">
        <v>108768</v>
      </c>
      <c r="BP10" s="46">
        <v>108768</v>
      </c>
      <c r="BQ10" s="46">
        <v>108768</v>
      </c>
      <c r="BR10" s="46">
        <v>168932.5</v>
      </c>
      <c r="BS10" s="46">
        <v>191104.5</v>
      </c>
      <c r="BT10" s="46">
        <v>225869.5</v>
      </c>
      <c r="BU10" s="46">
        <v>242951.5</v>
      </c>
      <c r="BV10" s="46">
        <v>271002</v>
      </c>
      <c r="BW10" s="46">
        <v>271402</v>
      </c>
      <c r="BX10" s="46">
        <v>271402</v>
      </c>
      <c r="BY10" s="46">
        <v>298837</v>
      </c>
      <c r="BZ10" s="46">
        <v>322434</v>
      </c>
      <c r="CA10" s="46">
        <v>322734</v>
      </c>
      <c r="CB10" s="46">
        <v>326325</v>
      </c>
      <c r="CC10" s="46">
        <v>361045</v>
      </c>
      <c r="CD10" s="46">
        <v>361045</v>
      </c>
      <c r="CE10" s="46">
        <v>361302</v>
      </c>
      <c r="CF10" s="46">
        <v>403422</v>
      </c>
      <c r="CG10" s="46">
        <v>424032</v>
      </c>
      <c r="CH10" s="46">
        <v>469752</v>
      </c>
      <c r="CI10" s="11" t="s">
        <v>203</v>
      </c>
      <c r="CK10" t="s">
        <v>6</v>
      </c>
      <c r="CL10" t="s">
        <v>6</v>
      </c>
      <c r="CM10" t="s">
        <v>6</v>
      </c>
      <c r="CN10" t="s">
        <v>6</v>
      </c>
      <c r="CO10" t="s">
        <v>6</v>
      </c>
    </row>
    <row r="11" spans="1:93" x14ac:dyDescent="0.25">
      <c r="A11" s="34" t="s">
        <v>4</v>
      </c>
      <c r="B11" s="34" t="s">
        <v>61</v>
      </c>
      <c r="C11" s="36">
        <f>VLOOKUP(D1_DICIEMBRE_2025[[#This Row],[SUPER]],DATA_DICIEMBRE_2025[[SUPERVISOR]:[META]],3,0)</f>
        <v>55500</v>
      </c>
      <c r="D11" s="35">
        <f>D1_DICIEMBRE_2025[[#This Row],[RECUPERO]]/D1_DICIEMBRE_2025[[#This Row],[META]]</f>
        <v>1.1292942342342343</v>
      </c>
      <c r="E11" s="35" t="s">
        <v>4</v>
      </c>
      <c r="F11" t="s">
        <v>61</v>
      </c>
      <c r="G11" s="3">
        <v>62675.83</v>
      </c>
      <c r="H11" t="s">
        <v>411</v>
      </c>
      <c r="I11" s="55">
        <v>44909</v>
      </c>
      <c r="J11" s="55" t="s">
        <v>501</v>
      </c>
      <c r="K11" s="55"/>
      <c r="L11" s="55"/>
      <c r="M11">
        <f>DATA_DICIEMBRE_2025[[#This Row],[RECUPERO]]/DATA_DICIEMBRE_2025[[#This Row],[META]]</f>
        <v>2.9866666666666668</v>
      </c>
      <c r="N11" s="5">
        <f>6-ROUNDUP(_xlfn.RANK.EQ(DATA_DICIEMBRE_2025[[#This Row],[AL_AC]],DATA_DICIEMBRE_2025[AL_AC],0)/(COUNTA(DATA_DICIEMBRE_2025[AL_AC])/5),0)</f>
        <v>5</v>
      </c>
      <c r="O11" t="s">
        <v>7</v>
      </c>
      <c r="P11">
        <f>SUM(DATA_DICIEMBRE_2025[[#This Row],[1]:[31]])</f>
        <v>62720</v>
      </c>
      <c r="Q11">
        <v>21000</v>
      </c>
      <c r="R11" t="s">
        <v>58</v>
      </c>
      <c r="S11">
        <v>1575</v>
      </c>
      <c r="T11">
        <v>1575</v>
      </c>
      <c r="U11">
        <v>400</v>
      </c>
      <c r="V11">
        <v>800</v>
      </c>
      <c r="Y11">
        <v>400</v>
      </c>
      <c r="AG11">
        <v>3600</v>
      </c>
      <c r="AH11">
        <v>1730</v>
      </c>
      <c r="AI11">
        <v>10390</v>
      </c>
      <c r="AJ11">
        <v>4000</v>
      </c>
      <c r="AK11">
        <v>12150</v>
      </c>
      <c r="AN11">
        <v>3500</v>
      </c>
      <c r="AO11">
        <v>1000</v>
      </c>
      <c r="AR11">
        <v>7600</v>
      </c>
      <c r="AU11">
        <v>14000</v>
      </c>
      <c r="AX11" t="s">
        <v>175</v>
      </c>
      <c r="AZ11" s="11">
        <v>269196</v>
      </c>
      <c r="BA11" s="11">
        <f>MAX(DITE_DICIEMBRE_2025[[#This Row],[1]:[31]])</f>
        <v>426427.91000000003</v>
      </c>
      <c r="BB11" s="17">
        <f>DITE_DICIEMBRE_2025[[#This Row],[RECUPERO SUPERVISOR]]/AZ11</f>
        <v>1.5840796668598347</v>
      </c>
      <c r="BC11" s="11" t="s">
        <v>7</v>
      </c>
      <c r="BD11" s="46">
        <v>4685</v>
      </c>
      <c r="BE11" s="46">
        <v>13163</v>
      </c>
      <c r="BF11" s="46">
        <v>14975</v>
      </c>
      <c r="BG11" s="46">
        <v>24689</v>
      </c>
      <c r="BH11" s="46">
        <v>37412</v>
      </c>
      <c r="BI11" s="46">
        <v>39412</v>
      </c>
      <c r="BJ11" s="46">
        <v>39812</v>
      </c>
      <c r="BK11" s="46">
        <v>40012</v>
      </c>
      <c r="BL11" s="46">
        <v>40219</v>
      </c>
      <c r="BM11" s="46">
        <v>58969</v>
      </c>
      <c r="BN11" s="46">
        <v>78794</v>
      </c>
      <c r="BO11" s="46">
        <v>115244</v>
      </c>
      <c r="BP11" s="46">
        <v>123044</v>
      </c>
      <c r="BQ11" s="46">
        <v>123332</v>
      </c>
      <c r="BR11" s="46">
        <v>149414</v>
      </c>
      <c r="BS11" s="46">
        <v>157779</v>
      </c>
      <c r="BT11" s="46">
        <v>171889</v>
      </c>
      <c r="BU11" s="46">
        <v>191229</v>
      </c>
      <c r="BV11" s="46">
        <v>214729</v>
      </c>
      <c r="BW11" s="46">
        <v>218039</v>
      </c>
      <c r="BX11" s="46">
        <v>218039</v>
      </c>
      <c r="BY11" s="46">
        <v>256321</v>
      </c>
      <c r="BZ11" s="46">
        <v>283206</v>
      </c>
      <c r="CA11" s="46">
        <v>288756</v>
      </c>
      <c r="CB11" s="46">
        <v>288756</v>
      </c>
      <c r="CC11" s="46">
        <v>315725</v>
      </c>
      <c r="CD11" s="46">
        <v>316280</v>
      </c>
      <c r="CE11" s="46">
        <v>317080</v>
      </c>
      <c r="CF11" s="46">
        <v>358875.91000000003</v>
      </c>
      <c r="CG11" s="46">
        <v>391293.91000000003</v>
      </c>
      <c r="CH11" s="46">
        <v>426427.91000000003</v>
      </c>
      <c r="CI11" s="10" t="s">
        <v>175</v>
      </c>
      <c r="CK11" t="s">
        <v>7</v>
      </c>
      <c r="CL11" t="s">
        <v>5</v>
      </c>
      <c r="CM11" t="s">
        <v>5</v>
      </c>
      <c r="CN11" t="s">
        <v>5</v>
      </c>
      <c r="CO11" t="s">
        <v>7</v>
      </c>
    </row>
    <row r="12" spans="1:93" x14ac:dyDescent="0.25">
      <c r="A12" s="34" t="s">
        <v>6</v>
      </c>
      <c r="B12" s="34" t="s">
        <v>80</v>
      </c>
      <c r="C12" s="36">
        <f>VLOOKUP(D1_DICIEMBRE_2025[[#This Row],[SUPER]],DATA_DICIEMBRE_2025[[SUPERVISOR]:[META]],3,0)</f>
        <v>29000</v>
      </c>
      <c r="D12" s="35">
        <f>D1_DICIEMBRE_2025[[#This Row],[RECUPERO]]/D1_DICIEMBRE_2025[[#This Row],[META]]</f>
        <v>1.5548620689655173</v>
      </c>
      <c r="E12" s="35" t="s">
        <v>6</v>
      </c>
      <c r="F12" t="s">
        <v>80</v>
      </c>
      <c r="G12" s="3">
        <v>45091</v>
      </c>
      <c r="H12" t="s">
        <v>433</v>
      </c>
      <c r="I12" s="55">
        <v>45285</v>
      </c>
      <c r="J12" s="55" t="s">
        <v>501</v>
      </c>
      <c r="K12" s="55"/>
      <c r="L12" s="55"/>
      <c r="M12">
        <f>DATA_DICIEMBRE_2025[[#This Row],[RECUPERO]]/DATA_DICIEMBRE_2025[[#This Row],[META]]</f>
        <v>1.2935315315315314</v>
      </c>
      <c r="N12" s="5">
        <f>6-ROUNDUP(_xlfn.RANK.EQ(DATA_DICIEMBRE_2025[[#This Row],[AL_AC]],DATA_DICIEMBRE_2025[AL_AC],0)/(COUNTA(DATA_DICIEMBRE_2025[AL_AC])/5),0)</f>
        <v>3</v>
      </c>
      <c r="O12" t="s">
        <v>4</v>
      </c>
      <c r="P12">
        <f>SUM(DATA_DICIEMBRE_2025[[#This Row],[1]:[31]])</f>
        <v>71791</v>
      </c>
      <c r="Q12">
        <v>55500</v>
      </c>
      <c r="R12" t="s">
        <v>60</v>
      </c>
      <c r="S12">
        <v>340</v>
      </c>
      <c r="T12">
        <v>330</v>
      </c>
      <c r="V12">
        <v>392</v>
      </c>
      <c r="W12">
        <v>600</v>
      </c>
      <c r="AB12">
        <v>1500</v>
      </c>
      <c r="AC12">
        <v>3000</v>
      </c>
      <c r="AG12">
        <v>4000</v>
      </c>
      <c r="AJ12">
        <v>600</v>
      </c>
      <c r="AK12">
        <v>1462</v>
      </c>
      <c r="AN12">
        <v>20000</v>
      </c>
      <c r="AO12">
        <v>1000</v>
      </c>
      <c r="AP12">
        <v>1500</v>
      </c>
      <c r="AR12">
        <v>15000</v>
      </c>
      <c r="AU12">
        <v>10150</v>
      </c>
      <c r="AV12">
        <v>6000</v>
      </c>
      <c r="AW12">
        <v>5917</v>
      </c>
      <c r="AX12" t="s">
        <v>159</v>
      </c>
      <c r="AZ12" s="11">
        <v>555813</v>
      </c>
      <c r="BA12" s="11">
        <f>MAX(DITE_DICIEMBRE_2025[[#This Row],[1]:[31]])</f>
        <v>611048.15</v>
      </c>
      <c r="BB12" s="17">
        <f>DITE_DICIEMBRE_2025[[#This Row],[RECUPERO SUPERVISOR]]/AZ12</f>
        <v>1.0993772185969022</v>
      </c>
      <c r="BC12" s="11" t="s">
        <v>4</v>
      </c>
      <c r="BD12" s="46">
        <v>4790</v>
      </c>
      <c r="BE12" s="46">
        <v>6170</v>
      </c>
      <c r="BF12" s="46">
        <v>19950</v>
      </c>
      <c r="BG12" s="46">
        <v>32842</v>
      </c>
      <c r="BH12" s="46">
        <v>48330.83</v>
      </c>
      <c r="BI12" s="46">
        <v>48330.83</v>
      </c>
      <c r="BJ12" s="46">
        <v>51480.83</v>
      </c>
      <c r="BK12" s="46">
        <v>51480.83</v>
      </c>
      <c r="BL12" s="46">
        <v>51480.83</v>
      </c>
      <c r="BM12" s="46">
        <v>70742.83</v>
      </c>
      <c r="BN12" s="46">
        <v>86292.83</v>
      </c>
      <c r="BO12" s="46">
        <v>142392.83000000002</v>
      </c>
      <c r="BP12" s="46">
        <v>144392.83000000002</v>
      </c>
      <c r="BQ12" s="46">
        <v>144392.83000000002</v>
      </c>
      <c r="BR12" s="46">
        <v>203492.83000000002</v>
      </c>
      <c r="BS12" s="46">
        <v>233520.83000000002</v>
      </c>
      <c r="BT12" s="46">
        <v>259970.83000000002</v>
      </c>
      <c r="BU12" s="46">
        <v>306260.83</v>
      </c>
      <c r="BV12" s="46">
        <v>323114.41000000003</v>
      </c>
      <c r="BW12" s="46">
        <v>327114.41000000003</v>
      </c>
      <c r="BX12" s="46">
        <v>327114.41000000003</v>
      </c>
      <c r="BY12" s="46">
        <v>382225.41000000003</v>
      </c>
      <c r="BZ12" s="46">
        <v>415065.41000000003</v>
      </c>
      <c r="CA12" s="46">
        <v>427565.41000000003</v>
      </c>
      <c r="CB12" s="46">
        <v>427565.41000000003</v>
      </c>
      <c r="CC12" s="46">
        <v>480790.41000000003</v>
      </c>
      <c r="CD12" s="46">
        <v>483990.41000000003</v>
      </c>
      <c r="CE12" s="46">
        <v>483990.41000000003</v>
      </c>
      <c r="CF12" s="46">
        <v>524989.41</v>
      </c>
      <c r="CG12" s="46">
        <v>563701.15</v>
      </c>
      <c r="CH12" s="46">
        <v>611048.15</v>
      </c>
      <c r="CI12" s="11" t="s">
        <v>159</v>
      </c>
      <c r="CK12" t="s">
        <v>4</v>
      </c>
      <c r="CL12" t="s">
        <v>4</v>
      </c>
      <c r="CM12" t="s">
        <v>4</v>
      </c>
      <c r="CN12" t="s">
        <v>4</v>
      </c>
      <c r="CO12" t="s">
        <v>4</v>
      </c>
    </row>
    <row r="13" spans="1:93" x14ac:dyDescent="0.25">
      <c r="A13" s="34" t="s">
        <v>7</v>
      </c>
      <c r="B13" s="34" t="s">
        <v>40</v>
      </c>
      <c r="C13" s="36">
        <f>VLOOKUP(D1_DICIEMBRE_2025[[#This Row],[SUPER]],DATA_DICIEMBRE_2025[[SUPERVISOR]:[META]],3,0)</f>
        <v>21000</v>
      </c>
      <c r="D13" s="35">
        <f>D1_DICIEMBRE_2025[[#This Row],[RECUPERO]]/D1_DICIEMBRE_2025[[#This Row],[META]]</f>
        <v>1.1331904761904761</v>
      </c>
      <c r="E13" s="35" t="s">
        <v>7</v>
      </c>
      <c r="F13" t="s">
        <v>40</v>
      </c>
      <c r="G13" s="3">
        <v>23797</v>
      </c>
      <c r="H13" t="s">
        <v>424</v>
      </c>
      <c r="I13" s="55">
        <v>45429</v>
      </c>
      <c r="J13" s="55" t="s">
        <v>501</v>
      </c>
      <c r="K13" s="55"/>
      <c r="L13" s="55"/>
      <c r="M13">
        <f>DATA_DICIEMBRE_2025[[#This Row],[RECUPERO]]/DATA_DICIEMBRE_2025[[#This Row],[META]]</f>
        <v>1.2428732394366198</v>
      </c>
      <c r="N13" s="5">
        <f>6-ROUNDUP(_xlfn.RANK.EQ(DATA_DICIEMBRE_2025[[#This Row],[AL_AC]],DATA_DICIEMBRE_2025[AL_AC],0)/(COUNTA(DATA_DICIEMBRE_2025[AL_AC])/5),0)</f>
        <v>3</v>
      </c>
      <c r="O13" t="s">
        <v>2</v>
      </c>
      <c r="P13">
        <f>SUM(DATA_DICIEMBRE_2025[[#This Row],[1]:[31]])</f>
        <v>44122</v>
      </c>
      <c r="Q13">
        <v>35500</v>
      </c>
      <c r="R13" t="s">
        <v>15</v>
      </c>
      <c r="S13" s="45">
        <v>3000</v>
      </c>
      <c r="T13">
        <v>621</v>
      </c>
      <c r="U13">
        <v>5000</v>
      </c>
      <c r="AB13">
        <v>301</v>
      </c>
      <c r="AE13">
        <v>5600</v>
      </c>
      <c r="AG13">
        <v>8400</v>
      </c>
      <c r="AI13">
        <v>200</v>
      </c>
      <c r="AJ13">
        <v>5000</v>
      </c>
      <c r="AO13">
        <v>2000</v>
      </c>
      <c r="AP13">
        <v>8000</v>
      </c>
      <c r="AR13">
        <v>2000</v>
      </c>
      <c r="AU13">
        <v>4000</v>
      </c>
      <c r="AX13" t="s">
        <v>204</v>
      </c>
      <c r="AZ13" s="11">
        <v>555813</v>
      </c>
      <c r="BA13" s="11">
        <f>MAX(DITE_DICIEMBRE_2025[[#This Row],[1]:[31]])</f>
        <v>619075.53</v>
      </c>
      <c r="BB13" s="17">
        <f>DITE_DICIEMBRE_2025[[#This Row],[RECUPERO SUPERVISOR]]/AZ13</f>
        <v>1.1138198099000924</v>
      </c>
      <c r="BC13" s="11" t="s">
        <v>3</v>
      </c>
      <c r="BD13" s="46">
        <v>12650</v>
      </c>
      <c r="BE13" s="46">
        <v>30014</v>
      </c>
      <c r="BF13" s="46">
        <v>33959</v>
      </c>
      <c r="BG13" s="46">
        <v>53337</v>
      </c>
      <c r="BH13" s="46">
        <v>70437</v>
      </c>
      <c r="BI13" s="46">
        <v>70437</v>
      </c>
      <c r="BJ13" s="46">
        <v>75437</v>
      </c>
      <c r="BK13" s="46">
        <v>75687</v>
      </c>
      <c r="BL13" s="46">
        <v>76267</v>
      </c>
      <c r="BM13" s="46">
        <v>118512</v>
      </c>
      <c r="BN13" s="46">
        <v>181857</v>
      </c>
      <c r="BO13" s="46">
        <v>200429</v>
      </c>
      <c r="BP13" s="46">
        <v>214429</v>
      </c>
      <c r="BQ13" s="46">
        <v>214429</v>
      </c>
      <c r="BR13" s="46">
        <v>252165</v>
      </c>
      <c r="BS13" s="46">
        <v>262325</v>
      </c>
      <c r="BT13" s="46">
        <v>287925</v>
      </c>
      <c r="BU13" s="46">
        <v>320690</v>
      </c>
      <c r="BV13" s="46">
        <v>384231</v>
      </c>
      <c r="BW13" s="46">
        <v>385031</v>
      </c>
      <c r="BX13" s="46">
        <v>385031</v>
      </c>
      <c r="BY13" s="46">
        <v>416451</v>
      </c>
      <c r="BZ13" s="46">
        <v>438933</v>
      </c>
      <c r="CA13" s="46">
        <v>452363</v>
      </c>
      <c r="CB13" s="46">
        <v>453513</v>
      </c>
      <c r="CC13" s="46">
        <v>471103</v>
      </c>
      <c r="CD13" s="46">
        <v>474278</v>
      </c>
      <c r="CE13" s="46">
        <v>474278</v>
      </c>
      <c r="CF13" s="46">
        <v>505983.03</v>
      </c>
      <c r="CG13" s="46">
        <v>550982.03</v>
      </c>
      <c r="CH13" s="46">
        <v>619075.53</v>
      </c>
      <c r="CI13" s="10" t="s">
        <v>159</v>
      </c>
      <c r="CK13" t="s">
        <v>3</v>
      </c>
      <c r="CL13" t="s">
        <v>125</v>
      </c>
      <c r="CM13" t="s">
        <v>3</v>
      </c>
      <c r="CN13" t="s">
        <v>3</v>
      </c>
      <c r="CO13" t="s">
        <v>3</v>
      </c>
    </row>
    <row r="14" spans="1:93" x14ac:dyDescent="0.25">
      <c r="A14" s="34" t="s">
        <v>6</v>
      </c>
      <c r="B14" s="34" t="s">
        <v>81</v>
      </c>
      <c r="C14" s="36">
        <f>VLOOKUP(D1_DICIEMBRE_2025[[#This Row],[SUPER]],DATA_DICIEMBRE_2025[[SUPERVISOR]:[META]],3,0)</f>
        <v>29000</v>
      </c>
      <c r="D14" s="35">
        <f>D1_DICIEMBRE_2025[[#This Row],[RECUPERO]]/D1_DICIEMBRE_2025[[#This Row],[META]]</f>
        <v>1.2545517241379309</v>
      </c>
      <c r="E14" s="35" t="s">
        <v>6</v>
      </c>
      <c r="F14" t="s">
        <v>81</v>
      </c>
      <c r="G14" s="3">
        <v>36382</v>
      </c>
      <c r="H14" t="s">
        <v>425</v>
      </c>
      <c r="I14" s="55">
        <v>45506</v>
      </c>
      <c r="J14" s="55" t="s">
        <v>501</v>
      </c>
      <c r="K14" s="55"/>
      <c r="L14" s="55"/>
      <c r="M14">
        <f>DATA_DICIEMBRE_2025[[#This Row],[RECUPERO]]/DATA_DICIEMBRE_2025[[#This Row],[META]]</f>
        <v>0.92719047619047623</v>
      </c>
      <c r="N14" s="5">
        <f>6-ROUNDUP(_xlfn.RANK.EQ(DATA_DICIEMBRE_2025[[#This Row],[AL_AC]],DATA_DICIEMBRE_2025[AL_AC],0)/(COUNTA(DATA_DICIEMBRE_2025[AL_AC])/5),0)</f>
        <v>1</v>
      </c>
      <c r="O14" t="s">
        <v>7</v>
      </c>
      <c r="P14">
        <f>SUM(DATA_DICIEMBRE_2025[[#This Row],[1]:[31]])</f>
        <v>19471</v>
      </c>
      <c r="Q14">
        <v>21000</v>
      </c>
      <c r="R14" t="s">
        <v>174</v>
      </c>
      <c r="T14">
        <v>300</v>
      </c>
      <c r="U14">
        <v>200</v>
      </c>
      <c r="W14">
        <v>4900</v>
      </c>
      <c r="AB14">
        <v>2500</v>
      </c>
      <c r="AG14">
        <v>1700</v>
      </c>
      <c r="AI14">
        <v>279</v>
      </c>
      <c r="AK14">
        <v>850</v>
      </c>
      <c r="AN14">
        <v>1000</v>
      </c>
      <c r="AO14">
        <v>2056</v>
      </c>
      <c r="AR14">
        <v>1779</v>
      </c>
      <c r="AV14">
        <v>377</v>
      </c>
      <c r="AW14">
        <v>3530</v>
      </c>
      <c r="AX14" t="s">
        <v>175</v>
      </c>
    </row>
    <row r="15" spans="1:93" x14ac:dyDescent="0.25">
      <c r="A15" s="34" t="s">
        <v>4</v>
      </c>
      <c r="B15" s="34" t="s">
        <v>72</v>
      </c>
      <c r="C15" s="36">
        <f>VLOOKUP(D1_DICIEMBRE_2025[[#This Row],[SUPER]],DATA_DICIEMBRE_2025[[SUPERVISOR]:[META]],3,0)</f>
        <v>55500</v>
      </c>
      <c r="D15" s="35">
        <f>D1_DICIEMBRE_2025[[#This Row],[RECUPERO]]/D1_DICIEMBRE_2025[[#This Row],[META]]</f>
        <v>0.80151351351351352</v>
      </c>
      <c r="E15" s="35" t="s">
        <v>4</v>
      </c>
      <c r="F15" t="s">
        <v>72</v>
      </c>
      <c r="G15" s="3">
        <v>44484</v>
      </c>
      <c r="H15" t="s">
        <v>450</v>
      </c>
      <c r="I15" s="55">
        <v>45084</v>
      </c>
      <c r="J15" s="55" t="s">
        <v>501</v>
      </c>
      <c r="K15" s="55"/>
      <c r="L15" s="55"/>
      <c r="M15">
        <f>DATA_DICIEMBRE_2025[[#This Row],[RECUPERO]]/DATA_DICIEMBRE_2025[[#This Row],[META]]</f>
        <v>3.3010344827586207</v>
      </c>
      <c r="N15" s="5">
        <f>6-ROUNDUP(_xlfn.RANK.EQ(DATA_DICIEMBRE_2025[[#This Row],[AL_AC]],DATA_DICIEMBRE_2025[AL_AC],0)/(COUNTA(DATA_DICIEMBRE_2025[AL_AC])/5),0)</f>
        <v>5</v>
      </c>
      <c r="O15" t="s">
        <v>6</v>
      </c>
      <c r="P15">
        <f>SUM(DATA_DICIEMBRE_2025[[#This Row],[1]:[31]])</f>
        <v>95730</v>
      </c>
      <c r="Q15">
        <v>29000</v>
      </c>
      <c r="R15" t="s">
        <v>19</v>
      </c>
      <c r="T15">
        <v>250</v>
      </c>
      <c r="U15">
        <v>3500</v>
      </c>
      <c r="V15">
        <v>6300</v>
      </c>
      <c r="AB15">
        <v>450</v>
      </c>
      <c r="AC15">
        <v>10600</v>
      </c>
      <c r="AD15">
        <v>4380</v>
      </c>
      <c r="AI15">
        <v>12500</v>
      </c>
      <c r="AK15">
        <v>5500</v>
      </c>
      <c r="AL15">
        <v>400</v>
      </c>
      <c r="AN15">
        <v>10000</v>
      </c>
      <c r="AO15">
        <v>11500</v>
      </c>
      <c r="AU15">
        <v>12800</v>
      </c>
      <c r="AV15">
        <v>8050</v>
      </c>
      <c r="AW15">
        <v>9500</v>
      </c>
      <c r="AX15" t="s">
        <v>203</v>
      </c>
    </row>
    <row r="16" spans="1:93" x14ac:dyDescent="0.25">
      <c r="A16" s="34" t="s">
        <v>3</v>
      </c>
      <c r="B16" s="34" t="s">
        <v>22</v>
      </c>
      <c r="C16" s="36">
        <f>VLOOKUP(D1_DICIEMBRE_2025[[#This Row],[SUPER]],DATA_DICIEMBRE_2025[[SUPERVISOR]:[META]],3,0)</f>
        <v>55500</v>
      </c>
      <c r="D16" s="35">
        <f>D1_DICIEMBRE_2025[[#This Row],[RECUPERO]]/D1_DICIEMBRE_2025[[#This Row],[META]]</f>
        <v>0.93945945945945941</v>
      </c>
      <c r="E16" s="35" t="s">
        <v>3</v>
      </c>
      <c r="F16" t="s">
        <v>22</v>
      </c>
      <c r="G16" s="3">
        <v>52140</v>
      </c>
      <c r="H16" t="s">
        <v>442</v>
      </c>
      <c r="I16" s="55">
        <v>45299</v>
      </c>
      <c r="J16" s="55" t="s">
        <v>501</v>
      </c>
      <c r="K16" s="55"/>
      <c r="L16" s="55"/>
      <c r="M16">
        <f>DATA_DICIEMBRE_2025[[#This Row],[RECUPERO]]/DATA_DICIEMBRE_2025[[#This Row],[META]]</f>
        <v>1.5370952380952381</v>
      </c>
      <c r="N16" s="5">
        <f>6-ROUNDUP(_xlfn.RANK.EQ(DATA_DICIEMBRE_2025[[#This Row],[AL_AC]],DATA_DICIEMBRE_2025[AL_AC],0)/(COUNTA(DATA_DICIEMBRE_2025[AL_AC])/5),0)</f>
        <v>4</v>
      </c>
      <c r="O16" t="s">
        <v>7</v>
      </c>
      <c r="P16">
        <f>SUM(DATA_DICIEMBRE_2025[[#This Row],[1]:[31]])</f>
        <v>32279</v>
      </c>
      <c r="Q16">
        <v>21000</v>
      </c>
      <c r="R16" t="s">
        <v>41</v>
      </c>
      <c r="W16">
        <v>186</v>
      </c>
      <c r="AC16">
        <v>775</v>
      </c>
      <c r="AD16">
        <v>13000</v>
      </c>
      <c r="AF16">
        <v>288</v>
      </c>
      <c r="AG16">
        <v>1850</v>
      </c>
      <c r="AK16">
        <v>3330</v>
      </c>
      <c r="AN16">
        <v>5100</v>
      </c>
      <c r="AR16">
        <v>5000</v>
      </c>
      <c r="AV16">
        <v>2150</v>
      </c>
      <c r="AW16">
        <v>600</v>
      </c>
      <c r="AX16" t="s">
        <v>175</v>
      </c>
      <c r="CG16" s="45"/>
    </row>
    <row r="17" spans="1:86" x14ac:dyDescent="0.25">
      <c r="A17" s="34" t="s">
        <v>3</v>
      </c>
      <c r="B17" s="34" t="s">
        <v>24</v>
      </c>
      <c r="C17" s="36">
        <f>VLOOKUP(D1_DICIEMBRE_2025[[#This Row],[SUPER]],DATA_DICIEMBRE_2025[[SUPERVISOR]:[META]],3,0)</f>
        <v>55500</v>
      </c>
      <c r="D17" s="35">
        <f>D1_DICIEMBRE_2025[[#This Row],[RECUPERO]]/D1_DICIEMBRE_2025[[#This Row],[META]]</f>
        <v>1.3207207207207208</v>
      </c>
      <c r="E17" s="35" t="s">
        <v>3</v>
      </c>
      <c r="F17" t="s">
        <v>24</v>
      </c>
      <c r="G17" s="3">
        <v>73300</v>
      </c>
      <c r="H17" t="s">
        <v>434</v>
      </c>
      <c r="I17" s="55">
        <v>45334</v>
      </c>
      <c r="J17" s="55" t="s">
        <v>501</v>
      </c>
      <c r="K17" s="55"/>
      <c r="L17" s="55"/>
      <c r="M17">
        <f>DATA_DICIEMBRE_2025[[#This Row],[RECUPERO]]/DATA_DICIEMBRE_2025[[#This Row],[META]]</f>
        <v>1.1292942342342343</v>
      </c>
      <c r="N17" s="5">
        <f>6-ROUNDUP(_xlfn.RANK.EQ(DATA_DICIEMBRE_2025[[#This Row],[AL_AC]],DATA_DICIEMBRE_2025[AL_AC],0)/(COUNTA(DATA_DICIEMBRE_2025[AL_AC])/5),0)</f>
        <v>2</v>
      </c>
      <c r="O17" t="s">
        <v>4</v>
      </c>
      <c r="P17">
        <f>SUM(DATA_DICIEMBRE_2025[[#This Row],[1]:[31]])</f>
        <v>62675.83</v>
      </c>
      <c r="Q17">
        <v>55500</v>
      </c>
      <c r="R17" t="s">
        <v>61</v>
      </c>
      <c r="S17">
        <v>400</v>
      </c>
      <c r="W17">
        <v>256.83</v>
      </c>
      <c r="AB17">
        <v>7000</v>
      </c>
      <c r="AG17">
        <v>600</v>
      </c>
      <c r="AH17">
        <v>1300</v>
      </c>
      <c r="AI17">
        <v>16600</v>
      </c>
      <c r="AN17">
        <v>5219</v>
      </c>
      <c r="AO17">
        <v>6000</v>
      </c>
      <c r="AP17">
        <v>1800</v>
      </c>
      <c r="AU17">
        <v>6500</v>
      </c>
      <c r="AV17">
        <v>7000</v>
      </c>
      <c r="AW17">
        <v>10000</v>
      </c>
      <c r="AX17" t="s">
        <v>159</v>
      </c>
      <c r="CA17" s="45"/>
      <c r="CF17" s="45"/>
      <c r="CG17" s="45"/>
      <c r="CH17" s="45"/>
    </row>
    <row r="18" spans="1:86" x14ac:dyDescent="0.25">
      <c r="A18" s="34" t="s">
        <v>7</v>
      </c>
      <c r="B18" s="34" t="s">
        <v>12</v>
      </c>
      <c r="C18" s="36">
        <f>VLOOKUP(D1_DICIEMBRE_2025[[#This Row],[SUPER]],DATA_DICIEMBRE_2025[[SUPERVISOR]:[META]],3,0)</f>
        <v>21000</v>
      </c>
      <c r="D18" s="35">
        <f>D1_DICIEMBRE_2025[[#This Row],[RECUPERO]]/D1_DICIEMBRE_2025[[#This Row],[META]]</f>
        <v>1.31</v>
      </c>
      <c r="E18" s="35" t="s">
        <v>7</v>
      </c>
      <c r="F18" t="s">
        <v>12</v>
      </c>
      <c r="G18" s="3">
        <v>27510</v>
      </c>
      <c r="H18" t="s">
        <v>389</v>
      </c>
      <c r="I18" s="55">
        <v>44870</v>
      </c>
      <c r="J18" s="55" t="s">
        <v>501</v>
      </c>
      <c r="K18" s="55"/>
      <c r="L18" s="55"/>
      <c r="M18">
        <f>DATA_DICIEMBRE_2025[[#This Row],[RECUPERO]]/DATA_DICIEMBRE_2025[[#This Row],[META]]</f>
        <v>1.5548620689655173</v>
      </c>
      <c r="N18" s="5">
        <f>6-ROUNDUP(_xlfn.RANK.EQ(DATA_DICIEMBRE_2025[[#This Row],[AL_AC]],DATA_DICIEMBRE_2025[AL_AC],0)/(COUNTA(DATA_DICIEMBRE_2025[AL_AC])/5),0)</f>
        <v>4</v>
      </c>
      <c r="O18" t="s">
        <v>6</v>
      </c>
      <c r="P18">
        <f>SUM(DATA_DICIEMBRE_2025[[#This Row],[1]:[31]])</f>
        <v>45091</v>
      </c>
      <c r="Q18">
        <v>29000</v>
      </c>
      <c r="R18" t="s">
        <v>80</v>
      </c>
      <c r="T18">
        <v>150</v>
      </c>
      <c r="W18">
        <v>5070</v>
      </c>
      <c r="AG18">
        <v>13350</v>
      </c>
      <c r="AH18">
        <v>4500</v>
      </c>
      <c r="AJ18">
        <v>2300</v>
      </c>
      <c r="AN18">
        <v>13350</v>
      </c>
      <c r="AO18">
        <v>331</v>
      </c>
      <c r="AR18">
        <v>5000</v>
      </c>
      <c r="AU18">
        <v>1040</v>
      </c>
      <c r="AX18" t="s">
        <v>203</v>
      </c>
      <c r="BD18" s="45"/>
      <c r="CA18" s="45"/>
      <c r="CB18" s="45"/>
      <c r="CF18" s="45"/>
      <c r="CG18" s="47"/>
      <c r="CH18" s="45"/>
    </row>
    <row r="19" spans="1:86" x14ac:dyDescent="0.25">
      <c r="A19" s="34" t="s">
        <v>7</v>
      </c>
      <c r="B19" s="34" t="s">
        <v>51</v>
      </c>
      <c r="C19" s="36">
        <f>VLOOKUP(D1_DICIEMBRE_2025[[#This Row],[SUPER]],DATA_DICIEMBRE_2025[[SUPERVISOR]:[META]],3,0)</f>
        <v>21000</v>
      </c>
      <c r="D19" s="35">
        <f>D1_DICIEMBRE_2025[[#This Row],[RECUPERO]]/D1_DICIEMBRE_2025[[#This Row],[META]]</f>
        <v>1.0704761904761906</v>
      </c>
      <c r="E19" s="35" t="s">
        <v>7</v>
      </c>
      <c r="F19" t="s">
        <v>51</v>
      </c>
      <c r="G19" s="3">
        <v>22480</v>
      </c>
      <c r="H19" t="s">
        <v>413</v>
      </c>
      <c r="I19" s="55">
        <v>45674</v>
      </c>
      <c r="J19" s="55" t="s">
        <v>501</v>
      </c>
      <c r="K19" s="55"/>
      <c r="L19" s="55"/>
      <c r="M19">
        <f>DATA_DICIEMBRE_2025[[#This Row],[RECUPERO]]/DATA_DICIEMBRE_2025[[#This Row],[META]]</f>
        <v>1.1331904761904761</v>
      </c>
      <c r="N19" s="5">
        <f>6-ROUNDUP(_xlfn.RANK.EQ(DATA_DICIEMBRE_2025[[#This Row],[AL_AC]],DATA_DICIEMBRE_2025[AL_AC],0)/(COUNTA(DATA_DICIEMBRE_2025[AL_AC])/5),0)</f>
        <v>2</v>
      </c>
      <c r="O19" t="s">
        <v>7</v>
      </c>
      <c r="P19">
        <f>SUM(DATA_DICIEMBRE_2025[[#This Row],[1]:[31]])</f>
        <v>23797</v>
      </c>
      <c r="Q19">
        <v>21000</v>
      </c>
      <c r="R19" t="s">
        <v>40</v>
      </c>
      <c r="S19">
        <v>1000</v>
      </c>
      <c r="T19">
        <v>100</v>
      </c>
      <c r="U19" s="45">
        <v>1060</v>
      </c>
      <c r="W19">
        <v>1000</v>
      </c>
      <c r="AG19">
        <v>4000</v>
      </c>
      <c r="AL19">
        <v>600</v>
      </c>
      <c r="AN19">
        <v>7500</v>
      </c>
      <c r="AS19">
        <v>355</v>
      </c>
      <c r="AU19">
        <v>250</v>
      </c>
      <c r="AV19">
        <v>700</v>
      </c>
      <c r="AW19">
        <v>7232</v>
      </c>
      <c r="AX19" t="s">
        <v>175</v>
      </c>
      <c r="BD19" s="45"/>
      <c r="CA19" s="45"/>
      <c r="CB19" s="45"/>
      <c r="CF19" s="47"/>
      <c r="CG19" s="47"/>
      <c r="CH19" s="47"/>
    </row>
    <row r="20" spans="1:86" x14ac:dyDescent="0.25">
      <c r="A20" s="34" t="s">
        <v>3</v>
      </c>
      <c r="B20" s="34" t="s">
        <v>13</v>
      </c>
      <c r="C20" s="36">
        <f>VLOOKUP(D1_DICIEMBRE_2025[[#This Row],[SUPER]],DATA_DICIEMBRE_2025[[SUPERVISOR]:[META]],3,0)</f>
        <v>55500</v>
      </c>
      <c r="D20" s="35">
        <f>D1_DICIEMBRE_2025[[#This Row],[RECUPERO]]/D1_DICIEMBRE_2025[[#This Row],[META]]</f>
        <v>1.2782432432432433</v>
      </c>
      <c r="E20" s="35" t="s">
        <v>3</v>
      </c>
      <c r="F20" t="s">
        <v>13</v>
      </c>
      <c r="G20" s="3">
        <v>70942.5</v>
      </c>
      <c r="H20" t="s">
        <v>382</v>
      </c>
      <c r="I20" s="55">
        <v>44811</v>
      </c>
      <c r="J20" s="55" t="s">
        <v>501</v>
      </c>
      <c r="K20" s="55"/>
      <c r="L20" s="55"/>
      <c r="M20">
        <f>DATA_DICIEMBRE_2025[[#This Row],[RECUPERO]]/DATA_DICIEMBRE_2025[[#This Row],[META]]</f>
        <v>1.2545517241379309</v>
      </c>
      <c r="N20" s="5">
        <f>6-ROUNDUP(_xlfn.RANK.EQ(DATA_DICIEMBRE_2025[[#This Row],[AL_AC]],DATA_DICIEMBRE_2025[AL_AC],0)/(COUNTA(DATA_DICIEMBRE_2025[AL_AC])/5),0)</f>
        <v>3</v>
      </c>
      <c r="O20" t="s">
        <v>6</v>
      </c>
      <c r="P20">
        <f>SUM(DATA_DICIEMBRE_2025[[#This Row],[1]:[31]])</f>
        <v>36382</v>
      </c>
      <c r="Q20">
        <v>29000</v>
      </c>
      <c r="R20" t="s">
        <v>81</v>
      </c>
      <c r="W20">
        <v>1680</v>
      </c>
      <c r="AH20">
        <v>9500</v>
      </c>
      <c r="AI20">
        <v>8500</v>
      </c>
      <c r="AK20">
        <v>1000</v>
      </c>
      <c r="AN20">
        <v>845</v>
      </c>
      <c r="AO20">
        <v>3866</v>
      </c>
      <c r="AQ20">
        <v>3591</v>
      </c>
      <c r="AR20">
        <v>7000</v>
      </c>
      <c r="AW20">
        <v>400</v>
      </c>
      <c r="AX20" t="s">
        <v>203</v>
      </c>
      <c r="BD20" s="47"/>
      <c r="CA20" s="45"/>
      <c r="CB20" s="47"/>
      <c r="CE20" s="45"/>
      <c r="CF20" s="47"/>
      <c r="CG20" s="45"/>
      <c r="CH20" s="47"/>
    </row>
    <row r="21" spans="1:86" x14ac:dyDescent="0.25">
      <c r="A21" s="34" t="s">
        <v>3</v>
      </c>
      <c r="B21" s="34" t="s">
        <v>32</v>
      </c>
      <c r="C21" s="36">
        <f>VLOOKUP(D1_DICIEMBRE_2025[[#This Row],[SUPER]],DATA_DICIEMBRE_2025[[SUPERVISOR]:[META]],3,0)</f>
        <v>55500</v>
      </c>
      <c r="D21" s="35">
        <f>D1_DICIEMBRE_2025[[#This Row],[RECUPERO]]/D1_DICIEMBRE_2025[[#This Row],[META]]</f>
        <v>1.094990990990991</v>
      </c>
      <c r="E21" s="35" t="s">
        <v>3</v>
      </c>
      <c r="F21" t="s">
        <v>32</v>
      </c>
      <c r="G21" s="3">
        <v>60772</v>
      </c>
      <c r="H21" t="s">
        <v>390</v>
      </c>
      <c r="I21" s="55">
        <v>45530</v>
      </c>
      <c r="J21" s="55" t="s">
        <v>501</v>
      </c>
      <c r="K21" s="55"/>
      <c r="L21" s="55"/>
      <c r="M21">
        <f>DATA_DICIEMBRE_2025[[#This Row],[RECUPERO]]/DATA_DICIEMBRE_2025[[#This Row],[META]]</f>
        <v>0.80151351351351352</v>
      </c>
      <c r="N21" s="5">
        <f>6-ROUNDUP(_xlfn.RANK.EQ(DATA_DICIEMBRE_2025[[#This Row],[AL_AC]],DATA_DICIEMBRE_2025[AL_AC],0)/(COUNTA(DATA_DICIEMBRE_2025[AL_AC])/5),0)</f>
        <v>1</v>
      </c>
      <c r="O21" t="s">
        <v>4</v>
      </c>
      <c r="P21">
        <f>SUM(DATA_DICIEMBRE_2025[[#This Row],[1]:[31]])</f>
        <v>44484</v>
      </c>
      <c r="Q21">
        <v>55500</v>
      </c>
      <c r="R21" t="s">
        <v>72</v>
      </c>
      <c r="V21">
        <v>5000</v>
      </c>
      <c r="W21">
        <v>362</v>
      </c>
      <c r="AB21">
        <v>362</v>
      </c>
      <c r="AC21">
        <v>5500</v>
      </c>
      <c r="AD21">
        <v>1500</v>
      </c>
      <c r="AG21">
        <v>6550</v>
      </c>
      <c r="AH21">
        <v>4900</v>
      </c>
      <c r="AI21">
        <v>300</v>
      </c>
      <c r="AK21">
        <v>2500</v>
      </c>
      <c r="AN21">
        <v>5300</v>
      </c>
      <c r="AO21">
        <v>2000</v>
      </c>
      <c r="AR21">
        <v>660</v>
      </c>
      <c r="AV21">
        <v>1850</v>
      </c>
      <c r="AW21">
        <v>7700</v>
      </c>
      <c r="AX21" t="s">
        <v>159</v>
      </c>
      <c r="BD21" s="47"/>
      <c r="CA21" s="45"/>
      <c r="CB21" s="47"/>
      <c r="CE21" s="45"/>
      <c r="CF21" s="45"/>
      <c r="CH21" s="45"/>
    </row>
    <row r="22" spans="1:86" x14ac:dyDescent="0.25">
      <c r="A22" s="34" t="s">
        <v>2</v>
      </c>
      <c r="B22" s="34" t="s">
        <v>42</v>
      </c>
      <c r="C22" s="36">
        <f>VLOOKUP(D1_DICIEMBRE_2025[[#This Row],[SUPER]],DATA_DICIEMBRE_2025[[SUPERVISOR]:[META]],3,0)</f>
        <v>35500</v>
      </c>
      <c r="D22" s="35">
        <f>D1_DICIEMBRE_2025[[#This Row],[RECUPERO]]/D1_DICIEMBRE_2025[[#This Row],[META]]</f>
        <v>1.5629859154929577</v>
      </c>
      <c r="E22" s="35" t="s">
        <v>2</v>
      </c>
      <c r="F22" t="s">
        <v>42</v>
      </c>
      <c r="G22" s="3">
        <v>55486</v>
      </c>
      <c r="H22" t="s">
        <v>415</v>
      </c>
      <c r="I22" s="55">
        <v>45399</v>
      </c>
      <c r="J22" s="55" t="s">
        <v>501</v>
      </c>
      <c r="K22" s="55"/>
      <c r="L22" s="55"/>
      <c r="M22">
        <f>DATA_DICIEMBRE_2025[[#This Row],[RECUPERO]]/DATA_DICIEMBRE_2025[[#This Row],[META]]</f>
        <v>0.93945945945945941</v>
      </c>
      <c r="N22" s="5">
        <f>6-ROUNDUP(_xlfn.RANK.EQ(DATA_DICIEMBRE_2025[[#This Row],[AL_AC]],DATA_DICIEMBRE_2025[AL_AC],0)/(COUNTA(DATA_DICIEMBRE_2025[AL_AC])/5),0)</f>
        <v>1</v>
      </c>
      <c r="O22" t="s">
        <v>3</v>
      </c>
      <c r="P22">
        <f>SUM(DATA_DICIEMBRE_2025[[#This Row],[1]:[31]])</f>
        <v>52140</v>
      </c>
      <c r="Q22">
        <v>55500</v>
      </c>
      <c r="R22" t="s">
        <v>22</v>
      </c>
      <c r="T22">
        <v>636</v>
      </c>
      <c r="V22">
        <v>290</v>
      </c>
      <c r="W22">
        <v>2000</v>
      </c>
      <c r="AB22">
        <v>4247</v>
      </c>
      <c r="AG22">
        <v>7020</v>
      </c>
      <c r="AH22">
        <v>1027</v>
      </c>
      <c r="AI22">
        <v>1000</v>
      </c>
      <c r="AJ22">
        <v>13250</v>
      </c>
      <c r="AK22">
        <v>2500</v>
      </c>
      <c r="AL22">
        <v>800</v>
      </c>
      <c r="AN22">
        <v>4780</v>
      </c>
      <c r="AP22">
        <v>1500</v>
      </c>
      <c r="AU22">
        <v>12184</v>
      </c>
      <c r="AV22">
        <v>274</v>
      </c>
      <c r="AW22">
        <v>632</v>
      </c>
      <c r="AX22" t="s">
        <v>159</v>
      </c>
      <c r="BD22" s="45"/>
      <c r="CA22" s="47"/>
      <c r="CB22" s="45"/>
      <c r="CE22" s="45"/>
    </row>
    <row r="23" spans="1:86" x14ac:dyDescent="0.25">
      <c r="A23" s="34" t="s">
        <v>7</v>
      </c>
      <c r="B23" s="34" t="s">
        <v>114</v>
      </c>
      <c r="C23" s="36">
        <f>VLOOKUP(D1_DICIEMBRE_2025[[#This Row],[SUPER]],DATA_DICIEMBRE_2025[[SUPERVISOR]:[META]],3,0)</f>
        <v>21000</v>
      </c>
      <c r="D23" s="35">
        <f>D1_DICIEMBRE_2025[[#This Row],[RECUPERO]]/D1_DICIEMBRE_2025[[#This Row],[META]]</f>
        <v>0.54861904761904767</v>
      </c>
      <c r="E23" s="35" t="s">
        <v>7</v>
      </c>
      <c r="F23" t="s">
        <v>114</v>
      </c>
      <c r="G23" s="3">
        <v>11521</v>
      </c>
      <c r="H23" t="s">
        <v>490</v>
      </c>
      <c r="I23" s="55">
        <v>45917</v>
      </c>
      <c r="J23" s="55" t="s">
        <v>501</v>
      </c>
      <c r="K23" s="55"/>
      <c r="L23" s="55"/>
      <c r="M23">
        <f>DATA_DICIEMBRE_2025[[#This Row],[RECUPERO]]/DATA_DICIEMBRE_2025[[#This Row],[META]]</f>
        <v>1.3207207207207208</v>
      </c>
      <c r="N23" s="5">
        <f>6-ROUNDUP(_xlfn.RANK.EQ(DATA_DICIEMBRE_2025[[#This Row],[AL_AC]],DATA_DICIEMBRE_2025[AL_AC],0)/(COUNTA(DATA_DICIEMBRE_2025[AL_AC])/5),0)</f>
        <v>3</v>
      </c>
      <c r="O23" t="s">
        <v>3</v>
      </c>
      <c r="P23">
        <f>SUM(DATA_DICIEMBRE_2025[[#This Row],[1]:[31]])</f>
        <v>73300</v>
      </c>
      <c r="Q23">
        <v>55500</v>
      </c>
      <c r="R23" t="s">
        <v>24</v>
      </c>
      <c r="V23">
        <v>2450</v>
      </c>
      <c r="W23">
        <v>3100</v>
      </c>
      <c r="AB23">
        <v>5300</v>
      </c>
      <c r="AD23">
        <v>1310</v>
      </c>
      <c r="AG23">
        <v>4775</v>
      </c>
      <c r="AI23">
        <v>1600</v>
      </c>
      <c r="AJ23">
        <v>1500</v>
      </c>
      <c r="AK23">
        <v>4140</v>
      </c>
      <c r="AN23">
        <v>10000</v>
      </c>
      <c r="AO23">
        <v>2000</v>
      </c>
      <c r="AP23">
        <v>800</v>
      </c>
      <c r="AR23">
        <v>1300</v>
      </c>
      <c r="AS23">
        <v>775</v>
      </c>
      <c r="AU23">
        <v>3800</v>
      </c>
      <c r="AV23">
        <v>25450</v>
      </c>
      <c r="AW23">
        <v>5000</v>
      </c>
      <c r="AX23" t="s">
        <v>159</v>
      </c>
      <c r="CA23" s="45"/>
    </row>
    <row r="24" spans="1:86" x14ac:dyDescent="0.25">
      <c r="A24" s="34" t="s">
        <v>4</v>
      </c>
      <c r="B24" s="34" t="s">
        <v>57</v>
      </c>
      <c r="C24" s="36">
        <f>VLOOKUP(D1_DICIEMBRE_2025[[#This Row],[SUPER]],DATA_DICIEMBRE_2025[[SUPERVISOR]:[META]],3,0)</f>
        <v>55500</v>
      </c>
      <c r="D24" s="35">
        <f>D1_DICIEMBRE_2025[[#This Row],[RECUPERO]]/D1_DICIEMBRE_2025[[#This Row],[META]]</f>
        <v>0.11711711711711711</v>
      </c>
      <c r="E24" s="35" t="s">
        <v>4</v>
      </c>
      <c r="F24" t="s">
        <v>57</v>
      </c>
      <c r="G24" s="3">
        <v>6500</v>
      </c>
      <c r="H24" t="s">
        <v>443</v>
      </c>
      <c r="I24" s="55">
        <v>45590</v>
      </c>
      <c r="J24" s="55" t="s">
        <v>501</v>
      </c>
      <c r="K24" s="55"/>
      <c r="L24" s="55"/>
      <c r="M24">
        <f>DATA_DICIEMBRE_2025[[#This Row],[RECUPERO]]/DATA_DICIEMBRE_2025[[#This Row],[META]]</f>
        <v>1.31</v>
      </c>
      <c r="N24" s="5">
        <f>6-ROUNDUP(_xlfn.RANK.EQ(DATA_DICIEMBRE_2025[[#This Row],[AL_AC]],DATA_DICIEMBRE_2025[AL_AC],0)/(COUNTA(DATA_DICIEMBRE_2025[AL_AC])/5),0)</f>
        <v>3</v>
      </c>
      <c r="O24" t="s">
        <v>7</v>
      </c>
      <c r="P24">
        <f>SUM(DATA_DICIEMBRE_2025[[#This Row],[1]:[31]])</f>
        <v>27510</v>
      </c>
      <c r="Q24">
        <v>21000</v>
      </c>
      <c r="R24" t="s">
        <v>12</v>
      </c>
      <c r="S24">
        <v>310</v>
      </c>
      <c r="T24">
        <v>70</v>
      </c>
      <c r="W24">
        <v>3300</v>
      </c>
      <c r="AB24">
        <v>650</v>
      </c>
      <c r="AC24">
        <v>3000</v>
      </c>
      <c r="AD24">
        <v>2200</v>
      </c>
      <c r="AG24">
        <v>1200</v>
      </c>
      <c r="AK24">
        <v>1100</v>
      </c>
      <c r="AL24">
        <v>550</v>
      </c>
      <c r="AN24">
        <v>750</v>
      </c>
      <c r="AO24">
        <v>1950</v>
      </c>
      <c r="AP24">
        <v>500</v>
      </c>
      <c r="AU24">
        <v>6930</v>
      </c>
      <c r="AV24">
        <v>2500</v>
      </c>
      <c r="AW24">
        <v>2500</v>
      </c>
      <c r="AX24" t="s">
        <v>175</v>
      </c>
      <c r="CE24" s="45"/>
    </row>
    <row r="25" spans="1:86" x14ac:dyDescent="0.25">
      <c r="A25" s="34" t="s">
        <v>7</v>
      </c>
      <c r="B25" s="34" t="s">
        <v>49</v>
      </c>
      <c r="C25" s="36">
        <f>VLOOKUP(D1_DICIEMBRE_2025[[#This Row],[SUPER]],DATA_DICIEMBRE_2025[[SUPERVISOR]:[META]],3,0)</f>
        <v>21000</v>
      </c>
      <c r="D25" s="35">
        <f>D1_DICIEMBRE_2025[[#This Row],[RECUPERO]]/D1_DICIEMBRE_2025[[#This Row],[META]]</f>
        <v>2.255095238095238</v>
      </c>
      <c r="E25" s="35" t="s">
        <v>7</v>
      </c>
      <c r="F25" t="s">
        <v>49</v>
      </c>
      <c r="G25" s="3">
        <v>47357</v>
      </c>
      <c r="H25" t="s">
        <v>436</v>
      </c>
      <c r="I25" s="55">
        <v>42814</v>
      </c>
      <c r="J25" s="55" t="s">
        <v>501</v>
      </c>
      <c r="K25" s="55"/>
      <c r="L25" s="55"/>
      <c r="M25">
        <f>DATA_DICIEMBRE_2025[[#This Row],[RECUPERO]]/DATA_DICIEMBRE_2025[[#This Row],[META]]</f>
        <v>1.0704761904761906</v>
      </c>
      <c r="N25" s="5">
        <f>6-ROUNDUP(_xlfn.RANK.EQ(DATA_DICIEMBRE_2025[[#This Row],[AL_AC]],DATA_DICIEMBRE_2025[AL_AC],0)/(COUNTA(DATA_DICIEMBRE_2025[AL_AC])/5),0)</f>
        <v>2</v>
      </c>
      <c r="O25" t="s">
        <v>7</v>
      </c>
      <c r="P25">
        <f>SUM(DATA_DICIEMBRE_2025[[#This Row],[1]:[31]])</f>
        <v>22480</v>
      </c>
      <c r="Q25">
        <v>21000</v>
      </c>
      <c r="R25" t="s">
        <v>51</v>
      </c>
      <c r="S25">
        <v>90</v>
      </c>
      <c r="V25">
        <v>830</v>
      </c>
      <c r="W25">
        <v>2000</v>
      </c>
      <c r="AC25">
        <v>2000</v>
      </c>
      <c r="AE25">
        <v>300</v>
      </c>
      <c r="AG25">
        <v>1500</v>
      </c>
      <c r="AJ25">
        <v>1500</v>
      </c>
      <c r="AK25">
        <v>500</v>
      </c>
      <c r="AL25">
        <v>1500</v>
      </c>
      <c r="AN25">
        <v>4000</v>
      </c>
      <c r="AO25">
        <v>1500</v>
      </c>
      <c r="AP25">
        <v>3400</v>
      </c>
      <c r="AU25">
        <v>100</v>
      </c>
      <c r="AW25">
        <v>3260</v>
      </c>
      <c r="AX25" t="s">
        <v>175</v>
      </c>
    </row>
    <row r="26" spans="1:86" x14ac:dyDescent="0.25">
      <c r="A26" s="34" t="s">
        <v>6</v>
      </c>
      <c r="B26" s="34" t="s">
        <v>26</v>
      </c>
      <c r="C26" s="36">
        <f>VLOOKUP(D1_DICIEMBRE_2025[[#This Row],[SUPER]],DATA_DICIEMBRE_2025[[SUPERVISOR]:[META]],3,0)</f>
        <v>29000</v>
      </c>
      <c r="D26" s="35">
        <f>D1_DICIEMBRE_2025[[#This Row],[RECUPERO]]/D1_DICIEMBRE_2025[[#This Row],[META]]</f>
        <v>2.3176896551724138</v>
      </c>
      <c r="E26" s="35" t="s">
        <v>6</v>
      </c>
      <c r="F26" t="s">
        <v>26</v>
      </c>
      <c r="G26" s="3">
        <v>67213</v>
      </c>
      <c r="H26" t="s">
        <v>391</v>
      </c>
      <c r="I26" s="55">
        <v>44259</v>
      </c>
      <c r="J26" s="55" t="s">
        <v>501</v>
      </c>
      <c r="K26" s="55"/>
      <c r="L26" s="55"/>
      <c r="M26">
        <f>DATA_DICIEMBRE_2025[[#This Row],[RECUPERO]]/DATA_DICIEMBRE_2025[[#This Row],[META]]</f>
        <v>1.2782432432432433</v>
      </c>
      <c r="N26" s="5">
        <f>6-ROUNDUP(_xlfn.RANK.EQ(DATA_DICIEMBRE_2025[[#This Row],[AL_AC]],DATA_DICIEMBRE_2025[AL_AC],0)/(COUNTA(DATA_DICIEMBRE_2025[AL_AC])/5),0)</f>
        <v>3</v>
      </c>
      <c r="O26" t="s">
        <v>3</v>
      </c>
      <c r="P26">
        <f>SUM(DATA_DICIEMBRE_2025[[#This Row],[1]:[31]])</f>
        <v>70942.5</v>
      </c>
      <c r="Q26">
        <v>55500</v>
      </c>
      <c r="R26" t="s">
        <v>13</v>
      </c>
      <c r="S26">
        <v>5450</v>
      </c>
      <c r="U26">
        <v>3200</v>
      </c>
      <c r="V26">
        <v>1170</v>
      </c>
      <c r="AC26">
        <v>11000</v>
      </c>
      <c r="AE26">
        <v>6500</v>
      </c>
      <c r="AG26">
        <v>6000</v>
      </c>
      <c r="AH26">
        <v>700</v>
      </c>
      <c r="AJ26">
        <v>8700</v>
      </c>
      <c r="AK26">
        <v>4500</v>
      </c>
      <c r="AN26">
        <v>3800</v>
      </c>
      <c r="AP26">
        <v>2300</v>
      </c>
      <c r="AR26">
        <v>5150</v>
      </c>
      <c r="AU26">
        <v>5000</v>
      </c>
      <c r="AV26">
        <v>7000</v>
      </c>
      <c r="AW26">
        <v>472.5</v>
      </c>
      <c r="AX26" t="s">
        <v>159</v>
      </c>
    </row>
    <row r="27" spans="1:86" x14ac:dyDescent="0.25">
      <c r="A27" s="34" t="s">
        <v>4</v>
      </c>
      <c r="B27" s="34" t="s">
        <v>122</v>
      </c>
      <c r="C27" s="36">
        <f>VLOOKUP(D1_DICIEMBRE_2025[[#This Row],[SUPER]],DATA_DICIEMBRE_2025[[SUPERVISOR]:[META]],3,0)</f>
        <v>55500</v>
      </c>
      <c r="D27" s="35">
        <f>D1_DICIEMBRE_2025[[#This Row],[RECUPERO]]/D1_DICIEMBRE_2025[[#This Row],[META]]</f>
        <v>0.95873873873873872</v>
      </c>
      <c r="E27" s="35" t="s">
        <v>4</v>
      </c>
      <c r="F27" t="s">
        <v>122</v>
      </c>
      <c r="G27" s="3">
        <v>53210</v>
      </c>
      <c r="H27" t="s">
        <v>426</v>
      </c>
      <c r="I27" s="55">
        <v>45082</v>
      </c>
      <c r="J27" s="55" t="s">
        <v>501</v>
      </c>
      <c r="K27" s="55"/>
      <c r="L27" s="55"/>
      <c r="M27">
        <f>DATA_DICIEMBRE_2025[[#This Row],[RECUPERO]]/DATA_DICIEMBRE_2025[[#This Row],[META]]</f>
        <v>1.094990990990991</v>
      </c>
      <c r="N27" s="5">
        <f>6-ROUNDUP(_xlfn.RANK.EQ(DATA_DICIEMBRE_2025[[#This Row],[AL_AC]],DATA_DICIEMBRE_2025[AL_AC],0)/(COUNTA(DATA_DICIEMBRE_2025[AL_AC])/5),0)</f>
        <v>2</v>
      </c>
      <c r="O27" t="s">
        <v>3</v>
      </c>
      <c r="P27">
        <f>SUM(DATA_DICIEMBRE_2025[[#This Row],[1]:[31]])</f>
        <v>60772</v>
      </c>
      <c r="Q27">
        <v>55500</v>
      </c>
      <c r="R27" t="s">
        <v>32</v>
      </c>
      <c r="S27">
        <v>350</v>
      </c>
      <c r="T27">
        <v>815</v>
      </c>
      <c r="V27">
        <v>750</v>
      </c>
      <c r="Y27">
        <v>4000</v>
      </c>
      <c r="AC27">
        <v>15200</v>
      </c>
      <c r="AD27">
        <v>512</v>
      </c>
      <c r="AG27">
        <v>710</v>
      </c>
      <c r="AH27">
        <v>2000</v>
      </c>
      <c r="AI27">
        <v>13200</v>
      </c>
      <c r="AJ27">
        <v>500</v>
      </c>
      <c r="AK27">
        <v>375</v>
      </c>
      <c r="AN27">
        <v>2020</v>
      </c>
      <c r="AO27">
        <v>6000</v>
      </c>
      <c r="AP27">
        <v>2030</v>
      </c>
      <c r="AR27">
        <v>4240</v>
      </c>
      <c r="AU27">
        <v>1650</v>
      </c>
      <c r="AV27">
        <v>3300</v>
      </c>
      <c r="AW27">
        <v>3120</v>
      </c>
      <c r="AX27" t="s">
        <v>159</v>
      </c>
    </row>
    <row r="28" spans="1:86" x14ac:dyDescent="0.25">
      <c r="A28" s="34" t="s">
        <v>3</v>
      </c>
      <c r="B28" s="34" t="s">
        <v>96</v>
      </c>
      <c r="C28" s="36">
        <f>VLOOKUP(D1_DICIEMBRE_2025[[#This Row],[SUPER]],DATA_DICIEMBRE_2025[[SUPERVISOR]:[META]],3,0)</f>
        <v>55500</v>
      </c>
      <c r="D28" s="35">
        <f>D1_DICIEMBRE_2025[[#This Row],[RECUPERO]]/D1_DICIEMBRE_2025[[#This Row],[META]]</f>
        <v>0.87484684684684688</v>
      </c>
      <c r="E28" s="35" t="s">
        <v>3</v>
      </c>
      <c r="F28" t="s">
        <v>96</v>
      </c>
      <c r="G28" s="3">
        <v>48554</v>
      </c>
      <c r="H28" t="s">
        <v>437</v>
      </c>
      <c r="I28" s="55">
        <v>45671</v>
      </c>
      <c r="J28" s="55" t="s">
        <v>501</v>
      </c>
      <c r="K28" s="55"/>
      <c r="L28" s="55"/>
      <c r="M28">
        <f>DATA_DICIEMBRE_2025[[#This Row],[RECUPERO]]/DATA_DICIEMBRE_2025[[#This Row],[META]]</f>
        <v>1.5629859154929577</v>
      </c>
      <c r="N28" s="5">
        <f>6-ROUNDUP(_xlfn.RANK.EQ(DATA_DICIEMBRE_2025[[#This Row],[AL_AC]],DATA_DICIEMBRE_2025[AL_AC],0)/(COUNTA(DATA_DICIEMBRE_2025[AL_AC])/5),0)</f>
        <v>4</v>
      </c>
      <c r="O28" t="s">
        <v>2</v>
      </c>
      <c r="P28">
        <f>SUM(DATA_DICIEMBRE_2025[[#This Row],[1]:[31]])</f>
        <v>55486</v>
      </c>
      <c r="Q28">
        <v>35500</v>
      </c>
      <c r="R28" t="s">
        <v>42</v>
      </c>
      <c r="S28" s="45"/>
      <c r="U28">
        <v>1480</v>
      </c>
      <c r="V28">
        <v>325</v>
      </c>
      <c r="AB28">
        <v>1600</v>
      </c>
      <c r="AC28">
        <v>364</v>
      </c>
      <c r="AG28">
        <v>16728</v>
      </c>
      <c r="AH28">
        <v>1500</v>
      </c>
      <c r="AI28">
        <v>5200</v>
      </c>
      <c r="AJ28">
        <v>4560</v>
      </c>
      <c r="AK28">
        <v>421</v>
      </c>
      <c r="AN28">
        <v>8585</v>
      </c>
      <c r="AO28">
        <v>300</v>
      </c>
      <c r="AR28">
        <v>4200</v>
      </c>
      <c r="AS28">
        <v>500</v>
      </c>
      <c r="AU28">
        <v>145</v>
      </c>
      <c r="AV28">
        <v>5578</v>
      </c>
      <c r="AW28">
        <v>4000</v>
      </c>
      <c r="AX28" t="s">
        <v>204</v>
      </c>
    </row>
    <row r="29" spans="1:86" x14ac:dyDescent="0.25">
      <c r="A29" s="34" t="s">
        <v>3</v>
      </c>
      <c r="B29" s="34" t="s">
        <v>65</v>
      </c>
      <c r="C29" s="36">
        <f>VLOOKUP(D1_DICIEMBRE_2025[[#This Row],[SUPER]],DATA_DICIEMBRE_2025[[SUPERVISOR]:[META]],3,0)</f>
        <v>55500</v>
      </c>
      <c r="D29" s="35">
        <f>D1_DICIEMBRE_2025[[#This Row],[RECUPERO]]/D1_DICIEMBRE_2025[[#This Row],[META]]</f>
        <v>0.40906306306306306</v>
      </c>
      <c r="E29" s="35" t="s">
        <v>3</v>
      </c>
      <c r="F29" t="s">
        <v>65</v>
      </c>
      <c r="G29" s="3">
        <v>22703</v>
      </c>
      <c r="H29" t="s">
        <v>438</v>
      </c>
      <c r="I29" s="55">
        <v>45021</v>
      </c>
      <c r="J29" s="55" t="s">
        <v>501</v>
      </c>
      <c r="K29" s="55"/>
      <c r="L29" s="55"/>
      <c r="M29">
        <f>DATA_DICIEMBRE_2025[[#This Row],[RECUPERO]]/DATA_DICIEMBRE_2025[[#This Row],[META]]</f>
        <v>0.54861904761904767</v>
      </c>
      <c r="N29" s="5">
        <f>6-ROUNDUP(_xlfn.RANK.EQ(DATA_DICIEMBRE_2025[[#This Row],[AL_AC]],DATA_DICIEMBRE_2025[AL_AC],0)/(COUNTA(DATA_DICIEMBRE_2025[AL_AC])/5),0)</f>
        <v>1</v>
      </c>
      <c r="O29" t="s">
        <v>7</v>
      </c>
      <c r="P29">
        <f>SUM(DATA_DICIEMBRE_2025[[#This Row],[1]:[31]])</f>
        <v>11521</v>
      </c>
      <c r="Q29">
        <v>21000</v>
      </c>
      <c r="R29" t="s">
        <v>114</v>
      </c>
      <c r="T29">
        <v>2250</v>
      </c>
      <c r="U29">
        <v>152</v>
      </c>
      <c r="V29">
        <v>3000</v>
      </c>
      <c r="W29">
        <v>137</v>
      </c>
      <c r="AC29">
        <v>2250</v>
      </c>
      <c r="AG29">
        <v>300</v>
      </c>
      <c r="AN29">
        <v>432</v>
      </c>
      <c r="AU29">
        <v>3000</v>
      </c>
      <c r="AX29" t="s">
        <v>175</v>
      </c>
    </row>
    <row r="30" spans="1:86" x14ac:dyDescent="0.25">
      <c r="A30" s="34" t="s">
        <v>6</v>
      </c>
      <c r="B30" s="34" t="s">
        <v>37</v>
      </c>
      <c r="C30" s="36">
        <f>VLOOKUP(D1_DICIEMBRE_2025[[#This Row],[SUPER]],DATA_DICIEMBRE_2025[[SUPERVISOR]:[META]],3,0)</f>
        <v>29000</v>
      </c>
      <c r="D30" s="35">
        <f>D1_DICIEMBRE_2025[[#This Row],[RECUPERO]]/D1_DICIEMBRE_2025[[#This Row],[META]]</f>
        <v>1.4053448275862068</v>
      </c>
      <c r="E30" s="35" t="s">
        <v>6</v>
      </c>
      <c r="F30" t="s">
        <v>37</v>
      </c>
      <c r="G30" s="3">
        <v>40755</v>
      </c>
      <c r="H30" t="s">
        <v>400</v>
      </c>
      <c r="I30" s="55">
        <v>43132</v>
      </c>
      <c r="J30" s="55" t="s">
        <v>501</v>
      </c>
      <c r="K30" s="55"/>
      <c r="L30" s="55"/>
      <c r="M30">
        <f>DATA_DICIEMBRE_2025[[#This Row],[RECUPERO]]/DATA_DICIEMBRE_2025[[#This Row],[META]]</f>
        <v>0.11711711711711711</v>
      </c>
      <c r="N30" s="5">
        <f>6-ROUNDUP(_xlfn.RANK.EQ(DATA_DICIEMBRE_2025[[#This Row],[AL_AC]],DATA_DICIEMBRE_2025[AL_AC],0)/(COUNTA(DATA_DICIEMBRE_2025[AL_AC])/5),0)</f>
        <v>1</v>
      </c>
      <c r="O30" t="s">
        <v>4</v>
      </c>
      <c r="P30">
        <f>SUM(DATA_DICIEMBRE_2025[[#This Row],[1]:[31]])</f>
        <v>6500</v>
      </c>
      <c r="Q30">
        <v>55500</v>
      </c>
      <c r="R30" t="s">
        <v>57</v>
      </c>
      <c r="V30">
        <v>6500</v>
      </c>
      <c r="AX30" t="s">
        <v>159</v>
      </c>
    </row>
    <row r="31" spans="1:86" x14ac:dyDescent="0.25">
      <c r="A31" s="34" t="s">
        <v>7</v>
      </c>
      <c r="B31" s="34" t="s">
        <v>77</v>
      </c>
      <c r="C31" s="36">
        <f>VLOOKUP(D1_DICIEMBRE_2025[[#This Row],[SUPER]],DATA_DICIEMBRE_2025[[SUPERVISOR]:[META]],3,0)</f>
        <v>21000</v>
      </c>
      <c r="D31" s="35">
        <f>D1_DICIEMBRE_2025[[#This Row],[RECUPERO]]/D1_DICIEMBRE_2025[[#This Row],[META]]</f>
        <v>1.7203766666666669</v>
      </c>
      <c r="E31" s="35" t="s">
        <v>7</v>
      </c>
      <c r="F31" t="s">
        <v>77</v>
      </c>
      <c r="G31" s="3">
        <v>36127.910000000003</v>
      </c>
      <c r="H31" t="s">
        <v>393</v>
      </c>
      <c r="I31" s="55">
        <v>44840</v>
      </c>
      <c r="J31" s="55" t="s">
        <v>501</v>
      </c>
      <c r="K31" s="55"/>
      <c r="L31" s="55"/>
      <c r="M31">
        <f>DATA_DICIEMBRE_2025[[#This Row],[RECUPERO]]/DATA_DICIEMBRE_2025[[#This Row],[META]]</f>
        <v>2.255095238095238</v>
      </c>
      <c r="N31" s="5">
        <f>6-ROUNDUP(_xlfn.RANK.EQ(DATA_DICIEMBRE_2025[[#This Row],[AL_AC]],DATA_DICIEMBRE_2025[AL_AC],0)/(COUNTA(DATA_DICIEMBRE_2025[AL_AC])/5),0)</f>
        <v>5</v>
      </c>
      <c r="O31" t="s">
        <v>7</v>
      </c>
      <c r="P31">
        <f>SUM(DATA_DICIEMBRE_2025[[#This Row],[1]:[31]])</f>
        <v>47357</v>
      </c>
      <c r="Q31">
        <v>21000</v>
      </c>
      <c r="R31" t="s">
        <v>49</v>
      </c>
      <c r="T31">
        <v>134</v>
      </c>
      <c r="AB31">
        <v>7000</v>
      </c>
      <c r="AC31">
        <v>200</v>
      </c>
      <c r="AD31">
        <v>450</v>
      </c>
      <c r="AG31">
        <v>3417</v>
      </c>
      <c r="AH31">
        <v>5000</v>
      </c>
      <c r="AI31">
        <v>506</v>
      </c>
      <c r="AO31">
        <v>6800</v>
      </c>
      <c r="AP31">
        <v>350</v>
      </c>
      <c r="AR31">
        <v>500</v>
      </c>
      <c r="AU31">
        <v>4200</v>
      </c>
      <c r="AV31">
        <v>16400</v>
      </c>
      <c r="AW31">
        <v>2400</v>
      </c>
      <c r="AX31" t="s">
        <v>175</v>
      </c>
    </row>
    <row r="32" spans="1:86" x14ac:dyDescent="0.25">
      <c r="A32" s="34" t="s">
        <v>6</v>
      </c>
      <c r="B32" s="34" t="s">
        <v>35</v>
      </c>
      <c r="C32" s="36">
        <f>VLOOKUP(D1_DICIEMBRE_2025[[#This Row],[SUPER]],DATA_DICIEMBRE_2025[[SUPERVISOR]:[META]],3,0)</f>
        <v>29000</v>
      </c>
      <c r="D32" s="35">
        <f>D1_DICIEMBRE_2025[[#This Row],[RECUPERO]]/D1_DICIEMBRE_2025[[#This Row],[META]]</f>
        <v>1.306948275862069</v>
      </c>
      <c r="E32" s="35" t="s">
        <v>6</v>
      </c>
      <c r="F32" t="s">
        <v>35</v>
      </c>
      <c r="G32" s="3">
        <v>37901.5</v>
      </c>
      <c r="H32" t="s">
        <v>401</v>
      </c>
      <c r="I32" s="55">
        <v>44748</v>
      </c>
      <c r="J32" s="55" t="s">
        <v>501</v>
      </c>
      <c r="K32" s="55"/>
      <c r="L32" s="55"/>
      <c r="M32">
        <f>DATA_DICIEMBRE_2025[[#This Row],[RECUPERO]]/DATA_DICIEMBRE_2025[[#This Row],[META]]</f>
        <v>2.3176896551724138</v>
      </c>
      <c r="N32" s="5">
        <f>6-ROUNDUP(_xlfn.RANK.EQ(DATA_DICIEMBRE_2025[[#This Row],[AL_AC]],DATA_DICIEMBRE_2025[AL_AC],0)/(COUNTA(DATA_DICIEMBRE_2025[AL_AC])/5),0)</f>
        <v>5</v>
      </c>
      <c r="O32" t="s">
        <v>6</v>
      </c>
      <c r="P32">
        <f>SUM(DATA_DICIEMBRE_2025[[#This Row],[1]:[31]])</f>
        <v>67213</v>
      </c>
      <c r="Q32">
        <v>29000</v>
      </c>
      <c r="R32" t="s">
        <v>26</v>
      </c>
      <c r="T32">
        <v>100</v>
      </c>
      <c r="W32">
        <v>4500</v>
      </c>
      <c r="Y32">
        <v>430</v>
      </c>
      <c r="AC32">
        <v>1200</v>
      </c>
      <c r="AD32">
        <v>6100</v>
      </c>
      <c r="AG32">
        <v>3813</v>
      </c>
      <c r="AH32">
        <v>780</v>
      </c>
      <c r="AI32">
        <v>8500</v>
      </c>
      <c r="AK32">
        <v>3500</v>
      </c>
      <c r="AN32">
        <v>3240</v>
      </c>
      <c r="AR32">
        <v>18000</v>
      </c>
      <c r="AU32">
        <v>10350</v>
      </c>
      <c r="AV32">
        <v>2000</v>
      </c>
      <c r="AW32">
        <v>4700</v>
      </c>
      <c r="AX32" t="s">
        <v>203</v>
      </c>
    </row>
    <row r="33" spans="1:50" x14ac:dyDescent="0.25">
      <c r="A33" s="34" t="s">
        <v>6</v>
      </c>
      <c r="B33" s="34" t="s">
        <v>50</v>
      </c>
      <c r="C33" s="36">
        <f>VLOOKUP(D1_DICIEMBRE_2025[[#This Row],[SUPER]],DATA_DICIEMBRE_2025[[SUPERVISOR]:[META]],3,0)</f>
        <v>29000</v>
      </c>
      <c r="D33" s="35">
        <f>D1_DICIEMBRE_2025[[#This Row],[RECUPERO]]/D1_DICIEMBRE_2025[[#This Row],[META]]</f>
        <v>1.577</v>
      </c>
      <c r="E33" s="35" t="s">
        <v>6</v>
      </c>
      <c r="F33" t="s">
        <v>50</v>
      </c>
      <c r="G33" s="3">
        <v>45733</v>
      </c>
      <c r="H33" t="s">
        <v>402</v>
      </c>
      <c r="I33" s="55">
        <v>45523</v>
      </c>
      <c r="J33" s="55" t="s">
        <v>501</v>
      </c>
      <c r="K33" s="55"/>
      <c r="L33" s="55"/>
      <c r="M33">
        <f>DATA_DICIEMBRE_2025[[#This Row],[RECUPERO]]/DATA_DICIEMBRE_2025[[#This Row],[META]]</f>
        <v>0.95873873873873872</v>
      </c>
      <c r="N33" s="5">
        <f>6-ROUNDUP(_xlfn.RANK.EQ(DATA_DICIEMBRE_2025[[#This Row],[AL_AC]],DATA_DICIEMBRE_2025[AL_AC],0)/(COUNTA(DATA_DICIEMBRE_2025[AL_AC])/5),0)</f>
        <v>2</v>
      </c>
      <c r="O33" t="s">
        <v>4</v>
      </c>
      <c r="P33">
        <f>SUM(DATA_DICIEMBRE_2025[[#This Row],[1]:[31]])</f>
        <v>53210</v>
      </c>
      <c r="Q33">
        <v>55500</v>
      </c>
      <c r="R33" t="s">
        <v>122</v>
      </c>
      <c r="T33">
        <v>700</v>
      </c>
      <c r="U33">
        <v>630</v>
      </c>
      <c r="W33">
        <v>9400</v>
      </c>
      <c r="AB33">
        <v>400</v>
      </c>
      <c r="AD33">
        <v>22500</v>
      </c>
      <c r="AI33">
        <v>1500</v>
      </c>
      <c r="AN33">
        <v>8000</v>
      </c>
      <c r="AP33">
        <v>500</v>
      </c>
      <c r="AR33">
        <v>6000</v>
      </c>
      <c r="AV33">
        <v>2500</v>
      </c>
      <c r="AW33">
        <v>1080</v>
      </c>
      <c r="AX33" t="s">
        <v>159</v>
      </c>
    </row>
    <row r="34" spans="1:50" x14ac:dyDescent="0.25">
      <c r="A34" s="34" t="s">
        <v>3</v>
      </c>
      <c r="B34" s="34" t="s">
        <v>33</v>
      </c>
      <c r="C34" s="36">
        <f>VLOOKUP(D1_DICIEMBRE_2025[[#This Row],[SUPER]],DATA_DICIEMBRE_2025[[SUPERVISOR]:[META]],3,0)</f>
        <v>55500</v>
      </c>
      <c r="D34" s="35">
        <f>D1_DICIEMBRE_2025[[#This Row],[RECUPERO]]/D1_DICIEMBRE_2025[[#This Row],[META]]</f>
        <v>0.71255855855855854</v>
      </c>
      <c r="E34" s="35" t="s">
        <v>3</v>
      </c>
      <c r="F34" t="s">
        <v>33</v>
      </c>
      <c r="G34" s="3">
        <v>39547</v>
      </c>
      <c r="H34" t="s">
        <v>439</v>
      </c>
      <c r="I34" s="55">
        <v>44869</v>
      </c>
      <c r="J34" s="55" t="s">
        <v>501</v>
      </c>
      <c r="K34" s="55"/>
      <c r="L34" s="55"/>
      <c r="M34">
        <f>DATA_DICIEMBRE_2025[[#This Row],[RECUPERO]]/DATA_DICIEMBRE_2025[[#This Row],[META]]</f>
        <v>0.87484684684684688</v>
      </c>
      <c r="N34" s="5">
        <f>6-ROUNDUP(_xlfn.RANK.EQ(DATA_DICIEMBRE_2025[[#This Row],[AL_AC]],DATA_DICIEMBRE_2025[AL_AC],0)/(COUNTA(DATA_DICIEMBRE_2025[AL_AC])/5),0)</f>
        <v>1</v>
      </c>
      <c r="O34" t="s">
        <v>3</v>
      </c>
      <c r="P34">
        <f>SUM(DATA_DICIEMBRE_2025[[#This Row],[1]:[31]])</f>
        <v>48554</v>
      </c>
      <c r="Q34">
        <v>55500</v>
      </c>
      <c r="R34" t="s">
        <v>96</v>
      </c>
      <c r="V34">
        <v>1113</v>
      </c>
      <c r="AB34">
        <v>3650</v>
      </c>
      <c r="AC34">
        <v>2700</v>
      </c>
      <c r="AD34">
        <v>7500</v>
      </c>
      <c r="AE34">
        <v>2000</v>
      </c>
      <c r="AI34">
        <v>2100</v>
      </c>
      <c r="AJ34">
        <v>2050</v>
      </c>
      <c r="AK34">
        <v>5670</v>
      </c>
      <c r="AN34">
        <v>1870</v>
      </c>
      <c r="AO34">
        <v>800</v>
      </c>
      <c r="AR34">
        <v>2100</v>
      </c>
      <c r="AU34">
        <v>663</v>
      </c>
      <c r="AV34">
        <v>805</v>
      </c>
      <c r="AW34">
        <v>15533</v>
      </c>
      <c r="AX34" t="s">
        <v>159</v>
      </c>
    </row>
    <row r="35" spans="1:50" x14ac:dyDescent="0.25">
      <c r="A35" s="34" t="s">
        <v>3</v>
      </c>
      <c r="B35" s="34" t="s">
        <v>23</v>
      </c>
      <c r="C35" s="36">
        <f>VLOOKUP(D1_DICIEMBRE_2025[[#This Row],[SUPER]],DATA_DICIEMBRE_2025[[SUPERVISOR]:[META]],3,0)</f>
        <v>55500</v>
      </c>
      <c r="D35" s="35">
        <f>D1_DICIEMBRE_2025[[#This Row],[RECUPERO]]/D1_DICIEMBRE_2025[[#This Row],[META]]</f>
        <v>2.2284684684684684</v>
      </c>
      <c r="E35" s="35" t="s">
        <v>3</v>
      </c>
      <c r="F35" t="s">
        <v>23</v>
      </c>
      <c r="G35" s="3">
        <v>123680</v>
      </c>
      <c r="H35" t="s">
        <v>445</v>
      </c>
      <c r="I35" s="55">
        <v>44111</v>
      </c>
      <c r="J35" s="55" t="s">
        <v>501</v>
      </c>
      <c r="K35" s="55"/>
      <c r="L35" s="55"/>
      <c r="M35">
        <f>DATA_DICIEMBRE_2025[[#This Row],[RECUPERO]]/DATA_DICIEMBRE_2025[[#This Row],[META]]</f>
        <v>0.40906306306306306</v>
      </c>
      <c r="N35" s="5">
        <f>6-ROUNDUP(_xlfn.RANK.EQ(DATA_DICIEMBRE_2025[[#This Row],[AL_AC]],DATA_DICIEMBRE_2025[AL_AC],0)/(COUNTA(DATA_DICIEMBRE_2025[AL_AC])/5),0)</f>
        <v>1</v>
      </c>
      <c r="O35" t="s">
        <v>3</v>
      </c>
      <c r="P35">
        <f>SUM(DATA_DICIEMBRE_2025[[#This Row],[1]:[31]])</f>
        <v>22703</v>
      </c>
      <c r="Q35">
        <v>55500</v>
      </c>
      <c r="R35" t="s">
        <v>65</v>
      </c>
      <c r="T35">
        <v>9063</v>
      </c>
      <c r="W35">
        <v>500</v>
      </c>
      <c r="AB35">
        <v>990</v>
      </c>
      <c r="AH35">
        <v>2500</v>
      </c>
      <c r="AK35">
        <v>300</v>
      </c>
      <c r="AQ35">
        <v>1150</v>
      </c>
      <c r="AS35">
        <v>900</v>
      </c>
      <c r="AV35">
        <v>300</v>
      </c>
      <c r="AW35">
        <v>7000</v>
      </c>
      <c r="AX35" t="s">
        <v>159</v>
      </c>
    </row>
    <row r="36" spans="1:50" x14ac:dyDescent="0.25">
      <c r="A36" s="34" t="s">
        <v>2</v>
      </c>
      <c r="B36" s="34" t="s">
        <v>68</v>
      </c>
      <c r="C36" s="36">
        <f>VLOOKUP(D1_DICIEMBRE_2025[[#This Row],[SUPER]],DATA_DICIEMBRE_2025[[SUPERVISOR]:[META]],3,0)</f>
        <v>35500</v>
      </c>
      <c r="D36" s="35">
        <f>D1_DICIEMBRE_2025[[#This Row],[RECUPERO]]/D1_DICIEMBRE_2025[[#This Row],[META]]</f>
        <v>1.9508732394366197</v>
      </c>
      <c r="E36" s="35" t="s">
        <v>2</v>
      </c>
      <c r="F36" t="s">
        <v>68</v>
      </c>
      <c r="G36" s="3">
        <v>69256</v>
      </c>
      <c r="H36" t="s">
        <v>440</v>
      </c>
      <c r="I36" s="55">
        <v>45364</v>
      </c>
      <c r="J36" s="55" t="s">
        <v>501</v>
      </c>
      <c r="K36" s="55"/>
      <c r="L36" s="55"/>
      <c r="M36">
        <f>DATA_DICIEMBRE_2025[[#This Row],[RECUPERO]]/DATA_DICIEMBRE_2025[[#This Row],[META]]</f>
        <v>1.4053448275862068</v>
      </c>
      <c r="N36" s="5">
        <f>6-ROUNDUP(_xlfn.RANK.EQ(DATA_DICIEMBRE_2025[[#This Row],[AL_AC]],DATA_DICIEMBRE_2025[AL_AC],0)/(COUNTA(DATA_DICIEMBRE_2025[AL_AC])/5),0)</f>
        <v>3</v>
      </c>
      <c r="O36" t="s">
        <v>6</v>
      </c>
      <c r="P36">
        <f>SUM(DATA_DICIEMBRE_2025[[#This Row],[1]:[31]])</f>
        <v>40755</v>
      </c>
      <c r="Q36">
        <v>29000</v>
      </c>
      <c r="R36" t="s">
        <v>37</v>
      </c>
      <c r="W36">
        <v>2500</v>
      </c>
      <c r="AD36">
        <v>6000</v>
      </c>
      <c r="AG36">
        <v>20500</v>
      </c>
      <c r="AI36">
        <v>5000</v>
      </c>
      <c r="AK36">
        <v>5800</v>
      </c>
      <c r="AO36">
        <v>600</v>
      </c>
      <c r="AU36">
        <v>355</v>
      </c>
      <c r="AX36" t="s">
        <v>203</v>
      </c>
    </row>
    <row r="37" spans="1:50" x14ac:dyDescent="0.25">
      <c r="A37" s="34" t="s">
        <v>3</v>
      </c>
      <c r="B37" s="34" t="s">
        <v>31</v>
      </c>
      <c r="C37" s="36">
        <f>VLOOKUP(D1_DICIEMBRE_2025[[#This Row],[SUPER]],DATA_DICIEMBRE_2025[[SUPERVISOR]:[META]],3,0)</f>
        <v>55500</v>
      </c>
      <c r="D37" s="35">
        <f>D1_DICIEMBRE_2025[[#This Row],[RECUPERO]]/D1_DICIEMBRE_2025[[#This Row],[META]]</f>
        <v>1.1853333333333333</v>
      </c>
      <c r="E37" s="35" t="s">
        <v>3</v>
      </c>
      <c r="F37" t="s">
        <v>31</v>
      </c>
      <c r="G37" s="3">
        <v>65786</v>
      </c>
      <c r="H37" t="s">
        <v>403</v>
      </c>
      <c r="I37" s="55">
        <v>45334</v>
      </c>
      <c r="J37" s="55" t="s">
        <v>501</v>
      </c>
      <c r="K37" s="55"/>
      <c r="L37" s="55"/>
      <c r="M37">
        <f>DATA_DICIEMBRE_2025[[#This Row],[RECUPERO]]/DATA_DICIEMBRE_2025[[#This Row],[META]]</f>
        <v>1.7203766666666669</v>
      </c>
      <c r="N37" s="5">
        <f>6-ROUNDUP(_xlfn.RANK.EQ(DATA_DICIEMBRE_2025[[#This Row],[AL_AC]],DATA_DICIEMBRE_2025[AL_AC],0)/(COUNTA(DATA_DICIEMBRE_2025[AL_AC])/5),0)</f>
        <v>4</v>
      </c>
      <c r="O37" t="s">
        <v>7</v>
      </c>
      <c r="P37">
        <f>SUM(DATA_DICIEMBRE_2025[[#This Row],[1]:[31]])</f>
        <v>36127.910000000003</v>
      </c>
      <c r="Q37">
        <v>21000</v>
      </c>
      <c r="R37" t="s">
        <v>77</v>
      </c>
      <c r="S37">
        <v>200</v>
      </c>
      <c r="T37">
        <v>1700</v>
      </c>
      <c r="AC37">
        <v>4500</v>
      </c>
      <c r="AD37">
        <v>300</v>
      </c>
      <c r="AG37">
        <v>2665</v>
      </c>
      <c r="AN37">
        <v>11000</v>
      </c>
      <c r="AO37">
        <v>395</v>
      </c>
      <c r="AP37">
        <v>600</v>
      </c>
      <c r="AR37">
        <v>3500</v>
      </c>
      <c r="AS37">
        <v>200</v>
      </c>
      <c r="AU37">
        <v>8489.91</v>
      </c>
      <c r="AV37">
        <v>1500</v>
      </c>
      <c r="AW37">
        <v>1078</v>
      </c>
      <c r="AX37" t="s">
        <v>175</v>
      </c>
    </row>
    <row r="38" spans="1:50" x14ac:dyDescent="0.25">
      <c r="A38" s="34" t="s">
        <v>2</v>
      </c>
      <c r="B38" s="34" t="s">
        <v>29</v>
      </c>
      <c r="C38" s="36">
        <f>VLOOKUP(D1_DICIEMBRE_2025[[#This Row],[SUPER]],DATA_DICIEMBRE_2025[[SUPERVISOR]:[META]],3,0)</f>
        <v>35500</v>
      </c>
      <c r="D38" s="35">
        <f>D1_DICIEMBRE_2025[[#This Row],[RECUPERO]]/D1_DICIEMBRE_2025[[#This Row],[META]]</f>
        <v>1.0459971830985917</v>
      </c>
      <c r="E38" s="35" t="s">
        <v>2</v>
      </c>
      <c r="F38" t="s">
        <v>29</v>
      </c>
      <c r="G38" s="3">
        <v>37132.9</v>
      </c>
      <c r="H38" t="s">
        <v>416</v>
      </c>
      <c r="I38" s="55">
        <v>44687</v>
      </c>
      <c r="J38" s="55" t="s">
        <v>501</v>
      </c>
      <c r="K38" s="55"/>
      <c r="L38" s="55"/>
      <c r="M38">
        <f>DATA_DICIEMBRE_2025[[#This Row],[RECUPERO]]/DATA_DICIEMBRE_2025[[#This Row],[META]]</f>
        <v>1.306948275862069</v>
      </c>
      <c r="N38" s="5">
        <f>6-ROUNDUP(_xlfn.RANK.EQ(DATA_DICIEMBRE_2025[[#This Row],[AL_AC]],DATA_DICIEMBRE_2025[AL_AC],0)/(COUNTA(DATA_DICIEMBRE_2025[AL_AC])/5),0)</f>
        <v>3</v>
      </c>
      <c r="O38" t="s">
        <v>6</v>
      </c>
      <c r="P38">
        <f>SUM(DATA_DICIEMBRE_2025[[#This Row],[1]:[31]])</f>
        <v>37901.5</v>
      </c>
      <c r="Q38">
        <v>29000</v>
      </c>
      <c r="R38" t="s">
        <v>35</v>
      </c>
      <c r="S38">
        <v>11237.5</v>
      </c>
      <c r="AB38">
        <v>6000</v>
      </c>
      <c r="AC38">
        <v>1300</v>
      </c>
      <c r="AG38">
        <v>4350</v>
      </c>
      <c r="AJ38">
        <v>3682</v>
      </c>
      <c r="AO38">
        <v>500</v>
      </c>
      <c r="AR38">
        <v>600</v>
      </c>
      <c r="AT38">
        <v>257</v>
      </c>
      <c r="AU38">
        <v>3875</v>
      </c>
      <c r="AV38">
        <v>3800</v>
      </c>
      <c r="AW38">
        <v>2300</v>
      </c>
      <c r="AX38" t="s">
        <v>203</v>
      </c>
    </row>
    <row r="39" spans="1:50" x14ac:dyDescent="0.25">
      <c r="A39" s="34" t="s">
        <v>2</v>
      </c>
      <c r="B39" s="34" t="s">
        <v>25</v>
      </c>
      <c r="C39" s="36">
        <f>VLOOKUP(D1_DICIEMBRE_2025[[#This Row],[SUPER]],DATA_DICIEMBRE_2025[[SUPERVISOR]:[META]],3,0)</f>
        <v>35500</v>
      </c>
      <c r="D39" s="35">
        <f>D1_DICIEMBRE_2025[[#This Row],[RECUPERO]]/D1_DICIEMBRE_2025[[#This Row],[META]]</f>
        <v>1.4267605633802818</v>
      </c>
      <c r="E39" s="35" t="s">
        <v>2</v>
      </c>
      <c r="F39" t="s">
        <v>25</v>
      </c>
      <c r="G39" s="3">
        <v>50650</v>
      </c>
      <c r="H39" t="s">
        <v>446</v>
      </c>
      <c r="I39" s="55">
        <v>44820</v>
      </c>
      <c r="J39" s="55" t="s">
        <v>501</v>
      </c>
      <c r="K39" s="55"/>
      <c r="L39" s="55"/>
      <c r="M39">
        <f>DATA_DICIEMBRE_2025[[#This Row],[RECUPERO]]/DATA_DICIEMBRE_2025[[#This Row],[META]]</f>
        <v>1.577</v>
      </c>
      <c r="N39" s="5">
        <f>6-ROUNDUP(_xlfn.RANK.EQ(DATA_DICIEMBRE_2025[[#This Row],[AL_AC]],DATA_DICIEMBRE_2025[AL_AC],0)/(COUNTA(DATA_DICIEMBRE_2025[AL_AC])/5),0)</f>
        <v>4</v>
      </c>
      <c r="O39" t="s">
        <v>6</v>
      </c>
      <c r="P39">
        <f>SUM(DATA_DICIEMBRE_2025[[#This Row],[1]:[31]])</f>
        <v>45733</v>
      </c>
      <c r="Q39">
        <v>29000</v>
      </c>
      <c r="R39" t="s">
        <v>50</v>
      </c>
      <c r="AB39">
        <v>285</v>
      </c>
      <c r="AC39">
        <v>693</v>
      </c>
      <c r="AG39">
        <v>8800</v>
      </c>
      <c r="AH39">
        <v>6350</v>
      </c>
      <c r="AI39">
        <v>265</v>
      </c>
      <c r="AO39">
        <v>500</v>
      </c>
      <c r="AR39">
        <v>4120</v>
      </c>
      <c r="AU39">
        <v>7000</v>
      </c>
      <c r="AV39">
        <v>1720</v>
      </c>
      <c r="AW39">
        <v>16000</v>
      </c>
      <c r="AX39" t="s">
        <v>203</v>
      </c>
    </row>
    <row r="40" spans="1:50" x14ac:dyDescent="0.25">
      <c r="A40" s="34" t="s">
        <v>3</v>
      </c>
      <c r="B40" s="34" t="s">
        <v>17</v>
      </c>
      <c r="C40" s="36">
        <f>VLOOKUP(D1_DICIEMBRE_2025[[#This Row],[SUPER]],DATA_DICIEMBRE_2025[[SUPERVISOR]:[META]],3,0)</f>
        <v>55500</v>
      </c>
      <c r="D40" s="35">
        <f>D1_DICIEMBRE_2025[[#This Row],[RECUPERO]]/D1_DICIEMBRE_2025[[#This Row],[META]]</f>
        <v>0.82893747747747748</v>
      </c>
      <c r="E40" s="35" t="s">
        <v>3</v>
      </c>
      <c r="F40" t="s">
        <v>17</v>
      </c>
      <c r="G40" s="3">
        <v>46006.03</v>
      </c>
      <c r="H40" t="s">
        <v>385</v>
      </c>
      <c r="I40" s="55">
        <v>44888</v>
      </c>
      <c r="J40" s="55" t="s">
        <v>501</v>
      </c>
      <c r="K40" s="55"/>
      <c r="L40" s="55"/>
      <c r="M40">
        <f>DATA_DICIEMBRE_2025[[#This Row],[RECUPERO]]/DATA_DICIEMBRE_2025[[#This Row],[META]]</f>
        <v>0.71255855855855854</v>
      </c>
      <c r="N40" s="5">
        <f>6-ROUNDUP(_xlfn.RANK.EQ(DATA_DICIEMBRE_2025[[#This Row],[AL_AC]],DATA_DICIEMBRE_2025[AL_AC],0)/(COUNTA(DATA_DICIEMBRE_2025[AL_AC])/5),0)</f>
        <v>1</v>
      </c>
      <c r="O40" t="s">
        <v>3</v>
      </c>
      <c r="P40">
        <f>SUM(DATA_DICIEMBRE_2025[[#This Row],[1]:[31]])</f>
        <v>39547</v>
      </c>
      <c r="Q40">
        <v>55500</v>
      </c>
      <c r="R40" t="s">
        <v>33</v>
      </c>
      <c r="T40">
        <v>600</v>
      </c>
      <c r="Y40">
        <v>1000</v>
      </c>
      <c r="AC40">
        <v>29900</v>
      </c>
      <c r="AG40">
        <v>1100</v>
      </c>
      <c r="AJ40">
        <v>265</v>
      </c>
      <c r="AK40">
        <v>500</v>
      </c>
      <c r="AO40">
        <v>282</v>
      </c>
      <c r="AR40">
        <v>2500</v>
      </c>
      <c r="AW40">
        <v>3400</v>
      </c>
      <c r="AX40" t="s">
        <v>159</v>
      </c>
    </row>
    <row r="41" spans="1:50" x14ac:dyDescent="0.25">
      <c r="A41" s="34" t="s">
        <v>2</v>
      </c>
      <c r="B41" s="34" t="s">
        <v>38</v>
      </c>
      <c r="C41" s="36">
        <f>VLOOKUP(D1_DICIEMBRE_2025[[#This Row],[SUPER]],DATA_DICIEMBRE_2025[[SUPERVISOR]:[META]],3,0)</f>
        <v>35500</v>
      </c>
      <c r="D41" s="35">
        <f>D1_DICIEMBRE_2025[[#This Row],[RECUPERO]]/D1_DICIEMBRE_2025[[#This Row],[META]]</f>
        <v>2.0112394366197184</v>
      </c>
      <c r="E41" s="35" t="s">
        <v>2</v>
      </c>
      <c r="F41" t="s">
        <v>38</v>
      </c>
      <c r="G41" s="3">
        <v>71399</v>
      </c>
      <c r="H41" t="s">
        <v>469</v>
      </c>
      <c r="I41" s="55">
        <v>45805</v>
      </c>
      <c r="J41" s="55" t="s">
        <v>501</v>
      </c>
      <c r="K41" s="55"/>
      <c r="L41" s="55"/>
      <c r="M41">
        <f>DATA_DICIEMBRE_2025[[#This Row],[RECUPERO]]/DATA_DICIEMBRE_2025[[#This Row],[META]]</f>
        <v>2.2284684684684684</v>
      </c>
      <c r="N41" s="5">
        <f>6-ROUNDUP(_xlfn.RANK.EQ(DATA_DICIEMBRE_2025[[#This Row],[AL_AC]],DATA_DICIEMBRE_2025[AL_AC],0)/(COUNTA(DATA_DICIEMBRE_2025[AL_AC])/5),0)</f>
        <v>5</v>
      </c>
      <c r="O41" t="s">
        <v>3</v>
      </c>
      <c r="P41">
        <f>SUM(DATA_DICIEMBRE_2025[[#This Row],[1]:[31]])</f>
        <v>123680</v>
      </c>
      <c r="Q41">
        <v>55500</v>
      </c>
      <c r="R41" t="s">
        <v>23</v>
      </c>
      <c r="S41">
        <v>3800</v>
      </c>
      <c r="T41">
        <v>4450</v>
      </c>
      <c r="V41">
        <v>13605</v>
      </c>
      <c r="W41">
        <v>5000</v>
      </c>
      <c r="Z41">
        <v>250</v>
      </c>
      <c r="AA41">
        <v>580</v>
      </c>
      <c r="AB41">
        <v>23758</v>
      </c>
      <c r="AC41">
        <v>2045</v>
      </c>
      <c r="AE41">
        <v>1500</v>
      </c>
      <c r="AG41">
        <v>10131</v>
      </c>
      <c r="AH41">
        <v>433</v>
      </c>
      <c r="AI41">
        <v>7700</v>
      </c>
      <c r="AJ41">
        <v>6500</v>
      </c>
      <c r="AK41">
        <v>15700</v>
      </c>
      <c r="AN41">
        <v>3800</v>
      </c>
      <c r="AO41">
        <v>1350</v>
      </c>
      <c r="AR41">
        <v>1800</v>
      </c>
      <c r="AU41">
        <v>7928</v>
      </c>
      <c r="AV41">
        <v>5150</v>
      </c>
      <c r="AW41">
        <v>8200</v>
      </c>
      <c r="AX41" t="s">
        <v>159</v>
      </c>
    </row>
    <row r="42" spans="1:50" x14ac:dyDescent="0.25">
      <c r="A42" s="34" t="s">
        <v>4</v>
      </c>
      <c r="B42" s="34" t="s">
        <v>75</v>
      </c>
      <c r="C42" s="36">
        <f>VLOOKUP(D1_DICIEMBRE_2025[[#This Row],[SUPER]],DATA_DICIEMBRE_2025[[SUPERVISOR]:[META]],3,0)</f>
        <v>55500</v>
      </c>
      <c r="D42" s="35">
        <f>D1_DICIEMBRE_2025[[#This Row],[RECUPERO]]/D1_DICIEMBRE_2025[[#This Row],[META]]</f>
        <v>2.4242702702702701</v>
      </c>
      <c r="E42" s="35" t="s">
        <v>4</v>
      </c>
      <c r="F42" t="s">
        <v>75</v>
      </c>
      <c r="G42" s="3">
        <v>134547</v>
      </c>
      <c r="H42" t="s">
        <v>428</v>
      </c>
      <c r="I42" s="55">
        <v>44716</v>
      </c>
      <c r="J42" s="55" t="s">
        <v>501</v>
      </c>
      <c r="K42" s="55"/>
      <c r="L42" s="55"/>
      <c r="M42">
        <f>DATA_DICIEMBRE_2025[[#This Row],[RECUPERO]]/DATA_DICIEMBRE_2025[[#This Row],[META]]</f>
        <v>1.9508732394366197</v>
      </c>
      <c r="N42" s="5">
        <f>6-ROUNDUP(_xlfn.RANK.EQ(DATA_DICIEMBRE_2025[[#This Row],[AL_AC]],DATA_DICIEMBRE_2025[AL_AC],0)/(COUNTA(DATA_DICIEMBRE_2025[AL_AC])/5),0)</f>
        <v>5</v>
      </c>
      <c r="O42" t="s">
        <v>2</v>
      </c>
      <c r="P42">
        <f>SUM(DATA_DICIEMBRE_2025[[#This Row],[1]:[31]])</f>
        <v>69256</v>
      </c>
      <c r="Q42">
        <v>35500</v>
      </c>
      <c r="R42" t="s">
        <v>68</v>
      </c>
      <c r="W42">
        <v>6000</v>
      </c>
      <c r="AC42">
        <v>400</v>
      </c>
      <c r="AD42">
        <v>1500</v>
      </c>
      <c r="AG42">
        <v>790</v>
      </c>
      <c r="AH42">
        <v>25766</v>
      </c>
      <c r="AN42">
        <v>2100</v>
      </c>
      <c r="AO42">
        <v>11000</v>
      </c>
      <c r="AU42">
        <v>1000</v>
      </c>
      <c r="AV42">
        <v>1000</v>
      </c>
      <c r="AW42">
        <v>19700</v>
      </c>
      <c r="AX42" t="s">
        <v>204</v>
      </c>
    </row>
    <row r="43" spans="1:50" x14ac:dyDescent="0.25">
      <c r="A43" s="34" t="s">
        <v>4</v>
      </c>
      <c r="B43" s="34" t="s">
        <v>55</v>
      </c>
      <c r="C43" s="36">
        <f>VLOOKUP(D1_DICIEMBRE_2025[[#This Row],[SUPER]],DATA_DICIEMBRE_2025[[SUPERVISOR]:[META]],3,0)</f>
        <v>55500</v>
      </c>
      <c r="D43" s="35">
        <f>D1_DICIEMBRE_2025[[#This Row],[RECUPERO]]/D1_DICIEMBRE_2025[[#This Row],[META]]</f>
        <v>0.14584828828828827</v>
      </c>
      <c r="E43" s="35" t="s">
        <v>4</v>
      </c>
      <c r="F43" t="s">
        <v>55</v>
      </c>
      <c r="G43" s="3">
        <v>8094.58</v>
      </c>
      <c r="H43" t="s">
        <v>475</v>
      </c>
      <c r="I43" s="55">
        <v>45818</v>
      </c>
      <c r="J43" s="55" t="s">
        <v>501</v>
      </c>
      <c r="K43" s="55"/>
      <c r="L43" s="55"/>
      <c r="M43">
        <f>DATA_DICIEMBRE_2025[[#This Row],[RECUPERO]]/DATA_DICIEMBRE_2025[[#This Row],[META]]</f>
        <v>1.1853333333333333</v>
      </c>
      <c r="N43" s="5">
        <f>6-ROUNDUP(_xlfn.RANK.EQ(DATA_DICIEMBRE_2025[[#This Row],[AL_AC]],DATA_DICIEMBRE_2025[AL_AC],0)/(COUNTA(DATA_DICIEMBRE_2025[AL_AC])/5),0)</f>
        <v>3</v>
      </c>
      <c r="O43" t="s">
        <v>3</v>
      </c>
      <c r="P43">
        <f>SUM(DATA_DICIEMBRE_2025[[#This Row],[1]:[31]])</f>
        <v>65786</v>
      </c>
      <c r="Q43">
        <v>55500</v>
      </c>
      <c r="R43" t="s">
        <v>31</v>
      </c>
      <c r="T43">
        <v>1500</v>
      </c>
      <c r="U43">
        <v>250</v>
      </c>
      <c r="AD43">
        <v>7500</v>
      </c>
      <c r="AE43">
        <v>4000</v>
      </c>
      <c r="AH43">
        <v>2000</v>
      </c>
      <c r="AK43">
        <v>16000</v>
      </c>
      <c r="AO43">
        <v>10400</v>
      </c>
      <c r="AP43">
        <v>2200</v>
      </c>
      <c r="AR43">
        <v>500</v>
      </c>
      <c r="AS43">
        <v>1500</v>
      </c>
      <c r="AV43">
        <v>2200</v>
      </c>
      <c r="AW43">
        <v>17736</v>
      </c>
      <c r="AX43" t="s">
        <v>159</v>
      </c>
    </row>
    <row r="44" spans="1:50" x14ac:dyDescent="0.25">
      <c r="A44" s="34" t="s">
        <v>6</v>
      </c>
      <c r="B44" s="34" t="s">
        <v>11</v>
      </c>
      <c r="C44" s="36">
        <f>VLOOKUP(D1_DICIEMBRE_2025[[#This Row],[SUPER]],DATA_DICIEMBRE_2025[[SUPERVISOR]:[META]],3,0)</f>
        <v>29000</v>
      </c>
      <c r="D44" s="35">
        <f>D1_DICIEMBRE_2025[[#This Row],[RECUPERO]]/D1_DICIEMBRE_2025[[#This Row],[META]]</f>
        <v>1.6536551724137931</v>
      </c>
      <c r="E44" s="35" t="s">
        <v>6</v>
      </c>
      <c r="F44" t="s">
        <v>11</v>
      </c>
      <c r="G44" s="3">
        <v>47956</v>
      </c>
      <c r="H44" t="s">
        <v>429</v>
      </c>
      <c r="I44" s="55">
        <v>45371</v>
      </c>
      <c r="J44" s="55" t="s">
        <v>501</v>
      </c>
      <c r="K44" s="55"/>
      <c r="L44" s="55"/>
      <c r="M44">
        <f>DATA_DICIEMBRE_2025[[#This Row],[RECUPERO]]/DATA_DICIEMBRE_2025[[#This Row],[META]]</f>
        <v>1.0459971830985917</v>
      </c>
      <c r="N44" s="5">
        <f>6-ROUNDUP(_xlfn.RANK.EQ(DATA_DICIEMBRE_2025[[#This Row],[AL_AC]],DATA_DICIEMBRE_2025[AL_AC],0)/(COUNTA(DATA_DICIEMBRE_2025[AL_AC])/5),0)</f>
        <v>2</v>
      </c>
      <c r="O44" t="s">
        <v>2</v>
      </c>
      <c r="P44">
        <f>SUM(DATA_DICIEMBRE_2025[[#This Row],[1]:[31]])</f>
        <v>37132.9</v>
      </c>
      <c r="Q44">
        <v>35500</v>
      </c>
      <c r="R44" t="s">
        <v>29</v>
      </c>
      <c r="S44">
        <v>595</v>
      </c>
      <c r="T44">
        <v>771</v>
      </c>
      <c r="U44">
        <v>383.4</v>
      </c>
      <c r="V44">
        <v>3746</v>
      </c>
      <c r="W44">
        <v>6900</v>
      </c>
      <c r="AB44">
        <v>460</v>
      </c>
      <c r="AC44">
        <v>350</v>
      </c>
      <c r="AG44">
        <v>4875</v>
      </c>
      <c r="AH44">
        <v>4172.5</v>
      </c>
      <c r="AI44">
        <v>6500</v>
      </c>
      <c r="AJ44">
        <v>6500</v>
      </c>
      <c r="AN44">
        <v>380</v>
      </c>
      <c r="AO44">
        <v>657</v>
      </c>
      <c r="AP44">
        <v>300</v>
      </c>
      <c r="AU44">
        <v>350</v>
      </c>
      <c r="AV44">
        <v>193</v>
      </c>
      <c r="AX44" t="s">
        <v>204</v>
      </c>
    </row>
    <row r="45" spans="1:50" x14ac:dyDescent="0.25">
      <c r="A45" s="34" t="s">
        <v>2</v>
      </c>
      <c r="B45" s="34" t="s">
        <v>79</v>
      </c>
      <c r="C45" s="36">
        <f>VLOOKUP(D1_DICIEMBRE_2025[[#This Row],[SUPER]],DATA_DICIEMBRE_2025[[SUPERVISOR]:[META]],3,0)</f>
        <v>35500</v>
      </c>
      <c r="D45" s="35">
        <f>D1_DICIEMBRE_2025[[#This Row],[RECUPERO]]/D1_DICIEMBRE_2025[[#This Row],[META]]</f>
        <v>1.0040360563380282</v>
      </c>
      <c r="E45" s="35" t="s">
        <v>2</v>
      </c>
      <c r="F45" t="s">
        <v>79</v>
      </c>
      <c r="G45" s="3">
        <v>35643.279999999999</v>
      </c>
      <c r="H45" t="s">
        <v>453</v>
      </c>
      <c r="I45" s="55">
        <v>44566</v>
      </c>
      <c r="J45" s="55" t="s">
        <v>501</v>
      </c>
      <c r="K45" s="55"/>
      <c r="L45" s="55"/>
      <c r="M45">
        <f>DATA_DICIEMBRE_2025[[#This Row],[RECUPERO]]/DATA_DICIEMBRE_2025[[#This Row],[META]]</f>
        <v>1.4267605633802818</v>
      </c>
      <c r="N45" s="5">
        <f>6-ROUNDUP(_xlfn.RANK.EQ(DATA_DICIEMBRE_2025[[#This Row],[AL_AC]],DATA_DICIEMBRE_2025[AL_AC],0)/(COUNTA(DATA_DICIEMBRE_2025[AL_AC])/5),0)</f>
        <v>4</v>
      </c>
      <c r="O45" t="s">
        <v>2</v>
      </c>
      <c r="P45">
        <f>SUM(DATA_DICIEMBRE_2025[[#This Row],[1]:[31]])</f>
        <v>50650</v>
      </c>
      <c r="Q45">
        <v>35500</v>
      </c>
      <c r="R45" t="s">
        <v>25</v>
      </c>
      <c r="S45">
        <v>500</v>
      </c>
      <c r="T45">
        <v>1500</v>
      </c>
      <c r="U45">
        <v>250</v>
      </c>
      <c r="Z45">
        <v>250</v>
      </c>
      <c r="AC45">
        <v>10000</v>
      </c>
      <c r="AG45">
        <v>175</v>
      </c>
      <c r="AH45">
        <v>1500</v>
      </c>
      <c r="AI45">
        <v>500</v>
      </c>
      <c r="AK45">
        <v>11500</v>
      </c>
      <c r="AN45">
        <v>5800</v>
      </c>
      <c r="AO45">
        <v>11500</v>
      </c>
      <c r="AP45">
        <v>7000</v>
      </c>
      <c r="AR45">
        <v>175</v>
      </c>
      <c r="AX45" t="s">
        <v>204</v>
      </c>
    </row>
    <row r="46" spans="1:50" x14ac:dyDescent="0.25">
      <c r="A46" s="34" t="s">
        <v>7</v>
      </c>
      <c r="B46" s="34" t="s">
        <v>97</v>
      </c>
      <c r="C46" s="36">
        <f>VLOOKUP(D1_DICIEMBRE_2025[[#This Row],[SUPER]],DATA_DICIEMBRE_2025[[SUPERVISOR]:[META]],3,0)</f>
        <v>21000</v>
      </c>
      <c r="D46" s="35">
        <f>D1_DICIEMBRE_2025[[#This Row],[RECUPERO]]/D1_DICIEMBRE_2025[[#This Row],[META]]</f>
        <v>1.8461904761904762</v>
      </c>
      <c r="E46" s="35" t="s">
        <v>7</v>
      </c>
      <c r="F46" t="s">
        <v>97</v>
      </c>
      <c r="G46" s="3">
        <v>38770</v>
      </c>
      <c r="H46" t="s">
        <v>485</v>
      </c>
      <c r="I46" s="55">
        <v>45889</v>
      </c>
      <c r="J46" s="55" t="s">
        <v>501</v>
      </c>
      <c r="K46" s="55"/>
      <c r="L46" s="55"/>
      <c r="M46">
        <f>DATA_DICIEMBRE_2025[[#This Row],[RECUPERO]]/DATA_DICIEMBRE_2025[[#This Row],[META]]</f>
        <v>0.82893747747747748</v>
      </c>
      <c r="N46" s="5">
        <f>6-ROUNDUP(_xlfn.RANK.EQ(DATA_DICIEMBRE_2025[[#This Row],[AL_AC]],DATA_DICIEMBRE_2025[AL_AC],0)/(COUNTA(DATA_DICIEMBRE_2025[AL_AC])/5),0)</f>
        <v>1</v>
      </c>
      <c r="O46" t="s">
        <v>3</v>
      </c>
      <c r="P46">
        <f>SUM(DATA_DICIEMBRE_2025[[#This Row],[1]:[31]])</f>
        <v>46006.03</v>
      </c>
      <c r="Q46">
        <v>55500</v>
      </c>
      <c r="R46" t="s">
        <v>17</v>
      </c>
      <c r="W46">
        <v>4000</v>
      </c>
      <c r="AB46">
        <v>2500</v>
      </c>
      <c r="AD46">
        <v>1750</v>
      </c>
      <c r="AG46">
        <v>3000</v>
      </c>
      <c r="AH46">
        <v>1500</v>
      </c>
      <c r="AK46">
        <v>13856</v>
      </c>
      <c r="AN46">
        <v>5150</v>
      </c>
      <c r="AO46">
        <v>1650</v>
      </c>
      <c r="AP46">
        <v>4600</v>
      </c>
      <c r="AU46">
        <v>480.03</v>
      </c>
      <c r="AV46">
        <v>520</v>
      </c>
      <c r="AW46">
        <v>7000</v>
      </c>
      <c r="AX46" t="s">
        <v>159</v>
      </c>
    </row>
    <row r="47" spans="1:50" x14ac:dyDescent="0.25">
      <c r="A47" s="34" t="s">
        <v>4</v>
      </c>
      <c r="B47" s="34" t="s">
        <v>59</v>
      </c>
      <c r="C47" s="36">
        <f>VLOOKUP(D1_DICIEMBRE_2025[[#This Row],[SUPER]],DATA_DICIEMBRE_2025[[SUPERVISOR]:[META]],3,0)</f>
        <v>55500</v>
      </c>
      <c r="D47" s="35">
        <f>D1_DICIEMBRE_2025[[#This Row],[RECUPERO]]/D1_DICIEMBRE_2025[[#This Row],[META]]</f>
        <v>1.4183243243243244</v>
      </c>
      <c r="E47" s="35" t="s">
        <v>4</v>
      </c>
      <c r="F47" t="s">
        <v>59</v>
      </c>
      <c r="G47" s="3">
        <v>78717</v>
      </c>
      <c r="H47" t="s">
        <v>430</v>
      </c>
      <c r="I47" s="55">
        <v>45348</v>
      </c>
      <c r="J47" s="55" t="s">
        <v>501</v>
      </c>
      <c r="K47" s="55"/>
      <c r="L47" s="55"/>
      <c r="M47">
        <f>DATA_DICIEMBRE_2025[[#This Row],[RECUPERO]]/DATA_DICIEMBRE_2025[[#This Row],[META]]</f>
        <v>2.0112394366197184</v>
      </c>
      <c r="N47" s="5">
        <f>6-ROUNDUP(_xlfn.RANK.EQ(DATA_DICIEMBRE_2025[[#This Row],[AL_AC]],DATA_DICIEMBRE_2025[AL_AC],0)/(COUNTA(DATA_DICIEMBRE_2025[AL_AC])/5),0)</f>
        <v>5</v>
      </c>
      <c r="O47" t="s">
        <v>2</v>
      </c>
      <c r="P47">
        <f>SUM(DATA_DICIEMBRE_2025[[#This Row],[1]:[31]])</f>
        <v>71399</v>
      </c>
      <c r="Q47">
        <v>35500</v>
      </c>
      <c r="R47" t="s">
        <v>38</v>
      </c>
      <c r="S47">
        <v>2388</v>
      </c>
      <c r="T47">
        <v>1020</v>
      </c>
      <c r="U47">
        <v>287</v>
      </c>
      <c r="W47">
        <v>3195</v>
      </c>
      <c r="AB47">
        <v>1000</v>
      </c>
      <c r="AD47">
        <v>380</v>
      </c>
      <c r="AG47">
        <v>4020</v>
      </c>
      <c r="AH47">
        <v>4000</v>
      </c>
      <c r="AI47">
        <v>900</v>
      </c>
      <c r="AJ47">
        <v>3900</v>
      </c>
      <c r="AK47">
        <v>13300</v>
      </c>
      <c r="AN47">
        <v>1300</v>
      </c>
      <c r="AO47">
        <v>3000</v>
      </c>
      <c r="AU47">
        <v>12220</v>
      </c>
      <c r="AV47">
        <v>9774</v>
      </c>
      <c r="AW47">
        <v>10715</v>
      </c>
      <c r="AX47" t="s">
        <v>204</v>
      </c>
    </row>
    <row r="48" spans="1:50" x14ac:dyDescent="0.25">
      <c r="A48" s="34" t="s">
        <v>7</v>
      </c>
      <c r="B48" s="34" t="s">
        <v>73</v>
      </c>
      <c r="C48" s="36">
        <f>VLOOKUP(D1_DICIEMBRE_2025[[#This Row],[SUPER]],DATA_DICIEMBRE_2025[[SUPERVISOR]:[META]],3,0)</f>
        <v>21000</v>
      </c>
      <c r="D48" s="35">
        <f>D1_DICIEMBRE_2025[[#This Row],[RECUPERO]]/D1_DICIEMBRE_2025[[#This Row],[META]]</f>
        <v>0.84423809523809523</v>
      </c>
      <c r="E48" s="35" t="s">
        <v>7</v>
      </c>
      <c r="F48" t="s">
        <v>73</v>
      </c>
      <c r="G48" s="3">
        <v>17729</v>
      </c>
      <c r="H48" t="s">
        <v>420</v>
      </c>
      <c r="I48" s="55">
        <v>45145</v>
      </c>
      <c r="J48" s="55" t="s">
        <v>501</v>
      </c>
      <c r="K48" s="55"/>
      <c r="L48" s="55"/>
      <c r="M48">
        <f>DATA_DICIEMBRE_2025[[#This Row],[RECUPERO]]/DATA_DICIEMBRE_2025[[#This Row],[META]]</f>
        <v>2.4242702702702701</v>
      </c>
      <c r="N48" s="5">
        <f>6-ROUNDUP(_xlfn.RANK.EQ(DATA_DICIEMBRE_2025[[#This Row],[AL_AC]],DATA_DICIEMBRE_2025[AL_AC],0)/(COUNTA(DATA_DICIEMBRE_2025[AL_AC])/5),0)</f>
        <v>5</v>
      </c>
      <c r="O48" t="s">
        <v>4</v>
      </c>
      <c r="P48">
        <f>SUM(DATA_DICIEMBRE_2025[[#This Row],[1]:[31]])</f>
        <v>134547</v>
      </c>
      <c r="Q48">
        <v>55500</v>
      </c>
      <c r="R48" t="s">
        <v>75</v>
      </c>
      <c r="U48">
        <v>2500</v>
      </c>
      <c r="AB48">
        <v>5000</v>
      </c>
      <c r="AC48">
        <v>6500</v>
      </c>
      <c r="AG48">
        <v>21720</v>
      </c>
      <c r="AH48">
        <v>7700</v>
      </c>
      <c r="AI48">
        <v>2300</v>
      </c>
      <c r="AJ48">
        <v>18340</v>
      </c>
      <c r="AK48">
        <v>6100</v>
      </c>
      <c r="AL48">
        <v>4000</v>
      </c>
      <c r="AO48">
        <v>16500</v>
      </c>
      <c r="AP48">
        <v>637</v>
      </c>
      <c r="AR48">
        <v>25132</v>
      </c>
      <c r="AS48">
        <v>3000</v>
      </c>
      <c r="AU48">
        <v>4069</v>
      </c>
      <c r="AV48">
        <v>399</v>
      </c>
      <c r="AW48">
        <v>10650</v>
      </c>
      <c r="AX48" t="s">
        <v>159</v>
      </c>
    </row>
    <row r="49" spans="1:50" x14ac:dyDescent="0.25">
      <c r="A49" s="34" t="s">
        <v>6</v>
      </c>
      <c r="B49" s="34" t="s">
        <v>34</v>
      </c>
      <c r="C49" s="36">
        <f>VLOOKUP(D1_DICIEMBRE_2025[[#This Row],[SUPER]],DATA_DICIEMBRE_2025[[SUPERVISOR]:[META]],3,0)</f>
        <v>29000</v>
      </c>
      <c r="D49" s="35">
        <f>D1_DICIEMBRE_2025[[#This Row],[RECUPERO]]/D1_DICIEMBRE_2025[[#This Row],[META]]</f>
        <v>1.5746724137931034</v>
      </c>
      <c r="E49" s="35" t="s">
        <v>6</v>
      </c>
      <c r="F49" t="s">
        <v>34</v>
      </c>
      <c r="G49" s="3">
        <v>45665.5</v>
      </c>
      <c r="H49" t="s">
        <v>407</v>
      </c>
      <c r="I49" s="55">
        <v>45175</v>
      </c>
      <c r="J49" s="55" t="s">
        <v>501</v>
      </c>
      <c r="K49" s="55"/>
      <c r="L49" s="55"/>
      <c r="M49">
        <f>DATA_DICIEMBRE_2025[[#This Row],[RECUPERO]]/DATA_DICIEMBRE_2025[[#This Row],[META]]</f>
        <v>0.14584828828828827</v>
      </c>
      <c r="N49" s="5">
        <f>6-ROUNDUP(_xlfn.RANK.EQ(DATA_DICIEMBRE_2025[[#This Row],[AL_AC]],DATA_DICIEMBRE_2025[AL_AC],0)/(COUNTA(DATA_DICIEMBRE_2025[AL_AC])/5),0)</f>
        <v>1</v>
      </c>
      <c r="O49" t="s">
        <v>4</v>
      </c>
      <c r="P49">
        <f>SUM(DATA_DICIEMBRE_2025[[#This Row],[1]:[31]])</f>
        <v>8094.58</v>
      </c>
      <c r="Q49">
        <v>55500</v>
      </c>
      <c r="R49" t="s">
        <v>55</v>
      </c>
      <c r="W49">
        <v>470</v>
      </c>
      <c r="AD49">
        <v>800</v>
      </c>
      <c r="AH49">
        <v>1000</v>
      </c>
      <c r="AI49">
        <v>300</v>
      </c>
      <c r="AJ49">
        <v>4100</v>
      </c>
      <c r="AK49">
        <v>191.58</v>
      </c>
      <c r="AP49">
        <v>800</v>
      </c>
      <c r="AR49">
        <v>433</v>
      </c>
      <c r="AX49" t="s">
        <v>159</v>
      </c>
    </row>
    <row r="50" spans="1:50" x14ac:dyDescent="0.25">
      <c r="A50" s="34" t="s">
        <v>2</v>
      </c>
      <c r="B50" s="34" t="s">
        <v>78</v>
      </c>
      <c r="C50" s="36">
        <f>VLOOKUP(D1_DICIEMBRE_2025[[#This Row],[SUPER]],DATA_DICIEMBRE_2025[[SUPERVISOR]:[META]],3,0)</f>
        <v>35500</v>
      </c>
      <c r="D50" s="35">
        <f>D1_DICIEMBRE_2025[[#This Row],[RECUPERO]]/D1_DICIEMBRE_2025[[#This Row],[META]]</f>
        <v>1.5675774647887324</v>
      </c>
      <c r="E50" s="35" t="s">
        <v>2</v>
      </c>
      <c r="F50" t="s">
        <v>78</v>
      </c>
      <c r="G50" s="3">
        <v>55649</v>
      </c>
      <c r="H50" t="s">
        <v>397</v>
      </c>
      <c r="I50" s="55">
        <v>44945</v>
      </c>
      <c r="J50" s="55" t="s">
        <v>501</v>
      </c>
      <c r="K50" s="55"/>
      <c r="L50" s="55"/>
      <c r="M50">
        <f>DATA_DICIEMBRE_2025[[#This Row],[RECUPERO]]/DATA_DICIEMBRE_2025[[#This Row],[META]]</f>
        <v>1.6536551724137931</v>
      </c>
      <c r="N50" s="5">
        <f>6-ROUNDUP(_xlfn.RANK.EQ(DATA_DICIEMBRE_2025[[#This Row],[AL_AC]],DATA_DICIEMBRE_2025[AL_AC],0)/(COUNTA(DATA_DICIEMBRE_2025[AL_AC])/5),0)</f>
        <v>4</v>
      </c>
      <c r="O50" t="s">
        <v>6</v>
      </c>
      <c r="P50">
        <f>SUM(DATA_DICIEMBRE_2025[[#This Row],[1]:[31]])</f>
        <v>47956</v>
      </c>
      <c r="Q50">
        <v>29000</v>
      </c>
      <c r="R50" t="s">
        <v>11</v>
      </c>
      <c r="V50">
        <v>5800</v>
      </c>
      <c r="W50">
        <v>1063.5</v>
      </c>
      <c r="AC50">
        <v>8254</v>
      </c>
      <c r="AD50">
        <v>7950</v>
      </c>
      <c r="AG50">
        <v>1426.5</v>
      </c>
      <c r="AH50">
        <v>242</v>
      </c>
      <c r="AJ50">
        <v>7000</v>
      </c>
      <c r="AK50">
        <v>550</v>
      </c>
      <c r="AP50">
        <v>300</v>
      </c>
      <c r="AU50">
        <v>200</v>
      </c>
      <c r="AV50">
        <v>2350</v>
      </c>
      <c r="AW50">
        <v>12820</v>
      </c>
      <c r="AX50" t="s">
        <v>203</v>
      </c>
    </row>
    <row r="51" spans="1:50" x14ac:dyDescent="0.25">
      <c r="A51" s="34" t="s">
        <v>7</v>
      </c>
      <c r="B51" s="34" t="s">
        <v>48</v>
      </c>
      <c r="C51" s="36">
        <f>VLOOKUP(D1_DICIEMBRE_2025[[#This Row],[SUPER]],DATA_DICIEMBRE_2025[[SUPERVISOR]:[META]],3,0)</f>
        <v>21000</v>
      </c>
      <c r="D51" s="35">
        <f>D1_DICIEMBRE_2025[[#This Row],[RECUPERO]]/D1_DICIEMBRE_2025[[#This Row],[META]]</f>
        <v>1.0720000000000001</v>
      </c>
      <c r="E51" s="35" t="s">
        <v>7</v>
      </c>
      <c r="F51" t="s">
        <v>48</v>
      </c>
      <c r="G51" s="3">
        <v>22512</v>
      </c>
      <c r="H51" t="s">
        <v>421</v>
      </c>
      <c r="I51" s="55">
        <v>44748</v>
      </c>
      <c r="J51" s="55" t="s">
        <v>501</v>
      </c>
      <c r="K51" s="55"/>
      <c r="L51" s="55"/>
      <c r="M51">
        <f>DATA_DICIEMBRE_2025[[#This Row],[RECUPERO]]/DATA_DICIEMBRE_2025[[#This Row],[META]]</f>
        <v>1.0040360563380282</v>
      </c>
      <c r="N51" s="5">
        <f>6-ROUNDUP(_xlfn.RANK.EQ(DATA_DICIEMBRE_2025[[#This Row],[AL_AC]],DATA_DICIEMBRE_2025[AL_AC],0)/(COUNTA(DATA_DICIEMBRE_2025[AL_AC])/5),0)</f>
        <v>2</v>
      </c>
      <c r="O51" t="s">
        <v>2</v>
      </c>
      <c r="P51">
        <f>SUM(DATA_DICIEMBRE_2025[[#This Row],[1]:[31]])</f>
        <v>35643.279999999999</v>
      </c>
      <c r="Q51">
        <v>35500</v>
      </c>
      <c r="R51" t="s">
        <v>79</v>
      </c>
      <c r="S51">
        <v>1270</v>
      </c>
      <c r="T51">
        <v>4600</v>
      </c>
      <c r="V51">
        <v>3620</v>
      </c>
      <c r="W51">
        <v>1379.28</v>
      </c>
      <c r="AC51">
        <v>790</v>
      </c>
      <c r="AG51">
        <v>1224</v>
      </c>
      <c r="AH51">
        <v>500</v>
      </c>
      <c r="AI51">
        <v>3050</v>
      </c>
      <c r="AJ51">
        <v>3950</v>
      </c>
      <c r="AN51">
        <v>9300</v>
      </c>
      <c r="AO51">
        <v>1300</v>
      </c>
      <c r="AU51">
        <v>570</v>
      </c>
      <c r="AV51">
        <v>1730</v>
      </c>
      <c r="AW51">
        <v>2360</v>
      </c>
      <c r="AX51" t="s">
        <v>204</v>
      </c>
    </row>
    <row r="52" spans="1:50" x14ac:dyDescent="0.25">
      <c r="A52" s="34" t="s">
        <v>4</v>
      </c>
      <c r="B52" s="34" t="s">
        <v>10</v>
      </c>
      <c r="C52" s="36">
        <f>VLOOKUP(D1_DICIEMBRE_2025[[#This Row],[SUPER]],DATA_DICIEMBRE_2025[[SUPERVISOR]:[META]],3,0)</f>
        <v>55500</v>
      </c>
      <c r="D52" s="35">
        <f>D1_DICIEMBRE_2025[[#This Row],[RECUPERO]]/D1_DICIEMBRE_2025[[#This Row],[META]]</f>
        <v>1.0522655855855856</v>
      </c>
      <c r="E52" s="35" t="s">
        <v>4</v>
      </c>
      <c r="F52" t="s">
        <v>10</v>
      </c>
      <c r="G52" s="3">
        <v>58400.74</v>
      </c>
      <c r="H52" t="s">
        <v>449</v>
      </c>
      <c r="I52" s="55">
        <v>44706</v>
      </c>
      <c r="J52" s="55" t="s">
        <v>501</v>
      </c>
      <c r="K52" s="55"/>
      <c r="L52" s="55"/>
      <c r="M52">
        <f>DATA_DICIEMBRE_2025[[#This Row],[RECUPERO]]/DATA_DICIEMBRE_2025[[#This Row],[META]]</f>
        <v>1.8461904761904762</v>
      </c>
      <c r="N52" s="5">
        <f>6-ROUNDUP(_xlfn.RANK.EQ(DATA_DICIEMBRE_2025[[#This Row],[AL_AC]],DATA_DICIEMBRE_2025[AL_AC],0)/(COUNTA(DATA_DICIEMBRE_2025[AL_AC])/5),0)</f>
        <v>5</v>
      </c>
      <c r="O52" t="s">
        <v>7</v>
      </c>
      <c r="P52">
        <f>SUM(DATA_DICIEMBRE_2025[[#This Row],[1]:[31]])</f>
        <v>38770</v>
      </c>
      <c r="Q52">
        <v>21000</v>
      </c>
      <c r="R52" t="s">
        <v>97</v>
      </c>
      <c r="V52">
        <v>84</v>
      </c>
      <c r="Z52">
        <v>200</v>
      </c>
      <c r="AB52">
        <v>3300</v>
      </c>
      <c r="AC52">
        <v>4000</v>
      </c>
      <c r="AD52">
        <v>16700</v>
      </c>
      <c r="AG52">
        <v>950</v>
      </c>
      <c r="AH52">
        <v>285</v>
      </c>
      <c r="AI52">
        <v>335</v>
      </c>
      <c r="AJ52">
        <v>5990</v>
      </c>
      <c r="AO52">
        <v>1200</v>
      </c>
      <c r="AP52">
        <v>230</v>
      </c>
      <c r="AT52">
        <v>600</v>
      </c>
      <c r="AU52">
        <v>700</v>
      </c>
      <c r="AV52">
        <v>3161</v>
      </c>
      <c r="AW52">
        <v>1035</v>
      </c>
      <c r="AX52" t="s">
        <v>175</v>
      </c>
    </row>
    <row r="53" spans="1:50" x14ac:dyDescent="0.25">
      <c r="A53" s="34" t="s">
        <v>2</v>
      </c>
      <c r="B53" s="34" t="s">
        <v>76</v>
      </c>
      <c r="C53" s="36">
        <f>VLOOKUP(D1_DICIEMBRE_2025[[#This Row],[SUPER]],DATA_DICIEMBRE_2025[[SUPERVISOR]:[META]],3,0)</f>
        <v>35500</v>
      </c>
      <c r="D53" s="35">
        <f>D1_DICIEMBRE_2025[[#This Row],[RECUPERO]]/D1_DICIEMBRE_2025[[#This Row],[META]]</f>
        <v>2.468434366197183</v>
      </c>
      <c r="E53" s="35" t="s">
        <v>2</v>
      </c>
      <c r="F53" t="s">
        <v>76</v>
      </c>
      <c r="G53" s="3">
        <v>87629.42</v>
      </c>
      <c r="H53" t="s">
        <v>408</v>
      </c>
      <c r="I53" s="55">
        <v>44819</v>
      </c>
      <c r="J53" s="55" t="s">
        <v>501</v>
      </c>
      <c r="K53" s="55"/>
      <c r="L53" s="55"/>
      <c r="M53">
        <f>DATA_DICIEMBRE_2025[[#This Row],[RECUPERO]]/DATA_DICIEMBRE_2025[[#This Row],[META]]</f>
        <v>1.4183243243243244</v>
      </c>
      <c r="N53" s="5">
        <f>6-ROUNDUP(_xlfn.RANK.EQ(DATA_DICIEMBRE_2025[[#This Row],[AL_AC]],DATA_DICIEMBRE_2025[AL_AC],0)/(COUNTA(DATA_DICIEMBRE_2025[AL_AC])/5),0)</f>
        <v>3</v>
      </c>
      <c r="O53" t="s">
        <v>4</v>
      </c>
      <c r="P53">
        <f>SUM(DATA_DICIEMBRE_2025[[#This Row],[1]:[31]])</f>
        <v>78717</v>
      </c>
      <c r="Q53">
        <v>55500</v>
      </c>
      <c r="R53" t="s">
        <v>59</v>
      </c>
      <c r="S53">
        <v>1500</v>
      </c>
      <c r="V53">
        <v>1000</v>
      </c>
      <c r="W53">
        <v>800</v>
      </c>
      <c r="AB53">
        <v>5000</v>
      </c>
      <c r="AC53">
        <v>550</v>
      </c>
      <c r="AD53">
        <v>3000</v>
      </c>
      <c r="AG53">
        <v>2000</v>
      </c>
      <c r="AH53">
        <v>8600</v>
      </c>
      <c r="AI53">
        <v>3000</v>
      </c>
      <c r="AJ53">
        <v>9000</v>
      </c>
      <c r="AK53">
        <v>600</v>
      </c>
      <c r="AN53">
        <v>12400</v>
      </c>
      <c r="AO53">
        <v>340</v>
      </c>
      <c r="AP53">
        <v>6575</v>
      </c>
      <c r="AR53">
        <v>4000</v>
      </c>
      <c r="AU53">
        <v>12180</v>
      </c>
      <c r="AV53">
        <v>7672</v>
      </c>
      <c r="AW53">
        <v>500</v>
      </c>
      <c r="AX53" t="s">
        <v>159</v>
      </c>
    </row>
    <row r="54" spans="1:50" x14ac:dyDescent="0.25">
      <c r="A54" s="34"/>
      <c r="B54" s="34"/>
      <c r="C54" s="35"/>
      <c r="D54" s="35"/>
      <c r="E54" s="35"/>
      <c r="H54"/>
      <c r="M54">
        <f>DATA_DICIEMBRE_2025[[#This Row],[RECUPERO]]/DATA_DICIEMBRE_2025[[#This Row],[META]]</f>
        <v>0.84423809523809523</v>
      </c>
      <c r="N54" s="5">
        <f>6-ROUNDUP(_xlfn.RANK.EQ(DATA_DICIEMBRE_2025[[#This Row],[AL_AC]],DATA_DICIEMBRE_2025[AL_AC],0)/(COUNTA(DATA_DICIEMBRE_2025[AL_AC])/5),0)</f>
        <v>1</v>
      </c>
      <c r="O54" t="s">
        <v>7</v>
      </c>
      <c r="P54">
        <f>SUM(DATA_DICIEMBRE_2025[[#This Row],[1]:[31]])</f>
        <v>17729</v>
      </c>
      <c r="Q54">
        <v>21000</v>
      </c>
      <c r="R54" t="s">
        <v>73</v>
      </c>
      <c r="T54">
        <v>600</v>
      </c>
      <c r="V54">
        <v>5000</v>
      </c>
      <c r="W54">
        <v>500</v>
      </c>
      <c r="AA54">
        <v>207</v>
      </c>
      <c r="AC54">
        <v>1700</v>
      </c>
      <c r="AG54">
        <v>2000</v>
      </c>
      <c r="AH54">
        <v>100</v>
      </c>
      <c r="AJ54">
        <v>4750</v>
      </c>
      <c r="AK54">
        <v>220</v>
      </c>
      <c r="AO54">
        <v>300</v>
      </c>
      <c r="AR54">
        <v>590</v>
      </c>
      <c r="AV54">
        <v>630</v>
      </c>
      <c r="AW54">
        <v>1132</v>
      </c>
      <c r="AX54" t="s">
        <v>175</v>
      </c>
    </row>
    <row r="55" spans="1:50" x14ac:dyDescent="0.25">
      <c r="A55" s="34"/>
      <c r="B55" s="34"/>
      <c r="C55" s="35"/>
      <c r="D55" s="35"/>
      <c r="E55" s="35"/>
      <c r="H55"/>
      <c r="M55">
        <f>DATA_DICIEMBRE_2025[[#This Row],[RECUPERO]]/DATA_DICIEMBRE_2025[[#This Row],[META]]</f>
        <v>1.5746724137931034</v>
      </c>
      <c r="N55" s="5">
        <f>6-ROUNDUP(_xlfn.RANK.EQ(DATA_DICIEMBRE_2025[[#This Row],[AL_AC]],DATA_DICIEMBRE_2025[AL_AC],0)/(COUNTA(DATA_DICIEMBRE_2025[AL_AC])/5),0)</f>
        <v>4</v>
      </c>
      <c r="O55" t="s">
        <v>6</v>
      </c>
      <c r="P55">
        <f>SUM(DATA_DICIEMBRE_2025[[#This Row],[1]:[31]])</f>
        <v>45665.5</v>
      </c>
      <c r="Q55">
        <v>29000</v>
      </c>
      <c r="R55" t="s">
        <v>34</v>
      </c>
      <c r="T55">
        <v>3300</v>
      </c>
      <c r="U55">
        <v>5000</v>
      </c>
      <c r="V55">
        <v>575</v>
      </c>
      <c r="W55">
        <v>3600</v>
      </c>
      <c r="AB55">
        <v>500</v>
      </c>
      <c r="AG55">
        <v>600</v>
      </c>
      <c r="AH55">
        <v>800</v>
      </c>
      <c r="AJ55">
        <v>4100</v>
      </c>
      <c r="AK55">
        <v>11700.5</v>
      </c>
      <c r="AO55">
        <v>6300</v>
      </c>
      <c r="AU55">
        <v>6500</v>
      </c>
      <c r="AV55">
        <v>2690</v>
      </c>
      <c r="AX55" t="s">
        <v>203</v>
      </c>
    </row>
    <row r="56" spans="1:50" x14ac:dyDescent="0.25">
      <c r="A56" s="34"/>
      <c r="B56" s="34"/>
      <c r="C56" s="35"/>
      <c r="D56" s="35"/>
      <c r="E56" s="35"/>
      <c r="H56"/>
      <c r="M56">
        <f>DATA_DICIEMBRE_2025[[#This Row],[RECUPERO]]/DATA_DICIEMBRE_2025[[#This Row],[META]]</f>
        <v>1.5675774647887324</v>
      </c>
      <c r="N56" s="5">
        <f>6-ROUNDUP(_xlfn.RANK.EQ(DATA_DICIEMBRE_2025[[#This Row],[AL_AC]],DATA_DICIEMBRE_2025[AL_AC],0)/(COUNTA(DATA_DICIEMBRE_2025[AL_AC])/5),0)</f>
        <v>4</v>
      </c>
      <c r="O56" t="s">
        <v>2</v>
      </c>
      <c r="P56">
        <f>SUM(DATA_DICIEMBRE_2025[[#This Row],[1]:[31]])</f>
        <v>55649</v>
      </c>
      <c r="Q56">
        <v>35500</v>
      </c>
      <c r="R56" t="s">
        <v>78</v>
      </c>
      <c r="S56">
        <v>1000</v>
      </c>
      <c r="U56">
        <v>416</v>
      </c>
      <c r="W56">
        <v>260</v>
      </c>
      <c r="AB56">
        <v>500</v>
      </c>
      <c r="AC56">
        <v>500</v>
      </c>
      <c r="AD56">
        <v>150</v>
      </c>
      <c r="AE56">
        <v>12000</v>
      </c>
      <c r="AG56">
        <v>455</v>
      </c>
      <c r="AH56">
        <v>980</v>
      </c>
      <c r="AI56">
        <v>500</v>
      </c>
      <c r="AJ56">
        <v>12000</v>
      </c>
      <c r="AL56">
        <v>350</v>
      </c>
      <c r="AN56">
        <v>21807</v>
      </c>
      <c r="AO56">
        <v>1000</v>
      </c>
      <c r="AP56">
        <v>300</v>
      </c>
      <c r="AU56">
        <v>1500</v>
      </c>
      <c r="AV56">
        <v>1931</v>
      </c>
      <c r="AX56" t="s">
        <v>204</v>
      </c>
    </row>
    <row r="57" spans="1:50" x14ac:dyDescent="0.25">
      <c r="A57" s="34"/>
      <c r="B57" s="34"/>
      <c r="C57" s="35"/>
      <c r="D57" s="35"/>
      <c r="E57" s="35"/>
      <c r="H57"/>
      <c r="M57">
        <f>DATA_DICIEMBRE_2025[[#This Row],[RECUPERO]]/DATA_DICIEMBRE_2025[[#This Row],[META]]</f>
        <v>1.0720000000000001</v>
      </c>
      <c r="N57" s="5">
        <f>6-ROUNDUP(_xlfn.RANK.EQ(DATA_DICIEMBRE_2025[[#This Row],[AL_AC]],DATA_DICIEMBRE_2025[AL_AC],0)/(COUNTA(DATA_DICIEMBRE_2025[AL_AC])/5),0)</f>
        <v>2</v>
      </c>
      <c r="O57" t="s">
        <v>7</v>
      </c>
      <c r="P57">
        <f>SUM(DATA_DICIEMBRE_2025[[#This Row],[1]:[31]])</f>
        <v>22512</v>
      </c>
      <c r="Q57">
        <v>21000</v>
      </c>
      <c r="R57" t="s">
        <v>48</v>
      </c>
      <c r="S57">
        <v>400</v>
      </c>
      <c r="T57">
        <v>276</v>
      </c>
      <c r="W57">
        <v>200</v>
      </c>
      <c r="AB57">
        <v>200</v>
      </c>
      <c r="AD57">
        <v>800</v>
      </c>
      <c r="AG57">
        <v>2900</v>
      </c>
      <c r="AH57">
        <v>1250</v>
      </c>
      <c r="AI57">
        <v>1200</v>
      </c>
      <c r="AK57">
        <v>5350</v>
      </c>
      <c r="AL57">
        <v>660</v>
      </c>
      <c r="AP57">
        <v>250</v>
      </c>
      <c r="AR57">
        <v>5000</v>
      </c>
      <c r="AU57">
        <v>1526</v>
      </c>
      <c r="AW57">
        <v>2500</v>
      </c>
      <c r="AX57" t="s">
        <v>175</v>
      </c>
    </row>
    <row r="58" spans="1:50" x14ac:dyDescent="0.25">
      <c r="A58" s="34"/>
      <c r="B58" s="34"/>
      <c r="C58" s="35"/>
      <c r="D58" s="35"/>
      <c r="E58" s="35"/>
      <c r="H58"/>
      <c r="M58">
        <f>DATA_DICIEMBRE_2025[[#This Row],[RECUPERO]]/DATA_DICIEMBRE_2025[[#This Row],[META]]</f>
        <v>1.0522655855855856</v>
      </c>
      <c r="N58" s="5">
        <f>6-ROUNDUP(_xlfn.RANK.EQ(DATA_DICIEMBRE_2025[[#This Row],[AL_AC]],DATA_DICIEMBRE_2025[AL_AC],0)/(COUNTA(DATA_DICIEMBRE_2025[AL_AC])/5),0)</f>
        <v>2</v>
      </c>
      <c r="O58" t="s">
        <v>4</v>
      </c>
      <c r="P58">
        <f>SUM(DATA_DICIEMBRE_2025[[#This Row],[1]:[31]])</f>
        <v>58400.74</v>
      </c>
      <c r="Q58">
        <v>55500</v>
      </c>
      <c r="R58" t="s">
        <v>10</v>
      </c>
      <c r="S58">
        <v>200</v>
      </c>
      <c r="U58">
        <v>2000</v>
      </c>
      <c r="W58">
        <v>600</v>
      </c>
      <c r="AE58">
        <v>2000</v>
      </c>
      <c r="AG58">
        <v>430</v>
      </c>
      <c r="AH58">
        <v>4500</v>
      </c>
      <c r="AI58">
        <v>1650</v>
      </c>
      <c r="AJ58">
        <v>6000</v>
      </c>
      <c r="AN58">
        <v>4192</v>
      </c>
      <c r="AO58">
        <v>2000</v>
      </c>
      <c r="AP58">
        <v>688</v>
      </c>
      <c r="AR58">
        <v>2000</v>
      </c>
      <c r="AU58">
        <v>8100</v>
      </c>
      <c r="AV58">
        <v>12540.74</v>
      </c>
      <c r="AW58">
        <v>11500</v>
      </c>
      <c r="AX58" t="s">
        <v>159</v>
      </c>
    </row>
    <row r="59" spans="1:50" x14ac:dyDescent="0.25">
      <c r="A59" s="34"/>
      <c r="B59" s="34"/>
      <c r="C59" s="35"/>
      <c r="D59" s="35"/>
      <c r="E59" s="35"/>
      <c r="H59"/>
      <c r="M59">
        <f>DATA_DICIEMBRE_2025[[#This Row],[RECUPERO]]/DATA_DICIEMBRE_2025[[#This Row],[META]]</f>
        <v>2.468434366197183</v>
      </c>
      <c r="N59" s="5">
        <f>6-ROUNDUP(_xlfn.RANK.EQ(DATA_DICIEMBRE_2025[[#This Row],[AL_AC]],DATA_DICIEMBRE_2025[AL_AC],0)/(COUNTA(DATA_DICIEMBRE_2025[AL_AC])/5),0)</f>
        <v>5</v>
      </c>
      <c r="O59" t="s">
        <v>2</v>
      </c>
      <c r="P59">
        <f>SUM(DATA_DICIEMBRE_2025[[#This Row],[1]:[31]])</f>
        <v>87629.42</v>
      </c>
      <c r="Q59">
        <v>35500</v>
      </c>
      <c r="R59" t="s">
        <v>76</v>
      </c>
      <c r="U59">
        <v>1430.42</v>
      </c>
      <c r="V59">
        <v>2800</v>
      </c>
      <c r="AB59">
        <v>299</v>
      </c>
      <c r="AC59">
        <v>3700</v>
      </c>
      <c r="AD59">
        <v>29450</v>
      </c>
      <c r="AG59">
        <v>15200</v>
      </c>
      <c r="AI59">
        <v>3000</v>
      </c>
      <c r="AK59">
        <v>8300</v>
      </c>
      <c r="AN59">
        <v>10000</v>
      </c>
      <c r="AO59">
        <v>6000</v>
      </c>
      <c r="AP59">
        <v>5600</v>
      </c>
      <c r="AV59">
        <v>1850</v>
      </c>
      <c r="AX59" t="s">
        <v>204</v>
      </c>
    </row>
    <row r="60" spans="1:50" x14ac:dyDescent="0.25">
      <c r="H60"/>
    </row>
    <row r="61" spans="1:50" x14ac:dyDescent="0.25">
      <c r="H61"/>
    </row>
    <row r="62" spans="1:50" x14ac:dyDescent="0.25">
      <c r="H62"/>
    </row>
  </sheetData>
  <phoneticPr fontId="2" type="noConversion"/>
  <conditionalFormatting sqref="R9:R59">
    <cfRule type="duplicateValues" dxfId="14" priority="1"/>
  </conditionalFormatting>
  <pageMargins left="0.7" right="0.7" top="0.75" bottom="0.75" header="0.3" footer="0.3"/>
  <tableParts count="4">
    <tablePart r:id="rId1"/>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4D5AD-157E-40E4-9301-557FAC541E18}">
  <dimension ref="A1:CO66"/>
  <sheetViews>
    <sheetView zoomScale="70" zoomScaleNormal="70" workbookViewId="0">
      <selection activeCell="N8" sqref="N8"/>
    </sheetView>
  </sheetViews>
  <sheetFormatPr baseColWidth="10" defaultRowHeight="15" x14ac:dyDescent="0.25"/>
  <cols>
    <col min="1" max="1" width="13" bestFit="1" customWidth="1"/>
    <col min="2" max="2" width="27.28515625" bestFit="1" customWidth="1"/>
    <col min="3" max="3" width="13.5703125" bestFit="1" customWidth="1"/>
    <col min="4" max="4" width="16" bestFit="1" customWidth="1"/>
    <col min="5" max="5" width="14.42578125" bestFit="1" customWidth="1"/>
    <col min="6" max="6" width="27.28515625" bestFit="1" customWidth="1"/>
    <col min="7" max="7" width="17.85546875" bestFit="1" customWidth="1"/>
    <col min="8" max="8" width="15.42578125" customWidth="1"/>
    <col min="9" max="9" width="27.85546875" customWidth="1"/>
    <col min="10" max="10" width="14.5703125" bestFit="1" customWidth="1"/>
    <col min="13" max="13" width="14.85546875" bestFit="1" customWidth="1"/>
    <col min="14" max="14" width="21.42578125" customWidth="1"/>
    <col min="15" max="15" width="20.7109375" bestFit="1" customWidth="1"/>
    <col min="16" max="16" width="16.28515625" customWidth="1"/>
    <col min="17" max="17" width="9.85546875" customWidth="1"/>
    <col min="18" max="18" width="26.7109375" bestFit="1" customWidth="1"/>
    <col min="19" max="19" width="8.7109375" bestFit="1" customWidth="1"/>
    <col min="20" max="20" width="7.42578125" bestFit="1" customWidth="1"/>
    <col min="21" max="22" width="6.28515625" bestFit="1" customWidth="1"/>
    <col min="23" max="23" width="7.42578125" bestFit="1" customWidth="1"/>
    <col min="24" max="24" width="8.7109375" bestFit="1" customWidth="1"/>
    <col min="25" max="26" width="7.42578125" bestFit="1" customWidth="1"/>
    <col min="27" max="27" width="10" bestFit="1" customWidth="1"/>
    <col min="28" max="28" width="7.42578125" bestFit="1" customWidth="1"/>
    <col min="29" max="29" width="8.7109375" bestFit="1" customWidth="1"/>
    <col min="30" max="30" width="6.28515625" bestFit="1" customWidth="1"/>
    <col min="31" max="39" width="6.28515625" customWidth="1"/>
    <col min="40" max="48" width="7.42578125" bestFit="1" customWidth="1"/>
    <col min="49" max="49" width="8.7109375" bestFit="1" customWidth="1"/>
    <col min="50" max="50" width="24.85546875" customWidth="1"/>
    <col min="52" max="52" width="18.42578125" customWidth="1"/>
    <col min="53" max="53" width="32.28515625" customWidth="1"/>
    <col min="54" max="54" width="30.42578125" customWidth="1"/>
    <col min="55" max="55" width="11.42578125" customWidth="1"/>
    <col min="56" max="57" width="8.140625" bestFit="1" customWidth="1"/>
    <col min="58" max="66" width="8.140625" customWidth="1"/>
    <col min="67" max="69" width="8.140625" bestFit="1" customWidth="1"/>
    <col min="70" max="75" width="8.85546875" bestFit="1" customWidth="1"/>
    <col min="76" max="83" width="9.28515625" bestFit="1" customWidth="1"/>
    <col min="84" max="84" width="8.85546875" bestFit="1" customWidth="1"/>
    <col min="85" max="86" width="9.28515625" bestFit="1" customWidth="1"/>
    <col min="87" max="87" width="14.42578125" customWidth="1"/>
    <col min="89" max="89" width="17.7109375" bestFit="1" customWidth="1"/>
    <col min="90" max="90" width="11.140625" bestFit="1" customWidth="1"/>
    <col min="91" max="91" width="13.140625" bestFit="1" customWidth="1"/>
    <col min="92" max="92" width="12" bestFit="1" customWidth="1"/>
    <col min="93" max="93" width="10.7109375" bestFit="1" customWidth="1"/>
  </cols>
  <sheetData>
    <row r="1" spans="1:93" x14ac:dyDescent="0.25">
      <c r="A1" s="34"/>
      <c r="B1" s="34"/>
      <c r="C1" s="35"/>
      <c r="D1" s="35"/>
      <c r="E1" s="35"/>
      <c r="J1" s="55"/>
      <c r="K1" s="55"/>
      <c r="L1" s="55"/>
      <c r="N1" s="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s="62" t="str">
        <f>D1_ENERO_2026[[#This Row],[SUPER2]]</f>
        <v>JOHAN</v>
      </c>
      <c r="B3" s="61" t="str">
        <f>D1_ENERO_2026[[#This Row],[ASESOR]]</f>
        <v>JANETH PORTOCARRERO</v>
      </c>
      <c r="C3" s="62" t="s">
        <v>548</v>
      </c>
      <c r="D3" s="62">
        <v>0</v>
      </c>
      <c r="E3" s="62" t="s">
        <v>125</v>
      </c>
      <c r="F3" s="61" t="s">
        <v>49</v>
      </c>
      <c r="G3" s="61"/>
      <c r="H3" s="65" t="s">
        <v>436</v>
      </c>
      <c r="I3" s="63">
        <v>43313</v>
      </c>
      <c r="J3" s="63" t="s">
        <v>500</v>
      </c>
      <c r="K3" s="63"/>
      <c r="L3" s="55"/>
      <c r="M3" s="33">
        <v>2026</v>
      </c>
      <c r="N3" s="33" t="s">
        <v>139</v>
      </c>
      <c r="O3" s="33">
        <v>22</v>
      </c>
    </row>
    <row r="4" spans="1:93" x14ac:dyDescent="0.25">
      <c r="A4" s="62" t="str">
        <f>D1_ENERO_2026[[#This Row],[SUPER2]]</f>
        <v>MELINA</v>
      </c>
      <c r="B4" s="61" t="str">
        <f>D1_ENERO_2026[[#This Row],[ASESOR]]</f>
        <v>CRISTINA TICONA</v>
      </c>
      <c r="C4" s="62" t="s">
        <v>548</v>
      </c>
      <c r="D4" s="62">
        <v>0</v>
      </c>
      <c r="E4" s="62" t="s">
        <v>4</v>
      </c>
      <c r="F4" s="61" t="s">
        <v>61</v>
      </c>
      <c r="G4" s="61"/>
      <c r="H4" s="65" t="s">
        <v>411</v>
      </c>
      <c r="I4" s="63">
        <v>44907</v>
      </c>
      <c r="J4" s="63" t="s">
        <v>500</v>
      </c>
      <c r="K4" s="63"/>
      <c r="L4" s="55"/>
      <c r="N4" s="5"/>
    </row>
    <row r="5" spans="1:93" x14ac:dyDescent="0.25">
      <c r="A5" s="62" t="str">
        <f>D1_ENERO_2026[[#This Row],[SUPER2]]</f>
        <v>SANDY</v>
      </c>
      <c r="B5" s="61" t="str">
        <f>D1_ENERO_2026[[#This Row],[ASESOR]]</f>
        <v>EVELY TENORIO</v>
      </c>
      <c r="C5" s="62" t="s">
        <v>548</v>
      </c>
      <c r="D5" s="62">
        <v>0</v>
      </c>
      <c r="E5" s="62" t="s">
        <v>3</v>
      </c>
      <c r="F5" s="61" t="s">
        <v>22</v>
      </c>
      <c r="G5" s="61"/>
      <c r="H5" s="65" t="s">
        <v>442</v>
      </c>
      <c r="I5" s="63">
        <v>45295</v>
      </c>
      <c r="J5" s="63" t="s">
        <v>500</v>
      </c>
      <c r="K5" s="63"/>
      <c r="L5" s="55"/>
      <c r="N5" s="5"/>
      <c r="BY5" s="45"/>
    </row>
    <row r="6" spans="1:93" x14ac:dyDescent="0.25">
      <c r="A6" s="35" t="str">
        <f>D1_ENERO_2026[[#This Row],[SUPER2]]</f>
        <v>MELINA</v>
      </c>
      <c r="B6" s="34" t="str">
        <f>D1_ENERO_2026[[#This Row],[ASESOR]]</f>
        <v>ALEIDITH GUEVARA</v>
      </c>
      <c r="C6" s="36">
        <f>VLOOKUP(D1_ENERO_2026[[#This Row],[SUPER]],DATA_ENERO_2026[[SUPERVISOR]:[META]],3,0)</f>
        <v>48000</v>
      </c>
      <c r="D6" s="35">
        <f>D1_ENERO_2026[[#This Row],[RECUPERO]]/C6</f>
        <v>0.73239583333333336</v>
      </c>
      <c r="E6" s="35" t="s">
        <v>4</v>
      </c>
      <c r="F6" s="34" t="s">
        <v>18</v>
      </c>
      <c r="G6" s="36">
        <v>35155</v>
      </c>
      <c r="H6" s="34" t="s">
        <v>431</v>
      </c>
      <c r="I6" s="60">
        <v>45132</v>
      </c>
      <c r="J6" s="60" t="s">
        <v>501</v>
      </c>
      <c r="K6" s="60"/>
      <c r="L6" s="55"/>
      <c r="N6" s="5"/>
    </row>
    <row r="7" spans="1:93" x14ac:dyDescent="0.25">
      <c r="A7" s="35" t="str">
        <f>D1_ENERO_2026[[#This Row],[SUPER2]]</f>
        <v>JOHAN</v>
      </c>
      <c r="B7" s="34" t="str">
        <f>D1_ENERO_2026[[#This Row],[ASESOR]]</f>
        <v>ALEJANDRA QUISPE</v>
      </c>
      <c r="C7" s="36">
        <f>VLOOKUP(D1_ENERO_2026[[#This Row],[SUPER]],DATA_ENERO_2026[[SUPERVISOR]:[META]],3,0)</f>
        <v>24500</v>
      </c>
      <c r="D7" s="35">
        <f>D1_ENERO_2026[[#This Row],[RECUPERO]]/C7</f>
        <v>2.0175918367346939</v>
      </c>
      <c r="E7" s="35" t="s">
        <v>125</v>
      </c>
      <c r="F7" s="34" t="s">
        <v>58</v>
      </c>
      <c r="G7" s="36">
        <v>49431</v>
      </c>
      <c r="H7" s="34" t="s">
        <v>441</v>
      </c>
      <c r="I7" s="60">
        <v>43119</v>
      </c>
      <c r="J7" s="60" t="s">
        <v>501</v>
      </c>
      <c r="K7" s="60"/>
      <c r="L7" s="55"/>
      <c r="M7" s="1"/>
      <c r="N7" s="5"/>
      <c r="CK7" t="s">
        <v>626</v>
      </c>
      <c r="CL7" t="s">
        <v>148</v>
      </c>
      <c r="CM7" t="s">
        <v>149</v>
      </c>
      <c r="CN7" t="s">
        <v>176</v>
      </c>
      <c r="CO7" t="s">
        <v>139</v>
      </c>
    </row>
    <row r="8" spans="1:93" x14ac:dyDescent="0.25">
      <c r="A8" s="35" t="str">
        <f>D1_ENERO_2026[[#This Row],[SUPER2]]</f>
        <v>JOHAN</v>
      </c>
      <c r="B8" s="34" t="str">
        <f>D1_ENERO_2026[[#This Row],[ASESOR]]</f>
        <v>ALEJANDRO GONZALES</v>
      </c>
      <c r="C8" s="36">
        <f>VLOOKUP(D1_ENERO_2026[[#This Row],[SUPER]],DATA_ENERO_2026[[SUPERVISOR]:[META]],3,0)</f>
        <v>24500</v>
      </c>
      <c r="D8" s="35">
        <f>D1_ENERO_2026[[#This Row],[RECUPERO]]/C8</f>
        <v>1.2057142857142857</v>
      </c>
      <c r="E8" s="35" t="s">
        <v>125</v>
      </c>
      <c r="F8" s="34" t="s">
        <v>109</v>
      </c>
      <c r="G8" s="36">
        <v>29540</v>
      </c>
      <c r="H8" s="34" t="s">
        <v>422</v>
      </c>
      <c r="I8" s="60">
        <v>46024</v>
      </c>
      <c r="J8" s="60" t="s">
        <v>501</v>
      </c>
      <c r="K8" s="60"/>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row>
    <row r="9" spans="1:93" x14ac:dyDescent="0.25">
      <c r="A9" s="35" t="str">
        <f>D1_ENERO_2026[[#This Row],[SUPER2]]</f>
        <v>MELINA</v>
      </c>
      <c r="B9" s="34" t="str">
        <f>D1_ENERO_2026[[#This Row],[ASESOR]]</f>
        <v>ANALUCIA PONCE</v>
      </c>
      <c r="C9" s="36">
        <f>VLOOKUP(D1_ENERO_2026[[#This Row],[SUPER]],DATA_ENERO_2026[[SUPERVISOR]:[META]],3,0)</f>
        <v>48000</v>
      </c>
      <c r="D9" s="35">
        <f>D1_ENERO_2026[[#This Row],[RECUPERO]]/C9</f>
        <v>1.3685416666666668</v>
      </c>
      <c r="E9" s="35" t="s">
        <v>4</v>
      </c>
      <c r="F9" s="34" t="s">
        <v>60</v>
      </c>
      <c r="G9" s="36">
        <v>65690</v>
      </c>
      <c r="H9" s="34" t="s">
        <v>423</v>
      </c>
      <c r="I9" s="60">
        <v>45854</v>
      </c>
      <c r="J9" s="60" t="s">
        <v>501</v>
      </c>
      <c r="K9" s="60"/>
      <c r="L9" s="55"/>
      <c r="M9" s="5">
        <f>DATA_ENERO_2026[[#This Row],[RECUPERO]]/DATA_ENERO_2026[[#This Row],[META]]</f>
        <v>0.73239583333333336</v>
      </c>
      <c r="N9" s="5">
        <f>6-ROUNDUP(_xlfn.RANK.EQ(DATA_ENERO_2026[[#This Row],[AL_AC]],DATA_ENERO_2026[AL_AC],0)/(COUNTA(DATA_ENERO_2026[AL_AC])/5),0)</f>
        <v>2</v>
      </c>
      <c r="O9" s="54" t="s">
        <v>4</v>
      </c>
      <c r="P9" s="6">
        <f>SUM(DATA_ENERO_2026[[#This Row],[1]:[31]])</f>
        <v>35155</v>
      </c>
      <c r="Q9" s="6">
        <v>48000</v>
      </c>
      <c r="R9" t="s">
        <v>18</v>
      </c>
      <c r="X9">
        <v>1700</v>
      </c>
      <c r="Y9">
        <v>2000</v>
      </c>
      <c r="Z9">
        <v>2500</v>
      </c>
      <c r="AD9">
        <v>600</v>
      </c>
      <c r="AG9">
        <v>1000</v>
      </c>
      <c r="AH9">
        <v>6550</v>
      </c>
      <c r="AK9">
        <v>2000</v>
      </c>
      <c r="AM9">
        <v>1550</v>
      </c>
      <c r="AN9">
        <v>3055</v>
      </c>
      <c r="AR9">
        <v>1700</v>
      </c>
      <c r="AS9">
        <v>1500</v>
      </c>
      <c r="AT9">
        <v>6500</v>
      </c>
      <c r="AU9">
        <v>3500</v>
      </c>
      <c r="AV9">
        <v>1000</v>
      </c>
      <c r="AX9" t="str" cm="1">
        <f t="array" ref="AX9">IFERROR(VLOOKUP(DATA_ENERO_2026[[#This Row],[ASER_]],_xlfn._xlws.FILTER(PLANTILLA[[ASESOR]:[FECHA DE CESE]],PLANTILLA[FECHA]=_xlfn.CONCAT($M$3,"_",_xlfn.IFS($N$3="ENERO","1",$N$3="FEBRERO","2",$N$3="MARZO","3",$N$3="ABRIL","4",$N$3="MAYO","5",$N$3="JUNIO","6",$N$3="JULIO","7",$N$3="AGOSTO","8",$N$3="SETIEMBRE","9",$N$3="OCTUBRE","10",$N$3="NOVIEMBRE","11",$N$3="DICIEMBRE","12"))),8,0),"")</f>
        <v>S1</v>
      </c>
      <c r="AZ9" s="11">
        <v>297083</v>
      </c>
      <c r="BA9" s="11">
        <f>MAX(DITE_ENERO_2026[[#This Row],[1]:[31]])</f>
        <v>340748.2</v>
      </c>
      <c r="BB9" s="17">
        <f>DITE_ENERO_2026[[#This Row],[RECUPERO SUPERVISOR]]/DITE_ENERO_2026[[#This Row],[META SUPER]]</f>
        <v>1.1469798002578404</v>
      </c>
      <c r="BC9" s="11" t="s">
        <v>125</v>
      </c>
      <c r="BD9" s="46">
        <v>400</v>
      </c>
      <c r="BE9" s="46">
        <v>2110</v>
      </c>
      <c r="BF9" s="46">
        <v>2110</v>
      </c>
      <c r="BG9" s="46">
        <v>2110</v>
      </c>
      <c r="BH9" s="46">
        <v>15126</v>
      </c>
      <c r="BI9" s="46">
        <v>36911</v>
      </c>
      <c r="BJ9" s="46">
        <v>55516</v>
      </c>
      <c r="BK9" s="46">
        <v>71116</v>
      </c>
      <c r="BL9" s="46">
        <v>82783</v>
      </c>
      <c r="BM9" s="46">
        <v>83183</v>
      </c>
      <c r="BN9" s="46">
        <v>83383</v>
      </c>
      <c r="BO9" s="46">
        <v>96805</v>
      </c>
      <c r="BP9" s="46">
        <v>100205</v>
      </c>
      <c r="BQ9" s="46">
        <v>114555</v>
      </c>
      <c r="BR9" s="46">
        <v>147698</v>
      </c>
      <c r="BS9" s="46">
        <v>165430</v>
      </c>
      <c r="BT9" s="46">
        <v>165780</v>
      </c>
      <c r="BU9" s="46">
        <v>165780</v>
      </c>
      <c r="BV9" s="46">
        <v>174836</v>
      </c>
      <c r="BW9" s="46">
        <v>183186</v>
      </c>
      <c r="BX9" s="46">
        <v>204416</v>
      </c>
      <c r="BY9" s="46">
        <v>211498</v>
      </c>
      <c r="BZ9" s="46">
        <v>221348</v>
      </c>
      <c r="CA9" s="46">
        <v>224348</v>
      </c>
      <c r="CB9" s="46">
        <v>224348</v>
      </c>
      <c r="CC9" s="46">
        <v>257528.2</v>
      </c>
      <c r="CD9" s="46">
        <v>274628.2</v>
      </c>
      <c r="CE9" s="46">
        <v>286318.2</v>
      </c>
      <c r="CF9" s="46">
        <v>304637.2</v>
      </c>
      <c r="CG9" s="46">
        <v>336257.2</v>
      </c>
      <c r="CH9" s="46">
        <v>340748.2</v>
      </c>
      <c r="CI9" s="10" t="s">
        <v>175</v>
      </c>
      <c r="CK9" t="s">
        <v>125</v>
      </c>
      <c r="CL9" t="s">
        <v>5</v>
      </c>
      <c r="CM9" t="s">
        <v>5</v>
      </c>
      <c r="CN9" t="s">
        <v>7</v>
      </c>
      <c r="CO9" t="s">
        <v>125</v>
      </c>
    </row>
    <row r="10" spans="1:93" x14ac:dyDescent="0.25">
      <c r="A10" s="35" t="str">
        <f>D1_ENERO_2026[[#This Row],[SUPER2]]</f>
        <v>JORGE</v>
      </c>
      <c r="B10" s="34" t="str">
        <f>D1_ENERO_2026[[#This Row],[ASESOR]]</f>
        <v>ANDERSON RODRIGUEZ</v>
      </c>
      <c r="C10" s="36">
        <f>VLOOKUP(D1_ENERO_2026[[#This Row],[SUPER]],DATA_ENERO_2026[[SUPERVISOR]:[META]],3,0)</f>
        <v>32600</v>
      </c>
      <c r="D10" s="35">
        <f>D1_ENERO_2026[[#This Row],[RECUPERO]]/C10</f>
        <v>1.1276687116564417</v>
      </c>
      <c r="E10" s="35" t="s">
        <v>2</v>
      </c>
      <c r="F10" s="34" t="s">
        <v>15</v>
      </c>
      <c r="G10" s="36">
        <v>36762</v>
      </c>
      <c r="H10" s="34" t="s">
        <v>410</v>
      </c>
      <c r="I10" s="60">
        <v>44733</v>
      </c>
      <c r="J10" s="60" t="s">
        <v>501</v>
      </c>
      <c r="K10" s="60"/>
      <c r="L10" s="55"/>
      <c r="M10" s="5">
        <f>DATA_ENERO_2026[[#This Row],[RECUPERO]]/DATA_ENERO_2026[[#This Row],[META]]</f>
        <v>2.0175918367346939</v>
      </c>
      <c r="N10" s="5">
        <f>6-ROUNDUP(_xlfn.RANK.EQ(DATA_ENERO_2026[[#This Row],[AL_AC]],DATA_ENERO_2026[AL_AC],0)/(COUNTA(DATA_ENERO_2026[AL_AC])/5),0)</f>
        <v>5</v>
      </c>
      <c r="O10" s="54" t="s">
        <v>125</v>
      </c>
      <c r="P10" s="6">
        <f>SUM(DATA_ENERO_2026[[#This Row],[1]:[31]])</f>
        <v>49431</v>
      </c>
      <c r="Q10" s="6">
        <v>24500</v>
      </c>
      <c r="R10" t="s">
        <v>58</v>
      </c>
      <c r="T10">
        <v>1000</v>
      </c>
      <c r="X10">
        <v>1650</v>
      </c>
      <c r="Y10">
        <v>205</v>
      </c>
      <c r="Z10">
        <v>11100</v>
      </c>
      <c r="AD10">
        <v>500</v>
      </c>
      <c r="AF10">
        <v>2850</v>
      </c>
      <c r="AG10">
        <v>300</v>
      </c>
      <c r="AH10">
        <v>7000</v>
      </c>
      <c r="AK10">
        <v>706</v>
      </c>
      <c r="AL10">
        <v>150</v>
      </c>
      <c r="AM10">
        <v>1750</v>
      </c>
      <c r="AN10">
        <v>1600</v>
      </c>
      <c r="AO10">
        <v>2500</v>
      </c>
      <c r="AP10">
        <v>3000</v>
      </c>
      <c r="AR10">
        <v>8500</v>
      </c>
      <c r="AS10">
        <v>2110</v>
      </c>
      <c r="AT10">
        <v>1700</v>
      </c>
      <c r="AU10">
        <v>1000</v>
      </c>
      <c r="AV10">
        <v>1810</v>
      </c>
      <c r="AX10" t="str" cm="1">
        <f t="array" ref="AX10">IFERROR(VLOOKUP(DATA_ENERO_2026[[#This Row],[ASER_]],_xlfn._xlws.FILTER(PLANTILLA[[ASESOR]:[FECHA DE CESE]],PLANTILLA[FECHA]=_xlfn.CONCAT($M$3,"_",_xlfn.IFS($N$3="ENERO","1",$N$3="FEBRERO","2",$N$3="MARZO","3",$N$3="ABRIL","4",$N$3="MAYO","5",$N$3="JUNIO","6",$N$3="JULIO","7",$N$3="AGOSTO","8",$N$3="SETIEMBRE","9",$N$3="OCTUBRE","10",$N$3="NOVIEMBRE","11",$N$3="DICIEMBRE","12"))),8,0),"")</f>
        <v>S2-3-4</v>
      </c>
      <c r="AZ10" s="11">
        <v>294010</v>
      </c>
      <c r="BA10" s="11">
        <f>MAX(DITE_ENERO_2026[[#This Row],[1]:[31]])</f>
        <v>360055.53</v>
      </c>
      <c r="BB10" s="17">
        <f>DITE_ENERO_2026[[#This Row],[RECUPERO SUPERVISOR]]/DITE_ENERO_2026[[#This Row],[META SUPER]]</f>
        <v>1.2246370191490086</v>
      </c>
      <c r="BC10" s="11" t="s">
        <v>2</v>
      </c>
      <c r="BD10" s="46">
        <v>500</v>
      </c>
      <c r="BE10" s="46">
        <v>1108.4000000000001</v>
      </c>
      <c r="BF10" s="46">
        <v>1608.4</v>
      </c>
      <c r="BG10" s="46">
        <v>1608.4</v>
      </c>
      <c r="BH10" s="46">
        <v>11716.4</v>
      </c>
      <c r="BI10" s="46">
        <v>12366.4</v>
      </c>
      <c r="BJ10" s="46">
        <v>15371.4</v>
      </c>
      <c r="BK10" s="46">
        <v>32222.400000000001</v>
      </c>
      <c r="BL10" s="46">
        <v>48431.9</v>
      </c>
      <c r="BM10" s="46">
        <v>48431.9</v>
      </c>
      <c r="BN10" s="46">
        <v>48431.9</v>
      </c>
      <c r="BO10" s="46">
        <v>74981.899999999994</v>
      </c>
      <c r="BP10" s="46">
        <v>99191.9</v>
      </c>
      <c r="BQ10" s="46">
        <v>122048.03</v>
      </c>
      <c r="BR10" s="46">
        <v>142478.03</v>
      </c>
      <c r="BS10" s="46">
        <v>152001.03</v>
      </c>
      <c r="BT10" s="46">
        <v>152001.03</v>
      </c>
      <c r="BU10" s="46">
        <v>154223.53</v>
      </c>
      <c r="BV10" s="46">
        <v>171383.53</v>
      </c>
      <c r="BW10" s="46">
        <v>172202.53</v>
      </c>
      <c r="BX10" s="46">
        <v>196559.53</v>
      </c>
      <c r="BY10" s="46">
        <v>231666.53</v>
      </c>
      <c r="BZ10" s="46">
        <v>235866.53</v>
      </c>
      <c r="CA10" s="46">
        <v>237946.53</v>
      </c>
      <c r="CB10" s="46">
        <v>237946.53</v>
      </c>
      <c r="CC10" s="46">
        <v>249121.53</v>
      </c>
      <c r="CD10" s="46">
        <v>279334.53000000003</v>
      </c>
      <c r="CE10" s="46">
        <v>301284.53000000003</v>
      </c>
      <c r="CF10" s="46">
        <v>309147.53000000003</v>
      </c>
      <c r="CG10" s="46">
        <v>342605.53</v>
      </c>
      <c r="CH10" s="46">
        <v>360055.53</v>
      </c>
      <c r="CI10" s="10" t="s">
        <v>209</v>
      </c>
      <c r="CK10" t="s">
        <v>2</v>
      </c>
      <c r="CL10" t="s">
        <v>125</v>
      </c>
      <c r="CM10" t="s">
        <v>2</v>
      </c>
      <c r="CN10" t="s">
        <v>2</v>
      </c>
      <c r="CO10" t="s">
        <v>2</v>
      </c>
    </row>
    <row r="11" spans="1:93" x14ac:dyDescent="0.25">
      <c r="A11" s="35" t="str">
        <f>D1_ENERO_2026[[#This Row],[SUPER2]]</f>
        <v>JOHAN</v>
      </c>
      <c r="B11" s="34" t="str">
        <f>D1_ENERO_2026[[#This Row],[ASESOR]]</f>
        <v>CARLA VALENCIA</v>
      </c>
      <c r="C11" s="36">
        <f>VLOOKUP(D1_ENERO_2026[[#This Row],[SUPER]],DATA_ENERO_2026[[SUPERVISOR]:[META]],3,0)</f>
        <v>24500</v>
      </c>
      <c r="D11" s="35">
        <f>D1_ENERO_2026[[#This Row],[RECUPERO]]/C11</f>
        <v>1.0128571428571429</v>
      </c>
      <c r="E11" s="35" t="s">
        <v>125</v>
      </c>
      <c r="F11" s="34" t="s">
        <v>174</v>
      </c>
      <c r="G11" s="36">
        <v>24815</v>
      </c>
      <c r="H11" s="34" t="s">
        <v>492</v>
      </c>
      <c r="I11" s="60">
        <v>45992</v>
      </c>
      <c r="J11" s="60" t="s">
        <v>501</v>
      </c>
      <c r="K11" s="60"/>
      <c r="L11" s="55"/>
      <c r="M11" s="5">
        <f>DATA_ENERO_2026[[#This Row],[RECUPERO]]/DATA_ENERO_2026[[#This Row],[META]]</f>
        <v>1.2057142857142857</v>
      </c>
      <c r="N11" s="5">
        <f>6-ROUNDUP(_xlfn.RANK.EQ(DATA_ENERO_2026[[#This Row],[AL_AC]],DATA_ENERO_2026[AL_AC],0)/(COUNTA(DATA_ENERO_2026[AL_AC])/5),0)</f>
        <v>3</v>
      </c>
      <c r="O11" s="54" t="s">
        <v>125</v>
      </c>
      <c r="P11" s="6">
        <f>SUM(DATA_ENERO_2026[[#This Row],[1]:[31]])</f>
        <v>29540</v>
      </c>
      <c r="Q11" s="6">
        <v>24500</v>
      </c>
      <c r="R11" t="s">
        <v>109</v>
      </c>
      <c r="S11" s="45"/>
      <c r="W11">
        <v>1200</v>
      </c>
      <c r="X11">
        <v>2000</v>
      </c>
      <c r="Y11">
        <v>4000</v>
      </c>
      <c r="AD11">
        <v>3000</v>
      </c>
      <c r="AE11">
        <v>1000</v>
      </c>
      <c r="AF11">
        <v>3000</v>
      </c>
      <c r="AG11">
        <v>200</v>
      </c>
      <c r="AL11">
        <v>1000</v>
      </c>
      <c r="AM11">
        <v>3000</v>
      </c>
      <c r="AR11">
        <v>1500</v>
      </c>
      <c r="AS11">
        <v>3340</v>
      </c>
      <c r="AU11">
        <v>3000</v>
      </c>
      <c r="AV11">
        <v>1300</v>
      </c>
      <c r="AW11">
        <v>2000</v>
      </c>
      <c r="AX11" t="str" cm="1">
        <f t="array" ref="AX11">IFERROR(VLOOKUP(DATA_ENERO_2026[[#This Row],[ASER_]],_xlfn._xlws.FILTER(PLANTILLA[[ASESOR]:[FECHA DE CESE]],PLANTILLA[FECHA]=_xlfn.CONCAT($M$3,"_",_xlfn.IFS($N$3="ENERO","1",$N$3="FEBRERO","2",$N$3="MARZO","3",$N$3="ABRIL","4",$N$3="MAYO","5",$N$3="JUNIO","6",$N$3="JULIO","7",$N$3="AGOSTO","8",$N$3="SETIEMBRE","9",$N$3="OCTUBRE","10",$N$3="NOVIEMBRE","11",$N$3="DICIEMBRE","12"))),8,0),"")</f>
        <v>S2-3-4</v>
      </c>
      <c r="AZ11" s="11">
        <v>251174</v>
      </c>
      <c r="BA11" s="11">
        <f>MAX(DITE_ENERO_2026[[#This Row],[1]:[31]])</f>
        <v>359369.1</v>
      </c>
      <c r="BB11" s="17">
        <f>DITE_ENERO_2026[[#This Row],[RECUPERO SUPERVISOR]]/DITE_ENERO_2026[[#This Row],[META SUPER]]</f>
        <v>1.4307575624865629</v>
      </c>
      <c r="BC11" s="11" t="s">
        <v>6</v>
      </c>
      <c r="BD11" s="46">
        <v>1500</v>
      </c>
      <c r="BE11" s="46">
        <v>21500</v>
      </c>
      <c r="BF11" s="46">
        <v>21800</v>
      </c>
      <c r="BG11" s="46">
        <v>21800</v>
      </c>
      <c r="BH11" s="46">
        <v>29950</v>
      </c>
      <c r="BI11" s="46">
        <v>50600</v>
      </c>
      <c r="BJ11" s="46">
        <v>58063</v>
      </c>
      <c r="BK11" s="46">
        <v>79238</v>
      </c>
      <c r="BL11" s="46">
        <v>110669</v>
      </c>
      <c r="BM11" s="46">
        <v>110669</v>
      </c>
      <c r="BN11" s="46">
        <v>110669</v>
      </c>
      <c r="BO11" s="46">
        <v>133724</v>
      </c>
      <c r="BP11" s="46">
        <v>154257</v>
      </c>
      <c r="BQ11" s="46">
        <v>180408</v>
      </c>
      <c r="BR11" s="46">
        <v>190849</v>
      </c>
      <c r="BS11" s="46">
        <v>195139</v>
      </c>
      <c r="BT11" s="46">
        <v>198734</v>
      </c>
      <c r="BU11" s="46">
        <v>198734</v>
      </c>
      <c r="BV11" s="46">
        <v>208929</v>
      </c>
      <c r="BW11" s="46">
        <v>212129</v>
      </c>
      <c r="BX11" s="46">
        <v>231749</v>
      </c>
      <c r="BY11" s="46">
        <v>242259.1</v>
      </c>
      <c r="BZ11" s="46">
        <v>246059.1</v>
      </c>
      <c r="CA11" s="46">
        <v>246059.1</v>
      </c>
      <c r="CB11" s="46">
        <v>246059.1</v>
      </c>
      <c r="CC11" s="46">
        <v>251259.1</v>
      </c>
      <c r="CD11" s="46">
        <v>284932.09999999998</v>
      </c>
      <c r="CE11" s="46">
        <v>302072.09999999998</v>
      </c>
      <c r="CF11" s="46">
        <v>315932.09999999998</v>
      </c>
      <c r="CG11" s="46">
        <v>351216.1</v>
      </c>
      <c r="CH11" s="46">
        <v>359369.1</v>
      </c>
      <c r="CI11" s="11" t="s">
        <v>209</v>
      </c>
      <c r="CK11" t="s">
        <v>6</v>
      </c>
      <c r="CL11" t="s">
        <v>6</v>
      </c>
      <c r="CM11" t="s">
        <v>6</v>
      </c>
      <c r="CN11" t="s">
        <v>6</v>
      </c>
      <c r="CO11" t="s">
        <v>6</v>
      </c>
    </row>
    <row r="12" spans="1:93" x14ac:dyDescent="0.25">
      <c r="A12" s="35" t="str">
        <f>D1_ENERO_2026[[#This Row],[SUPER2]]</f>
        <v>KENNETH</v>
      </c>
      <c r="B12" s="34" t="str">
        <f>D1_ENERO_2026[[#This Row],[ASESOR]]</f>
        <v>CARMEN PUMA</v>
      </c>
      <c r="C12" s="36">
        <f>VLOOKUP(D1_ENERO_2026[[#This Row],[SUPER]],DATA_ENERO_2026[[SUPERVISOR]:[META]],3,0)</f>
        <v>27900</v>
      </c>
      <c r="D12" s="35">
        <f>D1_ENERO_2026[[#This Row],[RECUPERO]]/C12</f>
        <v>1.8079928315412186</v>
      </c>
      <c r="E12" s="35" t="s">
        <v>6</v>
      </c>
      <c r="F12" s="34" t="s">
        <v>19</v>
      </c>
      <c r="G12" s="36">
        <v>50443</v>
      </c>
      <c r="H12" s="34" t="s">
        <v>399</v>
      </c>
      <c r="I12" s="60">
        <v>44671</v>
      </c>
      <c r="J12" s="60" t="s">
        <v>501</v>
      </c>
      <c r="K12" s="60"/>
      <c r="L12" s="55"/>
      <c r="M12" s="5">
        <f>DATA_ENERO_2026[[#This Row],[RECUPERO]]/DATA_ENERO_2026[[#This Row],[META]]</f>
        <v>1.3685416666666668</v>
      </c>
      <c r="N12" s="5">
        <f>6-ROUNDUP(_xlfn.RANK.EQ(DATA_ENERO_2026[[#This Row],[AL_AC]],DATA_ENERO_2026[AL_AC],0)/(COUNTA(DATA_ENERO_2026[AL_AC])/5),0)</f>
        <v>4</v>
      </c>
      <c r="O12" s="54" t="s">
        <v>4</v>
      </c>
      <c r="P12" s="6">
        <f>SUM(DATA_ENERO_2026[[#This Row],[1]:[31]])</f>
        <v>65690</v>
      </c>
      <c r="Q12" s="6">
        <v>48000</v>
      </c>
      <c r="R12" t="s">
        <v>60</v>
      </c>
      <c r="T12">
        <v>4000</v>
      </c>
      <c r="W12">
        <v>600</v>
      </c>
      <c r="X12">
        <v>3400</v>
      </c>
      <c r="Y12">
        <v>2500</v>
      </c>
      <c r="AE12">
        <v>2500</v>
      </c>
      <c r="AF12">
        <v>3800</v>
      </c>
      <c r="AG12">
        <v>1062</v>
      </c>
      <c r="AH12">
        <v>24764</v>
      </c>
      <c r="AI12">
        <v>975</v>
      </c>
      <c r="AK12">
        <v>956</v>
      </c>
      <c r="AM12">
        <v>9100</v>
      </c>
      <c r="AN12">
        <v>5300</v>
      </c>
      <c r="AR12">
        <v>1750</v>
      </c>
      <c r="AT12">
        <v>3336</v>
      </c>
      <c r="AV12">
        <v>1647</v>
      </c>
      <c r="AX12" t="str" cm="1">
        <f t="array" ref="AX12">IFERROR(VLOOKUP(DATA_ENERO_2026[[#This Row],[ASER_]],_xlfn._xlws.FILTER(PLANTILLA[[ASESOR]:[FECHA DE CESE]],PLANTILLA[FECHA]=_xlfn.CONCAT($M$3,"_",_xlfn.IFS($N$3="ENERO","1",$N$3="FEBRERO","2",$N$3="MARZO","3",$N$3="ABRIL","4",$N$3="MAYO","5",$N$3="JUNIO","6",$N$3="JULIO","7",$N$3="AGOSTO","8",$N$3="SETIEMBRE","9",$N$3="OCTUBRE","10",$N$3="NOVIEMBRE","11",$N$3="DICIEMBRE","12"))),8,0),"")</f>
        <v>S1</v>
      </c>
      <c r="AZ12" s="11">
        <v>431682</v>
      </c>
      <c r="BA12" s="11">
        <f>MAX(DITE_ENERO_2026[[#This Row],[1]:[31]])</f>
        <v>438491</v>
      </c>
      <c r="BB12" s="17">
        <f>DITE_ENERO_2026[[#This Row],[RECUPERO SUPERVISOR]]/DITE_ENERO_2026[[#This Row],[META SUPER]]</f>
        <v>1.0157731848907297</v>
      </c>
      <c r="BC12" s="11" t="s">
        <v>4</v>
      </c>
      <c r="BD12" s="46">
        <v>1060</v>
      </c>
      <c r="BE12" s="46">
        <v>18860</v>
      </c>
      <c r="BF12" s="46">
        <v>19890</v>
      </c>
      <c r="BG12" s="46">
        <v>19890</v>
      </c>
      <c r="BH12" s="46">
        <v>50521</v>
      </c>
      <c r="BI12" s="46">
        <v>59771</v>
      </c>
      <c r="BJ12" s="46">
        <v>77971</v>
      </c>
      <c r="BK12" s="46">
        <v>83271</v>
      </c>
      <c r="BL12" s="46">
        <v>108117</v>
      </c>
      <c r="BM12" s="46">
        <v>108117</v>
      </c>
      <c r="BN12" s="46">
        <v>115617</v>
      </c>
      <c r="BO12" s="46">
        <v>134367</v>
      </c>
      <c r="BP12" s="46">
        <v>143667</v>
      </c>
      <c r="BQ12" s="46">
        <v>149467</v>
      </c>
      <c r="BR12" s="46">
        <v>172429</v>
      </c>
      <c r="BS12" s="46">
        <v>212403</v>
      </c>
      <c r="BT12" s="46">
        <v>215228</v>
      </c>
      <c r="BU12" s="46">
        <v>215228</v>
      </c>
      <c r="BV12" s="46">
        <v>224174</v>
      </c>
      <c r="BW12" s="46">
        <v>236828</v>
      </c>
      <c r="BX12" s="46">
        <v>258013</v>
      </c>
      <c r="BY12" s="46">
        <v>278668</v>
      </c>
      <c r="BZ12" s="46">
        <v>303668</v>
      </c>
      <c r="CA12" s="46">
        <v>303668</v>
      </c>
      <c r="CB12" s="46">
        <v>304356</v>
      </c>
      <c r="CC12" s="46">
        <v>327383</v>
      </c>
      <c r="CD12" s="46">
        <v>335313</v>
      </c>
      <c r="CE12" s="46">
        <v>355449</v>
      </c>
      <c r="CF12" s="46">
        <v>381949</v>
      </c>
      <c r="CG12" s="46">
        <v>420894</v>
      </c>
      <c r="CH12" s="46">
        <v>438491</v>
      </c>
      <c r="CI12" s="11" t="s">
        <v>159</v>
      </c>
      <c r="CK12" t="s">
        <v>4</v>
      </c>
      <c r="CL12" t="s">
        <v>4</v>
      </c>
      <c r="CM12" t="s">
        <v>4</v>
      </c>
      <c r="CN12" t="s">
        <v>4</v>
      </c>
      <c r="CO12" t="s">
        <v>4</v>
      </c>
    </row>
    <row r="13" spans="1:93" x14ac:dyDescent="0.25">
      <c r="A13" s="35" t="str">
        <f>D1_ENERO_2026[[#This Row],[SUPER2]]</f>
        <v>JOHAN</v>
      </c>
      <c r="B13" s="34" t="str">
        <f>D1_ENERO_2026[[#This Row],[ASESOR]]</f>
        <v>CHRISTIAN ALVARADO</v>
      </c>
      <c r="C13" s="36">
        <f>VLOOKUP(D1_ENERO_2026[[#This Row],[SUPER]],DATA_ENERO_2026[[SUPERVISOR]:[META]],3,0)</f>
        <v>24500</v>
      </c>
      <c r="D13" s="35">
        <f>D1_ENERO_2026[[#This Row],[RECUPERO]]/C13</f>
        <v>0.65453061224489795</v>
      </c>
      <c r="E13" s="35" t="s">
        <v>125</v>
      </c>
      <c r="F13" s="34" t="s">
        <v>41</v>
      </c>
      <c r="G13" s="36">
        <v>16036</v>
      </c>
      <c r="H13" s="34" t="s">
        <v>387</v>
      </c>
      <c r="I13" s="60">
        <v>45302</v>
      </c>
      <c r="J13" s="60" t="s">
        <v>501</v>
      </c>
      <c r="K13" s="60"/>
      <c r="L13" s="55"/>
      <c r="M13" s="5">
        <f>DATA_ENERO_2026[[#This Row],[RECUPERO]]/DATA_ENERO_2026[[#This Row],[META]]</f>
        <v>1.1276687116564417</v>
      </c>
      <c r="N13" s="5">
        <f>6-ROUNDUP(_xlfn.RANK.EQ(DATA_ENERO_2026[[#This Row],[AL_AC]],DATA_ENERO_2026[AL_AC],0)/(COUNTA(DATA_ENERO_2026[AL_AC])/5),0)</f>
        <v>3</v>
      </c>
      <c r="O13" s="54" t="s">
        <v>2</v>
      </c>
      <c r="P13" s="6">
        <f>SUM(DATA_ENERO_2026[[#This Row],[1]:[31]])</f>
        <v>36762</v>
      </c>
      <c r="Q13" s="6">
        <v>32600</v>
      </c>
      <c r="R13" t="s">
        <v>15</v>
      </c>
      <c r="Z13">
        <v>351</v>
      </c>
      <c r="AA13">
        <v>340</v>
      </c>
      <c r="AE13">
        <v>3130</v>
      </c>
      <c r="AG13">
        <v>3000</v>
      </c>
      <c r="AN13">
        <v>320</v>
      </c>
      <c r="AS13">
        <v>3781</v>
      </c>
      <c r="AT13">
        <v>11000</v>
      </c>
      <c r="AV13">
        <v>11500</v>
      </c>
      <c r="AW13">
        <v>3340</v>
      </c>
      <c r="AX13" t="str" cm="1">
        <f t="array" ref="AX13">IFERROR(VLOOKUP(DATA_ENERO_2026[[#This Row],[ASER_]],_xlfn._xlws.FILTER(PLANTILLA[[ASESOR]:[FECHA DE CESE]],PLANTILLA[FECHA]=_xlfn.CONCAT($M$3,"_",_xlfn.IFS($N$3="ENERO","1",$N$3="FEBRERO","2",$N$3="MARZO","3",$N$3="ABRIL","4",$N$3="MAYO","5",$N$3="JUNIO","6",$N$3="JULIO","7",$N$3="AGOSTO","8",$N$3="SETIEMBRE","9",$N$3="OCTUBRE","10",$N$3="NOVIEMBRE","11",$N$3="DICIEMBRE","12"))),8,0),"")</f>
        <v>S0</v>
      </c>
      <c r="AZ13" s="11">
        <v>431682</v>
      </c>
      <c r="BA13" s="11">
        <f>MAX(DITE_ENERO_2026[[#This Row],[1]:[31]])</f>
        <v>487798.45</v>
      </c>
      <c r="BB13" s="17">
        <f>DITE_ENERO_2026[[#This Row],[RECUPERO SUPERVISOR]]/DITE_ENERO_2026[[#This Row],[META SUPER]]</f>
        <v>1.1299948804907316</v>
      </c>
      <c r="BC13" s="11" t="s">
        <v>3</v>
      </c>
      <c r="BD13" s="46">
        <v>689</v>
      </c>
      <c r="BE13" s="46">
        <v>4525</v>
      </c>
      <c r="BF13" s="45">
        <v>5037</v>
      </c>
      <c r="BG13" s="45">
        <v>6237</v>
      </c>
      <c r="BH13" s="45">
        <v>20926.900000000001</v>
      </c>
      <c r="BI13" s="45">
        <v>38654.9</v>
      </c>
      <c r="BJ13" s="45">
        <v>50154.9</v>
      </c>
      <c r="BK13" s="45">
        <v>55454.9</v>
      </c>
      <c r="BL13" s="45">
        <v>103034.9</v>
      </c>
      <c r="BM13" s="45">
        <v>103259.9</v>
      </c>
      <c r="BN13" s="45">
        <v>103259.9</v>
      </c>
      <c r="BO13" s="45">
        <v>116770.9</v>
      </c>
      <c r="BP13" s="46">
        <v>161695.9</v>
      </c>
      <c r="BQ13" s="46">
        <v>172695.9</v>
      </c>
      <c r="BR13" s="46">
        <v>199395.9</v>
      </c>
      <c r="BS13" s="46">
        <v>239116.9</v>
      </c>
      <c r="BT13" s="45">
        <v>239116.9</v>
      </c>
      <c r="BU13" s="46">
        <v>239116.9</v>
      </c>
      <c r="BV13" s="46">
        <v>247099.9</v>
      </c>
      <c r="BW13" s="46">
        <v>257199.9</v>
      </c>
      <c r="BX13" s="45">
        <v>282648.90000000002</v>
      </c>
      <c r="BY13" s="46">
        <v>305084.90000000002</v>
      </c>
      <c r="BZ13" s="46">
        <v>333898.90000000002</v>
      </c>
      <c r="CA13" s="46">
        <v>344586.95</v>
      </c>
      <c r="CB13" s="46">
        <v>344586.95</v>
      </c>
      <c r="CC13" s="46">
        <v>357516.95</v>
      </c>
      <c r="CD13" s="46">
        <v>377666.95</v>
      </c>
      <c r="CE13" s="46">
        <v>422068.95</v>
      </c>
      <c r="CF13" s="46">
        <v>444881.95</v>
      </c>
      <c r="CG13" s="46">
        <v>472011.95</v>
      </c>
      <c r="CH13" s="46">
        <v>487798.45</v>
      </c>
      <c r="CI13" s="10" t="s">
        <v>159</v>
      </c>
      <c r="CK13" t="s">
        <v>3</v>
      </c>
      <c r="CL13" t="s">
        <v>3</v>
      </c>
      <c r="CM13" t="s">
        <v>3</v>
      </c>
      <c r="CN13" t="s">
        <v>3</v>
      </c>
      <c r="CO13" t="s">
        <v>3</v>
      </c>
    </row>
    <row r="14" spans="1:93" x14ac:dyDescent="0.25">
      <c r="A14" s="35" t="str">
        <f>D1_ENERO_2026[[#This Row],[SUPER2]]</f>
        <v>KENNETH</v>
      </c>
      <c r="B14" s="34" t="str">
        <f>D1_ENERO_2026[[#This Row],[ASESOR]]</f>
        <v>DANIEL ZAPATA</v>
      </c>
      <c r="C14" s="36">
        <f>VLOOKUP(D1_ENERO_2026[[#This Row],[SUPER]],DATA_ENERO_2026[[SUPERVISOR]:[META]],3,0)</f>
        <v>27900</v>
      </c>
      <c r="D14" s="35">
        <f>D1_ENERO_2026[[#This Row],[RECUPERO]]/C14</f>
        <v>0.75376344086021507</v>
      </c>
      <c r="E14" s="35" t="s">
        <v>6</v>
      </c>
      <c r="F14" s="34" t="s">
        <v>80</v>
      </c>
      <c r="G14" s="36">
        <v>21030</v>
      </c>
      <c r="H14" s="34" t="s">
        <v>433</v>
      </c>
      <c r="I14" s="60">
        <v>45281</v>
      </c>
      <c r="J14" s="60" t="s">
        <v>501</v>
      </c>
      <c r="K14" s="60"/>
      <c r="L14" s="55"/>
      <c r="M14" s="5">
        <f>DATA_ENERO_2026[[#This Row],[RECUPERO]]/DATA_ENERO_2026[[#This Row],[META]]</f>
        <v>1.0128571428571429</v>
      </c>
      <c r="N14" s="5">
        <f>6-ROUNDUP(_xlfn.RANK.EQ(DATA_ENERO_2026[[#This Row],[AL_AC]],DATA_ENERO_2026[AL_AC],0)/(COUNTA(DATA_ENERO_2026[AL_AC])/5),0)</f>
        <v>3</v>
      </c>
      <c r="O14" s="54" t="s">
        <v>125</v>
      </c>
      <c r="P14" s="6">
        <f>SUM(DATA_ENERO_2026[[#This Row],[1]:[31]])</f>
        <v>24815</v>
      </c>
      <c r="Q14" s="6">
        <v>24500</v>
      </c>
      <c r="R14" t="s">
        <v>174</v>
      </c>
      <c r="S14" s="45"/>
      <c r="W14">
        <v>800</v>
      </c>
      <c r="X14">
        <v>1000</v>
      </c>
      <c r="Z14">
        <v>1500</v>
      </c>
      <c r="AA14">
        <v>500</v>
      </c>
      <c r="AC14">
        <v>200</v>
      </c>
      <c r="AD14">
        <v>1000</v>
      </c>
      <c r="AE14">
        <v>500</v>
      </c>
      <c r="AG14">
        <v>5000</v>
      </c>
      <c r="AH14">
        <v>1395</v>
      </c>
      <c r="AL14">
        <v>3500</v>
      </c>
      <c r="AN14">
        <v>230</v>
      </c>
      <c r="AR14">
        <v>6330</v>
      </c>
      <c r="AS14">
        <v>2000</v>
      </c>
      <c r="AT14">
        <v>200</v>
      </c>
      <c r="AV14">
        <v>660</v>
      </c>
      <c r="AX14" t="str" cm="1">
        <f t="array" ref="AX14">IFERROR(VLOOKUP(DATA_ENERO_2026[[#This Row],[ASER_]],_xlfn._xlws.FILTER(PLANTILLA[[ASESOR]:[FECHA DE CESE]],PLANTILLA[FECHA]=_xlfn.CONCAT($M$3,"_",_xlfn.IFS($N$3="ENERO","1",$N$3="FEBRERO","2",$N$3="MARZO","3",$N$3="ABRIL","4",$N$3="MAYO","5",$N$3="JUNIO","6",$N$3="JULIO","7",$N$3="AGOSTO","8",$N$3="SETIEMBRE","9",$N$3="OCTUBRE","10",$N$3="NOVIEMBRE","11",$N$3="DICIEMBRE","12"))),8,0),"")</f>
        <v>S2-3-4</v>
      </c>
    </row>
    <row r="15" spans="1:93" x14ac:dyDescent="0.25">
      <c r="A15" s="35" t="str">
        <f>D1_ENERO_2026[[#This Row],[SUPER2]]</f>
        <v>JOHAN</v>
      </c>
      <c r="B15" s="34" t="str">
        <f>D1_ENERO_2026[[#This Row],[ASESOR]]</f>
        <v>DARYL FERREL</v>
      </c>
      <c r="C15" s="36">
        <f>VLOOKUP(D1_ENERO_2026[[#This Row],[SUPER]],DATA_ENERO_2026[[SUPERVISOR]:[META]],3,0)</f>
        <v>24500</v>
      </c>
      <c r="D15" s="35">
        <f>D1_ENERO_2026[[#This Row],[RECUPERO]]/C15</f>
        <v>0.45053061224489793</v>
      </c>
      <c r="E15" s="35" t="s">
        <v>125</v>
      </c>
      <c r="F15" s="34" t="s">
        <v>40</v>
      </c>
      <c r="G15" s="36">
        <v>11038</v>
      </c>
      <c r="H15" s="34" t="s">
        <v>424</v>
      </c>
      <c r="I15" s="60">
        <v>45433</v>
      </c>
      <c r="J15" s="60" t="s">
        <v>501</v>
      </c>
      <c r="K15" s="60"/>
      <c r="L15" s="55"/>
      <c r="M15" s="5">
        <f>DATA_ENERO_2026[[#This Row],[RECUPERO]]/DATA_ENERO_2026[[#This Row],[META]]</f>
        <v>1.8079928315412186</v>
      </c>
      <c r="N15" s="5">
        <f>6-ROUNDUP(_xlfn.RANK.EQ(DATA_ENERO_2026[[#This Row],[AL_AC]],DATA_ENERO_2026[AL_AC],0)/(COUNTA(DATA_ENERO_2026[AL_AC])/5),0)</f>
        <v>5</v>
      </c>
      <c r="O15" s="54" t="s">
        <v>6</v>
      </c>
      <c r="P15" s="6">
        <f>SUM(DATA_ENERO_2026[[#This Row],[1]:[31]])</f>
        <v>50443</v>
      </c>
      <c r="Q15" s="6">
        <v>27900</v>
      </c>
      <c r="R15" t="s">
        <v>19</v>
      </c>
      <c r="Y15">
        <v>3200</v>
      </c>
      <c r="Z15">
        <v>500</v>
      </c>
      <c r="AA15">
        <v>2000</v>
      </c>
      <c r="AD15">
        <v>7000</v>
      </c>
      <c r="AE15">
        <v>5000</v>
      </c>
      <c r="AF15">
        <v>3250</v>
      </c>
      <c r="AH15">
        <v>620</v>
      </c>
      <c r="AI15">
        <v>1875</v>
      </c>
      <c r="AK15">
        <v>250</v>
      </c>
      <c r="AL15">
        <v>3000</v>
      </c>
      <c r="AM15">
        <v>8000</v>
      </c>
      <c r="AN15">
        <v>250</v>
      </c>
      <c r="AT15">
        <v>1500</v>
      </c>
      <c r="AV15">
        <v>13998</v>
      </c>
      <c r="AX15" t="str" cm="1">
        <f t="array" ref="AX15">IFERROR(VLOOKUP(DATA_ENERO_2026[[#This Row],[ASER_]],_xlfn._xlws.FILTER(PLANTILLA[[ASESOR]:[FECHA DE CESE]],PLANTILLA[FECHA]=_xlfn.CONCAT($M$3,"_",_xlfn.IFS($N$3="ENERO","1",$N$3="FEBRERO","2",$N$3="MARZO","3",$N$3="ABRIL","4",$N$3="MAYO","5",$N$3="JUNIO","6",$N$3="JULIO","7",$N$3="AGOSTO","8",$N$3="SETIEMBRE","9",$N$3="OCTUBRE","10",$N$3="NOVIEMBRE","11",$N$3="DICIEMBRE","12"))),8,0),"")</f>
        <v>S1</v>
      </c>
      <c r="BR15" s="45"/>
      <c r="BT15" s="45"/>
      <c r="BU15" s="45"/>
      <c r="BW15" s="45"/>
    </row>
    <row r="16" spans="1:93" x14ac:dyDescent="0.25">
      <c r="A16" s="35" t="str">
        <f>D1_ENERO_2026[[#This Row],[SUPER2]]</f>
        <v>KENNETH</v>
      </c>
      <c r="B16" s="34" t="str">
        <f>D1_ENERO_2026[[#This Row],[ASESOR]]</f>
        <v>DAVID SANCHEZ</v>
      </c>
      <c r="C16" s="36">
        <f>VLOOKUP(D1_ENERO_2026[[#This Row],[SUPER]],DATA_ENERO_2026[[SUPERVISOR]:[META]],3,0)</f>
        <v>27900</v>
      </c>
      <c r="D16" s="35">
        <f>D1_ENERO_2026[[#This Row],[RECUPERO]]/C16</f>
        <v>2.0576344086021505</v>
      </c>
      <c r="E16" s="35" t="s">
        <v>6</v>
      </c>
      <c r="F16" s="34" t="s">
        <v>81</v>
      </c>
      <c r="G16" s="36">
        <v>57408</v>
      </c>
      <c r="H16" s="34" t="s">
        <v>425</v>
      </c>
      <c r="I16" s="60">
        <v>45511</v>
      </c>
      <c r="J16" s="60" t="s">
        <v>501</v>
      </c>
      <c r="K16" s="60"/>
      <c r="L16" s="55"/>
      <c r="M16" s="5">
        <f>DATA_ENERO_2026[[#This Row],[RECUPERO]]/DATA_ENERO_2026[[#This Row],[META]]</f>
        <v>0.65453061224489795</v>
      </c>
      <c r="N16" s="5">
        <f>6-ROUNDUP(_xlfn.RANK.EQ(DATA_ENERO_2026[[#This Row],[AL_AC]],DATA_ENERO_2026[AL_AC],0)/(COUNTA(DATA_ENERO_2026[AL_AC])/5),0)</f>
        <v>1</v>
      </c>
      <c r="O16" s="54" t="s">
        <v>125</v>
      </c>
      <c r="P16" s="6">
        <f>SUM(DATA_ENERO_2026[[#This Row],[1]:[31]])</f>
        <v>16036</v>
      </c>
      <c r="Q16" s="6">
        <v>24500</v>
      </c>
      <c r="R16" t="s">
        <v>41</v>
      </c>
      <c r="W16">
        <v>1486</v>
      </c>
      <c r="AA16">
        <v>200</v>
      </c>
      <c r="AD16">
        <v>2300</v>
      </c>
      <c r="AR16">
        <v>10450</v>
      </c>
      <c r="AU16">
        <v>1000</v>
      </c>
      <c r="AW16">
        <v>600</v>
      </c>
      <c r="AX16" t="str" cm="1">
        <f t="array" ref="AX16">IFERROR(VLOOKUP(DATA_ENERO_2026[[#This Row],[ASER_]],_xlfn._xlws.FILTER(PLANTILLA[[ASESOR]:[FECHA DE CESE]],PLANTILLA[FECHA]=_xlfn.CONCAT($M$3,"_",_xlfn.IFS($N$3="ENERO","1",$N$3="FEBRERO","2",$N$3="MARZO","3",$N$3="ABRIL","4",$N$3="MAYO","5",$N$3="JUNIO","6",$N$3="JULIO","7",$N$3="AGOSTO","8",$N$3="SETIEMBRE","9",$N$3="OCTUBRE","10",$N$3="NOVIEMBRE","11",$N$3="DICIEMBRE","12"))),8,0),"")</f>
        <v>S2-3-4</v>
      </c>
      <c r="BR16" s="45"/>
      <c r="BS16" s="45"/>
      <c r="BT16" s="45"/>
      <c r="BU16" s="45"/>
      <c r="BW16" s="45"/>
      <c r="BX16" s="45"/>
      <c r="BY16" s="45"/>
      <c r="CG16" s="45"/>
    </row>
    <row r="17" spans="1:86" x14ac:dyDescent="0.25">
      <c r="A17" s="35" t="str">
        <f>D1_ENERO_2026[[#This Row],[SUPER2]]</f>
        <v>JOHAN</v>
      </c>
      <c r="B17" s="34" t="str">
        <f>D1_ENERO_2026[[#This Row],[ASESOR]]</f>
        <v>ELVIS GUERRERA</v>
      </c>
      <c r="C17" s="36">
        <f>VLOOKUP(D1_ENERO_2026[[#This Row],[SUPER]],DATA_ENERO_2026[[SUPERVISOR]:[META]],3,0)</f>
        <v>24500</v>
      </c>
      <c r="D17" s="35">
        <f>D1_ENERO_2026[[#This Row],[RECUPERO]]/C17</f>
        <v>0.2502448979591837</v>
      </c>
      <c r="E17" s="35" t="s">
        <v>125</v>
      </c>
      <c r="F17" s="34" t="s">
        <v>377</v>
      </c>
      <c r="G17" s="36">
        <v>6131</v>
      </c>
      <c r="H17" s="34" t="s">
        <v>534</v>
      </c>
      <c r="I17" s="60">
        <v>46038</v>
      </c>
      <c r="J17" s="60" t="s">
        <v>501</v>
      </c>
      <c r="K17" s="60"/>
      <c r="L17" s="55"/>
      <c r="M17" s="5">
        <f>DATA_ENERO_2026[[#This Row],[RECUPERO]]/DATA_ENERO_2026[[#This Row],[META]]</f>
        <v>0.75376344086021507</v>
      </c>
      <c r="N17" s="5">
        <f>6-ROUNDUP(_xlfn.RANK.EQ(DATA_ENERO_2026[[#This Row],[AL_AC]],DATA_ENERO_2026[AL_AC],0)/(COUNTA(DATA_ENERO_2026[AL_AC])/5),0)</f>
        <v>2</v>
      </c>
      <c r="O17" s="54" t="s">
        <v>6</v>
      </c>
      <c r="P17" s="6">
        <f>SUM(DATA_ENERO_2026[[#This Row],[1]:[31]])</f>
        <v>21030</v>
      </c>
      <c r="Q17" s="6">
        <v>27900</v>
      </c>
      <c r="R17" t="s">
        <v>80</v>
      </c>
      <c r="S17" s="45"/>
      <c r="T17">
        <v>3000</v>
      </c>
      <c r="X17">
        <v>8300</v>
      </c>
      <c r="AD17">
        <v>4200</v>
      </c>
      <c r="AE17">
        <v>3710</v>
      </c>
      <c r="AG17">
        <v>700</v>
      </c>
      <c r="AH17">
        <v>270</v>
      </c>
      <c r="AT17">
        <v>450</v>
      </c>
      <c r="AU17">
        <v>400</v>
      </c>
      <c r="AX17" t="str" cm="1">
        <f t="array" ref="AX17">IFERROR(VLOOKUP(DATA_ENERO_2026[[#This Row],[ASER_]],_xlfn._xlws.FILTER(PLANTILLA[[ASESOR]:[FECHA DE CESE]],PLANTILLA[FECHA]=_xlfn.CONCAT($M$3,"_",_xlfn.IFS($N$3="ENERO","1",$N$3="FEBRERO","2",$N$3="MARZO","3",$N$3="ABRIL","4",$N$3="MAYO","5",$N$3="JUNIO","6",$N$3="JULIO","7",$N$3="AGOSTO","8",$N$3="SETIEMBRE","9",$N$3="OCTUBRE","10",$N$3="NOVIEMBRE","11",$N$3="DICIEMBRE","12"))),8,0),"")</f>
        <v>S1</v>
      </c>
      <c r="BQ17" s="45"/>
      <c r="BS17" s="45"/>
      <c r="BT17" s="47"/>
      <c r="BU17" s="47"/>
      <c r="BW17" s="47"/>
      <c r="BX17" s="45"/>
      <c r="BY17" s="45"/>
      <c r="CA17" s="45"/>
      <c r="CF17" s="45"/>
      <c r="CG17" s="45"/>
      <c r="CH17" s="45"/>
    </row>
    <row r="18" spans="1:86" x14ac:dyDescent="0.25">
      <c r="A18" s="35" t="str">
        <f>D1_ENERO_2026[[#This Row],[SUPER2]]</f>
        <v>MELINA</v>
      </c>
      <c r="B18" s="34" t="str">
        <f>D1_ENERO_2026[[#This Row],[ASESOR]]</f>
        <v>ERIKA VILLAR</v>
      </c>
      <c r="C18" s="36">
        <f>VLOOKUP(D1_ENERO_2026[[#This Row],[SUPER]],DATA_ENERO_2026[[SUPERVISOR]:[META]],3,0)</f>
        <v>48000</v>
      </c>
      <c r="D18" s="35">
        <f>D1_ENERO_2026[[#This Row],[RECUPERO]]/C18</f>
        <v>0.32129166666666664</v>
      </c>
      <c r="E18" s="35" t="s">
        <v>4</v>
      </c>
      <c r="F18" t="s">
        <v>72</v>
      </c>
      <c r="G18" s="36">
        <v>15422</v>
      </c>
      <c r="H18" s="34" t="s">
        <v>450</v>
      </c>
      <c r="I18" s="60">
        <v>45691</v>
      </c>
      <c r="J18" s="55" t="s">
        <v>501</v>
      </c>
      <c r="K18" s="55"/>
      <c r="L18" s="55"/>
      <c r="M18" s="5">
        <f>DATA_ENERO_2026[[#This Row],[RECUPERO]]/DATA_ENERO_2026[[#This Row],[META]]</f>
        <v>0.45053061224489793</v>
      </c>
      <c r="N18" s="5">
        <f>6-ROUNDUP(_xlfn.RANK.EQ(DATA_ENERO_2026[[#This Row],[AL_AC]],DATA_ENERO_2026[AL_AC],0)/(COUNTA(DATA_ENERO_2026[AL_AC])/5),0)</f>
        <v>1</v>
      </c>
      <c r="O18" s="54" t="s">
        <v>125</v>
      </c>
      <c r="P18" s="6">
        <f>SUM(DATA_ENERO_2026[[#This Row],[1]:[31]])</f>
        <v>11038</v>
      </c>
      <c r="Q18" s="6">
        <v>24500</v>
      </c>
      <c r="R18" t="s">
        <v>40</v>
      </c>
      <c r="S18">
        <v>400</v>
      </c>
      <c r="AA18">
        <v>1000</v>
      </c>
      <c r="AD18">
        <v>600</v>
      </c>
      <c r="AE18">
        <v>200</v>
      </c>
      <c r="AG18">
        <v>2050</v>
      </c>
      <c r="AH18">
        <v>238</v>
      </c>
      <c r="AM18">
        <v>700</v>
      </c>
      <c r="AN18">
        <v>800</v>
      </c>
      <c r="AO18">
        <v>2000</v>
      </c>
      <c r="AS18">
        <v>950</v>
      </c>
      <c r="AT18">
        <v>700</v>
      </c>
      <c r="AV18">
        <v>1400</v>
      </c>
      <c r="AX18" t="str" cm="1">
        <f t="array" ref="AX18">IFERROR(VLOOKUP(DATA_ENERO_2026[[#This Row],[ASER_]],_xlfn._xlws.FILTER(PLANTILLA[[ASESOR]:[FECHA DE CESE]],PLANTILLA[FECHA]=_xlfn.CONCAT($M$3,"_",_xlfn.IFS($N$3="ENERO","1",$N$3="FEBRERO","2",$N$3="MARZO","3",$N$3="ABRIL","4",$N$3="MAYO","5",$N$3="JUNIO","6",$N$3="JULIO","7",$N$3="AGOSTO","8",$N$3="SETIEMBRE","9",$N$3="OCTUBRE","10",$N$3="NOVIEMBRE","11",$N$3="DICIEMBRE","12"))),8,0),"")</f>
        <v>S2-3-4</v>
      </c>
      <c r="BD18" s="45"/>
      <c r="BP18" s="45"/>
      <c r="BQ18" s="45"/>
      <c r="BR18" s="45"/>
      <c r="BS18" s="47"/>
      <c r="BT18" s="45"/>
      <c r="BU18" s="45"/>
      <c r="BW18" s="45"/>
      <c r="BX18" s="47"/>
      <c r="BY18" s="47"/>
      <c r="CA18" s="45"/>
      <c r="CB18" s="45"/>
      <c r="CF18" s="45"/>
      <c r="CG18" s="47"/>
      <c r="CH18" s="45"/>
    </row>
    <row r="19" spans="1:86" x14ac:dyDescent="0.25">
      <c r="A19" s="35" t="str">
        <f>D1_ENERO_2026[[#This Row],[SUPER2]]</f>
        <v>SANDY</v>
      </c>
      <c r="B19" s="34" t="str">
        <f>D1_ENERO_2026[[#This Row],[ASESOR]]</f>
        <v>FRANCO HUAMANI</v>
      </c>
      <c r="C19" s="36">
        <f>VLOOKUP(D1_ENERO_2026[[#This Row],[SUPER]],DATA_ENERO_2026[[SUPERVISOR]:[META]],3,0)</f>
        <v>48000</v>
      </c>
      <c r="D19" s="35">
        <f>D1_ENERO_2026[[#This Row],[RECUPERO]]/C19</f>
        <v>0.98322916666666671</v>
      </c>
      <c r="E19" s="35" t="s">
        <v>3</v>
      </c>
      <c r="F19" t="s">
        <v>24</v>
      </c>
      <c r="G19" s="36">
        <v>47195</v>
      </c>
      <c r="H19" s="34" t="s">
        <v>434</v>
      </c>
      <c r="I19" s="60">
        <v>45334</v>
      </c>
      <c r="J19" s="55" t="s">
        <v>501</v>
      </c>
      <c r="K19" s="55"/>
      <c r="L19" s="55"/>
      <c r="M19" s="5">
        <f>DATA_ENERO_2026[[#This Row],[RECUPERO]]/DATA_ENERO_2026[[#This Row],[META]]</f>
        <v>2.0576344086021505</v>
      </c>
      <c r="N19" s="5">
        <f>6-ROUNDUP(_xlfn.RANK.EQ(DATA_ENERO_2026[[#This Row],[AL_AC]],DATA_ENERO_2026[AL_AC],0)/(COUNTA(DATA_ENERO_2026[AL_AC])/5),0)</f>
        <v>5</v>
      </c>
      <c r="O19" s="54" t="s">
        <v>6</v>
      </c>
      <c r="P19" s="6">
        <f>SUM(DATA_ENERO_2026[[#This Row],[1]:[31]])</f>
        <v>57408</v>
      </c>
      <c r="Q19" s="6">
        <v>27900</v>
      </c>
      <c r="R19" t="s">
        <v>81</v>
      </c>
      <c r="AA19">
        <v>28574</v>
      </c>
      <c r="AE19">
        <v>3925</v>
      </c>
      <c r="AG19">
        <v>500</v>
      </c>
      <c r="AH19">
        <v>1400</v>
      </c>
      <c r="AK19">
        <v>45</v>
      </c>
      <c r="AM19">
        <v>220</v>
      </c>
      <c r="AN19">
        <v>2500</v>
      </c>
      <c r="AR19">
        <v>4000</v>
      </c>
      <c r="AT19">
        <v>5300</v>
      </c>
      <c r="AU19">
        <v>5000</v>
      </c>
      <c r="AV19">
        <v>4791</v>
      </c>
      <c r="AW19">
        <v>1153</v>
      </c>
      <c r="AX19" t="str" cm="1">
        <f t="array" ref="AX19">IFERROR(VLOOKUP(DATA_ENERO_2026[[#This Row],[ASER_]],_xlfn._xlws.FILTER(PLANTILLA[[ASESOR]:[FECHA DE CESE]],PLANTILLA[FECHA]=_xlfn.CONCAT($M$3,"_",_xlfn.IFS($N$3="ENERO","1",$N$3="FEBRERO","2",$N$3="MARZO","3",$N$3="ABRIL","4",$N$3="MAYO","5",$N$3="JUNIO","6",$N$3="JULIO","7",$N$3="AGOSTO","8",$N$3="SETIEMBRE","9",$N$3="OCTUBRE","10",$N$3="NOVIEMBRE","11",$N$3="DICIEMBRE","12"))),8,0),"")</f>
        <v>S1</v>
      </c>
      <c r="BD19" s="45"/>
      <c r="BP19" s="47"/>
      <c r="BQ19" s="47"/>
      <c r="BR19" s="45"/>
      <c r="BS19" s="47"/>
      <c r="BT19" s="45"/>
      <c r="BU19" s="45"/>
      <c r="BW19" s="45"/>
      <c r="BX19" s="47"/>
      <c r="BY19" s="47"/>
      <c r="CA19" s="45"/>
      <c r="CB19" s="45"/>
      <c r="CF19" s="47"/>
      <c r="CG19" s="47"/>
      <c r="CH19" s="47"/>
    </row>
    <row r="20" spans="1:86" x14ac:dyDescent="0.25">
      <c r="A20" s="35" t="str">
        <f>D1_ENERO_2026[[#This Row],[SUPER2]]</f>
        <v>KENNETH</v>
      </c>
      <c r="B20" s="34" t="str">
        <f>D1_ENERO_2026[[#This Row],[ASESOR]]</f>
        <v>FRANK PACORA</v>
      </c>
      <c r="C20" s="36">
        <f>VLOOKUP(D1_ENERO_2026[[#This Row],[SUPER]],DATA_ENERO_2026[[SUPERVISOR]:[META]],3,0)</f>
        <v>27900</v>
      </c>
      <c r="D20" s="35">
        <f>D1_ENERO_2026[[#This Row],[RECUPERO]]/C20</f>
        <v>1.4598566308243728</v>
      </c>
      <c r="E20" s="35" t="s">
        <v>6</v>
      </c>
      <c r="F20" t="s">
        <v>105</v>
      </c>
      <c r="G20" s="36">
        <v>40730</v>
      </c>
      <c r="H20" s="34" t="s">
        <v>463</v>
      </c>
      <c r="I20" s="60">
        <v>46027</v>
      </c>
      <c r="J20" s="55" t="s">
        <v>501</v>
      </c>
      <c r="K20" s="55"/>
      <c r="L20" s="55"/>
      <c r="M20" s="5">
        <f>DATA_ENERO_2026[[#This Row],[RECUPERO]]/DATA_ENERO_2026[[#This Row],[META]]</f>
        <v>0.2502448979591837</v>
      </c>
      <c r="N20" s="5">
        <f>6-ROUNDUP(_xlfn.RANK.EQ(DATA_ENERO_2026[[#This Row],[AL_AC]],DATA_ENERO_2026[AL_AC],0)/(COUNTA(DATA_ENERO_2026[AL_AC])/5),0)</f>
        <v>1</v>
      </c>
      <c r="O20" s="54" t="s">
        <v>125</v>
      </c>
      <c r="P20" s="6">
        <f>SUM(DATA_ENERO_2026[[#This Row],[1]:[31]])</f>
        <v>6131</v>
      </c>
      <c r="Q20" s="6">
        <v>24500</v>
      </c>
      <c r="R20" t="s">
        <v>377</v>
      </c>
      <c r="S20" s="45"/>
      <c r="AL20">
        <v>1900</v>
      </c>
      <c r="AR20">
        <v>500</v>
      </c>
      <c r="AT20">
        <v>1300</v>
      </c>
      <c r="AU20">
        <v>231</v>
      </c>
      <c r="AV20">
        <v>2200</v>
      </c>
      <c r="AX20" t="str" cm="1">
        <f t="array" ref="AX20">IFERROR(VLOOKUP(DATA_ENERO_2026[[#This Row],[ASER_]],_xlfn._xlws.FILTER(PLANTILLA[[ASESOR]:[FECHA DE CESE]],PLANTILLA[FECHA]=_xlfn.CONCAT($M$3,"_",_xlfn.IFS($N$3="ENERO","1",$N$3="FEBRERO","2",$N$3="MARZO","3",$N$3="ABRIL","4",$N$3="MAYO","5",$N$3="JUNIO","6",$N$3="JULIO","7",$N$3="AGOSTO","8",$N$3="SETIEMBRE","9",$N$3="OCTUBRE","10",$N$3="NOVIEMBRE","11",$N$3="DICIEMBRE","12"))),8,0),"")</f>
        <v>S2-3-4</v>
      </c>
      <c r="BD20" s="47"/>
      <c r="BP20" s="47"/>
      <c r="BQ20" s="45"/>
      <c r="BS20" s="45"/>
      <c r="BY20" s="45"/>
      <c r="CA20" s="45"/>
      <c r="CB20" s="47"/>
      <c r="CE20" s="45"/>
      <c r="CF20" s="47"/>
      <c r="CG20" s="45"/>
      <c r="CH20" s="47"/>
    </row>
    <row r="21" spans="1:86" x14ac:dyDescent="0.25">
      <c r="A21" s="35" t="str">
        <f>D1_ENERO_2026[[#This Row],[SUPER2]]</f>
        <v>MELINA</v>
      </c>
      <c r="B21" s="34" t="str">
        <f>D1_ENERO_2026[[#This Row],[ASESOR]]</f>
        <v>GENESIS VICUNA</v>
      </c>
      <c r="C21" s="36">
        <f>VLOOKUP(D1_ENERO_2026[[#This Row],[SUPER]],DATA_ENERO_2026[[SUPERVISOR]:[META]],3,0)</f>
        <v>48000</v>
      </c>
      <c r="D21" s="35">
        <f>D1_ENERO_2026[[#This Row],[RECUPERO]]/C21</f>
        <v>0.81270833333333337</v>
      </c>
      <c r="E21" s="35" t="s">
        <v>4</v>
      </c>
      <c r="F21" t="s">
        <v>12</v>
      </c>
      <c r="G21" s="36">
        <v>39010</v>
      </c>
      <c r="H21" s="34" t="s">
        <v>389</v>
      </c>
      <c r="I21" s="60">
        <v>44868</v>
      </c>
      <c r="J21" s="55" t="s">
        <v>501</v>
      </c>
      <c r="K21" s="55"/>
      <c r="L21" s="55"/>
      <c r="M21" s="5">
        <f>DATA_ENERO_2026[[#This Row],[RECUPERO]]/DATA_ENERO_2026[[#This Row],[META]]</f>
        <v>0.32129166666666664</v>
      </c>
      <c r="N21" s="5">
        <f>6-ROUNDUP(_xlfn.RANK.EQ(DATA_ENERO_2026[[#This Row],[AL_AC]],DATA_ENERO_2026[AL_AC],0)/(COUNTA(DATA_ENERO_2026[AL_AC])/5),0)</f>
        <v>1</v>
      </c>
      <c r="O21" s="54" t="s">
        <v>4</v>
      </c>
      <c r="P21" s="6">
        <f>SUM(DATA_ENERO_2026[[#This Row],[1]:[31]])</f>
        <v>15422</v>
      </c>
      <c r="Q21" s="6">
        <v>48000</v>
      </c>
      <c r="R21" t="s">
        <v>72</v>
      </c>
      <c r="S21">
        <v>660</v>
      </c>
      <c r="T21">
        <v>2500</v>
      </c>
      <c r="X21">
        <v>2000</v>
      </c>
      <c r="AD21">
        <v>250</v>
      </c>
      <c r="AG21">
        <v>800</v>
      </c>
      <c r="AK21">
        <v>0</v>
      </c>
      <c r="AL21">
        <v>500</v>
      </c>
      <c r="AM21">
        <v>2000</v>
      </c>
      <c r="AN21">
        <v>600</v>
      </c>
      <c r="AR21">
        <v>1850</v>
      </c>
      <c r="AV21">
        <v>3412</v>
      </c>
      <c r="AW21">
        <v>850</v>
      </c>
      <c r="AX21" t="str" cm="1">
        <f t="array" ref="AX21">IFERROR(VLOOKUP(DATA_ENERO_2026[[#This Row],[ASER_]],_xlfn._xlws.FILTER(PLANTILLA[[ASESOR]:[FECHA DE CESE]],PLANTILLA[FECHA]=_xlfn.CONCAT($M$3,"_",_xlfn.IFS($N$3="ENERO","1",$N$3="FEBRERO","2",$N$3="MARZO","3",$N$3="ABRIL","4",$N$3="MAYO","5",$N$3="JUNIO","6",$N$3="JULIO","7",$N$3="AGOSTO","8",$N$3="SETIEMBRE","9",$N$3="OCTUBRE","10",$N$3="NOVIEMBRE","11",$N$3="DICIEMBRE","12"))),8,0),"")</f>
        <v>S1</v>
      </c>
      <c r="BD21" s="47"/>
      <c r="BP21" s="45"/>
      <c r="BQ21" s="45"/>
      <c r="CA21" s="45"/>
      <c r="CB21" s="47"/>
      <c r="CE21" s="45"/>
      <c r="CF21" s="45"/>
      <c r="CH21" s="45"/>
    </row>
    <row r="22" spans="1:86" x14ac:dyDescent="0.25">
      <c r="A22" s="35" t="str">
        <f>D1_ENERO_2026[[#This Row],[SUPER2]]</f>
        <v>JOHAN</v>
      </c>
      <c r="B22" s="34" t="str">
        <f>D1_ENERO_2026[[#This Row],[ASESOR]]</f>
        <v>GERALDINE ARROYO</v>
      </c>
      <c r="C22" s="36">
        <f>VLOOKUP(D1_ENERO_2026[[#This Row],[SUPER]],DATA_ENERO_2026[[SUPERVISOR]:[META]],3,0)</f>
        <v>24500</v>
      </c>
      <c r="D22" s="35">
        <f>D1_ENERO_2026[[#This Row],[RECUPERO]]/C22</f>
        <v>1.0315510204081633</v>
      </c>
      <c r="E22" s="35" t="s">
        <v>125</v>
      </c>
      <c r="F22" t="s">
        <v>51</v>
      </c>
      <c r="G22" s="36">
        <v>25273</v>
      </c>
      <c r="H22" s="34" t="s">
        <v>413</v>
      </c>
      <c r="I22" s="60">
        <v>45678</v>
      </c>
      <c r="J22" s="55" t="s">
        <v>501</v>
      </c>
      <c r="K22" s="55"/>
      <c r="L22" s="55"/>
      <c r="M22" s="5">
        <f>DATA_ENERO_2026[[#This Row],[RECUPERO]]/DATA_ENERO_2026[[#This Row],[META]]</f>
        <v>0.98322916666666671</v>
      </c>
      <c r="N22" s="5">
        <f>6-ROUNDUP(_xlfn.RANK.EQ(DATA_ENERO_2026[[#This Row],[AL_AC]],DATA_ENERO_2026[AL_AC],0)/(COUNTA(DATA_ENERO_2026[AL_AC])/5),0)</f>
        <v>3</v>
      </c>
      <c r="O22" s="54" t="s">
        <v>3</v>
      </c>
      <c r="P22" s="6">
        <f>SUM(DATA_ENERO_2026[[#This Row],[1]:[31]])</f>
        <v>47195</v>
      </c>
      <c r="Q22" s="6">
        <v>48000</v>
      </c>
      <c r="R22" t="s">
        <v>24</v>
      </c>
      <c r="W22">
        <v>3230</v>
      </c>
      <c r="Y22">
        <v>3300</v>
      </c>
      <c r="Z22">
        <v>200</v>
      </c>
      <c r="AA22">
        <v>600</v>
      </c>
      <c r="AE22">
        <v>7435</v>
      </c>
      <c r="AF22">
        <v>3000</v>
      </c>
      <c r="AG22">
        <v>5900</v>
      </c>
      <c r="AH22">
        <v>250</v>
      </c>
      <c r="AL22">
        <v>600</v>
      </c>
      <c r="AM22">
        <v>500</v>
      </c>
      <c r="AR22">
        <v>800</v>
      </c>
      <c r="AS22">
        <v>2000</v>
      </c>
      <c r="AT22">
        <v>10000</v>
      </c>
      <c r="AU22">
        <v>1500</v>
      </c>
      <c r="AV22">
        <v>4880</v>
      </c>
      <c r="AW22">
        <v>3000</v>
      </c>
      <c r="AX22" t="str" cm="1">
        <f t="array" ref="AX22">IFERROR(VLOOKUP(DATA_ENERO_2026[[#This Row],[ASER_]],_xlfn._xlws.FILTER(PLANTILLA[[ASESOR]:[FECHA DE CESE]],PLANTILLA[FECHA]=_xlfn.CONCAT($M$3,"_",_xlfn.IFS($N$3="ENERO","1",$N$3="FEBRERO","2",$N$3="MARZO","3",$N$3="ABRIL","4",$N$3="MAYO","5",$N$3="JUNIO","6",$N$3="JULIO","7",$N$3="AGOSTO","8",$N$3="SETIEMBRE","9",$N$3="OCTUBRE","10",$N$3="NOVIEMBRE","11",$N$3="DICIEMBRE","12"))),8,0),"")</f>
        <v>S1</v>
      </c>
      <c r="BD22" s="45"/>
      <c r="CA22" s="47"/>
      <c r="CB22" s="45"/>
      <c r="CE22" s="45"/>
    </row>
    <row r="23" spans="1:86" x14ac:dyDescent="0.25">
      <c r="A23" s="35" t="str">
        <f>D1_ENERO_2026[[#This Row],[SUPER2]]</f>
        <v>SANDY</v>
      </c>
      <c r="B23" s="34" t="str">
        <f>D1_ENERO_2026[[#This Row],[ASESOR]]</f>
        <v>GIANFRANCO PINEDO</v>
      </c>
      <c r="C23" s="36">
        <f>VLOOKUP(D1_ENERO_2026[[#This Row],[SUPER]],DATA_ENERO_2026[[SUPERVISOR]:[META]],3,0)</f>
        <v>48000</v>
      </c>
      <c r="D23" s="35">
        <f>D1_ENERO_2026[[#This Row],[RECUPERO]]/C23</f>
        <v>1.2952604166666666</v>
      </c>
      <c r="E23" s="35" t="s">
        <v>3</v>
      </c>
      <c r="F23" t="s">
        <v>13</v>
      </c>
      <c r="G23" s="36">
        <v>62172.5</v>
      </c>
      <c r="H23" s="34" t="s">
        <v>382</v>
      </c>
      <c r="I23" s="60">
        <v>44809</v>
      </c>
      <c r="J23" s="55" t="s">
        <v>501</v>
      </c>
      <c r="K23" s="55"/>
      <c r="L23" s="55"/>
      <c r="M23" s="5">
        <f>DATA_ENERO_2026[[#This Row],[RECUPERO]]/DATA_ENERO_2026[[#This Row],[META]]</f>
        <v>1.4598566308243728</v>
      </c>
      <c r="N23" s="5">
        <f>6-ROUNDUP(_xlfn.RANK.EQ(DATA_ENERO_2026[[#This Row],[AL_AC]],DATA_ENERO_2026[AL_AC],0)/(COUNTA(DATA_ENERO_2026[AL_AC])/5),0)</f>
        <v>4</v>
      </c>
      <c r="O23" s="54" t="s">
        <v>6</v>
      </c>
      <c r="P23" s="6">
        <f>SUM(DATA_ENERO_2026[[#This Row],[1]:[31]])</f>
        <v>40730</v>
      </c>
      <c r="Q23" s="6">
        <v>27900</v>
      </c>
      <c r="R23" t="s">
        <v>105</v>
      </c>
      <c r="Z23">
        <v>20000</v>
      </c>
      <c r="AA23">
        <v>600</v>
      </c>
      <c r="AG23">
        <v>605</v>
      </c>
      <c r="AK23">
        <v>1000</v>
      </c>
      <c r="AR23">
        <v>200</v>
      </c>
      <c r="AS23">
        <v>10000</v>
      </c>
      <c r="AU23">
        <v>3000</v>
      </c>
      <c r="AV23">
        <v>5325</v>
      </c>
      <c r="AX23" t="str" cm="1">
        <f t="array" ref="AX23">IFERROR(VLOOKUP(DATA_ENERO_2026[[#This Row],[ASER_]],_xlfn._xlws.FILTER(PLANTILLA[[ASESOR]:[FECHA DE CESE]],PLANTILLA[FECHA]=_xlfn.CONCAT($M$3,"_",_xlfn.IFS($N$3="ENERO","1",$N$3="FEBRERO","2",$N$3="MARZO","3",$N$3="ABRIL","4",$N$3="MAYO","5",$N$3="JUNIO","6",$N$3="JULIO","7",$N$3="AGOSTO","8",$N$3="SETIEMBRE","9",$N$3="OCTUBRE","10",$N$3="NOVIEMBRE","11",$N$3="DICIEMBRE","12"))),8,0),"")</f>
        <v>S1</v>
      </c>
      <c r="CA23" s="45"/>
    </row>
    <row r="24" spans="1:86" x14ac:dyDescent="0.25">
      <c r="A24" s="35" t="str">
        <f>D1_ENERO_2026[[#This Row],[SUPER2]]</f>
        <v>SANDY</v>
      </c>
      <c r="B24" s="34" t="str">
        <f>D1_ENERO_2026[[#This Row],[ASESOR]]</f>
        <v>GIANNINA AGUILAR</v>
      </c>
      <c r="C24" s="36">
        <f>VLOOKUP(D1_ENERO_2026[[#This Row],[SUPER]],DATA_ENERO_2026[[SUPERVISOR]:[META]],3,0)</f>
        <v>48000</v>
      </c>
      <c r="D24" s="35">
        <f>D1_ENERO_2026[[#This Row],[RECUPERO]]/C24</f>
        <v>1.8912500000000001</v>
      </c>
      <c r="E24" s="35" t="s">
        <v>3</v>
      </c>
      <c r="F24" t="s">
        <v>32</v>
      </c>
      <c r="G24" s="36">
        <v>90780</v>
      </c>
      <c r="H24" s="34" t="s">
        <v>390</v>
      </c>
      <c r="I24" s="60">
        <v>45526</v>
      </c>
      <c r="J24" s="55" t="s">
        <v>501</v>
      </c>
      <c r="K24" s="55"/>
      <c r="L24" s="55"/>
      <c r="M24" s="5">
        <f>DATA_ENERO_2026[[#This Row],[RECUPERO]]/DATA_ENERO_2026[[#This Row],[META]]</f>
        <v>0.81270833333333337</v>
      </c>
      <c r="N24" s="5">
        <f>6-ROUNDUP(_xlfn.RANK.EQ(DATA_ENERO_2026[[#This Row],[AL_AC]],DATA_ENERO_2026[AL_AC],0)/(COUNTA(DATA_ENERO_2026[AL_AC])/5),0)</f>
        <v>2</v>
      </c>
      <c r="O24" s="54" t="s">
        <v>4</v>
      </c>
      <c r="P24" s="6">
        <f>SUM(DATA_ENERO_2026[[#This Row],[1]:[31]])</f>
        <v>39010</v>
      </c>
      <c r="Q24" s="6">
        <v>48000</v>
      </c>
      <c r="R24" t="s">
        <v>12</v>
      </c>
      <c r="T24">
        <v>1300</v>
      </c>
      <c r="W24">
        <v>3230</v>
      </c>
      <c r="Y24">
        <v>6700</v>
      </c>
      <c r="Z24">
        <v>2800</v>
      </c>
      <c r="AA24">
        <v>750</v>
      </c>
      <c r="AE24">
        <v>6500</v>
      </c>
      <c r="AG24">
        <v>2500</v>
      </c>
      <c r="AI24">
        <v>750</v>
      </c>
      <c r="AM24">
        <v>315</v>
      </c>
      <c r="AO24">
        <v>5000</v>
      </c>
      <c r="AR24">
        <v>150</v>
      </c>
      <c r="AT24">
        <v>3000</v>
      </c>
      <c r="AU24">
        <v>2300</v>
      </c>
      <c r="AV24">
        <v>2790</v>
      </c>
      <c r="AW24">
        <v>925</v>
      </c>
      <c r="AX24" t="str" cm="1">
        <f t="array" ref="AX24">IFERROR(VLOOKUP(DATA_ENERO_2026[[#This Row],[ASER_]],_xlfn._xlws.FILTER(PLANTILLA[[ASESOR]:[FECHA DE CESE]],PLANTILLA[FECHA]=_xlfn.CONCAT($M$3,"_",_xlfn.IFS($N$3="ENERO","1",$N$3="FEBRERO","2",$N$3="MARZO","3",$N$3="ABRIL","4",$N$3="MAYO","5",$N$3="JUNIO","6",$N$3="JULIO","7",$N$3="AGOSTO","8",$N$3="SETIEMBRE","9",$N$3="OCTUBRE","10",$N$3="NOVIEMBRE","11",$N$3="DICIEMBRE","12"))),8,0),"")</f>
        <v>S1</v>
      </c>
      <c r="CE24" s="45"/>
    </row>
    <row r="25" spans="1:86" x14ac:dyDescent="0.25">
      <c r="A25" s="35" t="str">
        <f>D1_ENERO_2026[[#This Row],[SUPER2]]</f>
        <v>JORGE</v>
      </c>
      <c r="B25" s="34" t="str">
        <f>D1_ENERO_2026[[#This Row],[ASESOR]]</f>
        <v>HAROLD FLORES</v>
      </c>
      <c r="C25" s="36">
        <f>VLOOKUP(D1_ENERO_2026[[#This Row],[SUPER]],DATA_ENERO_2026[[SUPERVISOR]:[META]],3,0)</f>
        <v>32600</v>
      </c>
      <c r="D25" s="35">
        <f>D1_ENERO_2026[[#This Row],[RECUPERO]]/C25</f>
        <v>0.9349119631901841</v>
      </c>
      <c r="E25" s="35" t="s">
        <v>2</v>
      </c>
      <c r="F25" t="s">
        <v>42</v>
      </c>
      <c r="G25" s="36">
        <v>30478.13</v>
      </c>
      <c r="H25" s="34" t="s">
        <v>415</v>
      </c>
      <c r="I25" s="60">
        <v>45398</v>
      </c>
      <c r="J25" s="55" t="s">
        <v>501</v>
      </c>
      <c r="K25" s="55"/>
      <c r="L25" s="55"/>
      <c r="M25" s="5">
        <f>DATA_ENERO_2026[[#This Row],[RECUPERO]]/DATA_ENERO_2026[[#This Row],[META]]</f>
        <v>1.0315510204081633</v>
      </c>
      <c r="N25" s="5">
        <f>6-ROUNDUP(_xlfn.RANK.EQ(DATA_ENERO_2026[[#This Row],[AL_AC]],DATA_ENERO_2026[AL_AC],0)/(COUNTA(DATA_ENERO_2026[AL_AC])/5),0)</f>
        <v>3</v>
      </c>
      <c r="O25" s="54" t="s">
        <v>125</v>
      </c>
      <c r="P25" s="6">
        <f>SUM(DATA_ENERO_2026[[#This Row],[1]:[31]])</f>
        <v>25273</v>
      </c>
      <c r="Q25" s="6">
        <v>24500</v>
      </c>
      <c r="R25" t="s">
        <v>51</v>
      </c>
      <c r="W25">
        <v>400</v>
      </c>
      <c r="AA25">
        <v>4000</v>
      </c>
      <c r="AD25">
        <v>2500</v>
      </c>
      <c r="AG25">
        <v>273</v>
      </c>
      <c r="AK25">
        <v>500</v>
      </c>
      <c r="AL25">
        <v>300</v>
      </c>
      <c r="AM25">
        <v>10000</v>
      </c>
      <c r="AN25">
        <v>1300</v>
      </c>
      <c r="AO25">
        <v>1500</v>
      </c>
      <c r="AS25">
        <v>2000</v>
      </c>
      <c r="AT25">
        <v>2500</v>
      </c>
      <c r="AX25" t="str" cm="1">
        <f t="array" ref="AX25">IFERROR(VLOOKUP(DATA_ENERO_2026[[#This Row],[ASER_]],_xlfn._xlws.FILTER(PLANTILLA[[ASESOR]:[FECHA DE CESE]],PLANTILLA[FECHA]=_xlfn.CONCAT($M$3,"_",_xlfn.IFS($N$3="ENERO","1",$N$3="FEBRERO","2",$N$3="MARZO","3",$N$3="ABRIL","4",$N$3="MAYO","5",$N$3="JUNIO","6",$N$3="JULIO","7",$N$3="AGOSTO","8",$N$3="SETIEMBRE","9",$N$3="OCTUBRE","10",$N$3="NOVIEMBRE","11",$N$3="DICIEMBRE","12"))),8,0),"")</f>
        <v>S2-3-4</v>
      </c>
    </row>
    <row r="26" spans="1:86" x14ac:dyDescent="0.25">
      <c r="A26" s="35" t="str">
        <f>D1_ENERO_2026[[#This Row],[SUPER2]]</f>
        <v>KENNETH</v>
      </c>
      <c r="B26" s="34" t="str">
        <f>D1_ENERO_2026[[#This Row],[ASESOR]]</f>
        <v>JENY LAZARO</v>
      </c>
      <c r="C26" s="36">
        <f>VLOOKUP(D1_ENERO_2026[[#This Row],[SUPER]],DATA_ENERO_2026[[SUPERVISOR]:[META]],3,0)</f>
        <v>27900</v>
      </c>
      <c r="D26" s="35">
        <f>D1_ENERO_2026[[#This Row],[RECUPERO]]/C26</f>
        <v>1.5908960573476703</v>
      </c>
      <c r="E26" s="35" t="s">
        <v>6</v>
      </c>
      <c r="F26" t="s">
        <v>26</v>
      </c>
      <c r="G26" s="36">
        <v>44386</v>
      </c>
      <c r="H26" s="34" t="s">
        <v>391</v>
      </c>
      <c r="I26" s="60">
        <v>44257</v>
      </c>
      <c r="J26" s="55" t="s">
        <v>501</v>
      </c>
      <c r="K26" s="55"/>
      <c r="L26" s="55"/>
      <c r="M26" s="5">
        <f>DATA_ENERO_2026[[#This Row],[RECUPERO]]/DATA_ENERO_2026[[#This Row],[META]]</f>
        <v>1.2952604166666666</v>
      </c>
      <c r="N26" s="5">
        <f>6-ROUNDUP(_xlfn.RANK.EQ(DATA_ENERO_2026[[#This Row],[AL_AC]],DATA_ENERO_2026[AL_AC],0)/(COUNTA(DATA_ENERO_2026[AL_AC])/5),0)</f>
        <v>4</v>
      </c>
      <c r="O26" s="54" t="s">
        <v>3</v>
      </c>
      <c r="P26" s="6">
        <f>SUM(DATA_ENERO_2026[[#This Row],[1]:[31]])</f>
        <v>62172.5</v>
      </c>
      <c r="Q26" s="6">
        <v>48000</v>
      </c>
      <c r="R26" t="s">
        <v>13</v>
      </c>
      <c r="W26">
        <v>700</v>
      </c>
      <c r="X26">
        <v>2000</v>
      </c>
      <c r="Z26">
        <v>3000</v>
      </c>
      <c r="AA26">
        <v>2500</v>
      </c>
      <c r="AE26">
        <v>5000</v>
      </c>
      <c r="AF26">
        <v>700</v>
      </c>
      <c r="AG26">
        <v>2500</v>
      </c>
      <c r="AH26">
        <v>1000</v>
      </c>
      <c r="AK26">
        <v>2500</v>
      </c>
      <c r="AM26">
        <v>7000</v>
      </c>
      <c r="AN26">
        <v>5000</v>
      </c>
      <c r="AO26">
        <v>350</v>
      </c>
      <c r="AR26">
        <v>3500</v>
      </c>
      <c r="AS26">
        <v>250</v>
      </c>
      <c r="AT26">
        <v>5852</v>
      </c>
      <c r="AU26">
        <v>13000</v>
      </c>
      <c r="AV26">
        <v>2500</v>
      </c>
      <c r="AW26">
        <v>4820.5</v>
      </c>
      <c r="AX26" t="str" cm="1">
        <f t="array" ref="AX26">IFERROR(VLOOKUP(DATA_ENERO_2026[[#This Row],[ASER_]],_xlfn._xlws.FILTER(PLANTILLA[[ASESOR]:[FECHA DE CESE]],PLANTILLA[FECHA]=_xlfn.CONCAT($M$3,"_",_xlfn.IFS($N$3="ENERO","1",$N$3="FEBRERO","2",$N$3="MARZO","3",$N$3="ABRIL","4",$N$3="MAYO","5",$N$3="JUNIO","6",$N$3="JULIO","7",$N$3="AGOSTO","8",$N$3="SETIEMBRE","9",$N$3="OCTUBRE","10",$N$3="NOVIEMBRE","11",$N$3="DICIEMBRE","12"))),8,0),"")</f>
        <v>S1</v>
      </c>
    </row>
    <row r="27" spans="1:86" x14ac:dyDescent="0.25">
      <c r="A27" s="35" t="str">
        <f>D1_ENERO_2026[[#This Row],[SUPER2]]</f>
        <v>MELINA</v>
      </c>
      <c r="B27" s="34" t="str">
        <f>D1_ENERO_2026[[#This Row],[ASESOR]]</f>
        <v>JEREMIAS ROJAS</v>
      </c>
      <c r="C27" s="36">
        <f>VLOOKUP(D1_ENERO_2026[[#This Row],[SUPER]],DATA_ENERO_2026[[SUPERVISOR]:[META]],3,0)</f>
        <v>48000</v>
      </c>
      <c r="D27" s="35">
        <f>D1_ENERO_2026[[#This Row],[RECUPERO]]/C27</f>
        <v>0.70343750000000005</v>
      </c>
      <c r="E27" s="35" t="s">
        <v>4</v>
      </c>
      <c r="F27" t="s">
        <v>122</v>
      </c>
      <c r="G27" s="36">
        <v>33765</v>
      </c>
      <c r="H27" s="34" t="s">
        <v>426</v>
      </c>
      <c r="I27" s="60">
        <v>45971</v>
      </c>
      <c r="J27" s="55" t="s">
        <v>501</v>
      </c>
      <c r="K27" s="55"/>
      <c r="L27" s="55"/>
      <c r="M27" s="5">
        <f>DATA_ENERO_2026[[#This Row],[RECUPERO]]/DATA_ENERO_2026[[#This Row],[META]]</f>
        <v>1.8912500000000001</v>
      </c>
      <c r="N27" s="5">
        <f>6-ROUNDUP(_xlfn.RANK.EQ(DATA_ENERO_2026[[#This Row],[AL_AC]],DATA_ENERO_2026[AL_AC],0)/(COUNTA(DATA_ENERO_2026[AL_AC])/5),0)</f>
        <v>5</v>
      </c>
      <c r="O27" s="54" t="s">
        <v>3</v>
      </c>
      <c r="P27" s="6">
        <f>SUM(DATA_ENERO_2026[[#This Row],[1]:[31]])</f>
        <v>90780</v>
      </c>
      <c r="Q27" s="6">
        <v>48000</v>
      </c>
      <c r="R27" t="s">
        <v>32</v>
      </c>
      <c r="U27">
        <v>512</v>
      </c>
      <c r="W27">
        <v>600</v>
      </c>
      <c r="X27">
        <v>3598</v>
      </c>
      <c r="Y27">
        <v>1800</v>
      </c>
      <c r="AA27">
        <v>7000</v>
      </c>
      <c r="AE27">
        <v>8350</v>
      </c>
      <c r="AG27">
        <v>710</v>
      </c>
      <c r="AH27">
        <v>30500</v>
      </c>
      <c r="AK27">
        <v>3400</v>
      </c>
      <c r="AL27">
        <v>150</v>
      </c>
      <c r="AM27">
        <v>2525</v>
      </c>
      <c r="AN27">
        <v>600</v>
      </c>
      <c r="AO27">
        <v>25065</v>
      </c>
      <c r="AR27">
        <v>600</v>
      </c>
      <c r="AT27">
        <v>2250</v>
      </c>
      <c r="AU27">
        <v>1150</v>
      </c>
      <c r="AV27">
        <v>1100</v>
      </c>
      <c r="AW27">
        <v>870</v>
      </c>
      <c r="AX27" t="str" cm="1">
        <f t="array" ref="AX27">IFERROR(VLOOKUP(DATA_ENERO_2026[[#This Row],[ASER_]],_xlfn._xlws.FILTER(PLANTILLA[[ASESOR]:[FECHA DE CESE]],PLANTILLA[FECHA]=_xlfn.CONCAT($M$3,"_",_xlfn.IFS($N$3="ENERO","1",$N$3="FEBRERO","2",$N$3="MARZO","3",$N$3="ABRIL","4",$N$3="MAYO","5",$N$3="JUNIO","6",$N$3="JULIO","7",$N$3="AGOSTO","8",$N$3="SETIEMBRE","9",$N$3="OCTUBRE","10",$N$3="NOVIEMBRE","11",$N$3="DICIEMBRE","12"))),8,0),"")</f>
        <v>S1</v>
      </c>
    </row>
    <row r="28" spans="1:86" x14ac:dyDescent="0.25">
      <c r="A28" s="35" t="str">
        <f>D1_ENERO_2026[[#This Row],[SUPER2]]</f>
        <v>SANDY</v>
      </c>
      <c r="B28" s="34" t="str">
        <f>D1_ENERO_2026[[#This Row],[ASESOR]]</f>
        <v>JESSICA MELGAREJO</v>
      </c>
      <c r="C28" s="36">
        <f>VLOOKUP(D1_ENERO_2026[[#This Row],[SUPER]],DATA_ENERO_2026[[SUPERVISOR]:[META]],3,0)</f>
        <v>48000</v>
      </c>
      <c r="D28" s="35">
        <f>D1_ENERO_2026[[#This Row],[RECUPERO]]/C28</f>
        <v>1.286375</v>
      </c>
      <c r="E28" s="35" t="s">
        <v>3</v>
      </c>
      <c r="F28" t="s">
        <v>96</v>
      </c>
      <c r="G28" s="36">
        <v>61746</v>
      </c>
      <c r="H28" s="34" t="s">
        <v>437</v>
      </c>
      <c r="I28" s="60">
        <v>45882</v>
      </c>
      <c r="J28" s="55" t="s">
        <v>501</v>
      </c>
      <c r="K28" s="55"/>
      <c r="L28" s="55"/>
      <c r="M28" s="5">
        <f>DATA_ENERO_2026[[#This Row],[RECUPERO]]/DATA_ENERO_2026[[#This Row],[META]]</f>
        <v>0.9349119631901841</v>
      </c>
      <c r="N28" s="5">
        <f>6-ROUNDUP(_xlfn.RANK.EQ(DATA_ENERO_2026[[#This Row],[AL_AC]],DATA_ENERO_2026[AL_AC],0)/(COUNTA(DATA_ENERO_2026[AL_AC])/5),0)</f>
        <v>3</v>
      </c>
      <c r="O28" s="54" t="s">
        <v>2</v>
      </c>
      <c r="P28" s="6">
        <f>SUM(DATA_ENERO_2026[[#This Row],[1]:[31]])</f>
        <v>30478.13</v>
      </c>
      <c r="Q28" s="6">
        <v>32600</v>
      </c>
      <c r="R28" t="s">
        <v>42</v>
      </c>
      <c r="W28">
        <v>1650</v>
      </c>
      <c r="Y28">
        <v>1825</v>
      </c>
      <c r="AE28">
        <v>5000</v>
      </c>
      <c r="AF28">
        <v>4631.13</v>
      </c>
      <c r="AG28">
        <v>125</v>
      </c>
      <c r="AH28">
        <v>1215</v>
      </c>
      <c r="AM28">
        <v>3860</v>
      </c>
      <c r="AN28">
        <v>5200</v>
      </c>
      <c r="AR28">
        <v>4910</v>
      </c>
      <c r="AS28">
        <v>232</v>
      </c>
      <c r="AV28">
        <v>350</v>
      </c>
      <c r="AW28">
        <v>1480</v>
      </c>
      <c r="AX28" t="str" cm="1">
        <f t="array" ref="AX28">IFERROR(VLOOKUP(DATA_ENERO_2026[[#This Row],[ASER_]],_xlfn._xlws.FILTER(PLANTILLA[[ASESOR]:[FECHA DE CESE]],PLANTILLA[FECHA]=_xlfn.CONCAT($M$3,"_",_xlfn.IFS($N$3="ENERO","1",$N$3="FEBRERO","2",$N$3="MARZO","3",$N$3="ABRIL","4",$N$3="MAYO","5",$N$3="JUNIO","6",$N$3="JULIO","7",$N$3="AGOSTO","8",$N$3="SETIEMBRE","9",$N$3="OCTUBRE","10",$N$3="NOVIEMBRE","11",$N$3="DICIEMBRE","12"))),8,0),"")</f>
        <v>S0</v>
      </c>
    </row>
    <row r="29" spans="1:86" x14ac:dyDescent="0.25">
      <c r="A29" s="35" t="str">
        <f>D1_ENERO_2026[[#This Row],[SUPER2]]</f>
        <v>SANDY</v>
      </c>
      <c r="B29" s="34" t="str">
        <f>D1_ENERO_2026[[#This Row],[ASESOR]]</f>
        <v>JHONATAN CHAVEZ</v>
      </c>
      <c r="C29" s="36">
        <f>VLOOKUP(D1_ENERO_2026[[#This Row],[SUPER]],DATA_ENERO_2026[[SUPERVISOR]:[META]],3,0)</f>
        <v>48000</v>
      </c>
      <c r="D29" s="35">
        <f>D1_ENERO_2026[[#This Row],[RECUPERO]]/C29</f>
        <v>0.73114583333333338</v>
      </c>
      <c r="E29" s="35" t="s">
        <v>3</v>
      </c>
      <c r="F29" t="s">
        <v>65</v>
      </c>
      <c r="G29" s="36">
        <v>35095</v>
      </c>
      <c r="H29" s="34" t="s">
        <v>438</v>
      </c>
      <c r="I29" s="60">
        <v>45019</v>
      </c>
      <c r="J29" s="55" t="s">
        <v>501</v>
      </c>
      <c r="K29" s="55"/>
      <c r="L29" s="55"/>
      <c r="M29" s="5">
        <f>DATA_ENERO_2026[[#This Row],[RECUPERO]]/DATA_ENERO_2026[[#This Row],[META]]</f>
        <v>1.5908960573476703</v>
      </c>
      <c r="N29" s="5">
        <f>6-ROUNDUP(_xlfn.RANK.EQ(DATA_ENERO_2026[[#This Row],[AL_AC]],DATA_ENERO_2026[AL_AC],0)/(COUNTA(DATA_ENERO_2026[AL_AC])/5),0)</f>
        <v>4</v>
      </c>
      <c r="O29" s="54" t="s">
        <v>6</v>
      </c>
      <c r="P29" s="6">
        <f>SUM(DATA_ENERO_2026[[#This Row],[1]:[31]])</f>
        <v>44386</v>
      </c>
      <c r="Q29" s="6">
        <v>27900</v>
      </c>
      <c r="R29" t="s">
        <v>26</v>
      </c>
      <c r="T29">
        <v>1500</v>
      </c>
      <c r="X29">
        <v>3500</v>
      </c>
      <c r="Y29">
        <v>950</v>
      </c>
      <c r="AG29">
        <v>1263</v>
      </c>
      <c r="AH29">
        <v>2000</v>
      </c>
      <c r="AK29">
        <v>600</v>
      </c>
      <c r="AM29">
        <v>5850</v>
      </c>
      <c r="AN29">
        <v>3300</v>
      </c>
      <c r="AS29">
        <v>17023</v>
      </c>
      <c r="AT29">
        <v>4900</v>
      </c>
      <c r="AV29">
        <v>3500</v>
      </c>
      <c r="AX29" t="str" cm="1">
        <f t="array" ref="AX29">IFERROR(VLOOKUP(DATA_ENERO_2026[[#This Row],[ASER_]],_xlfn._xlws.FILTER(PLANTILLA[[ASESOR]:[FECHA DE CESE]],PLANTILLA[FECHA]=_xlfn.CONCAT($M$3,"_",_xlfn.IFS($N$3="ENERO","1",$N$3="FEBRERO","2",$N$3="MARZO","3",$N$3="ABRIL","4",$N$3="MAYO","5",$N$3="JUNIO","6",$N$3="JULIO","7",$N$3="AGOSTO","8",$N$3="SETIEMBRE","9",$N$3="OCTUBRE","10",$N$3="NOVIEMBRE","11",$N$3="DICIEMBRE","12"))),8,0),"")</f>
        <v>S1</v>
      </c>
    </row>
    <row r="30" spans="1:86" x14ac:dyDescent="0.25">
      <c r="A30" s="35" t="str">
        <f>D1_ENERO_2026[[#This Row],[SUPER2]]</f>
        <v>KENNETH</v>
      </c>
      <c r="B30" s="34" t="str">
        <f>D1_ENERO_2026[[#This Row],[ASESOR]]</f>
        <v>JIMENA MEDINA</v>
      </c>
      <c r="C30" s="36">
        <f>VLOOKUP(D1_ENERO_2026[[#This Row],[SUPER]],DATA_ENERO_2026[[SUPERVISOR]:[META]],3,0)</f>
        <v>27900</v>
      </c>
      <c r="D30" s="35">
        <f>D1_ENERO_2026[[#This Row],[RECUPERO]]/C30</f>
        <v>0.21985663082437276</v>
      </c>
      <c r="E30" s="35" t="s">
        <v>6</v>
      </c>
      <c r="F30" t="s">
        <v>37</v>
      </c>
      <c r="G30" s="36">
        <v>6134</v>
      </c>
      <c r="H30" s="34" t="s">
        <v>400</v>
      </c>
      <c r="I30" s="60">
        <v>45112</v>
      </c>
      <c r="J30" s="55" t="s">
        <v>501</v>
      </c>
      <c r="K30" s="55"/>
      <c r="L30" s="55"/>
      <c r="M30" s="5">
        <f>DATA_ENERO_2026[[#This Row],[RECUPERO]]/DATA_ENERO_2026[[#This Row],[META]]</f>
        <v>0.70343750000000005</v>
      </c>
      <c r="N30" s="5">
        <f>6-ROUNDUP(_xlfn.RANK.EQ(DATA_ENERO_2026[[#This Row],[AL_AC]],DATA_ENERO_2026[AL_AC],0)/(COUNTA(DATA_ENERO_2026[AL_AC])/5),0)</f>
        <v>2</v>
      </c>
      <c r="O30" s="54" t="s">
        <v>4</v>
      </c>
      <c r="P30" s="6">
        <f>SUM(DATA_ENERO_2026[[#This Row],[1]:[31]])</f>
        <v>33765</v>
      </c>
      <c r="Q30" s="6">
        <v>48000</v>
      </c>
      <c r="R30" t="s">
        <v>122</v>
      </c>
      <c r="U30">
        <v>1030</v>
      </c>
      <c r="W30">
        <v>10000</v>
      </c>
      <c r="X30">
        <v>500</v>
      </c>
      <c r="AA30">
        <v>5300</v>
      </c>
      <c r="AG30">
        <v>1900</v>
      </c>
      <c r="AL30">
        <v>535</v>
      </c>
      <c r="AU30">
        <v>13000</v>
      </c>
      <c r="AW30">
        <v>1500</v>
      </c>
      <c r="AX30" t="str" cm="1">
        <f t="array" ref="AX30">IFERROR(VLOOKUP(DATA_ENERO_2026[[#This Row],[ASER_]],_xlfn._xlws.FILTER(PLANTILLA[[ASESOR]:[FECHA DE CESE]],PLANTILLA[FECHA]=_xlfn.CONCAT($M$3,"_",_xlfn.IFS($N$3="ENERO","1",$N$3="FEBRERO","2",$N$3="MARZO","3",$N$3="ABRIL","4",$N$3="MAYO","5",$N$3="JUNIO","6",$N$3="JULIO","7",$N$3="AGOSTO","8",$N$3="SETIEMBRE","9",$N$3="OCTUBRE","10",$N$3="NOVIEMBRE","11",$N$3="DICIEMBRE","12"))),8,0),"")</f>
        <v>S1</v>
      </c>
    </row>
    <row r="31" spans="1:86" x14ac:dyDescent="0.25">
      <c r="A31" s="35" t="str">
        <f>D1_ENERO_2026[[#This Row],[SUPER2]]</f>
        <v>JOHAN</v>
      </c>
      <c r="B31" s="34" t="str">
        <f>D1_ENERO_2026[[#This Row],[ASESOR]]</f>
        <v>JUAN ALANOCCA</v>
      </c>
      <c r="C31" s="36">
        <f>VLOOKUP(D1_ENERO_2026[[#This Row],[SUPER]],DATA_ENERO_2026[[SUPERVISOR]:[META]],3,0)</f>
        <v>24500</v>
      </c>
      <c r="D31" s="35">
        <f>D1_ENERO_2026[[#This Row],[RECUPERO]]/C31</f>
        <v>1.8593142857142857</v>
      </c>
      <c r="E31" s="35" t="s">
        <v>125</v>
      </c>
      <c r="F31" t="s">
        <v>77</v>
      </c>
      <c r="G31" s="36">
        <v>45553.2</v>
      </c>
      <c r="H31" s="34" t="s">
        <v>393</v>
      </c>
      <c r="I31" s="60">
        <v>44838</v>
      </c>
      <c r="J31" s="55" t="s">
        <v>501</v>
      </c>
      <c r="K31" s="55"/>
      <c r="L31" s="55"/>
      <c r="M31" s="5">
        <f>DATA_ENERO_2026[[#This Row],[RECUPERO]]/DATA_ENERO_2026[[#This Row],[META]]</f>
        <v>1.286375</v>
      </c>
      <c r="N31" s="5">
        <f>6-ROUNDUP(_xlfn.RANK.EQ(DATA_ENERO_2026[[#This Row],[AL_AC]],DATA_ENERO_2026[AL_AC],0)/(COUNTA(DATA_ENERO_2026[AL_AC])/5),0)</f>
        <v>4</v>
      </c>
      <c r="O31" s="54" t="s">
        <v>3</v>
      </c>
      <c r="P31" s="6">
        <f>SUM(DATA_ENERO_2026[[#This Row],[1]:[31]])</f>
        <v>61746</v>
      </c>
      <c r="Q31" s="6">
        <v>48000</v>
      </c>
      <c r="R31" t="s">
        <v>96</v>
      </c>
      <c r="Z31">
        <v>2100</v>
      </c>
      <c r="AA31">
        <v>23100</v>
      </c>
      <c r="AD31">
        <v>1200</v>
      </c>
      <c r="AE31">
        <v>7520</v>
      </c>
      <c r="AG31">
        <v>10890</v>
      </c>
      <c r="AM31">
        <v>7000</v>
      </c>
      <c r="AN31">
        <v>780</v>
      </c>
      <c r="AR31">
        <v>750</v>
      </c>
      <c r="AS31">
        <v>2500</v>
      </c>
      <c r="AT31">
        <v>2500</v>
      </c>
      <c r="AU31">
        <v>663</v>
      </c>
      <c r="AV31">
        <v>1930</v>
      </c>
      <c r="AW31">
        <v>813</v>
      </c>
      <c r="AX31" t="str" cm="1">
        <f t="array" ref="AX31">IFERROR(VLOOKUP(DATA_ENERO_2026[[#This Row],[ASER_]],_xlfn._xlws.FILTER(PLANTILLA[[ASESOR]:[FECHA DE CESE]],PLANTILLA[FECHA]=_xlfn.CONCAT($M$3,"_",_xlfn.IFS($N$3="ENERO","1",$N$3="FEBRERO","2",$N$3="MARZO","3",$N$3="ABRIL","4",$N$3="MAYO","5",$N$3="JUNIO","6",$N$3="JULIO","7",$N$3="AGOSTO","8",$N$3="SETIEMBRE","9",$N$3="OCTUBRE","10",$N$3="NOVIEMBRE","11",$N$3="DICIEMBRE","12"))),8,0),"")</f>
        <v>S1</v>
      </c>
    </row>
    <row r="32" spans="1:86" x14ac:dyDescent="0.25">
      <c r="A32" s="35" t="str">
        <f>D1_ENERO_2026[[#This Row],[SUPER2]]</f>
        <v>KENNETH</v>
      </c>
      <c r="B32" s="34" t="str">
        <f>D1_ENERO_2026[[#This Row],[ASESOR]]</f>
        <v>JUAN LOZA</v>
      </c>
      <c r="C32" s="36">
        <f>VLOOKUP(D1_ENERO_2026[[#This Row],[SUPER]],DATA_ENERO_2026[[SUPERVISOR]:[META]],3,0)</f>
        <v>27900</v>
      </c>
      <c r="D32" s="35">
        <f>D1_ENERO_2026[[#This Row],[RECUPERO]]/C32</f>
        <v>0.40724372759856631</v>
      </c>
      <c r="E32" s="35" t="s">
        <v>6</v>
      </c>
      <c r="F32" t="s">
        <v>35</v>
      </c>
      <c r="G32" s="36">
        <v>11362.1</v>
      </c>
      <c r="H32" s="34" t="s">
        <v>401</v>
      </c>
      <c r="I32" s="60">
        <v>44746</v>
      </c>
      <c r="J32" s="55" t="s">
        <v>501</v>
      </c>
      <c r="K32" s="55"/>
      <c r="L32" s="55"/>
      <c r="M32" s="5">
        <f>DATA_ENERO_2026[[#This Row],[RECUPERO]]/DATA_ENERO_2026[[#This Row],[META]]</f>
        <v>0.73114583333333338</v>
      </c>
      <c r="N32" s="5">
        <f>6-ROUNDUP(_xlfn.RANK.EQ(DATA_ENERO_2026[[#This Row],[AL_AC]],DATA_ENERO_2026[AL_AC],0)/(COUNTA(DATA_ENERO_2026[AL_AC])/5),0)</f>
        <v>2</v>
      </c>
      <c r="O32" s="54" t="s">
        <v>3</v>
      </c>
      <c r="P32" s="6">
        <f>SUM(DATA_ENERO_2026[[#This Row],[1]:[31]])</f>
        <v>35095</v>
      </c>
      <c r="Q32" s="6">
        <v>48000</v>
      </c>
      <c r="R32" t="s">
        <v>65</v>
      </c>
      <c r="T32">
        <v>700</v>
      </c>
      <c r="W32">
        <v>281</v>
      </c>
      <c r="AA32">
        <v>2300</v>
      </c>
      <c r="AD32">
        <v>1000</v>
      </c>
      <c r="AE32">
        <v>1000</v>
      </c>
      <c r="AF32">
        <v>4700</v>
      </c>
      <c r="AG32">
        <v>3000</v>
      </c>
      <c r="AL32">
        <v>2700</v>
      </c>
      <c r="AM32">
        <v>5500</v>
      </c>
      <c r="AO32">
        <v>2329</v>
      </c>
      <c r="AS32">
        <v>4450</v>
      </c>
      <c r="AV32">
        <v>5274</v>
      </c>
      <c r="AW32">
        <v>1861</v>
      </c>
      <c r="AX32" t="str" cm="1">
        <f t="array" ref="AX32">IFERROR(VLOOKUP(DATA_ENERO_2026[[#This Row],[ASER_]],_xlfn._xlws.FILTER(PLANTILLA[[ASESOR]:[FECHA DE CESE]],PLANTILLA[FECHA]=_xlfn.CONCAT($M$3,"_",_xlfn.IFS($N$3="ENERO","1",$N$3="FEBRERO","2",$N$3="MARZO","3",$N$3="ABRIL","4",$N$3="MAYO","5",$N$3="JUNIO","6",$N$3="JULIO","7",$N$3="AGOSTO","8",$N$3="SETIEMBRE","9",$N$3="OCTUBRE","10",$N$3="NOVIEMBRE","11",$N$3="DICIEMBRE","12"))),8,0),"")</f>
        <v>S1</v>
      </c>
    </row>
    <row r="33" spans="1:50" x14ac:dyDescent="0.25">
      <c r="A33" s="35" t="str">
        <f>D1_ENERO_2026[[#This Row],[SUPER2]]</f>
        <v>KENNETH</v>
      </c>
      <c r="B33" s="34" t="str">
        <f>D1_ENERO_2026[[#This Row],[ASESOR]]</f>
        <v>KIARA CANEPA</v>
      </c>
      <c r="C33" s="36">
        <f>VLOOKUP(D1_ENERO_2026[[#This Row],[SUPER]],DATA_ENERO_2026[[SUPERVISOR]:[META]],3,0)</f>
        <v>27900</v>
      </c>
      <c r="D33" s="35">
        <f>D1_ENERO_2026[[#This Row],[RECUPERO]]/C33</f>
        <v>1.2897132616487454</v>
      </c>
      <c r="E33" s="35" t="s">
        <v>6</v>
      </c>
      <c r="F33" t="s">
        <v>50</v>
      </c>
      <c r="G33" s="36">
        <v>35983</v>
      </c>
      <c r="H33" s="34" t="s">
        <v>402</v>
      </c>
      <c r="I33" s="60">
        <v>45789</v>
      </c>
      <c r="J33" s="55" t="s">
        <v>501</v>
      </c>
      <c r="K33" s="55"/>
      <c r="L33" s="55"/>
      <c r="M33" s="5">
        <f>DATA_ENERO_2026[[#This Row],[RECUPERO]]/DATA_ENERO_2026[[#This Row],[META]]</f>
        <v>0.21985663082437276</v>
      </c>
      <c r="N33" s="5">
        <f>6-ROUNDUP(_xlfn.RANK.EQ(DATA_ENERO_2026[[#This Row],[AL_AC]],DATA_ENERO_2026[AL_AC],0)/(COUNTA(DATA_ENERO_2026[AL_AC])/5),0)</f>
        <v>1</v>
      </c>
      <c r="O33" s="54" t="s">
        <v>6</v>
      </c>
      <c r="P33" s="6">
        <f>SUM(DATA_ENERO_2026[[#This Row],[1]:[31]])</f>
        <v>6134</v>
      </c>
      <c r="Q33" s="6">
        <v>27900</v>
      </c>
      <c r="R33" t="s">
        <v>37</v>
      </c>
      <c r="S33" s="45"/>
      <c r="AE33">
        <v>148</v>
      </c>
      <c r="AF33">
        <v>286</v>
      </c>
      <c r="AS33">
        <v>3000</v>
      </c>
      <c r="AU33">
        <v>2400</v>
      </c>
      <c r="AW33">
        <v>300</v>
      </c>
      <c r="AX33" t="str" cm="1">
        <f t="array" ref="AX33">IFERROR(VLOOKUP(DATA_ENERO_2026[[#This Row],[ASER_]],_xlfn._xlws.FILTER(PLANTILLA[[ASESOR]:[FECHA DE CESE]],PLANTILLA[FECHA]=_xlfn.CONCAT($M$3,"_",_xlfn.IFS($N$3="ENERO","1",$N$3="FEBRERO","2",$N$3="MARZO","3",$N$3="ABRIL","4",$N$3="MAYO","5",$N$3="JUNIO","6",$N$3="JULIO","7",$N$3="AGOSTO","8",$N$3="SETIEMBRE","9",$N$3="OCTUBRE","10",$N$3="NOVIEMBRE","11",$N$3="DICIEMBRE","12"))),8,0),"")</f>
        <v>S1</v>
      </c>
    </row>
    <row r="34" spans="1:50" x14ac:dyDescent="0.25">
      <c r="A34" s="35" t="str">
        <f>D1_ENERO_2026[[#This Row],[SUPER2]]</f>
        <v>SANDY</v>
      </c>
      <c r="B34" s="34" t="str">
        <f>D1_ENERO_2026[[#This Row],[ASESOR]]</f>
        <v>LINDA TUESTA</v>
      </c>
      <c r="C34" s="36">
        <f>VLOOKUP(D1_ENERO_2026[[#This Row],[SUPER]],DATA_ENERO_2026[[SUPERVISOR]:[META]],3,0)</f>
        <v>48000</v>
      </c>
      <c r="D34" s="35">
        <f>D1_ENERO_2026[[#This Row],[RECUPERO]]/C34</f>
        <v>0.5482083333333333</v>
      </c>
      <c r="E34" s="35" t="s">
        <v>3</v>
      </c>
      <c r="F34" t="s">
        <v>33</v>
      </c>
      <c r="G34" s="36">
        <v>26314</v>
      </c>
      <c r="H34" s="34" t="s">
        <v>439</v>
      </c>
      <c r="I34" s="60">
        <v>44867</v>
      </c>
      <c r="J34" s="55" t="s">
        <v>501</v>
      </c>
      <c r="K34" s="55"/>
      <c r="L34" s="55"/>
      <c r="M34" s="5">
        <f>DATA_ENERO_2026[[#This Row],[RECUPERO]]/DATA_ENERO_2026[[#This Row],[META]]</f>
        <v>1.8593142857142857</v>
      </c>
      <c r="N34" s="5">
        <f>6-ROUNDUP(_xlfn.RANK.EQ(DATA_ENERO_2026[[#This Row],[AL_AC]],DATA_ENERO_2026[AL_AC],0)/(COUNTA(DATA_ENERO_2026[AL_AC])/5),0)</f>
        <v>5</v>
      </c>
      <c r="O34" s="54" t="s">
        <v>125</v>
      </c>
      <c r="P34" s="6">
        <f>SUM(DATA_ENERO_2026[[#This Row],[1]:[31]])</f>
        <v>45553.2</v>
      </c>
      <c r="Q34" s="6">
        <v>24500</v>
      </c>
      <c r="R34" t="s">
        <v>77</v>
      </c>
      <c r="T34">
        <v>200</v>
      </c>
      <c r="W34">
        <v>4150</v>
      </c>
      <c r="X34">
        <v>3000</v>
      </c>
      <c r="Y34">
        <v>3500</v>
      </c>
      <c r="AA34">
        <v>400</v>
      </c>
      <c r="AD34">
        <v>1522</v>
      </c>
      <c r="AG34">
        <v>15700</v>
      </c>
      <c r="AH34">
        <v>481</v>
      </c>
      <c r="AK34">
        <v>5000</v>
      </c>
      <c r="AR34">
        <v>4500.2</v>
      </c>
      <c r="AU34">
        <v>400</v>
      </c>
      <c r="AV34">
        <v>6200</v>
      </c>
      <c r="AW34">
        <v>500</v>
      </c>
      <c r="AX34" t="str" cm="1">
        <f t="array" ref="AX34">IFERROR(VLOOKUP(DATA_ENERO_2026[[#This Row],[ASER_]],_xlfn._xlws.FILTER(PLANTILLA[[ASESOR]:[FECHA DE CESE]],PLANTILLA[FECHA]=_xlfn.CONCAT($M$3,"_",_xlfn.IFS($N$3="ENERO","1",$N$3="FEBRERO","2",$N$3="MARZO","3",$N$3="ABRIL","4",$N$3="MAYO","5",$N$3="JUNIO","6",$N$3="JULIO","7",$N$3="AGOSTO","8",$N$3="SETIEMBRE","9",$N$3="OCTUBRE","10",$N$3="NOVIEMBRE","11",$N$3="DICIEMBRE","12"))),8,0),"")</f>
        <v>S2-3-4</v>
      </c>
    </row>
    <row r="35" spans="1:50" x14ac:dyDescent="0.25">
      <c r="A35" s="35" t="str">
        <f>D1_ENERO_2026[[#This Row],[SUPER2]]</f>
        <v>SANDY</v>
      </c>
      <c r="B35" s="34" t="str">
        <f>D1_ENERO_2026[[#This Row],[ASESOR]]</f>
        <v>LISELY MERA</v>
      </c>
      <c r="C35" s="36">
        <f>VLOOKUP(D1_ENERO_2026[[#This Row],[SUPER]],DATA_ENERO_2026[[SUPERVISOR]:[META]],3,0)</f>
        <v>48000</v>
      </c>
      <c r="D35" s="35">
        <f>D1_ENERO_2026[[#This Row],[RECUPERO]]/C35</f>
        <v>1.4682270833333333</v>
      </c>
      <c r="E35" s="35" t="s">
        <v>3</v>
      </c>
      <c r="F35" t="s">
        <v>23</v>
      </c>
      <c r="G35" s="36">
        <v>70474.899999999994</v>
      </c>
      <c r="H35" s="34" t="s">
        <v>445</v>
      </c>
      <c r="I35" s="60">
        <v>44109</v>
      </c>
      <c r="J35" s="55" t="s">
        <v>501</v>
      </c>
      <c r="K35" s="55"/>
      <c r="L35" s="55"/>
      <c r="M35" s="5">
        <f>DATA_ENERO_2026[[#This Row],[RECUPERO]]/DATA_ENERO_2026[[#This Row],[META]]</f>
        <v>0.40724372759856631</v>
      </c>
      <c r="N35" s="5">
        <f>6-ROUNDUP(_xlfn.RANK.EQ(DATA_ENERO_2026[[#This Row],[AL_AC]],DATA_ENERO_2026[AL_AC],0)/(COUNTA(DATA_ENERO_2026[AL_AC])/5),0)</f>
        <v>1</v>
      </c>
      <c r="O35" s="54" t="s">
        <v>6</v>
      </c>
      <c r="P35" s="6">
        <f>SUM(DATA_ENERO_2026[[#This Row],[1]:[31]])</f>
        <v>11362.1</v>
      </c>
      <c r="Q35" s="6">
        <v>27900</v>
      </c>
      <c r="R35" t="s">
        <v>35</v>
      </c>
      <c r="W35">
        <v>800</v>
      </c>
      <c r="X35">
        <v>350</v>
      </c>
      <c r="AA35">
        <v>257</v>
      </c>
      <c r="AD35">
        <v>370</v>
      </c>
      <c r="AE35">
        <v>500</v>
      </c>
      <c r="AF35">
        <v>115</v>
      </c>
      <c r="AM35">
        <v>50</v>
      </c>
      <c r="AN35">
        <v>3960.1</v>
      </c>
      <c r="AR35">
        <v>1000</v>
      </c>
      <c r="AS35">
        <v>100</v>
      </c>
      <c r="AU35">
        <v>2460</v>
      </c>
      <c r="AV35">
        <v>1400</v>
      </c>
      <c r="AX35" t="str" cm="1">
        <f t="array" ref="AX35">IFERROR(VLOOKUP(DATA_ENERO_2026[[#This Row],[ASER_]],_xlfn._xlws.FILTER(PLANTILLA[[ASESOR]:[FECHA DE CESE]],PLANTILLA[FECHA]=_xlfn.CONCAT($M$3,"_",_xlfn.IFS($N$3="ENERO","1",$N$3="FEBRERO","2",$N$3="MARZO","3",$N$3="ABRIL","4",$N$3="MAYO","5",$N$3="JUNIO","6",$N$3="JULIO","7",$N$3="AGOSTO","8",$N$3="SETIEMBRE","9",$N$3="OCTUBRE","10",$N$3="NOVIEMBRE","11",$N$3="DICIEMBRE","12"))),8,0),"")</f>
        <v>S1</v>
      </c>
    </row>
    <row r="36" spans="1:50" x14ac:dyDescent="0.25">
      <c r="A36" s="35" t="str">
        <f>D1_ENERO_2026[[#This Row],[SUPER2]]</f>
        <v>JORGE</v>
      </c>
      <c r="B36" s="34" t="str">
        <f>D1_ENERO_2026[[#This Row],[ASESOR]]</f>
        <v>LUCERO JORDAN</v>
      </c>
      <c r="C36" s="36">
        <f>VLOOKUP(D1_ENERO_2026[[#This Row],[SUPER]],DATA_ENERO_2026[[SUPERVISOR]:[META]],3,0)</f>
        <v>32600</v>
      </c>
      <c r="D36" s="35">
        <f>D1_ENERO_2026[[#This Row],[RECUPERO]]/C36</f>
        <v>1.851717791411043</v>
      </c>
      <c r="E36" s="35" t="s">
        <v>2</v>
      </c>
      <c r="F36" t="s">
        <v>68</v>
      </c>
      <c r="G36" s="36">
        <v>60366</v>
      </c>
      <c r="H36" s="34" t="s">
        <v>440</v>
      </c>
      <c r="I36" s="60">
        <v>45363</v>
      </c>
      <c r="J36" s="55" t="s">
        <v>501</v>
      </c>
      <c r="K36" s="55"/>
      <c r="L36" s="55"/>
      <c r="M36" s="5">
        <f>DATA_ENERO_2026[[#This Row],[RECUPERO]]/DATA_ENERO_2026[[#This Row],[META]]</f>
        <v>1.2897132616487454</v>
      </c>
      <c r="N36" s="5">
        <f>6-ROUNDUP(_xlfn.RANK.EQ(DATA_ENERO_2026[[#This Row],[AL_AC]],DATA_ENERO_2026[AL_AC],0)/(COUNTA(DATA_ENERO_2026[AL_AC])/5),0)</f>
        <v>4</v>
      </c>
      <c r="O36" s="54" t="s">
        <v>6</v>
      </c>
      <c r="P36" s="6">
        <f>SUM(DATA_ENERO_2026[[#This Row],[1]:[31]])</f>
        <v>35983</v>
      </c>
      <c r="Q36" s="6">
        <v>27900</v>
      </c>
      <c r="R36" t="s">
        <v>50</v>
      </c>
      <c r="S36">
        <v>1500</v>
      </c>
      <c r="T36">
        <v>12000</v>
      </c>
      <c r="U36" s="45"/>
      <c r="W36">
        <v>350</v>
      </c>
      <c r="AD36">
        <v>8485</v>
      </c>
      <c r="AE36">
        <v>6750</v>
      </c>
      <c r="AF36">
        <v>4500</v>
      </c>
      <c r="AG36">
        <v>648</v>
      </c>
      <c r="AT36">
        <v>1750</v>
      </c>
      <c r="AX36" t="str" cm="1">
        <f t="array" ref="AX36">IFERROR(VLOOKUP(DATA_ENERO_2026[[#This Row],[ASER_]],_xlfn._xlws.FILTER(PLANTILLA[[ASESOR]:[FECHA DE CESE]],PLANTILLA[FECHA]=_xlfn.CONCAT($M$3,"_",_xlfn.IFS($N$3="ENERO","1",$N$3="FEBRERO","2",$N$3="MARZO","3",$N$3="ABRIL","4",$N$3="MAYO","5",$N$3="JUNIO","6",$N$3="JULIO","7",$N$3="AGOSTO","8",$N$3="SETIEMBRE","9",$N$3="OCTUBRE","10",$N$3="NOVIEMBRE","11",$N$3="DICIEMBRE","12"))),8,0),"")</f>
        <v>S1</v>
      </c>
    </row>
    <row r="37" spans="1:50" x14ac:dyDescent="0.25">
      <c r="A37" s="35" t="str">
        <f>D1_ENERO_2026[[#This Row],[SUPER2]]</f>
        <v>SANDY</v>
      </c>
      <c r="B37" s="34" t="str">
        <f>D1_ENERO_2026[[#This Row],[ASESOR]]</f>
        <v>LUIS CENTENO</v>
      </c>
      <c r="C37" s="36">
        <f>VLOOKUP(D1_ENERO_2026[[#This Row],[SUPER]],DATA_ENERO_2026[[SUPERVISOR]:[META]],3,0)</f>
        <v>48000</v>
      </c>
      <c r="D37" s="35">
        <f>D1_ENERO_2026[[#This Row],[RECUPERO]]/C37</f>
        <v>0.86945937500000003</v>
      </c>
      <c r="E37" s="35" t="s">
        <v>3</v>
      </c>
      <c r="F37" t="s">
        <v>31</v>
      </c>
      <c r="G37" s="36">
        <v>41734.050000000003</v>
      </c>
      <c r="H37" s="34" t="s">
        <v>403</v>
      </c>
      <c r="I37" s="60">
        <v>45334</v>
      </c>
      <c r="J37" s="55" t="s">
        <v>501</v>
      </c>
      <c r="K37" s="55"/>
      <c r="L37" s="55"/>
      <c r="M37" s="5">
        <f>DATA_ENERO_2026[[#This Row],[RECUPERO]]/DATA_ENERO_2026[[#This Row],[META]]</f>
        <v>0.5482083333333333</v>
      </c>
      <c r="N37" s="5">
        <f>6-ROUNDUP(_xlfn.RANK.EQ(DATA_ENERO_2026[[#This Row],[AL_AC]],DATA_ENERO_2026[AL_AC],0)/(COUNTA(DATA_ENERO_2026[AL_AC])/5),0)</f>
        <v>1</v>
      </c>
      <c r="O37" s="54" t="s">
        <v>3</v>
      </c>
      <c r="P37" s="6">
        <f>SUM(DATA_ENERO_2026[[#This Row],[1]:[31]])</f>
        <v>26314</v>
      </c>
      <c r="Q37" s="6">
        <v>48000</v>
      </c>
      <c r="R37" t="s">
        <v>33</v>
      </c>
      <c r="S37">
        <v>335</v>
      </c>
      <c r="X37">
        <v>7300</v>
      </c>
      <c r="AB37">
        <v>225</v>
      </c>
      <c r="AF37">
        <v>2000</v>
      </c>
      <c r="AN37">
        <v>3800</v>
      </c>
      <c r="AS37">
        <v>2500</v>
      </c>
      <c r="AT37">
        <v>800</v>
      </c>
      <c r="AU37">
        <v>6500</v>
      </c>
      <c r="AV37">
        <v>732</v>
      </c>
      <c r="AW37">
        <v>2122</v>
      </c>
      <c r="AX37" t="str" cm="1">
        <f t="array" ref="AX37">IFERROR(VLOOKUP(DATA_ENERO_2026[[#This Row],[ASER_]],_xlfn._xlws.FILTER(PLANTILLA[[ASESOR]:[FECHA DE CESE]],PLANTILLA[FECHA]=_xlfn.CONCAT($M$3,"_",_xlfn.IFS($N$3="ENERO","1",$N$3="FEBRERO","2",$N$3="MARZO","3",$N$3="ABRIL","4",$N$3="MAYO","5",$N$3="JUNIO","6",$N$3="JULIO","7",$N$3="AGOSTO","8",$N$3="SETIEMBRE","9",$N$3="OCTUBRE","10",$N$3="NOVIEMBRE","11",$N$3="DICIEMBRE","12"))),8,0),"")</f>
        <v>S1</v>
      </c>
    </row>
    <row r="38" spans="1:50" x14ac:dyDescent="0.25">
      <c r="A38" s="35" t="str">
        <f>D1_ENERO_2026[[#This Row],[SUPER2]]</f>
        <v>JORGE</v>
      </c>
      <c r="B38" s="34" t="str">
        <f>D1_ENERO_2026[[#This Row],[ASESOR]]</f>
        <v>LUIS VALLADARES</v>
      </c>
      <c r="C38" s="36">
        <f>VLOOKUP(D1_ENERO_2026[[#This Row],[SUPER]],DATA_ENERO_2026[[SUPERVISOR]:[META]],3,0)</f>
        <v>32600</v>
      </c>
      <c r="D38" s="35">
        <f>D1_ENERO_2026[[#This Row],[RECUPERO]]/C38</f>
        <v>0.86219018404907977</v>
      </c>
      <c r="E38" s="35" t="s">
        <v>2</v>
      </c>
      <c r="F38" t="s">
        <v>29</v>
      </c>
      <c r="G38" s="36">
        <v>28107.4</v>
      </c>
      <c r="H38" s="34" t="s">
        <v>416</v>
      </c>
      <c r="I38" s="60">
        <v>44685</v>
      </c>
      <c r="J38" s="55" t="s">
        <v>501</v>
      </c>
      <c r="K38" s="55"/>
      <c r="L38" s="55"/>
      <c r="M38" s="5">
        <f>DATA_ENERO_2026[[#This Row],[RECUPERO]]/DATA_ENERO_2026[[#This Row],[META]]</f>
        <v>1.4682270833333333</v>
      </c>
      <c r="N38" s="5">
        <f>6-ROUNDUP(_xlfn.RANK.EQ(DATA_ENERO_2026[[#This Row],[AL_AC]],DATA_ENERO_2026[AL_AC],0)/(COUNTA(DATA_ENERO_2026[AL_AC])/5),0)</f>
        <v>4</v>
      </c>
      <c r="O38" s="54" t="s">
        <v>3</v>
      </c>
      <c r="P38" s="6">
        <f>SUM(DATA_ENERO_2026[[#This Row],[1]:[31]])</f>
        <v>70474.899999999994</v>
      </c>
      <c r="Q38" s="6">
        <v>48000</v>
      </c>
      <c r="R38" t="s">
        <v>23</v>
      </c>
      <c r="T38">
        <v>500</v>
      </c>
      <c r="V38">
        <v>1200</v>
      </c>
      <c r="W38">
        <v>3578.9</v>
      </c>
      <c r="X38">
        <v>830</v>
      </c>
      <c r="Y38">
        <v>2200</v>
      </c>
      <c r="AA38">
        <v>580</v>
      </c>
      <c r="AD38">
        <v>10850</v>
      </c>
      <c r="AE38">
        <v>1000</v>
      </c>
      <c r="AG38">
        <v>700</v>
      </c>
      <c r="AH38">
        <v>7971</v>
      </c>
      <c r="AK38">
        <v>1427</v>
      </c>
      <c r="AL38">
        <v>1200</v>
      </c>
      <c r="AM38">
        <v>2924</v>
      </c>
      <c r="AN38">
        <v>5031</v>
      </c>
      <c r="AP38">
        <v>9550</v>
      </c>
      <c r="AR38">
        <v>3000</v>
      </c>
      <c r="AS38">
        <v>650</v>
      </c>
      <c r="AT38">
        <v>8000</v>
      </c>
      <c r="AV38">
        <v>9283</v>
      </c>
      <c r="AX38" t="str" cm="1">
        <f t="array" ref="AX38">IFERROR(VLOOKUP(DATA_ENERO_2026[[#This Row],[ASER_]],_xlfn._xlws.FILTER(PLANTILLA[[ASESOR]:[FECHA DE CESE]],PLANTILLA[FECHA]=_xlfn.CONCAT($M$3,"_",_xlfn.IFS($N$3="ENERO","1",$N$3="FEBRERO","2",$N$3="MARZO","3",$N$3="ABRIL","4",$N$3="MAYO","5",$N$3="JUNIO","6",$N$3="JULIO","7",$N$3="AGOSTO","8",$N$3="SETIEMBRE","9",$N$3="OCTUBRE","10",$N$3="NOVIEMBRE","11",$N$3="DICIEMBRE","12"))),8,0),"")</f>
        <v>S1</v>
      </c>
    </row>
    <row r="39" spans="1:50" x14ac:dyDescent="0.25">
      <c r="A39" s="35" t="str">
        <f>D1_ENERO_2026[[#This Row],[SUPER2]]</f>
        <v>JORGE</v>
      </c>
      <c r="B39" s="34" t="str">
        <f>D1_ENERO_2026[[#This Row],[ASESOR]]</f>
        <v>MALORY MONTEBLANCO</v>
      </c>
      <c r="C39" s="36">
        <f>VLOOKUP(D1_ENERO_2026[[#This Row],[SUPER]],DATA_ENERO_2026[[SUPERVISOR]:[META]],3,0)</f>
        <v>32600</v>
      </c>
      <c r="D39" s="35">
        <f>D1_ENERO_2026[[#This Row],[RECUPERO]]/C39</f>
        <v>1.6223312883435583</v>
      </c>
      <c r="E39" s="35" t="s">
        <v>2</v>
      </c>
      <c r="F39" t="s">
        <v>25</v>
      </c>
      <c r="G39" s="36">
        <v>52888</v>
      </c>
      <c r="H39" s="34" t="s">
        <v>446</v>
      </c>
      <c r="I39" s="60">
        <v>44818</v>
      </c>
      <c r="J39" s="55" t="s">
        <v>501</v>
      </c>
      <c r="K39" s="55"/>
      <c r="L39" s="55"/>
      <c r="M39" s="5">
        <f>DATA_ENERO_2026[[#This Row],[RECUPERO]]/DATA_ENERO_2026[[#This Row],[META]]</f>
        <v>1.851717791411043</v>
      </c>
      <c r="N39" s="5">
        <f>6-ROUNDUP(_xlfn.RANK.EQ(DATA_ENERO_2026[[#This Row],[AL_AC]],DATA_ENERO_2026[AL_AC],0)/(COUNTA(DATA_ENERO_2026[AL_AC])/5),0)</f>
        <v>5</v>
      </c>
      <c r="O39" s="54" t="s">
        <v>2</v>
      </c>
      <c r="P39" s="6">
        <f>SUM(DATA_ENERO_2026[[#This Row],[1]:[31]])</f>
        <v>60366</v>
      </c>
      <c r="Q39" s="6">
        <v>32600</v>
      </c>
      <c r="R39" t="s">
        <v>68</v>
      </c>
      <c r="Z39">
        <v>6000</v>
      </c>
      <c r="AD39">
        <v>1400</v>
      </c>
      <c r="AE39">
        <v>3250</v>
      </c>
      <c r="AG39">
        <v>3000</v>
      </c>
      <c r="AH39">
        <v>1716</v>
      </c>
      <c r="AK39">
        <v>7400</v>
      </c>
      <c r="AN39">
        <v>4200</v>
      </c>
      <c r="AR39">
        <v>3000</v>
      </c>
      <c r="AS39">
        <v>20400</v>
      </c>
      <c r="AT39">
        <v>10000</v>
      </c>
      <c r="AX39" t="str" cm="1">
        <f t="array" ref="AX39">IFERROR(VLOOKUP(DATA_ENERO_2026[[#This Row],[ASER_]],_xlfn._xlws.FILTER(PLANTILLA[[ASESOR]:[FECHA DE CESE]],PLANTILLA[FECHA]=_xlfn.CONCAT($M$3,"_",_xlfn.IFS($N$3="ENERO","1",$N$3="FEBRERO","2",$N$3="MARZO","3",$N$3="ABRIL","4",$N$3="MAYO","5",$N$3="JUNIO","6",$N$3="JULIO","7",$N$3="AGOSTO","8",$N$3="SETIEMBRE","9",$N$3="OCTUBRE","10",$N$3="NOVIEMBRE","11",$N$3="DICIEMBRE","12"))),8,0),"")</f>
        <v>S0</v>
      </c>
    </row>
    <row r="40" spans="1:50" x14ac:dyDescent="0.25">
      <c r="A40" s="35" t="str">
        <f>D1_ENERO_2026[[#This Row],[SUPER2]]</f>
        <v>SANDY</v>
      </c>
      <c r="B40" s="34" t="str">
        <f>D1_ENERO_2026[[#This Row],[ASESOR]]</f>
        <v>MARGARITA PIANCHACHI</v>
      </c>
      <c r="C40" s="36">
        <f>VLOOKUP(D1_ENERO_2026[[#This Row],[SUPER]],DATA_ENERO_2026[[SUPERVISOR]:[META]],3,0)</f>
        <v>48000</v>
      </c>
      <c r="D40" s="35">
        <f>D1_ENERO_2026[[#This Row],[RECUPERO]]/C40</f>
        <v>0.7694375</v>
      </c>
      <c r="E40" s="35" t="s">
        <v>3</v>
      </c>
      <c r="F40" t="s">
        <v>17</v>
      </c>
      <c r="G40" s="36">
        <v>36933</v>
      </c>
      <c r="H40" s="34" t="s">
        <v>385</v>
      </c>
      <c r="I40" s="60">
        <v>44886</v>
      </c>
      <c r="J40" s="55" t="s">
        <v>501</v>
      </c>
      <c r="K40" s="55"/>
      <c r="L40" s="55"/>
      <c r="M40" s="5">
        <f>DATA_ENERO_2026[[#This Row],[RECUPERO]]/DATA_ENERO_2026[[#This Row],[META]]</f>
        <v>0.86945937500000003</v>
      </c>
      <c r="N40" s="5">
        <f>6-ROUNDUP(_xlfn.RANK.EQ(DATA_ENERO_2026[[#This Row],[AL_AC]],DATA_ENERO_2026[AL_AC],0)/(COUNTA(DATA_ENERO_2026[AL_AC])/5),0)</f>
        <v>2</v>
      </c>
      <c r="O40" s="54" t="s">
        <v>3</v>
      </c>
      <c r="P40" s="6">
        <f>SUM(DATA_ENERO_2026[[#This Row],[1]:[31]])</f>
        <v>41734.050000000003</v>
      </c>
      <c r="Q40" s="6">
        <v>48000</v>
      </c>
      <c r="R40" t="s">
        <v>31</v>
      </c>
      <c r="T40">
        <v>2000</v>
      </c>
      <c r="W40">
        <v>6300</v>
      </c>
      <c r="AA40">
        <v>11500</v>
      </c>
      <c r="AE40">
        <v>1620</v>
      </c>
      <c r="AF40">
        <v>600</v>
      </c>
      <c r="AG40">
        <v>3000</v>
      </c>
      <c r="AN40">
        <v>7225</v>
      </c>
      <c r="AO40">
        <v>750</v>
      </c>
      <c r="AP40">
        <v>808.05</v>
      </c>
      <c r="AR40">
        <v>2500</v>
      </c>
      <c r="AS40">
        <v>4000</v>
      </c>
      <c r="AV40">
        <v>1431</v>
      </c>
      <c r="AX40" t="str" cm="1">
        <f t="array" ref="AX40">IFERROR(VLOOKUP(DATA_ENERO_2026[[#This Row],[ASER_]],_xlfn._xlws.FILTER(PLANTILLA[[ASESOR]:[FECHA DE CESE]],PLANTILLA[FECHA]=_xlfn.CONCAT($M$3,"_",_xlfn.IFS($N$3="ENERO","1",$N$3="FEBRERO","2",$N$3="MARZO","3",$N$3="ABRIL","4",$N$3="MAYO","5",$N$3="JUNIO","6",$N$3="JULIO","7",$N$3="AGOSTO","8",$N$3="SETIEMBRE","9",$N$3="OCTUBRE","10",$N$3="NOVIEMBRE","11",$N$3="DICIEMBRE","12"))),8,0),"")</f>
        <v>S1</v>
      </c>
    </row>
    <row r="41" spans="1:50" x14ac:dyDescent="0.25">
      <c r="A41" s="35" t="str">
        <f>D1_ENERO_2026[[#This Row],[SUPER2]]</f>
        <v>JOHAN</v>
      </c>
      <c r="B41" s="34" t="str">
        <f>D1_ENERO_2026[[#This Row],[ASESOR]]</f>
        <v>MARIA BARRIONUEVO</v>
      </c>
      <c r="C41" s="36">
        <f>VLOOKUP(D1_ENERO_2026[[#This Row],[SUPER]],DATA_ENERO_2026[[SUPERVISOR]:[META]],3,0)</f>
        <v>24500</v>
      </c>
      <c r="D41" s="35">
        <f>D1_ENERO_2026[[#This Row],[RECUPERO]]/C41</f>
        <v>1.1670204081632654</v>
      </c>
      <c r="E41" s="35" t="s">
        <v>125</v>
      </c>
      <c r="F41" t="s">
        <v>207</v>
      </c>
      <c r="G41" s="36">
        <v>28592</v>
      </c>
      <c r="H41" s="34" t="s">
        <v>536</v>
      </c>
      <c r="I41" s="60">
        <v>46029</v>
      </c>
      <c r="J41" s="55" t="s">
        <v>501</v>
      </c>
      <c r="K41" s="55"/>
      <c r="L41" s="55"/>
      <c r="M41" s="5">
        <f>DATA_ENERO_2026[[#This Row],[RECUPERO]]/DATA_ENERO_2026[[#This Row],[META]]</f>
        <v>0.86219018404907977</v>
      </c>
      <c r="N41" s="5">
        <f>6-ROUNDUP(_xlfn.RANK.EQ(DATA_ENERO_2026[[#This Row],[AL_AC]],DATA_ENERO_2026[AL_AC],0)/(COUNTA(DATA_ENERO_2026[AL_AC])/5),0)</f>
        <v>2</v>
      </c>
      <c r="O41" s="54" t="s">
        <v>2</v>
      </c>
      <c r="P41" s="6">
        <f>SUM(DATA_ENERO_2026[[#This Row],[1]:[31]])</f>
        <v>28107.4</v>
      </c>
      <c r="Q41" s="6">
        <v>32600</v>
      </c>
      <c r="R41" t="s">
        <v>29</v>
      </c>
      <c r="T41">
        <v>608.4</v>
      </c>
      <c r="U41">
        <v>500</v>
      </c>
      <c r="X41">
        <v>250</v>
      </c>
      <c r="Y41">
        <v>380</v>
      </c>
      <c r="AA41">
        <v>1656.5</v>
      </c>
      <c r="AF41">
        <v>3815</v>
      </c>
      <c r="AG41">
        <v>1000</v>
      </c>
      <c r="AH41">
        <v>3142</v>
      </c>
      <c r="AJ41">
        <v>2222.5</v>
      </c>
      <c r="AL41">
        <v>519</v>
      </c>
      <c r="AM41">
        <v>637</v>
      </c>
      <c r="AN41">
        <v>250</v>
      </c>
      <c r="AO41">
        <v>300</v>
      </c>
      <c r="AP41">
        <v>880</v>
      </c>
      <c r="AR41">
        <v>3265</v>
      </c>
      <c r="AS41">
        <v>2500</v>
      </c>
      <c r="AT41">
        <v>450</v>
      </c>
      <c r="AU41">
        <v>5732</v>
      </c>
      <c r="AX41" t="str" cm="1">
        <f t="array" ref="AX41">IFERROR(VLOOKUP(DATA_ENERO_2026[[#This Row],[ASER_]],_xlfn._xlws.FILTER(PLANTILLA[[ASESOR]:[FECHA DE CESE]],PLANTILLA[FECHA]=_xlfn.CONCAT($M$3,"_",_xlfn.IFS($N$3="ENERO","1",$N$3="FEBRERO","2",$N$3="MARZO","3",$N$3="ABRIL","4",$N$3="MAYO","5",$N$3="JUNIO","6",$N$3="JULIO","7",$N$3="AGOSTO","8",$N$3="SETIEMBRE","9",$N$3="OCTUBRE","10",$N$3="NOVIEMBRE","11",$N$3="DICIEMBRE","12"))),8,0),"")</f>
        <v>S0</v>
      </c>
    </row>
    <row r="42" spans="1:50" x14ac:dyDescent="0.25">
      <c r="A42" s="35" t="str">
        <f>D1_ENERO_2026[[#This Row],[SUPER2]]</f>
        <v>JORGE</v>
      </c>
      <c r="B42" s="34" t="str">
        <f>D1_ENERO_2026[[#This Row],[ASESOR]]</f>
        <v>MARIA HUARCAYA</v>
      </c>
      <c r="C42" s="36">
        <f>VLOOKUP(D1_ENERO_2026[[#This Row],[SUPER]],DATA_ENERO_2026[[SUPERVISOR]:[META]],3,0)</f>
        <v>32600</v>
      </c>
      <c r="D42" s="35">
        <f>D1_ENERO_2026[[#This Row],[RECUPERO]]/C42</f>
        <v>1.5676073619631903</v>
      </c>
      <c r="E42" s="35" t="s">
        <v>2</v>
      </c>
      <c r="F42" t="s">
        <v>38</v>
      </c>
      <c r="G42" s="36">
        <v>51104</v>
      </c>
      <c r="H42" s="34" t="s">
        <v>469</v>
      </c>
      <c r="I42" s="60">
        <v>45800</v>
      </c>
      <c r="J42" s="55" t="s">
        <v>501</v>
      </c>
      <c r="K42" s="55"/>
      <c r="L42" s="55"/>
      <c r="M42" s="5">
        <f>DATA_ENERO_2026[[#This Row],[RECUPERO]]/DATA_ENERO_2026[[#This Row],[META]]</f>
        <v>1.6223312883435583</v>
      </c>
      <c r="N42" s="5">
        <f>6-ROUNDUP(_xlfn.RANK.EQ(DATA_ENERO_2026[[#This Row],[AL_AC]],DATA_ENERO_2026[AL_AC],0)/(COUNTA(DATA_ENERO_2026[AL_AC])/5),0)</f>
        <v>5</v>
      </c>
      <c r="O42" s="54" t="s">
        <v>2</v>
      </c>
      <c r="P42" s="6">
        <f>SUM(DATA_ENERO_2026[[#This Row],[1]:[31]])</f>
        <v>52888</v>
      </c>
      <c r="Q42" s="6">
        <v>32600</v>
      </c>
      <c r="R42" t="s">
        <v>25</v>
      </c>
      <c r="W42">
        <v>458</v>
      </c>
      <c r="Z42">
        <v>10500</v>
      </c>
      <c r="AD42">
        <v>2500</v>
      </c>
      <c r="AE42">
        <v>4780</v>
      </c>
      <c r="AF42">
        <v>10000</v>
      </c>
      <c r="AH42">
        <v>2250</v>
      </c>
      <c r="AM42">
        <v>10000</v>
      </c>
      <c r="AN42">
        <v>11000</v>
      </c>
      <c r="AS42">
        <v>400</v>
      </c>
      <c r="AU42">
        <v>600</v>
      </c>
      <c r="AV42">
        <v>200</v>
      </c>
      <c r="AW42">
        <v>200</v>
      </c>
      <c r="AX42" t="str" cm="1">
        <f t="array" ref="AX42">IFERROR(VLOOKUP(DATA_ENERO_2026[[#This Row],[ASER_]],_xlfn._xlws.FILTER(PLANTILLA[[ASESOR]:[FECHA DE CESE]],PLANTILLA[FECHA]=_xlfn.CONCAT($M$3,"_",_xlfn.IFS($N$3="ENERO","1",$N$3="FEBRERO","2",$N$3="MARZO","3",$N$3="ABRIL","4",$N$3="MAYO","5",$N$3="JUNIO","6",$N$3="JULIO","7",$N$3="AGOSTO","8",$N$3="SETIEMBRE","9",$N$3="OCTUBRE","10",$N$3="NOVIEMBRE","11",$N$3="DICIEMBRE","12"))),8,0),"")</f>
        <v>S0</v>
      </c>
    </row>
    <row r="43" spans="1:50" x14ac:dyDescent="0.25">
      <c r="A43" s="35" t="str">
        <f>D1_ENERO_2026[[#This Row],[SUPER2]]</f>
        <v>MELINA</v>
      </c>
      <c r="B43" s="34" t="str">
        <f>D1_ENERO_2026[[#This Row],[ASESOR]]</f>
        <v>MARIA TINTAYA</v>
      </c>
      <c r="C43" s="36">
        <f>VLOOKUP(D1_ENERO_2026[[#This Row],[SUPER]],DATA_ENERO_2026[[SUPERVISOR]:[META]],3,0)</f>
        <v>48000</v>
      </c>
      <c r="D43" s="35">
        <f>D1_ENERO_2026[[#This Row],[RECUPERO]]/C43</f>
        <v>1.2305833333333334</v>
      </c>
      <c r="E43" s="35" t="s">
        <v>4</v>
      </c>
      <c r="F43" t="s">
        <v>75</v>
      </c>
      <c r="G43" s="36">
        <v>59068</v>
      </c>
      <c r="H43" s="34" t="s">
        <v>428</v>
      </c>
      <c r="I43" s="60">
        <v>44714</v>
      </c>
      <c r="J43" s="55" t="s">
        <v>501</v>
      </c>
      <c r="K43" s="55"/>
      <c r="L43" s="55"/>
      <c r="M43" s="5">
        <f>DATA_ENERO_2026[[#This Row],[RECUPERO]]/DATA_ENERO_2026[[#This Row],[META]]</f>
        <v>0.7694375</v>
      </c>
      <c r="N43" s="5">
        <f>6-ROUNDUP(_xlfn.RANK.EQ(DATA_ENERO_2026[[#This Row],[AL_AC]],DATA_ENERO_2026[AL_AC],0)/(COUNTA(DATA_ENERO_2026[AL_AC])/5),0)</f>
        <v>2</v>
      </c>
      <c r="O43" s="54" t="s">
        <v>3</v>
      </c>
      <c r="P43" s="6">
        <f>SUM(DATA_ENERO_2026[[#This Row],[1]:[31]])</f>
        <v>36933</v>
      </c>
      <c r="Q43" s="6">
        <v>48000</v>
      </c>
      <c r="R43" t="s">
        <v>17</v>
      </c>
      <c r="T43">
        <v>636</v>
      </c>
      <c r="X43">
        <v>4000</v>
      </c>
      <c r="Y43">
        <v>4200</v>
      </c>
      <c r="AD43">
        <v>461</v>
      </c>
      <c r="AE43">
        <v>13000</v>
      </c>
      <c r="AK43">
        <v>656</v>
      </c>
      <c r="AL43">
        <v>5450</v>
      </c>
      <c r="AO43">
        <v>320</v>
      </c>
      <c r="AP43">
        <v>330</v>
      </c>
      <c r="AR43">
        <v>1780</v>
      </c>
      <c r="AS43">
        <v>3800</v>
      </c>
      <c r="AW43">
        <v>2300</v>
      </c>
      <c r="AX43" t="str" cm="1">
        <f t="array" ref="AX43">IFERROR(VLOOKUP(DATA_ENERO_2026[[#This Row],[ASER_]],_xlfn._xlws.FILTER(PLANTILLA[[ASESOR]:[FECHA DE CESE]],PLANTILLA[FECHA]=_xlfn.CONCAT($M$3,"_",_xlfn.IFS($N$3="ENERO","1",$N$3="FEBRERO","2",$N$3="MARZO","3",$N$3="ABRIL","4",$N$3="MAYO","5",$N$3="JUNIO","6",$N$3="JULIO","7",$N$3="AGOSTO","8",$N$3="SETIEMBRE","9",$N$3="OCTUBRE","10",$N$3="NOVIEMBRE","11",$N$3="DICIEMBRE","12"))),8,0),"")</f>
        <v>S1</v>
      </c>
    </row>
    <row r="44" spans="1:50" x14ac:dyDescent="0.25">
      <c r="A44" s="35" t="str">
        <f>D1_ENERO_2026[[#This Row],[SUPER2]]</f>
        <v>MELINA</v>
      </c>
      <c r="B44" s="34" t="str">
        <f>D1_ENERO_2026[[#This Row],[ASESOR]]</f>
        <v>MARTIN VARGAS</v>
      </c>
      <c r="C44" s="36">
        <f>VLOOKUP(D1_ENERO_2026[[#This Row],[SUPER]],DATA_ENERO_2026[[SUPERVISOR]:[META]],3,0)</f>
        <v>48000</v>
      </c>
      <c r="D44" s="35">
        <f>D1_ENERO_2026[[#This Row],[RECUPERO]]/C44</f>
        <v>0.55810416666666662</v>
      </c>
      <c r="E44" s="35" t="s">
        <v>4</v>
      </c>
      <c r="F44" t="s">
        <v>206</v>
      </c>
      <c r="G44" s="36">
        <v>26789</v>
      </c>
      <c r="H44" s="34" t="s">
        <v>535</v>
      </c>
      <c r="I44" s="60">
        <v>46024</v>
      </c>
      <c r="J44" s="55" t="s">
        <v>501</v>
      </c>
      <c r="K44" s="55"/>
      <c r="L44" s="55"/>
      <c r="M44" s="5">
        <f>DATA_ENERO_2026[[#This Row],[RECUPERO]]/DATA_ENERO_2026[[#This Row],[META]]</f>
        <v>1.1670204081632654</v>
      </c>
      <c r="N44" s="5">
        <f>6-ROUNDUP(_xlfn.RANK.EQ(DATA_ENERO_2026[[#This Row],[AL_AC]],DATA_ENERO_2026[AL_AC],0)/(COUNTA(DATA_ENERO_2026[AL_AC])/5),0)</f>
        <v>3</v>
      </c>
      <c r="O44" s="54" t="s">
        <v>125</v>
      </c>
      <c r="P44" s="6">
        <f>SUM(DATA_ENERO_2026[[#This Row],[1]:[31]])</f>
        <v>28592</v>
      </c>
      <c r="Q44" s="6">
        <v>24500</v>
      </c>
      <c r="R44" t="s">
        <v>207</v>
      </c>
      <c r="S44" s="45"/>
      <c r="Y44">
        <v>4000</v>
      </c>
      <c r="AE44">
        <v>1300</v>
      </c>
      <c r="AF44">
        <v>150</v>
      </c>
      <c r="AG44">
        <v>5920</v>
      </c>
      <c r="AH44">
        <v>1000</v>
      </c>
      <c r="AK44">
        <v>1150</v>
      </c>
      <c r="AM44">
        <v>220</v>
      </c>
      <c r="AN44">
        <v>552</v>
      </c>
      <c r="AR44">
        <v>500</v>
      </c>
      <c r="AS44">
        <v>300</v>
      </c>
      <c r="AT44">
        <v>850</v>
      </c>
      <c r="AU44">
        <v>5000</v>
      </c>
      <c r="AV44">
        <v>7650</v>
      </c>
      <c r="AX44" t="str" cm="1">
        <f t="array" ref="AX44">IFERROR(VLOOKUP(DATA_ENERO_2026[[#This Row],[ASER_]],_xlfn._xlws.FILTER(PLANTILLA[[ASESOR]:[FECHA DE CESE]],PLANTILLA[FECHA]=_xlfn.CONCAT($M$3,"_",_xlfn.IFS($N$3="ENERO","1",$N$3="FEBRERO","2",$N$3="MARZO","3",$N$3="ABRIL","4",$N$3="MAYO","5",$N$3="JUNIO","6",$N$3="JULIO","7",$N$3="AGOSTO","8",$N$3="SETIEMBRE","9",$N$3="OCTUBRE","10",$N$3="NOVIEMBRE","11",$N$3="DICIEMBRE","12"))),8,0),"")</f>
        <v>S2-3-4</v>
      </c>
    </row>
    <row r="45" spans="1:50" x14ac:dyDescent="0.25">
      <c r="A45" s="35" t="str">
        <f>D1_ENERO_2026[[#This Row],[SUPER2]]</f>
        <v>JOHAN</v>
      </c>
      <c r="B45" s="34" t="str">
        <f>D1_ENERO_2026[[#This Row],[ASESOR]]</f>
        <v>MAYRA AVALOS</v>
      </c>
      <c r="C45" s="36">
        <f>VLOOKUP(D1_ENERO_2026[[#This Row],[SUPER]],DATA_ENERO_2026[[SUPERVISOR]:[META]],3,0)</f>
        <v>24500</v>
      </c>
      <c r="D45" s="35">
        <f>D1_ENERO_2026[[#This Row],[RECUPERO]]/C45</f>
        <v>0.47081632653061223</v>
      </c>
      <c r="E45" s="35" t="s">
        <v>125</v>
      </c>
      <c r="F45" t="s">
        <v>55</v>
      </c>
      <c r="G45" s="36">
        <v>11535</v>
      </c>
      <c r="H45" s="34" t="s">
        <v>475</v>
      </c>
      <c r="I45" s="60">
        <v>45813</v>
      </c>
      <c r="J45" s="55" t="s">
        <v>501</v>
      </c>
      <c r="K45" s="55"/>
      <c r="L45" s="55"/>
      <c r="M45" s="5">
        <f>DATA_ENERO_2026[[#This Row],[RECUPERO]]/DATA_ENERO_2026[[#This Row],[META]]</f>
        <v>1.5676073619631903</v>
      </c>
      <c r="N45" s="5">
        <f>6-ROUNDUP(_xlfn.RANK.EQ(DATA_ENERO_2026[[#This Row],[AL_AC]],DATA_ENERO_2026[AL_AC],0)/(COUNTA(DATA_ENERO_2026[AL_AC])/5),0)</f>
        <v>4</v>
      </c>
      <c r="O45" s="54" t="s">
        <v>2</v>
      </c>
      <c r="P45" s="6">
        <f>SUM(DATA_ENERO_2026[[#This Row],[1]:[31]])</f>
        <v>51104</v>
      </c>
      <c r="Q45" s="6">
        <v>32600</v>
      </c>
      <c r="R45" t="s">
        <v>38</v>
      </c>
      <c r="AA45">
        <v>8573</v>
      </c>
      <c r="AD45">
        <v>18000</v>
      </c>
      <c r="AF45">
        <v>910</v>
      </c>
      <c r="AG45">
        <v>6200</v>
      </c>
      <c r="AH45">
        <v>700</v>
      </c>
      <c r="AK45">
        <v>1000</v>
      </c>
      <c r="AL45">
        <v>300</v>
      </c>
      <c r="AM45">
        <v>260</v>
      </c>
      <c r="AN45">
        <v>8200</v>
      </c>
      <c r="AO45">
        <v>450</v>
      </c>
      <c r="AP45">
        <v>1200</v>
      </c>
      <c r="AS45">
        <v>2600</v>
      </c>
      <c r="AT45">
        <v>500</v>
      </c>
      <c r="AU45">
        <v>580</v>
      </c>
      <c r="AV45">
        <v>501</v>
      </c>
      <c r="AW45">
        <v>1130</v>
      </c>
      <c r="AX45" t="str" cm="1">
        <f t="array" ref="AX45">IFERROR(VLOOKUP(DATA_ENERO_2026[[#This Row],[ASER_]],_xlfn._xlws.FILTER(PLANTILLA[[ASESOR]:[FECHA DE CESE]],PLANTILLA[FECHA]=_xlfn.CONCAT($M$3,"_",_xlfn.IFS($N$3="ENERO","1",$N$3="FEBRERO","2",$N$3="MARZO","3",$N$3="ABRIL","4",$N$3="MAYO","5",$N$3="JUNIO","6",$N$3="JULIO","7",$N$3="AGOSTO","8",$N$3="SETIEMBRE","9",$N$3="OCTUBRE","10",$N$3="NOVIEMBRE","11",$N$3="DICIEMBRE","12"))),8,0),"")</f>
        <v>S0</v>
      </c>
    </row>
    <row r="46" spans="1:50" x14ac:dyDescent="0.25">
      <c r="A46" s="35" t="str">
        <f>D1_ENERO_2026[[#This Row],[SUPER2]]</f>
        <v>KENNETH</v>
      </c>
      <c r="B46" s="34" t="str">
        <f>D1_ENERO_2026[[#This Row],[ASESOR]]</f>
        <v>MILAGROS QUIO</v>
      </c>
      <c r="C46" s="36">
        <f>VLOOKUP(D1_ENERO_2026[[#This Row],[SUPER]],DATA_ENERO_2026[[SUPERVISOR]:[META]],3,0)</f>
        <v>27900</v>
      </c>
      <c r="D46" s="35">
        <f>D1_ENERO_2026[[#This Row],[RECUPERO]]/C46</f>
        <v>1.38584229390681</v>
      </c>
      <c r="E46" s="35" t="s">
        <v>6</v>
      </c>
      <c r="F46" t="s">
        <v>11</v>
      </c>
      <c r="G46" s="36">
        <v>38665</v>
      </c>
      <c r="H46" s="34" t="s">
        <v>429</v>
      </c>
      <c r="I46" s="60">
        <v>45369</v>
      </c>
      <c r="J46" s="55" t="s">
        <v>501</v>
      </c>
      <c r="K46" s="55"/>
      <c r="L46" s="55"/>
      <c r="M46" s="5">
        <f>DATA_ENERO_2026[[#This Row],[RECUPERO]]/DATA_ENERO_2026[[#This Row],[META]]</f>
        <v>1.2305833333333334</v>
      </c>
      <c r="N46" s="5">
        <f>6-ROUNDUP(_xlfn.RANK.EQ(DATA_ENERO_2026[[#This Row],[AL_AC]],DATA_ENERO_2026[AL_AC],0)/(COUNTA(DATA_ENERO_2026[AL_AC])/5),0)</f>
        <v>3</v>
      </c>
      <c r="O46" s="54" t="s">
        <v>4</v>
      </c>
      <c r="P46" s="6">
        <f>SUM(DATA_ENERO_2026[[#This Row],[1]:[31]])</f>
        <v>59068</v>
      </c>
      <c r="Q46" s="6">
        <v>48000</v>
      </c>
      <c r="R46" t="s">
        <v>75</v>
      </c>
      <c r="W46">
        <v>3500</v>
      </c>
      <c r="AA46">
        <v>10000</v>
      </c>
      <c r="AD46">
        <v>800</v>
      </c>
      <c r="AF46">
        <v>2000</v>
      </c>
      <c r="AG46">
        <v>3500</v>
      </c>
      <c r="AH46">
        <v>4500</v>
      </c>
      <c r="AI46">
        <v>1100</v>
      </c>
      <c r="AK46">
        <v>5500</v>
      </c>
      <c r="AM46">
        <v>5520</v>
      </c>
      <c r="AN46">
        <v>1500</v>
      </c>
      <c r="AO46">
        <v>8500</v>
      </c>
      <c r="AR46">
        <v>5237</v>
      </c>
      <c r="AS46">
        <v>4430</v>
      </c>
      <c r="AV46">
        <v>2531</v>
      </c>
      <c r="AW46">
        <v>450</v>
      </c>
      <c r="AX46" t="str" cm="1">
        <f t="array" ref="AX46">IFERROR(VLOOKUP(DATA_ENERO_2026[[#This Row],[ASER_]],_xlfn._xlws.FILTER(PLANTILLA[[ASESOR]:[FECHA DE CESE]],PLANTILLA[FECHA]=_xlfn.CONCAT($M$3,"_",_xlfn.IFS($N$3="ENERO","1",$N$3="FEBRERO","2",$N$3="MARZO","3",$N$3="ABRIL","4",$N$3="MAYO","5",$N$3="JUNIO","6",$N$3="JULIO","7",$N$3="AGOSTO","8",$N$3="SETIEMBRE","9",$N$3="OCTUBRE","10",$N$3="NOVIEMBRE","11",$N$3="DICIEMBRE","12"))),8,0),"")</f>
        <v>S1</v>
      </c>
    </row>
    <row r="47" spans="1:50" x14ac:dyDescent="0.25">
      <c r="A47" s="35" t="str">
        <f>D1_ENERO_2026[[#This Row],[SUPER2]]</f>
        <v>JORGE</v>
      </c>
      <c r="B47" s="34" t="str">
        <f>D1_ENERO_2026[[#This Row],[ASESOR]]</f>
        <v>NATALIA MARIN</v>
      </c>
      <c r="C47" s="36">
        <f>VLOOKUP(D1_ENERO_2026[[#This Row],[SUPER]],DATA_ENERO_2026[[SUPERVISOR]:[META]],3,0)</f>
        <v>32600</v>
      </c>
      <c r="D47" s="35">
        <f>D1_ENERO_2026[[#This Row],[RECUPERO]]/C47</f>
        <v>0.89745398773006135</v>
      </c>
      <c r="E47" s="35" t="s">
        <v>2</v>
      </c>
      <c r="F47" t="s">
        <v>79</v>
      </c>
      <c r="G47" s="36">
        <v>29257</v>
      </c>
      <c r="H47" s="34" t="s">
        <v>453</v>
      </c>
      <c r="I47" s="60">
        <v>45145</v>
      </c>
      <c r="J47" s="55" t="s">
        <v>501</v>
      </c>
      <c r="K47" s="55"/>
      <c r="L47" s="55"/>
      <c r="M47" s="5">
        <f>DATA_ENERO_2026[[#This Row],[RECUPERO]]/DATA_ENERO_2026[[#This Row],[META]]</f>
        <v>0.55810416666666662</v>
      </c>
      <c r="N47" s="5">
        <f>6-ROUNDUP(_xlfn.RANK.EQ(DATA_ENERO_2026[[#This Row],[AL_AC]],DATA_ENERO_2026[AL_AC],0)/(COUNTA(DATA_ENERO_2026[AL_AC])/5),0)</f>
        <v>1</v>
      </c>
      <c r="O47" s="54" t="s">
        <v>4</v>
      </c>
      <c r="P47" s="6">
        <f>SUM(DATA_ENERO_2026[[#This Row],[1]:[31]])</f>
        <v>26789</v>
      </c>
      <c r="Q47" s="6">
        <v>48000</v>
      </c>
      <c r="R47" t="s">
        <v>206</v>
      </c>
      <c r="W47">
        <v>750</v>
      </c>
      <c r="AA47">
        <v>4400</v>
      </c>
      <c r="AE47">
        <v>300</v>
      </c>
      <c r="AG47">
        <v>5000</v>
      </c>
      <c r="AH47">
        <v>1300</v>
      </c>
      <c r="AK47">
        <v>490</v>
      </c>
      <c r="AL47">
        <v>219</v>
      </c>
      <c r="AM47">
        <v>2000</v>
      </c>
      <c r="AN47">
        <v>4000</v>
      </c>
      <c r="AU47">
        <v>2500</v>
      </c>
      <c r="AV47">
        <v>5200</v>
      </c>
      <c r="AW47">
        <v>630</v>
      </c>
      <c r="AX47" t="str" cm="1">
        <f t="array" ref="AX47">IFERROR(VLOOKUP(DATA_ENERO_2026[[#This Row],[ASER_]],_xlfn._xlws.FILTER(PLANTILLA[[ASESOR]:[FECHA DE CESE]],PLANTILLA[FECHA]=_xlfn.CONCAT($M$3,"_",_xlfn.IFS($N$3="ENERO","1",$N$3="FEBRERO","2",$N$3="MARZO","3",$N$3="ABRIL","4",$N$3="MAYO","5",$N$3="JUNIO","6",$N$3="JULIO","7",$N$3="AGOSTO","8",$N$3="SETIEMBRE","9",$N$3="OCTUBRE","10",$N$3="NOVIEMBRE","11",$N$3="DICIEMBRE","12"))),8,0),"")</f>
        <v>S1</v>
      </c>
    </row>
    <row r="48" spans="1:50" x14ac:dyDescent="0.25">
      <c r="A48" s="35" t="str">
        <f>D1_ENERO_2026[[#This Row],[SUPER2]]</f>
        <v>JOHAN</v>
      </c>
      <c r="B48" s="34" t="str">
        <f>D1_ENERO_2026[[#This Row],[ASESOR]]</f>
        <v>NOEMI CHUQUILIN</v>
      </c>
      <c r="C48" s="36">
        <f>VLOOKUP(D1_ENERO_2026[[#This Row],[SUPER]],DATA_ENERO_2026[[SUPERVISOR]:[META]],3,0)</f>
        <v>24500</v>
      </c>
      <c r="D48" s="35">
        <f>D1_ENERO_2026[[#This Row],[RECUPERO]]/C48</f>
        <v>1.1748571428571428</v>
      </c>
      <c r="E48" s="35" t="s">
        <v>125</v>
      </c>
      <c r="F48" t="s">
        <v>97</v>
      </c>
      <c r="G48" s="36">
        <v>28784</v>
      </c>
      <c r="H48" s="34" t="s">
        <v>485</v>
      </c>
      <c r="I48" s="60">
        <v>45884</v>
      </c>
      <c r="J48" s="55" t="s">
        <v>501</v>
      </c>
      <c r="K48" s="55"/>
      <c r="L48" s="55"/>
      <c r="M48" s="5">
        <f>DATA_ENERO_2026[[#This Row],[RECUPERO]]/DATA_ENERO_2026[[#This Row],[META]]</f>
        <v>0.47081632653061223</v>
      </c>
      <c r="N48" s="5">
        <f>6-ROUNDUP(_xlfn.RANK.EQ(DATA_ENERO_2026[[#This Row],[AL_AC]],DATA_ENERO_2026[AL_AC],0)/(COUNTA(DATA_ENERO_2026[AL_AC])/5),0)</f>
        <v>1</v>
      </c>
      <c r="O48" s="54" t="s">
        <v>125</v>
      </c>
      <c r="P48" s="6">
        <f>SUM(DATA_ENERO_2026[[#This Row],[1]:[31]])</f>
        <v>11535</v>
      </c>
      <c r="Q48" s="6">
        <v>24500</v>
      </c>
      <c r="R48" t="s">
        <v>55</v>
      </c>
      <c r="T48">
        <v>310</v>
      </c>
      <c r="W48">
        <v>280</v>
      </c>
      <c r="X48">
        <v>735</v>
      </c>
      <c r="Y48">
        <v>500</v>
      </c>
      <c r="AB48">
        <v>400</v>
      </c>
      <c r="AE48">
        <v>400</v>
      </c>
      <c r="AF48">
        <v>2250</v>
      </c>
      <c r="AG48">
        <v>500</v>
      </c>
      <c r="AK48">
        <v>750</v>
      </c>
      <c r="AS48">
        <v>2000</v>
      </c>
      <c r="AT48">
        <v>1390</v>
      </c>
      <c r="AU48">
        <v>1780</v>
      </c>
      <c r="AV48">
        <v>240</v>
      </c>
      <c r="AX48" t="str" cm="1">
        <f t="array" ref="AX48">IFERROR(VLOOKUP(DATA_ENERO_2026[[#This Row],[ASER_]],_xlfn._xlws.FILTER(PLANTILLA[[ASESOR]:[FECHA DE CESE]],PLANTILLA[FECHA]=_xlfn.CONCAT($M$3,"_",_xlfn.IFS($N$3="ENERO","1",$N$3="FEBRERO","2",$N$3="MARZO","3",$N$3="ABRIL","4",$N$3="MAYO","5",$N$3="JUNIO","6",$N$3="JULIO","7",$N$3="AGOSTO","8",$N$3="SETIEMBRE","9",$N$3="OCTUBRE","10",$N$3="NOVIEMBRE","11",$N$3="DICIEMBRE","12"))),8,0),"")</f>
        <v>S2-3-4</v>
      </c>
    </row>
    <row r="49" spans="1:50" x14ac:dyDescent="0.25">
      <c r="A49" s="35" t="str">
        <f>D1_ENERO_2026[[#This Row],[SUPER2]]</f>
        <v>JOHAN</v>
      </c>
      <c r="B49" s="34" t="str">
        <f>D1_ENERO_2026[[#This Row],[ASESOR]]</f>
        <v>PAOLA SANTOS</v>
      </c>
      <c r="C49" s="36">
        <f>VLOOKUP(D1_ENERO_2026[[#This Row],[SUPER]],DATA_ENERO_2026[[SUPERVISOR]:[META]],3,0)</f>
        <v>24500</v>
      </c>
      <c r="D49" s="35">
        <f>D1_ENERO_2026[[#This Row],[RECUPERO]]/C49</f>
        <v>0.58775510204081638</v>
      </c>
      <c r="E49" s="35" t="s">
        <v>125</v>
      </c>
      <c r="F49" t="s">
        <v>497</v>
      </c>
      <c r="G49" s="36">
        <v>14400</v>
      </c>
      <c r="H49" s="34" t="s">
        <v>498</v>
      </c>
      <c r="I49" s="60">
        <v>46041</v>
      </c>
      <c r="J49" s="55" t="s">
        <v>501</v>
      </c>
      <c r="K49" s="55"/>
      <c r="L49" s="55"/>
      <c r="M49" s="5">
        <f>DATA_ENERO_2026[[#This Row],[RECUPERO]]/DATA_ENERO_2026[[#This Row],[META]]</f>
        <v>1.38584229390681</v>
      </c>
      <c r="N49" s="5">
        <f>6-ROUNDUP(_xlfn.RANK.EQ(DATA_ENERO_2026[[#This Row],[AL_AC]],DATA_ENERO_2026[AL_AC],0)/(COUNTA(DATA_ENERO_2026[AL_AC])/5),0)</f>
        <v>4</v>
      </c>
      <c r="O49" s="54" t="s">
        <v>6</v>
      </c>
      <c r="P49" s="6">
        <f>SUM(DATA_ENERO_2026[[#This Row],[1]:[31]])</f>
        <v>38665</v>
      </c>
      <c r="Q49" s="6">
        <v>27900</v>
      </c>
      <c r="R49" t="s">
        <v>11</v>
      </c>
      <c r="T49">
        <v>3000</v>
      </c>
      <c r="U49">
        <v>300</v>
      </c>
      <c r="W49">
        <v>1500</v>
      </c>
      <c r="Z49">
        <v>675</v>
      </c>
      <c r="AF49">
        <v>13500</v>
      </c>
      <c r="AG49">
        <v>2150</v>
      </c>
      <c r="AI49">
        <v>1720</v>
      </c>
      <c r="AM49">
        <v>500</v>
      </c>
      <c r="AO49">
        <v>1000</v>
      </c>
      <c r="AS49">
        <v>3550</v>
      </c>
      <c r="AV49">
        <v>5770</v>
      </c>
      <c r="AW49">
        <v>5000</v>
      </c>
      <c r="AX49" t="str" cm="1">
        <f t="array" ref="AX49">IFERROR(VLOOKUP(DATA_ENERO_2026[[#This Row],[ASER_]],_xlfn._xlws.FILTER(PLANTILLA[[ASESOR]:[FECHA DE CESE]],PLANTILLA[FECHA]=_xlfn.CONCAT($M$3,"_",_xlfn.IFS($N$3="ENERO","1",$N$3="FEBRERO","2",$N$3="MARZO","3",$N$3="ABRIL","4",$N$3="MAYO","5",$N$3="JUNIO","6",$N$3="JULIO","7",$N$3="AGOSTO","8",$N$3="SETIEMBRE","9",$N$3="OCTUBRE","10",$N$3="NOVIEMBRE","11",$N$3="DICIEMBRE","12"))),8,0),"")</f>
        <v>S1</v>
      </c>
    </row>
    <row r="50" spans="1:50" x14ac:dyDescent="0.25">
      <c r="A50" s="35" t="str">
        <f>D1_ENERO_2026[[#This Row],[SUPER2]]</f>
        <v>MELINA</v>
      </c>
      <c r="B50" s="34" t="str">
        <f>D1_ENERO_2026[[#This Row],[ASESOR]]</f>
        <v>PIERINA TESEN</v>
      </c>
      <c r="C50" s="36">
        <f>VLOOKUP(D1_ENERO_2026[[#This Row],[SUPER]],DATA_ENERO_2026[[SUPERVISOR]:[META]],3,0)</f>
        <v>48000</v>
      </c>
      <c r="D50" s="35">
        <f>D1_ENERO_2026[[#This Row],[RECUPERO]]/C50</f>
        <v>2.0449583333333332</v>
      </c>
      <c r="E50" s="35" t="s">
        <v>4</v>
      </c>
      <c r="F50" t="s">
        <v>59</v>
      </c>
      <c r="G50" s="36">
        <v>98158</v>
      </c>
      <c r="H50" s="34" t="s">
        <v>430</v>
      </c>
      <c r="I50" s="60">
        <v>45344</v>
      </c>
      <c r="J50" s="55" t="s">
        <v>501</v>
      </c>
      <c r="K50" s="55"/>
      <c r="L50" s="55"/>
      <c r="M50" s="5">
        <f>DATA_ENERO_2026[[#This Row],[RECUPERO]]/DATA_ENERO_2026[[#This Row],[META]]</f>
        <v>0.89745398773006135</v>
      </c>
      <c r="N50" s="5">
        <f>6-ROUNDUP(_xlfn.RANK.EQ(DATA_ENERO_2026[[#This Row],[AL_AC]],DATA_ENERO_2026[AL_AC],0)/(COUNTA(DATA_ENERO_2026[AL_AC])/5),0)</f>
        <v>2</v>
      </c>
      <c r="O50" s="54" t="s">
        <v>2</v>
      </c>
      <c r="P50" s="6">
        <f>SUM(DATA_ENERO_2026[[#This Row],[1]:[31]])</f>
        <v>29257</v>
      </c>
      <c r="Q50" s="6">
        <v>32600</v>
      </c>
      <c r="R50" t="s">
        <v>79</v>
      </c>
      <c r="X50">
        <v>400</v>
      </c>
      <c r="AH50">
        <v>250</v>
      </c>
      <c r="AK50">
        <v>3500</v>
      </c>
      <c r="AM50">
        <v>7150</v>
      </c>
      <c r="AN50">
        <v>5637</v>
      </c>
      <c r="AO50">
        <v>3000</v>
      </c>
      <c r="AU50">
        <v>500</v>
      </c>
      <c r="AV50">
        <v>8520</v>
      </c>
      <c r="AW50">
        <v>300</v>
      </c>
      <c r="AX50" t="str" cm="1">
        <f t="array" ref="AX50">IFERROR(VLOOKUP(DATA_ENERO_2026[[#This Row],[ASER_]],_xlfn._xlws.FILTER(PLANTILLA[[ASESOR]:[FECHA DE CESE]],PLANTILLA[FECHA]=_xlfn.CONCAT($M$3,"_",_xlfn.IFS($N$3="ENERO","1",$N$3="FEBRERO","2",$N$3="MARZO","3",$N$3="ABRIL","4",$N$3="MAYO","5",$N$3="JUNIO","6",$N$3="JULIO","7",$N$3="AGOSTO","8",$N$3="SETIEMBRE","9",$N$3="OCTUBRE","10",$N$3="NOVIEMBRE","11",$N$3="DICIEMBRE","12"))),8,0),"")</f>
        <v>S0</v>
      </c>
    </row>
    <row r="51" spans="1:50" x14ac:dyDescent="0.25">
      <c r="A51" s="35" t="str">
        <f>D1_ENERO_2026[[#This Row],[SUPER2]]</f>
        <v>JOHAN</v>
      </c>
      <c r="B51" s="34" t="str">
        <f>D1_ENERO_2026[[#This Row],[ASESOR]]</f>
        <v>SARITA GARAY</v>
      </c>
      <c r="C51" s="36">
        <f>VLOOKUP(D1_ENERO_2026[[#This Row],[SUPER]],DATA_ENERO_2026[[SUPERVISOR]:[META]],3,0)</f>
        <v>24500</v>
      </c>
      <c r="D51" s="35">
        <f>D1_ENERO_2026[[#This Row],[RECUPERO]]/C51</f>
        <v>0.71142857142857141</v>
      </c>
      <c r="E51" s="35" t="s">
        <v>125</v>
      </c>
      <c r="F51" t="s">
        <v>73</v>
      </c>
      <c r="G51" s="36">
        <v>17430</v>
      </c>
      <c r="H51" s="34" t="s">
        <v>420</v>
      </c>
      <c r="I51" s="60">
        <v>45141</v>
      </c>
      <c r="J51" s="55" t="s">
        <v>501</v>
      </c>
      <c r="K51" s="55"/>
      <c r="L51" s="55"/>
      <c r="M51" s="5">
        <f>DATA_ENERO_2026[[#This Row],[RECUPERO]]/DATA_ENERO_2026[[#This Row],[META]]</f>
        <v>1.1748571428571428</v>
      </c>
      <c r="N51" s="5">
        <f>6-ROUNDUP(_xlfn.RANK.EQ(DATA_ENERO_2026[[#This Row],[AL_AC]],DATA_ENERO_2026[AL_AC],0)/(COUNTA(DATA_ENERO_2026[AL_AC])/5),0)</f>
        <v>3</v>
      </c>
      <c r="O51" s="54" t="s">
        <v>125</v>
      </c>
      <c r="P51" s="6">
        <f>SUM(DATA_ENERO_2026[[#This Row],[1]:[31]])</f>
        <v>28784</v>
      </c>
      <c r="Q51" s="6">
        <v>24500</v>
      </c>
      <c r="R51" t="s">
        <v>97</v>
      </c>
      <c r="X51">
        <v>5900</v>
      </c>
      <c r="Y51">
        <v>400</v>
      </c>
      <c r="AA51">
        <v>2067</v>
      </c>
      <c r="AD51">
        <v>500</v>
      </c>
      <c r="AF51">
        <v>6100</v>
      </c>
      <c r="AH51">
        <v>3518</v>
      </c>
      <c r="AI51">
        <v>200</v>
      </c>
      <c r="AK51">
        <v>700</v>
      </c>
      <c r="AL51">
        <v>500</v>
      </c>
      <c r="AN51">
        <v>600</v>
      </c>
      <c r="AO51">
        <v>850</v>
      </c>
      <c r="AS51">
        <v>2700</v>
      </c>
      <c r="AT51">
        <v>250</v>
      </c>
      <c r="AU51">
        <v>908</v>
      </c>
      <c r="AV51">
        <v>2200</v>
      </c>
      <c r="AW51">
        <v>1391</v>
      </c>
      <c r="AX51" t="str" cm="1">
        <f t="array" ref="AX51">IFERROR(VLOOKUP(DATA_ENERO_2026[[#This Row],[ASER_]],_xlfn._xlws.FILTER(PLANTILLA[[ASESOR]:[FECHA DE CESE]],PLANTILLA[FECHA]=_xlfn.CONCAT($M$3,"_",_xlfn.IFS($N$3="ENERO","1",$N$3="FEBRERO","2",$N$3="MARZO","3",$N$3="ABRIL","4",$N$3="MAYO","5",$N$3="JUNIO","6",$N$3="JULIO","7",$N$3="AGOSTO","8",$N$3="SETIEMBRE","9",$N$3="OCTUBRE","10",$N$3="NOVIEMBRE","11",$N$3="DICIEMBRE","12"))),8,0),"")</f>
        <v>S2-3-4</v>
      </c>
    </row>
    <row r="52" spans="1:50" x14ac:dyDescent="0.25">
      <c r="A52" s="35" t="str">
        <f>D1_ENERO_2026[[#This Row],[SUPER2]]</f>
        <v>KENNETH</v>
      </c>
      <c r="B52" s="34" t="str">
        <f>D1_ENERO_2026[[#This Row],[ASESOR]]</f>
        <v>STWUAR MACURI</v>
      </c>
      <c r="C52" s="36">
        <f>VLOOKUP(D1_ENERO_2026[[#This Row],[SUPER]],DATA_ENERO_2026[[SUPERVISOR]:[META]],3,0)</f>
        <v>27900</v>
      </c>
      <c r="D52" s="35">
        <f>D1_ENERO_2026[[#This Row],[RECUPERO]]/C52</f>
        <v>1.6282437275985664</v>
      </c>
      <c r="E52" s="35" t="s">
        <v>6</v>
      </c>
      <c r="F52" t="s">
        <v>34</v>
      </c>
      <c r="G52" s="36">
        <v>45428</v>
      </c>
      <c r="H52" s="34" t="s">
        <v>407</v>
      </c>
      <c r="I52" s="60">
        <v>45173</v>
      </c>
      <c r="J52" s="55" t="s">
        <v>501</v>
      </c>
      <c r="K52" s="55"/>
      <c r="L52" s="55"/>
      <c r="M52" s="5">
        <f>DATA_ENERO_2026[[#This Row],[RECUPERO]]/DATA_ENERO_2026[[#This Row],[META]]</f>
        <v>0.58775510204081638</v>
      </c>
      <c r="N52" s="5">
        <f>6-ROUNDUP(_xlfn.RANK.EQ(DATA_ENERO_2026[[#This Row],[AL_AC]],DATA_ENERO_2026[AL_AC],0)/(COUNTA(DATA_ENERO_2026[AL_AC])/5),0)</f>
        <v>1</v>
      </c>
      <c r="O52" s="54" t="s">
        <v>125</v>
      </c>
      <c r="P52" s="6">
        <f>SUM(DATA_ENERO_2026[[#This Row],[1]:[31]])</f>
        <v>14400</v>
      </c>
      <c r="Q52" s="6">
        <v>24500</v>
      </c>
      <c r="R52" t="s">
        <v>497</v>
      </c>
      <c r="S52" s="45"/>
      <c r="AM52">
        <v>3300</v>
      </c>
      <c r="AO52">
        <v>2700</v>
      </c>
      <c r="AR52">
        <v>900</v>
      </c>
      <c r="AT52">
        <v>1500</v>
      </c>
      <c r="AU52">
        <v>5000</v>
      </c>
      <c r="AV52">
        <v>1000</v>
      </c>
      <c r="AX52" t="str" cm="1">
        <f t="array" ref="AX52">IFERROR(VLOOKUP(DATA_ENERO_2026[[#This Row],[ASER_]],_xlfn._xlws.FILTER(PLANTILLA[[ASESOR]:[FECHA DE CESE]],PLANTILLA[FECHA]=_xlfn.CONCAT($M$3,"_",_xlfn.IFS($N$3="ENERO","1",$N$3="FEBRERO","2",$N$3="MARZO","3",$N$3="ABRIL","4",$N$3="MAYO","5",$N$3="JUNIO","6",$N$3="JULIO","7",$N$3="AGOSTO","8",$N$3="SETIEMBRE","9",$N$3="OCTUBRE","10",$N$3="NOVIEMBRE","11",$N$3="DICIEMBRE","12"))),8,0),"")</f>
        <v>S2-3-4</v>
      </c>
    </row>
    <row r="53" spans="1:50" x14ac:dyDescent="0.25">
      <c r="A53" s="35" t="str">
        <f>D1_ENERO_2026[[#This Row],[SUPER2]]</f>
        <v>JORGE</v>
      </c>
      <c r="B53" s="34" t="str">
        <f>D1_ENERO_2026[[#This Row],[ASESOR]]</f>
        <v>URSULA CENTENO</v>
      </c>
      <c r="C53" s="36">
        <f>VLOOKUP(D1_ENERO_2026[[#This Row],[SUPER]],DATA_ENERO_2026[[SUPERVISOR]:[META]],3,0)</f>
        <v>32600</v>
      </c>
      <c r="D53" s="35">
        <f>D1_ENERO_2026[[#This Row],[RECUPERO]]/C53</f>
        <v>0.5134355828220859</v>
      </c>
      <c r="E53" s="35" t="s">
        <v>2</v>
      </c>
      <c r="F53" t="s">
        <v>78</v>
      </c>
      <c r="G53" s="36">
        <v>16738</v>
      </c>
      <c r="H53" s="34" t="s">
        <v>397</v>
      </c>
      <c r="I53" s="60">
        <v>44943</v>
      </c>
      <c r="J53" s="55" t="s">
        <v>501</v>
      </c>
      <c r="K53" s="55"/>
      <c r="L53" s="55"/>
      <c r="M53" s="5">
        <f>DATA_ENERO_2026[[#This Row],[RECUPERO]]/DATA_ENERO_2026[[#This Row],[META]]</f>
        <v>2.0449583333333332</v>
      </c>
      <c r="N53" s="5">
        <f>6-ROUNDUP(_xlfn.RANK.EQ(DATA_ENERO_2026[[#This Row],[AL_AC]],DATA_ENERO_2026[AL_AC],0)/(COUNTA(DATA_ENERO_2026[AL_AC])/5),0)</f>
        <v>5</v>
      </c>
      <c r="O53" s="54" t="s">
        <v>4</v>
      </c>
      <c r="P53" s="6">
        <f>SUM(DATA_ENERO_2026[[#This Row],[1]:[31]])</f>
        <v>98158</v>
      </c>
      <c r="Q53" s="6">
        <v>48000</v>
      </c>
      <c r="R53" t="s">
        <v>59</v>
      </c>
      <c r="T53">
        <v>10000</v>
      </c>
      <c r="W53">
        <v>2700</v>
      </c>
      <c r="X53">
        <v>1650</v>
      </c>
      <c r="AA53">
        <v>3096</v>
      </c>
      <c r="AC53">
        <v>7500</v>
      </c>
      <c r="AD53">
        <v>1000</v>
      </c>
      <c r="AG53">
        <v>5200</v>
      </c>
      <c r="AH53">
        <v>2500</v>
      </c>
      <c r="AL53">
        <v>11400</v>
      </c>
      <c r="AN53">
        <v>4000</v>
      </c>
      <c r="AO53">
        <v>11500</v>
      </c>
      <c r="AR53">
        <v>12340</v>
      </c>
      <c r="AS53">
        <v>2000</v>
      </c>
      <c r="AT53">
        <v>7100</v>
      </c>
      <c r="AU53">
        <v>5000</v>
      </c>
      <c r="AV53">
        <v>10530</v>
      </c>
      <c r="AW53">
        <v>642</v>
      </c>
      <c r="AX53" t="str" cm="1">
        <f t="array" ref="AX53">IFERROR(VLOOKUP(DATA_ENERO_2026[[#This Row],[ASER_]],_xlfn._xlws.FILTER(PLANTILLA[[ASESOR]:[FECHA DE CESE]],PLANTILLA[FECHA]=_xlfn.CONCAT($M$3,"_",_xlfn.IFS($N$3="ENERO","1",$N$3="FEBRERO","2",$N$3="MARZO","3",$N$3="ABRIL","4",$N$3="MAYO","5",$N$3="JUNIO","6",$N$3="JULIO","7",$N$3="AGOSTO","8",$N$3="SETIEMBRE","9",$N$3="OCTUBRE","10",$N$3="NOVIEMBRE","11",$N$3="DICIEMBRE","12"))),8,0),"")</f>
        <v>S1</v>
      </c>
    </row>
    <row r="54" spans="1:50" x14ac:dyDescent="0.25">
      <c r="A54" s="35" t="str">
        <f>D1_ENERO_2026[[#This Row],[SUPER2]]</f>
        <v>JOHAN</v>
      </c>
      <c r="B54" s="34" t="str">
        <f>D1_ENERO_2026[[#This Row],[ASESOR]]</f>
        <v>VERONICA HUARCA</v>
      </c>
      <c r="C54" s="36">
        <f>VLOOKUP(D1_ENERO_2026[[#This Row],[SUPER]],DATA_ENERO_2026[[SUPERVISOR]:[META]],3,0)</f>
        <v>24500</v>
      </c>
      <c r="D54" s="35">
        <f>D1_ENERO_2026[[#This Row],[RECUPERO]]/C54</f>
        <v>1.056734693877551</v>
      </c>
      <c r="E54" s="35" t="s">
        <v>125</v>
      </c>
      <c r="F54" t="s">
        <v>48</v>
      </c>
      <c r="G54" s="36">
        <v>25890</v>
      </c>
      <c r="H54" s="34" t="s">
        <v>421</v>
      </c>
      <c r="I54" s="60">
        <v>44746</v>
      </c>
      <c r="J54" s="55" t="s">
        <v>501</v>
      </c>
      <c r="K54" s="55"/>
      <c r="M54" s="5">
        <f>DATA_ENERO_2026[[#This Row],[RECUPERO]]/DATA_ENERO_2026[[#This Row],[META]]</f>
        <v>0.71142857142857141</v>
      </c>
      <c r="N54" s="5">
        <f>6-ROUNDUP(_xlfn.RANK.EQ(DATA_ENERO_2026[[#This Row],[AL_AC]],DATA_ENERO_2026[AL_AC],0)/(COUNTA(DATA_ENERO_2026[AL_AC])/5),0)</f>
        <v>2</v>
      </c>
      <c r="O54" s="54" t="s">
        <v>125</v>
      </c>
      <c r="P54" s="6">
        <f>SUM(DATA_ENERO_2026[[#This Row],[1]:[31]])</f>
        <v>17430</v>
      </c>
      <c r="Q54" s="6">
        <v>24500</v>
      </c>
      <c r="R54" t="s">
        <v>73</v>
      </c>
      <c r="W54">
        <v>600</v>
      </c>
      <c r="AA54">
        <v>2500</v>
      </c>
      <c r="AD54">
        <v>1500</v>
      </c>
      <c r="AG54">
        <v>3200</v>
      </c>
      <c r="AH54">
        <v>1600</v>
      </c>
      <c r="AK54">
        <v>250</v>
      </c>
      <c r="AM54">
        <v>600</v>
      </c>
      <c r="AN54">
        <v>2000</v>
      </c>
      <c r="AO54">
        <v>300</v>
      </c>
      <c r="AV54">
        <v>4880</v>
      </c>
      <c r="AX54" t="str" cm="1">
        <f t="array" ref="AX54">IFERROR(VLOOKUP(DATA_ENERO_2026[[#This Row],[ASER_]],_xlfn._xlws.FILTER(PLANTILLA[[ASESOR]:[FECHA DE CESE]],PLANTILLA[FECHA]=_xlfn.CONCAT($M$3,"_",_xlfn.IFS($N$3="ENERO","1",$N$3="FEBRERO","2",$N$3="MARZO","3",$N$3="ABRIL","4",$N$3="MAYO","5",$N$3="JUNIO","6",$N$3="JULIO","7",$N$3="AGOSTO","8",$N$3="SETIEMBRE","9",$N$3="OCTUBRE","10",$N$3="NOVIEMBRE","11",$N$3="DICIEMBRE","12"))),8,0),"")</f>
        <v>S2-3-4</v>
      </c>
    </row>
    <row r="55" spans="1:50" x14ac:dyDescent="0.25">
      <c r="A55" s="35" t="str">
        <f>D1_ENERO_2026[[#This Row],[SUPER2]]</f>
        <v>MELINA</v>
      </c>
      <c r="B55" s="34" t="str">
        <f>D1_ENERO_2026[[#This Row],[ASESOR]]</f>
        <v>VERONICA TASAYCO</v>
      </c>
      <c r="C55" s="36">
        <f>VLOOKUP(D1_ENERO_2026[[#This Row],[SUPER]],DATA_ENERO_2026[[SUPERVISOR]:[META]],3,0)</f>
        <v>48000</v>
      </c>
      <c r="D55" s="35">
        <f>D1_ENERO_2026[[#This Row],[RECUPERO]]/C55</f>
        <v>1.3423750000000001</v>
      </c>
      <c r="E55" s="35" t="s">
        <v>4</v>
      </c>
      <c r="F55" t="s">
        <v>10</v>
      </c>
      <c r="G55" s="36">
        <v>64434</v>
      </c>
      <c r="H55" s="34" t="s">
        <v>449</v>
      </c>
      <c r="I55" s="60">
        <v>44704</v>
      </c>
      <c r="J55" s="55" t="s">
        <v>501</v>
      </c>
      <c r="K55" s="55"/>
      <c r="M55" s="5">
        <f>DATA_ENERO_2026[[#This Row],[RECUPERO]]/DATA_ENERO_2026[[#This Row],[META]]</f>
        <v>1.6282437275985664</v>
      </c>
      <c r="N55" s="5">
        <f>6-ROUNDUP(_xlfn.RANK.EQ(DATA_ENERO_2026[[#This Row],[AL_AC]],DATA_ENERO_2026[AL_AC],0)/(COUNTA(DATA_ENERO_2026[AL_AC])/5),0)</f>
        <v>5</v>
      </c>
      <c r="O55" s="54" t="s">
        <v>6</v>
      </c>
      <c r="P55" s="6">
        <f>SUM(DATA_ENERO_2026[[#This Row],[1]:[31]])</f>
        <v>45428</v>
      </c>
      <c r="Q55" s="6">
        <v>27900</v>
      </c>
      <c r="R55" t="s">
        <v>34</v>
      </c>
      <c r="T55">
        <v>500</v>
      </c>
      <c r="W55">
        <v>5500</v>
      </c>
      <c r="X55">
        <v>8500</v>
      </c>
      <c r="Y55">
        <v>3313</v>
      </c>
      <c r="AE55">
        <v>500</v>
      </c>
      <c r="AF55">
        <v>4500</v>
      </c>
      <c r="AG55">
        <v>575</v>
      </c>
      <c r="AK55">
        <v>8300</v>
      </c>
      <c r="AL55">
        <v>200</v>
      </c>
      <c r="AM55">
        <v>5000</v>
      </c>
      <c r="AN55">
        <v>500</v>
      </c>
      <c r="AO55">
        <v>2000</v>
      </c>
      <c r="AT55">
        <v>3240</v>
      </c>
      <c r="AU55">
        <v>600</v>
      </c>
      <c r="AV55">
        <v>500</v>
      </c>
      <c r="AW55">
        <v>1700</v>
      </c>
      <c r="AX55" t="str" cm="1">
        <f t="array" ref="AX55">IFERROR(VLOOKUP(DATA_ENERO_2026[[#This Row],[ASER_]],_xlfn._xlws.FILTER(PLANTILLA[[ASESOR]:[FECHA DE CESE]],PLANTILLA[FECHA]=_xlfn.CONCAT($M$3,"_",_xlfn.IFS($N$3="ENERO","1",$N$3="FEBRERO","2",$N$3="MARZO","3",$N$3="ABRIL","4",$N$3="MAYO","5",$N$3="JUNIO","6",$N$3="JULIO","7",$N$3="AGOSTO","8",$N$3="SETIEMBRE","9",$N$3="OCTUBRE","10",$N$3="NOVIEMBRE","11",$N$3="DICIEMBRE","12"))),8,0),"")</f>
        <v>S1</v>
      </c>
    </row>
    <row r="56" spans="1:50" x14ac:dyDescent="0.25">
      <c r="A56" s="35" t="str">
        <f>D1_ENERO_2026[[#This Row],[SUPER2]]</f>
        <v>JORGE</v>
      </c>
      <c r="B56" s="34" t="str">
        <f>D1_ENERO_2026[[#This Row],[ASESOR]]</f>
        <v>VICTOR RAMIREZ</v>
      </c>
      <c r="C56" s="36">
        <f>VLOOKUP(D1_ENERO_2026[[#This Row],[SUPER]],DATA_ENERO_2026[[SUPERVISOR]:[META]],3,0)</f>
        <v>32600</v>
      </c>
      <c r="D56" s="35">
        <f>D1_ENERO_2026[[#This Row],[RECUPERO]]/C56</f>
        <v>1.6673312883435583</v>
      </c>
      <c r="E56" s="35" t="s">
        <v>2</v>
      </c>
      <c r="F56" t="s">
        <v>76</v>
      </c>
      <c r="G56" s="36">
        <v>54355</v>
      </c>
      <c r="H56" s="34" t="s">
        <v>408</v>
      </c>
      <c r="I56" s="60">
        <v>44817</v>
      </c>
      <c r="J56" s="55" t="s">
        <v>501</v>
      </c>
      <c r="K56" s="55"/>
      <c r="M56" s="5">
        <f>DATA_ENERO_2026[[#This Row],[RECUPERO]]/DATA_ENERO_2026[[#This Row],[META]]</f>
        <v>0.5134355828220859</v>
      </c>
      <c r="N56" s="5">
        <f>6-ROUNDUP(_xlfn.RANK.EQ(DATA_ENERO_2026[[#This Row],[AL_AC]],DATA_ENERO_2026[AL_AC],0)/(COUNTA(DATA_ENERO_2026[AL_AC])/5),0)</f>
        <v>1</v>
      </c>
      <c r="O56" s="54" t="s">
        <v>2</v>
      </c>
      <c r="P56" s="6">
        <f>SUM(DATA_ENERO_2026[[#This Row],[1]:[31]])</f>
        <v>16738</v>
      </c>
      <c r="Q56" s="6">
        <v>32600</v>
      </c>
      <c r="R56" t="s">
        <v>78</v>
      </c>
      <c r="S56">
        <v>500</v>
      </c>
      <c r="AA56">
        <v>1640</v>
      </c>
      <c r="AD56">
        <v>450</v>
      </c>
      <c r="AF56">
        <v>3500</v>
      </c>
      <c r="AG56">
        <v>2000</v>
      </c>
      <c r="AK56">
        <v>4810</v>
      </c>
      <c r="AO56">
        <v>200</v>
      </c>
      <c r="AS56">
        <v>300</v>
      </c>
      <c r="AU56">
        <v>451</v>
      </c>
      <c r="AV56">
        <v>1887</v>
      </c>
      <c r="AW56">
        <v>1000</v>
      </c>
      <c r="AX56" t="str" cm="1">
        <f t="array" ref="AX56">IFERROR(VLOOKUP(DATA_ENERO_2026[[#This Row],[ASER_]],_xlfn._xlws.FILTER(PLANTILLA[[ASESOR]:[FECHA DE CESE]],PLANTILLA[FECHA]=_xlfn.CONCAT($M$3,"_",_xlfn.IFS($N$3="ENERO","1",$N$3="FEBRERO","2",$N$3="MARZO","3",$N$3="ABRIL","4",$N$3="MAYO","5",$N$3="JUNIO","6",$N$3="JULIO","7",$N$3="AGOSTO","8",$N$3="SETIEMBRE","9",$N$3="OCTUBRE","10",$N$3="NOVIEMBRE","11",$N$3="DICIEMBRE","12"))),8,0),"")</f>
        <v>S0</v>
      </c>
    </row>
    <row r="57" spans="1:50" x14ac:dyDescent="0.25">
      <c r="A57" s="34"/>
      <c r="B57" s="34"/>
      <c r="C57" s="35"/>
      <c r="D57" s="35"/>
      <c r="E57" s="35"/>
      <c r="M57" s="5">
        <f>DATA_ENERO_2026[[#This Row],[RECUPERO]]/DATA_ENERO_2026[[#This Row],[META]]</f>
        <v>1.056734693877551</v>
      </c>
      <c r="N57" s="5">
        <f>6-ROUNDUP(_xlfn.RANK.EQ(DATA_ENERO_2026[[#This Row],[AL_AC]],DATA_ENERO_2026[AL_AC],0)/(COUNTA(DATA_ENERO_2026[AL_AC])/5),0)</f>
        <v>3</v>
      </c>
      <c r="O57" s="54" t="s">
        <v>125</v>
      </c>
      <c r="P57" s="6">
        <f>SUM(DATA_ENERO_2026[[#This Row],[1]:[31]])</f>
        <v>25890</v>
      </c>
      <c r="Q57" s="6">
        <v>24500</v>
      </c>
      <c r="R57" t="s">
        <v>48</v>
      </c>
      <c r="T57">
        <v>200</v>
      </c>
      <c r="W57">
        <v>4100</v>
      </c>
      <c r="X57">
        <v>1500</v>
      </c>
      <c r="Y57">
        <v>6000</v>
      </c>
      <c r="Z57">
        <v>3000</v>
      </c>
      <c r="AA57">
        <v>1000</v>
      </c>
      <c r="AH57">
        <v>2500</v>
      </c>
      <c r="AI57">
        <v>150</v>
      </c>
      <c r="AL57">
        <v>1000</v>
      </c>
      <c r="AM57">
        <v>1660</v>
      </c>
      <c r="AS57">
        <v>1700</v>
      </c>
      <c r="AT57">
        <v>1000</v>
      </c>
      <c r="AV57">
        <v>2080</v>
      </c>
      <c r="AX57" t="str" cm="1">
        <f t="array" ref="AX57">IFERROR(VLOOKUP(DATA_ENERO_2026[[#This Row],[ASER_]],_xlfn._xlws.FILTER(PLANTILLA[[ASESOR]:[FECHA DE CESE]],PLANTILLA[FECHA]=_xlfn.CONCAT($M$3,"_",_xlfn.IFS($N$3="ENERO","1",$N$3="FEBRERO","2",$N$3="MARZO","3",$N$3="ABRIL","4",$N$3="MAYO","5",$N$3="JUNIO","6",$N$3="JULIO","7",$N$3="AGOSTO","8",$N$3="SETIEMBRE","9",$N$3="OCTUBRE","10",$N$3="NOVIEMBRE","11",$N$3="DICIEMBRE","12"))),8,0),"")</f>
        <v>S2-3-4</v>
      </c>
    </row>
    <row r="58" spans="1:50" x14ac:dyDescent="0.25">
      <c r="A58" s="34"/>
      <c r="B58" s="34"/>
      <c r="C58" s="35"/>
      <c r="D58" s="35"/>
      <c r="E58" s="35"/>
      <c r="M58" s="5">
        <f>DATA_ENERO_2026[[#This Row],[RECUPERO]]/DATA_ENERO_2026[[#This Row],[META]]</f>
        <v>1.3423750000000001</v>
      </c>
      <c r="N58" s="5">
        <f>6-ROUNDUP(_xlfn.RANK.EQ(DATA_ENERO_2026[[#This Row],[AL_AC]],DATA_ENERO_2026[AL_AC],0)/(COUNTA(DATA_ENERO_2026[AL_AC])/5),0)</f>
        <v>4</v>
      </c>
      <c r="O58" s="54" t="s">
        <v>4</v>
      </c>
      <c r="P58" s="6">
        <f>SUM(DATA_ENERO_2026[[#This Row],[1]:[31]])</f>
        <v>64434</v>
      </c>
      <c r="Q58" s="6">
        <v>48000</v>
      </c>
      <c r="R58" t="s">
        <v>10</v>
      </c>
      <c r="W58">
        <v>9451</v>
      </c>
      <c r="Y58">
        <v>7000</v>
      </c>
      <c r="AA58">
        <v>1300</v>
      </c>
      <c r="AD58">
        <v>16100</v>
      </c>
      <c r="AG58">
        <v>2000</v>
      </c>
      <c r="AH58">
        <v>360</v>
      </c>
      <c r="AM58">
        <v>700</v>
      </c>
      <c r="AN58">
        <v>2200</v>
      </c>
      <c r="AQ58">
        <v>688</v>
      </c>
      <c r="AT58">
        <v>200</v>
      </c>
      <c r="AV58">
        <v>11835</v>
      </c>
      <c r="AW58">
        <v>12600</v>
      </c>
      <c r="AX58" t="str" cm="1">
        <f t="array" ref="AX58">IFERROR(VLOOKUP(DATA_ENERO_2026[[#This Row],[ASER_]],_xlfn._xlws.FILTER(PLANTILLA[[ASESOR]:[FECHA DE CESE]],PLANTILLA[FECHA]=_xlfn.CONCAT($M$3,"_",_xlfn.IFS($N$3="ENERO","1",$N$3="FEBRERO","2",$N$3="MARZO","3",$N$3="ABRIL","4",$N$3="MAYO","5",$N$3="JUNIO","6",$N$3="JULIO","7",$N$3="AGOSTO","8",$N$3="SETIEMBRE","9",$N$3="OCTUBRE","10",$N$3="NOVIEMBRE","11",$N$3="DICIEMBRE","12"))),8,0),"")</f>
        <v>S1</v>
      </c>
    </row>
    <row r="59" spans="1:50" x14ac:dyDescent="0.25">
      <c r="A59" s="34"/>
      <c r="B59" s="34"/>
      <c r="C59" s="35"/>
      <c r="D59" s="35"/>
      <c r="E59" s="35"/>
      <c r="M59" s="5">
        <f>DATA_ENERO_2026[[#This Row],[RECUPERO]]/DATA_ENERO_2026[[#This Row],[META]]</f>
        <v>1.6673312883435583</v>
      </c>
      <c r="N59" s="5">
        <f>6-ROUNDUP(_xlfn.RANK.EQ(DATA_ENERO_2026[[#This Row],[AL_AC]],DATA_ENERO_2026[AL_AC],0)/(COUNTA(DATA_ENERO_2026[AL_AC])/5),0)</f>
        <v>5</v>
      </c>
      <c r="O59" s="54" t="s">
        <v>2</v>
      </c>
      <c r="P59" s="6">
        <f>SUM(DATA_ENERO_2026[[#This Row],[1]:[31]])</f>
        <v>54355</v>
      </c>
      <c r="Q59" s="6">
        <v>32600</v>
      </c>
      <c r="R59" t="s">
        <v>76</v>
      </c>
      <c r="W59">
        <v>8000</v>
      </c>
      <c r="Y59">
        <v>800</v>
      </c>
      <c r="AA59">
        <v>4000</v>
      </c>
      <c r="AD59">
        <v>4200</v>
      </c>
      <c r="AE59">
        <v>8050</v>
      </c>
      <c r="AG59">
        <v>5105</v>
      </c>
      <c r="AH59">
        <v>250</v>
      </c>
      <c r="AK59">
        <v>450</v>
      </c>
      <c r="AM59">
        <v>2450</v>
      </c>
      <c r="AN59">
        <v>300</v>
      </c>
      <c r="AO59">
        <v>250</v>
      </c>
      <c r="AV59">
        <v>10500</v>
      </c>
      <c r="AW59">
        <v>10000</v>
      </c>
      <c r="AX59" t="str" cm="1">
        <f t="array" ref="AX59">IFERROR(VLOOKUP(DATA_ENERO_2026[[#This Row],[ASER_]],_xlfn._xlws.FILTER(PLANTILLA[[ASESOR]:[FECHA DE CESE]],PLANTILLA[FECHA]=_xlfn.CONCAT($M$3,"_",_xlfn.IFS($N$3="ENERO","1",$N$3="FEBRERO","2",$N$3="MARZO","3",$N$3="ABRIL","4",$N$3="MAYO","5",$N$3="JUNIO","6",$N$3="JULIO","7",$N$3="AGOSTO","8",$N$3="SETIEMBRE","9",$N$3="OCTUBRE","10",$N$3="NOVIEMBRE","11",$N$3="DICIEMBRE","12"))),8,0),"")</f>
        <v>S0</v>
      </c>
    </row>
    <row r="60" spans="1:50" x14ac:dyDescent="0.25">
      <c r="A60" s="34"/>
      <c r="B60" s="34"/>
      <c r="C60" s="35"/>
      <c r="D60" s="35"/>
      <c r="E60" s="35"/>
      <c r="O60" s="5"/>
    </row>
    <row r="61" spans="1:50" x14ac:dyDescent="0.25">
      <c r="A61" s="34"/>
      <c r="B61" s="34"/>
      <c r="C61" s="35"/>
      <c r="D61" s="35"/>
      <c r="E61" s="35"/>
      <c r="O61" s="5"/>
    </row>
    <row r="62" spans="1:50" x14ac:dyDescent="0.25">
      <c r="A62" s="34"/>
      <c r="B62" s="34"/>
      <c r="C62" s="35"/>
      <c r="D62" s="35"/>
      <c r="E62" s="35"/>
      <c r="O62" s="5"/>
    </row>
    <row r="63" spans="1:50" x14ac:dyDescent="0.25">
      <c r="A63" s="34"/>
      <c r="B63" s="34"/>
      <c r="C63" s="35"/>
      <c r="D63" s="35"/>
      <c r="E63" s="35"/>
      <c r="O63" s="5"/>
    </row>
    <row r="64" spans="1:50" x14ac:dyDescent="0.25">
      <c r="A64" s="34"/>
      <c r="B64" s="34"/>
      <c r="C64" s="35"/>
      <c r="D64" s="35"/>
      <c r="E64" s="35"/>
      <c r="O64" s="5"/>
    </row>
    <row r="65" spans="1:15" x14ac:dyDescent="0.25">
      <c r="A65" s="34"/>
      <c r="B65" s="34"/>
      <c r="C65" s="35"/>
      <c r="D65" s="35"/>
      <c r="E65" s="35"/>
      <c r="O65" s="5"/>
    </row>
    <row r="66" spans="1:15" x14ac:dyDescent="0.25">
      <c r="A66" s="34"/>
      <c r="B66" s="34"/>
      <c r="C66" s="35"/>
      <c r="D66" s="35"/>
      <c r="E66" s="35"/>
      <c r="G66" s="1"/>
      <c r="I66" s="3"/>
      <c r="O66" s="5"/>
    </row>
  </sheetData>
  <phoneticPr fontId="2" type="noConversion"/>
  <conditionalFormatting sqref="R9:R59">
    <cfRule type="duplicateValues" dxfId="13" priority="1"/>
  </conditionalFormatting>
  <pageMargins left="0.7" right="0.7" top="0.75" bottom="0.75" header="0.3" footer="0.3"/>
  <tableParts count="4">
    <tablePart r:id="rId1"/>
    <tablePart r:id="rId2"/>
    <tablePart r:id="rId3"/>
    <tablePart r:id="rId4"/>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B5655-D1F1-4913-AD4E-FEAA05D30C23}">
  <dimension ref="A1:DR1193"/>
  <sheetViews>
    <sheetView topLeftCell="A6" zoomScale="70" zoomScaleNormal="70" workbookViewId="0">
      <selection activeCell="N8" sqref="N8"/>
    </sheetView>
  </sheetViews>
  <sheetFormatPr baseColWidth="10" defaultRowHeight="15" x14ac:dyDescent="0.25"/>
  <cols>
    <col min="1" max="1" width="13" bestFit="1" customWidth="1"/>
    <col min="2" max="2" width="27.28515625" bestFit="1" customWidth="1"/>
    <col min="3" max="3" width="13.5703125" bestFit="1" customWidth="1"/>
    <col min="4" max="4" width="16" bestFit="1" customWidth="1"/>
    <col min="5" max="5" width="14.42578125" bestFit="1" customWidth="1"/>
    <col min="6" max="6" width="27.28515625" bestFit="1" customWidth="1"/>
    <col min="7" max="7" width="17.85546875" bestFit="1" customWidth="1"/>
    <col min="8" max="8" width="11.5703125" bestFit="1" customWidth="1"/>
    <col min="9" max="9" width="24.28515625" bestFit="1" customWidth="1"/>
    <col min="10" max="10" width="14.5703125" bestFit="1" customWidth="1"/>
    <col min="13" max="13" width="16" bestFit="1" customWidth="1"/>
    <col min="14" max="14" width="26" bestFit="1" customWidth="1"/>
    <col min="15" max="15" width="20.7109375" bestFit="1" customWidth="1"/>
    <col min="16" max="16" width="17.85546875" bestFit="1" customWidth="1"/>
    <col min="18" max="18" width="27.28515625" bestFit="1" customWidth="1"/>
    <col min="19" max="19" width="6" bestFit="1" customWidth="1"/>
    <col min="20" max="20" width="8.7109375" bestFit="1" customWidth="1"/>
    <col min="21" max="21" width="7.42578125" bestFit="1" customWidth="1"/>
    <col min="22" max="23" width="8.7109375" bestFit="1" customWidth="1"/>
    <col min="24" max="25" width="7.42578125" bestFit="1" customWidth="1"/>
    <col min="26" max="26" width="6.42578125" bestFit="1" customWidth="1"/>
    <col min="27" max="28" width="7.42578125" bestFit="1" customWidth="1"/>
    <col min="29" max="29" width="8.7109375" bestFit="1" customWidth="1"/>
    <col min="30" max="33" width="7.42578125" bestFit="1" customWidth="1"/>
    <col min="34" max="34" width="8.7109375" bestFit="1" customWidth="1"/>
    <col min="35" max="37" width="7.42578125" bestFit="1" customWidth="1"/>
    <col min="38" max="38" width="10" bestFit="1" customWidth="1"/>
    <col min="39" max="39" width="7.42578125" bestFit="1" customWidth="1"/>
    <col min="40" max="43" width="7.85546875" bestFit="1" customWidth="1"/>
    <col min="44" max="44" width="10" bestFit="1" customWidth="1"/>
    <col min="45" max="45" width="7.85546875" bestFit="1" customWidth="1"/>
    <col min="46" max="46" width="8.7109375" bestFit="1" customWidth="1"/>
    <col min="47" max="48" width="7.85546875" bestFit="1" customWidth="1"/>
    <col min="49" max="49" width="7.42578125" bestFit="1" customWidth="1"/>
    <col min="50" max="50" width="26.7109375" bestFit="1" customWidth="1"/>
    <col min="52" max="52" width="20" bestFit="1" customWidth="1"/>
    <col min="53" max="53" width="34.28515625" bestFit="1" customWidth="1"/>
    <col min="54" max="54" width="32.42578125" bestFit="1" customWidth="1"/>
    <col min="55" max="55" width="13" bestFit="1" customWidth="1"/>
    <col min="56" max="56" width="6.42578125" bestFit="1" customWidth="1"/>
    <col min="57" max="57" width="6.85546875" bestFit="1" customWidth="1"/>
    <col min="58" max="60" width="8.140625" bestFit="1" customWidth="1"/>
    <col min="61" max="65" width="8.85546875" bestFit="1" customWidth="1"/>
    <col min="66" max="70" width="9.28515625" bestFit="1" customWidth="1"/>
    <col min="71" max="71" width="8.85546875" bestFit="1" customWidth="1"/>
    <col min="72" max="78" width="9.28515625" bestFit="1" customWidth="1"/>
    <col min="79" max="80" width="8.85546875" bestFit="1" customWidth="1"/>
    <col min="81" max="86" width="9.28515625" bestFit="1" customWidth="1"/>
    <col min="87" max="87" width="16" bestFit="1" customWidth="1"/>
    <col min="89" max="89" width="17.7109375" bestFit="1" customWidth="1"/>
    <col min="90" max="90" width="13.140625" bestFit="1" customWidth="1"/>
    <col min="91" max="91" width="12" bestFit="1" customWidth="1"/>
    <col min="92" max="92" width="10.7109375" bestFit="1" customWidth="1"/>
    <col min="93" max="93" width="11.5703125" bestFit="1" customWidth="1"/>
    <col min="95" max="95" width="15.140625" customWidth="1"/>
    <col min="96" max="96" width="16.5703125" customWidth="1"/>
    <col min="97" max="97" width="14.140625" customWidth="1"/>
    <col min="98" max="98" width="15.85546875" customWidth="1"/>
    <col min="99" max="99" width="30" customWidth="1"/>
    <col min="100" max="100" width="19" customWidth="1"/>
    <col min="101" max="101" width="19.42578125" customWidth="1"/>
    <col min="102" max="102" width="24.28515625" customWidth="1"/>
    <col min="103" max="103" width="16.5703125" customWidth="1"/>
    <col min="104" max="104" width="41.28515625" customWidth="1"/>
    <col min="105" max="105" width="28.140625" customWidth="1"/>
    <col min="106" max="106" width="25.7109375" customWidth="1"/>
    <col min="107" max="107" width="27.5703125" customWidth="1"/>
    <col min="108" max="108" width="32.85546875" customWidth="1"/>
    <col min="109" max="109" width="20.140625" customWidth="1"/>
    <col min="110" max="110" width="20.42578125" customWidth="1"/>
    <col min="111" max="111" width="25.7109375" customWidth="1"/>
    <col min="112" max="112" width="20.85546875" customWidth="1"/>
    <col min="113" max="113" width="26.7109375" customWidth="1"/>
    <col min="114" max="114" width="13.7109375" customWidth="1"/>
    <col min="115" max="115" width="15.5703125" customWidth="1"/>
    <col min="116" max="116" width="20.5703125" customWidth="1"/>
    <col min="117" max="117" width="21.28515625" customWidth="1"/>
    <col min="118" max="118" width="19.85546875" customWidth="1"/>
    <col min="119" max="119" width="22.85546875" customWidth="1"/>
    <col min="120" max="120" width="23.85546875" customWidth="1"/>
    <col min="121" max="121" width="15.5703125" customWidth="1"/>
    <col min="122" max="122" width="22.28515625" customWidth="1"/>
  </cols>
  <sheetData>
    <row r="1" spans="1:122" x14ac:dyDescent="0.25">
      <c r="A1" s="34"/>
      <c r="B1" s="34"/>
      <c r="C1" s="35"/>
      <c r="D1" s="35"/>
      <c r="E1" s="35"/>
      <c r="J1" s="55"/>
      <c r="K1" s="55"/>
      <c r="L1" s="55"/>
      <c r="N1" s="5"/>
    </row>
    <row r="2" spans="1:122"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122" ht="26.25" x14ac:dyDescent="0.4">
      <c r="A3" s="62" t="str">
        <f>D1_FEBRERO_2026[[#This Row],[SUPER2]]</f>
        <v>GUSTAVO</v>
      </c>
      <c r="B3" s="61" t="str" cm="1">
        <f t="array" ref="B3">TRIM(IFERROR(_xlfn.IFS(D1_FEBRERO_2026[[#This Row],[ASESOR]]="ELVIS GUERRA","ELVIS GUERRERA",D1_FEBRERO_2026[[#This Row],[ASESOR]]="GENESIS VICUÑA","GENESIS VICUNA",D1_FEBRERO_2026[[#This Row],[ASESOR]]="GINA HUMANI","GINA HUAMANI"),D1_FEBRERO_2026[[#This Row],[ASESOR]]))</f>
        <v>CHRISTIAN ALVARADO</v>
      </c>
      <c r="C3" s="62"/>
      <c r="D3" s="62"/>
      <c r="E3" s="62" t="s">
        <v>124</v>
      </c>
      <c r="F3" s="61" t="s">
        <v>41</v>
      </c>
      <c r="G3" s="61"/>
      <c r="H3" s="61" t="s">
        <v>387</v>
      </c>
      <c r="I3" s="63">
        <v>45302</v>
      </c>
      <c r="J3" s="63" t="s">
        <v>500</v>
      </c>
      <c r="K3" s="60"/>
      <c r="L3" s="55"/>
      <c r="M3" s="33">
        <v>2026</v>
      </c>
      <c r="N3" s="33" t="s">
        <v>140</v>
      </c>
      <c r="O3" s="33">
        <v>21</v>
      </c>
    </row>
    <row r="4" spans="1:122" x14ac:dyDescent="0.25">
      <c r="A4" s="62" t="str">
        <f>D1_FEBRERO_2026[[#This Row],[SUPER2]]</f>
        <v>SANDY</v>
      </c>
      <c r="B4" s="61" t="str" cm="1">
        <f t="array" ref="B4">TRIM(IFERROR(_xlfn.IFS(D1_FEBRERO_2026[[#This Row],[ASESOR]]="ELVIS GUERRA","ELVIS GUERRERA",D1_FEBRERO_2026[[#This Row],[ASESOR]]="GENESIS VICUÑA","GENESIS VICUNA",D1_FEBRERO_2026[[#This Row],[ASESOR]]="GINA HUMANI","GINA HUAMANI"),D1_FEBRERO_2026[[#This Row],[ASESOR]]))</f>
        <v>FRANCO HUAMANI</v>
      </c>
      <c r="C4" s="62"/>
      <c r="D4" s="62"/>
      <c r="E4" s="62" t="s">
        <v>3</v>
      </c>
      <c r="F4" s="61" t="s">
        <v>24</v>
      </c>
      <c r="G4" s="61"/>
      <c r="H4" s="61" t="s">
        <v>434</v>
      </c>
      <c r="I4" s="63">
        <v>45334</v>
      </c>
      <c r="J4" s="63" t="s">
        <v>500</v>
      </c>
      <c r="K4" s="60"/>
      <c r="L4" s="55"/>
      <c r="N4" s="5"/>
      <c r="S4" s="45"/>
    </row>
    <row r="5" spans="1:122" x14ac:dyDescent="0.25">
      <c r="A5" s="62" t="str">
        <f>D1_FEBRERO_2026[[#This Row],[SUPER2]]</f>
        <v>JORGE</v>
      </c>
      <c r="B5" s="61" t="str" cm="1">
        <f t="array" ref="B5">TRIM(IFERROR(_xlfn.IFS(D1_FEBRERO_2026[[#This Row],[ASESOR]]="ELVIS GUERRA","ELVIS GUERRERA",D1_FEBRERO_2026[[#This Row],[ASESOR]]="GENESIS VICUÑA","GENESIS VICUNA",D1_FEBRERO_2026[[#This Row],[ASESOR]]="GINA HUMANI","GINA HUAMANI"),D1_FEBRERO_2026[[#This Row],[ASESOR]]))</f>
        <v>LUCERO JORDAN</v>
      </c>
      <c r="C5" s="62"/>
      <c r="D5" s="62"/>
      <c r="E5" s="62" t="s">
        <v>2</v>
      </c>
      <c r="F5" s="61" t="s">
        <v>68</v>
      </c>
      <c r="G5" s="61"/>
      <c r="H5" s="61" t="s">
        <v>440</v>
      </c>
      <c r="I5" s="63">
        <v>45363</v>
      </c>
      <c r="J5" s="63" t="s">
        <v>500</v>
      </c>
      <c r="K5" s="60"/>
      <c r="L5" s="55"/>
      <c r="N5" s="5"/>
      <c r="S5" s="45"/>
      <c r="BQ5" s="45"/>
    </row>
    <row r="6" spans="1:122" x14ac:dyDescent="0.25">
      <c r="A6" s="66" t="str">
        <f>D1_FEBRERO_2026[[#This Row],[SUPER2]]</f>
        <v>KENNETH</v>
      </c>
      <c r="B6" s="65" t="str" cm="1">
        <f t="array" ref="B6">TRIM(IFERROR(_xlfn.IFS(D1_FEBRERO_2026[[#This Row],[ASESOR]]="ELVIS GUERRA","ELVIS GUERRERA",D1_FEBRERO_2026[[#This Row],[ASESOR]]="GENESIS VICUÑA","GENESIS VICUNA",D1_FEBRERO_2026[[#This Row],[ASESOR]]="GINA HUMANI","GINA HUAMANI"),D1_FEBRERO_2026[[#This Row],[ASESOR]]))</f>
        <v>MILAGROS QUIO</v>
      </c>
      <c r="C6" s="62"/>
      <c r="D6" s="62"/>
      <c r="E6" s="66" t="s">
        <v>6</v>
      </c>
      <c r="F6" s="65" t="s">
        <v>11</v>
      </c>
      <c r="G6" s="72"/>
      <c r="H6" s="65" t="s">
        <v>429</v>
      </c>
      <c r="I6" s="67">
        <v>45369</v>
      </c>
      <c r="J6" s="67" t="s">
        <v>500</v>
      </c>
      <c r="K6" s="60"/>
      <c r="L6" s="55"/>
      <c r="N6" s="5"/>
      <c r="S6" s="45"/>
    </row>
    <row r="7" spans="1:122" x14ac:dyDescent="0.25">
      <c r="A7" s="66" t="str">
        <f>D1_FEBRERO_2026[[#This Row],[SUPER2]]</f>
        <v>JOHAN</v>
      </c>
      <c r="B7" s="65" t="str" cm="1">
        <f t="array" ref="B7">TRIM(IFERROR(_xlfn.IFS(D1_FEBRERO_2026[[#This Row],[ASESOR]]="ELVIS GUERRA","ELVIS GUERRERA",D1_FEBRERO_2026[[#This Row],[ASESOR]]="GENESIS VICUÑA","GENESIS VICUNA",D1_FEBRERO_2026[[#This Row],[ASESOR]]="GINA HUMANI","GINA HUAMANI"),D1_FEBRERO_2026[[#This Row],[ASESOR]]))</f>
        <v>ERIKA VILLAR</v>
      </c>
      <c r="C7" s="62"/>
      <c r="D7" s="62"/>
      <c r="E7" s="66" t="s">
        <v>125</v>
      </c>
      <c r="F7" s="65" t="s">
        <v>72</v>
      </c>
      <c r="G7" s="72"/>
      <c r="H7" s="65" t="s">
        <v>450</v>
      </c>
      <c r="I7" s="67">
        <v>45691</v>
      </c>
      <c r="J7" s="67" t="s">
        <v>500</v>
      </c>
      <c r="K7" s="60"/>
      <c r="L7" s="55"/>
      <c r="M7" s="1"/>
      <c r="N7" s="5"/>
      <c r="CK7" t="s">
        <v>626</v>
      </c>
      <c r="CL7" t="s">
        <v>149</v>
      </c>
      <c r="CM7" t="s">
        <v>176</v>
      </c>
      <c r="CN7" t="s">
        <v>139</v>
      </c>
      <c r="CO7" t="s">
        <v>140</v>
      </c>
    </row>
    <row r="8" spans="1:122" ht="15.75" thickBot="1" x14ac:dyDescent="0.3">
      <c r="A8" s="35" t="str">
        <f>D1_FEBRERO_2026[[#This Row],[SUPER2]]</f>
        <v>JOHAN</v>
      </c>
      <c r="B8" s="34" t="str" cm="1">
        <f t="array" ref="B8">TRIM(IFERROR(_xlfn.IFS(D1_FEBRERO_2026[[#This Row],[ASESOR]]="ELVIS GUERRA","ELVIS GUERRERA",D1_FEBRERO_2026[[#This Row],[ASESOR]]="GENESIS VICUÑA","GENESIS VICUNA",D1_FEBRERO_2026[[#This Row],[ASESOR]]="GINA HUMANI","GINA HUAMANI"),D1_FEBRERO_2026[[#This Row],[ASESOR]]))</f>
        <v>ALEIDITH GUEVARA</v>
      </c>
      <c r="C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8" s="35">
        <f>IF(D1_FEBRERO_2026[[#This Row],[RECUPERO]]="VACACIONES","VACACIONES",IFERROR(D1_FEBRERO_2026[[#This Row],[RECUPERO]]/D1_FEBRERO_2026[[#This Row],[META]],""))</f>
        <v>0.7419</v>
      </c>
      <c r="E8" s="35" t="s">
        <v>125</v>
      </c>
      <c r="F8" s="34" t="s">
        <v>18</v>
      </c>
      <c r="G8" s="36">
        <v>37095</v>
      </c>
      <c r="H8" s="34" t="s">
        <v>431</v>
      </c>
      <c r="I8" s="60">
        <v>45132</v>
      </c>
      <c r="J8" s="60" t="s">
        <v>501</v>
      </c>
      <c r="K8" s="60"/>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c r="CQ8" s="85" t="s">
        <v>639</v>
      </c>
      <c r="CR8" s="84" t="s">
        <v>640</v>
      </c>
      <c r="CS8" s="84" t="s">
        <v>641</v>
      </c>
      <c r="CT8" s="84" t="s">
        <v>642</v>
      </c>
      <c r="CU8" s="84" t="s">
        <v>643</v>
      </c>
      <c r="CV8" s="84" t="s">
        <v>668</v>
      </c>
      <c r="CW8" s="84" t="s">
        <v>644</v>
      </c>
      <c r="CX8" s="84" t="s">
        <v>645</v>
      </c>
      <c r="CY8" s="84" t="s">
        <v>646</v>
      </c>
      <c r="CZ8" s="84" t="s">
        <v>647</v>
      </c>
      <c r="DA8" s="84" t="s">
        <v>648</v>
      </c>
      <c r="DB8" s="84" t="s">
        <v>649</v>
      </c>
      <c r="DC8" s="84" t="s">
        <v>650</v>
      </c>
      <c r="DD8" s="84" t="s">
        <v>651</v>
      </c>
      <c r="DE8" s="84" t="s">
        <v>652</v>
      </c>
      <c r="DF8" s="84" t="s">
        <v>653</v>
      </c>
      <c r="DG8" s="84" t="s">
        <v>654</v>
      </c>
      <c r="DH8" s="84" t="s">
        <v>655</v>
      </c>
      <c r="DI8" s="84" t="s">
        <v>656</v>
      </c>
      <c r="DJ8" s="84" t="s">
        <v>657</v>
      </c>
      <c r="DK8" s="84" t="s">
        <v>658</v>
      </c>
      <c r="DL8" s="84" t="s">
        <v>669</v>
      </c>
      <c r="DM8" s="84" t="s">
        <v>659</v>
      </c>
      <c r="DN8" s="84" t="s">
        <v>660</v>
      </c>
      <c r="DO8" s="84" t="s">
        <v>662</v>
      </c>
      <c r="DP8" s="84" t="s">
        <v>663</v>
      </c>
      <c r="DQ8" s="84" t="s">
        <v>664</v>
      </c>
      <c r="DR8" s="86" t="s">
        <v>661</v>
      </c>
    </row>
    <row r="9" spans="1:122" x14ac:dyDescent="0.25">
      <c r="A9" s="35" t="str">
        <f>D1_FEBRERO_2026[[#This Row],[SUPER2]]</f>
        <v>GUSTAVO</v>
      </c>
      <c r="B9" s="34" t="str" cm="1">
        <f t="array" ref="B9">TRIM(IFERROR(_xlfn.IFS(D1_FEBRERO_2026[[#This Row],[ASESOR]]="ELVIS GUERRA","ELVIS GUERRERA",D1_FEBRERO_2026[[#This Row],[ASESOR]]="GENESIS VICUÑA","GENESIS VICUNA",D1_FEBRERO_2026[[#This Row],[ASESOR]]="GINA HUMANI","GINA HUAMANI"),D1_FEBRERO_2026[[#This Row],[ASESOR]]))</f>
        <v>ALEJANDRA QUISPE</v>
      </c>
      <c r="C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9" s="35">
        <f>IF(D1_FEBRERO_2026[[#This Row],[RECUPERO]]="VACACIONES","VACACIONES",IFERROR(D1_FEBRERO_2026[[#This Row],[RECUPERO]]/D1_FEBRERO_2026[[#This Row],[META]],""))</f>
        <v>1.9406382978723404</v>
      </c>
      <c r="E9" s="35" t="s">
        <v>124</v>
      </c>
      <c r="F9" s="34" t="s">
        <v>58</v>
      </c>
      <c r="G9" s="36">
        <v>45605</v>
      </c>
      <c r="H9" s="34" t="s">
        <v>441</v>
      </c>
      <c r="I9" s="60">
        <v>43101</v>
      </c>
      <c r="J9" s="60" t="s">
        <v>501</v>
      </c>
      <c r="K9" s="60"/>
      <c r="L9" s="55"/>
      <c r="M9" s="5">
        <f>DATA_FEBRERO_2026[[#This Row],[RECUPERO]]/DATA_FEBRERO_2026[[#This Row],[META]]</f>
        <v>0.7419</v>
      </c>
      <c r="N9" s="5">
        <f>6-ROUNDUP(_xlfn.RANK.EQ(DATA_FEBRERO_2026[[#This Row],[AL_AC]],DATA_FEBRERO_2026[AL_AC],0)/(COUNTA(DATA_FEBRERO_2026[AL_AC])/5),0)</f>
        <v>2</v>
      </c>
      <c r="O9" s="54" t="str">
        <f>IFERROR(VLOOKUP(DATA_FEBRERO_2026[[#This Row],[ASER_]],$B:$G,4,0),"")</f>
        <v>JOHAN</v>
      </c>
      <c r="P9" s="6">
        <f>SUM(DATA_FEBRERO_2026[[#This Row],[1]:[31]])</f>
        <v>37095</v>
      </c>
      <c r="Q9" s="6">
        <f>VLOOKUP(DATA_FEBRERO_2026[[#This Row],[ASER_]],D1_FEBRERO_2026[[ASESOR_CRR]:[META]],2,0)</f>
        <v>50000</v>
      </c>
      <c r="R9" t="s">
        <v>18</v>
      </c>
      <c r="S9">
        <v>400</v>
      </c>
      <c r="U9">
        <v>4000</v>
      </c>
      <c r="V9">
        <v>2000</v>
      </c>
      <c r="X9">
        <v>5350</v>
      </c>
      <c r="AA9">
        <v>8340</v>
      </c>
      <c r="AD9">
        <v>600</v>
      </c>
      <c r="AE9">
        <v>1050</v>
      </c>
      <c r="AH9">
        <v>1650</v>
      </c>
      <c r="AJ9">
        <v>5000</v>
      </c>
      <c r="AL9">
        <v>1500</v>
      </c>
      <c r="AQ9">
        <v>1800</v>
      </c>
      <c r="AS9">
        <v>2050</v>
      </c>
      <c r="AT9">
        <v>3355</v>
      </c>
      <c r="AX9" t="str" cm="1">
        <f t="array" ref="AX9">IFERROR(VLOOKUP(DATA_FEBRERO_2026[[#This Row],[ASER_]],_xlfn._xlws.FILTER(PLANTILLA[[ASESOR]:[FECHA DE CESE]],PLANTILLA[FECHA]=_xlfn.CONCAT($M$3,"_",_xlfn.IFS($N$3="ENERO","1",$N$3="FEBRERO","2",$N$3="MARZO","3",$N$3="ABRIL","4",$N$3="MAYO","5",$N$3="JUNIO","6",$N$3="JULIO","7",$N$3="AGOSTO","8",$N$3="SETIEMBRE","9",$N$3="OCTUBRE","10",$N$3="NOVIEMBRE","11",$N$3="DICIEMBRE","12"))),8,0),"")</f>
        <v>S1</v>
      </c>
      <c r="AZ9" s="10">
        <f>VLOOKUP($M$3&amp;$N$3&amp;DITE_FEBRERO_2026[[#This Row],[SUPER]],TablaMeta[],5,0)</f>
        <v>543573</v>
      </c>
      <c r="BA9" s="10">
        <f>MAX(DITE_FEBRERO_2026[[#This Row],[SUPER]:[CARTERA]])</f>
        <v>518999.14</v>
      </c>
      <c r="BB9" s="16">
        <f>IFERROR(DITE_FEBRERO_2026[[#This Row],[RECUPERO SUPERVISOR]]/DITE_FEBRERO_2026[[#This Row],[META SUPER]],"")</f>
        <v>0.95479197826234929</v>
      </c>
      <c r="BC9" s="10" t="s">
        <v>3</v>
      </c>
      <c r="BD9" s="46">
        <v>420</v>
      </c>
      <c r="BE9" s="46">
        <v>8334</v>
      </c>
      <c r="BF9" s="46">
        <v>13801</v>
      </c>
      <c r="BG9" s="46">
        <v>26839</v>
      </c>
      <c r="BH9" s="46">
        <v>36174</v>
      </c>
      <c r="BI9" s="46">
        <v>86674</v>
      </c>
      <c r="BJ9" s="46">
        <v>89254</v>
      </c>
      <c r="BK9" s="46">
        <v>89254</v>
      </c>
      <c r="BL9" s="46">
        <v>100001</v>
      </c>
      <c r="BM9" s="46">
        <v>113269</v>
      </c>
      <c r="BN9" s="46">
        <v>145394</v>
      </c>
      <c r="BO9" s="46">
        <v>157449</v>
      </c>
      <c r="BP9" s="46">
        <v>171249</v>
      </c>
      <c r="BQ9" s="46">
        <v>171973</v>
      </c>
      <c r="BR9" s="46">
        <v>173687</v>
      </c>
      <c r="BS9" s="46">
        <v>195208.5</v>
      </c>
      <c r="BT9" s="46">
        <v>201408.5</v>
      </c>
      <c r="BU9" s="46">
        <v>257086.5</v>
      </c>
      <c r="BV9" s="46">
        <v>276512.5</v>
      </c>
      <c r="BW9" s="46">
        <v>295812.5</v>
      </c>
      <c r="BX9" s="46">
        <v>296730.5</v>
      </c>
      <c r="BY9" s="46">
        <v>296730.5</v>
      </c>
      <c r="BZ9" s="46">
        <v>315790.5</v>
      </c>
      <c r="CA9" s="46">
        <v>369160.5</v>
      </c>
      <c r="CB9" s="46">
        <v>391710.5</v>
      </c>
      <c r="CC9" s="46">
        <v>435006.14</v>
      </c>
      <c r="CD9" s="46">
        <v>488248.14</v>
      </c>
      <c r="CE9" s="46">
        <v>518999.14</v>
      </c>
      <c r="CF9" s="46">
        <v>518999.14</v>
      </c>
      <c r="CG9" s="46">
        <v>518999.14</v>
      </c>
      <c r="CH9" s="46">
        <v>518999.14</v>
      </c>
      <c r="CI9" s="10" t="str">
        <f>VLOOKUP($M$3&amp;$N$3&amp;DITE_FEBRERO_2026[[#This Row],[SUPER]],TablaMeta[],7,0)</f>
        <v>S1</v>
      </c>
      <c r="CK9" t="s">
        <v>3</v>
      </c>
      <c r="CL9" t="s">
        <v>3</v>
      </c>
      <c r="CM9" t="s">
        <v>3</v>
      </c>
      <c r="CN9" t="s">
        <v>3</v>
      </c>
      <c r="CO9" t="s">
        <v>3</v>
      </c>
      <c r="CQ9" t="s">
        <v>636</v>
      </c>
      <c r="CR9" t="s">
        <v>124</v>
      </c>
      <c r="CS9" t="s">
        <v>58</v>
      </c>
      <c r="CT9">
        <v>46078</v>
      </c>
      <c r="CU9">
        <v>1</v>
      </c>
      <c r="CV9">
        <v>1</v>
      </c>
      <c r="CX9">
        <v>1</v>
      </c>
      <c r="CZ9">
        <v>1.7361111111111112E-4</v>
      </c>
      <c r="DA9">
        <v>1.7361111111111112E-4</v>
      </c>
      <c r="DB9">
        <v>0.15136574074074075</v>
      </c>
      <c r="DC9">
        <v>0.1985763888888889</v>
      </c>
      <c r="DD9">
        <v>102</v>
      </c>
      <c r="DE9">
        <v>220</v>
      </c>
      <c r="DF9">
        <v>32</v>
      </c>
      <c r="DG9">
        <v>1.84375</v>
      </c>
      <c r="DH9">
        <v>22495</v>
      </c>
      <c r="DI9">
        <v>0.31369999999999998</v>
      </c>
      <c r="DJ9">
        <v>2</v>
      </c>
      <c r="DK9">
        <v>6.25E-2</v>
      </c>
      <c r="DL9">
        <v>5400</v>
      </c>
      <c r="DM9">
        <v>2700</v>
      </c>
      <c r="DN9">
        <v>5400</v>
      </c>
      <c r="DO9">
        <v>1</v>
      </c>
      <c r="DP9">
        <v>0.152</v>
      </c>
      <c r="DQ9">
        <v>100</v>
      </c>
      <c r="DR9">
        <v>2700</v>
      </c>
    </row>
    <row r="10" spans="1:122" x14ac:dyDescent="0.25">
      <c r="A10" s="35" t="str">
        <f>D1_FEBRERO_2026[[#This Row],[SUPER2]]</f>
        <v>JOHAN</v>
      </c>
      <c r="B10" s="34" t="str" cm="1">
        <f t="array" ref="B10">TRIM(IFERROR(_xlfn.IFS(D1_FEBRERO_2026[[#This Row],[ASESOR]]="ELVIS GUERRA","ELVIS GUERRERA",D1_FEBRERO_2026[[#This Row],[ASESOR]]="GENESIS VICUÑA","GENESIS VICUNA",D1_FEBRERO_2026[[#This Row],[ASESOR]]="GINA HUMANI","GINA HUAMANI"),D1_FEBRERO_2026[[#This Row],[ASESOR]]))</f>
        <v>ALEJANDRO GONZALES</v>
      </c>
      <c r="C1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0" s="35">
        <f>IF(D1_FEBRERO_2026[[#This Row],[RECUPERO]]="VACACIONES","VACACIONES",IFERROR(D1_FEBRERO_2026[[#This Row],[RECUPERO]]/D1_FEBRERO_2026[[#This Row],[META]],""))</f>
        <v>0.4148</v>
      </c>
      <c r="E10" s="35" t="s">
        <v>125</v>
      </c>
      <c r="F10" s="34" t="s">
        <v>109</v>
      </c>
      <c r="G10" s="36">
        <v>20740</v>
      </c>
      <c r="H10" s="34" t="s">
        <v>422</v>
      </c>
      <c r="I10" s="60">
        <v>46024</v>
      </c>
      <c r="J10" s="60" t="s">
        <v>501</v>
      </c>
      <c r="K10" s="60"/>
      <c r="L10" s="55"/>
      <c r="M10" s="5">
        <f>DATA_FEBRERO_2026[[#This Row],[RECUPERO]]/DATA_FEBRERO_2026[[#This Row],[META]]</f>
        <v>1.9406382978723404</v>
      </c>
      <c r="N10" s="5">
        <f>6-ROUNDUP(_xlfn.RANK.EQ(DATA_FEBRERO_2026[[#This Row],[AL_AC]],DATA_FEBRERO_2026[AL_AC],0)/(COUNTA(DATA_FEBRERO_2026[AL_AC])/5),0)</f>
        <v>5</v>
      </c>
      <c r="O10" s="54" t="str">
        <f>IFERROR(VLOOKUP(DATA_FEBRERO_2026[[#This Row],[ASER_]],$B:$G,4,0),"")</f>
        <v>GUSTAVO</v>
      </c>
      <c r="P10" s="6">
        <f>SUM(DATA_FEBRERO_2026[[#This Row],[1]:[31]])</f>
        <v>45605</v>
      </c>
      <c r="Q10" s="6">
        <f>VLOOKUP(DATA_FEBRERO_2026[[#This Row],[ASER_]],D1_FEBRERO_2026[[ASESOR_CRR]:[META]],2,0)</f>
        <v>23500</v>
      </c>
      <c r="R10" t="s">
        <v>58</v>
      </c>
      <c r="V10">
        <v>280</v>
      </c>
      <c r="W10">
        <v>11100</v>
      </c>
      <c r="X10">
        <v>205</v>
      </c>
      <c r="AB10">
        <v>7000</v>
      </c>
      <c r="AD10">
        <v>1500</v>
      </c>
      <c r="AG10">
        <v>600</v>
      </c>
      <c r="AI10">
        <v>238</v>
      </c>
      <c r="AJ10">
        <v>250</v>
      </c>
      <c r="AK10">
        <v>230</v>
      </c>
      <c r="AL10">
        <v>500</v>
      </c>
      <c r="AO10">
        <v>1500</v>
      </c>
      <c r="AP10">
        <v>1000</v>
      </c>
      <c r="AQ10">
        <v>6590</v>
      </c>
      <c r="AR10">
        <v>9552</v>
      </c>
      <c r="AS10">
        <v>4010</v>
      </c>
      <c r="AT10">
        <v>1050</v>
      </c>
      <c r="AX10" t="str" cm="1">
        <f t="array" ref="AX10">IFERROR(VLOOKUP(DATA_FEBRERO_2026[[#This Row],[ASER_]],_xlfn._xlws.FILTER(PLANTILLA[[ASESOR]:[FECHA DE CESE]],PLANTILLA[FECHA]=_xlfn.CONCAT($M$3,"_",_xlfn.IFS($N$3="ENERO","1",$N$3="FEBRERO","2",$N$3="MARZO","3",$N$3="ABRIL","4",$N$3="MAYO","5",$N$3="JUNIO","6",$N$3="JULIO","7",$N$3="AGOSTO","8",$N$3="SETIEMBRE","9",$N$3="OCTUBRE","10",$N$3="NOVIEMBRE","11",$N$3="DICIEMBRE","12"))),8,0),"")</f>
        <v>S2-3-4</v>
      </c>
      <c r="AZ10" s="11">
        <f>VLOOKUP($M$3&amp;$N$3&amp;DITE_FEBRERO_2026[[#This Row],[SUPER]],TablaMeta[],5,0)</f>
        <v>540042</v>
      </c>
      <c r="BA10" s="11">
        <f>MAX(DITE_FEBRERO_2026[[#This Row],[SUPER]:[CARTERA]])</f>
        <v>705961.59000000008</v>
      </c>
      <c r="BB10" s="17">
        <f>IFERROR(DITE_FEBRERO_2026[[#This Row],[RECUPERO SUPERVISOR]]/DITE_FEBRERO_2026[[#This Row],[META SUPER]],"")</f>
        <v>1.3072346039752465</v>
      </c>
      <c r="BC10" s="11" t="s">
        <v>6</v>
      </c>
      <c r="BD10" s="46">
        <v>0</v>
      </c>
      <c r="BE10" s="46">
        <v>1259</v>
      </c>
      <c r="BF10" s="46">
        <v>23151</v>
      </c>
      <c r="BG10" s="46">
        <v>35646.089999999997</v>
      </c>
      <c r="BH10" s="46">
        <v>61512.069999999992</v>
      </c>
      <c r="BI10" s="46">
        <v>73253.069999999992</v>
      </c>
      <c r="BJ10" s="46">
        <v>73819.569999999992</v>
      </c>
      <c r="BK10" s="46">
        <v>73819.569999999992</v>
      </c>
      <c r="BL10" s="46">
        <v>115090.56999999999</v>
      </c>
      <c r="BM10" s="46">
        <v>168515.57</v>
      </c>
      <c r="BN10" s="46">
        <v>207627.57</v>
      </c>
      <c r="BO10" s="46">
        <v>236306.57</v>
      </c>
      <c r="BP10" s="46">
        <v>248604.57</v>
      </c>
      <c r="BQ10" s="46">
        <v>260753.07</v>
      </c>
      <c r="BR10" s="46">
        <v>260753.07</v>
      </c>
      <c r="BS10" s="46">
        <v>319309.07</v>
      </c>
      <c r="BT10" s="46">
        <v>344890.07</v>
      </c>
      <c r="BU10" s="46">
        <v>390048.07</v>
      </c>
      <c r="BV10" s="46">
        <v>422674.07</v>
      </c>
      <c r="BW10" s="46">
        <v>466543.59</v>
      </c>
      <c r="BX10" s="46">
        <v>471623.59</v>
      </c>
      <c r="BY10" s="46">
        <v>471623.59</v>
      </c>
      <c r="BZ10" s="46">
        <v>496883.59</v>
      </c>
      <c r="CA10" s="46">
        <v>516553.59</v>
      </c>
      <c r="CB10" s="46">
        <v>547814.09000000008</v>
      </c>
      <c r="CC10" s="46">
        <v>574606.09000000008</v>
      </c>
      <c r="CD10" s="46">
        <v>668474.09000000008</v>
      </c>
      <c r="CE10" s="46">
        <v>705961.59000000008</v>
      </c>
      <c r="CF10" s="46">
        <v>705961.59000000008</v>
      </c>
      <c r="CG10" s="46">
        <v>705961.59000000008</v>
      </c>
      <c r="CH10" s="46">
        <v>705961.59000000008</v>
      </c>
      <c r="CI10" s="11" t="str">
        <f>VLOOKUP($M$3&amp;$N$3&amp;DITE_FEBRERO_2026[[#This Row],[SUPER]],TablaMeta[],7,0)</f>
        <v>S0</v>
      </c>
      <c r="CK10" t="s">
        <v>6</v>
      </c>
      <c r="CL10" t="s">
        <v>6</v>
      </c>
      <c r="CM10" t="s">
        <v>6</v>
      </c>
      <c r="CN10" t="s">
        <v>6</v>
      </c>
      <c r="CO10" t="s">
        <v>6</v>
      </c>
      <c r="CQ10" t="s">
        <v>636</v>
      </c>
      <c r="CR10" t="s">
        <v>124</v>
      </c>
      <c r="CS10" t="s">
        <v>495</v>
      </c>
      <c r="CT10">
        <v>46056</v>
      </c>
      <c r="CU10">
        <v>1</v>
      </c>
      <c r="CV10">
        <v>1</v>
      </c>
      <c r="CX10">
        <v>1</v>
      </c>
      <c r="CZ10">
        <v>0</v>
      </c>
      <c r="DA10">
        <v>0</v>
      </c>
      <c r="DB10">
        <v>5.8043981481481481E-2</v>
      </c>
      <c r="DC10">
        <v>5.5810185185185185E-2</v>
      </c>
      <c r="DD10">
        <v>117</v>
      </c>
      <c r="DE10">
        <v>237</v>
      </c>
      <c r="DF10">
        <v>27</v>
      </c>
      <c r="DG10" t="s">
        <v>676</v>
      </c>
      <c r="DH10">
        <v>9635</v>
      </c>
      <c r="DI10">
        <v>0.23080000000000001</v>
      </c>
      <c r="DJ10">
        <v>2</v>
      </c>
      <c r="DK10">
        <v>7.4099999999999999E-2</v>
      </c>
      <c r="DL10">
        <v>900</v>
      </c>
      <c r="DM10">
        <v>450</v>
      </c>
      <c r="DN10">
        <v>900</v>
      </c>
      <c r="DO10">
        <v>1</v>
      </c>
      <c r="DP10">
        <v>0.35539999999999999</v>
      </c>
      <c r="DQ10">
        <v>100</v>
      </c>
      <c r="DR10">
        <v>450</v>
      </c>
    </row>
    <row r="11" spans="1:122" x14ac:dyDescent="0.25">
      <c r="A11" s="35" t="str">
        <f>D1_FEBRERO_2026[[#This Row],[SUPER2]]</f>
        <v>JOHAN</v>
      </c>
      <c r="B11" s="34" t="str" cm="1">
        <f t="array" ref="B11">TRIM(IFERROR(_xlfn.IFS(D1_FEBRERO_2026[[#This Row],[ASESOR]]="ELVIS GUERRA","ELVIS GUERRERA",D1_FEBRERO_2026[[#This Row],[ASESOR]]="GENESIS VICUÑA","GENESIS VICUNA",D1_FEBRERO_2026[[#This Row],[ASESOR]]="GINA HUMANI","GINA HUAMANI"),D1_FEBRERO_2026[[#This Row],[ASESOR]]))</f>
        <v>ANALUCIA PONCE</v>
      </c>
      <c r="C1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1" s="35">
        <f>IF(D1_FEBRERO_2026[[#This Row],[RECUPERO]]="VACACIONES","VACACIONES",IFERROR(D1_FEBRERO_2026[[#This Row],[RECUPERO]]/D1_FEBRERO_2026[[#This Row],[META]],""))</f>
        <v>1.5776600000000001</v>
      </c>
      <c r="E11" s="35" t="s">
        <v>125</v>
      </c>
      <c r="F11" s="34" t="s">
        <v>60</v>
      </c>
      <c r="G11" s="36">
        <v>78883</v>
      </c>
      <c r="H11" s="34" t="s">
        <v>423</v>
      </c>
      <c r="I11" s="60">
        <v>45854</v>
      </c>
      <c r="J11" s="60" t="s">
        <v>501</v>
      </c>
      <c r="K11" s="60"/>
      <c r="L11" s="55"/>
      <c r="M11" s="5">
        <f>DATA_FEBRERO_2026[[#This Row],[RECUPERO]]/DATA_FEBRERO_2026[[#This Row],[META]]</f>
        <v>0.4148</v>
      </c>
      <c r="N11" s="5">
        <f>6-ROUNDUP(_xlfn.RANK.EQ(DATA_FEBRERO_2026[[#This Row],[AL_AC]],DATA_FEBRERO_2026[AL_AC],0)/(COUNTA(DATA_FEBRERO_2026[AL_AC])/5),0)</f>
        <v>1</v>
      </c>
      <c r="O11" s="54" t="str">
        <f>IFERROR(VLOOKUP(DATA_FEBRERO_2026[[#This Row],[ASER_]],$B:$G,4,0),"")</f>
        <v>JOHAN</v>
      </c>
      <c r="P11" s="6">
        <f>SUM(DATA_FEBRERO_2026[[#This Row],[1]:[31]])</f>
        <v>20740</v>
      </c>
      <c r="Q11" s="6">
        <f>VLOOKUP(DATA_FEBRERO_2026[[#This Row],[ASER_]],D1_FEBRERO_2026[[ASESOR_CRR]:[META]],2,0)</f>
        <v>50000</v>
      </c>
      <c r="R11" t="s">
        <v>109</v>
      </c>
      <c r="W11">
        <v>1000</v>
      </c>
      <c r="X11">
        <v>4000</v>
      </c>
      <c r="AE11">
        <v>1300</v>
      </c>
      <c r="AH11">
        <v>220</v>
      </c>
      <c r="AI11">
        <v>400</v>
      </c>
      <c r="AJ11">
        <v>1000</v>
      </c>
      <c r="AO11">
        <v>4340</v>
      </c>
      <c r="AQ11">
        <v>230</v>
      </c>
      <c r="AR11">
        <v>4300</v>
      </c>
      <c r="AS11">
        <v>3950</v>
      </c>
      <c r="AX11" t="str" cm="1">
        <f t="array" ref="AX11">IFERROR(VLOOKUP(DATA_FEBRERO_2026[[#This Row],[ASER_]],_xlfn._xlws.FILTER(PLANTILLA[[ASESOR]:[FECHA DE CESE]],PLANTILLA[FECHA]=_xlfn.CONCAT($M$3,"_",_xlfn.IFS($N$3="ENERO","1",$N$3="FEBRERO","2",$N$3="MARZO","3",$N$3="ABRIL","4",$N$3="MAYO","5",$N$3="JUNIO","6",$N$3="JULIO","7",$N$3="AGOSTO","8",$N$3="SETIEMBRE","9",$N$3="OCTUBRE","10",$N$3="NOVIEMBRE","11",$N$3="DICIEMBRE","12"))),8,0),"")</f>
        <v>S1</v>
      </c>
      <c r="AZ11" s="10">
        <f>VLOOKUP($M$3&amp;$N$3&amp;DITE_FEBRERO_2026[[#This Row],[SUPER]],TablaMeta[],5,0)</f>
        <v>194963</v>
      </c>
      <c r="BA11" s="10">
        <f>MAX(DITE_FEBRERO_2026[[#This Row],[SUPER]:[CARTERA]])</f>
        <v>259027.9</v>
      </c>
      <c r="BB11" s="16">
        <f>IFERROR(DITE_FEBRERO_2026[[#This Row],[RECUPERO SUPERVISOR]]/DITE_FEBRERO_2026[[#This Row],[META SUPER]],"")</f>
        <v>1.3286002985181804</v>
      </c>
      <c r="BC11" s="10" t="s">
        <v>2</v>
      </c>
      <c r="BD11" s="46">
        <v>0</v>
      </c>
      <c r="BE11" s="46">
        <v>7203.4</v>
      </c>
      <c r="BF11" s="46">
        <v>12543.4</v>
      </c>
      <c r="BG11" s="46">
        <v>14223.4</v>
      </c>
      <c r="BH11" s="46">
        <v>23573.4</v>
      </c>
      <c r="BI11" s="46">
        <v>56773.4</v>
      </c>
      <c r="BJ11" s="46">
        <v>56773.4</v>
      </c>
      <c r="BK11" s="46">
        <v>56773.4</v>
      </c>
      <c r="BL11" s="46">
        <v>66823.399999999994</v>
      </c>
      <c r="BM11" s="46">
        <v>67823.399999999994</v>
      </c>
      <c r="BN11" s="46">
        <v>71843.399999999994</v>
      </c>
      <c r="BO11" s="46">
        <v>77763.399999999994</v>
      </c>
      <c r="BP11" s="46">
        <v>112013.4</v>
      </c>
      <c r="BQ11" s="46">
        <v>113288.9</v>
      </c>
      <c r="BR11" s="46">
        <v>113388.9</v>
      </c>
      <c r="BS11" s="46">
        <v>127316.4</v>
      </c>
      <c r="BT11" s="46">
        <v>141316.4</v>
      </c>
      <c r="BU11" s="46">
        <v>143580.4</v>
      </c>
      <c r="BV11" s="46">
        <v>145690.4</v>
      </c>
      <c r="BW11" s="46">
        <v>154392.4</v>
      </c>
      <c r="BX11" s="46">
        <v>154392.4</v>
      </c>
      <c r="BY11" s="46">
        <v>154392.4</v>
      </c>
      <c r="BZ11" s="46">
        <v>157752.4</v>
      </c>
      <c r="CA11" s="46">
        <v>177422.4</v>
      </c>
      <c r="CB11" s="46">
        <v>191922.4</v>
      </c>
      <c r="CC11" s="46">
        <v>215828.4</v>
      </c>
      <c r="CD11" s="46">
        <v>247815.4</v>
      </c>
      <c r="CE11" s="46">
        <v>259027.9</v>
      </c>
      <c r="CF11" s="46">
        <v>259027.9</v>
      </c>
      <c r="CG11" s="46">
        <v>259027.9</v>
      </c>
      <c r="CH11" s="46">
        <v>259027.9</v>
      </c>
      <c r="CI11" s="10" t="str">
        <f>VLOOKUP($M$3&amp;$N$3&amp;DITE_FEBRERO_2026[[#This Row],[SUPER]],TablaMeta[],7,0)</f>
        <v>S0</v>
      </c>
      <c r="CK11" t="s">
        <v>2</v>
      </c>
      <c r="CL11" t="s">
        <v>2</v>
      </c>
      <c r="CM11" t="s">
        <v>2</v>
      </c>
      <c r="CN11" t="s">
        <v>2</v>
      </c>
      <c r="CO11" t="s">
        <v>2</v>
      </c>
      <c r="CQ11" t="s">
        <v>636</v>
      </c>
      <c r="CR11" t="s">
        <v>124</v>
      </c>
      <c r="CS11" t="s">
        <v>51</v>
      </c>
      <c r="CT11">
        <v>46057</v>
      </c>
      <c r="CU11">
        <v>1</v>
      </c>
      <c r="CV11">
        <v>1</v>
      </c>
      <c r="CX11">
        <v>1</v>
      </c>
      <c r="CZ11">
        <v>0</v>
      </c>
      <c r="DA11">
        <v>0</v>
      </c>
      <c r="DB11">
        <v>4.5011574074074072E-2</v>
      </c>
      <c r="DC11">
        <v>1.5208333333333334E-2</v>
      </c>
      <c r="DD11">
        <v>122</v>
      </c>
      <c r="DE11">
        <v>183</v>
      </c>
      <c r="DF11">
        <v>15</v>
      </c>
      <c r="DG11">
        <v>1.6</v>
      </c>
      <c r="DH11">
        <v>7243</v>
      </c>
      <c r="DI11">
        <v>0.123</v>
      </c>
      <c r="DJ11">
        <v>1</v>
      </c>
      <c r="DK11">
        <v>6.6699999999999995E-2</v>
      </c>
      <c r="DL11">
        <v>6000</v>
      </c>
      <c r="DM11">
        <v>6000</v>
      </c>
      <c r="DN11">
        <v>6000</v>
      </c>
      <c r="DO11">
        <v>1</v>
      </c>
      <c r="DP11">
        <v>0.22550000000000001</v>
      </c>
      <c r="DQ11">
        <v>100</v>
      </c>
      <c r="DR11">
        <v>6000</v>
      </c>
    </row>
    <row r="12" spans="1:122" x14ac:dyDescent="0.25">
      <c r="A12" s="35" t="str">
        <f>D1_FEBRERO_2026[[#This Row],[SUPER2]]</f>
        <v>JORGE</v>
      </c>
      <c r="B12" s="34" t="str" cm="1">
        <f t="array" ref="B12">TRIM(IFERROR(_xlfn.IFS(D1_FEBRERO_2026[[#This Row],[ASESOR]]="ELVIS GUERRA","ELVIS GUERRERA",D1_FEBRERO_2026[[#This Row],[ASESOR]]="GENESIS VICUÑA","GENESIS VICUNA",D1_FEBRERO_2026[[#This Row],[ASESOR]]="GINA HUMANI","GINA HUAMANI"),D1_FEBRERO_2026[[#This Row],[ASESOR]]))</f>
        <v>ANDERSON RODRIGUEZ</v>
      </c>
      <c r="C1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12" s="35">
        <f>IF(D1_FEBRERO_2026[[#This Row],[RECUPERO]]="VACACIONES","VACACIONES",IFERROR(D1_FEBRERO_2026[[#This Row],[RECUPERO]]/D1_FEBRERO_2026[[#This Row],[META]],""))</f>
        <v>0.71235714285714291</v>
      </c>
      <c r="E12" s="35" t="s">
        <v>2</v>
      </c>
      <c r="F12" s="34" t="s">
        <v>15</v>
      </c>
      <c r="G12" s="36">
        <v>19946</v>
      </c>
      <c r="H12" s="34" t="s">
        <v>410</v>
      </c>
      <c r="I12" s="60">
        <v>44733</v>
      </c>
      <c r="J12" s="60" t="s">
        <v>501</v>
      </c>
      <c r="K12" s="60"/>
      <c r="L12" s="55"/>
      <c r="M12" s="5">
        <f>DATA_FEBRERO_2026[[#This Row],[RECUPERO]]/DATA_FEBRERO_2026[[#This Row],[META]]</f>
        <v>1.5776600000000001</v>
      </c>
      <c r="N12" s="5">
        <f>6-ROUNDUP(_xlfn.RANK.EQ(DATA_FEBRERO_2026[[#This Row],[AL_AC]],DATA_FEBRERO_2026[AL_AC],0)/(COUNTA(DATA_FEBRERO_2026[AL_AC])/5),0)</f>
        <v>5</v>
      </c>
      <c r="O12" s="54" t="str">
        <f>IFERROR(VLOOKUP(DATA_FEBRERO_2026[[#This Row],[ASER_]],$B:$G,4,0),"")</f>
        <v>JOHAN</v>
      </c>
      <c r="P12" s="6">
        <f>SUM(DATA_FEBRERO_2026[[#This Row],[1]:[31]])</f>
        <v>78883</v>
      </c>
      <c r="Q12" s="6">
        <f>VLOOKUP(DATA_FEBRERO_2026[[#This Row],[ASER_]],D1_FEBRERO_2026[[ASESOR_CRR]:[META]],2,0)</f>
        <v>50000</v>
      </c>
      <c r="R12" t="s">
        <v>60</v>
      </c>
      <c r="V12">
        <v>5000</v>
      </c>
      <c r="W12">
        <v>12000</v>
      </c>
      <c r="X12">
        <v>6300</v>
      </c>
      <c r="AA12">
        <v>5700</v>
      </c>
      <c r="AB12">
        <v>392</v>
      </c>
      <c r="AC12">
        <v>200</v>
      </c>
      <c r="AD12">
        <v>3000</v>
      </c>
      <c r="AE12">
        <v>15000</v>
      </c>
      <c r="AI12">
        <v>7600</v>
      </c>
      <c r="AJ12">
        <v>7000</v>
      </c>
      <c r="AK12">
        <v>2356</v>
      </c>
      <c r="AL12">
        <v>1062</v>
      </c>
      <c r="AP12">
        <v>4000</v>
      </c>
      <c r="AR12">
        <v>3200</v>
      </c>
      <c r="AS12">
        <v>3373</v>
      </c>
      <c r="AT12">
        <v>2700</v>
      </c>
      <c r="AX12" t="str" cm="1">
        <f t="array" ref="AX12">IFERROR(VLOOKUP(DATA_FEBRERO_2026[[#This Row],[ASER_]],_xlfn._xlws.FILTER(PLANTILLA[[ASESOR]:[FECHA DE CESE]],PLANTILLA[FECHA]=_xlfn.CONCAT($M$3,"_",_xlfn.IFS($N$3="ENERO","1",$N$3="FEBRERO","2",$N$3="MARZO","3",$N$3="ABRIL","4",$N$3="MAYO","5",$N$3="JUNIO","6",$N$3="JULIO","7",$N$3="AGOSTO","8",$N$3="SETIEMBRE","9",$N$3="OCTUBRE","10",$N$3="NOVIEMBRE","11",$N$3="DICIEMBRE","12"))),8,0),"")</f>
        <v>S1</v>
      </c>
      <c r="AZ12" s="11">
        <f>VLOOKUP($M$3&amp;$N$3&amp;DITE_FEBRERO_2026[[#This Row],[SUPER]],TablaMeta[],5,0)</f>
        <v>543573</v>
      </c>
      <c r="BA12" s="11">
        <f>MAX(DITE_FEBRERO_2026[[#This Row],[SUPER]:[CARTERA]])</f>
        <v>563693</v>
      </c>
      <c r="BB12" s="17">
        <f>IFERROR(DITE_FEBRERO_2026[[#This Row],[RECUPERO SUPERVISOR]]/DITE_FEBRERO_2026[[#This Row],[META SUPER]],"")</f>
        <v>1.0370143476589162</v>
      </c>
      <c r="BC12" s="11" t="s">
        <v>125</v>
      </c>
      <c r="BD12" s="46">
        <v>1760</v>
      </c>
      <c r="BE12" s="46">
        <v>6198</v>
      </c>
      <c r="BF12" s="46">
        <v>27728</v>
      </c>
      <c r="BG12" s="46">
        <v>63728</v>
      </c>
      <c r="BH12" s="46">
        <v>84658</v>
      </c>
      <c r="BI12" s="46">
        <v>136808</v>
      </c>
      <c r="BJ12" s="46">
        <v>136808</v>
      </c>
      <c r="BK12" s="46">
        <v>136808</v>
      </c>
      <c r="BL12" s="46">
        <v>187848</v>
      </c>
      <c r="BM12" s="46">
        <v>198590</v>
      </c>
      <c r="BN12" s="46">
        <v>245790</v>
      </c>
      <c r="BO12" s="46">
        <v>262440</v>
      </c>
      <c r="BP12" s="46">
        <v>291340</v>
      </c>
      <c r="BQ12" s="46">
        <v>291340</v>
      </c>
      <c r="BR12" s="46">
        <v>291340</v>
      </c>
      <c r="BS12" s="46">
        <v>323210</v>
      </c>
      <c r="BT12" s="46">
        <v>335255</v>
      </c>
      <c r="BU12" s="46">
        <v>360455</v>
      </c>
      <c r="BV12" s="46">
        <v>369291</v>
      </c>
      <c r="BW12" s="46">
        <v>385653</v>
      </c>
      <c r="BX12" s="46">
        <v>385872</v>
      </c>
      <c r="BY12" s="46">
        <v>385872</v>
      </c>
      <c r="BZ12" s="46">
        <v>398812</v>
      </c>
      <c r="CA12" s="46">
        <v>429140</v>
      </c>
      <c r="CB12" s="46">
        <v>433120</v>
      </c>
      <c r="CC12" s="46">
        <v>481011</v>
      </c>
      <c r="CD12" s="46">
        <v>543046</v>
      </c>
      <c r="CE12" s="46">
        <v>563693</v>
      </c>
      <c r="CF12" s="46">
        <v>563693</v>
      </c>
      <c r="CG12" s="46">
        <v>563693</v>
      </c>
      <c r="CH12" s="46">
        <v>563693</v>
      </c>
      <c r="CI12" s="11" t="str">
        <f>VLOOKUP($M$3&amp;$N$3&amp;DITE_FEBRERO_2026[[#This Row],[SUPER]],TablaMeta[],7,0)</f>
        <v>S1</v>
      </c>
      <c r="CK12" t="s">
        <v>125</v>
      </c>
      <c r="CL12" t="s">
        <v>4</v>
      </c>
      <c r="CM12" t="s">
        <v>4</v>
      </c>
      <c r="CN12" t="s">
        <v>4</v>
      </c>
      <c r="CO12" t="s">
        <v>125</v>
      </c>
      <c r="CQ12" t="s">
        <v>636</v>
      </c>
      <c r="CR12" t="s">
        <v>124</v>
      </c>
      <c r="CS12" t="s">
        <v>51</v>
      </c>
      <c r="CT12">
        <v>46062</v>
      </c>
      <c r="CU12">
        <v>1</v>
      </c>
      <c r="CV12">
        <v>1</v>
      </c>
      <c r="CX12">
        <v>1</v>
      </c>
      <c r="CZ12">
        <v>1.1574074074074073E-5</v>
      </c>
      <c r="DA12">
        <v>1.1574074074074073E-5</v>
      </c>
      <c r="DB12">
        <v>1.9201388888888889E-2</v>
      </c>
      <c r="DC12">
        <v>1.1620370370370371E-2</v>
      </c>
      <c r="DD12">
        <v>61</v>
      </c>
      <c r="DE12">
        <v>139</v>
      </c>
      <c r="DF12">
        <v>10</v>
      </c>
      <c r="DG12">
        <v>1.8</v>
      </c>
      <c r="DH12">
        <v>33209</v>
      </c>
      <c r="DI12">
        <v>0.16389999999999999</v>
      </c>
      <c r="DJ12">
        <v>2</v>
      </c>
      <c r="DK12">
        <v>0.2</v>
      </c>
      <c r="DL12">
        <v>6100</v>
      </c>
      <c r="DM12">
        <v>3050</v>
      </c>
      <c r="DN12">
        <v>6100</v>
      </c>
      <c r="DO12">
        <v>1</v>
      </c>
      <c r="DP12">
        <v>0.1633</v>
      </c>
      <c r="DQ12">
        <v>100</v>
      </c>
      <c r="DR12">
        <v>3050</v>
      </c>
    </row>
    <row r="13" spans="1:122" x14ac:dyDescent="0.25">
      <c r="A13" s="35" t="str">
        <f>D1_FEBRERO_2026[[#This Row],[SUPER2]]</f>
        <v>JOHAN</v>
      </c>
      <c r="B13" s="34" t="str" cm="1">
        <f t="array" ref="B13">TRIM(IFERROR(_xlfn.IFS(D1_FEBRERO_2026[[#This Row],[ASESOR]]="ELVIS GUERRA","ELVIS GUERRERA",D1_FEBRERO_2026[[#This Row],[ASESOR]]="GENESIS VICUÑA","GENESIS VICUNA",D1_FEBRERO_2026[[#This Row],[ASESOR]]="GINA HUMANI","GINA HUAMANI"),D1_FEBRERO_2026[[#This Row],[ASESOR]]))</f>
        <v>ANTHONY VICENTE</v>
      </c>
      <c r="C1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3" s="35">
        <f>IF(D1_FEBRERO_2026[[#This Row],[RECUPERO]]="VACACIONES","VACACIONES",IFERROR(D1_FEBRERO_2026[[#This Row],[RECUPERO]]/D1_FEBRERO_2026[[#This Row],[META]],""))</f>
        <v>0.65459999999999996</v>
      </c>
      <c r="E13" s="35" t="s">
        <v>125</v>
      </c>
      <c r="F13" s="34" t="s">
        <v>85</v>
      </c>
      <c r="G13" s="36">
        <v>32730</v>
      </c>
      <c r="H13" s="34" t="s">
        <v>380</v>
      </c>
      <c r="I13" s="60">
        <v>46055</v>
      </c>
      <c r="J13" s="60" t="s">
        <v>501</v>
      </c>
      <c r="K13" s="60"/>
      <c r="L13" s="55"/>
      <c r="M13" s="5">
        <f>DATA_FEBRERO_2026[[#This Row],[RECUPERO]]/DATA_FEBRERO_2026[[#This Row],[META]]</f>
        <v>0.71235714285714291</v>
      </c>
      <c r="N13" s="5">
        <f>6-ROUNDUP(_xlfn.RANK.EQ(DATA_FEBRERO_2026[[#This Row],[AL_AC]],DATA_FEBRERO_2026[AL_AC],0)/(COUNTA(DATA_FEBRERO_2026[AL_AC])/5),0)</f>
        <v>2</v>
      </c>
      <c r="O13" s="54" t="str">
        <f>IFERROR(VLOOKUP(DATA_FEBRERO_2026[[#This Row],[ASER_]],$B:$G,4,0),"")</f>
        <v>JORGE</v>
      </c>
      <c r="P13" s="6">
        <f>SUM(DATA_FEBRERO_2026[[#This Row],[1]:[31]])</f>
        <v>19946</v>
      </c>
      <c r="Q13" s="6">
        <f>VLOOKUP(DATA_FEBRERO_2026[[#This Row],[ASER_]],D1_FEBRERO_2026[[ASESOR_CRR]:[META]],2,0)</f>
        <v>28000</v>
      </c>
      <c r="R13" t="s">
        <v>15</v>
      </c>
      <c r="AC13">
        <v>360</v>
      </c>
      <c r="AD13">
        <v>4000</v>
      </c>
      <c r="AI13">
        <v>2300</v>
      </c>
      <c r="AL13">
        <v>1600</v>
      </c>
      <c r="AP13">
        <v>3500</v>
      </c>
      <c r="AR13">
        <v>3406</v>
      </c>
      <c r="AS13">
        <v>3500</v>
      </c>
      <c r="AT13">
        <v>1280</v>
      </c>
      <c r="AX13" t="str" cm="1">
        <f t="array" ref="AX13">IFERROR(VLOOKUP(DATA_FEBRERO_2026[[#This Row],[ASER_]],_xlfn._xlws.FILTER(PLANTILLA[[ASESOR]:[FECHA DE CESE]],PLANTILLA[FECHA]=_xlfn.CONCAT($M$3,"_",_xlfn.IFS($N$3="ENERO","1",$N$3="FEBRERO","2",$N$3="MARZO","3",$N$3="ABRIL","4",$N$3="MAYO","5",$N$3="JUNIO","6",$N$3="JULIO","7",$N$3="AGOSTO","8",$N$3="SETIEMBRE","9",$N$3="OCTUBRE","10",$N$3="NOVIEMBRE","11",$N$3="DICIEMBRE","12"))),8,0),"")</f>
        <v>S0</v>
      </c>
      <c r="AZ13" s="10">
        <f>VLOOKUP($M$3&amp;$N$3&amp;DITE_FEBRERO_2026[[#This Row],[SUPER]],TablaMeta[],5,0)</f>
        <v>294869</v>
      </c>
      <c r="BA13" s="10">
        <f>MAX(DITE_FEBRERO_2026[[#This Row],[SUPER]:[CARTERA]])</f>
        <v>282587.52000000002</v>
      </c>
      <c r="BB13" s="16">
        <f>IFERROR(DITE_FEBRERO_2026[[#This Row],[RECUPERO SUPERVISOR]]/DITE_FEBRERO_2026[[#This Row],[META SUPER]],"")</f>
        <v>0.95834936870271215</v>
      </c>
      <c r="BC13" s="10" t="s">
        <v>124</v>
      </c>
      <c r="BD13" s="46">
        <v>260</v>
      </c>
      <c r="BE13" s="46">
        <v>3478</v>
      </c>
      <c r="BF13" s="45">
        <v>4593</v>
      </c>
      <c r="BG13" s="46">
        <v>18051</v>
      </c>
      <c r="BH13" s="46">
        <v>33389</v>
      </c>
      <c r="BI13" s="46">
        <v>40864</v>
      </c>
      <c r="BJ13" s="46">
        <v>41114</v>
      </c>
      <c r="BK13" s="45">
        <v>41394</v>
      </c>
      <c r="BL13" s="46">
        <v>48369</v>
      </c>
      <c r="BM13" s="46">
        <v>66714</v>
      </c>
      <c r="BN13" s="46">
        <v>76611.520000000004</v>
      </c>
      <c r="BO13" s="45">
        <v>83696.52</v>
      </c>
      <c r="BP13" s="46">
        <v>112061.52</v>
      </c>
      <c r="BQ13" s="46">
        <v>115061.52</v>
      </c>
      <c r="BR13" s="46">
        <v>115661.52</v>
      </c>
      <c r="BS13" s="46">
        <v>125934.52</v>
      </c>
      <c r="BT13" s="46">
        <v>134260.52000000002</v>
      </c>
      <c r="BU13" s="46">
        <v>146176.52000000002</v>
      </c>
      <c r="BV13" s="46">
        <v>154406.52000000002</v>
      </c>
      <c r="BW13" s="46">
        <v>161006.52000000002</v>
      </c>
      <c r="BX13" s="46">
        <v>161301.52000000002</v>
      </c>
      <c r="BY13" s="46">
        <v>161301.52000000002</v>
      </c>
      <c r="BZ13" s="46">
        <v>177621.52000000002</v>
      </c>
      <c r="CA13" s="46">
        <v>181312.52000000002</v>
      </c>
      <c r="CB13" s="46">
        <v>215102.52000000002</v>
      </c>
      <c r="CC13" s="46">
        <v>250247.52000000002</v>
      </c>
      <c r="CD13" s="46">
        <v>270437.52</v>
      </c>
      <c r="CE13" s="46">
        <v>282587.52000000002</v>
      </c>
      <c r="CF13" s="46">
        <v>282587.52000000002</v>
      </c>
      <c r="CG13" s="46">
        <v>282587.52000000002</v>
      </c>
      <c r="CH13" s="46">
        <v>282587.52000000002</v>
      </c>
      <c r="CI13" s="10" t="str">
        <f>VLOOKUP($M$3&amp;$N$3&amp;DITE_FEBRERO_2026[[#This Row],[SUPER]],TablaMeta[],7,0)</f>
        <v>S2-3-4</v>
      </c>
      <c r="CK13" t="s">
        <v>124</v>
      </c>
      <c r="CL13" t="s">
        <v>5</v>
      </c>
      <c r="CM13" t="s">
        <v>7</v>
      </c>
      <c r="CN13" t="s">
        <v>125</v>
      </c>
      <c r="CO13" t="s">
        <v>124</v>
      </c>
      <c r="CQ13" t="s">
        <v>636</v>
      </c>
      <c r="CR13" t="s">
        <v>124</v>
      </c>
      <c r="CS13" t="s">
        <v>49</v>
      </c>
      <c r="CT13">
        <v>46077</v>
      </c>
      <c r="CU13">
        <v>1</v>
      </c>
      <c r="CV13">
        <v>1</v>
      </c>
      <c r="CX13">
        <v>1</v>
      </c>
      <c r="CZ13">
        <v>0</v>
      </c>
      <c r="DA13">
        <v>0</v>
      </c>
      <c r="DB13">
        <v>0.19800925925925925</v>
      </c>
      <c r="DC13">
        <v>0.12993055555555555</v>
      </c>
      <c r="DD13">
        <v>74</v>
      </c>
      <c r="DE13">
        <v>134</v>
      </c>
      <c r="DF13">
        <v>16</v>
      </c>
      <c r="DG13">
        <v>1.75</v>
      </c>
      <c r="DH13">
        <v>17444</v>
      </c>
      <c r="DI13">
        <v>0.2162</v>
      </c>
      <c r="DJ13">
        <v>1</v>
      </c>
      <c r="DK13">
        <v>6.25E-2</v>
      </c>
      <c r="DL13">
        <v>1100</v>
      </c>
      <c r="DM13">
        <v>1100</v>
      </c>
      <c r="DN13">
        <v>1100</v>
      </c>
      <c r="DO13">
        <v>1</v>
      </c>
      <c r="DP13">
        <v>0.11849999999999999</v>
      </c>
      <c r="DQ13">
        <v>100</v>
      </c>
      <c r="DR13">
        <v>1100</v>
      </c>
    </row>
    <row r="14" spans="1:122" x14ac:dyDescent="0.25">
      <c r="A14" s="35" t="str">
        <f>D1_FEBRERO_2026[[#This Row],[SUPER2]]</f>
        <v>GUSTAVO</v>
      </c>
      <c r="B14" s="34" t="str" cm="1">
        <f t="array" ref="B14">TRIM(IFERROR(_xlfn.IFS(D1_FEBRERO_2026[[#This Row],[ASESOR]]="ELVIS GUERRA","ELVIS GUERRERA",D1_FEBRERO_2026[[#This Row],[ASESOR]]="GENESIS VICUÑA","GENESIS VICUNA",D1_FEBRERO_2026[[#This Row],[ASESOR]]="GINA HUMANI","GINA HUAMANI"),D1_FEBRERO_2026[[#This Row],[ASESOR]]))</f>
        <v>CARLA VALENCIA</v>
      </c>
      <c r="C1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14" s="35">
        <f>IF(D1_FEBRERO_2026[[#This Row],[RECUPERO]]="VACACIONES","VACACIONES",IFERROR(D1_FEBRERO_2026[[#This Row],[RECUPERO]]/D1_FEBRERO_2026[[#This Row],[META]],""))</f>
        <v>1.6344255319148937</v>
      </c>
      <c r="E14" s="35" t="s">
        <v>124</v>
      </c>
      <c r="F14" s="34" t="s">
        <v>174</v>
      </c>
      <c r="G14" s="36">
        <v>38409</v>
      </c>
      <c r="H14" s="34" t="s">
        <v>492</v>
      </c>
      <c r="I14" s="60">
        <v>45992</v>
      </c>
      <c r="J14" s="60" t="s">
        <v>501</v>
      </c>
      <c r="K14" s="60"/>
      <c r="L14" s="55"/>
      <c r="M14" s="5">
        <f>DATA_FEBRERO_2026[[#This Row],[RECUPERO]]/DATA_FEBRERO_2026[[#This Row],[META]]</f>
        <v>0.65459999999999996</v>
      </c>
      <c r="N14" s="5">
        <f>6-ROUNDUP(_xlfn.RANK.EQ(DATA_FEBRERO_2026[[#This Row],[AL_AC]],DATA_FEBRERO_2026[AL_AC],0)/(COUNTA(DATA_FEBRERO_2026[AL_AC])/5),0)</f>
        <v>1</v>
      </c>
      <c r="O14" s="54" t="str">
        <f>IFERROR(VLOOKUP(DATA_FEBRERO_2026[[#This Row],[ASER_]],$B:$G,4,0),"")</f>
        <v>JOHAN</v>
      </c>
      <c r="P14" s="6">
        <f>SUM(DATA_FEBRERO_2026[[#This Row],[1]:[31]])</f>
        <v>32730</v>
      </c>
      <c r="Q14" s="6">
        <f>VLOOKUP(DATA_FEBRERO_2026[[#This Row],[ASER_]],D1_FEBRERO_2026[[ASESOR_CRR]:[META]],2,0)</f>
        <v>50000</v>
      </c>
      <c r="R14" t="s">
        <v>85</v>
      </c>
      <c r="U14">
        <v>1500</v>
      </c>
      <c r="AA14">
        <v>3500</v>
      </c>
      <c r="AC14">
        <v>2100</v>
      </c>
      <c r="AD14">
        <v>300</v>
      </c>
      <c r="AH14">
        <v>200</v>
      </c>
      <c r="AK14">
        <v>530</v>
      </c>
      <c r="AL14">
        <v>8700</v>
      </c>
      <c r="AP14">
        <v>9000</v>
      </c>
      <c r="AS14">
        <v>6900</v>
      </c>
      <c r="AX14" t="str" cm="1">
        <f t="array" ref="AX14">IFERROR(VLOOKUP(DATA_FEBRERO_2026[[#This Row],[ASER_]],_xlfn._xlws.FILTER(PLANTILLA[[ASESOR]:[FECHA DE CESE]],PLANTILLA[FECHA]=_xlfn.CONCAT($M$3,"_",_xlfn.IFS($N$3="ENERO","1",$N$3="FEBRERO","2",$N$3="MARZO","3",$N$3="ABRIL","4",$N$3="MAYO","5",$N$3="JUNIO","6",$N$3="JULIO","7",$N$3="AGOSTO","8",$N$3="SETIEMBRE","9",$N$3="OCTUBRE","10",$N$3="NOVIEMBRE","11",$N$3="DICIEMBRE","12"))),8,0),"")</f>
        <v>S1</v>
      </c>
      <c r="CQ14" t="s">
        <v>636</v>
      </c>
      <c r="CR14" t="s">
        <v>124</v>
      </c>
      <c r="CS14" t="s">
        <v>77</v>
      </c>
      <c r="CT14">
        <v>46073</v>
      </c>
      <c r="CU14">
        <v>1</v>
      </c>
      <c r="CV14">
        <v>1</v>
      </c>
      <c r="CX14">
        <v>1</v>
      </c>
      <c r="CZ14">
        <v>0</v>
      </c>
      <c r="DA14">
        <v>0</v>
      </c>
      <c r="DB14">
        <v>0.20508101851851851</v>
      </c>
      <c r="DC14">
        <v>0.10793981481481481</v>
      </c>
      <c r="DD14">
        <v>139</v>
      </c>
      <c r="DE14">
        <v>254</v>
      </c>
      <c r="DF14">
        <v>26</v>
      </c>
      <c r="DG14" t="s">
        <v>704</v>
      </c>
      <c r="DH14">
        <v>21114</v>
      </c>
      <c r="DI14">
        <v>0.18709999999999999</v>
      </c>
      <c r="DJ14">
        <v>3</v>
      </c>
      <c r="DK14">
        <v>0.1154</v>
      </c>
      <c r="DL14">
        <v>1180</v>
      </c>
      <c r="DM14">
        <v>393</v>
      </c>
      <c r="DQ14">
        <v>100</v>
      </c>
    </row>
    <row r="15" spans="1:122" x14ac:dyDescent="0.25">
      <c r="A15" s="35" t="str">
        <f>D1_FEBRERO_2026[[#This Row],[SUPER2]]</f>
        <v>KENNETH</v>
      </c>
      <c r="B15" s="34" t="str" cm="1">
        <f t="array" ref="B15">TRIM(IFERROR(_xlfn.IFS(D1_FEBRERO_2026[[#This Row],[ASESOR]]="ELVIS GUERRA","ELVIS GUERRERA",D1_FEBRERO_2026[[#This Row],[ASESOR]]="GENESIS VICUÑA","GENESIS VICUNA",D1_FEBRERO_2026[[#This Row],[ASESOR]]="GINA HUMANI","GINA HUAMANI"),D1_FEBRERO_2026[[#This Row],[ASESOR]]))</f>
        <v>CARMEN PUMA</v>
      </c>
      <c r="C1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15" s="35">
        <f>IF(D1_FEBRERO_2026[[#This Row],[RECUPERO]]="VACACIONES","VACACIONES",IFERROR(D1_FEBRERO_2026[[#This Row],[RECUPERO]]/D1_FEBRERO_2026[[#This Row],[META]],""))</f>
        <v>2.7223396226415093</v>
      </c>
      <c r="E15" s="35" t="s">
        <v>6</v>
      </c>
      <c r="F15" s="34" t="s">
        <v>19</v>
      </c>
      <c r="G15" s="36">
        <v>72142</v>
      </c>
      <c r="H15" s="34" t="s">
        <v>399</v>
      </c>
      <c r="I15" s="60">
        <v>44671</v>
      </c>
      <c r="J15" s="60" t="s">
        <v>501</v>
      </c>
      <c r="K15" s="60"/>
      <c r="L15" s="55"/>
      <c r="M15" s="5">
        <f>DATA_FEBRERO_2026[[#This Row],[RECUPERO]]/DATA_FEBRERO_2026[[#This Row],[META]]</f>
        <v>1.6344255319148937</v>
      </c>
      <c r="N15" s="5">
        <f>6-ROUNDUP(_xlfn.RANK.EQ(DATA_FEBRERO_2026[[#This Row],[AL_AC]],DATA_FEBRERO_2026[AL_AC],0)/(COUNTA(DATA_FEBRERO_2026[AL_AC])/5),0)</f>
        <v>5</v>
      </c>
      <c r="O15" s="54" t="str">
        <f>IFERROR(VLOOKUP(DATA_FEBRERO_2026[[#This Row],[ASER_]],$B:$G,4,0),"")</f>
        <v>GUSTAVO</v>
      </c>
      <c r="P15" s="6">
        <f>SUM(DATA_FEBRERO_2026[[#This Row],[1]:[31]])</f>
        <v>38409</v>
      </c>
      <c r="Q15" s="6">
        <f>VLOOKUP(DATA_FEBRERO_2026[[#This Row],[ASER_]],D1_FEBRERO_2026[[ASESOR_CRR]:[META]],2,0)</f>
        <v>23500</v>
      </c>
      <c r="R15" t="s">
        <v>174</v>
      </c>
      <c r="W15">
        <v>300</v>
      </c>
      <c r="AB15">
        <v>2830</v>
      </c>
      <c r="AC15">
        <v>2220</v>
      </c>
      <c r="AE15">
        <v>13520</v>
      </c>
      <c r="AH15">
        <v>200</v>
      </c>
      <c r="AI15">
        <v>5168</v>
      </c>
      <c r="AJ15">
        <v>1000</v>
      </c>
      <c r="AK15">
        <v>2300</v>
      </c>
      <c r="AO15">
        <v>320</v>
      </c>
      <c r="AP15">
        <v>291</v>
      </c>
      <c r="AQ15">
        <v>2400</v>
      </c>
      <c r="AR15">
        <v>7000</v>
      </c>
      <c r="AS15">
        <v>200</v>
      </c>
      <c r="AT15">
        <v>660</v>
      </c>
      <c r="AX15" t="str" cm="1">
        <f t="array" ref="AX15">IFERROR(VLOOKUP(DATA_FEBRERO_2026[[#This Row],[ASER_]],_xlfn._xlws.FILTER(PLANTILLA[[ASESOR]:[FECHA DE CESE]],PLANTILLA[FECHA]=_xlfn.CONCAT($M$3,"_",_xlfn.IFS($N$3="ENERO","1",$N$3="FEBRERO","2",$N$3="MARZO","3",$N$3="ABRIL","4",$N$3="MAYO","5",$N$3="JUNIO","6",$N$3="JULIO","7",$N$3="AGOSTO","8",$N$3="SETIEMBRE","9",$N$3="OCTUBRE","10",$N$3="NOVIEMBRE","11",$N$3="DICIEMBRE","12"))),8,0),"")</f>
        <v>S2-3-4</v>
      </c>
      <c r="BI15" s="45"/>
      <c r="BK15" s="45"/>
      <c r="BL15" s="45"/>
      <c r="BN15" s="45"/>
      <c r="CQ15" t="s">
        <v>636</v>
      </c>
      <c r="CR15" t="s">
        <v>124</v>
      </c>
      <c r="CS15" t="s">
        <v>55</v>
      </c>
      <c r="CT15">
        <v>46056</v>
      </c>
      <c r="CU15">
        <v>1</v>
      </c>
      <c r="CV15">
        <v>1</v>
      </c>
      <c r="CX15">
        <v>1</v>
      </c>
      <c r="CZ15">
        <v>3.4722222222222222E-5</v>
      </c>
      <c r="DA15">
        <v>3.4722222222222222E-5</v>
      </c>
      <c r="DB15">
        <v>0</v>
      </c>
      <c r="DC15">
        <v>8.5057870370370367E-2</v>
      </c>
      <c r="DD15">
        <v>74</v>
      </c>
      <c r="DE15">
        <v>156</v>
      </c>
      <c r="DF15">
        <v>10</v>
      </c>
      <c r="DG15">
        <v>1.3</v>
      </c>
      <c r="DH15">
        <v>3373</v>
      </c>
      <c r="DI15">
        <v>0.1351</v>
      </c>
      <c r="DJ15">
        <v>1</v>
      </c>
      <c r="DK15">
        <v>0.1</v>
      </c>
      <c r="DL15">
        <v>250</v>
      </c>
      <c r="DM15">
        <v>250</v>
      </c>
      <c r="DN15">
        <v>250</v>
      </c>
      <c r="DO15">
        <v>1</v>
      </c>
      <c r="DP15">
        <v>0.22770000000000001</v>
      </c>
      <c r="DQ15">
        <v>100</v>
      </c>
      <c r="DR15">
        <v>250</v>
      </c>
    </row>
    <row r="16" spans="1:122" x14ac:dyDescent="0.25">
      <c r="A16" s="35" t="str">
        <f>D1_FEBRERO_2026[[#This Row],[SUPER2]]</f>
        <v>JOHAN</v>
      </c>
      <c r="B16" s="34" t="str" cm="1">
        <f t="array" ref="B16">TRIM(IFERROR(_xlfn.IFS(D1_FEBRERO_2026[[#This Row],[ASESOR]]="ELVIS GUERRA","ELVIS GUERRERA",D1_FEBRERO_2026[[#This Row],[ASESOR]]="GENESIS VICUÑA","GENESIS VICUNA",D1_FEBRERO_2026[[#This Row],[ASESOR]]="GINA HUMANI","GINA HUAMANI"),D1_FEBRERO_2026[[#This Row],[ASESOR]]))</f>
        <v>CRISTINA TICONA</v>
      </c>
      <c r="C1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6" s="35">
        <f>IF(D1_FEBRERO_2026[[#This Row],[RECUPERO]]="VACACIONES","VACACIONES",IFERROR(D1_FEBRERO_2026[[#This Row],[RECUPERO]]/D1_FEBRERO_2026[[#This Row],[META]],""))</f>
        <v>0.93776000000000004</v>
      </c>
      <c r="E16" s="35" t="s">
        <v>125</v>
      </c>
      <c r="F16" s="34" t="s">
        <v>61</v>
      </c>
      <c r="G16" s="36">
        <v>46888</v>
      </c>
      <c r="H16" s="34" t="s">
        <v>411</v>
      </c>
      <c r="I16" s="60">
        <v>44907</v>
      </c>
      <c r="J16" s="60" t="s">
        <v>501</v>
      </c>
      <c r="K16" s="60"/>
      <c r="L16" s="55"/>
      <c r="M16" s="5">
        <f>DATA_FEBRERO_2026[[#This Row],[RECUPERO]]/DATA_FEBRERO_2026[[#This Row],[META]]</f>
        <v>2.7223396226415093</v>
      </c>
      <c r="N16" s="5">
        <f>6-ROUNDUP(_xlfn.RANK.EQ(DATA_FEBRERO_2026[[#This Row],[AL_AC]],DATA_FEBRERO_2026[AL_AC],0)/(COUNTA(DATA_FEBRERO_2026[AL_AC])/5),0)</f>
        <v>5</v>
      </c>
      <c r="O16" s="54" t="str">
        <f>IFERROR(VLOOKUP(DATA_FEBRERO_2026[[#This Row],[ASER_]],$B:$G,4,0),"")</f>
        <v>KENNETH</v>
      </c>
      <c r="P16" s="6">
        <f>SUM(DATA_FEBRERO_2026[[#This Row],[1]:[31]])</f>
        <v>72142</v>
      </c>
      <c r="Q16" s="6">
        <f>VLOOKUP(DATA_FEBRERO_2026[[#This Row],[ASER_]],D1_FEBRERO_2026[[ASESOR_CRR]:[META]],2,0)</f>
        <v>26500</v>
      </c>
      <c r="R16" t="s">
        <v>19</v>
      </c>
      <c r="S16" s="47"/>
      <c r="V16">
        <v>100</v>
      </c>
      <c r="AA16">
        <v>1100</v>
      </c>
      <c r="AB16">
        <v>14000</v>
      </c>
      <c r="AF16">
        <v>400</v>
      </c>
      <c r="AH16">
        <v>2400</v>
      </c>
      <c r="AI16">
        <v>2150</v>
      </c>
      <c r="AJ16">
        <v>19000</v>
      </c>
      <c r="AK16">
        <v>3446</v>
      </c>
      <c r="AL16">
        <v>3360</v>
      </c>
      <c r="AM16">
        <v>80</v>
      </c>
      <c r="AO16">
        <v>280</v>
      </c>
      <c r="AP16">
        <v>2500</v>
      </c>
      <c r="AQ16">
        <v>3000</v>
      </c>
      <c r="AR16">
        <v>4500</v>
      </c>
      <c r="AS16">
        <v>13760</v>
      </c>
      <c r="AT16">
        <v>2066</v>
      </c>
      <c r="AX16" t="str" cm="1">
        <f t="array" ref="AX16">IFERROR(VLOOKUP(DATA_FEBRERO_2026[[#This Row],[ASER_]],_xlfn._xlws.FILTER(PLANTILLA[[ASESOR]:[FECHA DE CESE]],PLANTILLA[FECHA]=_xlfn.CONCAT($M$3,"_",_xlfn.IFS($N$3="ENERO","1",$N$3="FEBRERO","2",$N$3="MARZO","3",$N$3="ABRIL","4",$N$3="MAYO","5",$N$3="JUNIO","6",$N$3="JULIO","7",$N$3="AGOSTO","8",$N$3="SETIEMBRE","9",$N$3="OCTUBRE","10",$N$3="NOVIEMBRE","11",$N$3="DICIEMBRE","12"))),8,0),"")</f>
        <v>S0 - IBK</v>
      </c>
      <c r="BI16" s="45"/>
      <c r="BJ16" s="45"/>
      <c r="BK16" s="45"/>
      <c r="BL16" s="45"/>
      <c r="BN16" s="45"/>
      <c r="BO16" s="45"/>
      <c r="BP16" s="45"/>
      <c r="BX16" s="45"/>
      <c r="CQ16" t="s">
        <v>636</v>
      </c>
      <c r="CR16" t="s">
        <v>124</v>
      </c>
      <c r="CS16" t="s">
        <v>73</v>
      </c>
      <c r="CT16">
        <v>46056</v>
      </c>
      <c r="CU16">
        <v>1</v>
      </c>
      <c r="CV16">
        <v>1</v>
      </c>
      <c r="CX16">
        <v>1</v>
      </c>
      <c r="CZ16">
        <v>6.9444444444444444E-5</v>
      </c>
      <c r="DA16">
        <v>6.9444444444444444E-5</v>
      </c>
      <c r="DB16">
        <v>0.1227199074074074</v>
      </c>
      <c r="DC16">
        <v>8.0208333333333329E-3</v>
      </c>
      <c r="DD16">
        <v>43</v>
      </c>
      <c r="DE16">
        <v>61</v>
      </c>
      <c r="DF16">
        <v>8</v>
      </c>
      <c r="DG16">
        <v>1.5</v>
      </c>
      <c r="DH16">
        <v>14788</v>
      </c>
      <c r="DI16">
        <v>0.186</v>
      </c>
      <c r="DJ16">
        <v>1</v>
      </c>
      <c r="DK16">
        <v>0.125</v>
      </c>
      <c r="DL16">
        <v>250</v>
      </c>
      <c r="DM16">
        <v>250</v>
      </c>
      <c r="DN16">
        <v>250</v>
      </c>
      <c r="DO16">
        <v>1</v>
      </c>
      <c r="DQ16">
        <v>100</v>
      </c>
      <c r="DR16">
        <v>250</v>
      </c>
    </row>
    <row r="17" spans="1:122" x14ac:dyDescent="0.25">
      <c r="A17" s="35" t="str">
        <f>D1_FEBRERO_2026[[#This Row],[SUPER2]]</f>
        <v>KENNETH</v>
      </c>
      <c r="B17" s="34" t="str" cm="1">
        <f t="array" ref="B17">TRIM(IFERROR(_xlfn.IFS(D1_FEBRERO_2026[[#This Row],[ASESOR]]="ELVIS GUERRA","ELVIS GUERRERA",D1_FEBRERO_2026[[#This Row],[ASESOR]]="GENESIS VICUÑA","GENESIS VICUNA",D1_FEBRERO_2026[[#This Row],[ASESOR]]="GINA HUMANI","GINA HUAMANI"),D1_FEBRERO_2026[[#This Row],[ASESOR]]))</f>
        <v>DANIEL ZAPATA</v>
      </c>
      <c r="C17"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17" s="35">
        <f>IF(D1_FEBRERO_2026[[#This Row],[RECUPERO]]="VACACIONES","VACACIONES",IFERROR(D1_FEBRERO_2026[[#This Row],[RECUPERO]]/D1_FEBRERO_2026[[#This Row],[META]],""))</f>
        <v>0.23339622641509433</v>
      </c>
      <c r="E17" s="35" t="s">
        <v>6</v>
      </c>
      <c r="F17" t="s">
        <v>80</v>
      </c>
      <c r="G17" s="3">
        <v>6185</v>
      </c>
      <c r="H17" t="s">
        <v>433</v>
      </c>
      <c r="I17" s="55">
        <v>45281</v>
      </c>
      <c r="J17" s="55" t="s">
        <v>501</v>
      </c>
      <c r="K17" s="60"/>
      <c r="L17" s="55"/>
      <c r="M17" s="5">
        <f>DATA_FEBRERO_2026[[#This Row],[RECUPERO]]/DATA_FEBRERO_2026[[#This Row],[META]]</f>
        <v>0.93776000000000004</v>
      </c>
      <c r="N17" s="5">
        <f>6-ROUNDUP(_xlfn.RANK.EQ(DATA_FEBRERO_2026[[#This Row],[AL_AC]],DATA_FEBRERO_2026[AL_AC],0)/(COUNTA(DATA_FEBRERO_2026[AL_AC])/5),0)</f>
        <v>2</v>
      </c>
      <c r="O17" s="54" t="str">
        <f>IFERROR(VLOOKUP(DATA_FEBRERO_2026[[#This Row],[ASER_]],$B:$G,4,0),"")</f>
        <v>JOHAN</v>
      </c>
      <c r="P17" s="6">
        <f>SUM(DATA_FEBRERO_2026[[#This Row],[1]:[31]])</f>
        <v>46888</v>
      </c>
      <c r="Q17" s="6">
        <f>VLOOKUP(DATA_FEBRERO_2026[[#This Row],[ASER_]],D1_FEBRERO_2026[[ASESOR_CRR]:[META]],2,0)</f>
        <v>50000</v>
      </c>
      <c r="R17" t="s">
        <v>61</v>
      </c>
      <c r="S17" s="47"/>
      <c r="T17">
        <v>438</v>
      </c>
      <c r="V17">
        <v>9000</v>
      </c>
      <c r="W17">
        <v>2550</v>
      </c>
      <c r="X17">
        <v>500</v>
      </c>
      <c r="AC17">
        <v>2000</v>
      </c>
      <c r="AE17">
        <v>1200</v>
      </c>
      <c r="AH17">
        <v>1300</v>
      </c>
      <c r="AJ17">
        <v>1500</v>
      </c>
      <c r="AS17">
        <v>25400</v>
      </c>
      <c r="AT17">
        <v>3000</v>
      </c>
      <c r="AX17" t="str" cm="1">
        <f t="array" ref="AX17">IFERROR(VLOOKUP(DATA_FEBRERO_2026[[#This Row],[ASER_]],_xlfn._xlws.FILTER(PLANTILLA[[ASESOR]:[FECHA DE CESE]],PLANTILLA[FECHA]=_xlfn.CONCAT($M$3,"_",_xlfn.IFS($N$3="ENERO","1",$N$3="FEBRERO","2",$N$3="MARZO","3",$N$3="ABRIL","4",$N$3="MAYO","5",$N$3="JUNIO","6",$N$3="JULIO","7",$N$3="AGOSTO","8",$N$3="SETIEMBRE","9",$N$3="OCTUBRE","10",$N$3="NOVIEMBRE","11",$N$3="DICIEMBRE","12"))),8,0),"")</f>
        <v>S1</v>
      </c>
      <c r="BH17" s="45"/>
      <c r="BJ17" s="45"/>
      <c r="BK17" s="47"/>
      <c r="BL17" s="47"/>
      <c r="BN17" s="47"/>
      <c r="BO17" s="45"/>
      <c r="BP17" s="45"/>
      <c r="BR17" s="45"/>
      <c r="BW17" s="45"/>
      <c r="BX17" s="45"/>
      <c r="CQ17" t="s">
        <v>636</v>
      </c>
      <c r="CR17" t="s">
        <v>125</v>
      </c>
      <c r="CS17" t="s">
        <v>60</v>
      </c>
      <c r="CT17">
        <v>46070</v>
      </c>
      <c r="CU17">
        <v>1</v>
      </c>
      <c r="CV17">
        <v>1</v>
      </c>
      <c r="CX17">
        <v>1</v>
      </c>
      <c r="CZ17">
        <v>3.4722222222222222E-5</v>
      </c>
      <c r="DA17">
        <v>3.4722222222222222E-5</v>
      </c>
      <c r="DB17">
        <v>0.21871527777777777</v>
      </c>
      <c r="DC17">
        <v>0.11280092592592593</v>
      </c>
      <c r="DD17">
        <v>116</v>
      </c>
      <c r="DE17">
        <v>174</v>
      </c>
      <c r="DF17">
        <v>9</v>
      </c>
      <c r="DG17" t="s">
        <v>687</v>
      </c>
      <c r="DH17">
        <v>41092</v>
      </c>
      <c r="DI17">
        <v>7.7600000000000002E-2</v>
      </c>
      <c r="DJ17">
        <v>2</v>
      </c>
      <c r="DK17">
        <v>0.22220000000000001</v>
      </c>
      <c r="DL17">
        <v>7600</v>
      </c>
      <c r="DM17">
        <v>3800</v>
      </c>
      <c r="DN17">
        <v>7600</v>
      </c>
      <c r="DO17">
        <v>1</v>
      </c>
      <c r="DP17">
        <v>0.15459999999999999</v>
      </c>
      <c r="DQ17">
        <v>100</v>
      </c>
      <c r="DR17">
        <v>3800</v>
      </c>
    </row>
    <row r="18" spans="1:122" x14ac:dyDescent="0.25">
      <c r="A18" s="35" t="str">
        <f>D1_FEBRERO_2026[[#This Row],[SUPER2]]</f>
        <v>KENNETH</v>
      </c>
      <c r="B18" s="34" t="str" cm="1">
        <f t="array" ref="B18">TRIM(IFERROR(_xlfn.IFS(D1_FEBRERO_2026[[#This Row],[ASESOR]]="ELVIS GUERRA","ELVIS GUERRERA",D1_FEBRERO_2026[[#This Row],[ASESOR]]="GENESIS VICUÑA","GENESIS VICUNA",D1_FEBRERO_2026[[#This Row],[ASESOR]]="GINA HUMANI","GINA HUAMANI"),D1_FEBRERO_2026[[#This Row],[ASESOR]]))</f>
        <v>DAVID SANCHEZ</v>
      </c>
      <c r="C1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18" s="35">
        <f>IF(D1_FEBRERO_2026[[#This Row],[RECUPERO]]="VACACIONES","VACACIONES",IFERROR(D1_FEBRERO_2026[[#This Row],[RECUPERO]]/D1_FEBRERO_2026[[#This Row],[META]],""))</f>
        <v>1.2093584905660377</v>
      </c>
      <c r="E18" s="35" t="s">
        <v>6</v>
      </c>
      <c r="F18" t="s">
        <v>81</v>
      </c>
      <c r="G18" s="3">
        <v>32048</v>
      </c>
      <c r="H18" t="s">
        <v>425</v>
      </c>
      <c r="I18" s="55">
        <v>45511</v>
      </c>
      <c r="J18" s="55" t="s">
        <v>501</v>
      </c>
      <c r="K18" s="55"/>
      <c r="L18" s="55"/>
      <c r="M18" s="5">
        <f>DATA_FEBRERO_2026[[#This Row],[RECUPERO]]/DATA_FEBRERO_2026[[#This Row],[META]]</f>
        <v>0.23339622641509433</v>
      </c>
      <c r="N18" s="5">
        <f>6-ROUNDUP(_xlfn.RANK.EQ(DATA_FEBRERO_2026[[#This Row],[AL_AC]],DATA_FEBRERO_2026[AL_AC],0)/(COUNTA(DATA_FEBRERO_2026[AL_AC])/5),0)</f>
        <v>1</v>
      </c>
      <c r="O18" s="54" t="str">
        <f>IFERROR(VLOOKUP(DATA_FEBRERO_2026[[#This Row],[ASER_]],$B:$G,4,0),"")</f>
        <v>KENNETH</v>
      </c>
      <c r="P18" s="6">
        <f>SUM(DATA_FEBRERO_2026[[#This Row],[1]:[31]])</f>
        <v>6185</v>
      </c>
      <c r="Q18" s="6">
        <f>VLOOKUP(DATA_FEBRERO_2026[[#This Row],[ASER_]],D1_FEBRERO_2026[[ASESOR_CRR]:[META]],2,0)</f>
        <v>26500</v>
      </c>
      <c r="R18" t="s">
        <v>80</v>
      </c>
      <c r="S18" s="47"/>
      <c r="U18">
        <v>256</v>
      </c>
      <c r="V18">
        <v>100</v>
      </c>
      <c r="AD18">
        <v>600</v>
      </c>
      <c r="AI18">
        <v>330</v>
      </c>
      <c r="AK18">
        <v>500</v>
      </c>
      <c r="AR18">
        <v>4399</v>
      </c>
      <c r="AX18" t="str" cm="1">
        <f t="array" ref="AX18">IFERROR(VLOOKUP(DATA_FEBRERO_2026[[#This Row],[ASER_]],_xlfn._xlws.FILTER(PLANTILLA[[ASESOR]:[FECHA DE CESE]],PLANTILLA[FECHA]=_xlfn.CONCAT($M$3,"_",_xlfn.IFS($N$3="ENERO","1",$N$3="FEBRERO","2",$N$3="MARZO","3",$N$3="ABRIL","4",$N$3="MAYO","5",$N$3="JUNIO","6",$N$3="JULIO","7",$N$3="AGOSTO","8",$N$3="SETIEMBRE","9",$N$3="OCTUBRE","10",$N$3="NOVIEMBRE","11",$N$3="DICIEMBRE","12"))),8,0),"")</f>
        <v>S0 - IBK</v>
      </c>
      <c r="BD18" s="45"/>
      <c r="BJ18" s="47"/>
      <c r="BK18" s="45"/>
      <c r="BL18" s="45"/>
      <c r="BN18" s="45"/>
      <c r="BO18" s="47"/>
      <c r="BP18" s="47"/>
      <c r="BR18" s="45"/>
      <c r="BS18" s="45"/>
      <c r="BW18" s="45"/>
      <c r="BX18" s="47"/>
      <c r="CQ18" t="s">
        <v>636</v>
      </c>
      <c r="CR18" t="s">
        <v>125</v>
      </c>
      <c r="CS18" t="s">
        <v>60</v>
      </c>
      <c r="CT18">
        <v>46077</v>
      </c>
      <c r="CU18">
        <v>1</v>
      </c>
      <c r="CV18">
        <v>1</v>
      </c>
      <c r="CX18">
        <v>1</v>
      </c>
      <c r="CZ18">
        <v>8.1018518518518516E-5</v>
      </c>
      <c r="DA18">
        <v>8.1018518518518516E-5</v>
      </c>
      <c r="DB18">
        <v>0.19114583333333332</v>
      </c>
      <c r="DC18">
        <v>0.13371527777777778</v>
      </c>
      <c r="DD18">
        <v>134</v>
      </c>
      <c r="DE18">
        <v>173</v>
      </c>
      <c r="DF18">
        <v>8</v>
      </c>
      <c r="DG18">
        <v>2</v>
      </c>
      <c r="DH18">
        <v>44152</v>
      </c>
      <c r="DI18">
        <v>5.9700000000000003E-2</v>
      </c>
      <c r="DJ18">
        <v>1</v>
      </c>
      <c r="DK18">
        <v>0.125</v>
      </c>
      <c r="DL18">
        <v>4000</v>
      </c>
      <c r="DM18">
        <v>4000</v>
      </c>
      <c r="DN18">
        <v>4000</v>
      </c>
      <c r="DO18">
        <v>1</v>
      </c>
      <c r="DP18">
        <v>0.19850000000000001</v>
      </c>
      <c r="DQ18">
        <v>100</v>
      </c>
      <c r="DR18">
        <v>4000</v>
      </c>
    </row>
    <row r="19" spans="1:122" x14ac:dyDescent="0.25">
      <c r="A19" s="35" t="str">
        <f>D1_FEBRERO_2026[[#This Row],[SUPER2]]</f>
        <v>SANDY</v>
      </c>
      <c r="B19" s="34" t="str" cm="1">
        <f t="array" ref="B19">TRIM(IFERROR(_xlfn.IFS(D1_FEBRERO_2026[[#This Row],[ASESOR]]="ELVIS GUERRA","ELVIS GUERRERA",D1_FEBRERO_2026[[#This Row],[ASESOR]]="GENESIS VICUÑA","GENESIS VICUNA",D1_FEBRERO_2026[[#This Row],[ASESOR]]="GINA HUMANI","GINA HUAMANI"),D1_FEBRERO_2026[[#This Row],[ASESOR]]))</f>
        <v>ELVIS GUERRERA</v>
      </c>
      <c r="C1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9" s="35">
        <f>IF(D1_FEBRERO_2026[[#This Row],[RECUPERO]]="VACACIONES","VACACIONES",IFERROR(D1_FEBRERO_2026[[#This Row],[RECUPERO]]/D1_FEBRERO_2026[[#This Row],[META]],""))</f>
        <v>0.36</v>
      </c>
      <c r="E19" s="35" t="s">
        <v>3</v>
      </c>
      <c r="F19" t="s">
        <v>377</v>
      </c>
      <c r="G19" s="3">
        <v>18000</v>
      </c>
      <c r="H19" t="s">
        <v>534</v>
      </c>
      <c r="I19" s="55">
        <v>46038</v>
      </c>
      <c r="J19" s="55" t="s">
        <v>501</v>
      </c>
      <c r="K19" s="55"/>
      <c r="L19" s="55"/>
      <c r="M19" s="5">
        <f>DATA_FEBRERO_2026[[#This Row],[RECUPERO]]/DATA_FEBRERO_2026[[#This Row],[META]]</f>
        <v>1.2093584905660377</v>
      </c>
      <c r="N19" s="5">
        <f>6-ROUNDUP(_xlfn.RANK.EQ(DATA_FEBRERO_2026[[#This Row],[AL_AC]],DATA_FEBRERO_2026[AL_AC],0)/(COUNTA(DATA_FEBRERO_2026[AL_AC])/5),0)</f>
        <v>4</v>
      </c>
      <c r="O19" s="54" t="str">
        <f>IFERROR(VLOOKUP(DATA_FEBRERO_2026[[#This Row],[ASER_]],$B:$G,4,0),"")</f>
        <v>KENNETH</v>
      </c>
      <c r="P19" s="6">
        <f>SUM(DATA_FEBRERO_2026[[#This Row],[1]:[31]])</f>
        <v>32048</v>
      </c>
      <c r="Q19" s="6">
        <f>VLOOKUP(DATA_FEBRERO_2026[[#This Row],[ASER_]],D1_FEBRERO_2026[[ASESOR_CRR]:[META]],2,0)</f>
        <v>26500</v>
      </c>
      <c r="R19" t="s">
        <v>81</v>
      </c>
      <c r="U19">
        <v>509</v>
      </c>
      <c r="W19">
        <v>200</v>
      </c>
      <c r="X19">
        <v>290</v>
      </c>
      <c r="AA19">
        <v>5000</v>
      </c>
      <c r="AB19">
        <v>5000</v>
      </c>
      <c r="AD19">
        <v>4005</v>
      </c>
      <c r="AH19">
        <v>5700</v>
      </c>
      <c r="AI19">
        <v>551</v>
      </c>
      <c r="AJ19">
        <v>7000</v>
      </c>
      <c r="AO19">
        <v>200</v>
      </c>
      <c r="AP19">
        <v>70</v>
      </c>
      <c r="AQ19">
        <v>350</v>
      </c>
      <c r="AR19">
        <v>1500</v>
      </c>
      <c r="AS19">
        <v>473</v>
      </c>
      <c r="AT19">
        <v>1200</v>
      </c>
      <c r="AX19" t="str" cm="1">
        <f t="array" ref="AX19">IFERROR(VLOOKUP(DATA_FEBRERO_2026[[#This Row],[ASER_]],_xlfn._xlws.FILTER(PLANTILLA[[ASESOR]:[FECHA DE CESE]],PLANTILLA[FECHA]=_xlfn.CONCAT($M$3,"_",_xlfn.IFS($N$3="ENERO","1",$N$3="FEBRERO","2",$N$3="MARZO","3",$N$3="ABRIL","4",$N$3="MAYO","5",$N$3="JUNIO","6",$N$3="JULIO","7",$N$3="AGOSTO","8",$N$3="SETIEMBRE","9",$N$3="OCTUBRE","10",$N$3="NOVIEMBRE","11",$N$3="DICIEMBRE","12"))),8,0),"")</f>
        <v>S0 - IBK</v>
      </c>
      <c r="BD19" s="45"/>
      <c r="BJ19" s="47"/>
      <c r="BK19" s="45"/>
      <c r="BL19" s="45"/>
      <c r="BN19" s="45"/>
      <c r="BO19" s="47"/>
      <c r="BP19" s="47"/>
      <c r="BR19" s="45"/>
      <c r="BS19" s="45"/>
      <c r="BW19" s="47"/>
      <c r="BX19" s="47"/>
      <c r="CQ19" t="s">
        <v>636</v>
      </c>
      <c r="CR19" t="s">
        <v>125</v>
      </c>
      <c r="CS19" t="s">
        <v>12</v>
      </c>
      <c r="CT19">
        <v>46081</v>
      </c>
      <c r="CU19">
        <v>1</v>
      </c>
      <c r="CV19">
        <v>1</v>
      </c>
      <c r="CX19">
        <v>1</v>
      </c>
      <c r="CZ19">
        <v>1.5046296296296297E-4</v>
      </c>
      <c r="DA19">
        <v>1.5046296296296297E-4</v>
      </c>
      <c r="DB19">
        <v>9.2199074074074072E-2</v>
      </c>
      <c r="DC19">
        <v>9.6550925925925929E-2</v>
      </c>
      <c r="DD19">
        <v>31</v>
      </c>
      <c r="DE19">
        <v>84</v>
      </c>
      <c r="DF19">
        <v>12</v>
      </c>
      <c r="DG19">
        <v>2</v>
      </c>
      <c r="DH19">
        <v>16648</v>
      </c>
      <c r="DI19">
        <v>0.3871</v>
      </c>
      <c r="DJ19">
        <v>2</v>
      </c>
      <c r="DK19">
        <v>0.16669999999999999</v>
      </c>
      <c r="DL19">
        <v>2800</v>
      </c>
      <c r="DM19">
        <v>1400</v>
      </c>
      <c r="DN19">
        <v>2800</v>
      </c>
      <c r="DO19">
        <v>1</v>
      </c>
      <c r="DP19">
        <v>0.1381</v>
      </c>
      <c r="DQ19">
        <v>100</v>
      </c>
      <c r="DR19">
        <v>1400</v>
      </c>
    </row>
    <row r="20" spans="1:122" x14ac:dyDescent="0.25">
      <c r="A20" s="35" t="str">
        <f>D1_FEBRERO_2026[[#This Row],[SUPER2]]</f>
        <v>GUSTAVO</v>
      </c>
      <c r="B20" s="34" t="str" cm="1">
        <f t="array" ref="B20">TRIM(IFERROR(_xlfn.IFS(D1_FEBRERO_2026[[#This Row],[ASESOR]]="ELVIS GUERRA","ELVIS GUERRERA",D1_FEBRERO_2026[[#This Row],[ASESOR]]="GENESIS VICUÑA","GENESIS VICUNA",D1_FEBRERO_2026[[#This Row],[ASESOR]]="GINA HUMANI","GINA HUAMANI"),D1_FEBRERO_2026[[#This Row],[ASESOR]]))</f>
        <v>ERIKA PANTA</v>
      </c>
      <c r="C2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20" s="35">
        <f>IF(D1_FEBRERO_2026[[#This Row],[RECUPERO]]="VACACIONES","VACACIONES",IFERROR(D1_FEBRERO_2026[[#This Row],[RECUPERO]]/D1_FEBRERO_2026[[#This Row],[META]],""))</f>
        <v>1.1409787234042552</v>
      </c>
      <c r="E20" s="35" t="s">
        <v>124</v>
      </c>
      <c r="F20" t="s">
        <v>495</v>
      </c>
      <c r="G20" s="3">
        <v>26813</v>
      </c>
      <c r="H20" t="s">
        <v>546</v>
      </c>
      <c r="I20" s="55">
        <v>46052</v>
      </c>
      <c r="J20" s="55" t="s">
        <v>501</v>
      </c>
      <c r="K20" s="55"/>
      <c r="L20" s="55"/>
      <c r="M20" s="5">
        <f>DATA_FEBRERO_2026[[#This Row],[RECUPERO]]/DATA_FEBRERO_2026[[#This Row],[META]]</f>
        <v>0.36</v>
      </c>
      <c r="N20" s="5">
        <f>6-ROUNDUP(_xlfn.RANK.EQ(DATA_FEBRERO_2026[[#This Row],[AL_AC]],DATA_FEBRERO_2026[AL_AC],0)/(COUNTA(DATA_FEBRERO_2026[AL_AC])/5),0)</f>
        <v>1</v>
      </c>
      <c r="O20" s="54" t="str">
        <f>IFERROR(VLOOKUP(DATA_FEBRERO_2026[[#This Row],[ASER_]],$B:$G,4,0),"")</f>
        <v>SANDY</v>
      </c>
      <c r="P20" s="6">
        <f>SUM(DATA_FEBRERO_2026[[#This Row],[1]:[31]])</f>
        <v>18000</v>
      </c>
      <c r="Q20" s="6">
        <f>VLOOKUP(DATA_FEBRERO_2026[[#This Row],[ASER_]],D1_FEBRERO_2026[[ASESOR_CRR]:[META]],2,0)</f>
        <v>50000</v>
      </c>
      <c r="R20" t="s">
        <v>377</v>
      </c>
      <c r="W20">
        <v>300</v>
      </c>
      <c r="AB20">
        <v>2200</v>
      </c>
      <c r="AH20">
        <v>5500</v>
      </c>
      <c r="AI20">
        <v>500</v>
      </c>
      <c r="AP20">
        <v>4500</v>
      </c>
      <c r="AR20">
        <v>5000</v>
      </c>
      <c r="AX20" t="str" cm="1">
        <f t="array" ref="AX20">IFERROR(VLOOKUP(DATA_FEBRERO_2026[[#This Row],[ASER_]],_xlfn._xlws.FILTER(PLANTILLA[[ASESOR]:[FECHA DE CESE]],PLANTILLA[FECHA]=_xlfn.CONCAT($M$3,"_",_xlfn.IFS($N$3="ENERO","1",$N$3="FEBRERO","2",$N$3="MARZO","3",$N$3="ABRIL","4",$N$3="MAYO","5",$N$3="JUNIO","6",$N$3="JULIO","7",$N$3="AGOSTO","8",$N$3="SETIEMBRE","9",$N$3="OCTUBRE","10",$N$3="NOVIEMBRE","11",$N$3="DICIEMBRE","12"))),8,0),"")</f>
        <v>S1</v>
      </c>
      <c r="BD20" s="47"/>
      <c r="BJ20" s="45"/>
      <c r="BP20" s="45"/>
      <c r="BR20" s="45"/>
      <c r="BS20" s="47"/>
      <c r="BV20" s="45"/>
      <c r="BW20" s="47"/>
      <c r="BX20" s="45"/>
      <c r="CQ20" t="s">
        <v>636</v>
      </c>
      <c r="CR20" t="s">
        <v>2</v>
      </c>
      <c r="CS20" t="s">
        <v>42</v>
      </c>
      <c r="CT20">
        <v>46072</v>
      </c>
      <c r="CU20">
        <v>1</v>
      </c>
      <c r="CV20">
        <v>1</v>
      </c>
      <c r="CX20">
        <v>1</v>
      </c>
      <c r="CZ20">
        <v>3.3564814814814816E-3</v>
      </c>
      <c r="DA20">
        <v>3.3564814814814816E-3</v>
      </c>
      <c r="DB20">
        <v>0.22309027777777779</v>
      </c>
      <c r="DC20">
        <v>0.12333333333333334</v>
      </c>
      <c r="DD20">
        <v>80</v>
      </c>
      <c r="DE20">
        <v>169</v>
      </c>
      <c r="DF20">
        <v>25</v>
      </c>
      <c r="DG20">
        <v>1.6</v>
      </c>
      <c r="DH20">
        <v>22068</v>
      </c>
      <c r="DI20">
        <v>0.3125</v>
      </c>
      <c r="DJ20">
        <v>1</v>
      </c>
      <c r="DK20">
        <v>0.04</v>
      </c>
      <c r="DL20">
        <v>160</v>
      </c>
      <c r="DM20">
        <v>160</v>
      </c>
      <c r="DN20">
        <v>160</v>
      </c>
      <c r="DO20">
        <v>1</v>
      </c>
      <c r="DP20">
        <v>0.72940000000000005</v>
      </c>
      <c r="DQ20">
        <v>100</v>
      </c>
      <c r="DR20">
        <v>160</v>
      </c>
    </row>
    <row r="21" spans="1:122" x14ac:dyDescent="0.25">
      <c r="A21" s="35" t="str">
        <f>D1_FEBRERO_2026[[#This Row],[SUPER2]]</f>
        <v>SANDY</v>
      </c>
      <c r="B21" s="34" t="str" cm="1">
        <f t="array" ref="B21">TRIM(IFERROR(_xlfn.IFS(D1_FEBRERO_2026[[#This Row],[ASESOR]]="ELVIS GUERRA","ELVIS GUERRERA",D1_FEBRERO_2026[[#This Row],[ASESOR]]="GENESIS VICUÑA","GENESIS VICUNA",D1_FEBRERO_2026[[#This Row],[ASESOR]]="GINA HUMANI","GINA HUAMANI"),D1_FEBRERO_2026[[#This Row],[ASESOR]]))</f>
        <v>EVELY TENORIO</v>
      </c>
      <c r="C2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21" s="35">
        <f>IF(D1_FEBRERO_2026[[#This Row],[RECUPERO]]="VACACIONES","VACACIONES",IFERROR(D1_FEBRERO_2026[[#This Row],[RECUPERO]]/D1_FEBRERO_2026[[#This Row],[META]],""))</f>
        <v>0.57640000000000002</v>
      </c>
      <c r="E21" s="35" t="s">
        <v>3</v>
      </c>
      <c r="F21" t="s">
        <v>22</v>
      </c>
      <c r="G21" s="3">
        <v>28820</v>
      </c>
      <c r="H21" t="s">
        <v>442</v>
      </c>
      <c r="I21" s="55">
        <v>45295</v>
      </c>
      <c r="J21" s="55" t="s">
        <v>501</v>
      </c>
      <c r="K21" s="55"/>
      <c r="L21" s="55"/>
      <c r="M21" s="5">
        <f>DATA_FEBRERO_2026[[#This Row],[RECUPERO]]/DATA_FEBRERO_2026[[#This Row],[META]]</f>
        <v>1.1409787234042552</v>
      </c>
      <c r="N21" s="5">
        <f>6-ROUNDUP(_xlfn.RANK.EQ(DATA_FEBRERO_2026[[#This Row],[AL_AC]],DATA_FEBRERO_2026[AL_AC],0)/(COUNTA(DATA_FEBRERO_2026[AL_AC])/5),0)</f>
        <v>3</v>
      </c>
      <c r="O21" s="54" t="str">
        <f>IFERROR(VLOOKUP(DATA_FEBRERO_2026[[#This Row],[ASER_]],$B:$G,4,0),"")</f>
        <v>GUSTAVO</v>
      </c>
      <c r="P21" s="6">
        <f>SUM(DATA_FEBRERO_2026[[#This Row],[1]:[31]])</f>
        <v>26813</v>
      </c>
      <c r="Q21" s="6">
        <f>VLOOKUP(DATA_FEBRERO_2026[[#This Row],[ASER_]],D1_FEBRERO_2026[[ASESOR_CRR]:[META]],2,0)</f>
        <v>23500</v>
      </c>
      <c r="R21" t="s">
        <v>495</v>
      </c>
      <c r="S21" s="45"/>
      <c r="T21">
        <v>1108</v>
      </c>
      <c r="U21">
        <v>750</v>
      </c>
      <c r="V21">
        <v>1800</v>
      </c>
      <c r="W21">
        <v>180</v>
      </c>
      <c r="AA21">
        <v>275</v>
      </c>
      <c r="AB21">
        <v>615</v>
      </c>
      <c r="AC21">
        <v>790</v>
      </c>
      <c r="AD21">
        <v>2500</v>
      </c>
      <c r="AE21">
        <v>1325</v>
      </c>
      <c r="AH21">
        <v>1200</v>
      </c>
      <c r="AK21">
        <v>5500</v>
      </c>
      <c r="AL21">
        <v>50</v>
      </c>
      <c r="AM21">
        <v>100</v>
      </c>
      <c r="AO21">
        <v>200</v>
      </c>
      <c r="AP21">
        <v>900</v>
      </c>
      <c r="AQ21">
        <v>1050</v>
      </c>
      <c r="AR21">
        <v>7000</v>
      </c>
      <c r="AT21">
        <v>1470</v>
      </c>
      <c r="AX21" t="str" cm="1">
        <f t="array" ref="AX21">IFERROR(VLOOKUP(DATA_FEBRERO_2026[[#This Row],[ASER_]],_xlfn._xlws.FILTER(PLANTILLA[[ASESOR]:[FECHA DE CESE]],PLANTILLA[FECHA]=_xlfn.CONCAT($M$3,"_",_xlfn.IFS($N$3="ENERO","1",$N$3="FEBRERO","2",$N$3="MARZO","3",$N$3="ABRIL","4",$N$3="MAYO","5",$N$3="JUNIO","6",$N$3="JULIO","7",$N$3="AGOSTO","8",$N$3="SETIEMBRE","9",$N$3="OCTUBRE","10",$N$3="NOVIEMBRE","11",$N$3="DICIEMBRE","12"))),8,0),"")</f>
        <v>S2-3-4</v>
      </c>
      <c r="BD21" s="47"/>
      <c r="BR21" s="45"/>
      <c r="BS21" s="47"/>
      <c r="BV21" s="45"/>
      <c r="BW21" s="45"/>
      <c r="CQ21" t="s">
        <v>636</v>
      </c>
      <c r="CR21" t="s">
        <v>6</v>
      </c>
      <c r="CS21" t="s">
        <v>26</v>
      </c>
      <c r="CT21">
        <v>46081</v>
      </c>
      <c r="CU21">
        <v>1</v>
      </c>
      <c r="CV21">
        <v>1</v>
      </c>
      <c r="CX21">
        <v>1</v>
      </c>
      <c r="CZ21">
        <v>1.0416666666666667E-4</v>
      </c>
      <c r="DA21">
        <v>1.0416666666666667E-4</v>
      </c>
      <c r="DB21">
        <v>0.145625</v>
      </c>
      <c r="DC21">
        <v>5.1041666666666666E-2</v>
      </c>
      <c r="DD21">
        <v>51</v>
      </c>
      <c r="DE21">
        <v>77</v>
      </c>
      <c r="DF21">
        <v>14</v>
      </c>
      <c r="DG21">
        <v>1.5</v>
      </c>
      <c r="DH21">
        <v>29270</v>
      </c>
      <c r="DI21">
        <v>0.27450000000000002</v>
      </c>
      <c r="DJ21">
        <v>1</v>
      </c>
      <c r="DK21">
        <v>7.1400000000000005E-2</v>
      </c>
      <c r="DL21">
        <v>3600</v>
      </c>
      <c r="DM21">
        <v>3600</v>
      </c>
      <c r="DN21">
        <v>3600</v>
      </c>
      <c r="DO21">
        <v>1</v>
      </c>
      <c r="DP21">
        <v>0.14349999999999999</v>
      </c>
      <c r="DQ21">
        <v>100</v>
      </c>
      <c r="DR21">
        <v>3600</v>
      </c>
    </row>
    <row r="22" spans="1:122" x14ac:dyDescent="0.25">
      <c r="A22" s="35" t="str">
        <f>D1_FEBRERO_2026[[#This Row],[SUPER2]]</f>
        <v>KENNETH</v>
      </c>
      <c r="B22" s="34" t="str" cm="1">
        <f t="array" ref="B22">TRIM(IFERROR(_xlfn.IFS(D1_FEBRERO_2026[[#This Row],[ASESOR]]="ELVIS GUERRA","ELVIS GUERRERA",D1_FEBRERO_2026[[#This Row],[ASESOR]]="GENESIS VICUÑA","GENESIS VICUNA",D1_FEBRERO_2026[[#This Row],[ASESOR]]="GINA HUMANI","GINA HUAMANI"),D1_FEBRERO_2026[[#This Row],[ASESOR]]))</f>
        <v>FRANK PACORA</v>
      </c>
      <c r="C2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22" s="35">
        <f>IF(D1_FEBRERO_2026[[#This Row],[RECUPERO]]="VACACIONES","VACACIONES",IFERROR(D1_FEBRERO_2026[[#This Row],[RECUPERO]]/D1_FEBRERO_2026[[#This Row],[META]],""))</f>
        <v>1.5618867924528301</v>
      </c>
      <c r="E22" s="35" t="s">
        <v>6</v>
      </c>
      <c r="F22" t="s">
        <v>105</v>
      </c>
      <c r="G22" s="3">
        <v>41390</v>
      </c>
      <c r="H22" t="s">
        <v>463</v>
      </c>
      <c r="I22" s="55">
        <v>46027</v>
      </c>
      <c r="J22" s="55" t="s">
        <v>501</v>
      </c>
      <c r="K22" s="55"/>
      <c r="L22" s="55"/>
      <c r="M22" s="5">
        <f>DATA_FEBRERO_2026[[#This Row],[RECUPERO]]/DATA_FEBRERO_2026[[#This Row],[META]]</f>
        <v>0.57640000000000002</v>
      </c>
      <c r="N22" s="5">
        <f>6-ROUNDUP(_xlfn.RANK.EQ(DATA_FEBRERO_2026[[#This Row],[AL_AC]],DATA_FEBRERO_2026[AL_AC],0)/(COUNTA(DATA_FEBRERO_2026[AL_AC])/5),0)</f>
        <v>1</v>
      </c>
      <c r="O22" s="54" t="str">
        <f>IFERROR(VLOOKUP(DATA_FEBRERO_2026[[#This Row],[ASER_]],$B:$G,4,0),"")</f>
        <v>SANDY</v>
      </c>
      <c r="P22" s="6">
        <f>SUM(DATA_FEBRERO_2026[[#This Row],[1]:[31]])</f>
        <v>28820</v>
      </c>
      <c r="Q22" s="6">
        <f>VLOOKUP(DATA_FEBRERO_2026[[#This Row],[ASER_]],D1_FEBRERO_2026[[ASESOR_CRR]:[META]],2,0)</f>
        <v>50000</v>
      </c>
      <c r="R22" t="s">
        <v>22</v>
      </c>
      <c r="S22" s="45"/>
      <c r="V22">
        <v>760</v>
      </c>
      <c r="W22">
        <v>400</v>
      </c>
      <c r="AD22">
        <v>6180</v>
      </c>
      <c r="AO22">
        <v>3000</v>
      </c>
      <c r="AP22">
        <v>7000</v>
      </c>
      <c r="AQ22">
        <v>4280</v>
      </c>
      <c r="AR22">
        <v>200</v>
      </c>
      <c r="AT22">
        <v>7000</v>
      </c>
      <c r="AX22" t="str" cm="1">
        <f t="array" ref="AX22">IFERROR(VLOOKUP(DATA_FEBRERO_2026[[#This Row],[ASER_]],_xlfn._xlws.FILTER(PLANTILLA[[ASESOR]:[FECHA DE CESE]],PLANTILLA[FECHA]=_xlfn.CONCAT($M$3,"_",_xlfn.IFS($N$3="ENERO","1",$N$3="FEBRERO","2",$N$3="MARZO","3",$N$3="ABRIL","4",$N$3="MAYO","5",$N$3="JUNIO","6",$N$3="JULIO","7",$N$3="AGOSTO","8",$N$3="SETIEMBRE","9",$N$3="OCTUBRE","10",$N$3="NOVIEMBRE","11",$N$3="DICIEMBRE","12"))),8,0),"")</f>
        <v>S1</v>
      </c>
      <c r="BD22" s="45"/>
      <c r="BR22" s="47"/>
      <c r="BS22" s="45"/>
      <c r="BV22" s="45"/>
      <c r="CQ22" t="s">
        <v>636</v>
      </c>
      <c r="CR22" t="s">
        <v>6</v>
      </c>
      <c r="CS22" t="s">
        <v>97</v>
      </c>
      <c r="CT22">
        <v>46064</v>
      </c>
      <c r="CU22">
        <v>1</v>
      </c>
      <c r="CV22">
        <v>1</v>
      </c>
      <c r="CX22">
        <v>1</v>
      </c>
      <c r="CZ22">
        <v>1.1574074074074073E-5</v>
      </c>
      <c r="DA22">
        <v>1.1574074074074073E-5</v>
      </c>
      <c r="DB22">
        <v>2.7303240740740739E-2</v>
      </c>
      <c r="DC22">
        <v>2.4664351851851851E-2</v>
      </c>
      <c r="DD22">
        <v>89</v>
      </c>
      <c r="DE22">
        <v>147</v>
      </c>
      <c r="DF22">
        <v>17</v>
      </c>
      <c r="DG22" t="s">
        <v>821</v>
      </c>
      <c r="DH22">
        <v>36088</v>
      </c>
      <c r="DI22">
        <v>0.191</v>
      </c>
      <c r="DJ22">
        <v>3</v>
      </c>
      <c r="DK22">
        <v>0.17649999999999999</v>
      </c>
      <c r="DL22">
        <v>13540</v>
      </c>
      <c r="DM22">
        <v>4513</v>
      </c>
      <c r="DN22">
        <v>13540</v>
      </c>
      <c r="DO22">
        <v>1</v>
      </c>
      <c r="DP22">
        <v>0.13980000000000001</v>
      </c>
      <c r="DQ22">
        <v>100</v>
      </c>
      <c r="DR22">
        <v>4513</v>
      </c>
    </row>
    <row r="23" spans="1:122" x14ac:dyDescent="0.25">
      <c r="A23" s="35" t="str">
        <f>D1_FEBRERO_2026[[#This Row],[SUPER2]]</f>
        <v>GUSTAVO</v>
      </c>
      <c r="B23" s="34" t="str" cm="1">
        <f t="array" ref="B23">TRIM(IFERROR(_xlfn.IFS(D1_FEBRERO_2026[[#This Row],[ASESOR]]="ELVIS GUERRA","ELVIS GUERRERA",D1_FEBRERO_2026[[#This Row],[ASESOR]]="GENESIS VICUÑA","GENESIS VICUNA",D1_FEBRERO_2026[[#This Row],[ASESOR]]="GINA HUMANI","GINA HUAMANI"),D1_FEBRERO_2026[[#This Row],[ASESOR]]))</f>
        <v>GENESIS PALACIOS</v>
      </c>
      <c r="C2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23" s="35">
        <f>IF(D1_FEBRERO_2026[[#This Row],[RECUPERO]]="VACACIONES","VACACIONES",IFERROR(D1_FEBRERO_2026[[#This Row],[RECUPERO]]/D1_FEBRERO_2026[[#This Row],[META]],""))</f>
        <v>1.3866382978723404</v>
      </c>
      <c r="E23" s="35" t="s">
        <v>124</v>
      </c>
      <c r="F23" t="s">
        <v>493</v>
      </c>
      <c r="G23" s="3">
        <v>32586</v>
      </c>
      <c r="H23" t="s">
        <v>545</v>
      </c>
      <c r="I23" s="55">
        <v>46052</v>
      </c>
      <c r="J23" s="55" t="s">
        <v>501</v>
      </c>
      <c r="K23" s="55"/>
      <c r="L23" s="55"/>
      <c r="M23" s="5">
        <f>DATA_FEBRERO_2026[[#This Row],[RECUPERO]]/DATA_FEBRERO_2026[[#This Row],[META]]</f>
        <v>1.5618867924528301</v>
      </c>
      <c r="N23" s="5">
        <f>6-ROUNDUP(_xlfn.RANK.EQ(DATA_FEBRERO_2026[[#This Row],[AL_AC]],DATA_FEBRERO_2026[AL_AC],0)/(COUNTA(DATA_FEBRERO_2026[AL_AC])/5),0)</f>
        <v>5</v>
      </c>
      <c r="O23" s="54" t="str">
        <f>IFERROR(VLOOKUP(DATA_FEBRERO_2026[[#This Row],[ASER_]],$B:$G,4,0),"")</f>
        <v>KENNETH</v>
      </c>
      <c r="P23" s="6">
        <f>SUM(DATA_FEBRERO_2026[[#This Row],[1]:[31]])</f>
        <v>41390</v>
      </c>
      <c r="Q23" s="6">
        <f>VLOOKUP(DATA_FEBRERO_2026[[#This Row],[ASER_]],D1_FEBRERO_2026[[ASESOR_CRR]:[META]],2,0)</f>
        <v>26500</v>
      </c>
      <c r="R23" t="s">
        <v>105</v>
      </c>
      <c r="V23">
        <v>650</v>
      </c>
      <c r="W23">
        <v>1000</v>
      </c>
      <c r="X23">
        <v>230</v>
      </c>
      <c r="AA23">
        <v>3500</v>
      </c>
      <c r="AB23">
        <v>2200</v>
      </c>
      <c r="AD23">
        <v>12605</v>
      </c>
      <c r="AL23">
        <v>6600</v>
      </c>
      <c r="AM23">
        <v>4000</v>
      </c>
      <c r="AR23">
        <v>1125</v>
      </c>
      <c r="AS23">
        <v>6000</v>
      </c>
      <c r="AT23">
        <v>3480</v>
      </c>
      <c r="AX23" t="str" cm="1">
        <f t="array" ref="AX23">IFERROR(VLOOKUP(DATA_FEBRERO_2026[[#This Row],[ASER_]],_xlfn._xlws.FILTER(PLANTILLA[[ASESOR]:[FECHA DE CESE]],PLANTILLA[FECHA]=_xlfn.CONCAT($M$3,"_",_xlfn.IFS($N$3="ENERO","1",$N$3="FEBRERO","2",$N$3="MARZO","3",$N$3="ABRIL","4",$N$3="MAYO","5",$N$3="JUNIO","6",$N$3="JULIO","7",$N$3="AGOSTO","8",$N$3="SETIEMBRE","9",$N$3="OCTUBRE","10",$N$3="NOVIEMBRE","11",$N$3="DICIEMBRE","12"))),8,0),"")</f>
        <v>S0 - IBK</v>
      </c>
      <c r="BR23" s="45"/>
      <c r="CQ23" t="s">
        <v>636</v>
      </c>
      <c r="CR23" t="s">
        <v>6</v>
      </c>
      <c r="CS23" t="s">
        <v>97</v>
      </c>
      <c r="CT23">
        <v>46065</v>
      </c>
      <c r="CU23">
        <v>1</v>
      </c>
      <c r="CV23">
        <v>1</v>
      </c>
      <c r="CX23">
        <v>1</v>
      </c>
      <c r="CZ23">
        <v>2.3148148148148147E-5</v>
      </c>
      <c r="DA23">
        <v>2.3148148148148147E-5</v>
      </c>
      <c r="DB23">
        <v>1.6192129629629629E-2</v>
      </c>
      <c r="DC23">
        <v>2.4212962962962964E-2</v>
      </c>
      <c r="DD23">
        <v>93</v>
      </c>
      <c r="DE23">
        <v>160</v>
      </c>
      <c r="DF23">
        <v>25</v>
      </c>
      <c r="DG23">
        <v>1.8</v>
      </c>
      <c r="DH23">
        <v>38439</v>
      </c>
      <c r="DI23">
        <v>0.26879999999999998</v>
      </c>
      <c r="DJ23">
        <v>3</v>
      </c>
      <c r="DK23">
        <v>0.12</v>
      </c>
      <c r="DL23">
        <v>13668</v>
      </c>
      <c r="DM23">
        <v>4556</v>
      </c>
      <c r="DN23">
        <v>13668</v>
      </c>
      <c r="DO23">
        <v>1</v>
      </c>
      <c r="DP23">
        <v>0.48099999999999998</v>
      </c>
      <c r="DQ23">
        <v>100</v>
      </c>
      <c r="DR23">
        <v>4556</v>
      </c>
    </row>
    <row r="24" spans="1:122" x14ac:dyDescent="0.25">
      <c r="A24" s="35" t="str">
        <f>D1_FEBRERO_2026[[#This Row],[SUPER2]]</f>
        <v>JOHAN</v>
      </c>
      <c r="B24" s="34" t="str" cm="1">
        <f t="array" ref="B24">TRIM(IFERROR(_xlfn.IFS(D1_FEBRERO_2026[[#This Row],[ASESOR]]="ELVIS GUERRA","ELVIS GUERRERA",D1_FEBRERO_2026[[#This Row],[ASESOR]]="GENESIS VICUÑA","GENESIS VICUNA",D1_FEBRERO_2026[[#This Row],[ASESOR]]="GINA HUMANI","GINA HUAMANI"),D1_FEBRERO_2026[[#This Row],[ASESOR]]))</f>
        <v>GENESIS VICUNA</v>
      </c>
      <c r="C2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24" s="35">
        <f>IF(D1_FEBRERO_2026[[#This Row],[RECUPERO]]="VACACIONES","VACACIONES",IFERROR(D1_FEBRERO_2026[[#This Row],[RECUPERO]]/D1_FEBRERO_2026[[#This Row],[META]],""))</f>
        <v>0.94379999999999997</v>
      </c>
      <c r="E24" s="35" t="s">
        <v>125</v>
      </c>
      <c r="F24" t="s">
        <v>12</v>
      </c>
      <c r="G24" s="3">
        <v>47190</v>
      </c>
      <c r="H24" t="s">
        <v>389</v>
      </c>
      <c r="I24" s="55">
        <v>44868</v>
      </c>
      <c r="J24" s="55" t="s">
        <v>501</v>
      </c>
      <c r="K24" s="55"/>
      <c r="L24" s="55"/>
      <c r="M24" s="5">
        <f>DATA_FEBRERO_2026[[#This Row],[RECUPERO]]/DATA_FEBRERO_2026[[#This Row],[META]]</f>
        <v>1.3866382978723404</v>
      </c>
      <c r="N24" s="5">
        <f>6-ROUNDUP(_xlfn.RANK.EQ(DATA_FEBRERO_2026[[#This Row],[AL_AC]],DATA_FEBRERO_2026[AL_AC],0)/(COUNTA(DATA_FEBRERO_2026[AL_AC])/5),0)</f>
        <v>4</v>
      </c>
      <c r="O24" s="54" t="str">
        <f>IFERROR(VLOOKUP(DATA_FEBRERO_2026[[#This Row],[ASER_]],$B:$G,4,0),"")</f>
        <v>GUSTAVO</v>
      </c>
      <c r="P24" s="6">
        <f>SUM(DATA_FEBRERO_2026[[#This Row],[1]:[31]])</f>
        <v>32586</v>
      </c>
      <c r="Q24" s="6">
        <f>VLOOKUP(DATA_FEBRERO_2026[[#This Row],[ASER_]],D1_FEBRERO_2026[[ASESOR_CRR]:[META]],2,0)</f>
        <v>23500</v>
      </c>
      <c r="R24" t="s">
        <v>493</v>
      </c>
      <c r="W24">
        <v>1436</v>
      </c>
      <c r="X24">
        <v>500</v>
      </c>
      <c r="AA24">
        <v>600</v>
      </c>
      <c r="AB24">
        <v>4400</v>
      </c>
      <c r="AC24">
        <v>1250</v>
      </c>
      <c r="AE24">
        <v>3800</v>
      </c>
      <c r="AH24">
        <v>3700</v>
      </c>
      <c r="AI24">
        <v>2000</v>
      </c>
      <c r="AJ24">
        <v>300</v>
      </c>
      <c r="AL24">
        <v>5000</v>
      </c>
      <c r="AO24">
        <v>1500</v>
      </c>
      <c r="AQ24">
        <v>7000</v>
      </c>
      <c r="AS24">
        <v>1100</v>
      </c>
      <c r="AX24" t="str" cm="1">
        <f t="array" ref="AX24">IFERROR(VLOOKUP(DATA_FEBRERO_2026[[#This Row],[ASER_]],_xlfn._xlws.FILTER(PLANTILLA[[ASESOR]:[FECHA DE CESE]],PLANTILLA[FECHA]=_xlfn.CONCAT($M$3,"_",_xlfn.IFS($N$3="ENERO","1",$N$3="FEBRERO","2",$N$3="MARZO","3",$N$3="ABRIL","4",$N$3="MAYO","5",$N$3="JUNIO","6",$N$3="JULIO","7",$N$3="AGOSTO","8",$N$3="SETIEMBRE","9",$N$3="OCTUBRE","10",$N$3="NOVIEMBRE","11",$N$3="DICIEMBRE","12"))),8,0),"")</f>
        <v>S2-3-4</v>
      </c>
      <c r="BV24" s="45"/>
      <c r="CQ24" t="s">
        <v>636</v>
      </c>
      <c r="CR24" t="s">
        <v>3</v>
      </c>
      <c r="CS24" t="s">
        <v>96</v>
      </c>
      <c r="CT24">
        <v>46079</v>
      </c>
      <c r="CU24">
        <v>1</v>
      </c>
      <c r="CV24">
        <v>1</v>
      </c>
      <c r="CX24">
        <v>1</v>
      </c>
      <c r="CZ24">
        <v>3.1250000000000001E-4</v>
      </c>
      <c r="DA24">
        <v>3.1250000000000001E-4</v>
      </c>
      <c r="DB24">
        <v>0.15505787037037036</v>
      </c>
      <c r="DC24">
        <v>0.20884259259259258</v>
      </c>
      <c r="DD24">
        <v>53</v>
      </c>
      <c r="DE24">
        <v>128</v>
      </c>
      <c r="DF24">
        <v>7</v>
      </c>
      <c r="DG24">
        <v>2</v>
      </c>
      <c r="DH24">
        <v>52086</v>
      </c>
      <c r="DI24">
        <v>0.1321</v>
      </c>
      <c r="DJ24">
        <v>1</v>
      </c>
      <c r="DK24">
        <v>0.1429</v>
      </c>
      <c r="DL24">
        <v>6000</v>
      </c>
      <c r="DM24">
        <v>6000</v>
      </c>
      <c r="DN24">
        <v>6000</v>
      </c>
      <c r="DO24">
        <v>1</v>
      </c>
      <c r="DP24">
        <v>0.1865</v>
      </c>
      <c r="DQ24">
        <v>100</v>
      </c>
      <c r="DR24">
        <v>6000</v>
      </c>
    </row>
    <row r="25" spans="1:122" x14ac:dyDescent="0.25">
      <c r="A25" s="35" t="str">
        <f>D1_FEBRERO_2026[[#This Row],[SUPER2]]</f>
        <v>GUSTAVO</v>
      </c>
      <c r="B25" s="34" t="str" cm="1">
        <f t="array" ref="B25">TRIM(IFERROR(_xlfn.IFS(D1_FEBRERO_2026[[#This Row],[ASESOR]]="ELVIS GUERRA","ELVIS GUERRERA",D1_FEBRERO_2026[[#This Row],[ASESOR]]="GENESIS VICUÑA","GENESIS VICUNA",D1_FEBRERO_2026[[#This Row],[ASESOR]]="GINA HUMANI","GINA HUAMANI"),D1_FEBRERO_2026[[#This Row],[ASESOR]]))</f>
        <v>GERALDINE ARROYO</v>
      </c>
      <c r="C2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25" s="35">
        <f>IF(D1_FEBRERO_2026[[#This Row],[RECUPERO]]="VACACIONES","VACACIONES",IFERROR(D1_FEBRERO_2026[[#This Row],[RECUPERO]]/D1_FEBRERO_2026[[#This Row],[META]],""))</f>
        <v>0.77842553191489361</v>
      </c>
      <c r="E25" s="35" t="s">
        <v>124</v>
      </c>
      <c r="F25" t="s">
        <v>51</v>
      </c>
      <c r="G25" s="3">
        <v>18293</v>
      </c>
      <c r="H25" t="s">
        <v>413</v>
      </c>
      <c r="I25" s="55">
        <v>45678</v>
      </c>
      <c r="J25" s="55" t="s">
        <v>501</v>
      </c>
      <c r="K25" s="55"/>
      <c r="L25" s="55"/>
      <c r="M25" s="5">
        <f>DATA_FEBRERO_2026[[#This Row],[RECUPERO]]/DATA_FEBRERO_2026[[#This Row],[META]]</f>
        <v>0.94379999999999997</v>
      </c>
      <c r="N25" s="5">
        <f>6-ROUNDUP(_xlfn.RANK.EQ(DATA_FEBRERO_2026[[#This Row],[AL_AC]],DATA_FEBRERO_2026[AL_AC],0)/(COUNTA(DATA_FEBRERO_2026[AL_AC])/5),0)</f>
        <v>3</v>
      </c>
      <c r="O25" s="54" t="str">
        <f>IFERROR(VLOOKUP(DATA_FEBRERO_2026[[#This Row],[ASER_]],$B:$G,4,0),"")</f>
        <v>JOHAN</v>
      </c>
      <c r="P25" s="6">
        <f>SUM(DATA_FEBRERO_2026[[#This Row],[1]:[31]])</f>
        <v>47190</v>
      </c>
      <c r="Q25" s="6">
        <f>VLOOKUP(DATA_FEBRERO_2026[[#This Row],[ASER_]],D1_FEBRERO_2026[[ASESOR_CRR]:[META]],2,0)</f>
        <v>50000</v>
      </c>
      <c r="R25" t="s">
        <v>12</v>
      </c>
      <c r="U25">
        <v>400</v>
      </c>
      <c r="AA25">
        <v>6000</v>
      </c>
      <c r="AB25">
        <v>5700</v>
      </c>
      <c r="AC25">
        <v>15900</v>
      </c>
      <c r="AD25">
        <v>350</v>
      </c>
      <c r="AH25">
        <v>2000</v>
      </c>
      <c r="AL25">
        <v>2500</v>
      </c>
      <c r="AO25">
        <v>100</v>
      </c>
      <c r="AP25">
        <v>4800</v>
      </c>
      <c r="AQ25">
        <v>1250</v>
      </c>
      <c r="AR25">
        <v>1000</v>
      </c>
      <c r="AS25">
        <v>2600</v>
      </c>
      <c r="AT25">
        <v>4590</v>
      </c>
      <c r="AX25" t="str" cm="1">
        <f t="array" ref="AX25">IFERROR(VLOOKUP(DATA_FEBRERO_2026[[#This Row],[ASER_]],_xlfn._xlws.FILTER(PLANTILLA[[ASESOR]:[FECHA DE CESE]],PLANTILLA[FECHA]=_xlfn.CONCAT($M$3,"_",_xlfn.IFS($N$3="ENERO","1",$N$3="FEBRERO","2",$N$3="MARZO","3",$N$3="ABRIL","4",$N$3="MAYO","5",$N$3="JUNIO","6",$N$3="JULIO","7",$N$3="AGOSTO","8",$N$3="SETIEMBRE","9",$N$3="OCTUBRE","10",$N$3="NOVIEMBRE","11",$N$3="DICIEMBRE","12"))),8,0),"")</f>
        <v>S1</v>
      </c>
      <c r="CQ25" t="s">
        <v>636</v>
      </c>
      <c r="CR25" t="s">
        <v>3</v>
      </c>
      <c r="CS25" t="s">
        <v>65</v>
      </c>
      <c r="CT25">
        <v>46078</v>
      </c>
      <c r="CU25">
        <v>1</v>
      </c>
      <c r="CV25">
        <v>1</v>
      </c>
      <c r="CX25">
        <v>1</v>
      </c>
      <c r="CZ25">
        <v>3.3564814814814812E-4</v>
      </c>
      <c r="DA25">
        <v>3.3564814814814812E-4</v>
      </c>
      <c r="DB25">
        <v>0.18979166666666666</v>
      </c>
      <c r="DC25">
        <v>0.15241898148148147</v>
      </c>
      <c r="DD25">
        <v>60</v>
      </c>
      <c r="DE25">
        <v>175</v>
      </c>
      <c r="DF25">
        <v>11</v>
      </c>
      <c r="DG25" t="s">
        <v>695</v>
      </c>
      <c r="DH25">
        <v>25156</v>
      </c>
      <c r="DI25">
        <v>0.18329999999999999</v>
      </c>
      <c r="DJ25">
        <v>1</v>
      </c>
      <c r="DK25">
        <v>9.0899999999999995E-2</v>
      </c>
      <c r="DL25">
        <v>3000</v>
      </c>
      <c r="DM25">
        <v>3000</v>
      </c>
      <c r="DN25">
        <v>3000</v>
      </c>
      <c r="DO25">
        <v>1</v>
      </c>
      <c r="DP25">
        <v>0.14019999999999999</v>
      </c>
      <c r="DQ25">
        <v>100</v>
      </c>
      <c r="DR25">
        <v>3000</v>
      </c>
    </row>
    <row r="26" spans="1:122" x14ac:dyDescent="0.25">
      <c r="A26" s="35" t="str">
        <f>D1_FEBRERO_2026[[#This Row],[SUPER2]]</f>
        <v>SANDY</v>
      </c>
      <c r="B26" s="34" t="str" cm="1">
        <f t="array" ref="B26">TRIM(IFERROR(_xlfn.IFS(D1_FEBRERO_2026[[#This Row],[ASESOR]]="ELVIS GUERRA","ELVIS GUERRERA",D1_FEBRERO_2026[[#This Row],[ASESOR]]="GENESIS VICUÑA","GENESIS VICUNA",D1_FEBRERO_2026[[#This Row],[ASESOR]]="GINA HUMANI","GINA HUAMANI"),D1_FEBRERO_2026[[#This Row],[ASESOR]]))</f>
        <v>GIANFRANCO PINEDO</v>
      </c>
      <c r="C2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26" s="35">
        <f>IF(D1_FEBRERO_2026[[#This Row],[RECUPERO]]="VACACIONES","VACACIONES",IFERROR(D1_FEBRERO_2026[[#This Row],[RECUPERO]]/D1_FEBRERO_2026[[#This Row],[META]],""))</f>
        <v>1.3184</v>
      </c>
      <c r="E26" s="35" t="s">
        <v>3</v>
      </c>
      <c r="F26" t="s">
        <v>13</v>
      </c>
      <c r="G26" s="3">
        <v>65920</v>
      </c>
      <c r="H26" t="s">
        <v>382</v>
      </c>
      <c r="I26" s="55">
        <v>44809</v>
      </c>
      <c r="J26" s="55" t="s">
        <v>501</v>
      </c>
      <c r="K26" s="55"/>
      <c r="L26" s="55"/>
      <c r="M26" s="5">
        <f>DATA_FEBRERO_2026[[#This Row],[RECUPERO]]/DATA_FEBRERO_2026[[#This Row],[META]]</f>
        <v>0.77842553191489361</v>
      </c>
      <c r="N26" s="5">
        <f>6-ROUNDUP(_xlfn.RANK.EQ(DATA_FEBRERO_2026[[#This Row],[AL_AC]],DATA_FEBRERO_2026[AL_AC],0)/(COUNTA(DATA_FEBRERO_2026[AL_AC])/5),0)</f>
        <v>2</v>
      </c>
      <c r="O26" s="54" t="str">
        <f>IFERROR(VLOOKUP(DATA_FEBRERO_2026[[#This Row],[ASER_]],$B:$G,4,0),"")</f>
        <v>GUSTAVO</v>
      </c>
      <c r="P26" s="6">
        <f>SUM(DATA_FEBRERO_2026[[#This Row],[1]:[31]])</f>
        <v>18293</v>
      </c>
      <c r="Q26" s="6">
        <f>VLOOKUP(DATA_FEBRERO_2026[[#This Row],[ASER_]],D1_FEBRERO_2026[[ASESOR_CRR]:[META]],2,0)</f>
        <v>23500</v>
      </c>
      <c r="R26" t="s">
        <v>51</v>
      </c>
      <c r="S26">
        <v>260</v>
      </c>
      <c r="V26">
        <v>6000</v>
      </c>
      <c r="AA26">
        <v>6100</v>
      </c>
      <c r="AC26">
        <v>250</v>
      </c>
      <c r="AH26">
        <v>573</v>
      </c>
      <c r="AI26">
        <v>200</v>
      </c>
      <c r="AL26">
        <v>1050</v>
      </c>
      <c r="AO26">
        <v>1300</v>
      </c>
      <c r="AS26">
        <v>2300</v>
      </c>
      <c r="AT26">
        <v>260</v>
      </c>
      <c r="AX26" t="str" cm="1">
        <f t="array" ref="AX26">IFERROR(VLOOKUP(DATA_FEBRERO_2026[[#This Row],[ASER_]],_xlfn._xlws.FILTER(PLANTILLA[[ASESOR]:[FECHA DE CESE]],PLANTILLA[FECHA]=_xlfn.CONCAT($M$3,"_",_xlfn.IFS($N$3="ENERO","1",$N$3="FEBRERO","2",$N$3="MARZO","3",$N$3="ABRIL","4",$N$3="MAYO","5",$N$3="JUNIO","6",$N$3="JULIO","7",$N$3="AGOSTO","8",$N$3="SETIEMBRE","9",$N$3="OCTUBRE","10",$N$3="NOVIEMBRE","11",$N$3="DICIEMBRE","12"))),8,0),"")</f>
        <v>S2-3-4</v>
      </c>
      <c r="CQ26" t="s">
        <v>636</v>
      </c>
      <c r="CR26" t="s">
        <v>3</v>
      </c>
      <c r="CS26" t="s">
        <v>31</v>
      </c>
      <c r="CT26">
        <v>46066</v>
      </c>
      <c r="CU26">
        <v>1</v>
      </c>
      <c r="CV26">
        <v>1</v>
      </c>
      <c r="CX26">
        <v>1</v>
      </c>
      <c r="CZ26">
        <v>1.9675925925925926E-4</v>
      </c>
      <c r="DA26">
        <v>1.9675925925925926E-4</v>
      </c>
      <c r="DB26">
        <v>0.14972222222222223</v>
      </c>
      <c r="DC26">
        <v>7.8703703703703706E-2</v>
      </c>
      <c r="DD26">
        <v>53</v>
      </c>
      <c r="DE26">
        <v>148</v>
      </c>
      <c r="DF26">
        <v>9</v>
      </c>
      <c r="DG26">
        <v>3</v>
      </c>
      <c r="DH26">
        <v>17193</v>
      </c>
      <c r="DI26">
        <v>0.16980000000000001</v>
      </c>
      <c r="DJ26">
        <v>2</v>
      </c>
      <c r="DK26">
        <v>0.22220000000000001</v>
      </c>
      <c r="DL26">
        <v>8000</v>
      </c>
      <c r="DM26">
        <v>4000</v>
      </c>
      <c r="DN26">
        <v>8000</v>
      </c>
      <c r="DO26">
        <v>1</v>
      </c>
      <c r="DP26">
        <v>0.16589999999999999</v>
      </c>
      <c r="DQ26">
        <v>100</v>
      </c>
      <c r="DR26">
        <v>4000</v>
      </c>
    </row>
    <row r="27" spans="1:122" x14ac:dyDescent="0.25">
      <c r="A27" s="35" t="str">
        <f>D1_FEBRERO_2026[[#This Row],[SUPER2]]</f>
        <v>SANDY</v>
      </c>
      <c r="B27" s="34" t="str" cm="1">
        <f t="array" ref="B27">TRIM(IFERROR(_xlfn.IFS(D1_FEBRERO_2026[[#This Row],[ASESOR]]="ELVIS GUERRA","ELVIS GUERRERA",D1_FEBRERO_2026[[#This Row],[ASESOR]]="GENESIS VICUÑA","GENESIS VICUNA",D1_FEBRERO_2026[[#This Row],[ASESOR]]="GINA HUMANI","GINA HUAMANI"),D1_FEBRERO_2026[[#This Row],[ASESOR]]))</f>
        <v>GIANNINA AGUILAR</v>
      </c>
      <c r="C27"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27" s="35">
        <f>IF(D1_FEBRERO_2026[[#This Row],[RECUPERO]]="VACACIONES","VACACIONES",IFERROR(D1_FEBRERO_2026[[#This Row],[RECUPERO]]/D1_FEBRERO_2026[[#This Row],[META]],""))</f>
        <v>1.3682000000000001</v>
      </c>
      <c r="E27" s="35" t="s">
        <v>3</v>
      </c>
      <c r="F27" t="s">
        <v>32</v>
      </c>
      <c r="G27" s="3">
        <v>68410</v>
      </c>
      <c r="H27" t="s">
        <v>390</v>
      </c>
      <c r="I27" s="55">
        <v>45526</v>
      </c>
      <c r="J27" s="55" t="s">
        <v>501</v>
      </c>
      <c r="K27" s="55"/>
      <c r="L27" s="55"/>
      <c r="M27" s="5">
        <f>DATA_FEBRERO_2026[[#This Row],[RECUPERO]]/DATA_FEBRERO_2026[[#This Row],[META]]</f>
        <v>1.3184</v>
      </c>
      <c r="N27" s="5">
        <f>6-ROUNDUP(_xlfn.RANK.EQ(DATA_FEBRERO_2026[[#This Row],[AL_AC]],DATA_FEBRERO_2026[AL_AC],0)/(COUNTA(DATA_FEBRERO_2026[AL_AC])/5),0)</f>
        <v>4</v>
      </c>
      <c r="O27" s="54" t="str">
        <f>IFERROR(VLOOKUP(DATA_FEBRERO_2026[[#This Row],[ASER_]],$B:$G,4,0),"")</f>
        <v>SANDY</v>
      </c>
      <c r="P27" s="6">
        <f>SUM(DATA_FEBRERO_2026[[#This Row],[1]:[31]])</f>
        <v>65920</v>
      </c>
      <c r="Q27" s="6">
        <f>VLOOKUP(DATA_FEBRERO_2026[[#This Row],[ASER_]],D1_FEBRERO_2026[[ASESOR_CRR]:[META]],2,0)</f>
        <v>50000</v>
      </c>
      <c r="R27" t="s">
        <v>13</v>
      </c>
      <c r="V27">
        <v>700</v>
      </c>
      <c r="X27">
        <v>4600</v>
      </c>
      <c r="AA27">
        <v>4800</v>
      </c>
      <c r="AD27">
        <v>5000</v>
      </c>
      <c r="AE27">
        <v>3300</v>
      </c>
      <c r="AG27">
        <v>1500</v>
      </c>
      <c r="AJ27">
        <v>16800</v>
      </c>
      <c r="AL27">
        <v>4900</v>
      </c>
      <c r="AO27">
        <v>3800</v>
      </c>
      <c r="AQ27">
        <v>10520</v>
      </c>
      <c r="AS27">
        <v>10000</v>
      </c>
      <c r="AX27" t="str" cm="1">
        <f t="array" ref="AX27">IFERROR(VLOOKUP(DATA_FEBRERO_2026[[#This Row],[ASER_]],_xlfn._xlws.FILTER(PLANTILLA[[ASESOR]:[FECHA DE CESE]],PLANTILLA[FECHA]=_xlfn.CONCAT($M$3,"_",_xlfn.IFS($N$3="ENERO","1",$N$3="FEBRERO","2",$N$3="MARZO","3",$N$3="ABRIL","4",$N$3="MAYO","5",$N$3="JUNIO","6",$N$3="JULIO","7",$N$3="AGOSTO","8",$N$3="SETIEMBRE","9",$N$3="OCTUBRE","10",$N$3="NOVIEMBRE","11",$N$3="DICIEMBRE","12"))),8,0),"")</f>
        <v>S1</v>
      </c>
      <c r="CQ27" t="s">
        <v>636</v>
      </c>
      <c r="CR27" t="s">
        <v>124</v>
      </c>
      <c r="CS27" t="s">
        <v>495</v>
      </c>
      <c r="CT27">
        <v>46069</v>
      </c>
      <c r="CU27">
        <v>1</v>
      </c>
      <c r="CV27">
        <v>1</v>
      </c>
      <c r="CX27">
        <v>1</v>
      </c>
      <c r="CZ27">
        <v>1.1574074074074073E-5</v>
      </c>
      <c r="DA27">
        <v>1.1574074074074073E-5</v>
      </c>
      <c r="DB27">
        <v>0.20402777777777778</v>
      </c>
      <c r="DC27">
        <v>0.15385416666666665</v>
      </c>
      <c r="DD27">
        <v>152</v>
      </c>
      <c r="DE27">
        <v>268</v>
      </c>
      <c r="DF27">
        <v>22</v>
      </c>
      <c r="DG27" t="s">
        <v>852</v>
      </c>
      <c r="DH27">
        <v>13591</v>
      </c>
      <c r="DI27">
        <v>0.1447</v>
      </c>
      <c r="DJ27">
        <v>3</v>
      </c>
      <c r="DK27">
        <v>0.13639999999999999</v>
      </c>
      <c r="DL27">
        <v>1200</v>
      </c>
      <c r="DM27">
        <v>400</v>
      </c>
      <c r="DN27">
        <v>1200</v>
      </c>
      <c r="DO27">
        <v>1</v>
      </c>
      <c r="DP27">
        <v>0.1701</v>
      </c>
      <c r="DQ27">
        <v>98</v>
      </c>
      <c r="DR27">
        <v>400</v>
      </c>
    </row>
    <row r="28" spans="1:122" x14ac:dyDescent="0.25">
      <c r="A28" s="35" t="str">
        <f>D1_FEBRERO_2026[[#This Row],[SUPER2]]</f>
        <v>JORGE</v>
      </c>
      <c r="B28" s="34" t="str" cm="1">
        <f t="array" ref="B28">TRIM(IFERROR(_xlfn.IFS(D1_FEBRERO_2026[[#This Row],[ASESOR]]="ELVIS GUERRA","ELVIS GUERRERA",D1_FEBRERO_2026[[#This Row],[ASESOR]]="GENESIS VICUÑA","GENESIS VICUNA",D1_FEBRERO_2026[[#This Row],[ASESOR]]="GINA HUMANI","GINA HUAMANI"),D1_FEBRERO_2026[[#This Row],[ASESOR]]))</f>
        <v>HAROLD FLORES</v>
      </c>
      <c r="C2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28" s="35">
        <f>IF(D1_FEBRERO_2026[[#This Row],[RECUPERO]]="VACACIONES","VACACIONES",IFERROR(D1_FEBRERO_2026[[#This Row],[RECUPERO]]/D1_FEBRERO_2026[[#This Row],[META]],""))</f>
        <v>0.70364285714285713</v>
      </c>
      <c r="E28" s="35" t="s">
        <v>2</v>
      </c>
      <c r="F28" t="s">
        <v>42</v>
      </c>
      <c r="G28" s="3">
        <v>19702</v>
      </c>
      <c r="H28" t="s">
        <v>415</v>
      </c>
      <c r="I28" s="55">
        <v>45398</v>
      </c>
      <c r="J28" s="55" t="s">
        <v>501</v>
      </c>
      <c r="K28" s="55"/>
      <c r="L28" s="55"/>
      <c r="M28" s="5">
        <f>DATA_FEBRERO_2026[[#This Row],[RECUPERO]]/DATA_FEBRERO_2026[[#This Row],[META]]</f>
        <v>1.3682000000000001</v>
      </c>
      <c r="N28" s="5">
        <f>6-ROUNDUP(_xlfn.RANK.EQ(DATA_FEBRERO_2026[[#This Row],[AL_AC]],DATA_FEBRERO_2026[AL_AC],0)/(COUNTA(DATA_FEBRERO_2026[AL_AC])/5),0)</f>
        <v>4</v>
      </c>
      <c r="O28" s="54" t="str">
        <f>IFERROR(VLOOKUP(DATA_FEBRERO_2026[[#This Row],[ASER_]],$B:$G,4,0),"")</f>
        <v>SANDY</v>
      </c>
      <c r="P28" s="6">
        <f>SUM(DATA_FEBRERO_2026[[#This Row],[1]:[31]])</f>
        <v>68410</v>
      </c>
      <c r="Q28" s="6">
        <f>VLOOKUP(DATA_FEBRERO_2026[[#This Row],[ASER_]],D1_FEBRERO_2026[[ASESOR_CRR]:[META]],2,0)</f>
        <v>50000</v>
      </c>
      <c r="R28" t="s">
        <v>32</v>
      </c>
      <c r="T28">
        <v>1273</v>
      </c>
      <c r="W28">
        <v>2985</v>
      </c>
      <c r="AB28">
        <v>800</v>
      </c>
      <c r="AC28">
        <v>7125</v>
      </c>
      <c r="AH28">
        <v>7262</v>
      </c>
      <c r="AI28">
        <v>1600</v>
      </c>
      <c r="AJ28">
        <v>30000</v>
      </c>
      <c r="AK28">
        <v>800</v>
      </c>
      <c r="AL28">
        <v>700</v>
      </c>
      <c r="AM28">
        <v>515</v>
      </c>
      <c r="AO28">
        <v>600</v>
      </c>
      <c r="AP28">
        <v>4100</v>
      </c>
      <c r="AQ28">
        <v>2250</v>
      </c>
      <c r="AR28">
        <v>4000</v>
      </c>
      <c r="AS28">
        <v>3590</v>
      </c>
      <c r="AT28">
        <v>810</v>
      </c>
      <c r="AX28" t="str" cm="1">
        <f t="array" ref="AX28">IFERROR(VLOOKUP(DATA_FEBRERO_2026[[#This Row],[ASER_]],_xlfn._xlws.FILTER(PLANTILLA[[ASESOR]:[FECHA DE CESE]],PLANTILLA[FECHA]=_xlfn.CONCAT($M$3,"_",_xlfn.IFS($N$3="ENERO","1",$N$3="FEBRERO","2",$N$3="MARZO","3",$N$3="ABRIL","4",$N$3="MAYO","5",$N$3="JUNIO","6",$N$3="JULIO","7",$N$3="AGOSTO","8",$N$3="SETIEMBRE","9",$N$3="OCTUBRE","10",$N$3="NOVIEMBRE","11",$N$3="DICIEMBRE","12"))),8,0),"")</f>
        <v>S1</v>
      </c>
      <c r="CQ28" t="s">
        <v>636</v>
      </c>
      <c r="CR28" t="s">
        <v>124</v>
      </c>
      <c r="CS28" t="s">
        <v>495</v>
      </c>
      <c r="CT28">
        <v>46073</v>
      </c>
      <c r="CU28">
        <v>1</v>
      </c>
      <c r="CV28">
        <v>1</v>
      </c>
      <c r="CX28">
        <v>1</v>
      </c>
      <c r="CZ28">
        <v>1.8518518518518518E-4</v>
      </c>
      <c r="DA28">
        <v>1.8518518518518518E-4</v>
      </c>
      <c r="DB28">
        <v>0.20032407407407407</v>
      </c>
      <c r="DC28">
        <v>0.15982638888888889</v>
      </c>
      <c r="DD28">
        <v>103</v>
      </c>
      <c r="DE28">
        <v>185</v>
      </c>
      <c r="DF28">
        <v>24</v>
      </c>
      <c r="DG28" t="s">
        <v>674</v>
      </c>
      <c r="DH28">
        <v>21163</v>
      </c>
      <c r="DI28">
        <v>0.23300000000000001</v>
      </c>
      <c r="DJ28">
        <v>1</v>
      </c>
      <c r="DK28">
        <v>4.1700000000000001E-2</v>
      </c>
      <c r="DL28">
        <v>150</v>
      </c>
      <c r="DM28">
        <v>150</v>
      </c>
      <c r="DN28">
        <v>150</v>
      </c>
      <c r="DO28">
        <v>1</v>
      </c>
      <c r="DP28">
        <v>0.55279999999999996</v>
      </c>
      <c r="DQ28">
        <v>98</v>
      </c>
      <c r="DR28">
        <v>150</v>
      </c>
    </row>
    <row r="29" spans="1:122" x14ac:dyDescent="0.25">
      <c r="A29" s="35" t="str">
        <f>D1_FEBRERO_2026[[#This Row],[SUPER2]]</f>
        <v>GUSTAVO</v>
      </c>
      <c r="B29" s="34" t="str" cm="1">
        <f t="array" ref="B29">TRIM(IFERROR(_xlfn.IFS(D1_FEBRERO_2026[[#This Row],[ASESOR]]="ELVIS GUERRA","ELVIS GUERRERA",D1_FEBRERO_2026[[#This Row],[ASESOR]]="GENESIS VICUÑA","GENESIS VICUNA",D1_FEBRERO_2026[[#This Row],[ASESOR]]="GINA HUMANI","GINA HUAMANI"),D1_FEBRERO_2026[[#This Row],[ASESOR]]))</f>
        <v>JANETH PORTOCARRERO</v>
      </c>
      <c r="C2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29" s="35">
        <f>IF(D1_FEBRERO_2026[[#This Row],[RECUPERO]]="VACACIONES","VACACIONES",IFERROR(D1_FEBRERO_2026[[#This Row],[RECUPERO]]/D1_FEBRERO_2026[[#This Row],[META]],""))</f>
        <v>0.93251063829787229</v>
      </c>
      <c r="E29" s="35" t="s">
        <v>124</v>
      </c>
      <c r="F29" t="s">
        <v>49</v>
      </c>
      <c r="G29" s="3">
        <v>21914</v>
      </c>
      <c r="H29" t="s">
        <v>436</v>
      </c>
      <c r="I29" s="55">
        <v>43313</v>
      </c>
      <c r="J29" s="55" t="s">
        <v>501</v>
      </c>
      <c r="K29" s="55"/>
      <c r="L29" s="55"/>
      <c r="M29" s="5">
        <f>DATA_FEBRERO_2026[[#This Row],[RECUPERO]]/DATA_FEBRERO_2026[[#This Row],[META]]</f>
        <v>0.70364285714285713</v>
      </c>
      <c r="N29" s="5">
        <f>6-ROUNDUP(_xlfn.RANK.EQ(DATA_FEBRERO_2026[[#This Row],[AL_AC]],DATA_FEBRERO_2026[AL_AC],0)/(COUNTA(DATA_FEBRERO_2026[AL_AC])/5),0)</f>
        <v>1</v>
      </c>
      <c r="O29" s="54" t="str">
        <f>IFERROR(VLOOKUP(DATA_FEBRERO_2026[[#This Row],[ASER_]],$B:$G,4,0),"")</f>
        <v>JORGE</v>
      </c>
      <c r="P29" s="6">
        <f>SUM(DATA_FEBRERO_2026[[#This Row],[1]:[31]])</f>
        <v>19702</v>
      </c>
      <c r="Q29" s="6">
        <f>VLOOKUP(DATA_FEBRERO_2026[[#This Row],[ASER_]],D1_FEBRERO_2026[[ASESOR_CRR]:[META]],2,0)</f>
        <v>28000</v>
      </c>
      <c r="R29" t="s">
        <v>42</v>
      </c>
      <c r="U29">
        <v>120</v>
      </c>
      <c r="W29">
        <v>150</v>
      </c>
      <c r="X29">
        <v>1900</v>
      </c>
      <c r="AA29">
        <v>6620</v>
      </c>
      <c r="AC29">
        <v>210</v>
      </c>
      <c r="AD29">
        <v>90</v>
      </c>
      <c r="AE29">
        <v>500</v>
      </c>
      <c r="AG29">
        <v>100</v>
      </c>
      <c r="AI29">
        <v>1350</v>
      </c>
      <c r="AK29">
        <v>160</v>
      </c>
      <c r="AO29">
        <v>1800</v>
      </c>
      <c r="AP29">
        <v>3000</v>
      </c>
      <c r="AR29">
        <v>780</v>
      </c>
      <c r="AS29">
        <v>1052</v>
      </c>
      <c r="AT29">
        <v>1870</v>
      </c>
      <c r="AX29" t="str" cm="1">
        <f t="array" ref="AX29">IFERROR(VLOOKUP(DATA_FEBRERO_2026[[#This Row],[ASER_]],_xlfn._xlws.FILTER(PLANTILLA[[ASESOR]:[FECHA DE CESE]],PLANTILLA[FECHA]=_xlfn.CONCAT($M$3,"_",_xlfn.IFS($N$3="ENERO","1",$N$3="FEBRERO","2",$N$3="MARZO","3",$N$3="ABRIL","4",$N$3="MAYO","5",$N$3="JUNIO","6",$N$3="JULIO","7",$N$3="AGOSTO","8",$N$3="SETIEMBRE","9",$N$3="OCTUBRE","10",$N$3="NOVIEMBRE","11",$N$3="DICIEMBRE","12"))),8,0),"")</f>
        <v>S0</v>
      </c>
      <c r="CQ29" t="s">
        <v>636</v>
      </c>
      <c r="CR29" t="s">
        <v>124</v>
      </c>
      <c r="CS29" t="s">
        <v>495</v>
      </c>
      <c r="CT29">
        <v>46077</v>
      </c>
      <c r="CU29">
        <v>1</v>
      </c>
      <c r="CV29">
        <v>1</v>
      </c>
      <c r="CX29">
        <v>1</v>
      </c>
      <c r="CZ29">
        <v>1.9675925925925926E-4</v>
      </c>
      <c r="DA29">
        <v>1.9675925925925926E-4</v>
      </c>
      <c r="DB29">
        <v>0.17857638888888888</v>
      </c>
      <c r="DC29">
        <v>0.17652777777777778</v>
      </c>
      <c r="DD29">
        <v>100</v>
      </c>
      <c r="DE29">
        <v>216</v>
      </c>
      <c r="DF29">
        <v>27</v>
      </c>
      <c r="DG29" t="s">
        <v>1004</v>
      </c>
      <c r="DH29">
        <v>23856</v>
      </c>
      <c r="DI29">
        <v>0.27</v>
      </c>
      <c r="DJ29">
        <v>3</v>
      </c>
      <c r="DK29">
        <v>0.1111</v>
      </c>
      <c r="DL29">
        <v>1150</v>
      </c>
      <c r="DM29">
        <v>383</v>
      </c>
      <c r="DN29">
        <v>1150</v>
      </c>
      <c r="DO29">
        <v>1</v>
      </c>
      <c r="DP29">
        <v>0.23019999999999999</v>
      </c>
      <c r="DQ29">
        <v>98</v>
      </c>
      <c r="DR29">
        <v>383</v>
      </c>
    </row>
    <row r="30" spans="1:122" x14ac:dyDescent="0.25">
      <c r="A30" s="35" t="str">
        <f>D1_FEBRERO_2026[[#This Row],[SUPER2]]</f>
        <v>KENNETH</v>
      </c>
      <c r="B30" s="34" t="str" cm="1">
        <f t="array" ref="B30">TRIM(IFERROR(_xlfn.IFS(D1_FEBRERO_2026[[#This Row],[ASESOR]]="ELVIS GUERRA","ELVIS GUERRERA",D1_FEBRERO_2026[[#This Row],[ASESOR]]="GENESIS VICUÑA","GENESIS VICUNA",D1_FEBRERO_2026[[#This Row],[ASESOR]]="GINA HUMANI","GINA HUAMANI"),D1_FEBRERO_2026[[#This Row],[ASESOR]]))</f>
        <v>JENY LAZARO</v>
      </c>
      <c r="C3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30" s="35">
        <f>IF(D1_FEBRERO_2026[[#This Row],[RECUPERO]]="VACACIONES","VACACIONES",IFERROR(D1_FEBRERO_2026[[#This Row],[RECUPERO]]/D1_FEBRERO_2026[[#This Row],[META]],""))</f>
        <v>1.6580754716981132</v>
      </c>
      <c r="E30" s="35" t="s">
        <v>6</v>
      </c>
      <c r="F30" t="s">
        <v>26</v>
      </c>
      <c r="G30" s="3">
        <v>43939</v>
      </c>
      <c r="H30" t="s">
        <v>391</v>
      </c>
      <c r="I30" s="55">
        <v>44257</v>
      </c>
      <c r="J30" s="55" t="s">
        <v>501</v>
      </c>
      <c r="K30" s="55"/>
      <c r="L30" s="55"/>
      <c r="M30" s="5">
        <f>DATA_FEBRERO_2026[[#This Row],[RECUPERO]]/DATA_FEBRERO_2026[[#This Row],[META]]</f>
        <v>0.93251063829787229</v>
      </c>
      <c r="N30" s="5">
        <f>6-ROUNDUP(_xlfn.RANK.EQ(DATA_FEBRERO_2026[[#This Row],[AL_AC]],DATA_FEBRERO_2026[AL_AC],0)/(COUNTA(DATA_FEBRERO_2026[AL_AC])/5),0)</f>
        <v>2</v>
      </c>
      <c r="O30" s="54" t="str">
        <f>IFERROR(VLOOKUP(DATA_FEBRERO_2026[[#This Row],[ASER_]],$B:$G,4,0),"")</f>
        <v>GUSTAVO</v>
      </c>
      <c r="P30" s="6">
        <f>SUM(DATA_FEBRERO_2026[[#This Row],[1]:[31]])</f>
        <v>21914</v>
      </c>
      <c r="Q30" s="6">
        <f>VLOOKUP(DATA_FEBRERO_2026[[#This Row],[ASER_]],D1_FEBRERO_2026[[ASESOR_CRR]:[META]],2,0)</f>
        <v>23500</v>
      </c>
      <c r="R30" t="s">
        <v>49</v>
      </c>
      <c r="V30">
        <v>500</v>
      </c>
      <c r="W30">
        <v>400</v>
      </c>
      <c r="X30">
        <v>4500</v>
      </c>
      <c r="AB30">
        <v>2000</v>
      </c>
      <c r="AC30">
        <v>730</v>
      </c>
      <c r="AE30">
        <v>5620</v>
      </c>
      <c r="AH30">
        <v>600</v>
      </c>
      <c r="AJ30">
        <v>506</v>
      </c>
      <c r="AO30">
        <v>1200</v>
      </c>
      <c r="AP30">
        <v>1100</v>
      </c>
      <c r="AQ30">
        <v>4250</v>
      </c>
      <c r="AR30">
        <v>308</v>
      </c>
      <c r="AS30">
        <v>200</v>
      </c>
      <c r="AX30" t="str" cm="1">
        <f t="array" ref="AX30">IFERROR(VLOOKUP(DATA_FEBRERO_2026[[#This Row],[ASER_]],_xlfn._xlws.FILTER(PLANTILLA[[ASESOR]:[FECHA DE CESE]],PLANTILLA[FECHA]=_xlfn.CONCAT($M$3,"_",_xlfn.IFS($N$3="ENERO","1",$N$3="FEBRERO","2",$N$3="MARZO","3",$N$3="ABRIL","4",$N$3="MAYO","5",$N$3="JUNIO","6",$N$3="JULIO","7",$N$3="AGOSTO","8",$N$3="SETIEMBRE","9",$N$3="OCTUBRE","10",$N$3="NOVIEMBRE","11",$N$3="DICIEMBRE","12"))),8,0),"")</f>
        <v>S2-3-4</v>
      </c>
      <c r="CQ30" t="s">
        <v>636</v>
      </c>
      <c r="CR30" t="s">
        <v>124</v>
      </c>
      <c r="CS30" t="s">
        <v>493</v>
      </c>
      <c r="CT30">
        <v>46070</v>
      </c>
      <c r="CU30">
        <v>1</v>
      </c>
      <c r="CV30">
        <v>1</v>
      </c>
      <c r="CX30">
        <v>1</v>
      </c>
      <c r="CZ30">
        <v>2.3148148148148147E-5</v>
      </c>
      <c r="DA30">
        <v>2.3148148148148147E-5</v>
      </c>
      <c r="DB30">
        <v>0.22402777777777777</v>
      </c>
      <c r="DC30">
        <v>0.13590277777777779</v>
      </c>
      <c r="DD30">
        <v>187</v>
      </c>
      <c r="DE30">
        <v>237</v>
      </c>
      <c r="DF30">
        <v>44</v>
      </c>
      <c r="DG30" t="s">
        <v>1061</v>
      </c>
      <c r="DH30">
        <v>14936</v>
      </c>
      <c r="DI30">
        <v>0.23530000000000001</v>
      </c>
      <c r="DJ30">
        <v>3</v>
      </c>
      <c r="DK30">
        <v>6.8199999999999997E-2</v>
      </c>
      <c r="DL30">
        <v>2000</v>
      </c>
      <c r="DM30">
        <v>667</v>
      </c>
      <c r="DN30">
        <v>2000</v>
      </c>
      <c r="DO30">
        <v>1</v>
      </c>
      <c r="DP30">
        <v>0.18759999999999999</v>
      </c>
      <c r="DQ30">
        <v>98</v>
      </c>
      <c r="DR30">
        <v>667</v>
      </c>
    </row>
    <row r="31" spans="1:122" x14ac:dyDescent="0.25">
      <c r="A31" s="35" t="str">
        <f>D1_FEBRERO_2026[[#This Row],[SUPER2]]</f>
        <v>JOHAN</v>
      </c>
      <c r="B31" s="34" t="str" cm="1">
        <f t="array" ref="B31">TRIM(IFERROR(_xlfn.IFS(D1_FEBRERO_2026[[#This Row],[ASESOR]]="ELVIS GUERRA","ELVIS GUERRERA",D1_FEBRERO_2026[[#This Row],[ASESOR]]="GENESIS VICUÑA","GENESIS VICUNA",D1_FEBRERO_2026[[#This Row],[ASESOR]]="GINA HUMANI","GINA HUAMANI"),D1_FEBRERO_2026[[#This Row],[ASESOR]]))</f>
        <v>JEREMIAS ROJAS</v>
      </c>
      <c r="C3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31" s="35">
        <f>IF(D1_FEBRERO_2026[[#This Row],[RECUPERO]]="VACACIONES","VACACIONES",IFERROR(D1_FEBRERO_2026[[#This Row],[RECUPERO]]/D1_FEBRERO_2026[[#This Row],[META]],""))</f>
        <v>0.71779999999999999</v>
      </c>
      <c r="E31" s="35" t="s">
        <v>125</v>
      </c>
      <c r="F31" t="s">
        <v>122</v>
      </c>
      <c r="G31" s="3">
        <v>35890</v>
      </c>
      <c r="H31" t="s">
        <v>426</v>
      </c>
      <c r="I31" s="55">
        <v>45971</v>
      </c>
      <c r="J31" s="55" t="s">
        <v>501</v>
      </c>
      <c r="K31" s="55"/>
      <c r="L31" s="55"/>
      <c r="M31" s="5">
        <f>DATA_FEBRERO_2026[[#This Row],[RECUPERO]]/DATA_FEBRERO_2026[[#This Row],[META]]</f>
        <v>1.6580754716981132</v>
      </c>
      <c r="N31" s="5">
        <f>6-ROUNDUP(_xlfn.RANK.EQ(DATA_FEBRERO_2026[[#This Row],[AL_AC]],DATA_FEBRERO_2026[AL_AC],0)/(COUNTA(DATA_FEBRERO_2026[AL_AC])/5),0)</f>
        <v>5</v>
      </c>
      <c r="O31" s="54" t="str">
        <f>IFERROR(VLOOKUP(DATA_FEBRERO_2026[[#This Row],[ASER_]],$B:$G,4,0),"")</f>
        <v>KENNETH</v>
      </c>
      <c r="P31" s="6">
        <f>SUM(DATA_FEBRERO_2026[[#This Row],[1]:[31]])</f>
        <v>43939</v>
      </c>
      <c r="Q31" s="6">
        <f>VLOOKUP(DATA_FEBRERO_2026[[#This Row],[ASER_]],D1_FEBRERO_2026[[ASESOR_CRR]:[META]],2,0)</f>
        <v>26500</v>
      </c>
      <c r="R31" t="s">
        <v>26</v>
      </c>
      <c r="S31" s="45"/>
      <c r="U31">
        <v>320</v>
      </c>
      <c r="V31">
        <v>8000</v>
      </c>
      <c r="X31">
        <v>1500</v>
      </c>
      <c r="AD31">
        <v>2900</v>
      </c>
      <c r="AE31">
        <v>400</v>
      </c>
      <c r="AF31">
        <v>113</v>
      </c>
      <c r="AH31">
        <v>256</v>
      </c>
      <c r="AI31">
        <v>7500</v>
      </c>
      <c r="AL31">
        <v>10000</v>
      </c>
      <c r="AO31">
        <v>300</v>
      </c>
      <c r="AQ31">
        <v>250</v>
      </c>
      <c r="AR31">
        <v>8500</v>
      </c>
      <c r="AT31">
        <v>3900</v>
      </c>
      <c r="AX31" t="str" cm="1">
        <f t="array" ref="AX31">IFERROR(VLOOKUP(DATA_FEBRERO_2026[[#This Row],[ASER_]],_xlfn._xlws.FILTER(PLANTILLA[[ASESOR]:[FECHA DE CESE]],PLANTILLA[FECHA]=_xlfn.CONCAT($M$3,"_",_xlfn.IFS($N$3="ENERO","1",$N$3="FEBRERO","2",$N$3="MARZO","3",$N$3="ABRIL","4",$N$3="MAYO","5",$N$3="JUNIO","6",$N$3="JULIO","7",$N$3="AGOSTO","8",$N$3="SETIEMBRE","9",$N$3="OCTUBRE","10",$N$3="NOVIEMBRE","11",$N$3="DICIEMBRE","12"))),8,0),"")</f>
        <v>S0 - IBK</v>
      </c>
      <c r="CQ31" t="s">
        <v>636</v>
      </c>
      <c r="CR31" t="s">
        <v>124</v>
      </c>
      <c r="CS31" t="s">
        <v>49</v>
      </c>
      <c r="CT31">
        <v>46058</v>
      </c>
      <c r="CU31">
        <v>1</v>
      </c>
      <c r="CV31">
        <v>1</v>
      </c>
      <c r="CX31">
        <v>1</v>
      </c>
      <c r="CZ31">
        <v>3.2407407407407406E-3</v>
      </c>
      <c r="DA31">
        <v>3.2407407407407406E-3</v>
      </c>
      <c r="DB31">
        <v>6.9942129629629632E-2</v>
      </c>
      <c r="DC31">
        <v>3.6527777777777777E-2</v>
      </c>
      <c r="DD31">
        <v>62</v>
      </c>
      <c r="DE31">
        <v>91</v>
      </c>
      <c r="DF31">
        <v>14</v>
      </c>
      <c r="DG31" t="s">
        <v>705</v>
      </c>
      <c r="DH31">
        <v>6237</v>
      </c>
      <c r="DI31">
        <v>0.2258</v>
      </c>
      <c r="DJ31">
        <v>1</v>
      </c>
      <c r="DK31">
        <v>7.1400000000000005E-2</v>
      </c>
      <c r="DL31">
        <v>400</v>
      </c>
      <c r="DM31">
        <v>400</v>
      </c>
      <c r="DN31">
        <v>400</v>
      </c>
      <c r="DO31">
        <v>1</v>
      </c>
      <c r="DP31">
        <v>0.30830000000000002</v>
      </c>
      <c r="DQ31">
        <v>98</v>
      </c>
      <c r="DR31">
        <v>400</v>
      </c>
    </row>
    <row r="32" spans="1:122" x14ac:dyDescent="0.25">
      <c r="A32" s="35" t="str">
        <f>D1_FEBRERO_2026[[#This Row],[SUPER2]]</f>
        <v>SANDY</v>
      </c>
      <c r="B32" s="34" t="str" cm="1">
        <f t="array" ref="B32">TRIM(IFERROR(_xlfn.IFS(D1_FEBRERO_2026[[#This Row],[ASESOR]]="ELVIS GUERRA","ELVIS GUERRERA",D1_FEBRERO_2026[[#This Row],[ASESOR]]="GENESIS VICUÑA","GENESIS VICUNA",D1_FEBRERO_2026[[#This Row],[ASESOR]]="GINA HUMANI","GINA HUAMANI"),D1_FEBRERO_2026[[#This Row],[ASESOR]]))</f>
        <v>JESSICA MELGAREJO</v>
      </c>
      <c r="C3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32" s="35">
        <f>IF(D1_FEBRERO_2026[[#This Row],[RECUPERO]]="VACACIONES","VACACIONES",IFERROR(D1_FEBRERO_2026[[#This Row],[RECUPERO]]/D1_FEBRERO_2026[[#This Row],[META]],""))</f>
        <v>1.05236</v>
      </c>
      <c r="E32" s="35" t="s">
        <v>3</v>
      </c>
      <c r="F32" t="s">
        <v>96</v>
      </c>
      <c r="G32" s="3">
        <v>52618</v>
      </c>
      <c r="H32" t="s">
        <v>437</v>
      </c>
      <c r="I32" s="55">
        <v>45882</v>
      </c>
      <c r="J32" s="55" t="s">
        <v>501</v>
      </c>
      <c r="K32" s="55"/>
      <c r="L32" s="55"/>
      <c r="M32" s="5">
        <f>DATA_FEBRERO_2026[[#This Row],[RECUPERO]]/DATA_FEBRERO_2026[[#This Row],[META]]</f>
        <v>0.71779999999999999</v>
      </c>
      <c r="N32" s="5">
        <f>6-ROUNDUP(_xlfn.RANK.EQ(DATA_FEBRERO_2026[[#This Row],[AL_AC]],DATA_FEBRERO_2026[AL_AC],0)/(COUNTA(DATA_FEBRERO_2026[AL_AC])/5),0)</f>
        <v>2</v>
      </c>
      <c r="O32" s="54" t="str">
        <f>IFERROR(VLOOKUP(DATA_FEBRERO_2026[[#This Row],[ASER_]],$B:$G,4,0),"")</f>
        <v>JOHAN</v>
      </c>
      <c r="P32" s="6">
        <f>SUM(DATA_FEBRERO_2026[[#This Row],[1]:[31]])</f>
        <v>35890</v>
      </c>
      <c r="Q32" s="6">
        <f>VLOOKUP(DATA_FEBRERO_2026[[#This Row],[ASER_]],D1_FEBRERO_2026[[ASESOR_CRR]:[META]],2,0)</f>
        <v>50000</v>
      </c>
      <c r="R32" t="s">
        <v>122</v>
      </c>
      <c r="S32" s="45"/>
      <c r="T32">
        <v>3500</v>
      </c>
      <c r="U32">
        <v>2630</v>
      </c>
      <c r="X32">
        <v>10900</v>
      </c>
      <c r="AA32">
        <v>8000</v>
      </c>
      <c r="AL32">
        <v>500</v>
      </c>
      <c r="AO32">
        <v>1000</v>
      </c>
      <c r="AP32">
        <v>2000</v>
      </c>
      <c r="AQ32">
        <v>500</v>
      </c>
      <c r="AS32">
        <v>6000</v>
      </c>
      <c r="AT32">
        <v>860</v>
      </c>
      <c r="AX32" t="str" cm="1">
        <f t="array" ref="AX32">IFERROR(VLOOKUP(DATA_FEBRERO_2026[[#This Row],[ASER_]],_xlfn._xlws.FILTER(PLANTILLA[[ASESOR]:[FECHA DE CESE]],PLANTILLA[FECHA]=_xlfn.CONCAT($M$3,"_",_xlfn.IFS($N$3="ENERO","1",$N$3="FEBRERO","2",$N$3="MARZO","3",$N$3="ABRIL","4",$N$3="MAYO","5",$N$3="JUNIO","6",$N$3="JULIO","7",$N$3="AGOSTO","8",$N$3="SETIEMBRE","9",$N$3="OCTUBRE","10",$N$3="NOVIEMBRE","11",$N$3="DICIEMBRE","12"))),8,0),"")</f>
        <v>S1</v>
      </c>
      <c r="CQ32" t="s">
        <v>636</v>
      </c>
      <c r="CR32" t="s">
        <v>124</v>
      </c>
      <c r="CS32" t="s">
        <v>77</v>
      </c>
      <c r="CT32">
        <v>46072</v>
      </c>
      <c r="CU32">
        <v>1</v>
      </c>
      <c r="CV32">
        <v>1</v>
      </c>
      <c r="CX32">
        <v>1</v>
      </c>
      <c r="CZ32">
        <v>0</v>
      </c>
      <c r="DA32">
        <v>0</v>
      </c>
      <c r="DB32">
        <v>0.1683912037037037</v>
      </c>
      <c r="DC32">
        <v>0.14344907407407406</v>
      </c>
      <c r="DD32">
        <v>84</v>
      </c>
      <c r="DE32">
        <v>162</v>
      </c>
      <c r="DF32">
        <v>23</v>
      </c>
      <c r="DG32" t="s">
        <v>797</v>
      </c>
      <c r="DH32">
        <v>18917</v>
      </c>
      <c r="DI32">
        <v>0.27379999999999999</v>
      </c>
      <c r="DJ32">
        <v>1</v>
      </c>
      <c r="DK32">
        <v>4.3499999999999997E-2</v>
      </c>
      <c r="DL32">
        <v>400</v>
      </c>
      <c r="DM32">
        <v>400</v>
      </c>
      <c r="DN32">
        <v>400</v>
      </c>
      <c r="DO32">
        <v>1</v>
      </c>
      <c r="DP32">
        <v>0.43990000000000001</v>
      </c>
      <c r="DQ32">
        <v>98</v>
      </c>
      <c r="DR32">
        <v>400</v>
      </c>
    </row>
    <row r="33" spans="1:122" x14ac:dyDescent="0.25">
      <c r="A33" s="35" t="str">
        <f>D1_FEBRERO_2026[[#This Row],[SUPER2]]</f>
        <v>SANDY</v>
      </c>
      <c r="B33" s="34" t="str" cm="1">
        <f t="array" ref="B33">TRIM(IFERROR(_xlfn.IFS(D1_FEBRERO_2026[[#This Row],[ASESOR]]="ELVIS GUERRA","ELVIS GUERRERA",D1_FEBRERO_2026[[#This Row],[ASESOR]]="GENESIS VICUÑA","GENESIS VICUNA",D1_FEBRERO_2026[[#This Row],[ASESOR]]="GINA HUMANI","GINA HUAMANI"),D1_FEBRERO_2026[[#This Row],[ASESOR]]))</f>
        <v>JHONATAN CHAVEZ</v>
      </c>
      <c r="C3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33" s="35">
        <f>IF(D1_FEBRERO_2026[[#This Row],[RECUPERO]]="VACACIONES","VACACIONES",IFERROR(D1_FEBRERO_2026[[#This Row],[RECUPERO]]/D1_FEBRERO_2026[[#This Row],[META]],""))</f>
        <v>0.7581</v>
      </c>
      <c r="E33" s="35" t="s">
        <v>3</v>
      </c>
      <c r="F33" t="s">
        <v>65</v>
      </c>
      <c r="G33" s="3">
        <v>37905</v>
      </c>
      <c r="H33" t="s">
        <v>438</v>
      </c>
      <c r="I33" s="55">
        <v>45019</v>
      </c>
      <c r="J33" s="55" t="s">
        <v>501</v>
      </c>
      <c r="K33" s="55"/>
      <c r="L33" s="55"/>
      <c r="M33" s="5">
        <f>DATA_FEBRERO_2026[[#This Row],[RECUPERO]]/DATA_FEBRERO_2026[[#This Row],[META]]</f>
        <v>1.05236</v>
      </c>
      <c r="N33" s="5">
        <f>6-ROUNDUP(_xlfn.RANK.EQ(DATA_FEBRERO_2026[[#This Row],[AL_AC]],DATA_FEBRERO_2026[AL_AC],0)/(COUNTA(DATA_FEBRERO_2026[AL_AC])/5),0)</f>
        <v>3</v>
      </c>
      <c r="O33" s="54" t="str">
        <f>IFERROR(VLOOKUP(DATA_FEBRERO_2026[[#This Row],[ASER_]],$B:$G,4,0),"")</f>
        <v>SANDY</v>
      </c>
      <c r="P33" s="6">
        <f>SUM(DATA_FEBRERO_2026[[#This Row],[1]:[31]])</f>
        <v>52618</v>
      </c>
      <c r="Q33" s="6">
        <f>VLOOKUP(DATA_FEBRERO_2026[[#This Row],[ASER_]],D1_FEBRERO_2026[[ASESOR_CRR]:[META]],2,0)</f>
        <v>50000</v>
      </c>
      <c r="R33" t="s">
        <v>96</v>
      </c>
      <c r="U33">
        <v>1390</v>
      </c>
      <c r="V33">
        <v>8500</v>
      </c>
      <c r="X33">
        <v>5900</v>
      </c>
      <c r="AA33">
        <v>900</v>
      </c>
      <c r="AH33">
        <v>3490</v>
      </c>
      <c r="AI33">
        <v>780</v>
      </c>
      <c r="AK33">
        <v>780</v>
      </c>
      <c r="AL33">
        <v>6700</v>
      </c>
      <c r="AO33">
        <v>7000</v>
      </c>
      <c r="AP33">
        <v>6440</v>
      </c>
      <c r="AR33">
        <v>6000</v>
      </c>
      <c r="AS33">
        <v>3400</v>
      </c>
      <c r="AT33">
        <v>1338</v>
      </c>
      <c r="AX33" t="str" cm="1">
        <f t="array" ref="AX33">IFERROR(VLOOKUP(DATA_FEBRERO_2026[[#This Row],[ASER_]],_xlfn._xlws.FILTER(PLANTILLA[[ASESOR]:[FECHA DE CESE]],PLANTILLA[FECHA]=_xlfn.CONCAT($M$3,"_",_xlfn.IFS($N$3="ENERO","1",$N$3="FEBRERO","2",$N$3="MARZO","3",$N$3="ABRIL","4",$N$3="MAYO","5",$N$3="JUNIO","6",$N$3="JULIO","7",$N$3="AGOSTO","8",$N$3="SETIEMBRE","9",$N$3="OCTUBRE","10",$N$3="NOVIEMBRE","11",$N$3="DICIEMBRE","12"))),8,0),"")</f>
        <v>S1</v>
      </c>
      <c r="CQ33" t="s">
        <v>636</v>
      </c>
      <c r="CR33" t="s">
        <v>124</v>
      </c>
      <c r="CS33" t="s">
        <v>73</v>
      </c>
      <c r="CT33">
        <v>46073</v>
      </c>
      <c r="CU33">
        <v>1</v>
      </c>
      <c r="CV33">
        <v>1</v>
      </c>
      <c r="CX33">
        <v>1</v>
      </c>
      <c r="CZ33">
        <v>1.0416666666666667E-4</v>
      </c>
      <c r="DA33">
        <v>1.0416666666666667E-4</v>
      </c>
      <c r="DB33">
        <v>0.20732638888888888</v>
      </c>
      <c r="DC33">
        <v>0.14310185185185184</v>
      </c>
      <c r="DD33">
        <v>60</v>
      </c>
      <c r="DE33">
        <v>94</v>
      </c>
      <c r="DF33">
        <v>11</v>
      </c>
      <c r="DG33" t="s">
        <v>1089</v>
      </c>
      <c r="DH33">
        <v>12583</v>
      </c>
      <c r="DI33">
        <v>0.18329999999999999</v>
      </c>
      <c r="DJ33">
        <v>1</v>
      </c>
      <c r="DK33">
        <v>9.0899999999999995E-2</v>
      </c>
      <c r="DL33">
        <v>204</v>
      </c>
      <c r="DM33">
        <v>204</v>
      </c>
      <c r="DQ33">
        <v>98</v>
      </c>
    </row>
    <row r="34" spans="1:122" x14ac:dyDescent="0.25">
      <c r="A34" s="35" t="str">
        <f>D1_FEBRERO_2026[[#This Row],[SUPER2]]</f>
        <v>KENNETH</v>
      </c>
      <c r="B34" s="34" t="str" cm="1">
        <f t="array" ref="B34">TRIM(IFERROR(_xlfn.IFS(D1_FEBRERO_2026[[#This Row],[ASESOR]]="ELVIS GUERRA","ELVIS GUERRERA",D1_FEBRERO_2026[[#This Row],[ASESOR]]="GENESIS VICUÑA","GENESIS VICUNA",D1_FEBRERO_2026[[#This Row],[ASESOR]]="GINA HUMANI","GINA HUAMANI"),D1_FEBRERO_2026[[#This Row],[ASESOR]]))</f>
        <v>JIMENA MEDINA</v>
      </c>
      <c r="C3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90000</v>
      </c>
      <c r="D34" s="35">
        <f>IF(D1_FEBRERO_2026[[#This Row],[RECUPERO]]="VACACIONES","VACACIONES",IFERROR(D1_FEBRERO_2026[[#This Row],[RECUPERO]]/D1_FEBRERO_2026[[#This Row],[META]],""))</f>
        <v>1.1268388888888889</v>
      </c>
      <c r="E34" s="35" t="s">
        <v>6</v>
      </c>
      <c r="F34" t="s">
        <v>37</v>
      </c>
      <c r="G34" s="3">
        <v>101415.5</v>
      </c>
      <c r="H34" t="s">
        <v>400</v>
      </c>
      <c r="I34" s="55">
        <v>45112</v>
      </c>
      <c r="J34" s="55" t="s">
        <v>501</v>
      </c>
      <c r="K34" s="55"/>
      <c r="L34" s="55"/>
      <c r="M34" s="5">
        <f>DATA_FEBRERO_2026[[#This Row],[RECUPERO]]/DATA_FEBRERO_2026[[#This Row],[META]]</f>
        <v>0.7581</v>
      </c>
      <c r="N34" s="5">
        <f>6-ROUNDUP(_xlfn.RANK.EQ(DATA_FEBRERO_2026[[#This Row],[AL_AC]],DATA_FEBRERO_2026[AL_AC],0)/(COUNTA(DATA_FEBRERO_2026[AL_AC])/5),0)</f>
        <v>2</v>
      </c>
      <c r="O34" s="54" t="str">
        <f>IFERROR(VLOOKUP(DATA_FEBRERO_2026[[#This Row],[ASER_]],$B:$G,4,0),"")</f>
        <v>SANDY</v>
      </c>
      <c r="P34" s="6">
        <f>SUM(DATA_FEBRERO_2026[[#This Row],[1]:[31]])</f>
        <v>37905</v>
      </c>
      <c r="Q34" s="6">
        <f>VLOOKUP(DATA_FEBRERO_2026[[#This Row],[ASER_]],D1_FEBRERO_2026[[ASESOR_CRR]:[META]],2,0)</f>
        <v>50000</v>
      </c>
      <c r="R34" t="s">
        <v>65</v>
      </c>
      <c r="T34">
        <v>700</v>
      </c>
      <c r="W34">
        <v>3000</v>
      </c>
      <c r="AC34">
        <v>11000</v>
      </c>
      <c r="AJ34">
        <v>2350</v>
      </c>
      <c r="AK34">
        <v>6000</v>
      </c>
      <c r="AL34">
        <v>1000</v>
      </c>
      <c r="AO34">
        <v>3100</v>
      </c>
      <c r="AQ34">
        <v>3800</v>
      </c>
      <c r="AS34">
        <v>1400</v>
      </c>
      <c r="AT34">
        <v>5555</v>
      </c>
      <c r="AX34" t="str" cm="1">
        <f t="array" ref="AX34">IFERROR(VLOOKUP(DATA_FEBRERO_2026[[#This Row],[ASER_]],_xlfn._xlws.FILTER(PLANTILLA[[ASESOR]:[FECHA DE CESE]],PLANTILLA[FECHA]=_xlfn.CONCAT($M$3,"_",_xlfn.IFS($N$3="ENERO","1",$N$3="FEBRERO","2",$N$3="MARZO","3",$N$3="ABRIL","4",$N$3="MAYO","5",$N$3="JUNIO","6",$N$3="JULIO","7",$N$3="AGOSTO","8",$N$3="SETIEMBRE","9",$N$3="OCTUBRE","10",$N$3="NOVIEMBRE","11",$N$3="DICIEMBRE","12"))),8,0),"")</f>
        <v>S1</v>
      </c>
      <c r="CQ34" t="s">
        <v>636</v>
      </c>
      <c r="CR34" t="s">
        <v>125</v>
      </c>
      <c r="CS34" t="s">
        <v>109</v>
      </c>
      <c r="CT34">
        <v>46070</v>
      </c>
      <c r="CU34">
        <v>1</v>
      </c>
      <c r="CV34">
        <v>1</v>
      </c>
      <c r="CX34">
        <v>1</v>
      </c>
      <c r="CZ34">
        <v>2.0833333333333335E-4</v>
      </c>
      <c r="DA34">
        <v>2.0833333333333335E-4</v>
      </c>
      <c r="DB34">
        <v>0.21230324074074075</v>
      </c>
      <c r="DC34">
        <v>0.13280092592592593</v>
      </c>
      <c r="DD34">
        <v>98</v>
      </c>
      <c r="DE34">
        <v>222</v>
      </c>
      <c r="DF34">
        <v>19</v>
      </c>
      <c r="DG34" t="s">
        <v>836</v>
      </c>
      <c r="DH34">
        <v>33538</v>
      </c>
      <c r="DI34">
        <v>0.19389999999999999</v>
      </c>
      <c r="DJ34">
        <v>1</v>
      </c>
      <c r="DK34">
        <v>5.2600000000000001E-2</v>
      </c>
      <c r="DL34">
        <v>400</v>
      </c>
      <c r="DM34">
        <v>400</v>
      </c>
      <c r="DN34">
        <v>400</v>
      </c>
      <c r="DO34">
        <v>1</v>
      </c>
      <c r="DP34">
        <v>0.34300000000000003</v>
      </c>
      <c r="DQ34">
        <v>98</v>
      </c>
      <c r="DR34">
        <v>400</v>
      </c>
    </row>
    <row r="35" spans="1:122" x14ac:dyDescent="0.25">
      <c r="A35" s="35" t="str">
        <f>D1_FEBRERO_2026[[#This Row],[SUPER2]]</f>
        <v>GUSTAVO</v>
      </c>
      <c r="B35" s="34" t="str" cm="1">
        <f t="array" ref="B35">TRIM(IFERROR(_xlfn.IFS(D1_FEBRERO_2026[[#This Row],[ASESOR]]="ELVIS GUERRA","ELVIS GUERRERA",D1_FEBRERO_2026[[#This Row],[ASESOR]]="GENESIS VICUÑA","GENESIS VICUNA",D1_FEBRERO_2026[[#This Row],[ASESOR]]="GINA HUMANI","GINA HUAMANI"),D1_FEBRERO_2026[[#This Row],[ASESOR]]))</f>
        <v>JOSELIN MONTALVO</v>
      </c>
      <c r="C3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35" s="35">
        <f>IF(D1_FEBRERO_2026[[#This Row],[RECUPERO]]="VACACIONES","VACACIONES",IFERROR(D1_FEBRERO_2026[[#This Row],[RECUPERO]]/D1_FEBRERO_2026[[#This Row],[META]],""))</f>
        <v>2.7234042553191489E-2</v>
      </c>
      <c r="E35" s="35" t="s">
        <v>124</v>
      </c>
      <c r="F35" t="s">
        <v>549</v>
      </c>
      <c r="G35" s="3">
        <v>640</v>
      </c>
      <c r="H35" t="s">
        <v>550</v>
      </c>
      <c r="I35" s="55">
        <v>46064</v>
      </c>
      <c r="J35" s="55" t="s">
        <v>501</v>
      </c>
      <c r="K35" s="55"/>
      <c r="L35" s="55"/>
      <c r="M35" s="5">
        <f>DATA_FEBRERO_2026[[#This Row],[RECUPERO]]/DATA_FEBRERO_2026[[#This Row],[META]]</f>
        <v>1.1268388888888889</v>
      </c>
      <c r="N35" s="5">
        <f>6-ROUNDUP(_xlfn.RANK.EQ(DATA_FEBRERO_2026[[#This Row],[AL_AC]],DATA_FEBRERO_2026[AL_AC],0)/(COUNTA(DATA_FEBRERO_2026[AL_AC])/5),0)</f>
        <v>3</v>
      </c>
      <c r="O35" s="54" t="str">
        <f>IFERROR(VLOOKUP(DATA_FEBRERO_2026[[#This Row],[ASER_]],$B:$G,4,0),"")</f>
        <v>KENNETH</v>
      </c>
      <c r="P35" s="6">
        <f>SUM(DATA_FEBRERO_2026[[#This Row],[1]:[31]])</f>
        <v>101415.5</v>
      </c>
      <c r="Q35" s="6">
        <f>VLOOKUP(DATA_FEBRERO_2026[[#This Row],[ASER_]],D1_FEBRERO_2026[[ASESOR_CRR]:[META]],2,0)</f>
        <v>90000</v>
      </c>
      <c r="R35" t="s">
        <v>37</v>
      </c>
      <c r="U35">
        <v>9462</v>
      </c>
      <c r="V35">
        <v>325</v>
      </c>
      <c r="W35">
        <v>120</v>
      </c>
      <c r="X35">
        <v>423</v>
      </c>
      <c r="Y35">
        <v>566.5</v>
      </c>
      <c r="AA35">
        <v>9061</v>
      </c>
      <c r="AB35">
        <v>14000</v>
      </c>
      <c r="AC35">
        <v>120</v>
      </c>
      <c r="AE35">
        <v>300</v>
      </c>
      <c r="AF35">
        <v>360.5</v>
      </c>
      <c r="AH35">
        <v>3000</v>
      </c>
      <c r="AI35">
        <v>11350</v>
      </c>
      <c r="AJ35">
        <v>14000</v>
      </c>
      <c r="AK35">
        <v>15200</v>
      </c>
      <c r="AL35">
        <v>5536</v>
      </c>
      <c r="AO35">
        <v>1600</v>
      </c>
      <c r="AQ35">
        <v>5500</v>
      </c>
      <c r="AS35">
        <v>500</v>
      </c>
      <c r="AT35">
        <v>9991.5</v>
      </c>
      <c r="AX35" t="str" cm="1">
        <f t="array" ref="AX35">IFERROR(VLOOKUP(DATA_FEBRERO_2026[[#This Row],[ASER_]],_xlfn._xlws.FILTER(PLANTILLA[[ASESOR]:[FECHA DE CESE]],PLANTILLA[FECHA]=_xlfn.CONCAT($M$3,"_",_xlfn.IFS($N$3="ENERO","1",$N$3="FEBRERO","2",$N$3="MARZO","3",$N$3="ABRIL","4",$N$3="MAYO","5",$N$3="JUNIO","6",$N$3="JULIO","7",$N$3="AGOSTO","8",$N$3="SETIEMBRE","9",$N$3="OCTUBRE","10",$N$3="NOVIEMBRE","11",$N$3="DICIEMBRE","12"))),8,0),"")</f>
        <v>S0 - BBVA</v>
      </c>
      <c r="CQ35" t="s">
        <v>636</v>
      </c>
      <c r="CR35" t="s">
        <v>125</v>
      </c>
      <c r="CS35" t="s">
        <v>12</v>
      </c>
      <c r="CT35">
        <v>46062</v>
      </c>
      <c r="CU35">
        <v>1</v>
      </c>
      <c r="CV35">
        <v>1</v>
      </c>
      <c r="CX35">
        <v>1</v>
      </c>
      <c r="CZ35">
        <v>5.7870370370370373E-5</v>
      </c>
      <c r="DA35">
        <v>5.7870370370370373E-5</v>
      </c>
      <c r="DB35">
        <v>6.6145833333333334E-2</v>
      </c>
      <c r="DC35">
        <v>1.7858796296296296E-2</v>
      </c>
      <c r="DD35">
        <v>86</v>
      </c>
      <c r="DE35">
        <v>271</v>
      </c>
      <c r="DF35">
        <v>10</v>
      </c>
      <c r="DG35">
        <v>1.6</v>
      </c>
      <c r="DH35">
        <v>29256</v>
      </c>
      <c r="DI35">
        <v>0.1163</v>
      </c>
      <c r="DJ35">
        <v>2</v>
      </c>
      <c r="DK35">
        <v>0.2</v>
      </c>
      <c r="DL35">
        <v>19700</v>
      </c>
      <c r="DM35">
        <v>9850</v>
      </c>
      <c r="DN35">
        <v>19700</v>
      </c>
      <c r="DO35">
        <v>1</v>
      </c>
      <c r="DP35">
        <v>0.29849999999999999</v>
      </c>
      <c r="DQ35">
        <v>98</v>
      </c>
      <c r="DR35">
        <v>9850</v>
      </c>
    </row>
    <row r="36" spans="1:122" x14ac:dyDescent="0.25">
      <c r="A36" s="35" t="str">
        <f>D1_FEBRERO_2026[[#This Row],[SUPER2]]</f>
        <v>GUSTAVO</v>
      </c>
      <c r="B36" s="34" t="str" cm="1">
        <f t="array" ref="B36">TRIM(IFERROR(_xlfn.IFS(D1_FEBRERO_2026[[#This Row],[ASESOR]]="ELVIS GUERRA","ELVIS GUERRERA",D1_FEBRERO_2026[[#This Row],[ASESOR]]="GENESIS VICUÑA","GENESIS VICUNA",D1_FEBRERO_2026[[#This Row],[ASESOR]]="GINA HUMANI","GINA HUAMANI"),D1_FEBRERO_2026[[#This Row],[ASESOR]]))</f>
        <v>JUAN ALANOCCA</v>
      </c>
      <c r="C3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36" s="35">
        <f>IF(D1_FEBRERO_2026[[#This Row],[RECUPERO]]="VACACIONES","VACACIONES",IFERROR(D1_FEBRERO_2026[[#This Row],[RECUPERO]]/D1_FEBRERO_2026[[#This Row],[META]],""))</f>
        <v>1.0220221276595745</v>
      </c>
      <c r="E36" s="35" t="s">
        <v>124</v>
      </c>
      <c r="F36" t="s">
        <v>77</v>
      </c>
      <c r="G36" s="3">
        <v>24017.52</v>
      </c>
      <c r="H36" t="s">
        <v>393</v>
      </c>
      <c r="I36" s="55">
        <v>44838</v>
      </c>
      <c r="J36" s="55" t="s">
        <v>501</v>
      </c>
      <c r="K36" s="55"/>
      <c r="L36" s="55"/>
      <c r="M36" s="5">
        <f>DATA_FEBRERO_2026[[#This Row],[RECUPERO]]/DATA_FEBRERO_2026[[#This Row],[META]]</f>
        <v>2.7234042553191489E-2</v>
      </c>
      <c r="N36" s="5">
        <f>6-ROUNDUP(_xlfn.RANK.EQ(DATA_FEBRERO_2026[[#This Row],[AL_AC]],DATA_FEBRERO_2026[AL_AC],0)/(COUNTA(DATA_FEBRERO_2026[AL_AC])/5),0)</f>
        <v>1</v>
      </c>
      <c r="O36" s="54" t="str">
        <f>IFERROR(VLOOKUP(DATA_FEBRERO_2026[[#This Row],[ASER_]],$B:$G,4,0),"")</f>
        <v>GUSTAVO</v>
      </c>
      <c r="P36" s="6">
        <f>SUM(DATA_FEBRERO_2026[[#This Row],[1]:[31]])</f>
        <v>640</v>
      </c>
      <c r="Q36" s="6">
        <f>VLOOKUP(DATA_FEBRERO_2026[[#This Row],[ASER_]],D1_FEBRERO_2026[[ASESOR_CRR]:[META]],2,0)</f>
        <v>23500</v>
      </c>
      <c r="R36" t="s">
        <v>549</v>
      </c>
      <c r="AI36">
        <v>420</v>
      </c>
      <c r="AT36">
        <v>220</v>
      </c>
      <c r="AX36" t="str" cm="1">
        <f t="array" ref="AX36">IFERROR(VLOOKUP(DATA_FEBRERO_2026[[#This Row],[ASER_]],_xlfn._xlws.FILTER(PLANTILLA[[ASESOR]:[FECHA DE CESE]],PLANTILLA[FECHA]=_xlfn.CONCAT($M$3,"_",_xlfn.IFS($N$3="ENERO","1",$N$3="FEBRERO","2",$N$3="MARZO","3",$N$3="ABRIL","4",$N$3="MAYO","5",$N$3="JUNIO","6",$N$3="JULIO","7",$N$3="AGOSTO","8",$N$3="SETIEMBRE","9",$N$3="OCTUBRE","10",$N$3="NOVIEMBRE","11",$N$3="DICIEMBRE","12"))),8,0),"")</f>
        <v>S2-3-4</v>
      </c>
      <c r="CQ36" t="s">
        <v>636</v>
      </c>
      <c r="CR36" t="s">
        <v>125</v>
      </c>
      <c r="CS36" t="s">
        <v>206</v>
      </c>
      <c r="CT36">
        <v>46072</v>
      </c>
      <c r="CU36">
        <v>1</v>
      </c>
      <c r="CV36">
        <v>1</v>
      </c>
      <c r="CX36">
        <v>1</v>
      </c>
      <c r="CZ36">
        <v>8.1018518518518516E-5</v>
      </c>
      <c r="DA36">
        <v>8.1018518518518516E-5</v>
      </c>
      <c r="DB36">
        <v>0.19835648148148149</v>
      </c>
      <c r="DC36">
        <v>0.14377314814814815</v>
      </c>
      <c r="DD36">
        <v>111</v>
      </c>
      <c r="DE36">
        <v>259</v>
      </c>
      <c r="DF36">
        <v>16</v>
      </c>
      <c r="DG36">
        <v>2.3125</v>
      </c>
      <c r="DH36">
        <v>41527</v>
      </c>
      <c r="DI36">
        <v>0.14410000000000001</v>
      </c>
      <c r="DJ36">
        <v>2</v>
      </c>
      <c r="DK36">
        <v>0.125</v>
      </c>
      <c r="DL36">
        <v>2450</v>
      </c>
      <c r="DM36">
        <v>1225</v>
      </c>
      <c r="DN36">
        <v>2450</v>
      </c>
      <c r="DO36">
        <v>1</v>
      </c>
      <c r="DP36">
        <v>0.32779999999999998</v>
      </c>
      <c r="DQ36">
        <v>98</v>
      </c>
      <c r="DR36">
        <v>1225</v>
      </c>
    </row>
    <row r="37" spans="1:122" x14ac:dyDescent="0.25">
      <c r="A37" s="35" t="str">
        <f>D1_FEBRERO_2026[[#This Row],[SUPER2]]</f>
        <v>KENNETH</v>
      </c>
      <c r="B37" s="34" t="str" cm="1">
        <f t="array" ref="B37">TRIM(IFERROR(_xlfn.IFS(D1_FEBRERO_2026[[#This Row],[ASESOR]]="ELVIS GUERRA","ELVIS GUERRERA",D1_FEBRERO_2026[[#This Row],[ASESOR]]="GENESIS VICUÑA","GENESIS VICUNA",D1_FEBRERO_2026[[#This Row],[ASESOR]]="GINA HUMANI","GINA HUAMANI"),D1_FEBRERO_2026[[#This Row],[ASESOR]]))</f>
        <v>JUAN LOZA</v>
      </c>
      <c r="C37"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90000</v>
      </c>
      <c r="D37" s="35">
        <f>IF(D1_FEBRERO_2026[[#This Row],[RECUPERO]]="VACACIONES","VACACIONES",IFERROR(D1_FEBRERO_2026[[#This Row],[RECUPERO]]/D1_FEBRERO_2026[[#This Row],[META]],""))</f>
        <v>1.3504444444444443</v>
      </c>
      <c r="E37" s="35" t="s">
        <v>6</v>
      </c>
      <c r="F37" t="s">
        <v>35</v>
      </c>
      <c r="G37" s="3">
        <v>121540</v>
      </c>
      <c r="H37" t="s">
        <v>401</v>
      </c>
      <c r="I37" s="55">
        <v>44746</v>
      </c>
      <c r="J37" s="55" t="s">
        <v>501</v>
      </c>
      <c r="K37" s="55"/>
      <c r="L37" s="55"/>
      <c r="M37" s="5">
        <f>DATA_FEBRERO_2026[[#This Row],[RECUPERO]]/DATA_FEBRERO_2026[[#This Row],[META]]</f>
        <v>1.0220221276595745</v>
      </c>
      <c r="N37" s="5">
        <f>6-ROUNDUP(_xlfn.RANK.EQ(DATA_FEBRERO_2026[[#This Row],[AL_AC]],DATA_FEBRERO_2026[AL_AC],0)/(COUNTA(DATA_FEBRERO_2026[AL_AC])/5),0)</f>
        <v>3</v>
      </c>
      <c r="O37" s="54" t="str">
        <f>IFERROR(VLOOKUP(DATA_FEBRERO_2026[[#This Row],[ASER_]],$B:$G,4,0),"")</f>
        <v>GUSTAVO</v>
      </c>
      <c r="P37" s="6">
        <f>SUM(DATA_FEBRERO_2026[[#This Row],[1]:[31]])</f>
        <v>24017.52</v>
      </c>
      <c r="Q37" s="6">
        <f>VLOOKUP(DATA_FEBRERO_2026[[#This Row],[ASER_]],D1_FEBRERO_2026[[ASESOR_CRR]:[META]],2,0)</f>
        <v>23500</v>
      </c>
      <c r="R37" t="s">
        <v>77</v>
      </c>
      <c r="T37">
        <v>600</v>
      </c>
      <c r="U37" s="45"/>
      <c r="V37">
        <v>458</v>
      </c>
      <c r="W37">
        <v>1022</v>
      </c>
      <c r="AC37">
        <v>377.52</v>
      </c>
      <c r="AE37">
        <v>1100</v>
      </c>
      <c r="AJ37">
        <v>4000</v>
      </c>
      <c r="AO37">
        <v>400</v>
      </c>
      <c r="AP37">
        <v>400</v>
      </c>
      <c r="AR37">
        <v>10400</v>
      </c>
      <c r="AS37">
        <v>2500</v>
      </c>
      <c r="AT37">
        <v>2760</v>
      </c>
      <c r="AX37" t="str" cm="1">
        <f t="array" ref="AX37">IFERROR(VLOOKUP(DATA_FEBRERO_2026[[#This Row],[ASER_]],_xlfn._xlws.FILTER(PLANTILLA[[ASESOR]:[FECHA DE CESE]],PLANTILLA[FECHA]=_xlfn.CONCAT($M$3,"_",_xlfn.IFS($N$3="ENERO","1",$N$3="FEBRERO","2",$N$3="MARZO","3",$N$3="ABRIL","4",$N$3="MAYO","5",$N$3="JUNIO","6",$N$3="JULIO","7",$N$3="AGOSTO","8",$N$3="SETIEMBRE","9",$N$3="OCTUBRE","10",$N$3="NOVIEMBRE","11",$N$3="DICIEMBRE","12"))),8,0),"")</f>
        <v>S2-3-4</v>
      </c>
      <c r="CQ37" t="s">
        <v>636</v>
      </c>
      <c r="CR37" t="s">
        <v>125</v>
      </c>
      <c r="CS37" t="s">
        <v>59</v>
      </c>
      <c r="CT37">
        <v>46063</v>
      </c>
      <c r="CU37">
        <v>1</v>
      </c>
      <c r="CV37">
        <v>1</v>
      </c>
      <c r="CX37">
        <v>1</v>
      </c>
      <c r="CZ37">
        <v>1.1574074074074073E-5</v>
      </c>
      <c r="DA37">
        <v>1.1574074074074073E-5</v>
      </c>
      <c r="DB37">
        <v>5.0405092592592592E-2</v>
      </c>
      <c r="DC37">
        <v>5.1921296296296299E-2</v>
      </c>
      <c r="DD37">
        <v>193</v>
      </c>
      <c r="DE37">
        <v>416</v>
      </c>
      <c r="DF37">
        <v>35</v>
      </c>
      <c r="DG37" t="s">
        <v>989</v>
      </c>
      <c r="DH37">
        <v>55965</v>
      </c>
      <c r="DI37">
        <v>0.18129999999999999</v>
      </c>
      <c r="DJ37">
        <v>2</v>
      </c>
      <c r="DK37">
        <v>5.7099999999999998E-2</v>
      </c>
      <c r="DL37">
        <v>2800</v>
      </c>
      <c r="DM37">
        <v>1400</v>
      </c>
      <c r="DN37">
        <v>2800</v>
      </c>
      <c r="DO37">
        <v>1</v>
      </c>
      <c r="DP37">
        <v>0.2</v>
      </c>
      <c r="DQ37">
        <v>98</v>
      </c>
      <c r="DR37">
        <v>1400</v>
      </c>
    </row>
    <row r="38" spans="1:122" x14ac:dyDescent="0.25">
      <c r="A38" s="35" t="str">
        <f>D1_FEBRERO_2026[[#This Row],[SUPER2]]</f>
        <v>KENNETH</v>
      </c>
      <c r="B38" s="34" t="str" cm="1">
        <f t="array" ref="B38">TRIM(IFERROR(_xlfn.IFS(D1_FEBRERO_2026[[#This Row],[ASESOR]]="ELVIS GUERRA","ELVIS GUERRERA",D1_FEBRERO_2026[[#This Row],[ASESOR]]="GENESIS VICUÑA","GENESIS VICUNA",D1_FEBRERO_2026[[#This Row],[ASESOR]]="GINA HUMANI","GINA HUAMANI"),D1_FEBRERO_2026[[#This Row],[ASESOR]]))</f>
        <v>KIARA CANEPA</v>
      </c>
      <c r="C3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38" s="35">
        <f>IF(D1_FEBRERO_2026[[#This Row],[RECUPERO]]="VACACIONES","VACACIONES",IFERROR(D1_FEBRERO_2026[[#This Row],[RECUPERO]]/D1_FEBRERO_2026[[#This Row],[META]],""))</f>
        <v>0.6435849056603774</v>
      </c>
      <c r="E38" s="35" t="s">
        <v>6</v>
      </c>
      <c r="F38" t="s">
        <v>50</v>
      </c>
      <c r="G38" s="3">
        <v>17055</v>
      </c>
      <c r="H38" t="s">
        <v>402</v>
      </c>
      <c r="I38" s="55">
        <v>45789</v>
      </c>
      <c r="J38" s="55" t="s">
        <v>501</v>
      </c>
      <c r="K38" s="55"/>
      <c r="L38" s="55"/>
      <c r="M38" s="5">
        <f>DATA_FEBRERO_2026[[#This Row],[RECUPERO]]/DATA_FEBRERO_2026[[#This Row],[META]]</f>
        <v>1.3504444444444443</v>
      </c>
      <c r="N38" s="5">
        <f>6-ROUNDUP(_xlfn.RANK.EQ(DATA_FEBRERO_2026[[#This Row],[AL_AC]],DATA_FEBRERO_2026[AL_AC],0)/(COUNTA(DATA_FEBRERO_2026[AL_AC])/5),0)</f>
        <v>4</v>
      </c>
      <c r="O38" s="54" t="str">
        <f>IFERROR(VLOOKUP(DATA_FEBRERO_2026[[#This Row],[ASER_]],$B:$G,4,0),"")</f>
        <v>KENNETH</v>
      </c>
      <c r="P38" s="6">
        <f>SUM(DATA_FEBRERO_2026[[#This Row],[1]:[31]])</f>
        <v>121540</v>
      </c>
      <c r="Q38" s="6">
        <f>VLOOKUP(DATA_FEBRERO_2026[[#This Row],[ASER_]],D1_FEBRERO_2026[[ASESOR_CRR]:[META]],2,0)</f>
        <v>90000</v>
      </c>
      <c r="R38" t="s">
        <v>35</v>
      </c>
      <c r="V38">
        <v>1800</v>
      </c>
      <c r="W38">
        <v>14000</v>
      </c>
      <c r="X38">
        <v>688</v>
      </c>
      <c r="AA38">
        <v>10400</v>
      </c>
      <c r="AB38">
        <v>1450</v>
      </c>
      <c r="AC38">
        <v>22200</v>
      </c>
      <c r="AD38">
        <v>1381</v>
      </c>
      <c r="AE38">
        <v>238</v>
      </c>
      <c r="AH38">
        <v>25900</v>
      </c>
      <c r="AJ38">
        <v>188</v>
      </c>
      <c r="AK38">
        <v>200</v>
      </c>
      <c r="AL38">
        <v>400</v>
      </c>
      <c r="AM38">
        <v>1000</v>
      </c>
      <c r="AO38">
        <v>320</v>
      </c>
      <c r="AP38">
        <v>10000</v>
      </c>
      <c r="AQ38">
        <v>4000</v>
      </c>
      <c r="AR38">
        <v>5500</v>
      </c>
      <c r="AS38">
        <v>18625</v>
      </c>
      <c r="AT38">
        <v>3250</v>
      </c>
      <c r="AX38" t="str" cm="1">
        <f t="array" ref="AX38">IFERROR(VLOOKUP(DATA_FEBRERO_2026[[#This Row],[ASER_]],_xlfn._xlws.FILTER(PLANTILLA[[ASESOR]:[FECHA DE CESE]],PLANTILLA[FECHA]=_xlfn.CONCAT($M$3,"_",_xlfn.IFS($N$3="ENERO","1",$N$3="FEBRERO","2",$N$3="MARZO","3",$N$3="ABRIL","4",$N$3="MAYO","5",$N$3="JUNIO","6",$N$3="JULIO","7",$N$3="AGOSTO","8",$N$3="SETIEMBRE","9",$N$3="OCTUBRE","10",$N$3="NOVIEMBRE","11",$N$3="DICIEMBRE","12"))),8,0),"")</f>
        <v>S0 - BBVA</v>
      </c>
      <c r="CQ38" t="s">
        <v>636</v>
      </c>
      <c r="CR38" t="s">
        <v>125</v>
      </c>
      <c r="CS38" t="s">
        <v>10</v>
      </c>
      <c r="CT38">
        <v>46071</v>
      </c>
      <c r="CU38">
        <v>1</v>
      </c>
      <c r="CV38">
        <v>1</v>
      </c>
      <c r="CX38">
        <v>1</v>
      </c>
      <c r="CZ38">
        <v>4.6296296296296294E-5</v>
      </c>
      <c r="DA38">
        <v>4.6296296296296294E-5</v>
      </c>
      <c r="DB38">
        <v>0.20121527777777778</v>
      </c>
      <c r="DC38">
        <v>0.14453703703703705</v>
      </c>
      <c r="DD38">
        <v>107</v>
      </c>
      <c r="DE38">
        <v>208</v>
      </c>
      <c r="DF38">
        <v>14</v>
      </c>
      <c r="DG38" t="s">
        <v>705</v>
      </c>
      <c r="DH38">
        <v>32936</v>
      </c>
      <c r="DI38">
        <v>0.1308</v>
      </c>
      <c r="DJ38">
        <v>2</v>
      </c>
      <c r="DK38">
        <v>0.1429</v>
      </c>
      <c r="DL38">
        <v>7700</v>
      </c>
      <c r="DM38">
        <v>3850</v>
      </c>
      <c r="DN38">
        <v>7700</v>
      </c>
      <c r="DO38">
        <v>1</v>
      </c>
      <c r="DP38">
        <v>0.26640000000000003</v>
      </c>
      <c r="DQ38">
        <v>98</v>
      </c>
      <c r="DR38">
        <v>3850</v>
      </c>
    </row>
    <row r="39" spans="1:122" x14ac:dyDescent="0.25">
      <c r="A39" s="35" t="str">
        <f>D1_FEBRERO_2026[[#This Row],[SUPER2]]</f>
        <v>SANDY</v>
      </c>
      <c r="B39" s="34" t="str" cm="1">
        <f t="array" ref="B39">TRIM(IFERROR(_xlfn.IFS(D1_FEBRERO_2026[[#This Row],[ASESOR]]="ELVIS GUERRA","ELVIS GUERRERA",D1_FEBRERO_2026[[#This Row],[ASESOR]]="GENESIS VICUÑA","GENESIS VICUNA",D1_FEBRERO_2026[[#This Row],[ASESOR]]="GINA HUMANI","GINA HUAMANI"),D1_FEBRERO_2026[[#This Row],[ASESOR]]))</f>
        <v>LINDA TUESTA</v>
      </c>
      <c r="C3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39" s="35">
        <f>IF(D1_FEBRERO_2026[[#This Row],[RECUPERO]]="VACACIONES","VACACIONES",IFERROR(D1_FEBRERO_2026[[#This Row],[RECUPERO]]/D1_FEBRERO_2026[[#This Row],[META]],""))</f>
        <v>6.6159999999999997E-2</v>
      </c>
      <c r="E39" s="35" t="s">
        <v>3</v>
      </c>
      <c r="F39" t="s">
        <v>33</v>
      </c>
      <c r="G39" s="3">
        <v>3308</v>
      </c>
      <c r="H39" t="s">
        <v>439</v>
      </c>
      <c r="I39" s="55">
        <v>44867</v>
      </c>
      <c r="J39" s="55" t="s">
        <v>501</v>
      </c>
      <c r="K39" s="55"/>
      <c r="L39" s="55"/>
      <c r="M39" s="5">
        <f>DATA_FEBRERO_2026[[#This Row],[RECUPERO]]/DATA_FEBRERO_2026[[#This Row],[META]]</f>
        <v>0.6435849056603774</v>
      </c>
      <c r="N39" s="5">
        <f>6-ROUNDUP(_xlfn.RANK.EQ(DATA_FEBRERO_2026[[#This Row],[AL_AC]],DATA_FEBRERO_2026[AL_AC],0)/(COUNTA(DATA_FEBRERO_2026[AL_AC])/5),0)</f>
        <v>1</v>
      </c>
      <c r="O39" s="54" t="str">
        <f>IFERROR(VLOOKUP(DATA_FEBRERO_2026[[#This Row],[ASER_]],$B:$G,4,0),"")</f>
        <v>KENNETH</v>
      </c>
      <c r="P39" s="6">
        <f>SUM(DATA_FEBRERO_2026[[#This Row],[1]:[31]])</f>
        <v>17055</v>
      </c>
      <c r="Q39" s="6">
        <f>VLOOKUP(DATA_FEBRERO_2026[[#This Row],[ASER_]],D1_FEBRERO_2026[[ASESOR_CRR]:[META]],2,0)</f>
        <v>26500</v>
      </c>
      <c r="R39" t="s">
        <v>50</v>
      </c>
      <c r="T39">
        <v>300</v>
      </c>
      <c r="W39">
        <v>860</v>
      </c>
      <c r="AC39">
        <v>285</v>
      </c>
      <c r="AH39">
        <v>7500</v>
      </c>
      <c r="AJ39">
        <v>550</v>
      </c>
      <c r="AL39">
        <v>5200</v>
      </c>
      <c r="AO39">
        <v>360</v>
      </c>
      <c r="AQ39">
        <v>1500</v>
      </c>
      <c r="AR39">
        <v>500</v>
      </c>
      <c r="AX39" t="str" cm="1">
        <f t="array" ref="AX39">IFERROR(VLOOKUP(DATA_FEBRERO_2026[[#This Row],[ASER_]],_xlfn._xlws.FILTER(PLANTILLA[[ASESOR]:[FECHA DE CESE]],PLANTILLA[FECHA]=_xlfn.CONCAT($M$3,"_",_xlfn.IFS($N$3="ENERO","1",$N$3="FEBRERO","2",$N$3="MARZO","3",$N$3="ABRIL","4",$N$3="MAYO","5",$N$3="JUNIO","6",$N$3="JULIO","7",$N$3="AGOSTO","8",$N$3="SETIEMBRE","9",$N$3="OCTUBRE","10",$N$3="NOVIEMBRE","11",$N$3="DICIEMBRE","12"))),8,0),"")</f>
        <v>S0 - IBK</v>
      </c>
      <c r="CQ39" t="s">
        <v>636</v>
      </c>
      <c r="CR39" t="s">
        <v>2</v>
      </c>
      <c r="CS39" t="s">
        <v>15</v>
      </c>
      <c r="CT39">
        <v>46079</v>
      </c>
      <c r="CU39">
        <v>1</v>
      </c>
      <c r="CV39">
        <v>1</v>
      </c>
      <c r="CX39">
        <v>1</v>
      </c>
      <c r="CZ39">
        <v>1.7361111111111112E-4</v>
      </c>
      <c r="DA39">
        <v>1.7361111111111112E-4</v>
      </c>
      <c r="DB39">
        <v>0.12725694444444444</v>
      </c>
      <c r="DC39">
        <v>0.16652777777777777</v>
      </c>
      <c r="DD39">
        <v>77</v>
      </c>
      <c r="DE39">
        <v>107</v>
      </c>
      <c r="DF39">
        <v>13</v>
      </c>
      <c r="DG39" t="s">
        <v>734</v>
      </c>
      <c r="DH39">
        <v>9273</v>
      </c>
      <c r="DI39">
        <v>0.16880000000000001</v>
      </c>
      <c r="DJ39">
        <v>2</v>
      </c>
      <c r="DK39">
        <v>0.15379999999999999</v>
      </c>
      <c r="DL39">
        <v>3406</v>
      </c>
      <c r="DM39">
        <v>1703</v>
      </c>
      <c r="DN39">
        <v>3406</v>
      </c>
      <c r="DO39">
        <v>1</v>
      </c>
      <c r="DP39">
        <v>0.4763</v>
      </c>
      <c r="DQ39">
        <v>98</v>
      </c>
      <c r="DR39">
        <v>1703</v>
      </c>
    </row>
    <row r="40" spans="1:122" x14ac:dyDescent="0.25">
      <c r="A40" s="35" t="str">
        <f>D1_FEBRERO_2026[[#This Row],[SUPER2]]</f>
        <v>SANDY</v>
      </c>
      <c r="B40" s="34" t="str" cm="1">
        <f t="array" ref="B40">TRIM(IFERROR(_xlfn.IFS(D1_FEBRERO_2026[[#This Row],[ASESOR]]="ELVIS GUERRA","ELVIS GUERRERA",D1_FEBRERO_2026[[#This Row],[ASESOR]]="GENESIS VICUÑA","GENESIS VICUNA",D1_FEBRERO_2026[[#This Row],[ASESOR]]="GINA HUMANI","GINA HUAMANI"),D1_FEBRERO_2026[[#This Row],[ASESOR]]))</f>
        <v>LISELY MERA</v>
      </c>
      <c r="C4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0" s="35">
        <f>IF(D1_FEBRERO_2026[[#This Row],[RECUPERO]]="VACACIONES","VACACIONES",IFERROR(D1_FEBRERO_2026[[#This Row],[RECUPERO]]/D1_FEBRERO_2026[[#This Row],[META]],""))</f>
        <v>1.4429000000000001</v>
      </c>
      <c r="E40" s="35" t="s">
        <v>3</v>
      </c>
      <c r="F40" t="s">
        <v>23</v>
      </c>
      <c r="G40" s="3">
        <v>72145</v>
      </c>
      <c r="H40" t="s">
        <v>445</v>
      </c>
      <c r="I40" s="55">
        <v>44109</v>
      </c>
      <c r="J40" s="55" t="s">
        <v>501</v>
      </c>
      <c r="K40" s="55"/>
      <c r="L40" s="55"/>
      <c r="M40" s="5">
        <f>DATA_FEBRERO_2026[[#This Row],[RECUPERO]]/DATA_FEBRERO_2026[[#This Row],[META]]</f>
        <v>6.6159999999999997E-2</v>
      </c>
      <c r="N40" s="5">
        <f>6-ROUNDUP(_xlfn.RANK.EQ(DATA_FEBRERO_2026[[#This Row],[AL_AC]],DATA_FEBRERO_2026[AL_AC],0)/(COUNTA(DATA_FEBRERO_2026[AL_AC])/5),0)</f>
        <v>1</v>
      </c>
      <c r="O40" s="54" t="str">
        <f>IFERROR(VLOOKUP(DATA_FEBRERO_2026[[#This Row],[ASER_]],$B:$G,4,0),"")</f>
        <v>SANDY</v>
      </c>
      <c r="P40" s="6">
        <f>SUM(DATA_FEBRERO_2026[[#This Row],[1]:[31]])</f>
        <v>3308</v>
      </c>
      <c r="Q40" s="6">
        <f>VLOOKUP(DATA_FEBRERO_2026[[#This Row],[ASER_]],D1_FEBRERO_2026[[ASESOR_CRR]:[META]],2,0)</f>
        <v>50000</v>
      </c>
      <c r="R40" t="s">
        <v>33</v>
      </c>
      <c r="V40">
        <v>1000</v>
      </c>
      <c r="Y40">
        <v>2000</v>
      </c>
      <c r="AA40">
        <v>308</v>
      </c>
      <c r="AX40" t="str" cm="1">
        <f t="array" ref="AX40">IFERROR(VLOOKUP(DATA_FEBRERO_2026[[#This Row],[ASER_]],_xlfn._xlws.FILTER(PLANTILLA[[ASESOR]:[FECHA DE CESE]],PLANTILLA[FECHA]=_xlfn.CONCAT($M$3,"_",_xlfn.IFS($N$3="ENERO","1",$N$3="FEBRERO","2",$N$3="MARZO","3",$N$3="ABRIL","4",$N$3="MAYO","5",$N$3="JUNIO","6",$N$3="JULIO","7",$N$3="AGOSTO","8",$N$3="SETIEMBRE","9",$N$3="OCTUBRE","10",$N$3="NOVIEMBRE","11",$N$3="DICIEMBRE","12"))),8,0),"")</f>
        <v>S1</v>
      </c>
      <c r="CQ40" t="s">
        <v>636</v>
      </c>
      <c r="CR40" t="s">
        <v>2</v>
      </c>
      <c r="CS40" t="s">
        <v>79</v>
      </c>
      <c r="CT40">
        <v>46078</v>
      </c>
      <c r="CU40">
        <v>1</v>
      </c>
      <c r="CV40">
        <v>1</v>
      </c>
      <c r="CX40">
        <v>1</v>
      </c>
      <c r="CZ40">
        <v>3.1250000000000001E-4</v>
      </c>
      <c r="DA40">
        <v>3.1250000000000001E-4</v>
      </c>
      <c r="DB40">
        <v>0.15900462962962963</v>
      </c>
      <c r="DC40">
        <v>0.19880787037037037</v>
      </c>
      <c r="DD40">
        <v>70</v>
      </c>
      <c r="DE40">
        <v>157</v>
      </c>
      <c r="DF40">
        <v>23</v>
      </c>
      <c r="DG40" t="s">
        <v>954</v>
      </c>
      <c r="DH40">
        <v>33480</v>
      </c>
      <c r="DI40">
        <v>0.3286</v>
      </c>
      <c r="DJ40">
        <v>2</v>
      </c>
      <c r="DK40">
        <v>8.6999999999999994E-2</v>
      </c>
      <c r="DL40">
        <v>14000</v>
      </c>
      <c r="DM40">
        <v>7000</v>
      </c>
      <c r="DN40">
        <v>14000</v>
      </c>
      <c r="DO40">
        <v>1</v>
      </c>
      <c r="DP40">
        <v>0.1071</v>
      </c>
      <c r="DQ40">
        <v>98</v>
      </c>
      <c r="DR40">
        <v>7000</v>
      </c>
    </row>
    <row r="41" spans="1:122" x14ac:dyDescent="0.25">
      <c r="A41" s="35" t="str">
        <f>D1_FEBRERO_2026[[#This Row],[SUPER2]]</f>
        <v>SANDY</v>
      </c>
      <c r="B41" s="34" t="str" cm="1">
        <f t="array" ref="B41">TRIM(IFERROR(_xlfn.IFS(D1_FEBRERO_2026[[#This Row],[ASESOR]]="ELVIS GUERRA","ELVIS GUERRERA",D1_FEBRERO_2026[[#This Row],[ASESOR]]="GENESIS VICUÑA","GENESIS VICUNA",D1_FEBRERO_2026[[#This Row],[ASESOR]]="GINA HUMANI","GINA HUAMANI"),D1_FEBRERO_2026[[#This Row],[ASESOR]]))</f>
        <v>LUIS CENTENO</v>
      </c>
      <c r="C4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1" s="35">
        <f>IF(D1_FEBRERO_2026[[#This Row],[RECUPERO]]="VACACIONES","VACACIONES",IFERROR(D1_FEBRERO_2026[[#This Row],[RECUPERO]]/D1_FEBRERO_2026[[#This Row],[META]],""))</f>
        <v>0.57272000000000001</v>
      </c>
      <c r="E41" s="35" t="s">
        <v>3</v>
      </c>
      <c r="F41" t="s">
        <v>31</v>
      </c>
      <c r="G41" s="3">
        <v>28636</v>
      </c>
      <c r="H41" t="s">
        <v>403</v>
      </c>
      <c r="I41" s="55">
        <v>45334</v>
      </c>
      <c r="J41" s="55" t="s">
        <v>501</v>
      </c>
      <c r="K41" s="55"/>
      <c r="L41" s="55"/>
      <c r="M41" s="5">
        <f>DATA_FEBRERO_2026[[#This Row],[RECUPERO]]/DATA_FEBRERO_2026[[#This Row],[META]]</f>
        <v>1.4429000000000001</v>
      </c>
      <c r="N41" s="5">
        <f>6-ROUNDUP(_xlfn.RANK.EQ(DATA_FEBRERO_2026[[#This Row],[AL_AC]],DATA_FEBRERO_2026[AL_AC],0)/(COUNTA(DATA_FEBRERO_2026[AL_AC])/5),0)</f>
        <v>4</v>
      </c>
      <c r="O41" s="54" t="str">
        <f>IFERROR(VLOOKUP(DATA_FEBRERO_2026[[#This Row],[ASER_]],$B:$G,4,0),"")</f>
        <v>SANDY</v>
      </c>
      <c r="P41" s="6">
        <f>SUM(DATA_FEBRERO_2026[[#This Row],[1]:[31]])</f>
        <v>72145</v>
      </c>
      <c r="Q41" s="6">
        <f>VLOOKUP(DATA_FEBRERO_2026[[#This Row],[ASER_]],D1_FEBRERO_2026[[ASESOR_CRR]:[META]],2,0)</f>
        <v>50000</v>
      </c>
      <c r="R41" t="s">
        <v>23</v>
      </c>
      <c r="T41">
        <v>3805</v>
      </c>
      <c r="U41">
        <v>1927</v>
      </c>
      <c r="V41">
        <v>578</v>
      </c>
      <c r="W41">
        <v>1700</v>
      </c>
      <c r="X41">
        <v>6000</v>
      </c>
      <c r="Y41">
        <v>580</v>
      </c>
      <c r="AA41">
        <v>1239</v>
      </c>
      <c r="AB41">
        <v>268</v>
      </c>
      <c r="AC41">
        <v>2000</v>
      </c>
      <c r="AD41">
        <v>250</v>
      </c>
      <c r="AE41">
        <v>4000</v>
      </c>
      <c r="AF41">
        <v>724</v>
      </c>
      <c r="AG41">
        <v>214</v>
      </c>
      <c r="AH41">
        <v>1957</v>
      </c>
      <c r="AI41">
        <v>1000</v>
      </c>
      <c r="AJ41">
        <v>6528</v>
      </c>
      <c r="AK41">
        <v>4050</v>
      </c>
      <c r="AL41">
        <v>6000</v>
      </c>
      <c r="AM41">
        <v>403</v>
      </c>
      <c r="AO41">
        <v>550</v>
      </c>
      <c r="AP41">
        <v>8000</v>
      </c>
      <c r="AR41">
        <v>2900</v>
      </c>
      <c r="AS41">
        <v>5622</v>
      </c>
      <c r="AT41">
        <v>11850</v>
      </c>
      <c r="AX41" t="str" cm="1">
        <f t="array" ref="AX41">IFERROR(VLOOKUP(DATA_FEBRERO_2026[[#This Row],[ASER_]],_xlfn._xlws.FILTER(PLANTILLA[[ASESOR]:[FECHA DE CESE]],PLANTILLA[FECHA]=_xlfn.CONCAT($M$3,"_",_xlfn.IFS($N$3="ENERO","1",$N$3="FEBRERO","2",$N$3="MARZO","3",$N$3="ABRIL","4",$N$3="MAYO","5",$N$3="JUNIO","6",$N$3="JULIO","7",$N$3="AGOSTO","8",$N$3="SETIEMBRE","9",$N$3="OCTUBRE","10",$N$3="NOVIEMBRE","11",$N$3="DICIEMBRE","12"))),8,0),"")</f>
        <v>S1</v>
      </c>
      <c r="CQ41" t="s">
        <v>636</v>
      </c>
      <c r="CR41" t="s">
        <v>6</v>
      </c>
      <c r="CS41" t="s">
        <v>37</v>
      </c>
      <c r="CT41">
        <v>46064</v>
      </c>
      <c r="CU41">
        <v>1</v>
      </c>
      <c r="CV41">
        <v>1</v>
      </c>
      <c r="CX41">
        <v>1</v>
      </c>
      <c r="CZ41">
        <v>0</v>
      </c>
      <c r="DA41">
        <v>0</v>
      </c>
      <c r="DB41">
        <v>3.3055555555555553E-2</v>
      </c>
      <c r="DC41">
        <v>5.0694444444444441E-3</v>
      </c>
      <c r="DD41">
        <v>133</v>
      </c>
      <c r="DE41">
        <v>154</v>
      </c>
      <c r="DF41">
        <v>6</v>
      </c>
      <c r="DG41" t="s">
        <v>703</v>
      </c>
      <c r="DH41">
        <v>26723</v>
      </c>
      <c r="DI41">
        <v>4.5100000000000001E-2</v>
      </c>
      <c r="DJ41">
        <v>2</v>
      </c>
      <c r="DK41">
        <v>0.33329999999999999</v>
      </c>
      <c r="DL41">
        <v>1470</v>
      </c>
      <c r="DM41">
        <v>735</v>
      </c>
      <c r="DN41">
        <v>1470</v>
      </c>
      <c r="DO41">
        <v>1</v>
      </c>
      <c r="DP41">
        <v>0.24</v>
      </c>
      <c r="DQ41">
        <v>98</v>
      </c>
      <c r="DR41">
        <v>735</v>
      </c>
    </row>
    <row r="42" spans="1:122" x14ac:dyDescent="0.25">
      <c r="A42" s="35" t="str">
        <f>D1_FEBRERO_2026[[#This Row],[SUPER2]]</f>
        <v>JORGE</v>
      </c>
      <c r="B42" s="34" t="str" cm="1">
        <f t="array" ref="B42">TRIM(IFERROR(_xlfn.IFS(D1_FEBRERO_2026[[#This Row],[ASESOR]]="ELVIS GUERRA","ELVIS GUERRERA",D1_FEBRERO_2026[[#This Row],[ASESOR]]="GENESIS VICUÑA","GENESIS VICUNA",D1_FEBRERO_2026[[#This Row],[ASESOR]]="GINA HUMANI","GINA HUAMANI"),D1_FEBRERO_2026[[#This Row],[ASESOR]]))</f>
        <v>LUIS VALLADARES</v>
      </c>
      <c r="C4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42" s="35">
        <f>IF(D1_FEBRERO_2026[[#This Row],[RECUPERO]]="VACACIONES","VACACIONES",IFERROR(D1_FEBRERO_2026[[#This Row],[RECUPERO]]/D1_FEBRERO_2026[[#This Row],[META]],""))</f>
        <v>1.2064250000000001</v>
      </c>
      <c r="E42" s="35" t="s">
        <v>2</v>
      </c>
      <c r="F42" t="s">
        <v>29</v>
      </c>
      <c r="G42" s="3">
        <v>33779.9</v>
      </c>
      <c r="H42" t="s">
        <v>416</v>
      </c>
      <c r="I42" s="55">
        <v>44685</v>
      </c>
      <c r="J42" s="55" t="s">
        <v>501</v>
      </c>
      <c r="K42" s="55"/>
      <c r="L42" s="55"/>
      <c r="M42" s="5">
        <f>DATA_FEBRERO_2026[[#This Row],[RECUPERO]]/DATA_FEBRERO_2026[[#This Row],[META]]</f>
        <v>0.57272000000000001</v>
      </c>
      <c r="N42" s="5">
        <f>6-ROUNDUP(_xlfn.RANK.EQ(DATA_FEBRERO_2026[[#This Row],[AL_AC]],DATA_FEBRERO_2026[AL_AC],0)/(COUNTA(DATA_FEBRERO_2026[AL_AC])/5),0)</f>
        <v>1</v>
      </c>
      <c r="O42" s="54" t="str">
        <f>IFERROR(VLOOKUP(DATA_FEBRERO_2026[[#This Row],[ASER_]],$B:$G,4,0),"")</f>
        <v>SANDY</v>
      </c>
      <c r="P42" s="6">
        <f>SUM(DATA_FEBRERO_2026[[#This Row],[1]:[31]])</f>
        <v>28636</v>
      </c>
      <c r="Q42" s="6">
        <f>VLOOKUP(DATA_FEBRERO_2026[[#This Row],[ASER_]],D1_FEBRERO_2026[[ASESOR_CRR]:[META]],2,0)</f>
        <v>50000</v>
      </c>
      <c r="R42" t="s">
        <v>31</v>
      </c>
      <c r="U42">
        <v>1150</v>
      </c>
      <c r="V42">
        <v>1500</v>
      </c>
      <c r="AA42">
        <v>2500</v>
      </c>
      <c r="AE42">
        <v>6000</v>
      </c>
      <c r="AH42">
        <v>2000</v>
      </c>
      <c r="AI42">
        <v>2000</v>
      </c>
      <c r="AK42">
        <v>3890</v>
      </c>
      <c r="AO42">
        <v>1010</v>
      </c>
      <c r="AQ42">
        <v>1100</v>
      </c>
      <c r="AR42">
        <v>3601</v>
      </c>
      <c r="AS42">
        <v>604</v>
      </c>
      <c r="AT42">
        <v>3281</v>
      </c>
      <c r="AX42" t="str" cm="1">
        <f t="array" ref="AX42">IFERROR(VLOOKUP(DATA_FEBRERO_2026[[#This Row],[ASER_]],_xlfn._xlws.FILTER(PLANTILLA[[ASESOR]:[FECHA DE CESE]],PLANTILLA[FECHA]=_xlfn.CONCAT($M$3,"_",_xlfn.IFS($N$3="ENERO","1",$N$3="FEBRERO","2",$N$3="MARZO","3",$N$3="ABRIL","4",$N$3="MAYO","5",$N$3="JUNIO","6",$N$3="JULIO","7",$N$3="AGOSTO","8",$N$3="SETIEMBRE","9",$N$3="OCTUBRE","10",$N$3="NOVIEMBRE","11",$N$3="DICIEMBRE","12"))),8,0),"")</f>
        <v>S1</v>
      </c>
      <c r="CQ42" t="s">
        <v>636</v>
      </c>
      <c r="CR42" t="s">
        <v>6</v>
      </c>
      <c r="CS42" t="s">
        <v>97</v>
      </c>
      <c r="CT42">
        <v>46066</v>
      </c>
      <c r="CU42">
        <v>1</v>
      </c>
      <c r="CV42">
        <v>1</v>
      </c>
      <c r="CX42">
        <v>1</v>
      </c>
      <c r="CZ42">
        <v>9.2592592592592588E-5</v>
      </c>
      <c r="DA42">
        <v>9.2592592592592588E-5</v>
      </c>
      <c r="DB42">
        <v>0.21900462962962963</v>
      </c>
      <c r="DC42">
        <v>0.10700231481481481</v>
      </c>
      <c r="DD42">
        <v>82</v>
      </c>
      <c r="DE42">
        <v>155</v>
      </c>
      <c r="DF42">
        <v>22</v>
      </c>
      <c r="DG42" t="s">
        <v>681</v>
      </c>
      <c r="DH42">
        <v>25509</v>
      </c>
      <c r="DI42">
        <v>0.26829999999999998</v>
      </c>
      <c r="DJ42">
        <v>2</v>
      </c>
      <c r="DK42">
        <v>9.0899999999999995E-2</v>
      </c>
      <c r="DL42">
        <v>3360</v>
      </c>
      <c r="DM42">
        <v>1680</v>
      </c>
      <c r="DN42">
        <v>3360</v>
      </c>
      <c r="DO42">
        <v>1</v>
      </c>
      <c r="DP42">
        <v>0.15479999999999999</v>
      </c>
      <c r="DQ42">
        <v>98</v>
      </c>
      <c r="DR42">
        <v>1680</v>
      </c>
    </row>
    <row r="43" spans="1:122" x14ac:dyDescent="0.25">
      <c r="A43" s="35" t="str">
        <f>D1_FEBRERO_2026[[#This Row],[SUPER2]]</f>
        <v>JORGE</v>
      </c>
      <c r="B43" s="34" t="str" cm="1">
        <f t="array" ref="B43">TRIM(IFERROR(_xlfn.IFS(D1_FEBRERO_2026[[#This Row],[ASESOR]]="ELVIS GUERRA","ELVIS GUERRERA",D1_FEBRERO_2026[[#This Row],[ASESOR]]="GENESIS VICUÑA","GENESIS VICUNA",D1_FEBRERO_2026[[#This Row],[ASESOR]]="GINA HUMANI","GINA HUAMANI"),D1_FEBRERO_2026[[#This Row],[ASESOR]]))</f>
        <v>MALORY MONTEBLANCO</v>
      </c>
      <c r="C4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43" s="35">
        <f>IF(D1_FEBRERO_2026[[#This Row],[RECUPERO]]="VACACIONES","VACACIONES",IFERROR(D1_FEBRERO_2026[[#This Row],[RECUPERO]]/D1_FEBRERO_2026[[#This Row],[META]],""))</f>
        <v>0.97503571428571434</v>
      </c>
      <c r="E43" s="35" t="s">
        <v>2</v>
      </c>
      <c r="F43" t="s">
        <v>25</v>
      </c>
      <c r="G43" s="3">
        <v>27301</v>
      </c>
      <c r="H43" t="s">
        <v>446</v>
      </c>
      <c r="I43" s="55">
        <v>44818</v>
      </c>
      <c r="J43" s="55" t="s">
        <v>501</v>
      </c>
      <c r="K43" s="55"/>
      <c r="L43" s="55"/>
      <c r="M43" s="5">
        <f>DATA_FEBRERO_2026[[#This Row],[RECUPERO]]/DATA_FEBRERO_2026[[#This Row],[META]]</f>
        <v>1.2064250000000001</v>
      </c>
      <c r="N43" s="5">
        <f>6-ROUNDUP(_xlfn.RANK.EQ(DATA_FEBRERO_2026[[#This Row],[AL_AC]],DATA_FEBRERO_2026[AL_AC],0)/(COUNTA(DATA_FEBRERO_2026[AL_AC])/5),0)</f>
        <v>4</v>
      </c>
      <c r="O43" s="54" t="str">
        <f>IFERROR(VLOOKUP(DATA_FEBRERO_2026[[#This Row],[ASER_]],$B:$G,4,0),"")</f>
        <v>JORGE</v>
      </c>
      <c r="P43" s="6">
        <f>SUM(DATA_FEBRERO_2026[[#This Row],[1]:[31]])</f>
        <v>33779.9</v>
      </c>
      <c r="Q43" s="6">
        <f>VLOOKUP(DATA_FEBRERO_2026[[#This Row],[ASER_]],D1_FEBRERO_2026[[ASESOR_CRR]:[META]],2,0)</f>
        <v>28000</v>
      </c>
      <c r="R43" t="s">
        <v>29</v>
      </c>
      <c r="T43">
        <v>1103.4000000000001</v>
      </c>
      <c r="W43">
        <v>2700</v>
      </c>
      <c r="X43">
        <v>4300</v>
      </c>
      <c r="AF43">
        <v>1015</v>
      </c>
      <c r="AH43">
        <v>3222.5</v>
      </c>
      <c r="AI43">
        <v>2250</v>
      </c>
      <c r="AJ43">
        <v>810</v>
      </c>
      <c r="AL43">
        <v>5802</v>
      </c>
      <c r="AO43">
        <v>300</v>
      </c>
      <c r="AP43">
        <v>2180</v>
      </c>
      <c r="AS43">
        <v>9565</v>
      </c>
      <c r="AT43">
        <v>532</v>
      </c>
      <c r="AX43" t="str" cm="1">
        <f t="array" ref="AX43">IFERROR(VLOOKUP(DATA_FEBRERO_2026[[#This Row],[ASER_]],_xlfn._xlws.FILTER(PLANTILLA[[ASESOR]:[FECHA DE CESE]],PLANTILLA[FECHA]=_xlfn.CONCAT($M$3,"_",_xlfn.IFS($N$3="ENERO","1",$N$3="FEBRERO","2",$N$3="MARZO","3",$N$3="ABRIL","4",$N$3="MAYO","5",$N$3="JUNIO","6",$N$3="JULIO","7",$N$3="AGOSTO","8",$N$3="SETIEMBRE","9",$N$3="OCTUBRE","10",$N$3="NOVIEMBRE","11",$N$3="DICIEMBRE","12"))),8,0),"")</f>
        <v>S0</v>
      </c>
      <c r="CQ43" t="s">
        <v>636</v>
      </c>
      <c r="CR43" t="s">
        <v>6</v>
      </c>
      <c r="CS43" t="s">
        <v>34</v>
      </c>
      <c r="CT43">
        <v>46066</v>
      </c>
      <c r="CU43">
        <v>1</v>
      </c>
      <c r="CV43">
        <v>1</v>
      </c>
      <c r="CX43">
        <v>1</v>
      </c>
      <c r="CZ43">
        <v>5.7870370370370373E-5</v>
      </c>
      <c r="DA43">
        <v>5.7870370370370373E-5</v>
      </c>
      <c r="DB43">
        <v>0.23442129629629629</v>
      </c>
      <c r="DC43">
        <v>8.6180555555555552E-2</v>
      </c>
      <c r="DD43">
        <v>134</v>
      </c>
      <c r="DE43">
        <v>150</v>
      </c>
      <c r="DF43">
        <v>10</v>
      </c>
      <c r="DG43">
        <v>1.5</v>
      </c>
      <c r="DH43">
        <v>35236</v>
      </c>
      <c r="DI43">
        <v>7.46E-2</v>
      </c>
      <c r="DJ43">
        <v>1</v>
      </c>
      <c r="DK43">
        <v>0.1</v>
      </c>
      <c r="DL43">
        <v>2000</v>
      </c>
      <c r="DM43">
        <v>2000</v>
      </c>
      <c r="DN43">
        <v>2000</v>
      </c>
      <c r="DO43">
        <v>1</v>
      </c>
      <c r="DP43">
        <v>0.20660000000000001</v>
      </c>
      <c r="DQ43">
        <v>98</v>
      </c>
      <c r="DR43">
        <v>2000</v>
      </c>
    </row>
    <row r="44" spans="1:122" x14ac:dyDescent="0.25">
      <c r="A44" s="35" t="str">
        <f>D1_FEBRERO_2026[[#This Row],[SUPER2]]</f>
        <v>SANDY</v>
      </c>
      <c r="B44" s="34" t="str" cm="1">
        <f t="array" ref="B44">TRIM(IFERROR(_xlfn.IFS(D1_FEBRERO_2026[[#This Row],[ASESOR]]="ELVIS GUERRA","ELVIS GUERRERA",D1_FEBRERO_2026[[#This Row],[ASESOR]]="GENESIS VICUÑA","GENESIS VICUNA",D1_FEBRERO_2026[[#This Row],[ASESOR]]="GINA HUMANI","GINA HUAMANI"),D1_FEBRERO_2026[[#This Row],[ASESOR]]))</f>
        <v>MARGARITA PIANCHACHI</v>
      </c>
      <c r="C4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4" s="35">
        <f>IF(D1_FEBRERO_2026[[#This Row],[RECUPERO]]="VACACIONES","VACACIONES",IFERROR(D1_FEBRERO_2026[[#This Row],[RECUPERO]]/D1_FEBRERO_2026[[#This Row],[META]],""))</f>
        <v>1.6110899999999999</v>
      </c>
      <c r="E44" s="35" t="s">
        <v>3</v>
      </c>
      <c r="F44" t="s">
        <v>17</v>
      </c>
      <c r="G44" s="3">
        <v>80554.5</v>
      </c>
      <c r="H44" t="s">
        <v>385</v>
      </c>
      <c r="I44" s="55">
        <v>44886</v>
      </c>
      <c r="J44" s="55" t="s">
        <v>501</v>
      </c>
      <c r="K44" s="55"/>
      <c r="L44" s="55"/>
      <c r="M44" s="5">
        <f>DATA_FEBRERO_2026[[#This Row],[RECUPERO]]/DATA_FEBRERO_2026[[#This Row],[META]]</f>
        <v>0.97503571428571434</v>
      </c>
      <c r="N44" s="5">
        <f>6-ROUNDUP(_xlfn.RANK.EQ(DATA_FEBRERO_2026[[#This Row],[AL_AC]],DATA_FEBRERO_2026[AL_AC],0)/(COUNTA(DATA_FEBRERO_2026[AL_AC])/5),0)</f>
        <v>3</v>
      </c>
      <c r="O44" s="54" t="str">
        <f>IFERROR(VLOOKUP(DATA_FEBRERO_2026[[#This Row],[ASER_]],$B:$G,4,0),"")</f>
        <v>JORGE</v>
      </c>
      <c r="P44" s="6">
        <f>SUM(DATA_FEBRERO_2026[[#This Row],[1]:[31]])</f>
        <v>27301</v>
      </c>
      <c r="Q44" s="6">
        <f>VLOOKUP(DATA_FEBRERO_2026[[#This Row],[ASER_]],D1_FEBRERO_2026[[ASESOR_CRR]:[META]],2,0)</f>
        <v>28000</v>
      </c>
      <c r="R44" t="s">
        <v>25</v>
      </c>
      <c r="V44">
        <v>500</v>
      </c>
      <c r="AA44">
        <v>2530</v>
      </c>
      <c r="AC44">
        <v>3450</v>
      </c>
      <c r="AE44">
        <v>9750</v>
      </c>
      <c r="AF44">
        <v>260.5</v>
      </c>
      <c r="AH44">
        <v>5150</v>
      </c>
      <c r="AQ44">
        <v>200</v>
      </c>
      <c r="AS44">
        <v>2600</v>
      </c>
      <c r="AT44">
        <v>2860.5</v>
      </c>
      <c r="AX44" t="str" cm="1">
        <f t="array" ref="AX44">IFERROR(VLOOKUP(DATA_FEBRERO_2026[[#This Row],[ASER_]],_xlfn._xlws.FILTER(PLANTILLA[[ASESOR]:[FECHA DE CESE]],PLANTILLA[FECHA]=_xlfn.CONCAT($M$3,"_",_xlfn.IFS($N$3="ENERO","1",$N$3="FEBRERO","2",$N$3="MARZO","3",$N$3="ABRIL","4",$N$3="MAYO","5",$N$3="JUNIO","6",$N$3="JULIO","7",$N$3="AGOSTO","8",$N$3="SETIEMBRE","9",$N$3="OCTUBRE","10",$N$3="NOVIEMBRE","11",$N$3="DICIEMBRE","12"))),8,0),"")</f>
        <v>S0</v>
      </c>
      <c r="CQ44" t="s">
        <v>636</v>
      </c>
      <c r="CR44" t="s">
        <v>3</v>
      </c>
      <c r="CS44" t="s">
        <v>32</v>
      </c>
      <c r="CT44">
        <v>46063</v>
      </c>
      <c r="CU44">
        <v>1</v>
      </c>
      <c r="CV44">
        <v>1</v>
      </c>
      <c r="CX44">
        <v>1</v>
      </c>
      <c r="CZ44">
        <v>9.2592592592592588E-5</v>
      </c>
      <c r="DA44">
        <v>9.2592592592592588E-5</v>
      </c>
      <c r="DB44">
        <v>8.0763888888888885E-2</v>
      </c>
      <c r="DC44">
        <v>1.2407407407407407E-2</v>
      </c>
      <c r="DD44">
        <v>123</v>
      </c>
      <c r="DE44">
        <v>278</v>
      </c>
      <c r="DF44">
        <v>37</v>
      </c>
      <c r="DG44" t="s">
        <v>1090</v>
      </c>
      <c r="DH44">
        <v>30099</v>
      </c>
      <c r="DI44">
        <v>0.30080000000000001</v>
      </c>
      <c r="DJ44">
        <v>3</v>
      </c>
      <c r="DK44">
        <v>8.1100000000000005E-2</v>
      </c>
      <c r="DL44">
        <v>1777</v>
      </c>
      <c r="DM44">
        <v>592</v>
      </c>
      <c r="DN44">
        <v>1777</v>
      </c>
      <c r="DO44">
        <v>1</v>
      </c>
      <c r="DP44">
        <v>0.19800000000000001</v>
      </c>
      <c r="DQ44">
        <v>98</v>
      </c>
      <c r="DR44">
        <v>592</v>
      </c>
    </row>
    <row r="45" spans="1:122" x14ac:dyDescent="0.25">
      <c r="A45" s="35" t="str">
        <f>D1_FEBRERO_2026[[#This Row],[SUPER2]]</f>
        <v>SANDY</v>
      </c>
      <c r="B45" s="34" t="str" cm="1">
        <f t="array" ref="B45">TRIM(IFERROR(_xlfn.IFS(D1_FEBRERO_2026[[#This Row],[ASESOR]]="ELVIS GUERRA","ELVIS GUERRERA",D1_FEBRERO_2026[[#This Row],[ASESOR]]="GENESIS VICUÑA","GENESIS VICUNA",D1_FEBRERO_2026[[#This Row],[ASESOR]]="GINA HUMANI","GINA HUAMANI"),D1_FEBRERO_2026[[#This Row],[ASESOR]]))</f>
        <v>MARIA BARRIONUEVO</v>
      </c>
      <c r="C4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5" s="35">
        <f>IF(D1_FEBRERO_2026[[#This Row],[RECUPERO]]="VACACIONES","VACACIONES",IFERROR(D1_FEBRERO_2026[[#This Row],[RECUPERO]]/D1_FEBRERO_2026[[#This Row],[META]],""))</f>
        <v>0.74525279999999994</v>
      </c>
      <c r="E45" s="35" t="s">
        <v>3</v>
      </c>
      <c r="F45" t="s">
        <v>207</v>
      </c>
      <c r="G45" s="3">
        <v>37262.639999999999</v>
      </c>
      <c r="H45" t="s">
        <v>536</v>
      </c>
      <c r="I45" s="55">
        <v>46029</v>
      </c>
      <c r="J45" s="55" t="s">
        <v>501</v>
      </c>
      <c r="K45" s="55"/>
      <c r="L45" s="55"/>
      <c r="M45" s="5">
        <f>DATA_FEBRERO_2026[[#This Row],[RECUPERO]]/DATA_FEBRERO_2026[[#This Row],[META]]</f>
        <v>1.6110899999999999</v>
      </c>
      <c r="N45" s="5">
        <f>6-ROUNDUP(_xlfn.RANK.EQ(DATA_FEBRERO_2026[[#This Row],[AL_AC]],DATA_FEBRERO_2026[AL_AC],0)/(COUNTA(DATA_FEBRERO_2026[AL_AC])/5),0)</f>
        <v>5</v>
      </c>
      <c r="O45" s="54" t="str">
        <f>IFERROR(VLOOKUP(DATA_FEBRERO_2026[[#This Row],[ASER_]],$B:$G,4,0),"")</f>
        <v>SANDY</v>
      </c>
      <c r="P45" s="6">
        <f>SUM(DATA_FEBRERO_2026[[#This Row],[1]:[31]])</f>
        <v>80554.5</v>
      </c>
      <c r="Q45" s="6">
        <f>VLOOKUP(DATA_FEBRERO_2026[[#This Row],[ASER_]],D1_FEBRERO_2026[[ASESOR_CRR]:[META]],2,0)</f>
        <v>50000</v>
      </c>
      <c r="R45" t="s">
        <v>17</v>
      </c>
      <c r="T45">
        <v>2136</v>
      </c>
      <c r="X45">
        <v>34000</v>
      </c>
      <c r="AA45">
        <v>1000</v>
      </c>
      <c r="AB45">
        <v>7000</v>
      </c>
      <c r="AC45">
        <v>12000</v>
      </c>
      <c r="AD45">
        <v>400</v>
      </c>
      <c r="AE45">
        <v>500</v>
      </c>
      <c r="AH45">
        <v>1312.5</v>
      </c>
      <c r="AI45">
        <v>320</v>
      </c>
      <c r="AK45">
        <v>656</v>
      </c>
      <c r="AP45">
        <v>9330</v>
      </c>
      <c r="AQ45">
        <v>600</v>
      </c>
      <c r="AS45">
        <v>11000</v>
      </c>
      <c r="AT45">
        <v>300</v>
      </c>
      <c r="AX45" t="str" cm="1">
        <f t="array" ref="AX45">IFERROR(VLOOKUP(DATA_FEBRERO_2026[[#This Row],[ASER_]],_xlfn._xlws.FILTER(PLANTILLA[[ASESOR]:[FECHA DE CESE]],PLANTILLA[FECHA]=_xlfn.CONCAT($M$3,"_",_xlfn.IFS($N$3="ENERO","1",$N$3="FEBRERO","2",$N$3="MARZO","3",$N$3="ABRIL","4",$N$3="MAYO","5",$N$3="JUNIO","6",$N$3="JULIO","7",$N$3="AGOSTO","8",$N$3="SETIEMBRE","9",$N$3="OCTUBRE","10",$N$3="NOVIEMBRE","11",$N$3="DICIEMBRE","12"))),8,0),"")</f>
        <v>S1</v>
      </c>
      <c r="CQ45" t="s">
        <v>636</v>
      </c>
      <c r="CR45" t="s">
        <v>3</v>
      </c>
      <c r="CS45" t="s">
        <v>96</v>
      </c>
      <c r="CT45">
        <v>46056</v>
      </c>
      <c r="CU45">
        <v>1</v>
      </c>
      <c r="CV45">
        <v>1</v>
      </c>
      <c r="CX45">
        <v>1</v>
      </c>
      <c r="CZ45">
        <v>3.3217592592592591E-3</v>
      </c>
      <c r="DA45">
        <v>3.3217592592592591E-3</v>
      </c>
      <c r="DB45">
        <v>3.2384259259259258E-2</v>
      </c>
      <c r="DC45">
        <v>2.6597222222222223E-2</v>
      </c>
      <c r="DD45">
        <v>66</v>
      </c>
      <c r="DE45">
        <v>179</v>
      </c>
      <c r="DF45">
        <v>10</v>
      </c>
      <c r="DG45">
        <v>2.2999999999999998</v>
      </c>
      <c r="DH45">
        <v>27865</v>
      </c>
      <c r="DI45">
        <v>0.1515</v>
      </c>
      <c r="DJ45">
        <v>2</v>
      </c>
      <c r="DK45">
        <v>0.2</v>
      </c>
      <c r="DL45">
        <v>1390</v>
      </c>
      <c r="DM45">
        <v>695</v>
      </c>
      <c r="DN45">
        <v>1390</v>
      </c>
      <c r="DO45">
        <v>1</v>
      </c>
      <c r="DP45">
        <v>0.3997</v>
      </c>
      <c r="DQ45">
        <v>98</v>
      </c>
      <c r="DR45">
        <v>695</v>
      </c>
    </row>
    <row r="46" spans="1:122" x14ac:dyDescent="0.25">
      <c r="A46" s="35" t="str">
        <f>D1_FEBRERO_2026[[#This Row],[SUPER2]]</f>
        <v>JORGE</v>
      </c>
      <c r="B46" s="34" t="str" cm="1">
        <f t="array" ref="B46">TRIM(IFERROR(_xlfn.IFS(D1_FEBRERO_2026[[#This Row],[ASESOR]]="ELVIS GUERRA","ELVIS GUERRERA",D1_FEBRERO_2026[[#This Row],[ASESOR]]="GENESIS VICUÑA","GENESIS VICUNA",D1_FEBRERO_2026[[#This Row],[ASESOR]]="GINA HUMANI","GINA HUAMANI"),D1_FEBRERO_2026[[#This Row],[ASESOR]]))</f>
        <v>MARIA HUARCAYA</v>
      </c>
      <c r="C4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46" s="35">
        <f>IF(D1_FEBRERO_2026[[#This Row],[RECUPERO]]="VACACIONES","VACACIONES",IFERROR(D1_FEBRERO_2026[[#This Row],[RECUPERO]]/D1_FEBRERO_2026[[#This Row],[META]],""))</f>
        <v>1.2590714285714286</v>
      </c>
      <c r="E46" s="35" t="s">
        <v>2</v>
      </c>
      <c r="F46" t="s">
        <v>38</v>
      </c>
      <c r="G46" s="3">
        <v>35254</v>
      </c>
      <c r="H46" t="s">
        <v>469</v>
      </c>
      <c r="I46" s="55">
        <v>45800</v>
      </c>
      <c r="J46" s="55" t="s">
        <v>501</v>
      </c>
      <c r="K46" s="55"/>
      <c r="L46" s="55"/>
      <c r="M46" s="5">
        <f>DATA_FEBRERO_2026[[#This Row],[RECUPERO]]/DATA_FEBRERO_2026[[#This Row],[META]]</f>
        <v>0.74525279999999994</v>
      </c>
      <c r="N46" s="5">
        <f>6-ROUNDUP(_xlfn.RANK.EQ(DATA_FEBRERO_2026[[#This Row],[AL_AC]],DATA_FEBRERO_2026[AL_AC],0)/(COUNTA(DATA_FEBRERO_2026[AL_AC])/5),0)</f>
        <v>2</v>
      </c>
      <c r="O46" s="54" t="str">
        <f>IFERROR(VLOOKUP(DATA_FEBRERO_2026[[#This Row],[ASER_]],$B:$G,4,0),"")</f>
        <v>SANDY</v>
      </c>
      <c r="P46" s="6">
        <f>SUM(DATA_FEBRERO_2026[[#This Row],[1]:[31]])</f>
        <v>37262.639999999999</v>
      </c>
      <c r="Q46" s="6">
        <f>VLOOKUP(DATA_FEBRERO_2026[[#This Row],[ASER_]],D1_FEBRERO_2026[[ASESOR_CRR]:[META]],2,0)</f>
        <v>50000</v>
      </c>
      <c r="R46" t="s">
        <v>207</v>
      </c>
      <c r="U46">
        <v>1000</v>
      </c>
      <c r="W46">
        <v>950</v>
      </c>
      <c r="AB46">
        <v>3000</v>
      </c>
      <c r="AD46">
        <v>225</v>
      </c>
      <c r="AK46">
        <v>3250</v>
      </c>
      <c r="AP46">
        <v>8000</v>
      </c>
      <c r="AR46">
        <v>2594.64</v>
      </c>
      <c r="AS46">
        <v>17626</v>
      </c>
      <c r="AT46">
        <v>617</v>
      </c>
      <c r="AX46" t="str" cm="1">
        <f t="array" ref="AX46">IFERROR(VLOOKUP(DATA_FEBRERO_2026[[#This Row],[ASER_]],_xlfn._xlws.FILTER(PLANTILLA[[ASESOR]:[FECHA DE CESE]],PLANTILLA[FECHA]=_xlfn.CONCAT($M$3,"_",_xlfn.IFS($N$3="ENERO","1",$N$3="FEBRERO","2",$N$3="MARZO","3",$N$3="ABRIL","4",$N$3="MAYO","5",$N$3="JUNIO","6",$N$3="JULIO","7",$N$3="AGOSTO","8",$N$3="SETIEMBRE","9",$N$3="OCTUBRE","10",$N$3="NOVIEMBRE","11",$N$3="DICIEMBRE","12"))),8,0),"")</f>
        <v>S1</v>
      </c>
      <c r="CQ46" t="s">
        <v>636</v>
      </c>
      <c r="CR46" t="s">
        <v>3</v>
      </c>
      <c r="CS46" t="s">
        <v>96</v>
      </c>
      <c r="CT46">
        <v>46059</v>
      </c>
      <c r="CU46">
        <v>1</v>
      </c>
      <c r="CV46">
        <v>1</v>
      </c>
      <c r="CX46">
        <v>1</v>
      </c>
      <c r="CZ46">
        <v>0</v>
      </c>
      <c r="DA46">
        <v>0</v>
      </c>
      <c r="DB46">
        <v>4.5810185185185183E-2</v>
      </c>
      <c r="DC46">
        <v>4.9537037037037041E-3</v>
      </c>
      <c r="DD46">
        <v>63</v>
      </c>
      <c r="DE46">
        <v>148</v>
      </c>
      <c r="DF46">
        <v>6</v>
      </c>
      <c r="DG46" t="s">
        <v>687</v>
      </c>
      <c r="DH46">
        <v>7135</v>
      </c>
      <c r="DI46">
        <v>9.5200000000000007E-2</v>
      </c>
      <c r="DJ46">
        <v>2</v>
      </c>
      <c r="DK46">
        <v>0.33329999999999999</v>
      </c>
      <c r="DL46">
        <v>6800</v>
      </c>
      <c r="DM46">
        <v>3400</v>
      </c>
      <c r="DN46">
        <v>6800</v>
      </c>
      <c r="DO46">
        <v>1</v>
      </c>
      <c r="DP46">
        <v>0.27960000000000002</v>
      </c>
      <c r="DQ46">
        <v>98</v>
      </c>
      <c r="DR46">
        <v>3400</v>
      </c>
    </row>
    <row r="47" spans="1:122" x14ac:dyDescent="0.25">
      <c r="A47" s="35" t="str">
        <f>D1_FEBRERO_2026[[#This Row],[SUPER2]]</f>
        <v>JOHAN</v>
      </c>
      <c r="B47" s="34" t="str" cm="1">
        <f t="array" ref="B47">TRIM(IFERROR(_xlfn.IFS(D1_FEBRERO_2026[[#This Row],[ASESOR]]="ELVIS GUERRA","ELVIS GUERRERA",D1_FEBRERO_2026[[#This Row],[ASESOR]]="GENESIS VICUÑA","GENESIS VICUNA",D1_FEBRERO_2026[[#This Row],[ASESOR]]="GINA HUMANI","GINA HUAMANI"),D1_FEBRERO_2026[[#This Row],[ASESOR]]))</f>
        <v>MARIA TINTAYA</v>
      </c>
      <c r="C47"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7" s="35">
        <f>IF(D1_FEBRERO_2026[[#This Row],[RECUPERO]]="VACACIONES","VACACIONES",IFERROR(D1_FEBRERO_2026[[#This Row],[RECUPERO]]/D1_FEBRERO_2026[[#This Row],[META]],""))</f>
        <v>1.5582400000000001</v>
      </c>
      <c r="E47" s="35" t="s">
        <v>125</v>
      </c>
      <c r="F47" t="s">
        <v>75</v>
      </c>
      <c r="G47" s="3">
        <v>77912</v>
      </c>
      <c r="H47" t="s">
        <v>428</v>
      </c>
      <c r="I47" s="55">
        <v>44714</v>
      </c>
      <c r="J47" s="55" t="s">
        <v>501</v>
      </c>
      <c r="K47" s="55"/>
      <c r="L47" s="55"/>
      <c r="M47" s="5">
        <f>DATA_FEBRERO_2026[[#This Row],[RECUPERO]]/DATA_FEBRERO_2026[[#This Row],[META]]</f>
        <v>1.2590714285714286</v>
      </c>
      <c r="N47" s="5">
        <f>6-ROUNDUP(_xlfn.RANK.EQ(DATA_FEBRERO_2026[[#This Row],[AL_AC]],DATA_FEBRERO_2026[AL_AC],0)/(COUNTA(DATA_FEBRERO_2026[AL_AC])/5),0)</f>
        <v>4</v>
      </c>
      <c r="O47" s="54" t="str">
        <f>IFERROR(VLOOKUP(DATA_FEBRERO_2026[[#This Row],[ASER_]],$B:$G,4,0),"")</f>
        <v>JORGE</v>
      </c>
      <c r="P47" s="6">
        <f>SUM(DATA_FEBRERO_2026[[#This Row],[1]:[31]])</f>
        <v>35254</v>
      </c>
      <c r="Q47" s="6">
        <f>VLOOKUP(DATA_FEBRERO_2026[[#This Row],[ASER_]],D1_FEBRERO_2026[[ASESOR_CRR]:[META]],2,0)</f>
        <v>28000</v>
      </c>
      <c r="R47" t="s">
        <v>38</v>
      </c>
      <c r="U47">
        <v>320</v>
      </c>
      <c r="V47">
        <v>180</v>
      </c>
      <c r="W47">
        <v>2000</v>
      </c>
      <c r="X47">
        <v>14000</v>
      </c>
      <c r="AA47">
        <v>900</v>
      </c>
      <c r="AB47">
        <v>1000</v>
      </c>
      <c r="AD47">
        <v>830</v>
      </c>
      <c r="AH47">
        <v>450</v>
      </c>
      <c r="AI47">
        <v>100</v>
      </c>
      <c r="AJ47">
        <v>454</v>
      </c>
      <c r="AK47">
        <v>1000</v>
      </c>
      <c r="AL47">
        <v>300</v>
      </c>
      <c r="AO47">
        <v>1260</v>
      </c>
      <c r="AP47">
        <v>1020</v>
      </c>
      <c r="AQ47">
        <v>300</v>
      </c>
      <c r="AR47">
        <v>500</v>
      </c>
      <c r="AS47">
        <v>9070</v>
      </c>
      <c r="AT47">
        <v>1570</v>
      </c>
      <c r="AX47" t="str" cm="1">
        <f t="array" ref="AX47">IFERROR(VLOOKUP(DATA_FEBRERO_2026[[#This Row],[ASER_]],_xlfn._xlws.FILTER(PLANTILLA[[ASESOR]:[FECHA DE CESE]],PLANTILLA[FECHA]=_xlfn.CONCAT($M$3,"_",_xlfn.IFS($N$3="ENERO","1",$N$3="FEBRERO","2",$N$3="MARZO","3",$N$3="ABRIL","4",$N$3="MAYO","5",$N$3="JUNIO","6",$N$3="JULIO","7",$N$3="AGOSTO","8",$N$3="SETIEMBRE","9",$N$3="OCTUBRE","10",$N$3="NOVIEMBRE","11",$N$3="DICIEMBRE","12"))),8,0),"")</f>
        <v>S0</v>
      </c>
      <c r="CQ47" t="s">
        <v>636</v>
      </c>
      <c r="CR47" t="s">
        <v>3</v>
      </c>
      <c r="CS47" t="s">
        <v>96</v>
      </c>
      <c r="CT47">
        <v>46076</v>
      </c>
      <c r="CU47">
        <v>1</v>
      </c>
      <c r="CV47">
        <v>1</v>
      </c>
      <c r="CX47">
        <v>1</v>
      </c>
      <c r="CZ47">
        <v>0</v>
      </c>
      <c r="DA47">
        <v>0</v>
      </c>
      <c r="DB47">
        <v>0.15870370370370371</v>
      </c>
      <c r="DC47">
        <v>0.2283449074074074</v>
      </c>
      <c r="DD47">
        <v>52</v>
      </c>
      <c r="DE47">
        <v>136</v>
      </c>
      <c r="DF47">
        <v>13</v>
      </c>
      <c r="DG47">
        <v>2</v>
      </c>
      <c r="DH47">
        <v>25901</v>
      </c>
      <c r="DI47">
        <v>0.25</v>
      </c>
      <c r="DJ47">
        <v>3</v>
      </c>
      <c r="DK47">
        <v>0.23080000000000001</v>
      </c>
      <c r="DL47">
        <v>8700</v>
      </c>
      <c r="DM47">
        <v>2900</v>
      </c>
      <c r="DN47">
        <v>8700</v>
      </c>
      <c r="DO47">
        <v>1</v>
      </c>
      <c r="DP47">
        <v>0.186</v>
      </c>
      <c r="DQ47">
        <v>98</v>
      </c>
      <c r="DR47">
        <v>2900</v>
      </c>
    </row>
    <row r="48" spans="1:122" x14ac:dyDescent="0.25">
      <c r="A48" s="35" t="str">
        <f>D1_FEBRERO_2026[[#This Row],[SUPER2]]</f>
        <v>JOHAN</v>
      </c>
      <c r="B48" s="34" t="str" cm="1">
        <f t="array" ref="B48">TRIM(IFERROR(_xlfn.IFS(D1_FEBRERO_2026[[#This Row],[ASESOR]]="ELVIS GUERRA","ELVIS GUERRERA",D1_FEBRERO_2026[[#This Row],[ASESOR]]="GENESIS VICUÑA","GENESIS VICUNA",D1_FEBRERO_2026[[#This Row],[ASESOR]]="GINA HUMANI","GINA HUAMANI"),D1_FEBRERO_2026[[#This Row],[ASESOR]]))</f>
        <v>MARTIN VARGAS</v>
      </c>
      <c r="C4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8" s="35">
        <f>IF(D1_FEBRERO_2026[[#This Row],[RECUPERO]]="VACACIONES","VACACIONES",IFERROR(D1_FEBRERO_2026[[#This Row],[RECUPERO]]/D1_FEBRERO_2026[[#This Row],[META]],""))</f>
        <v>0.24057999999999999</v>
      </c>
      <c r="E48" s="35" t="s">
        <v>125</v>
      </c>
      <c r="F48" t="s">
        <v>206</v>
      </c>
      <c r="G48" s="3">
        <v>12029</v>
      </c>
      <c r="H48" t="s">
        <v>535</v>
      </c>
      <c r="I48" s="55">
        <v>46024</v>
      </c>
      <c r="J48" s="55" t="s">
        <v>501</v>
      </c>
      <c r="K48" s="55"/>
      <c r="L48" s="55"/>
      <c r="M48" s="5">
        <f>DATA_FEBRERO_2026[[#This Row],[RECUPERO]]/DATA_FEBRERO_2026[[#This Row],[META]]</f>
        <v>1.5582400000000001</v>
      </c>
      <c r="N48" s="5">
        <f>6-ROUNDUP(_xlfn.RANK.EQ(DATA_FEBRERO_2026[[#This Row],[AL_AC]],DATA_FEBRERO_2026[AL_AC],0)/(COUNTA(DATA_FEBRERO_2026[AL_AC])/5),0)</f>
        <v>4</v>
      </c>
      <c r="O48" s="54" t="str">
        <f>IFERROR(VLOOKUP(DATA_FEBRERO_2026[[#This Row],[ASER_]],$B:$G,4,0),"")</f>
        <v>JOHAN</v>
      </c>
      <c r="P48" s="6">
        <f>SUM(DATA_FEBRERO_2026[[#This Row],[1]:[31]])</f>
        <v>77912</v>
      </c>
      <c r="Q48" s="6">
        <f>VLOOKUP(DATA_FEBRERO_2026[[#This Row],[ASER_]],D1_FEBRERO_2026[[ASESOR_CRR]:[META]],2,0)</f>
        <v>50000</v>
      </c>
      <c r="R48" t="s">
        <v>75</v>
      </c>
      <c r="V48">
        <v>4500</v>
      </c>
      <c r="W48">
        <v>1900</v>
      </c>
      <c r="X48">
        <v>6200</v>
      </c>
      <c r="AB48">
        <v>1850</v>
      </c>
      <c r="AC48">
        <v>3000</v>
      </c>
      <c r="AD48">
        <v>10500</v>
      </c>
      <c r="AE48">
        <v>1000</v>
      </c>
      <c r="AH48">
        <v>21000</v>
      </c>
      <c r="AI48">
        <v>1500</v>
      </c>
      <c r="AL48">
        <v>1100</v>
      </c>
      <c r="AR48">
        <v>20430</v>
      </c>
      <c r="AS48">
        <v>4932</v>
      </c>
      <c r="AX48" t="str" cm="1">
        <f t="array" ref="AX48">IFERROR(VLOOKUP(DATA_FEBRERO_2026[[#This Row],[ASER_]],_xlfn._xlws.FILTER(PLANTILLA[[ASESOR]:[FECHA DE CESE]],PLANTILLA[FECHA]=_xlfn.CONCAT($M$3,"_",_xlfn.IFS($N$3="ENERO","1",$N$3="FEBRERO","2",$N$3="MARZO","3",$N$3="ABRIL","4",$N$3="MAYO","5",$N$3="JUNIO","6",$N$3="JULIO","7",$N$3="AGOSTO","8",$N$3="SETIEMBRE","9",$N$3="OCTUBRE","10",$N$3="NOVIEMBRE","11",$N$3="DICIEMBRE","12"))),8,0),"")</f>
        <v>S1</v>
      </c>
      <c r="CQ48" t="s">
        <v>636</v>
      </c>
      <c r="CR48" t="s">
        <v>3</v>
      </c>
      <c r="CS48" t="s">
        <v>65</v>
      </c>
      <c r="CT48">
        <v>46081</v>
      </c>
      <c r="CU48">
        <v>1</v>
      </c>
      <c r="CV48">
        <v>1</v>
      </c>
      <c r="CX48">
        <v>1</v>
      </c>
      <c r="CZ48">
        <v>3.5879629629629629E-4</v>
      </c>
      <c r="DA48">
        <v>3.5879629629629629E-4</v>
      </c>
      <c r="DB48">
        <v>5.8206018518518518E-2</v>
      </c>
      <c r="DC48">
        <v>0.13548611111111111</v>
      </c>
      <c r="DD48">
        <v>13</v>
      </c>
      <c r="DE48">
        <v>39</v>
      </c>
      <c r="DF48">
        <v>7</v>
      </c>
      <c r="DG48" t="s">
        <v>737</v>
      </c>
      <c r="DH48">
        <v>14068</v>
      </c>
      <c r="DI48">
        <v>0.53849999999999998</v>
      </c>
      <c r="DJ48">
        <v>2</v>
      </c>
      <c r="DK48">
        <v>0.28570000000000001</v>
      </c>
      <c r="DL48">
        <v>5000</v>
      </c>
      <c r="DM48">
        <v>2500</v>
      </c>
      <c r="DN48">
        <v>5000</v>
      </c>
      <c r="DO48">
        <v>1</v>
      </c>
      <c r="DP48">
        <v>0.16139999999999999</v>
      </c>
      <c r="DQ48">
        <v>98</v>
      </c>
      <c r="DR48">
        <v>2500</v>
      </c>
    </row>
    <row r="49" spans="1:122" x14ac:dyDescent="0.25">
      <c r="A49" s="35" t="str">
        <f>D1_FEBRERO_2026[[#This Row],[SUPER2]]</f>
        <v>GUSTAVO</v>
      </c>
      <c r="B49" s="34" t="str" cm="1">
        <f t="array" ref="B49">TRIM(IFERROR(_xlfn.IFS(D1_FEBRERO_2026[[#This Row],[ASESOR]]="ELVIS GUERRA","ELVIS GUERRERA",D1_FEBRERO_2026[[#This Row],[ASESOR]]="GENESIS VICUÑA","GENESIS VICUNA",D1_FEBRERO_2026[[#This Row],[ASESOR]]="GINA HUMANI","GINA HUAMANI"),D1_FEBRERO_2026[[#This Row],[ASESOR]]))</f>
        <v>MAYRA AVALOS</v>
      </c>
      <c r="C4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49" s="35">
        <f>IF(D1_FEBRERO_2026[[#This Row],[RECUPERO]]="VACACIONES","VACACIONES",IFERROR(D1_FEBRERO_2026[[#This Row],[RECUPERO]]/D1_FEBRERO_2026[[#This Row],[META]],""))</f>
        <v>0.73574468085106381</v>
      </c>
      <c r="E49" s="35" t="s">
        <v>124</v>
      </c>
      <c r="F49" t="s">
        <v>55</v>
      </c>
      <c r="G49" s="3">
        <v>17290</v>
      </c>
      <c r="H49" t="s">
        <v>475</v>
      </c>
      <c r="I49" s="55">
        <v>45813</v>
      </c>
      <c r="J49" s="55" t="s">
        <v>501</v>
      </c>
      <c r="K49" s="55"/>
      <c r="L49" s="55"/>
      <c r="M49" s="5">
        <f>DATA_FEBRERO_2026[[#This Row],[RECUPERO]]/DATA_FEBRERO_2026[[#This Row],[META]]</f>
        <v>0.24057999999999999</v>
      </c>
      <c r="N49" s="5">
        <f>6-ROUNDUP(_xlfn.RANK.EQ(DATA_FEBRERO_2026[[#This Row],[AL_AC]],DATA_FEBRERO_2026[AL_AC],0)/(COUNTA(DATA_FEBRERO_2026[AL_AC])/5),0)</f>
        <v>1</v>
      </c>
      <c r="O49" s="54" t="str">
        <f>IFERROR(VLOOKUP(DATA_FEBRERO_2026[[#This Row],[ASER_]],$B:$G,4,0),"")</f>
        <v>JOHAN</v>
      </c>
      <c r="P49" s="6">
        <f>SUM(DATA_FEBRERO_2026[[#This Row],[1]:[31]])</f>
        <v>12029</v>
      </c>
      <c r="Q49" s="6">
        <f>VLOOKUP(DATA_FEBRERO_2026[[#This Row],[ASER_]],D1_FEBRERO_2026[[ASESOR_CRR]:[META]],2,0)</f>
        <v>50000</v>
      </c>
      <c r="R49" t="s">
        <v>206</v>
      </c>
      <c r="V49">
        <v>3500</v>
      </c>
      <c r="W49">
        <v>770</v>
      </c>
      <c r="AC49">
        <v>500</v>
      </c>
      <c r="AI49">
        <v>1090</v>
      </c>
      <c r="AK49">
        <v>2450</v>
      </c>
      <c r="AM49">
        <v>219</v>
      </c>
      <c r="AP49">
        <v>3500</v>
      </c>
      <c r="AX49" t="str" cm="1">
        <f t="array" ref="AX49">IFERROR(VLOOKUP(DATA_FEBRERO_2026[[#This Row],[ASER_]],_xlfn._xlws.FILTER(PLANTILLA[[ASESOR]:[FECHA DE CESE]],PLANTILLA[FECHA]=_xlfn.CONCAT($M$3,"_",_xlfn.IFS($N$3="ENERO","1",$N$3="FEBRERO","2",$N$3="MARZO","3",$N$3="ABRIL","4",$N$3="MAYO","5",$N$3="JUNIO","6",$N$3="JULIO","7",$N$3="AGOSTO","8",$N$3="SETIEMBRE","9",$N$3="OCTUBRE","10",$N$3="NOVIEMBRE","11",$N$3="DICIEMBRE","12"))),8,0),"")</f>
        <v>S1</v>
      </c>
      <c r="CQ49" t="s">
        <v>636</v>
      </c>
      <c r="CR49" t="s">
        <v>124</v>
      </c>
      <c r="CS49" t="s">
        <v>174</v>
      </c>
      <c r="CT49">
        <v>46072</v>
      </c>
      <c r="CU49">
        <v>1</v>
      </c>
      <c r="CV49">
        <v>1</v>
      </c>
      <c r="CX49">
        <v>1</v>
      </c>
      <c r="CZ49">
        <v>0</v>
      </c>
      <c r="DA49">
        <v>0</v>
      </c>
      <c r="DB49">
        <v>0.19396990740740741</v>
      </c>
      <c r="DC49">
        <v>0.16525462962962964</v>
      </c>
      <c r="DD49">
        <v>201</v>
      </c>
      <c r="DE49">
        <v>262</v>
      </c>
      <c r="DF49">
        <v>23</v>
      </c>
      <c r="DG49" t="s">
        <v>853</v>
      </c>
      <c r="DH49">
        <v>30073</v>
      </c>
      <c r="DI49">
        <v>0.1144</v>
      </c>
      <c r="DJ49">
        <v>1</v>
      </c>
      <c r="DK49">
        <v>4.3499999999999997E-2</v>
      </c>
      <c r="DL49">
        <v>2300</v>
      </c>
      <c r="DM49">
        <v>2300</v>
      </c>
      <c r="DN49">
        <v>2300</v>
      </c>
      <c r="DO49">
        <v>1</v>
      </c>
      <c r="DP49">
        <v>0.13239999999999999</v>
      </c>
      <c r="DQ49">
        <v>96</v>
      </c>
      <c r="DR49">
        <v>2300</v>
      </c>
    </row>
    <row r="50" spans="1:122" x14ac:dyDescent="0.25">
      <c r="A50" s="35" t="str">
        <f>D1_FEBRERO_2026[[#This Row],[SUPER2]]</f>
        <v>JORGE</v>
      </c>
      <c r="B50" s="34" t="str" cm="1">
        <f t="array" ref="B50">TRIM(IFERROR(_xlfn.IFS(D1_FEBRERO_2026[[#This Row],[ASESOR]]="ELVIS GUERRA","ELVIS GUERRERA",D1_FEBRERO_2026[[#This Row],[ASESOR]]="GENESIS VICUÑA","GENESIS VICUNA",D1_FEBRERO_2026[[#This Row],[ASESOR]]="GINA HUMANI","GINA HUAMANI"),D1_FEBRERO_2026[[#This Row],[ASESOR]]))</f>
        <v>NATALIA MARIN</v>
      </c>
      <c r="C5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50" s="35">
        <f>IF(D1_FEBRERO_2026[[#This Row],[RECUPERO]]="VACACIONES","VACACIONES",IFERROR(D1_FEBRERO_2026[[#This Row],[RECUPERO]]/D1_FEBRERO_2026[[#This Row],[META]],""))</f>
        <v>3.5717857142857143</v>
      </c>
      <c r="E50" s="35" t="s">
        <v>2</v>
      </c>
      <c r="F50" t="s">
        <v>79</v>
      </c>
      <c r="G50" s="3">
        <v>100010</v>
      </c>
      <c r="H50" t="s">
        <v>453</v>
      </c>
      <c r="I50" s="55">
        <v>45145</v>
      </c>
      <c r="J50" s="55" t="s">
        <v>501</v>
      </c>
      <c r="K50" s="55"/>
      <c r="L50" s="55"/>
      <c r="M50" s="5">
        <f>DATA_FEBRERO_2026[[#This Row],[RECUPERO]]/DATA_FEBRERO_2026[[#This Row],[META]]</f>
        <v>0.73574468085106381</v>
      </c>
      <c r="N50" s="5">
        <f>6-ROUNDUP(_xlfn.RANK.EQ(DATA_FEBRERO_2026[[#This Row],[AL_AC]],DATA_FEBRERO_2026[AL_AC],0)/(COUNTA(DATA_FEBRERO_2026[AL_AC])/5),0)</f>
        <v>2</v>
      </c>
      <c r="O50" s="54" t="str">
        <f>IFERROR(VLOOKUP(DATA_FEBRERO_2026[[#This Row],[ASER_]],$B:$G,4,0),"")</f>
        <v>GUSTAVO</v>
      </c>
      <c r="P50" s="6">
        <f>SUM(DATA_FEBRERO_2026[[#This Row],[1]:[31]])</f>
        <v>17290</v>
      </c>
      <c r="Q50" s="6">
        <f>VLOOKUP(DATA_FEBRERO_2026[[#This Row],[ASER_]],D1_FEBRERO_2026[[ASESOR_CRR]:[META]],2,0)</f>
        <v>23500</v>
      </c>
      <c r="R50" t="s">
        <v>55</v>
      </c>
      <c r="T50">
        <v>310</v>
      </c>
      <c r="U50">
        <v>250</v>
      </c>
      <c r="V50">
        <v>4420</v>
      </c>
      <c r="W50">
        <v>300</v>
      </c>
      <c r="Z50">
        <v>280</v>
      </c>
      <c r="AC50">
        <v>120</v>
      </c>
      <c r="AD50">
        <v>1385</v>
      </c>
      <c r="AJ50">
        <v>200</v>
      </c>
      <c r="AK50">
        <v>200</v>
      </c>
      <c r="AM50">
        <v>195</v>
      </c>
      <c r="AO50">
        <v>4200</v>
      </c>
      <c r="AQ50">
        <v>1000</v>
      </c>
      <c r="AS50">
        <v>930</v>
      </c>
      <c r="AT50">
        <v>3500</v>
      </c>
      <c r="AX50" t="str" cm="1">
        <f t="array" ref="AX50">IFERROR(VLOOKUP(DATA_FEBRERO_2026[[#This Row],[ASER_]],_xlfn._xlws.FILTER(PLANTILLA[[ASESOR]:[FECHA DE CESE]],PLANTILLA[FECHA]=_xlfn.CONCAT($M$3,"_",_xlfn.IFS($N$3="ENERO","1",$N$3="FEBRERO","2",$N$3="MARZO","3",$N$3="ABRIL","4",$N$3="MAYO","5",$N$3="JUNIO","6",$N$3="JULIO","7",$N$3="AGOSTO","8",$N$3="SETIEMBRE","9",$N$3="OCTUBRE","10",$N$3="NOVIEMBRE","11",$N$3="DICIEMBRE","12"))),8,0),"")</f>
        <v>S2-3-4</v>
      </c>
      <c r="CQ50" t="s">
        <v>636</v>
      </c>
      <c r="CR50" t="s">
        <v>124</v>
      </c>
      <c r="CS50" t="s">
        <v>51</v>
      </c>
      <c r="CT50">
        <v>46066</v>
      </c>
      <c r="CU50">
        <v>1</v>
      </c>
      <c r="CV50">
        <v>1</v>
      </c>
      <c r="CX50">
        <v>1</v>
      </c>
      <c r="CZ50">
        <v>3.8194444444444446E-4</v>
      </c>
      <c r="DA50">
        <v>3.8194444444444446E-4</v>
      </c>
      <c r="DB50">
        <v>0.21472222222222223</v>
      </c>
      <c r="DC50">
        <v>0.18642361111111111</v>
      </c>
      <c r="DD50">
        <v>128</v>
      </c>
      <c r="DE50">
        <v>260</v>
      </c>
      <c r="DF50">
        <v>7</v>
      </c>
      <c r="DG50" t="s">
        <v>745</v>
      </c>
      <c r="DH50">
        <v>26142</v>
      </c>
      <c r="DI50">
        <v>5.4699999999999999E-2</v>
      </c>
      <c r="DJ50">
        <v>2</v>
      </c>
      <c r="DK50">
        <v>0.28570000000000001</v>
      </c>
      <c r="DL50">
        <v>500</v>
      </c>
      <c r="DM50">
        <v>250</v>
      </c>
      <c r="DN50">
        <v>500</v>
      </c>
      <c r="DO50">
        <v>1</v>
      </c>
      <c r="DP50">
        <v>0.42580000000000001</v>
      </c>
      <c r="DQ50">
        <v>96</v>
      </c>
      <c r="DR50">
        <v>250</v>
      </c>
    </row>
    <row r="51" spans="1:122" x14ac:dyDescent="0.25">
      <c r="A51" s="35" t="str">
        <f>D1_FEBRERO_2026[[#This Row],[SUPER2]]</f>
        <v>KENNETH</v>
      </c>
      <c r="B51" s="34" t="str" cm="1">
        <f t="array" ref="B51">TRIM(IFERROR(_xlfn.IFS(D1_FEBRERO_2026[[#This Row],[ASESOR]]="ELVIS GUERRA","ELVIS GUERRERA",D1_FEBRERO_2026[[#This Row],[ASESOR]]="GENESIS VICUÑA","GENESIS VICUNA",D1_FEBRERO_2026[[#This Row],[ASESOR]]="GINA HUMANI","GINA HUAMANI"),D1_FEBRERO_2026[[#This Row],[ASESOR]]))</f>
        <v>NOEMI CHUQUILIN</v>
      </c>
      <c r="C5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90000</v>
      </c>
      <c r="D51" s="35">
        <f>IF(D1_FEBRERO_2026[[#This Row],[RECUPERO]]="VACACIONES","VACACIONES",IFERROR(D1_FEBRERO_2026[[#This Row],[RECUPERO]]/D1_FEBRERO_2026[[#This Row],[META]],""))</f>
        <v>1.2969843333333335</v>
      </c>
      <c r="E51" s="35" t="s">
        <v>6</v>
      </c>
      <c r="F51" t="s">
        <v>97</v>
      </c>
      <c r="G51" s="3">
        <v>116728.59000000001</v>
      </c>
      <c r="H51" t="s">
        <v>485</v>
      </c>
      <c r="I51" s="55">
        <v>45884</v>
      </c>
      <c r="J51" s="55" t="s">
        <v>501</v>
      </c>
      <c r="K51" s="55"/>
      <c r="L51" s="55"/>
      <c r="M51" s="5">
        <f>DATA_FEBRERO_2026[[#This Row],[RECUPERO]]/DATA_FEBRERO_2026[[#This Row],[META]]</f>
        <v>3.5717857142857143</v>
      </c>
      <c r="N51" s="5">
        <f>6-ROUNDUP(_xlfn.RANK.EQ(DATA_FEBRERO_2026[[#This Row],[AL_AC]],DATA_FEBRERO_2026[AL_AC],0)/(COUNTA(DATA_FEBRERO_2026[AL_AC])/5),0)</f>
        <v>5</v>
      </c>
      <c r="O51" s="54" t="str">
        <f>IFERROR(VLOOKUP(DATA_FEBRERO_2026[[#This Row],[ASER_]],$B:$G,4,0),"")</f>
        <v>JORGE</v>
      </c>
      <c r="P51" s="6">
        <f>SUM(DATA_FEBRERO_2026[[#This Row],[1]:[31]])</f>
        <v>100010</v>
      </c>
      <c r="Q51" s="6">
        <f>VLOOKUP(DATA_FEBRERO_2026[[#This Row],[ASER_]],D1_FEBRERO_2026[[ASESOR_CRR]:[META]],2,0)</f>
        <v>28000</v>
      </c>
      <c r="R51" t="s">
        <v>79</v>
      </c>
      <c r="T51">
        <v>1520</v>
      </c>
      <c r="V51">
        <v>1000</v>
      </c>
      <c r="W51">
        <v>4500</v>
      </c>
      <c r="X51">
        <v>13000</v>
      </c>
      <c r="AD51">
        <v>1000</v>
      </c>
      <c r="AE51">
        <v>24000</v>
      </c>
      <c r="AH51">
        <v>4000</v>
      </c>
      <c r="AJ51">
        <v>1000</v>
      </c>
      <c r="AL51">
        <v>1000</v>
      </c>
      <c r="AP51">
        <v>7970</v>
      </c>
      <c r="AQ51">
        <v>14000</v>
      </c>
      <c r="AR51">
        <v>19220</v>
      </c>
      <c r="AS51">
        <v>6200</v>
      </c>
      <c r="AT51">
        <v>1600</v>
      </c>
      <c r="AX51" t="str" cm="1">
        <f t="array" ref="AX51">IFERROR(VLOOKUP(DATA_FEBRERO_2026[[#This Row],[ASER_]],_xlfn._xlws.FILTER(PLANTILLA[[ASESOR]:[FECHA DE CESE]],PLANTILLA[FECHA]=_xlfn.CONCAT($M$3,"_",_xlfn.IFS($N$3="ENERO","1",$N$3="FEBRERO","2",$N$3="MARZO","3",$N$3="ABRIL","4",$N$3="MAYO","5",$N$3="JUNIO","6",$N$3="JULIO","7",$N$3="AGOSTO","8",$N$3="SETIEMBRE","9",$N$3="OCTUBRE","10",$N$3="NOVIEMBRE","11",$N$3="DICIEMBRE","12"))),8,0),"")</f>
        <v>S0</v>
      </c>
      <c r="CQ51" t="s">
        <v>636</v>
      </c>
      <c r="CR51" t="s">
        <v>124</v>
      </c>
      <c r="CS51" t="s">
        <v>51</v>
      </c>
      <c r="CT51">
        <v>46069</v>
      </c>
      <c r="CU51">
        <v>1</v>
      </c>
      <c r="CV51">
        <v>1</v>
      </c>
      <c r="CX51">
        <v>1</v>
      </c>
      <c r="CZ51">
        <v>4.6296296296296294E-5</v>
      </c>
      <c r="DA51">
        <v>4.6296296296296294E-5</v>
      </c>
      <c r="DB51">
        <v>0.2026273148148148</v>
      </c>
      <c r="DC51">
        <v>0.14195601851851852</v>
      </c>
      <c r="DD51">
        <v>122</v>
      </c>
      <c r="DE51">
        <v>213</v>
      </c>
      <c r="DF51">
        <v>10</v>
      </c>
      <c r="DG51">
        <v>1.7</v>
      </c>
      <c r="DH51">
        <v>27995</v>
      </c>
      <c r="DI51">
        <v>8.2000000000000003E-2</v>
      </c>
      <c r="DJ51">
        <v>1</v>
      </c>
      <c r="DK51">
        <v>0.1</v>
      </c>
      <c r="DL51">
        <v>1050</v>
      </c>
      <c r="DM51">
        <v>1050</v>
      </c>
      <c r="DN51">
        <v>1050</v>
      </c>
      <c r="DO51">
        <v>1</v>
      </c>
      <c r="DQ51">
        <v>96</v>
      </c>
      <c r="DR51">
        <v>1050</v>
      </c>
    </row>
    <row r="52" spans="1:122" x14ac:dyDescent="0.25">
      <c r="A52" s="35" t="str">
        <f>D1_FEBRERO_2026[[#This Row],[SUPER2]]</f>
        <v>JOHAN</v>
      </c>
      <c r="B52" s="34" t="str" cm="1">
        <f t="array" ref="B52">TRIM(IFERROR(_xlfn.IFS(D1_FEBRERO_2026[[#This Row],[ASESOR]]="ELVIS GUERRA","ELVIS GUERRERA",D1_FEBRERO_2026[[#This Row],[ASESOR]]="GENESIS VICUÑA","GENESIS VICUNA",D1_FEBRERO_2026[[#This Row],[ASESOR]]="GINA HUMANI","GINA HUAMANI"),D1_FEBRERO_2026[[#This Row],[ASESOR]]))</f>
        <v>PIERINA TESEN</v>
      </c>
      <c r="C5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52" s="35">
        <f>IF(D1_FEBRERO_2026[[#This Row],[RECUPERO]]="VACACIONES","VACACIONES",IFERROR(D1_FEBRERO_2026[[#This Row],[RECUPERO]]/D1_FEBRERO_2026[[#This Row],[META]],""))</f>
        <v>2.0816599999999998</v>
      </c>
      <c r="E52" s="35" t="s">
        <v>125</v>
      </c>
      <c r="F52" t="s">
        <v>59</v>
      </c>
      <c r="G52" s="3">
        <v>104083</v>
      </c>
      <c r="H52" t="s">
        <v>430</v>
      </c>
      <c r="I52" s="55">
        <v>45344</v>
      </c>
      <c r="J52" s="55" t="s">
        <v>501</v>
      </c>
      <c r="K52" s="55"/>
      <c r="L52" s="55"/>
      <c r="M52" s="5">
        <f>DATA_FEBRERO_2026[[#This Row],[RECUPERO]]/DATA_FEBRERO_2026[[#This Row],[META]]</f>
        <v>1.2969843333333335</v>
      </c>
      <c r="N52" s="5">
        <f>6-ROUNDUP(_xlfn.RANK.EQ(DATA_FEBRERO_2026[[#This Row],[AL_AC]],DATA_FEBRERO_2026[AL_AC],0)/(COUNTA(DATA_FEBRERO_2026[AL_AC])/5),0)</f>
        <v>4</v>
      </c>
      <c r="O52" s="54" t="str">
        <f>IFERROR(VLOOKUP(DATA_FEBRERO_2026[[#This Row],[ASER_]],$B:$G,4,0),"")</f>
        <v>KENNETH</v>
      </c>
      <c r="P52" s="6">
        <f>SUM(DATA_FEBRERO_2026[[#This Row],[1]:[31]])</f>
        <v>116728.59000000001</v>
      </c>
      <c r="Q52" s="6">
        <f>VLOOKUP(DATA_FEBRERO_2026[[#This Row],[ASER_]],D1_FEBRERO_2026[[ASESOR_CRR]:[META]],2,0)</f>
        <v>90000</v>
      </c>
      <c r="R52" t="s">
        <v>97</v>
      </c>
      <c r="T52" s="5">
        <v>959</v>
      </c>
      <c r="U52">
        <v>815</v>
      </c>
      <c r="V52">
        <v>920.08999999999992</v>
      </c>
      <c r="W52">
        <v>332.98</v>
      </c>
      <c r="Y52" s="5"/>
      <c r="AA52">
        <v>5700</v>
      </c>
      <c r="AB52">
        <v>15035</v>
      </c>
      <c r="AC52">
        <v>13540</v>
      </c>
      <c r="AD52">
        <v>4968</v>
      </c>
      <c r="AE52">
        <v>3360</v>
      </c>
      <c r="AF52">
        <v>8700</v>
      </c>
      <c r="AH52">
        <v>7000</v>
      </c>
      <c r="AI52">
        <v>3700</v>
      </c>
      <c r="AJ52">
        <v>3500</v>
      </c>
      <c r="AK52">
        <v>9330</v>
      </c>
      <c r="AL52">
        <v>1368.52</v>
      </c>
      <c r="AN52" s="5"/>
      <c r="AO52">
        <v>2000</v>
      </c>
      <c r="AP52">
        <v>4000</v>
      </c>
      <c r="AQ52">
        <v>500</v>
      </c>
      <c r="AS52">
        <v>18500</v>
      </c>
      <c r="AT52">
        <v>12500</v>
      </c>
      <c r="AX52" t="str" cm="1">
        <f t="array" ref="AX52">IFERROR(VLOOKUP(DATA_FEBRERO_2026[[#This Row],[ASER_]],_xlfn._xlws.FILTER(PLANTILLA[[ASESOR]:[FECHA DE CESE]],PLANTILLA[FECHA]=_xlfn.CONCAT($M$3,"_",_xlfn.IFS($N$3="ENERO","1",$N$3="FEBRERO","2",$N$3="MARZO","3",$N$3="ABRIL","4",$N$3="MAYO","5",$N$3="JUNIO","6",$N$3="JULIO","7",$N$3="AGOSTO","8",$N$3="SETIEMBRE","9",$N$3="OCTUBRE","10",$N$3="NOVIEMBRE","11",$N$3="DICIEMBRE","12"))),8,0),"")</f>
        <v>S0 - BBVA</v>
      </c>
      <c r="CQ52" t="s">
        <v>636</v>
      </c>
      <c r="CR52" t="s">
        <v>124</v>
      </c>
      <c r="CS52" t="s">
        <v>77</v>
      </c>
      <c r="CT52">
        <v>46079</v>
      </c>
      <c r="CU52">
        <v>1</v>
      </c>
      <c r="CV52">
        <v>1</v>
      </c>
      <c r="CX52">
        <v>1</v>
      </c>
      <c r="CZ52">
        <v>0</v>
      </c>
      <c r="DA52">
        <v>0</v>
      </c>
      <c r="DB52">
        <v>0.11174768518518519</v>
      </c>
      <c r="DC52">
        <v>0.21234953703703704</v>
      </c>
      <c r="DD52">
        <v>93</v>
      </c>
      <c r="DE52">
        <v>186</v>
      </c>
      <c r="DF52">
        <v>28</v>
      </c>
      <c r="DG52" t="s">
        <v>896</v>
      </c>
      <c r="DH52">
        <v>17890</v>
      </c>
      <c r="DI52">
        <v>0.30109999999999998</v>
      </c>
      <c r="DJ52">
        <v>1</v>
      </c>
      <c r="DK52">
        <v>3.5700000000000003E-2</v>
      </c>
      <c r="DL52">
        <v>10000</v>
      </c>
      <c r="DM52">
        <v>10000</v>
      </c>
      <c r="DN52">
        <v>10000</v>
      </c>
      <c r="DO52">
        <v>1</v>
      </c>
      <c r="DP52">
        <v>0.15679999999999999</v>
      </c>
      <c r="DQ52">
        <v>96</v>
      </c>
      <c r="DR52">
        <v>10000</v>
      </c>
    </row>
    <row r="53" spans="1:122" x14ac:dyDescent="0.25">
      <c r="A53" s="35" t="str">
        <f>D1_FEBRERO_2026[[#This Row],[SUPER2]]</f>
        <v>GUSTAVO</v>
      </c>
      <c r="B53" s="34" t="str" cm="1">
        <f t="array" ref="B53">TRIM(IFERROR(_xlfn.IFS(D1_FEBRERO_2026[[#This Row],[ASESOR]]="ELVIS GUERRA","ELVIS GUERRERA",D1_FEBRERO_2026[[#This Row],[ASESOR]]="GENESIS VICUÑA","GENESIS VICUNA",D1_FEBRERO_2026[[#This Row],[ASESOR]]="GINA HUMANI","GINA HUAMANI"),D1_FEBRERO_2026[[#This Row],[ASESOR]]))</f>
        <v>SARITA GARAY</v>
      </c>
      <c r="C5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53" s="35">
        <f>IF(D1_FEBRERO_2026[[#This Row],[RECUPERO]]="VACACIONES","VACACIONES",IFERROR(D1_FEBRERO_2026[[#This Row],[RECUPERO]]/D1_FEBRERO_2026[[#This Row],[META]],""))</f>
        <v>1.1970212765957446</v>
      </c>
      <c r="E53" s="35" t="s">
        <v>124</v>
      </c>
      <c r="F53" t="s">
        <v>73</v>
      </c>
      <c r="G53" s="3">
        <v>28130</v>
      </c>
      <c r="H53" t="s">
        <v>420</v>
      </c>
      <c r="I53" s="55">
        <v>45141</v>
      </c>
      <c r="J53" s="55" t="s">
        <v>501</v>
      </c>
      <c r="K53" s="55"/>
      <c r="L53" s="55"/>
      <c r="M53" s="5">
        <f>DATA_FEBRERO_2026[[#This Row],[RECUPERO]]/DATA_FEBRERO_2026[[#This Row],[META]]</f>
        <v>2.0816599999999998</v>
      </c>
      <c r="N53" s="5">
        <f>6-ROUNDUP(_xlfn.RANK.EQ(DATA_FEBRERO_2026[[#This Row],[AL_AC]],DATA_FEBRERO_2026[AL_AC],0)/(COUNTA(DATA_FEBRERO_2026[AL_AC])/5),0)</f>
        <v>5</v>
      </c>
      <c r="O53" s="54" t="str">
        <f>IFERROR(VLOOKUP(DATA_FEBRERO_2026[[#This Row],[ASER_]],$B:$G,4,0),"")</f>
        <v>JOHAN</v>
      </c>
      <c r="P53" s="6">
        <f>SUM(DATA_FEBRERO_2026[[#This Row],[1]:[31]])</f>
        <v>104083</v>
      </c>
      <c r="Q53" s="6">
        <f>VLOOKUP(DATA_FEBRERO_2026[[#This Row],[ASER_]],D1_FEBRERO_2026[[ASESOR_CRR]:[META]],2,0)</f>
        <v>50000</v>
      </c>
      <c r="R53" t="s">
        <v>59</v>
      </c>
      <c r="S53">
        <v>860</v>
      </c>
      <c r="U53">
        <v>13000</v>
      </c>
      <c r="V53">
        <v>9000</v>
      </c>
      <c r="W53">
        <v>1500</v>
      </c>
      <c r="X53">
        <v>18800</v>
      </c>
      <c r="AA53">
        <v>19500</v>
      </c>
      <c r="AB53">
        <v>2800</v>
      </c>
      <c r="AC53">
        <v>2000</v>
      </c>
      <c r="AE53">
        <v>9350</v>
      </c>
      <c r="AH53">
        <v>2500</v>
      </c>
      <c r="AI53">
        <v>1000</v>
      </c>
      <c r="AJ53">
        <v>4500</v>
      </c>
      <c r="AK53">
        <v>3500</v>
      </c>
      <c r="AO53">
        <v>6000</v>
      </c>
      <c r="AP53">
        <v>340</v>
      </c>
      <c r="AR53">
        <v>2061</v>
      </c>
      <c r="AS53">
        <v>6230</v>
      </c>
      <c r="AT53">
        <v>1142</v>
      </c>
      <c r="AX53" t="str" cm="1">
        <f t="array" ref="AX53">IFERROR(VLOOKUP(DATA_FEBRERO_2026[[#This Row],[ASER_]],_xlfn._xlws.FILTER(PLANTILLA[[ASESOR]:[FECHA DE CESE]],PLANTILLA[FECHA]=_xlfn.CONCAT($M$3,"_",_xlfn.IFS($N$3="ENERO","1",$N$3="FEBRERO","2",$N$3="MARZO","3",$N$3="ABRIL","4",$N$3="MAYO","5",$N$3="JUNIO","6",$N$3="JULIO","7",$N$3="AGOSTO","8",$N$3="SETIEMBRE","9",$N$3="OCTUBRE","10",$N$3="NOVIEMBRE","11",$N$3="DICIEMBRE","12"))),8,0),"")</f>
        <v>S1</v>
      </c>
      <c r="CQ53" t="s">
        <v>636</v>
      </c>
      <c r="CR53" t="s">
        <v>124</v>
      </c>
      <c r="CS53" t="s">
        <v>77</v>
      </c>
      <c r="CT53">
        <v>46081</v>
      </c>
      <c r="CU53">
        <v>1</v>
      </c>
      <c r="CV53">
        <v>1</v>
      </c>
      <c r="CX53">
        <v>1</v>
      </c>
      <c r="CZ53">
        <v>2.9398148148148148E-3</v>
      </c>
      <c r="DA53">
        <v>2.9398148148148148E-3</v>
      </c>
      <c r="DB53">
        <v>6.0717592592592594E-2</v>
      </c>
      <c r="DC53">
        <v>0.12802083333333333</v>
      </c>
      <c r="DD53">
        <v>36</v>
      </c>
      <c r="DE53">
        <v>66</v>
      </c>
      <c r="DF53">
        <v>15</v>
      </c>
      <c r="DG53" t="s">
        <v>859</v>
      </c>
      <c r="DH53">
        <v>25346</v>
      </c>
      <c r="DI53">
        <v>0.41670000000000001</v>
      </c>
      <c r="DJ53">
        <v>2</v>
      </c>
      <c r="DK53">
        <v>0.1333</v>
      </c>
      <c r="DL53">
        <v>1430</v>
      </c>
      <c r="DM53">
        <v>715</v>
      </c>
      <c r="DN53">
        <v>1630</v>
      </c>
      <c r="DO53">
        <v>1.1398999999999999</v>
      </c>
      <c r="DQ53">
        <v>96</v>
      </c>
      <c r="DR53">
        <v>815</v>
      </c>
    </row>
    <row r="54" spans="1:122" x14ac:dyDescent="0.25">
      <c r="A54" s="35" t="str">
        <f>D1_FEBRERO_2026[[#This Row],[SUPER2]]</f>
        <v>KENNETH</v>
      </c>
      <c r="B54" s="34" t="str" cm="1">
        <f t="array" ref="B54">TRIM(IFERROR(_xlfn.IFS(D1_FEBRERO_2026[[#This Row],[ASESOR]]="ELVIS GUERRA","ELVIS GUERRERA",D1_FEBRERO_2026[[#This Row],[ASESOR]]="GENESIS VICUÑA","GENESIS VICUNA",D1_FEBRERO_2026[[#This Row],[ASESOR]]="GINA HUMANI","GINA HUAMANI"),D1_FEBRERO_2026[[#This Row],[ASESOR]]))</f>
        <v>STWUAR MACURI</v>
      </c>
      <c r="C5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54" s="35">
        <f>IF(D1_FEBRERO_2026[[#This Row],[RECUPERO]]="VACACIONES","VACACIONES",IFERROR(D1_FEBRERO_2026[[#This Row],[RECUPERO]]/D1_FEBRERO_2026[[#This Row],[META]],""))</f>
        <v>2.0901132075471698</v>
      </c>
      <c r="E54" s="35" t="s">
        <v>6</v>
      </c>
      <c r="F54" t="s">
        <v>34</v>
      </c>
      <c r="G54" s="3">
        <v>55388</v>
      </c>
      <c r="H54" t="s">
        <v>407</v>
      </c>
      <c r="I54" s="55">
        <v>45173</v>
      </c>
      <c r="J54" s="55" t="s">
        <v>501</v>
      </c>
      <c r="K54" s="55"/>
      <c r="M54" s="5">
        <f>DATA_FEBRERO_2026[[#This Row],[RECUPERO]]/DATA_FEBRERO_2026[[#This Row],[META]]</f>
        <v>1.1970212765957446</v>
      </c>
      <c r="N54" s="5">
        <f>6-ROUNDUP(_xlfn.RANK.EQ(DATA_FEBRERO_2026[[#This Row],[AL_AC]],DATA_FEBRERO_2026[AL_AC],0)/(COUNTA(DATA_FEBRERO_2026[AL_AC])/5),0)</f>
        <v>3</v>
      </c>
      <c r="O54" s="54" t="str">
        <f>IFERROR(VLOOKUP(DATA_FEBRERO_2026[[#This Row],[ASER_]],$B:$G,4,0),"")</f>
        <v>GUSTAVO</v>
      </c>
      <c r="P54" s="6">
        <f>SUM(DATA_FEBRERO_2026[[#This Row],[1]:[31]])</f>
        <v>28130</v>
      </c>
      <c r="Q54" s="6">
        <f>VLOOKUP(DATA_FEBRERO_2026[[#This Row],[ASER_]],D1_FEBRERO_2026[[ASESOR_CRR]:[META]],2,0)</f>
        <v>23500</v>
      </c>
      <c r="R54" t="s">
        <v>73</v>
      </c>
      <c r="T54">
        <v>900</v>
      </c>
      <c r="W54">
        <v>600</v>
      </c>
      <c r="X54" s="5">
        <v>1000</v>
      </c>
      <c r="Y54" s="6">
        <v>250</v>
      </c>
      <c r="Z54" s="6"/>
      <c r="AA54" s="6"/>
      <c r="AB54" s="6">
        <v>1500</v>
      </c>
      <c r="AC54" s="6"/>
      <c r="AD54" s="6">
        <v>1700</v>
      </c>
      <c r="AE54" s="6"/>
      <c r="AF54" s="6"/>
      <c r="AG54" s="6"/>
      <c r="AH54" s="6">
        <v>2000</v>
      </c>
      <c r="AI54" s="6"/>
      <c r="AJ54" s="6">
        <v>1000</v>
      </c>
      <c r="AK54" s="6"/>
      <c r="AL54" s="6"/>
      <c r="AM54" s="6"/>
      <c r="AN54" s="6"/>
      <c r="AO54" s="6">
        <v>2200</v>
      </c>
      <c r="AP54" s="6"/>
      <c r="AQ54" s="6">
        <v>11500</v>
      </c>
      <c r="AR54" s="6">
        <v>300</v>
      </c>
      <c r="AS54" s="6">
        <v>4450</v>
      </c>
      <c r="AT54" s="6">
        <v>730</v>
      </c>
      <c r="AU54" s="6"/>
      <c r="AV54" s="6"/>
      <c r="AW54" s="6"/>
      <c r="AX54" t="str" cm="1">
        <f t="array" ref="AX54">IFERROR(VLOOKUP(DATA_FEBRERO_2026[[#This Row],[ASER_]],_xlfn._xlws.FILTER(PLANTILLA[[ASESOR]:[FECHA DE CESE]],PLANTILLA[FECHA]=_xlfn.CONCAT($M$3,"_",_xlfn.IFS($N$3="ENERO","1",$N$3="FEBRERO","2",$N$3="MARZO","3",$N$3="ABRIL","4",$N$3="MAYO","5",$N$3="JUNIO","6",$N$3="JULIO","7",$N$3="AGOSTO","8",$N$3="SETIEMBRE","9",$N$3="OCTUBRE","10",$N$3="NOVIEMBRE","11",$N$3="DICIEMBRE","12"))),8,0),"")</f>
        <v>S2-3-4</v>
      </c>
      <c r="CQ54" t="s">
        <v>636</v>
      </c>
      <c r="CR54" t="s">
        <v>124</v>
      </c>
      <c r="CS54" t="s">
        <v>55</v>
      </c>
      <c r="CT54">
        <v>46065</v>
      </c>
      <c r="CU54">
        <v>1</v>
      </c>
      <c r="CV54">
        <v>1</v>
      </c>
      <c r="CX54">
        <v>1</v>
      </c>
      <c r="CZ54">
        <v>1.273148148148148E-4</v>
      </c>
      <c r="DA54">
        <v>1.273148148148148E-4</v>
      </c>
      <c r="DB54">
        <v>2.9386574074074075E-2</v>
      </c>
      <c r="DC54">
        <v>2.0648148148148148E-2</v>
      </c>
      <c r="DD54">
        <v>194</v>
      </c>
      <c r="DE54">
        <v>328</v>
      </c>
      <c r="DF54">
        <v>33</v>
      </c>
      <c r="DG54" t="s">
        <v>1091</v>
      </c>
      <c r="DH54">
        <v>14881</v>
      </c>
      <c r="DI54">
        <v>0.1701</v>
      </c>
      <c r="DJ54">
        <v>3</v>
      </c>
      <c r="DK54">
        <v>9.0899999999999995E-2</v>
      </c>
      <c r="DL54">
        <v>845</v>
      </c>
      <c r="DM54">
        <v>282</v>
      </c>
      <c r="DN54">
        <v>650</v>
      </c>
      <c r="DO54">
        <v>0.76919999999999999</v>
      </c>
      <c r="DP54">
        <v>0.15540000000000001</v>
      </c>
      <c r="DQ54">
        <v>96</v>
      </c>
      <c r="DR54">
        <v>325</v>
      </c>
    </row>
    <row r="55" spans="1:122" x14ac:dyDescent="0.25">
      <c r="A55" s="35" t="str">
        <f>D1_FEBRERO_2026[[#This Row],[SUPER2]]</f>
        <v>KENNETH</v>
      </c>
      <c r="B55" s="34" t="str" cm="1">
        <f t="array" ref="B55">TRIM(IFERROR(_xlfn.IFS(D1_FEBRERO_2026[[#This Row],[ASESOR]]="ELVIS GUERRA","ELVIS GUERRERA",D1_FEBRERO_2026[[#This Row],[ASESOR]]="GENESIS VICUÑA","GENESIS VICUNA",D1_FEBRERO_2026[[#This Row],[ASESOR]]="GINA HUMANI","GINA HUAMANI"),D1_FEBRERO_2026[[#This Row],[ASESOR]]))</f>
        <v>URSULA CENTENO</v>
      </c>
      <c r="C5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90000</v>
      </c>
      <c r="D55" s="35">
        <f>IF(D1_FEBRERO_2026[[#This Row],[RECUPERO]]="VACACIONES","VACACIONES",IFERROR(D1_FEBRERO_2026[[#This Row],[RECUPERO]]/D1_FEBRERO_2026[[#This Row],[META]],""))</f>
        <v>0.95699999999999996</v>
      </c>
      <c r="E55" s="35" t="s">
        <v>6</v>
      </c>
      <c r="F55" t="s">
        <v>78</v>
      </c>
      <c r="G55" s="3">
        <v>86130</v>
      </c>
      <c r="H55" t="s">
        <v>397</v>
      </c>
      <c r="I55" s="55">
        <v>44943</v>
      </c>
      <c r="J55" s="55" t="s">
        <v>501</v>
      </c>
      <c r="K55" s="55"/>
      <c r="M55" s="5">
        <f>DATA_FEBRERO_2026[[#This Row],[RECUPERO]]/DATA_FEBRERO_2026[[#This Row],[META]]</f>
        <v>2.0901132075471698</v>
      </c>
      <c r="N55" s="5">
        <f>6-ROUNDUP(_xlfn.RANK.EQ(DATA_FEBRERO_2026[[#This Row],[AL_AC]],DATA_FEBRERO_2026[AL_AC],0)/(COUNTA(DATA_FEBRERO_2026[AL_AC])/5),0)</f>
        <v>5</v>
      </c>
      <c r="O55" s="54" t="str">
        <f>IFERROR(VLOOKUP(DATA_FEBRERO_2026[[#This Row],[ASER_]],$B:$G,4,0),"")</f>
        <v>KENNETH</v>
      </c>
      <c r="P55" s="6">
        <f>SUM(DATA_FEBRERO_2026[[#This Row],[1]:[31]])</f>
        <v>55388</v>
      </c>
      <c r="Q55" s="6">
        <f>VLOOKUP(DATA_FEBRERO_2026[[#This Row],[ASER_]],D1_FEBRERO_2026[[ASESOR_CRR]:[META]],2,0)</f>
        <v>26500</v>
      </c>
      <c r="R55" t="s">
        <v>34</v>
      </c>
      <c r="U55">
        <v>500</v>
      </c>
      <c r="W55">
        <v>7550</v>
      </c>
      <c r="X55" s="5">
        <v>3510</v>
      </c>
      <c r="Y55" s="6"/>
      <c r="Z55" s="6"/>
      <c r="AA55" s="6">
        <v>6050</v>
      </c>
      <c r="AB55" s="6"/>
      <c r="AC55" s="6"/>
      <c r="AD55" s="6"/>
      <c r="AE55" s="6">
        <v>500</v>
      </c>
      <c r="AF55" s="6">
        <v>2575</v>
      </c>
      <c r="AG55" s="6"/>
      <c r="AH55" s="6">
        <v>3000</v>
      </c>
      <c r="AI55" s="6"/>
      <c r="AJ55" s="6"/>
      <c r="AK55" s="6">
        <v>650</v>
      </c>
      <c r="AL55" s="6">
        <v>9000</v>
      </c>
      <c r="AM55" s="6"/>
      <c r="AN55" s="6"/>
      <c r="AO55" s="6">
        <v>10000</v>
      </c>
      <c r="AP55" s="6"/>
      <c r="AQ55" s="6">
        <v>6850</v>
      </c>
      <c r="AR55" s="6">
        <v>213</v>
      </c>
      <c r="AS55" s="6">
        <v>3890</v>
      </c>
      <c r="AT55" s="6">
        <v>1100</v>
      </c>
      <c r="AU55" s="6"/>
      <c r="AV55" s="6"/>
      <c r="AW55" s="6"/>
      <c r="AX55" t="str" cm="1">
        <f t="array" ref="AX55">IFERROR(VLOOKUP(DATA_FEBRERO_2026[[#This Row],[ASER_]],_xlfn._xlws.FILTER(PLANTILLA[[ASESOR]:[FECHA DE CESE]],PLANTILLA[FECHA]=_xlfn.CONCAT($M$3,"_",_xlfn.IFS($N$3="ENERO","1",$N$3="FEBRERO","2",$N$3="MARZO","3",$N$3="ABRIL","4",$N$3="MAYO","5",$N$3="JUNIO","6",$N$3="JULIO","7",$N$3="AGOSTO","8",$N$3="SETIEMBRE","9",$N$3="OCTUBRE","10",$N$3="NOVIEMBRE","11",$N$3="DICIEMBRE","12"))),8,0),"")</f>
        <v>S0 - IBK</v>
      </c>
      <c r="CQ55" t="s">
        <v>636</v>
      </c>
      <c r="CR55" t="s">
        <v>124</v>
      </c>
      <c r="CS55" t="s">
        <v>73</v>
      </c>
      <c r="CT55">
        <v>46055</v>
      </c>
      <c r="CU55">
        <v>1</v>
      </c>
      <c r="CV55">
        <v>1</v>
      </c>
      <c r="CX55">
        <v>1</v>
      </c>
      <c r="CZ55">
        <v>1.273148148148148E-4</v>
      </c>
      <c r="DA55">
        <v>1.273148148148148E-4</v>
      </c>
      <c r="DB55">
        <v>3.3194444444444443E-2</v>
      </c>
      <c r="DC55">
        <v>1.5613425925925926E-2</v>
      </c>
      <c r="DD55">
        <v>42</v>
      </c>
      <c r="DE55">
        <v>69</v>
      </c>
      <c r="DF55">
        <v>16</v>
      </c>
      <c r="DG55">
        <v>1.625</v>
      </c>
      <c r="DH55">
        <v>19462</v>
      </c>
      <c r="DI55">
        <v>0.38100000000000001</v>
      </c>
      <c r="DJ55">
        <v>7</v>
      </c>
      <c r="DK55">
        <v>0.4375</v>
      </c>
      <c r="DL55">
        <v>9480</v>
      </c>
      <c r="DM55">
        <v>1354</v>
      </c>
      <c r="DN55">
        <v>8980</v>
      </c>
      <c r="DO55">
        <v>0.94730000000000003</v>
      </c>
      <c r="DP55">
        <v>2.9899999999999999E-2</v>
      </c>
      <c r="DQ55">
        <v>96</v>
      </c>
      <c r="DR55">
        <v>1283</v>
      </c>
    </row>
    <row r="56" spans="1:122" x14ac:dyDescent="0.25">
      <c r="A56" s="35" t="str">
        <f>D1_FEBRERO_2026[[#This Row],[SUPER2]]</f>
        <v>GUSTAVO</v>
      </c>
      <c r="B56" s="34" t="str" cm="1">
        <f t="array" ref="B56">TRIM(IFERROR(_xlfn.IFS(D1_FEBRERO_2026[[#This Row],[ASESOR]]="ELVIS GUERRA","ELVIS GUERRERA",D1_FEBRERO_2026[[#This Row],[ASESOR]]="GENESIS VICUÑA","GENESIS VICUNA",D1_FEBRERO_2026[[#This Row],[ASESOR]]="GINA HUMANI","GINA HUAMANI"),D1_FEBRERO_2026[[#This Row],[ASESOR]]))</f>
        <v>VERONICA HUARCA</v>
      </c>
      <c r="C5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56" s="35">
        <f>IF(D1_FEBRERO_2026[[#This Row],[RECUPERO]]="VACACIONES","VACACIONES",IFERROR(D1_FEBRERO_2026[[#This Row],[RECUPERO]]/D1_FEBRERO_2026[[#This Row],[META]],""))</f>
        <v>1.1959574468085106</v>
      </c>
      <c r="E56" s="35" t="s">
        <v>124</v>
      </c>
      <c r="F56" t="s">
        <v>48</v>
      </c>
      <c r="G56" s="3">
        <v>28105</v>
      </c>
      <c r="H56" t="s">
        <v>421</v>
      </c>
      <c r="I56" s="55">
        <v>44746</v>
      </c>
      <c r="J56" s="55" t="s">
        <v>501</v>
      </c>
      <c r="K56" s="55"/>
      <c r="M56" s="5">
        <f>DATA_FEBRERO_2026[[#This Row],[RECUPERO]]/DATA_FEBRERO_2026[[#This Row],[META]]</f>
        <v>0.95699999999999996</v>
      </c>
      <c r="N56" s="5">
        <f>6-ROUNDUP(_xlfn.RANK.EQ(DATA_FEBRERO_2026[[#This Row],[AL_AC]],DATA_FEBRERO_2026[AL_AC],0)/(COUNTA(DATA_FEBRERO_2026[AL_AC])/5),0)</f>
        <v>3</v>
      </c>
      <c r="O56" s="54" t="str">
        <f>IFERROR(VLOOKUP(DATA_FEBRERO_2026[[#This Row],[ASER_]],$B:$G,4,0),"")</f>
        <v>KENNETH</v>
      </c>
      <c r="P56" s="6">
        <f>SUM(DATA_FEBRERO_2026[[#This Row],[1]:[31]])</f>
        <v>86130</v>
      </c>
      <c r="Q56" s="6">
        <f>VLOOKUP(DATA_FEBRERO_2026[[#This Row],[ASER_]],D1_FEBRERO_2026[[ASESOR_CRR]:[META]],2,0)</f>
        <v>90000</v>
      </c>
      <c r="R56" t="s">
        <v>78</v>
      </c>
      <c r="U56">
        <v>10030</v>
      </c>
      <c r="V56">
        <v>600</v>
      </c>
      <c r="W56">
        <v>1803</v>
      </c>
      <c r="X56" s="5">
        <v>5100</v>
      </c>
      <c r="Y56" s="6"/>
      <c r="Z56" s="6"/>
      <c r="AA56" s="6">
        <v>460</v>
      </c>
      <c r="AB56" s="6">
        <v>1740</v>
      </c>
      <c r="AC56" s="6">
        <v>2967</v>
      </c>
      <c r="AD56" s="6">
        <v>2220</v>
      </c>
      <c r="AE56" s="6">
        <v>7500</v>
      </c>
      <c r="AF56" s="6"/>
      <c r="AG56" s="6"/>
      <c r="AH56" s="6">
        <v>3800</v>
      </c>
      <c r="AI56" s="6"/>
      <c r="AJ56" s="6">
        <v>920</v>
      </c>
      <c r="AK56" s="6">
        <v>3300</v>
      </c>
      <c r="AL56" s="6">
        <v>2405</v>
      </c>
      <c r="AM56" s="6"/>
      <c r="AN56" s="6"/>
      <c r="AO56" s="6">
        <v>10200</v>
      </c>
      <c r="AP56" s="6">
        <v>100</v>
      </c>
      <c r="AQ56" s="6">
        <v>310</v>
      </c>
      <c r="AR56" s="6">
        <v>555</v>
      </c>
      <c r="AS56" s="6">
        <v>32120</v>
      </c>
      <c r="AT56" s="6"/>
      <c r="AU56" s="6"/>
      <c r="AV56" s="6"/>
      <c r="AW56" s="6"/>
      <c r="AX56" t="str" cm="1">
        <f t="array" ref="AX56">IFERROR(VLOOKUP(DATA_FEBRERO_2026[[#This Row],[ASER_]],_xlfn._xlws.FILTER(PLANTILLA[[ASESOR]:[FECHA DE CESE]],PLANTILLA[FECHA]=_xlfn.CONCAT($M$3,"_",_xlfn.IFS($N$3="ENERO","1",$N$3="FEBRERO","2",$N$3="MARZO","3",$N$3="ABRIL","4",$N$3="MAYO","5",$N$3="JUNIO","6",$N$3="JULIO","7",$N$3="AGOSTO","8",$N$3="SETIEMBRE","9",$N$3="OCTUBRE","10",$N$3="NOVIEMBRE","11",$N$3="DICIEMBRE","12"))),8,0),"")</f>
        <v>S0 - BBVA</v>
      </c>
      <c r="CQ56" t="s">
        <v>636</v>
      </c>
      <c r="CR56" t="s">
        <v>124</v>
      </c>
      <c r="CS56" t="s">
        <v>48</v>
      </c>
      <c r="CT56">
        <v>46081</v>
      </c>
      <c r="CU56">
        <v>1</v>
      </c>
      <c r="CV56">
        <v>1</v>
      </c>
      <c r="CX56">
        <v>1</v>
      </c>
      <c r="CZ56">
        <v>6.9444444444444444E-5</v>
      </c>
      <c r="DA56">
        <v>6.9444444444444444E-5</v>
      </c>
      <c r="DB56">
        <v>9.0578703703703703E-2</v>
      </c>
      <c r="DC56">
        <v>9.3159722222222227E-2</v>
      </c>
      <c r="DD56">
        <v>40</v>
      </c>
      <c r="DE56">
        <v>62</v>
      </c>
      <c r="DF56">
        <v>13</v>
      </c>
      <c r="DG56" t="s">
        <v>787</v>
      </c>
      <c r="DH56">
        <v>23722</v>
      </c>
      <c r="DI56">
        <v>0.32500000000000001</v>
      </c>
      <c r="DJ56">
        <v>1</v>
      </c>
      <c r="DK56">
        <v>7.6899999999999996E-2</v>
      </c>
      <c r="DL56">
        <v>1500</v>
      </c>
      <c r="DM56">
        <v>1500</v>
      </c>
      <c r="DN56">
        <v>1500</v>
      </c>
      <c r="DO56">
        <v>1</v>
      </c>
      <c r="DP56">
        <v>0.17910000000000001</v>
      </c>
      <c r="DQ56">
        <v>96</v>
      </c>
      <c r="DR56">
        <v>1500</v>
      </c>
    </row>
    <row r="57" spans="1:122" x14ac:dyDescent="0.25">
      <c r="A57" s="35" t="str">
        <f>D1_FEBRERO_2026[[#This Row],[SUPER2]]</f>
        <v>JOHAN</v>
      </c>
      <c r="B57" s="34" t="str" cm="1">
        <f t="array" ref="B57">TRIM(IFERROR(_xlfn.IFS(D1_FEBRERO_2026[[#This Row],[ASESOR]]="ELVIS GUERRA","ELVIS GUERRERA",D1_FEBRERO_2026[[#This Row],[ASESOR]]="GENESIS VICUÑA","GENESIS VICUNA",D1_FEBRERO_2026[[#This Row],[ASESOR]]="GINA HUMANI","GINA HUAMANI"),D1_FEBRERO_2026[[#This Row],[ASESOR]]))</f>
        <v>VERONICA TASAYCO</v>
      </c>
      <c r="C57" s="36">
        <f>IF(D1_FEBRERO_2026[[#This Row],[RECUPERO]]="","",VLOOKUP($M$3&amp;$N$3&amp;D1_FEBRERO_2026[[#This Row],[SUPER]],TablaMeta[],6,0))</f>
        <v>50000</v>
      </c>
      <c r="D57" s="35">
        <f>IF(D1_FEBRERO_2026[[#This Row],[RECUPERO]]="VACACIONES","VACACIONES",IFERROR(D1_FEBRERO_2026[[#This Row],[RECUPERO]]/D1_FEBRERO_2026[[#This Row],[META]],""))</f>
        <v>0.96316000000000002</v>
      </c>
      <c r="E57" s="35" t="s">
        <v>125</v>
      </c>
      <c r="F57" t="s">
        <v>10</v>
      </c>
      <c r="G57" s="3">
        <v>48158</v>
      </c>
      <c r="H57" t="s">
        <v>449</v>
      </c>
      <c r="I57" s="55">
        <v>44704</v>
      </c>
      <c r="J57" s="55" t="s">
        <v>501</v>
      </c>
      <c r="M57" s="5">
        <f>DATA_FEBRERO_2026[[#This Row],[RECUPERO]]/DATA_FEBRERO_2026[[#This Row],[META]]</f>
        <v>1.1959574468085106</v>
      </c>
      <c r="N57" s="5">
        <f>6-ROUNDUP(_xlfn.RANK.EQ(DATA_FEBRERO_2026[[#This Row],[AL_AC]],DATA_FEBRERO_2026[AL_AC],0)/(COUNTA(DATA_FEBRERO_2026[AL_AC])/5),0)</f>
        <v>3</v>
      </c>
      <c r="O57" s="54" t="str">
        <f>IFERROR(VLOOKUP(DATA_FEBRERO_2026[[#This Row],[ASER_]],$B:$G,4,0),"")</f>
        <v>GUSTAVO</v>
      </c>
      <c r="P57" s="6">
        <f>SUM(DATA_FEBRERO_2026[[#This Row],[1]:[31]])</f>
        <v>28105</v>
      </c>
      <c r="Q57" s="6">
        <f>VLOOKUP(DATA_FEBRERO_2026[[#This Row],[ASER_]],D1_FEBRERO_2026[[ASESOR_CRR]:[META]],2,0)</f>
        <v>23500</v>
      </c>
      <c r="R57" t="s">
        <v>48</v>
      </c>
      <c r="T57">
        <v>300</v>
      </c>
      <c r="X57" s="5">
        <v>600</v>
      </c>
      <c r="Y57" s="6"/>
      <c r="Z57" s="6"/>
      <c r="AA57" s="6"/>
      <c r="AB57" s="6"/>
      <c r="AC57" s="6">
        <v>4160</v>
      </c>
      <c r="AD57" s="6"/>
      <c r="AE57" s="6">
        <v>3000</v>
      </c>
      <c r="AF57" s="6">
        <v>3000</v>
      </c>
      <c r="AG57" s="6"/>
      <c r="AH57" s="6">
        <v>2000</v>
      </c>
      <c r="AI57" s="6">
        <v>300</v>
      </c>
      <c r="AJ57" s="6">
        <v>4660</v>
      </c>
      <c r="AK57" s="6"/>
      <c r="AL57" s="6"/>
      <c r="AM57" s="6"/>
      <c r="AN57" s="6"/>
      <c r="AO57" s="6">
        <v>3500</v>
      </c>
      <c r="AP57" s="6"/>
      <c r="AQ57" s="6"/>
      <c r="AR57" s="6">
        <v>585</v>
      </c>
      <c r="AS57" s="6">
        <v>4500</v>
      </c>
      <c r="AT57" s="6">
        <v>1500</v>
      </c>
      <c r="AU57" s="6"/>
      <c r="AV57" s="6"/>
      <c r="AW57" s="6"/>
      <c r="AX57" t="str" cm="1">
        <f t="array" ref="AX57">IFERROR(VLOOKUP(DATA_FEBRERO_2026[[#This Row],[ASER_]],_xlfn._xlws.FILTER(PLANTILLA[[ASESOR]:[FECHA DE CESE]],PLANTILLA[FECHA]=_xlfn.CONCAT($M$3,"_",_xlfn.IFS($N$3="ENERO","1",$N$3="FEBRERO","2",$N$3="MARZO","3",$N$3="ABRIL","4",$N$3="MAYO","5",$N$3="JUNIO","6",$N$3="JULIO","7",$N$3="AGOSTO","8",$N$3="SETIEMBRE","9",$N$3="OCTUBRE","10",$N$3="NOVIEMBRE","11",$N$3="DICIEMBRE","12"))),8,0),"")</f>
        <v>S2-3-4</v>
      </c>
      <c r="CQ57" t="s">
        <v>636</v>
      </c>
      <c r="CR57" t="s">
        <v>125</v>
      </c>
      <c r="CS57" t="s">
        <v>60</v>
      </c>
      <c r="CT57">
        <v>46071</v>
      </c>
      <c r="CU57">
        <v>1</v>
      </c>
      <c r="CV57">
        <v>1</v>
      </c>
      <c r="CX57">
        <v>1</v>
      </c>
      <c r="CZ57">
        <v>1.5046296296296297E-4</v>
      </c>
      <c r="DA57">
        <v>1.5046296296296297E-4</v>
      </c>
      <c r="DB57">
        <v>0.2167824074074074</v>
      </c>
      <c r="DC57">
        <v>0.10893518518518519</v>
      </c>
      <c r="DD57">
        <v>106</v>
      </c>
      <c r="DE57">
        <v>151</v>
      </c>
      <c r="DF57">
        <v>8</v>
      </c>
      <c r="DG57">
        <v>1.75</v>
      </c>
      <c r="DH57">
        <v>40369</v>
      </c>
      <c r="DI57">
        <v>7.5499999999999998E-2</v>
      </c>
      <c r="DJ57">
        <v>1</v>
      </c>
      <c r="DK57">
        <v>0.125</v>
      </c>
      <c r="DL57">
        <v>7000</v>
      </c>
      <c r="DM57">
        <v>7000</v>
      </c>
      <c r="DN57">
        <v>7000</v>
      </c>
      <c r="DO57">
        <v>1</v>
      </c>
      <c r="DP57">
        <v>0.2142</v>
      </c>
      <c r="DQ57">
        <v>96</v>
      </c>
      <c r="DR57">
        <v>7000</v>
      </c>
    </row>
    <row r="58" spans="1:122" x14ac:dyDescent="0.25">
      <c r="A58" s="35" t="str">
        <f>D1_FEBRERO_2026[[#This Row],[SUPER2]]</f>
        <v>JORGE</v>
      </c>
      <c r="B58" s="34" t="str" cm="1">
        <f t="array" ref="B58">TRIM(IFERROR(_xlfn.IFS(D1_FEBRERO_2026[[#This Row],[ASESOR]]="ELVIS GUERRA","ELVIS GUERRERA",D1_FEBRERO_2026[[#This Row],[ASESOR]]="GENESIS VICUÑA","GENESIS VICUNA",D1_FEBRERO_2026[[#This Row],[ASESOR]]="GINA HUMANI","GINA HUAMANI"),D1_FEBRERO_2026[[#This Row],[ASESOR]]))</f>
        <v>VICTOR RAMIREZ</v>
      </c>
      <c r="C58" s="36">
        <f>IF(D1_FEBRERO_2026[[#This Row],[RECUPERO]]="","",VLOOKUP($M$3&amp;$N$3&amp;D1_FEBRERO_2026[[#This Row],[SUPER]],TablaMeta[],6,0))</f>
        <v>28000</v>
      </c>
      <c r="D58" s="35">
        <f>IF(D1_FEBRERO_2026[[#This Row],[RECUPERO]]="VACACIONES","VACACIONES",IFERROR(D1_FEBRERO_2026[[#This Row],[RECUPERO]]/D1_FEBRERO_2026[[#This Row],[META]],""))</f>
        <v>0.82267857142857148</v>
      </c>
      <c r="E58" s="35" t="s">
        <v>2</v>
      </c>
      <c r="F58" t="s">
        <v>76</v>
      </c>
      <c r="G58" s="3">
        <v>23035</v>
      </c>
      <c r="H58" t="s">
        <v>408</v>
      </c>
      <c r="I58" s="55">
        <v>44817</v>
      </c>
      <c r="J58" s="55" t="s">
        <v>501</v>
      </c>
      <c r="M58" s="5">
        <f>DATA_FEBRERO_2026[[#This Row],[RECUPERO]]/DATA_FEBRERO_2026[[#This Row],[META]]</f>
        <v>0.96316000000000002</v>
      </c>
      <c r="N58" s="5">
        <f>6-ROUNDUP(_xlfn.RANK.EQ(DATA_FEBRERO_2026[[#This Row],[AL_AC]],DATA_FEBRERO_2026[AL_AC],0)/(COUNTA(DATA_FEBRERO_2026[AL_AC])/5),0)</f>
        <v>3</v>
      </c>
      <c r="O58" s="54" t="str">
        <f>IFERROR(VLOOKUP(DATA_FEBRERO_2026[[#This Row],[ASER_]],$B:$G,4,0),"")</f>
        <v>JOHAN</v>
      </c>
      <c r="P58" s="6">
        <f>SUM(DATA_FEBRERO_2026[[#This Row],[1]:[31]])</f>
        <v>48158</v>
      </c>
      <c r="Q58" s="6">
        <f>VLOOKUP(DATA_FEBRERO_2026[[#This Row],[ASER_]],D1_FEBRERO_2026[[ASESOR_CRR]:[META]],2,0)</f>
        <v>50000</v>
      </c>
      <c r="R58" t="s">
        <v>10</v>
      </c>
      <c r="T58">
        <v>500</v>
      </c>
      <c r="V58">
        <v>3000</v>
      </c>
      <c r="W58">
        <v>1210</v>
      </c>
      <c r="X58" s="5">
        <v>100</v>
      </c>
      <c r="Y58" s="6"/>
      <c r="Z58" s="6"/>
      <c r="AA58" s="6"/>
      <c r="AB58" s="6"/>
      <c r="AC58" s="6"/>
      <c r="AD58" s="6">
        <v>1900</v>
      </c>
      <c r="AE58" s="6"/>
      <c r="AF58" s="6"/>
      <c r="AG58" s="6"/>
      <c r="AH58" s="6">
        <v>3000</v>
      </c>
      <c r="AI58" s="6">
        <v>360</v>
      </c>
      <c r="AJ58" s="6">
        <v>6200</v>
      </c>
      <c r="AK58" s="6"/>
      <c r="AL58" s="6">
        <v>1000</v>
      </c>
      <c r="AM58" s="6"/>
      <c r="AN58" s="6"/>
      <c r="AO58" s="6">
        <v>1500</v>
      </c>
      <c r="AP58" s="6">
        <v>6688</v>
      </c>
      <c r="AQ58" s="6">
        <v>200</v>
      </c>
      <c r="AR58" s="6">
        <v>16900</v>
      </c>
      <c r="AS58" s="6">
        <v>600</v>
      </c>
      <c r="AT58" s="6">
        <v>5000</v>
      </c>
      <c r="AU58" s="6"/>
      <c r="AV58" s="6"/>
      <c r="AW58" s="6"/>
      <c r="AX58" t="str" cm="1">
        <f t="array" ref="AX58">IFERROR(VLOOKUP(DATA_FEBRERO_2026[[#This Row],[ASER_]],_xlfn._xlws.FILTER(PLANTILLA[[ASESOR]:[FECHA DE CESE]],PLANTILLA[FECHA]=_xlfn.CONCAT($M$3,"_",_xlfn.IFS($N$3="ENERO","1",$N$3="FEBRERO","2",$N$3="MARZO","3",$N$3="ABRIL","4",$N$3="MAYO","5",$N$3="JUNIO","6",$N$3="JULIO","7",$N$3="AGOSTO","8",$N$3="SETIEMBRE","9",$N$3="OCTUBRE","10",$N$3="NOVIEMBRE","11",$N$3="DICIEMBRE","12"))),8,0),"")</f>
        <v>S1</v>
      </c>
      <c r="CQ58" t="s">
        <v>636</v>
      </c>
      <c r="CR58" t="s">
        <v>125</v>
      </c>
      <c r="CS58" t="s">
        <v>60</v>
      </c>
      <c r="CT58">
        <v>46072</v>
      </c>
      <c r="CU58">
        <v>1</v>
      </c>
      <c r="CV58">
        <v>1</v>
      </c>
      <c r="CX58">
        <v>1</v>
      </c>
      <c r="CZ58">
        <v>2.3148148148148147E-5</v>
      </c>
      <c r="DA58">
        <v>2.3148148148148147E-5</v>
      </c>
      <c r="DB58">
        <v>0.22084490740740742</v>
      </c>
      <c r="DC58">
        <v>0.1043287037037037</v>
      </c>
      <c r="DD58">
        <v>91</v>
      </c>
      <c r="DE58">
        <v>127</v>
      </c>
      <c r="DF58">
        <v>6</v>
      </c>
      <c r="DG58">
        <v>3</v>
      </c>
      <c r="DH58">
        <v>19271</v>
      </c>
      <c r="DI58">
        <v>6.59E-2</v>
      </c>
      <c r="DJ58">
        <v>1</v>
      </c>
      <c r="DK58">
        <v>0.16669999999999999</v>
      </c>
      <c r="DL58">
        <v>2000</v>
      </c>
      <c r="DM58">
        <v>2000</v>
      </c>
      <c r="DN58">
        <v>2000</v>
      </c>
      <c r="DO58">
        <v>1</v>
      </c>
      <c r="DP58">
        <v>0.13639999999999999</v>
      </c>
      <c r="DQ58">
        <v>96</v>
      </c>
      <c r="DR58">
        <v>2000</v>
      </c>
    </row>
    <row r="59" spans="1:122" x14ac:dyDescent="0.25">
      <c r="A59" s="34"/>
      <c r="B59" s="34"/>
      <c r="C59" s="35"/>
      <c r="D59" s="35"/>
      <c r="E59" s="35"/>
      <c r="M59" s="5">
        <f>DATA_FEBRERO_2026[[#This Row],[RECUPERO]]/DATA_FEBRERO_2026[[#This Row],[META]]</f>
        <v>0.82267857142857148</v>
      </c>
      <c r="N59" s="5">
        <f>6-ROUNDUP(_xlfn.RANK.EQ(DATA_FEBRERO_2026[[#This Row],[AL_AC]],DATA_FEBRERO_2026[AL_AC],0)/(COUNTA(DATA_FEBRERO_2026[AL_AC])/5),0)</f>
        <v>2</v>
      </c>
      <c r="O59" s="54" t="str">
        <f>IFERROR(VLOOKUP(DATA_FEBRERO_2026[[#This Row],[ASER_]],$B:$G,4,0),"")</f>
        <v>JORGE</v>
      </c>
      <c r="P59" s="6">
        <f>SUM(DATA_FEBRERO_2026[[#This Row],[1]:[31]])</f>
        <v>23035</v>
      </c>
      <c r="Q59" s="6">
        <f>VLOOKUP(DATA_FEBRERO_2026[[#This Row],[ASER_]],D1_FEBRERO_2026[[ASESOR_CRR]:[META]],2,0)</f>
        <v>28000</v>
      </c>
      <c r="R59" t="s">
        <v>76</v>
      </c>
      <c r="T59">
        <v>4580</v>
      </c>
      <c r="U59">
        <v>4900</v>
      </c>
      <c r="X59" s="5"/>
      <c r="Y59" s="6"/>
      <c r="Z59" s="6"/>
      <c r="AA59" s="6"/>
      <c r="AB59" s="6"/>
      <c r="AC59" s="6"/>
      <c r="AD59" s="6"/>
      <c r="AE59" s="6"/>
      <c r="AF59" s="6"/>
      <c r="AG59" s="6"/>
      <c r="AH59" s="6">
        <v>1105</v>
      </c>
      <c r="AI59" s="6">
        <v>8000</v>
      </c>
      <c r="AJ59" s="6"/>
      <c r="AK59" s="6">
        <v>950</v>
      </c>
      <c r="AL59" s="6"/>
      <c r="AM59" s="6"/>
      <c r="AN59" s="6"/>
      <c r="AO59" s="6"/>
      <c r="AP59" s="6">
        <v>2000</v>
      </c>
      <c r="AQ59" s="6"/>
      <c r="AR59" s="6"/>
      <c r="AS59" s="6"/>
      <c r="AT59" s="6">
        <v>1500</v>
      </c>
      <c r="AU59" s="6"/>
      <c r="AV59" s="6"/>
      <c r="AW59" s="6"/>
      <c r="AX59" t="str" cm="1">
        <f t="array" ref="AX59">IFERROR(VLOOKUP(DATA_FEBRERO_2026[[#This Row],[ASER_]],_xlfn._xlws.FILTER(PLANTILLA[[ASESOR]:[FECHA DE CESE]],PLANTILLA[FECHA]=_xlfn.CONCAT($M$3,"_",_xlfn.IFS($N$3="ENERO","1",$N$3="FEBRERO","2",$N$3="MARZO","3",$N$3="ABRIL","4",$N$3="MAYO","5",$N$3="JUNIO","6",$N$3="JULIO","7",$N$3="AGOSTO","8",$N$3="SETIEMBRE","9",$N$3="OCTUBRE","10",$N$3="NOVIEMBRE","11",$N$3="DICIEMBRE","12"))),8,0),"")</f>
        <v>S0</v>
      </c>
      <c r="CQ59" t="s">
        <v>636</v>
      </c>
      <c r="CR59" t="s">
        <v>125</v>
      </c>
      <c r="CS59" t="s">
        <v>85</v>
      </c>
      <c r="CT59">
        <v>46073</v>
      </c>
      <c r="CU59">
        <v>1</v>
      </c>
      <c r="CV59">
        <v>1</v>
      </c>
      <c r="CX59">
        <v>1</v>
      </c>
      <c r="CZ59">
        <v>0</v>
      </c>
      <c r="DA59">
        <v>0</v>
      </c>
      <c r="DB59">
        <v>0.22013888888888888</v>
      </c>
      <c r="DC59">
        <v>0.12371527777777777</v>
      </c>
      <c r="DD59">
        <v>80</v>
      </c>
      <c r="DE59">
        <v>162</v>
      </c>
      <c r="DF59">
        <v>19</v>
      </c>
      <c r="DG59" t="s">
        <v>791</v>
      </c>
      <c r="DH59">
        <v>24811</v>
      </c>
      <c r="DI59">
        <v>0.23749999999999999</v>
      </c>
      <c r="DJ59">
        <v>2</v>
      </c>
      <c r="DK59">
        <v>0.1053</v>
      </c>
      <c r="DL59">
        <v>6700</v>
      </c>
      <c r="DM59">
        <v>3350</v>
      </c>
      <c r="DN59">
        <v>6700</v>
      </c>
      <c r="DO59">
        <v>1</v>
      </c>
      <c r="DP59">
        <v>0.12989999999999999</v>
      </c>
      <c r="DQ59">
        <v>96</v>
      </c>
      <c r="DR59">
        <v>3350</v>
      </c>
    </row>
    <row r="60" spans="1:122" x14ac:dyDescent="0.25">
      <c r="CQ60" t="s">
        <v>636</v>
      </c>
      <c r="CR60" t="s">
        <v>125</v>
      </c>
      <c r="CS60" t="s">
        <v>75</v>
      </c>
      <c r="CT60">
        <v>46064</v>
      </c>
      <c r="CU60">
        <v>1</v>
      </c>
      <c r="CV60">
        <v>1</v>
      </c>
      <c r="CX60">
        <v>1</v>
      </c>
      <c r="CZ60">
        <v>1.3888888888888889E-4</v>
      </c>
      <c r="DA60">
        <v>1.3888888888888889E-4</v>
      </c>
      <c r="DB60">
        <v>2.3877314814814816E-2</v>
      </c>
      <c r="DC60">
        <v>1.292824074074074E-2</v>
      </c>
      <c r="DD60">
        <v>81</v>
      </c>
      <c r="DE60">
        <v>177</v>
      </c>
      <c r="DF60">
        <v>16</v>
      </c>
      <c r="DG60">
        <v>1.75</v>
      </c>
      <c r="DH60">
        <v>38595</v>
      </c>
      <c r="DI60">
        <v>0.19750000000000001</v>
      </c>
      <c r="DJ60">
        <v>2</v>
      </c>
      <c r="DK60">
        <v>0.125</v>
      </c>
      <c r="DL60">
        <v>21000</v>
      </c>
      <c r="DM60">
        <v>10500</v>
      </c>
      <c r="DN60">
        <v>21000</v>
      </c>
      <c r="DO60">
        <v>1</v>
      </c>
      <c r="DP60">
        <v>0.2077</v>
      </c>
      <c r="DQ60">
        <v>96</v>
      </c>
      <c r="DR60">
        <v>10500</v>
      </c>
    </row>
    <row r="61" spans="1:122" x14ac:dyDescent="0.25">
      <c r="CQ61" t="s">
        <v>636</v>
      </c>
      <c r="CR61" t="s">
        <v>125</v>
      </c>
      <c r="CS61" t="s">
        <v>75</v>
      </c>
      <c r="CT61">
        <v>46065</v>
      </c>
      <c r="CU61">
        <v>1</v>
      </c>
      <c r="CV61">
        <v>1</v>
      </c>
      <c r="CX61">
        <v>1</v>
      </c>
      <c r="CZ61">
        <v>1.0416666666666667E-4</v>
      </c>
      <c r="DA61">
        <v>1.0416666666666667E-4</v>
      </c>
      <c r="DB61">
        <v>4.9143518518518517E-2</v>
      </c>
      <c r="DC61">
        <v>1.6840277777777777E-2</v>
      </c>
      <c r="DD61">
        <v>103</v>
      </c>
      <c r="DE61">
        <v>236</v>
      </c>
      <c r="DF61">
        <v>19</v>
      </c>
      <c r="DG61" t="s">
        <v>1092</v>
      </c>
      <c r="DH61">
        <v>22215</v>
      </c>
      <c r="DI61">
        <v>0.1845</v>
      </c>
      <c r="DJ61">
        <v>2</v>
      </c>
      <c r="DK61">
        <v>0.1053</v>
      </c>
      <c r="DL61">
        <v>13500</v>
      </c>
      <c r="DM61">
        <v>6750</v>
      </c>
      <c r="DN61">
        <v>13500</v>
      </c>
      <c r="DO61">
        <v>1</v>
      </c>
      <c r="DP61">
        <v>0.24879999999999999</v>
      </c>
      <c r="DQ61">
        <v>96</v>
      </c>
      <c r="DR61">
        <v>6750</v>
      </c>
    </row>
    <row r="62" spans="1:122" x14ac:dyDescent="0.25">
      <c r="CQ62" t="s">
        <v>636</v>
      </c>
      <c r="CR62" t="s">
        <v>125</v>
      </c>
      <c r="CS62" t="s">
        <v>59</v>
      </c>
      <c r="CT62">
        <v>46058</v>
      </c>
      <c r="CU62">
        <v>1</v>
      </c>
      <c r="CV62">
        <v>1</v>
      </c>
      <c r="CX62">
        <v>1</v>
      </c>
      <c r="CZ62">
        <v>3.4722222222222222E-5</v>
      </c>
      <c r="DA62">
        <v>3.4722222222222222E-5</v>
      </c>
      <c r="DB62">
        <v>0.13696759259259259</v>
      </c>
      <c r="DC62">
        <v>2.0092592592592592E-2</v>
      </c>
      <c r="DD62">
        <v>167</v>
      </c>
      <c r="DE62">
        <v>335</v>
      </c>
      <c r="DF62">
        <v>22</v>
      </c>
      <c r="DG62" t="s">
        <v>786</v>
      </c>
      <c r="DH62">
        <v>70781</v>
      </c>
      <c r="DI62">
        <v>0.13170000000000001</v>
      </c>
      <c r="DJ62">
        <v>2</v>
      </c>
      <c r="DK62">
        <v>9.0899999999999995E-2</v>
      </c>
      <c r="DL62">
        <v>20300</v>
      </c>
      <c r="DM62">
        <v>10150</v>
      </c>
      <c r="DN62">
        <v>20300</v>
      </c>
      <c r="DO62">
        <v>1</v>
      </c>
      <c r="DP62">
        <v>0.27729999999999999</v>
      </c>
      <c r="DQ62">
        <v>96</v>
      </c>
      <c r="DR62">
        <v>10150</v>
      </c>
    </row>
    <row r="63" spans="1:122" x14ac:dyDescent="0.25">
      <c r="CQ63" t="s">
        <v>636</v>
      </c>
      <c r="CR63" t="s">
        <v>125</v>
      </c>
      <c r="CS63" t="s">
        <v>59</v>
      </c>
      <c r="CT63">
        <v>46066</v>
      </c>
      <c r="CU63">
        <v>1</v>
      </c>
      <c r="CV63">
        <v>1</v>
      </c>
      <c r="CX63">
        <v>1</v>
      </c>
      <c r="CZ63">
        <v>3.4722222222222222E-5</v>
      </c>
      <c r="DA63">
        <v>3.4722222222222222E-5</v>
      </c>
      <c r="DB63">
        <v>0.14508101851851851</v>
      </c>
      <c r="DC63">
        <v>0.19678240740740741</v>
      </c>
      <c r="DD63">
        <v>154</v>
      </c>
      <c r="DE63">
        <v>314</v>
      </c>
      <c r="DF63">
        <v>16</v>
      </c>
      <c r="DG63">
        <v>2.375</v>
      </c>
      <c r="DH63">
        <v>46371</v>
      </c>
      <c r="DI63">
        <v>0.10390000000000001</v>
      </c>
      <c r="DJ63">
        <v>2</v>
      </c>
      <c r="DK63">
        <v>0.125</v>
      </c>
      <c r="DL63">
        <v>8700</v>
      </c>
      <c r="DM63">
        <v>4350</v>
      </c>
      <c r="DN63">
        <v>8700</v>
      </c>
      <c r="DO63">
        <v>1</v>
      </c>
      <c r="DP63">
        <v>0.2248</v>
      </c>
      <c r="DQ63">
        <v>96</v>
      </c>
      <c r="DR63">
        <v>4350</v>
      </c>
    </row>
    <row r="64" spans="1:122" x14ac:dyDescent="0.25">
      <c r="CQ64" t="s">
        <v>636</v>
      </c>
      <c r="CR64" t="s">
        <v>2</v>
      </c>
      <c r="CS64" t="s">
        <v>76</v>
      </c>
      <c r="CT64">
        <v>46070</v>
      </c>
      <c r="CU64">
        <v>1</v>
      </c>
      <c r="CV64">
        <v>1</v>
      </c>
      <c r="CX64">
        <v>1</v>
      </c>
      <c r="CZ64">
        <v>3.449074074074074E-3</v>
      </c>
      <c r="DA64">
        <v>3.449074074074074E-3</v>
      </c>
      <c r="DB64">
        <v>0.20373842592592592</v>
      </c>
      <c r="DC64">
        <v>0.13561342592592593</v>
      </c>
      <c r="DD64">
        <v>62</v>
      </c>
      <c r="DE64">
        <v>72</v>
      </c>
      <c r="DF64">
        <v>4</v>
      </c>
      <c r="DG64">
        <v>2.5</v>
      </c>
      <c r="DH64">
        <v>29350</v>
      </c>
      <c r="DI64">
        <v>6.4500000000000002E-2</v>
      </c>
      <c r="DJ64">
        <v>1</v>
      </c>
      <c r="DK64">
        <v>0.25</v>
      </c>
      <c r="DL64">
        <v>8000</v>
      </c>
      <c r="DM64">
        <v>8000</v>
      </c>
      <c r="DN64">
        <v>8000</v>
      </c>
      <c r="DO64">
        <v>1</v>
      </c>
      <c r="DP64">
        <v>0.1852</v>
      </c>
      <c r="DQ64">
        <v>96</v>
      </c>
      <c r="DR64">
        <v>8000</v>
      </c>
    </row>
    <row r="65" spans="95:122" x14ac:dyDescent="0.25">
      <c r="CQ65" t="s">
        <v>636</v>
      </c>
      <c r="CR65" t="s">
        <v>6</v>
      </c>
      <c r="CS65" t="s">
        <v>34</v>
      </c>
      <c r="CT65">
        <v>46076</v>
      </c>
      <c r="CU65">
        <v>1</v>
      </c>
      <c r="CV65">
        <v>1</v>
      </c>
      <c r="CX65">
        <v>1</v>
      </c>
      <c r="CZ65">
        <v>0</v>
      </c>
      <c r="DA65">
        <v>0</v>
      </c>
      <c r="DB65">
        <v>0.17618055555555556</v>
      </c>
      <c r="DC65">
        <v>0.1675462962962963</v>
      </c>
      <c r="DD65">
        <v>136</v>
      </c>
      <c r="DE65">
        <v>169</v>
      </c>
      <c r="DF65">
        <v>16</v>
      </c>
      <c r="DG65">
        <v>1.75</v>
      </c>
      <c r="DH65">
        <v>21601</v>
      </c>
      <c r="DI65">
        <v>0.1176</v>
      </c>
      <c r="DJ65">
        <v>2</v>
      </c>
      <c r="DK65">
        <v>0.125</v>
      </c>
      <c r="DL65">
        <v>11600</v>
      </c>
      <c r="DM65">
        <v>5800</v>
      </c>
      <c r="DN65">
        <v>11600</v>
      </c>
      <c r="DO65">
        <v>1</v>
      </c>
      <c r="DP65">
        <v>0.18590000000000001</v>
      </c>
      <c r="DQ65">
        <v>96</v>
      </c>
      <c r="DR65">
        <v>5800</v>
      </c>
    </row>
    <row r="66" spans="95:122" x14ac:dyDescent="0.25">
      <c r="CQ66" t="s">
        <v>636</v>
      </c>
      <c r="CR66" t="s">
        <v>3</v>
      </c>
      <c r="CS66" t="s">
        <v>22</v>
      </c>
      <c r="CT66">
        <v>46057</v>
      </c>
      <c r="CU66">
        <v>1</v>
      </c>
      <c r="CV66">
        <v>1</v>
      </c>
      <c r="CX66">
        <v>1</v>
      </c>
      <c r="CZ66">
        <v>1.0532407407407407E-3</v>
      </c>
      <c r="DA66">
        <v>1.0532407407407407E-3</v>
      </c>
      <c r="DB66">
        <v>1.4201388888888888E-2</v>
      </c>
      <c r="DC66">
        <v>1.511574074074074E-2</v>
      </c>
      <c r="DD66">
        <v>89</v>
      </c>
      <c r="DE66">
        <v>161</v>
      </c>
      <c r="DF66">
        <v>13</v>
      </c>
      <c r="DG66">
        <v>2</v>
      </c>
      <c r="DH66">
        <v>15954</v>
      </c>
      <c r="DI66">
        <v>0.14610000000000001</v>
      </c>
      <c r="DJ66">
        <v>2</v>
      </c>
      <c r="DK66">
        <v>0.15379999999999999</v>
      </c>
      <c r="DL66">
        <v>760</v>
      </c>
      <c r="DM66">
        <v>380</v>
      </c>
      <c r="DN66">
        <v>760</v>
      </c>
      <c r="DO66">
        <v>1</v>
      </c>
      <c r="DP66">
        <v>0.3957</v>
      </c>
      <c r="DQ66">
        <v>96</v>
      </c>
      <c r="DR66">
        <v>380</v>
      </c>
    </row>
    <row r="67" spans="95:122" x14ac:dyDescent="0.25">
      <c r="CQ67" t="s">
        <v>636</v>
      </c>
      <c r="CR67" t="s">
        <v>3</v>
      </c>
      <c r="CS67" t="s">
        <v>31</v>
      </c>
      <c r="CT67">
        <v>46062</v>
      </c>
      <c r="CU67">
        <v>1</v>
      </c>
      <c r="CV67">
        <v>1</v>
      </c>
      <c r="CX67">
        <v>1</v>
      </c>
      <c r="CZ67">
        <v>2.5462962962962961E-4</v>
      </c>
      <c r="DA67">
        <v>2.5462962962962961E-4</v>
      </c>
      <c r="DB67">
        <v>1.4386574074074074E-2</v>
      </c>
      <c r="DC67">
        <v>6.4004629629629628E-3</v>
      </c>
      <c r="DD67">
        <v>53</v>
      </c>
      <c r="DE67">
        <v>139</v>
      </c>
      <c r="DF67">
        <v>8</v>
      </c>
      <c r="DG67">
        <v>2.125</v>
      </c>
      <c r="DH67">
        <v>44919</v>
      </c>
      <c r="DI67">
        <v>0.15090000000000001</v>
      </c>
      <c r="DJ67">
        <v>1</v>
      </c>
      <c r="DK67">
        <v>0.125</v>
      </c>
      <c r="DL67">
        <v>3100</v>
      </c>
      <c r="DM67">
        <v>3100</v>
      </c>
      <c r="DN67">
        <v>3100</v>
      </c>
      <c r="DO67">
        <v>1</v>
      </c>
      <c r="DP67">
        <v>0.1303</v>
      </c>
      <c r="DQ67">
        <v>96</v>
      </c>
      <c r="DR67">
        <v>3100</v>
      </c>
    </row>
    <row r="68" spans="95:122" x14ac:dyDescent="0.25">
      <c r="CQ68" t="s">
        <v>636</v>
      </c>
      <c r="CR68" t="s">
        <v>3</v>
      </c>
      <c r="CS68" t="s">
        <v>31</v>
      </c>
      <c r="CT68">
        <v>46071</v>
      </c>
      <c r="CU68">
        <v>1</v>
      </c>
      <c r="CV68">
        <v>1</v>
      </c>
      <c r="CX68">
        <v>1</v>
      </c>
      <c r="CZ68">
        <v>2.6620370370370372E-4</v>
      </c>
      <c r="DA68">
        <v>2.6620370370370372E-4</v>
      </c>
      <c r="DB68">
        <v>0.21089120370370371</v>
      </c>
      <c r="DC68">
        <v>0.12277777777777778</v>
      </c>
      <c r="DD68">
        <v>69</v>
      </c>
      <c r="DE68">
        <v>145</v>
      </c>
      <c r="DF68">
        <v>5</v>
      </c>
      <c r="DG68">
        <v>1.8</v>
      </c>
      <c r="DH68">
        <v>23011</v>
      </c>
      <c r="DI68">
        <v>7.2499999999999995E-2</v>
      </c>
      <c r="DJ68">
        <v>1</v>
      </c>
      <c r="DK68">
        <v>0.2</v>
      </c>
      <c r="DL68">
        <v>730</v>
      </c>
      <c r="DM68">
        <v>730</v>
      </c>
      <c r="DN68">
        <v>730</v>
      </c>
      <c r="DO68">
        <v>1</v>
      </c>
      <c r="DP68">
        <v>0.6855</v>
      </c>
      <c r="DQ68">
        <v>96</v>
      </c>
      <c r="DR68">
        <v>730</v>
      </c>
    </row>
    <row r="69" spans="95:122" x14ac:dyDescent="0.25">
      <c r="CQ69" t="s">
        <v>636</v>
      </c>
      <c r="CR69" t="s">
        <v>3</v>
      </c>
      <c r="CS69" t="s">
        <v>17</v>
      </c>
      <c r="CT69">
        <v>46059</v>
      </c>
      <c r="CU69">
        <v>1</v>
      </c>
      <c r="CV69">
        <v>1</v>
      </c>
      <c r="CX69">
        <v>1</v>
      </c>
      <c r="CZ69">
        <v>6.9444444444444444E-5</v>
      </c>
      <c r="DA69">
        <v>6.9444444444444444E-5</v>
      </c>
      <c r="DB69">
        <v>8.4548611111111116E-2</v>
      </c>
      <c r="DC69">
        <v>3.6585648148148145E-2</v>
      </c>
      <c r="DD69">
        <v>44</v>
      </c>
      <c r="DE69">
        <v>104</v>
      </c>
      <c r="DF69">
        <v>10</v>
      </c>
      <c r="DG69">
        <v>2.4</v>
      </c>
      <c r="DH69">
        <v>70258</v>
      </c>
      <c r="DI69">
        <v>0.2273</v>
      </c>
      <c r="DJ69">
        <v>3</v>
      </c>
      <c r="DK69">
        <v>0.3</v>
      </c>
      <c r="DL69">
        <v>44500</v>
      </c>
      <c r="DM69">
        <v>14833</v>
      </c>
      <c r="DN69">
        <v>44500</v>
      </c>
      <c r="DO69">
        <v>1</v>
      </c>
      <c r="DP69">
        <v>0.1113</v>
      </c>
      <c r="DQ69">
        <v>96</v>
      </c>
      <c r="DR69">
        <v>14833</v>
      </c>
    </row>
    <row r="70" spans="95:122" x14ac:dyDescent="0.25">
      <c r="CQ70" t="s">
        <v>636</v>
      </c>
      <c r="CR70" t="s">
        <v>124</v>
      </c>
      <c r="CS70" t="s">
        <v>58</v>
      </c>
      <c r="CT70">
        <v>46065</v>
      </c>
      <c r="CU70">
        <v>1</v>
      </c>
      <c r="CV70">
        <v>1</v>
      </c>
      <c r="CX70">
        <v>1</v>
      </c>
      <c r="CZ70">
        <v>1.0416666666666667E-4</v>
      </c>
      <c r="DA70">
        <v>1.0416666666666667E-4</v>
      </c>
      <c r="DB70">
        <v>5.9675925925925924E-2</v>
      </c>
      <c r="DC70">
        <v>2.7118055555555555E-2</v>
      </c>
      <c r="DD70">
        <v>123</v>
      </c>
      <c r="DE70">
        <v>249</v>
      </c>
      <c r="DF70">
        <v>50</v>
      </c>
      <c r="DG70">
        <v>1.82</v>
      </c>
      <c r="DH70">
        <v>19001</v>
      </c>
      <c r="DI70">
        <v>0.40649999999999997</v>
      </c>
      <c r="DJ70">
        <v>2</v>
      </c>
      <c r="DK70">
        <v>0.04</v>
      </c>
      <c r="DL70">
        <v>2100</v>
      </c>
      <c r="DM70">
        <v>1050</v>
      </c>
      <c r="DN70">
        <v>1500</v>
      </c>
      <c r="DO70">
        <v>0.71430000000000005</v>
      </c>
      <c r="DP70">
        <v>0.14230000000000001</v>
      </c>
      <c r="DQ70">
        <v>94</v>
      </c>
      <c r="DR70">
        <v>1500</v>
      </c>
    </row>
    <row r="71" spans="95:122" x14ac:dyDescent="0.25">
      <c r="CQ71" t="s">
        <v>636</v>
      </c>
      <c r="CR71" t="s">
        <v>124</v>
      </c>
      <c r="CS71" t="s">
        <v>58</v>
      </c>
      <c r="CT71">
        <v>46073</v>
      </c>
      <c r="CU71">
        <v>1</v>
      </c>
      <c r="CV71">
        <v>1</v>
      </c>
      <c r="CX71">
        <v>1</v>
      </c>
      <c r="CZ71">
        <v>9.2592592592592588E-5</v>
      </c>
      <c r="DA71">
        <v>9.2592592592592588E-5</v>
      </c>
      <c r="DB71">
        <v>0.17811342592592594</v>
      </c>
      <c r="DC71">
        <v>0.17356481481481481</v>
      </c>
      <c r="DD71">
        <v>100</v>
      </c>
      <c r="DE71">
        <v>199</v>
      </c>
      <c r="DF71">
        <v>30</v>
      </c>
      <c r="DG71" t="s">
        <v>723</v>
      </c>
      <c r="DH71">
        <v>19929</v>
      </c>
      <c r="DI71">
        <v>0.3</v>
      </c>
      <c r="DJ71">
        <v>1</v>
      </c>
      <c r="DK71">
        <v>3.3300000000000003E-2</v>
      </c>
      <c r="DL71">
        <v>1000</v>
      </c>
      <c r="DM71">
        <v>1000</v>
      </c>
      <c r="DQ71">
        <v>94</v>
      </c>
    </row>
    <row r="72" spans="95:122" x14ac:dyDescent="0.25">
      <c r="CQ72" t="s">
        <v>636</v>
      </c>
      <c r="CR72" t="s">
        <v>124</v>
      </c>
      <c r="CS72" t="s">
        <v>58</v>
      </c>
      <c r="CT72">
        <v>46079</v>
      </c>
      <c r="CU72">
        <v>1</v>
      </c>
      <c r="CV72">
        <v>1</v>
      </c>
      <c r="CX72">
        <v>1</v>
      </c>
      <c r="CZ72">
        <v>6.9444444444444444E-5</v>
      </c>
      <c r="DA72">
        <v>6.9444444444444444E-5</v>
      </c>
      <c r="DB72">
        <v>0.13028935185185186</v>
      </c>
      <c r="DC72">
        <v>0.22334490740740739</v>
      </c>
      <c r="DD72">
        <v>132</v>
      </c>
      <c r="DE72">
        <v>277</v>
      </c>
      <c r="DF72">
        <v>29</v>
      </c>
      <c r="DG72" t="s">
        <v>881</v>
      </c>
      <c r="DH72">
        <v>19377</v>
      </c>
      <c r="DI72">
        <v>0.21970000000000001</v>
      </c>
      <c r="DJ72">
        <v>1</v>
      </c>
      <c r="DK72">
        <v>3.4500000000000003E-2</v>
      </c>
      <c r="DL72">
        <v>9000</v>
      </c>
      <c r="DM72">
        <v>9000</v>
      </c>
      <c r="DN72">
        <v>9000</v>
      </c>
      <c r="DO72">
        <v>1</v>
      </c>
      <c r="DP72">
        <v>0.3034</v>
      </c>
      <c r="DQ72">
        <v>94</v>
      </c>
      <c r="DR72">
        <v>9000</v>
      </c>
    </row>
    <row r="73" spans="95:122" x14ac:dyDescent="0.25">
      <c r="CQ73" t="s">
        <v>636</v>
      </c>
      <c r="CR73" t="s">
        <v>124</v>
      </c>
      <c r="CS73" t="s">
        <v>174</v>
      </c>
      <c r="CT73">
        <v>46062</v>
      </c>
      <c r="CU73">
        <v>1</v>
      </c>
      <c r="CV73">
        <v>1</v>
      </c>
      <c r="CX73">
        <v>1</v>
      </c>
      <c r="CZ73">
        <v>1.1574074074074073E-5</v>
      </c>
      <c r="DA73">
        <v>1.1574074074074073E-5</v>
      </c>
      <c r="DB73">
        <v>6.7719907407407409E-2</v>
      </c>
      <c r="DC73">
        <v>2.0752314814814814E-2</v>
      </c>
      <c r="DD73">
        <v>183</v>
      </c>
      <c r="DE73">
        <v>246</v>
      </c>
      <c r="DF73">
        <v>25</v>
      </c>
      <c r="DG73">
        <v>1.88</v>
      </c>
      <c r="DH73">
        <v>15025</v>
      </c>
      <c r="DI73">
        <v>0.1366</v>
      </c>
      <c r="DJ73">
        <v>1</v>
      </c>
      <c r="DK73">
        <v>0.04</v>
      </c>
      <c r="DL73">
        <v>2600</v>
      </c>
      <c r="DM73">
        <v>2600</v>
      </c>
      <c r="DN73">
        <v>2600</v>
      </c>
      <c r="DO73">
        <v>1</v>
      </c>
      <c r="DP73">
        <v>0.55310000000000004</v>
      </c>
      <c r="DQ73">
        <v>94</v>
      </c>
      <c r="DR73">
        <v>2600</v>
      </c>
    </row>
    <row r="74" spans="95:122" x14ac:dyDescent="0.25">
      <c r="CQ74" t="s">
        <v>636</v>
      </c>
      <c r="CR74" t="s">
        <v>124</v>
      </c>
      <c r="CS74" t="s">
        <v>174</v>
      </c>
      <c r="CT74">
        <v>46066</v>
      </c>
      <c r="CU74">
        <v>1</v>
      </c>
      <c r="CV74">
        <v>1</v>
      </c>
      <c r="CX74">
        <v>1</v>
      </c>
      <c r="CZ74">
        <v>0</v>
      </c>
      <c r="DA74">
        <v>0</v>
      </c>
      <c r="DB74">
        <v>0.18968750000000001</v>
      </c>
      <c r="DC74">
        <v>0.16623842592592591</v>
      </c>
      <c r="DD74">
        <v>179</v>
      </c>
      <c r="DE74">
        <v>305</v>
      </c>
      <c r="DF74">
        <v>27</v>
      </c>
      <c r="DG74" t="s">
        <v>1021</v>
      </c>
      <c r="DH74">
        <v>15422</v>
      </c>
      <c r="DI74">
        <v>0.15079999999999999</v>
      </c>
      <c r="DJ74">
        <v>4</v>
      </c>
      <c r="DK74">
        <v>0.14810000000000001</v>
      </c>
      <c r="DL74">
        <v>12430</v>
      </c>
      <c r="DM74">
        <v>3108</v>
      </c>
      <c r="DN74">
        <v>11930</v>
      </c>
      <c r="DO74">
        <v>0.95979999999999999</v>
      </c>
      <c r="DP74">
        <v>0.23749999999999999</v>
      </c>
      <c r="DQ74">
        <v>94</v>
      </c>
      <c r="DR74">
        <v>3977</v>
      </c>
    </row>
    <row r="75" spans="95:122" x14ac:dyDescent="0.25">
      <c r="CQ75" t="s">
        <v>636</v>
      </c>
      <c r="CR75" t="s">
        <v>124</v>
      </c>
      <c r="CS75" t="s">
        <v>495</v>
      </c>
      <c r="CT75">
        <v>46065</v>
      </c>
      <c r="CU75">
        <v>1</v>
      </c>
      <c r="CV75">
        <v>1</v>
      </c>
      <c r="CX75">
        <v>1</v>
      </c>
      <c r="CZ75">
        <v>3.4722222222222224E-4</v>
      </c>
      <c r="DA75">
        <v>3.4722222222222224E-4</v>
      </c>
      <c r="DB75">
        <v>8.9398148148148143E-2</v>
      </c>
      <c r="DC75">
        <v>3.5034722222222224E-2</v>
      </c>
      <c r="DD75">
        <v>108</v>
      </c>
      <c r="DE75">
        <v>170</v>
      </c>
      <c r="DF75">
        <v>28</v>
      </c>
      <c r="DG75" t="s">
        <v>796</v>
      </c>
      <c r="DH75">
        <v>14495</v>
      </c>
      <c r="DI75">
        <v>0.25929999999999997</v>
      </c>
      <c r="DJ75">
        <v>1</v>
      </c>
      <c r="DK75">
        <v>3.5700000000000003E-2</v>
      </c>
      <c r="DL75">
        <v>2500</v>
      </c>
      <c r="DM75">
        <v>2500</v>
      </c>
      <c r="DN75">
        <v>2500</v>
      </c>
      <c r="DO75">
        <v>1</v>
      </c>
      <c r="DP75">
        <v>0.2155</v>
      </c>
      <c r="DQ75">
        <v>94</v>
      </c>
      <c r="DR75">
        <v>2500</v>
      </c>
    </row>
    <row r="76" spans="95:122" x14ac:dyDescent="0.25">
      <c r="CQ76" t="s">
        <v>636</v>
      </c>
      <c r="CR76" t="s">
        <v>124</v>
      </c>
      <c r="CS76" t="s">
        <v>493</v>
      </c>
      <c r="CT76">
        <v>46069</v>
      </c>
      <c r="CU76">
        <v>1</v>
      </c>
      <c r="CV76">
        <v>1</v>
      </c>
      <c r="CX76">
        <v>1</v>
      </c>
      <c r="CZ76">
        <v>4.7453703703703704E-4</v>
      </c>
      <c r="DA76">
        <v>4.7453703703703704E-4</v>
      </c>
      <c r="DB76">
        <v>0.24459490740740741</v>
      </c>
      <c r="DC76">
        <v>0.11248842592592592</v>
      </c>
      <c r="DD76">
        <v>135</v>
      </c>
      <c r="DE76">
        <v>190</v>
      </c>
      <c r="DF76">
        <v>40</v>
      </c>
      <c r="DG76">
        <v>1.75</v>
      </c>
      <c r="DH76">
        <v>15202</v>
      </c>
      <c r="DI76">
        <v>0.29630000000000001</v>
      </c>
      <c r="DJ76">
        <v>2</v>
      </c>
      <c r="DK76">
        <v>0.05</v>
      </c>
      <c r="DL76">
        <v>2400</v>
      </c>
      <c r="DM76">
        <v>1200</v>
      </c>
      <c r="DN76">
        <v>2400</v>
      </c>
      <c r="DO76">
        <v>1</v>
      </c>
      <c r="DP76">
        <v>0.1021</v>
      </c>
      <c r="DQ76">
        <v>94</v>
      </c>
      <c r="DR76">
        <v>1200</v>
      </c>
    </row>
    <row r="77" spans="95:122" x14ac:dyDescent="0.25">
      <c r="CQ77" t="s">
        <v>636</v>
      </c>
      <c r="CR77" t="s">
        <v>124</v>
      </c>
      <c r="CS77" t="s">
        <v>493</v>
      </c>
      <c r="CT77">
        <v>46073</v>
      </c>
      <c r="CU77">
        <v>1</v>
      </c>
      <c r="CV77">
        <v>1</v>
      </c>
      <c r="CX77">
        <v>1</v>
      </c>
      <c r="CZ77">
        <v>0</v>
      </c>
      <c r="DA77">
        <v>0</v>
      </c>
      <c r="DB77">
        <v>0.20805555555555555</v>
      </c>
      <c r="DC77">
        <v>0.14185185185185184</v>
      </c>
      <c r="DD77">
        <v>152</v>
      </c>
      <c r="DE77">
        <v>193</v>
      </c>
      <c r="DF77">
        <v>26</v>
      </c>
      <c r="DG77" t="s">
        <v>779</v>
      </c>
      <c r="DH77">
        <v>15892</v>
      </c>
      <c r="DI77">
        <v>0.1711</v>
      </c>
      <c r="DJ77">
        <v>1</v>
      </c>
      <c r="DK77">
        <v>3.85E-2</v>
      </c>
      <c r="DL77">
        <v>5000</v>
      </c>
      <c r="DM77">
        <v>5000</v>
      </c>
      <c r="DN77">
        <v>5000</v>
      </c>
      <c r="DO77">
        <v>1</v>
      </c>
      <c r="DP77">
        <v>0.14549999999999999</v>
      </c>
      <c r="DQ77">
        <v>94</v>
      </c>
      <c r="DR77">
        <v>5000</v>
      </c>
    </row>
    <row r="78" spans="95:122" x14ac:dyDescent="0.25">
      <c r="CQ78" t="s">
        <v>636</v>
      </c>
      <c r="CR78" t="s">
        <v>124</v>
      </c>
      <c r="CS78" t="s">
        <v>493</v>
      </c>
      <c r="CT78">
        <v>46077</v>
      </c>
      <c r="CU78">
        <v>1</v>
      </c>
      <c r="CV78">
        <v>1</v>
      </c>
      <c r="CX78">
        <v>1</v>
      </c>
      <c r="CZ78">
        <v>0</v>
      </c>
      <c r="DA78">
        <v>0</v>
      </c>
      <c r="DB78">
        <v>0.2023611111111111</v>
      </c>
      <c r="DC78">
        <v>0.14651620370370369</v>
      </c>
      <c r="DD78">
        <v>197</v>
      </c>
      <c r="DE78">
        <v>254</v>
      </c>
      <c r="DF78">
        <v>34</v>
      </c>
      <c r="DG78" t="s">
        <v>728</v>
      </c>
      <c r="DH78">
        <v>21851</v>
      </c>
      <c r="DI78">
        <v>0.1726</v>
      </c>
      <c r="DJ78">
        <v>1</v>
      </c>
      <c r="DK78">
        <v>2.9399999999999999E-2</v>
      </c>
      <c r="DL78">
        <v>6000</v>
      </c>
      <c r="DM78">
        <v>6000</v>
      </c>
      <c r="DN78">
        <v>6000</v>
      </c>
      <c r="DO78">
        <v>1</v>
      </c>
      <c r="DP78">
        <v>0.126</v>
      </c>
      <c r="DQ78">
        <v>94</v>
      </c>
      <c r="DR78">
        <v>6000</v>
      </c>
    </row>
    <row r="79" spans="95:122" x14ac:dyDescent="0.25">
      <c r="CQ79" t="s">
        <v>636</v>
      </c>
      <c r="CR79" t="s">
        <v>124</v>
      </c>
      <c r="CS79" t="s">
        <v>51</v>
      </c>
      <c r="CT79">
        <v>46076</v>
      </c>
      <c r="CU79">
        <v>1</v>
      </c>
      <c r="CV79">
        <v>1</v>
      </c>
      <c r="CX79">
        <v>1</v>
      </c>
      <c r="CZ79">
        <v>0</v>
      </c>
      <c r="DA79">
        <v>0</v>
      </c>
      <c r="DB79">
        <v>0.19395833333333334</v>
      </c>
      <c r="DC79">
        <v>0.13284722222222223</v>
      </c>
      <c r="DD79">
        <v>104</v>
      </c>
      <c r="DE79">
        <v>193</v>
      </c>
      <c r="DF79">
        <v>7</v>
      </c>
      <c r="DG79" t="s">
        <v>803</v>
      </c>
      <c r="DH79">
        <v>21565</v>
      </c>
      <c r="DI79">
        <v>6.7299999999999999E-2</v>
      </c>
      <c r="DJ79">
        <v>1</v>
      </c>
      <c r="DK79">
        <v>0.1429</v>
      </c>
      <c r="DL79">
        <v>1300</v>
      </c>
      <c r="DM79">
        <v>1300</v>
      </c>
      <c r="DN79">
        <v>1300</v>
      </c>
      <c r="DO79">
        <v>1</v>
      </c>
      <c r="DP79">
        <v>0.11219999999999999</v>
      </c>
      <c r="DQ79">
        <v>94</v>
      </c>
      <c r="DR79">
        <v>1300</v>
      </c>
    </row>
    <row r="80" spans="95:122" x14ac:dyDescent="0.25">
      <c r="CQ80" t="s">
        <v>636</v>
      </c>
      <c r="CR80" t="s">
        <v>124</v>
      </c>
      <c r="CS80" t="s">
        <v>51</v>
      </c>
      <c r="CT80">
        <v>46080</v>
      </c>
      <c r="CU80">
        <v>1</v>
      </c>
      <c r="CV80">
        <v>1</v>
      </c>
      <c r="CX80">
        <v>1</v>
      </c>
      <c r="CZ80">
        <v>0</v>
      </c>
      <c r="DA80">
        <v>0</v>
      </c>
      <c r="DB80">
        <v>0.1628125</v>
      </c>
      <c r="DC80">
        <v>0.17434027777777777</v>
      </c>
      <c r="DD80">
        <v>54</v>
      </c>
      <c r="DE80">
        <v>146</v>
      </c>
      <c r="DF80">
        <v>11</v>
      </c>
      <c r="DG80" t="s">
        <v>695</v>
      </c>
      <c r="DH80">
        <v>27899</v>
      </c>
      <c r="DI80">
        <v>0.20369999999999999</v>
      </c>
      <c r="DJ80">
        <v>4</v>
      </c>
      <c r="DK80">
        <v>0.36359999999999998</v>
      </c>
      <c r="DL80">
        <v>3065</v>
      </c>
      <c r="DM80">
        <v>766</v>
      </c>
      <c r="DN80">
        <v>2300</v>
      </c>
      <c r="DO80">
        <v>0.75039999999999996</v>
      </c>
      <c r="DP80">
        <v>0.18740000000000001</v>
      </c>
      <c r="DQ80">
        <v>94</v>
      </c>
      <c r="DR80">
        <v>1150</v>
      </c>
    </row>
    <row r="81" spans="95:122" x14ac:dyDescent="0.25">
      <c r="CQ81" t="s">
        <v>636</v>
      </c>
      <c r="CR81" t="s">
        <v>124</v>
      </c>
      <c r="CS81" t="s">
        <v>49</v>
      </c>
      <c r="CT81">
        <v>46078</v>
      </c>
      <c r="CU81">
        <v>1</v>
      </c>
      <c r="CV81">
        <v>1</v>
      </c>
      <c r="CX81">
        <v>1</v>
      </c>
      <c r="CZ81">
        <v>1.9675925925925926E-4</v>
      </c>
      <c r="DA81">
        <v>1.9675925925925926E-4</v>
      </c>
      <c r="DB81">
        <v>0.13826388888888888</v>
      </c>
      <c r="DC81">
        <v>0.18621527777777777</v>
      </c>
      <c r="DD81">
        <v>66</v>
      </c>
      <c r="DE81">
        <v>110</v>
      </c>
      <c r="DF81">
        <v>19</v>
      </c>
      <c r="DG81" t="s">
        <v>963</v>
      </c>
      <c r="DH81">
        <v>15885</v>
      </c>
      <c r="DI81">
        <v>0.28789999999999999</v>
      </c>
      <c r="DJ81">
        <v>3</v>
      </c>
      <c r="DK81">
        <v>0.15790000000000001</v>
      </c>
      <c r="DL81">
        <v>4250</v>
      </c>
      <c r="DM81">
        <v>1417</v>
      </c>
      <c r="DN81">
        <v>4250</v>
      </c>
      <c r="DO81">
        <v>1</v>
      </c>
      <c r="DP81">
        <v>0.13420000000000001</v>
      </c>
      <c r="DQ81">
        <v>94</v>
      </c>
      <c r="DR81">
        <v>1417</v>
      </c>
    </row>
    <row r="82" spans="95:122" x14ac:dyDescent="0.25">
      <c r="CQ82" t="s">
        <v>636</v>
      </c>
      <c r="CR82" t="s">
        <v>124</v>
      </c>
      <c r="CS82" t="s">
        <v>77</v>
      </c>
      <c r="CT82">
        <v>46080</v>
      </c>
      <c r="CU82">
        <v>1</v>
      </c>
      <c r="CV82">
        <v>1</v>
      </c>
      <c r="CX82">
        <v>1</v>
      </c>
      <c r="CZ82">
        <v>0</v>
      </c>
      <c r="DA82">
        <v>0</v>
      </c>
      <c r="DB82">
        <v>0.15681712962962963</v>
      </c>
      <c r="DC82">
        <v>0.23721064814814816</v>
      </c>
      <c r="DD82">
        <v>96</v>
      </c>
      <c r="DE82">
        <v>206</v>
      </c>
      <c r="DF82">
        <v>28</v>
      </c>
      <c r="DG82" t="s">
        <v>761</v>
      </c>
      <c r="DH82">
        <v>24912</v>
      </c>
      <c r="DI82">
        <v>0.29170000000000001</v>
      </c>
      <c r="DJ82">
        <v>1</v>
      </c>
      <c r="DK82">
        <v>3.5700000000000003E-2</v>
      </c>
      <c r="DL82">
        <v>2500</v>
      </c>
      <c r="DM82">
        <v>2500</v>
      </c>
      <c r="DN82">
        <v>2500</v>
      </c>
      <c r="DO82">
        <v>1</v>
      </c>
      <c r="DP82">
        <v>0.21279999999999999</v>
      </c>
      <c r="DQ82">
        <v>94</v>
      </c>
      <c r="DR82">
        <v>2500</v>
      </c>
    </row>
    <row r="83" spans="95:122" x14ac:dyDescent="0.25">
      <c r="CQ83" t="s">
        <v>636</v>
      </c>
      <c r="CR83" t="s">
        <v>124</v>
      </c>
      <c r="CS83" t="s">
        <v>73</v>
      </c>
      <c r="CT83">
        <v>46069</v>
      </c>
      <c r="CU83">
        <v>1</v>
      </c>
      <c r="CV83">
        <v>1</v>
      </c>
      <c r="CX83">
        <v>1</v>
      </c>
      <c r="CZ83">
        <v>1.9675925925925926E-4</v>
      </c>
      <c r="DA83">
        <v>1.9675925925925926E-4</v>
      </c>
      <c r="DB83">
        <v>0.19069444444444444</v>
      </c>
      <c r="DC83">
        <v>0.15569444444444444</v>
      </c>
      <c r="DD83">
        <v>43</v>
      </c>
      <c r="DE83">
        <v>74</v>
      </c>
      <c r="DF83">
        <v>12</v>
      </c>
      <c r="DG83" t="s">
        <v>718</v>
      </c>
      <c r="DH83">
        <v>17648</v>
      </c>
      <c r="DI83">
        <v>0.27910000000000001</v>
      </c>
      <c r="DJ83">
        <v>3</v>
      </c>
      <c r="DK83">
        <v>0.25</v>
      </c>
      <c r="DL83">
        <v>5600</v>
      </c>
      <c r="DM83">
        <v>1867</v>
      </c>
      <c r="DN83">
        <v>2000</v>
      </c>
      <c r="DO83">
        <v>0.35709999999999997</v>
      </c>
      <c r="DP83">
        <v>5.0200000000000002E-2</v>
      </c>
      <c r="DQ83">
        <v>94</v>
      </c>
      <c r="DR83">
        <v>2000</v>
      </c>
    </row>
    <row r="84" spans="95:122" x14ac:dyDescent="0.25">
      <c r="CQ84" t="s">
        <v>636</v>
      </c>
      <c r="CR84" t="s">
        <v>124</v>
      </c>
      <c r="CS84" t="s">
        <v>73</v>
      </c>
      <c r="CT84">
        <v>46078</v>
      </c>
      <c r="CU84">
        <v>1</v>
      </c>
      <c r="CV84">
        <v>1</v>
      </c>
      <c r="CX84">
        <v>1</v>
      </c>
      <c r="CZ84">
        <v>2.8935185185185184E-4</v>
      </c>
      <c r="DA84">
        <v>2.8935185185185184E-4</v>
      </c>
      <c r="DB84">
        <v>0.14891203703703704</v>
      </c>
      <c r="DC84">
        <v>0.18997685185185184</v>
      </c>
      <c r="DD84">
        <v>78</v>
      </c>
      <c r="DE84">
        <v>119</v>
      </c>
      <c r="DF84">
        <v>25</v>
      </c>
      <c r="DG84">
        <v>1.48</v>
      </c>
      <c r="DH84">
        <v>14483</v>
      </c>
      <c r="DI84">
        <v>0.32050000000000001</v>
      </c>
      <c r="DJ84">
        <v>1</v>
      </c>
      <c r="DK84">
        <v>0.04</v>
      </c>
      <c r="DL84">
        <v>5000</v>
      </c>
      <c r="DM84">
        <v>5000</v>
      </c>
      <c r="DN84">
        <v>5000</v>
      </c>
      <c r="DO84">
        <v>1</v>
      </c>
      <c r="DP84">
        <v>0.51459999999999995</v>
      </c>
      <c r="DQ84">
        <v>94</v>
      </c>
      <c r="DR84">
        <v>5000</v>
      </c>
    </row>
    <row r="85" spans="95:122" x14ac:dyDescent="0.25">
      <c r="CQ85" t="s">
        <v>636</v>
      </c>
      <c r="CR85" t="s">
        <v>124</v>
      </c>
      <c r="CS85" t="s">
        <v>48</v>
      </c>
      <c r="CT85">
        <v>46059</v>
      </c>
      <c r="CU85">
        <v>1</v>
      </c>
      <c r="CV85">
        <v>1</v>
      </c>
      <c r="CX85">
        <v>1</v>
      </c>
      <c r="CZ85">
        <v>3.4722222222222222E-5</v>
      </c>
      <c r="DA85">
        <v>3.4722222222222222E-5</v>
      </c>
      <c r="DB85">
        <v>0.13219907407407408</v>
      </c>
      <c r="DC85">
        <v>2.8877314814814814E-2</v>
      </c>
      <c r="DD85">
        <v>73</v>
      </c>
      <c r="DE85">
        <v>102</v>
      </c>
      <c r="DF85">
        <v>29</v>
      </c>
      <c r="DG85" t="s">
        <v>867</v>
      </c>
      <c r="DH85">
        <v>8555</v>
      </c>
      <c r="DI85">
        <v>0.39729999999999999</v>
      </c>
      <c r="DJ85">
        <v>3</v>
      </c>
      <c r="DK85">
        <v>0.10340000000000001</v>
      </c>
      <c r="DL85">
        <v>1870</v>
      </c>
      <c r="DM85">
        <v>623</v>
      </c>
      <c r="DN85">
        <v>600</v>
      </c>
      <c r="DO85">
        <v>0.32090000000000002</v>
      </c>
      <c r="DP85">
        <v>0.1321</v>
      </c>
      <c r="DQ85">
        <v>94</v>
      </c>
      <c r="DR85">
        <v>600</v>
      </c>
    </row>
    <row r="86" spans="95:122" x14ac:dyDescent="0.25">
      <c r="CQ86" t="s">
        <v>636</v>
      </c>
      <c r="CR86" t="s">
        <v>124</v>
      </c>
      <c r="CS86" t="s">
        <v>48</v>
      </c>
      <c r="CT86">
        <v>46071</v>
      </c>
      <c r="CU86">
        <v>1</v>
      </c>
      <c r="CV86">
        <v>1</v>
      </c>
      <c r="CX86">
        <v>1</v>
      </c>
      <c r="CZ86">
        <v>2.3148148148148147E-5</v>
      </c>
      <c r="DA86">
        <v>2.3148148148148147E-5</v>
      </c>
      <c r="DB86">
        <v>0.19562499999999999</v>
      </c>
      <c r="DC86">
        <v>0.15186342592592592</v>
      </c>
      <c r="DD86">
        <v>92</v>
      </c>
      <c r="DE86">
        <v>132</v>
      </c>
      <c r="DF86">
        <v>28</v>
      </c>
      <c r="DG86" t="s">
        <v>996</v>
      </c>
      <c r="DH86">
        <v>18965</v>
      </c>
      <c r="DI86">
        <v>0.30430000000000001</v>
      </c>
      <c r="DJ86">
        <v>1</v>
      </c>
      <c r="DK86">
        <v>3.5700000000000003E-2</v>
      </c>
      <c r="DL86">
        <v>4000</v>
      </c>
      <c r="DM86">
        <v>4000</v>
      </c>
      <c r="DN86">
        <v>4000</v>
      </c>
      <c r="DO86">
        <v>1</v>
      </c>
      <c r="DP86">
        <v>0.2787</v>
      </c>
      <c r="DQ86">
        <v>94</v>
      </c>
      <c r="DR86">
        <v>4000</v>
      </c>
    </row>
    <row r="87" spans="95:122" x14ac:dyDescent="0.25">
      <c r="CQ87" t="s">
        <v>636</v>
      </c>
      <c r="CR87" t="s">
        <v>125</v>
      </c>
      <c r="CS87" t="s">
        <v>18</v>
      </c>
      <c r="CT87">
        <v>46078</v>
      </c>
      <c r="CU87">
        <v>1</v>
      </c>
      <c r="CV87">
        <v>1</v>
      </c>
      <c r="CX87">
        <v>1</v>
      </c>
      <c r="CZ87">
        <v>6.9444444444444444E-5</v>
      </c>
      <c r="DA87">
        <v>6.9444444444444444E-5</v>
      </c>
      <c r="DB87">
        <v>0.18668981481481481</v>
      </c>
      <c r="DC87">
        <v>0.15162037037037038</v>
      </c>
      <c r="DD87">
        <v>149</v>
      </c>
      <c r="DE87">
        <v>293</v>
      </c>
      <c r="DF87">
        <v>27</v>
      </c>
      <c r="DG87" t="s">
        <v>718</v>
      </c>
      <c r="DH87">
        <v>9717</v>
      </c>
      <c r="DI87">
        <v>0.1812</v>
      </c>
      <c r="DJ87">
        <v>1</v>
      </c>
      <c r="DK87">
        <v>3.6999999999999998E-2</v>
      </c>
      <c r="DL87">
        <v>1800</v>
      </c>
      <c r="DM87">
        <v>1800</v>
      </c>
      <c r="DN87">
        <v>1800</v>
      </c>
      <c r="DO87">
        <v>1</v>
      </c>
      <c r="DP87">
        <v>0.25679999999999997</v>
      </c>
      <c r="DQ87">
        <v>94</v>
      </c>
      <c r="DR87">
        <v>1800</v>
      </c>
    </row>
    <row r="88" spans="95:122" x14ac:dyDescent="0.25">
      <c r="CQ88" t="s">
        <v>636</v>
      </c>
      <c r="CR88" t="s">
        <v>125</v>
      </c>
      <c r="CS88" t="s">
        <v>109</v>
      </c>
      <c r="CT88">
        <v>46080</v>
      </c>
      <c r="CU88">
        <v>1</v>
      </c>
      <c r="CV88">
        <v>1</v>
      </c>
      <c r="CX88">
        <v>1</v>
      </c>
      <c r="CZ88">
        <v>2.199074074074074E-4</v>
      </c>
      <c r="DA88">
        <v>2.199074074074074E-4</v>
      </c>
      <c r="DB88">
        <v>0.20673611111111112</v>
      </c>
      <c r="DC88">
        <v>0.17814814814814814</v>
      </c>
      <c r="DD88">
        <v>76</v>
      </c>
      <c r="DE88">
        <v>185</v>
      </c>
      <c r="DF88">
        <v>20</v>
      </c>
      <c r="DG88">
        <v>1.55</v>
      </c>
      <c r="DH88">
        <v>17031</v>
      </c>
      <c r="DI88">
        <v>0.26319999999999999</v>
      </c>
      <c r="DJ88">
        <v>2</v>
      </c>
      <c r="DK88">
        <v>0.1</v>
      </c>
      <c r="DL88">
        <v>3950</v>
      </c>
      <c r="DM88">
        <v>1975</v>
      </c>
      <c r="DN88">
        <v>4950</v>
      </c>
      <c r="DO88">
        <v>1.2532000000000001</v>
      </c>
      <c r="DP88">
        <v>0.621</v>
      </c>
      <c r="DQ88">
        <v>94</v>
      </c>
      <c r="DR88">
        <v>2475</v>
      </c>
    </row>
    <row r="89" spans="95:122" x14ac:dyDescent="0.25">
      <c r="CQ89" t="s">
        <v>636</v>
      </c>
      <c r="CR89" t="s">
        <v>125</v>
      </c>
      <c r="CS89" t="s">
        <v>61</v>
      </c>
      <c r="CT89">
        <v>46063</v>
      </c>
      <c r="CU89">
        <v>1</v>
      </c>
      <c r="CV89">
        <v>1</v>
      </c>
      <c r="CX89">
        <v>1</v>
      </c>
      <c r="CZ89">
        <v>6.9444444444444444E-5</v>
      </c>
      <c r="DA89">
        <v>6.9444444444444444E-5</v>
      </c>
      <c r="DB89">
        <v>2.3194444444444445E-2</v>
      </c>
      <c r="DC89">
        <v>2.1377314814814814E-2</v>
      </c>
      <c r="DD89">
        <v>127</v>
      </c>
      <c r="DE89">
        <v>298</v>
      </c>
      <c r="DF89">
        <v>36</v>
      </c>
      <c r="DG89" t="s">
        <v>690</v>
      </c>
      <c r="DH89">
        <v>23368</v>
      </c>
      <c r="DI89">
        <v>0.28349999999999997</v>
      </c>
      <c r="DJ89">
        <v>1</v>
      </c>
      <c r="DK89">
        <v>2.7799999999999998E-2</v>
      </c>
      <c r="DL89">
        <v>16000</v>
      </c>
      <c r="DM89">
        <v>16000</v>
      </c>
      <c r="DN89">
        <v>16000</v>
      </c>
      <c r="DO89">
        <v>1</v>
      </c>
      <c r="DP89">
        <v>0.2278</v>
      </c>
      <c r="DQ89">
        <v>94</v>
      </c>
      <c r="DR89">
        <v>16000</v>
      </c>
    </row>
    <row r="90" spans="95:122" x14ac:dyDescent="0.25">
      <c r="CQ90" t="s">
        <v>636</v>
      </c>
      <c r="CR90" t="s">
        <v>125</v>
      </c>
      <c r="CS90" t="s">
        <v>61</v>
      </c>
      <c r="CT90">
        <v>46081</v>
      </c>
      <c r="CU90">
        <v>1</v>
      </c>
      <c r="CV90">
        <v>1</v>
      </c>
      <c r="CX90">
        <v>1</v>
      </c>
      <c r="CZ90">
        <v>6.5972222222222224E-4</v>
      </c>
      <c r="DA90">
        <v>6.5972222222222224E-4</v>
      </c>
      <c r="DB90">
        <v>0.11799768518518519</v>
      </c>
      <c r="DC90">
        <v>6.4953703703703708E-2</v>
      </c>
      <c r="DD90">
        <v>44</v>
      </c>
      <c r="DE90">
        <v>82</v>
      </c>
      <c r="DF90">
        <v>11</v>
      </c>
      <c r="DG90" t="s">
        <v>786</v>
      </c>
      <c r="DH90">
        <v>60460</v>
      </c>
      <c r="DI90">
        <v>0.25</v>
      </c>
      <c r="DJ90">
        <v>1</v>
      </c>
      <c r="DK90">
        <v>9.0899999999999995E-2</v>
      </c>
      <c r="DL90">
        <v>600</v>
      </c>
      <c r="DM90">
        <v>600</v>
      </c>
      <c r="DN90">
        <v>600</v>
      </c>
      <c r="DO90">
        <v>1</v>
      </c>
      <c r="DQ90">
        <v>94</v>
      </c>
      <c r="DR90">
        <v>600</v>
      </c>
    </row>
    <row r="91" spans="95:122" x14ac:dyDescent="0.25">
      <c r="CQ91" t="s">
        <v>636</v>
      </c>
      <c r="CR91" t="s">
        <v>125</v>
      </c>
      <c r="CS91" t="s">
        <v>12</v>
      </c>
      <c r="CT91">
        <v>46077</v>
      </c>
      <c r="CU91">
        <v>1</v>
      </c>
      <c r="CV91">
        <v>1</v>
      </c>
      <c r="CX91">
        <v>1</v>
      </c>
      <c r="CZ91">
        <v>5.7870370370370373E-5</v>
      </c>
      <c r="DA91">
        <v>5.7870370370370373E-5</v>
      </c>
      <c r="DB91">
        <v>0.17716435185185186</v>
      </c>
      <c r="DC91">
        <v>0.17216435185185186</v>
      </c>
      <c r="DD91">
        <v>74</v>
      </c>
      <c r="DE91">
        <v>204</v>
      </c>
      <c r="DF91">
        <v>19</v>
      </c>
      <c r="DG91" t="s">
        <v>746</v>
      </c>
      <c r="DH91">
        <v>22708</v>
      </c>
      <c r="DI91">
        <v>0.25679999999999997</v>
      </c>
      <c r="DJ91">
        <v>2</v>
      </c>
      <c r="DK91">
        <v>0.1053</v>
      </c>
      <c r="DL91">
        <v>4800</v>
      </c>
      <c r="DM91">
        <v>2400</v>
      </c>
      <c r="DN91">
        <v>4800</v>
      </c>
      <c r="DO91">
        <v>1</v>
      </c>
      <c r="DP91">
        <v>0.10979999999999999</v>
      </c>
      <c r="DQ91">
        <v>94</v>
      </c>
      <c r="DR91">
        <v>2400</v>
      </c>
    </row>
    <row r="92" spans="95:122" x14ac:dyDescent="0.25">
      <c r="CQ92" t="s">
        <v>636</v>
      </c>
      <c r="CR92" t="s">
        <v>125</v>
      </c>
      <c r="CS92" t="s">
        <v>12</v>
      </c>
      <c r="CT92">
        <v>46078</v>
      </c>
      <c r="CU92">
        <v>1</v>
      </c>
      <c r="CV92">
        <v>1</v>
      </c>
      <c r="CX92">
        <v>1</v>
      </c>
      <c r="CZ92">
        <v>1.7361111111111112E-4</v>
      </c>
      <c r="DA92">
        <v>1.7361111111111112E-4</v>
      </c>
      <c r="DB92">
        <v>0.1966087962962963</v>
      </c>
      <c r="DC92">
        <v>0.15732638888888889</v>
      </c>
      <c r="DD92">
        <v>77</v>
      </c>
      <c r="DE92">
        <v>218</v>
      </c>
      <c r="DF92">
        <v>14</v>
      </c>
      <c r="DG92" t="s">
        <v>735</v>
      </c>
      <c r="DH92">
        <v>26206</v>
      </c>
      <c r="DI92">
        <v>0.18179999999999999</v>
      </c>
      <c r="DJ92">
        <v>1</v>
      </c>
      <c r="DK92">
        <v>7.1400000000000005E-2</v>
      </c>
      <c r="DL92">
        <v>250</v>
      </c>
      <c r="DM92">
        <v>250</v>
      </c>
      <c r="DN92">
        <v>250</v>
      </c>
      <c r="DO92">
        <v>1</v>
      </c>
      <c r="DP92">
        <v>0.15340000000000001</v>
      </c>
      <c r="DQ92">
        <v>94</v>
      </c>
      <c r="DR92">
        <v>250</v>
      </c>
    </row>
    <row r="93" spans="95:122" x14ac:dyDescent="0.25">
      <c r="CQ93" t="s">
        <v>636</v>
      </c>
      <c r="CR93" t="s">
        <v>125</v>
      </c>
      <c r="CS93" t="s">
        <v>10</v>
      </c>
      <c r="CT93">
        <v>46077</v>
      </c>
      <c r="CU93">
        <v>1</v>
      </c>
      <c r="CV93">
        <v>1</v>
      </c>
      <c r="CX93">
        <v>1</v>
      </c>
      <c r="CZ93">
        <v>1.273148148148148E-4</v>
      </c>
      <c r="DA93">
        <v>1.273148148148148E-4</v>
      </c>
      <c r="DB93">
        <v>0.19173611111111111</v>
      </c>
      <c r="DC93">
        <v>0.15115740740740741</v>
      </c>
      <c r="DD93">
        <v>131</v>
      </c>
      <c r="DE93">
        <v>200</v>
      </c>
      <c r="DF93">
        <v>22</v>
      </c>
      <c r="DG93" t="s">
        <v>864</v>
      </c>
      <c r="DH93">
        <v>40678</v>
      </c>
      <c r="DI93">
        <v>0.16789999999999999</v>
      </c>
      <c r="DJ93">
        <v>1</v>
      </c>
      <c r="DK93">
        <v>4.5499999999999999E-2</v>
      </c>
      <c r="DL93">
        <v>6000</v>
      </c>
      <c r="DM93">
        <v>6000</v>
      </c>
      <c r="DN93">
        <v>6000</v>
      </c>
      <c r="DO93">
        <v>1</v>
      </c>
      <c r="DP93">
        <v>0.2374</v>
      </c>
      <c r="DQ93">
        <v>94</v>
      </c>
      <c r="DR93">
        <v>6000</v>
      </c>
    </row>
    <row r="94" spans="95:122" x14ac:dyDescent="0.25">
      <c r="CQ94" t="s">
        <v>636</v>
      </c>
      <c r="CR94" t="s">
        <v>125</v>
      </c>
      <c r="CS94" t="s">
        <v>10</v>
      </c>
      <c r="CT94">
        <v>46079</v>
      </c>
      <c r="CU94">
        <v>1</v>
      </c>
      <c r="CV94">
        <v>1</v>
      </c>
      <c r="CX94">
        <v>1</v>
      </c>
      <c r="CZ94">
        <v>1.1574074074074075E-4</v>
      </c>
      <c r="DA94">
        <v>1.1574074074074075E-4</v>
      </c>
      <c r="DB94">
        <v>0.1666087962962963</v>
      </c>
      <c r="DC94">
        <v>0.17686342592592594</v>
      </c>
      <c r="DD94">
        <v>101</v>
      </c>
      <c r="DE94">
        <v>201</v>
      </c>
      <c r="DF94">
        <v>26</v>
      </c>
      <c r="DG94" t="s">
        <v>1012</v>
      </c>
      <c r="DH94">
        <v>37969</v>
      </c>
      <c r="DI94">
        <v>0.25740000000000002</v>
      </c>
      <c r="DJ94">
        <v>1</v>
      </c>
      <c r="DK94">
        <v>3.85E-2</v>
      </c>
      <c r="DL94">
        <v>12400</v>
      </c>
      <c r="DM94">
        <v>12400</v>
      </c>
      <c r="DN94">
        <v>12400</v>
      </c>
      <c r="DO94">
        <v>1</v>
      </c>
      <c r="DP94">
        <v>0.17119999999999999</v>
      </c>
      <c r="DQ94">
        <v>94</v>
      </c>
      <c r="DR94">
        <v>12400</v>
      </c>
    </row>
    <row r="95" spans="95:122" x14ac:dyDescent="0.25">
      <c r="CQ95" t="s">
        <v>636</v>
      </c>
      <c r="CR95" t="s">
        <v>125</v>
      </c>
      <c r="CS95" t="s">
        <v>10</v>
      </c>
      <c r="CT95">
        <v>46081</v>
      </c>
      <c r="CU95">
        <v>1</v>
      </c>
      <c r="CV95">
        <v>1</v>
      </c>
      <c r="CX95">
        <v>1</v>
      </c>
      <c r="CZ95">
        <v>2.3148148148148147E-5</v>
      </c>
      <c r="DA95">
        <v>2.3148148148148147E-5</v>
      </c>
      <c r="DB95">
        <v>0.12515046296296295</v>
      </c>
      <c r="DC95">
        <v>6.0185185185185182E-2</v>
      </c>
      <c r="DD95">
        <v>44</v>
      </c>
      <c r="DE95">
        <v>85</v>
      </c>
      <c r="DF95">
        <v>15</v>
      </c>
      <c r="DG95">
        <v>2.2000000000000002</v>
      </c>
      <c r="DH95">
        <v>25532</v>
      </c>
      <c r="DI95">
        <v>0.34089999999999998</v>
      </c>
      <c r="DJ95">
        <v>1</v>
      </c>
      <c r="DK95">
        <v>6.6699999999999995E-2</v>
      </c>
      <c r="DL95">
        <v>5000</v>
      </c>
      <c r="DM95">
        <v>5000</v>
      </c>
      <c r="DN95">
        <v>5000</v>
      </c>
      <c r="DO95">
        <v>1</v>
      </c>
      <c r="DP95">
        <v>0.33939999999999998</v>
      </c>
      <c r="DQ95">
        <v>94</v>
      </c>
      <c r="DR95">
        <v>5000</v>
      </c>
    </row>
    <row r="96" spans="95:122" x14ac:dyDescent="0.25">
      <c r="CQ96" t="s">
        <v>636</v>
      </c>
      <c r="CR96" t="s">
        <v>2</v>
      </c>
      <c r="CS96" t="s">
        <v>29</v>
      </c>
      <c r="CT96">
        <v>46058</v>
      </c>
      <c r="CU96">
        <v>1</v>
      </c>
      <c r="CV96">
        <v>1</v>
      </c>
      <c r="CX96">
        <v>1</v>
      </c>
      <c r="CZ96">
        <v>2.4652777777777776E-3</v>
      </c>
      <c r="DA96">
        <v>2.4652777777777776E-3</v>
      </c>
      <c r="DB96">
        <v>4.0486111111111112E-2</v>
      </c>
      <c r="DC96">
        <v>4.8148148148148148E-2</v>
      </c>
      <c r="DD96">
        <v>68</v>
      </c>
      <c r="DE96">
        <v>114</v>
      </c>
      <c r="DF96">
        <v>13</v>
      </c>
      <c r="DG96" t="s">
        <v>990</v>
      </c>
      <c r="DH96">
        <v>11991</v>
      </c>
      <c r="DI96">
        <v>0.19120000000000001</v>
      </c>
      <c r="DJ96">
        <v>2</v>
      </c>
      <c r="DK96">
        <v>0.15379999999999999</v>
      </c>
      <c r="DL96">
        <v>2700</v>
      </c>
      <c r="DM96">
        <v>1350</v>
      </c>
      <c r="DN96">
        <v>2700</v>
      </c>
      <c r="DO96">
        <v>1</v>
      </c>
      <c r="DP96">
        <v>0.17760000000000001</v>
      </c>
      <c r="DQ96">
        <v>94</v>
      </c>
      <c r="DR96">
        <v>1350</v>
      </c>
    </row>
    <row r="97" spans="95:122" x14ac:dyDescent="0.25">
      <c r="CQ97" t="s">
        <v>636</v>
      </c>
      <c r="CR97" t="s">
        <v>2</v>
      </c>
      <c r="CS97" t="s">
        <v>25</v>
      </c>
      <c r="CT97">
        <v>46057</v>
      </c>
      <c r="CU97">
        <v>1</v>
      </c>
      <c r="CV97">
        <v>1</v>
      </c>
      <c r="CX97">
        <v>1</v>
      </c>
      <c r="CZ97">
        <v>0</v>
      </c>
      <c r="DA97">
        <v>0</v>
      </c>
      <c r="DB97">
        <v>7.8391203703703699E-2</v>
      </c>
      <c r="DC97">
        <v>2.7789351851851853E-2</v>
      </c>
      <c r="DD97">
        <v>70</v>
      </c>
      <c r="DE97">
        <v>119</v>
      </c>
      <c r="DF97">
        <v>23</v>
      </c>
      <c r="DG97" t="s">
        <v>748</v>
      </c>
      <c r="DH97">
        <v>23516</v>
      </c>
      <c r="DI97">
        <v>0.3286</v>
      </c>
      <c r="DJ97">
        <v>3</v>
      </c>
      <c r="DK97">
        <v>0.13039999999999999</v>
      </c>
      <c r="DL97">
        <v>7830</v>
      </c>
      <c r="DM97">
        <v>2610</v>
      </c>
      <c r="DN97">
        <v>7830</v>
      </c>
      <c r="DO97">
        <v>1</v>
      </c>
      <c r="DQ97">
        <v>94</v>
      </c>
      <c r="DR97">
        <v>2610</v>
      </c>
    </row>
    <row r="98" spans="95:122" x14ac:dyDescent="0.25">
      <c r="CQ98" t="s">
        <v>636</v>
      </c>
      <c r="CR98" t="s">
        <v>2</v>
      </c>
      <c r="CS98" t="s">
        <v>25</v>
      </c>
      <c r="CT98">
        <v>46064</v>
      </c>
      <c r="CU98">
        <v>1</v>
      </c>
      <c r="CV98">
        <v>1</v>
      </c>
      <c r="CX98">
        <v>1</v>
      </c>
      <c r="CZ98">
        <v>1.6782407407407408E-3</v>
      </c>
      <c r="DA98">
        <v>1.6782407407407408E-3</v>
      </c>
      <c r="DB98">
        <v>4.1261574074074076E-2</v>
      </c>
      <c r="DC98">
        <v>4.6481481481481485E-2</v>
      </c>
      <c r="DD98">
        <v>52</v>
      </c>
      <c r="DE98">
        <v>100</v>
      </c>
      <c r="DF98">
        <v>15</v>
      </c>
      <c r="DG98" t="s">
        <v>898</v>
      </c>
      <c r="DH98">
        <v>28226</v>
      </c>
      <c r="DI98">
        <v>0.28849999999999998</v>
      </c>
      <c r="DJ98">
        <v>1</v>
      </c>
      <c r="DK98">
        <v>6.6699999999999995E-2</v>
      </c>
      <c r="DL98">
        <v>400</v>
      </c>
      <c r="DM98">
        <v>400</v>
      </c>
      <c r="DN98">
        <v>400</v>
      </c>
      <c r="DO98">
        <v>1</v>
      </c>
      <c r="DP98">
        <v>0.30759999999999998</v>
      </c>
      <c r="DQ98">
        <v>94</v>
      </c>
      <c r="DR98">
        <v>400</v>
      </c>
    </row>
    <row r="99" spans="95:122" x14ac:dyDescent="0.25">
      <c r="CQ99" t="s">
        <v>636</v>
      </c>
      <c r="CR99" t="s">
        <v>2</v>
      </c>
      <c r="CS99" t="s">
        <v>79</v>
      </c>
      <c r="CT99">
        <v>46069</v>
      </c>
      <c r="CU99">
        <v>1</v>
      </c>
      <c r="CV99">
        <v>1</v>
      </c>
      <c r="CX99">
        <v>1</v>
      </c>
      <c r="CZ99">
        <v>1.0416666666666667E-4</v>
      </c>
      <c r="DA99">
        <v>1.0416666666666667E-4</v>
      </c>
      <c r="DB99">
        <v>0.206875</v>
      </c>
      <c r="DC99">
        <v>0.15356481481481482</v>
      </c>
      <c r="DD99">
        <v>61</v>
      </c>
      <c r="DE99">
        <v>136</v>
      </c>
      <c r="DF99">
        <v>22</v>
      </c>
      <c r="DG99" t="s">
        <v>695</v>
      </c>
      <c r="DH99">
        <v>29517</v>
      </c>
      <c r="DI99">
        <v>0.36070000000000002</v>
      </c>
      <c r="DJ99">
        <v>2</v>
      </c>
      <c r="DK99">
        <v>9.0899999999999995E-2</v>
      </c>
      <c r="DL99">
        <v>4400</v>
      </c>
      <c r="DM99">
        <v>2200</v>
      </c>
      <c r="DN99">
        <v>4000</v>
      </c>
      <c r="DO99">
        <v>0.90910000000000002</v>
      </c>
      <c r="DP99">
        <v>0.3669</v>
      </c>
      <c r="DQ99">
        <v>94</v>
      </c>
      <c r="DR99">
        <v>4000</v>
      </c>
    </row>
    <row r="100" spans="95:122" x14ac:dyDescent="0.25">
      <c r="CQ100" t="s">
        <v>636</v>
      </c>
      <c r="CR100" t="s">
        <v>2</v>
      </c>
      <c r="CS100" t="s">
        <v>79</v>
      </c>
      <c r="CT100">
        <v>46077</v>
      </c>
      <c r="CU100">
        <v>1</v>
      </c>
      <c r="CV100">
        <v>1</v>
      </c>
      <c r="CX100">
        <v>1</v>
      </c>
      <c r="CZ100">
        <v>1.3888888888888889E-4</v>
      </c>
      <c r="DA100">
        <v>1.3888888888888889E-4</v>
      </c>
      <c r="DB100">
        <v>0.1630787037037037</v>
      </c>
      <c r="DC100">
        <v>0.11847222222222223</v>
      </c>
      <c r="DD100">
        <v>62</v>
      </c>
      <c r="DE100">
        <v>121</v>
      </c>
      <c r="DF100">
        <v>25</v>
      </c>
      <c r="DG100">
        <v>2.12</v>
      </c>
      <c r="DH100">
        <v>36699</v>
      </c>
      <c r="DI100">
        <v>0.4032</v>
      </c>
      <c r="DJ100">
        <v>3</v>
      </c>
      <c r="DK100">
        <v>0.12</v>
      </c>
      <c r="DL100">
        <v>11100</v>
      </c>
      <c r="DM100">
        <v>3700</v>
      </c>
      <c r="DN100">
        <v>11100</v>
      </c>
      <c r="DO100">
        <v>1</v>
      </c>
      <c r="DP100">
        <v>0.1203</v>
      </c>
      <c r="DQ100">
        <v>94</v>
      </c>
      <c r="DR100">
        <v>3700</v>
      </c>
    </row>
    <row r="101" spans="95:122" x14ac:dyDescent="0.25">
      <c r="CQ101" t="s">
        <v>636</v>
      </c>
      <c r="CR101" t="s">
        <v>6</v>
      </c>
      <c r="CS101" t="s">
        <v>19</v>
      </c>
      <c r="CT101">
        <v>46070</v>
      </c>
      <c r="CU101">
        <v>1</v>
      </c>
      <c r="CV101">
        <v>1</v>
      </c>
      <c r="CX101">
        <v>1</v>
      </c>
      <c r="CZ101">
        <v>8.1018518518518516E-5</v>
      </c>
      <c r="DA101">
        <v>8.1018518518518516E-5</v>
      </c>
      <c r="DB101">
        <v>0.22989583333333333</v>
      </c>
      <c r="DC101">
        <v>0.13401620370370371</v>
      </c>
      <c r="DD101">
        <v>131</v>
      </c>
      <c r="DE101">
        <v>202</v>
      </c>
      <c r="DF101">
        <v>18</v>
      </c>
      <c r="DG101" t="s">
        <v>703</v>
      </c>
      <c r="DH101">
        <v>21086</v>
      </c>
      <c r="DI101">
        <v>0.13739999999999999</v>
      </c>
      <c r="DJ101">
        <v>2</v>
      </c>
      <c r="DK101">
        <v>0.1111</v>
      </c>
      <c r="DL101">
        <v>10150</v>
      </c>
      <c r="DM101">
        <v>5075</v>
      </c>
      <c r="DN101">
        <v>7650</v>
      </c>
      <c r="DO101">
        <v>0.75370000000000004</v>
      </c>
      <c r="DP101">
        <v>0.87870000000000004</v>
      </c>
      <c r="DQ101">
        <v>94</v>
      </c>
      <c r="DR101">
        <v>3825</v>
      </c>
    </row>
    <row r="102" spans="95:122" x14ac:dyDescent="0.25">
      <c r="CQ102" t="s">
        <v>636</v>
      </c>
      <c r="CR102" t="s">
        <v>6</v>
      </c>
      <c r="CS102" t="s">
        <v>81</v>
      </c>
      <c r="CT102">
        <v>46079</v>
      </c>
      <c r="CU102">
        <v>1</v>
      </c>
      <c r="CV102">
        <v>1</v>
      </c>
      <c r="CX102">
        <v>1</v>
      </c>
      <c r="CZ102">
        <v>1.1574074074074073E-5</v>
      </c>
      <c r="DA102">
        <v>1.1574074074074073E-5</v>
      </c>
      <c r="DB102">
        <v>0.18751157407407407</v>
      </c>
      <c r="DC102">
        <v>0.1504513888888889</v>
      </c>
      <c r="DD102">
        <v>78</v>
      </c>
      <c r="DE102">
        <v>168</v>
      </c>
      <c r="DF102">
        <v>10</v>
      </c>
      <c r="DG102">
        <v>1.4</v>
      </c>
      <c r="DH102">
        <v>36945</v>
      </c>
      <c r="DI102">
        <v>0.12820000000000001</v>
      </c>
      <c r="DJ102">
        <v>1</v>
      </c>
      <c r="DK102">
        <v>0.1</v>
      </c>
      <c r="DL102">
        <v>400</v>
      </c>
      <c r="DM102">
        <v>400</v>
      </c>
      <c r="DN102">
        <v>400</v>
      </c>
      <c r="DO102">
        <v>1</v>
      </c>
      <c r="DQ102">
        <v>94</v>
      </c>
      <c r="DR102">
        <v>400</v>
      </c>
    </row>
    <row r="103" spans="95:122" x14ac:dyDescent="0.25">
      <c r="CQ103" t="s">
        <v>636</v>
      </c>
      <c r="CR103" t="s">
        <v>6</v>
      </c>
      <c r="CS103" t="s">
        <v>37</v>
      </c>
      <c r="CT103">
        <v>46081</v>
      </c>
      <c r="CU103">
        <v>1</v>
      </c>
      <c r="CV103">
        <v>1</v>
      </c>
      <c r="CX103">
        <v>1</v>
      </c>
      <c r="CZ103">
        <v>3.7037037037037035E-4</v>
      </c>
      <c r="DA103">
        <v>3.7037037037037035E-4</v>
      </c>
      <c r="DB103">
        <v>7.391203703703704E-2</v>
      </c>
      <c r="DC103">
        <v>0.13776620370370371</v>
      </c>
      <c r="DD103">
        <v>19</v>
      </c>
      <c r="DE103">
        <v>41</v>
      </c>
      <c r="DF103">
        <v>10</v>
      </c>
      <c r="DG103">
        <v>2.1</v>
      </c>
      <c r="DH103">
        <v>12452</v>
      </c>
      <c r="DI103">
        <v>0.52629999999999999</v>
      </c>
      <c r="DJ103">
        <v>2</v>
      </c>
      <c r="DK103">
        <v>0.2</v>
      </c>
      <c r="DL103">
        <v>5670</v>
      </c>
      <c r="DM103">
        <v>2835</v>
      </c>
      <c r="DN103">
        <v>5670</v>
      </c>
      <c r="DO103">
        <v>1</v>
      </c>
      <c r="DP103">
        <v>0.12189999999999999</v>
      </c>
      <c r="DQ103">
        <v>94</v>
      </c>
      <c r="DR103">
        <v>2835</v>
      </c>
    </row>
    <row r="104" spans="95:122" x14ac:dyDescent="0.25">
      <c r="CQ104" t="s">
        <v>636</v>
      </c>
      <c r="CR104" t="s">
        <v>6</v>
      </c>
      <c r="CS104" t="s">
        <v>35</v>
      </c>
      <c r="CT104">
        <v>46079</v>
      </c>
      <c r="CU104">
        <v>1</v>
      </c>
      <c r="CV104">
        <v>1</v>
      </c>
      <c r="CX104">
        <v>1</v>
      </c>
      <c r="CZ104">
        <v>1.7361111111111112E-4</v>
      </c>
      <c r="DA104">
        <v>1.7361111111111112E-4</v>
      </c>
      <c r="DB104">
        <v>0.1162962962962963</v>
      </c>
      <c r="DC104">
        <v>0.2530324074074074</v>
      </c>
      <c r="DD104">
        <v>57</v>
      </c>
      <c r="DE104">
        <v>114</v>
      </c>
      <c r="DF104">
        <v>20</v>
      </c>
      <c r="DG104">
        <v>2</v>
      </c>
      <c r="DH104">
        <v>23028</v>
      </c>
      <c r="DI104">
        <v>0.35089999999999999</v>
      </c>
      <c r="DJ104">
        <v>3</v>
      </c>
      <c r="DK104">
        <v>0.15</v>
      </c>
      <c r="DL104">
        <v>8980</v>
      </c>
      <c r="DM104">
        <v>2993</v>
      </c>
      <c r="DN104">
        <v>8300</v>
      </c>
      <c r="DO104">
        <v>0.92430000000000001</v>
      </c>
      <c r="DP104">
        <v>0.21540000000000001</v>
      </c>
      <c r="DQ104">
        <v>94</v>
      </c>
      <c r="DR104">
        <v>4150</v>
      </c>
    </row>
    <row r="105" spans="95:122" x14ac:dyDescent="0.25">
      <c r="CQ105" t="s">
        <v>636</v>
      </c>
      <c r="CR105" t="s">
        <v>6</v>
      </c>
      <c r="CS105" t="s">
        <v>97</v>
      </c>
      <c r="CT105">
        <v>46071</v>
      </c>
      <c r="CU105">
        <v>1</v>
      </c>
      <c r="CV105">
        <v>1</v>
      </c>
      <c r="CX105">
        <v>1</v>
      </c>
      <c r="CZ105">
        <v>0</v>
      </c>
      <c r="DA105">
        <v>0</v>
      </c>
      <c r="DB105">
        <v>0.1464699074074074</v>
      </c>
      <c r="DC105">
        <v>0.17123842592592592</v>
      </c>
      <c r="DD105">
        <v>125</v>
      </c>
      <c r="DE105">
        <v>194</v>
      </c>
      <c r="DF105">
        <v>12</v>
      </c>
      <c r="DG105" t="s">
        <v>1022</v>
      </c>
      <c r="DH105">
        <v>22017</v>
      </c>
      <c r="DI105">
        <v>9.6000000000000002E-2</v>
      </c>
      <c r="DJ105">
        <v>3</v>
      </c>
      <c r="DK105">
        <v>0.25</v>
      </c>
      <c r="DL105">
        <v>5420</v>
      </c>
      <c r="DM105">
        <v>1807</v>
      </c>
      <c r="DN105">
        <v>5420</v>
      </c>
      <c r="DO105">
        <v>1</v>
      </c>
      <c r="DP105">
        <v>0.15820000000000001</v>
      </c>
      <c r="DQ105">
        <v>94</v>
      </c>
      <c r="DR105">
        <v>1807</v>
      </c>
    </row>
    <row r="106" spans="95:122" x14ac:dyDescent="0.25">
      <c r="CQ106" t="s">
        <v>636</v>
      </c>
      <c r="CR106" t="s">
        <v>3</v>
      </c>
      <c r="CS106" t="s">
        <v>377</v>
      </c>
      <c r="CT106">
        <v>46063</v>
      </c>
      <c r="CU106">
        <v>1</v>
      </c>
      <c r="CV106">
        <v>1</v>
      </c>
      <c r="CX106">
        <v>1</v>
      </c>
      <c r="CZ106">
        <v>7.1759259259259259E-4</v>
      </c>
      <c r="DA106">
        <v>7.1759259259259259E-4</v>
      </c>
      <c r="DB106">
        <v>5.2835648148148145E-2</v>
      </c>
      <c r="DC106">
        <v>3.0914351851851853E-2</v>
      </c>
      <c r="DD106">
        <v>106</v>
      </c>
      <c r="DE106">
        <v>174</v>
      </c>
      <c r="DF106">
        <v>50</v>
      </c>
      <c r="DG106">
        <v>1.26</v>
      </c>
      <c r="DH106">
        <v>28956</v>
      </c>
      <c r="DI106">
        <v>0.47170000000000001</v>
      </c>
      <c r="DJ106">
        <v>2</v>
      </c>
      <c r="DK106">
        <v>0.04</v>
      </c>
      <c r="DL106">
        <v>2800</v>
      </c>
      <c r="DM106">
        <v>1400</v>
      </c>
      <c r="DN106">
        <v>2200</v>
      </c>
      <c r="DO106">
        <v>0.78569999999999995</v>
      </c>
      <c r="DP106">
        <v>0.14499999999999999</v>
      </c>
      <c r="DQ106">
        <v>94</v>
      </c>
      <c r="DR106">
        <v>2200</v>
      </c>
    </row>
    <row r="107" spans="95:122" x14ac:dyDescent="0.25">
      <c r="CQ107" t="s">
        <v>636</v>
      </c>
      <c r="CR107" t="s">
        <v>3</v>
      </c>
      <c r="CS107" t="s">
        <v>22</v>
      </c>
      <c r="CT107">
        <v>46065</v>
      </c>
      <c r="CU107">
        <v>1</v>
      </c>
      <c r="CV107">
        <v>1</v>
      </c>
      <c r="CX107">
        <v>1</v>
      </c>
      <c r="CZ107">
        <v>4.6296296296296294E-5</v>
      </c>
      <c r="DA107">
        <v>4.6296296296296294E-5</v>
      </c>
      <c r="DB107">
        <v>3.8506944444444448E-2</v>
      </c>
      <c r="DC107">
        <v>2.5277777777777777E-2</v>
      </c>
      <c r="DD107">
        <v>121</v>
      </c>
      <c r="DE107">
        <v>188</v>
      </c>
      <c r="DF107">
        <v>16</v>
      </c>
      <c r="DG107">
        <v>2</v>
      </c>
      <c r="DH107">
        <v>39080</v>
      </c>
      <c r="DI107">
        <v>0.13220000000000001</v>
      </c>
      <c r="DJ107">
        <v>1</v>
      </c>
      <c r="DK107">
        <v>6.25E-2</v>
      </c>
      <c r="DL107">
        <v>6180</v>
      </c>
      <c r="DM107">
        <v>6180</v>
      </c>
      <c r="DN107">
        <v>6180</v>
      </c>
      <c r="DO107">
        <v>1</v>
      </c>
      <c r="DP107">
        <v>0.1002</v>
      </c>
      <c r="DQ107">
        <v>94</v>
      </c>
      <c r="DR107">
        <v>6180</v>
      </c>
    </row>
    <row r="108" spans="95:122" x14ac:dyDescent="0.25">
      <c r="CQ108" t="s">
        <v>636</v>
      </c>
      <c r="CR108" t="s">
        <v>3</v>
      </c>
      <c r="CS108" t="s">
        <v>13</v>
      </c>
      <c r="CT108">
        <v>46058</v>
      </c>
      <c r="CU108">
        <v>1</v>
      </c>
      <c r="CV108">
        <v>1</v>
      </c>
      <c r="CX108">
        <v>1</v>
      </c>
      <c r="CZ108">
        <v>2.8124999999999999E-3</v>
      </c>
      <c r="DA108">
        <v>2.8124999999999999E-3</v>
      </c>
      <c r="DB108">
        <v>3.8124999999999999E-2</v>
      </c>
      <c r="DC108">
        <v>1.849537037037037E-2</v>
      </c>
      <c r="DD108">
        <v>80</v>
      </c>
      <c r="DE108">
        <v>179</v>
      </c>
      <c r="DF108">
        <v>14</v>
      </c>
      <c r="DG108" t="s">
        <v>762</v>
      </c>
      <c r="DH108">
        <v>26141</v>
      </c>
      <c r="DI108">
        <v>0.17499999999999999</v>
      </c>
      <c r="DJ108">
        <v>1</v>
      </c>
      <c r="DK108">
        <v>7.1400000000000005E-2</v>
      </c>
      <c r="DL108">
        <v>4600</v>
      </c>
      <c r="DM108">
        <v>4600</v>
      </c>
      <c r="DN108">
        <v>4600</v>
      </c>
      <c r="DO108">
        <v>1</v>
      </c>
      <c r="DP108">
        <v>0.3009</v>
      </c>
      <c r="DQ108">
        <v>94</v>
      </c>
      <c r="DR108">
        <v>4600</v>
      </c>
    </row>
    <row r="109" spans="95:122" x14ac:dyDescent="0.25">
      <c r="CQ109" t="s">
        <v>636</v>
      </c>
      <c r="CR109" t="s">
        <v>3</v>
      </c>
      <c r="CS109" t="s">
        <v>13</v>
      </c>
      <c r="CT109">
        <v>46073</v>
      </c>
      <c r="CU109">
        <v>1</v>
      </c>
      <c r="CV109">
        <v>1</v>
      </c>
      <c r="CX109">
        <v>1</v>
      </c>
      <c r="CZ109">
        <v>9.2592592592592588E-5</v>
      </c>
      <c r="DA109">
        <v>9.2592592592592588E-5</v>
      </c>
      <c r="DB109">
        <v>0.20459490740740741</v>
      </c>
      <c r="DC109">
        <v>0.13400462962962964</v>
      </c>
      <c r="DD109">
        <v>103</v>
      </c>
      <c r="DE109">
        <v>200</v>
      </c>
      <c r="DF109">
        <v>14</v>
      </c>
      <c r="DG109" t="s">
        <v>796</v>
      </c>
      <c r="DH109">
        <v>40130</v>
      </c>
      <c r="DI109">
        <v>0.13589999999999999</v>
      </c>
      <c r="DJ109">
        <v>1</v>
      </c>
      <c r="DK109">
        <v>7.1400000000000005E-2</v>
      </c>
      <c r="DL109">
        <v>4900</v>
      </c>
      <c r="DM109">
        <v>4900</v>
      </c>
      <c r="DN109">
        <v>4900</v>
      </c>
      <c r="DO109">
        <v>1</v>
      </c>
      <c r="DP109">
        <v>0.30919999999999997</v>
      </c>
      <c r="DQ109">
        <v>94</v>
      </c>
      <c r="DR109">
        <v>4900</v>
      </c>
    </row>
    <row r="110" spans="95:122" x14ac:dyDescent="0.25">
      <c r="CQ110" t="s">
        <v>636</v>
      </c>
      <c r="CR110" t="s">
        <v>3</v>
      </c>
      <c r="CS110" t="s">
        <v>32</v>
      </c>
      <c r="CT110">
        <v>46070</v>
      </c>
      <c r="CU110">
        <v>1</v>
      </c>
      <c r="CV110">
        <v>1</v>
      </c>
      <c r="CX110">
        <v>1</v>
      </c>
      <c r="CZ110">
        <v>4.6296296296296294E-5</v>
      </c>
      <c r="DA110">
        <v>4.6296296296296294E-5</v>
      </c>
      <c r="DB110">
        <v>0.19613425925925926</v>
      </c>
      <c r="DC110">
        <v>0.15085648148148148</v>
      </c>
      <c r="DD110">
        <v>86</v>
      </c>
      <c r="DE110">
        <v>187</v>
      </c>
      <c r="DF110">
        <v>24</v>
      </c>
      <c r="DG110">
        <v>1.75</v>
      </c>
      <c r="DH110">
        <v>44148</v>
      </c>
      <c r="DI110">
        <v>0.27910000000000001</v>
      </c>
      <c r="DJ110">
        <v>2</v>
      </c>
      <c r="DK110">
        <v>8.3299999999999999E-2</v>
      </c>
      <c r="DL110">
        <v>10600</v>
      </c>
      <c r="DM110">
        <v>5300</v>
      </c>
      <c r="DN110">
        <v>600</v>
      </c>
      <c r="DO110">
        <v>5.6599999999999998E-2</v>
      </c>
      <c r="DQ110">
        <v>94</v>
      </c>
      <c r="DR110">
        <v>600</v>
      </c>
    </row>
    <row r="111" spans="95:122" x14ac:dyDescent="0.25">
      <c r="CQ111" t="s">
        <v>636</v>
      </c>
      <c r="CR111" t="s">
        <v>3</v>
      </c>
      <c r="CS111" t="s">
        <v>96</v>
      </c>
      <c r="CT111">
        <v>46073</v>
      </c>
      <c r="CU111">
        <v>1</v>
      </c>
      <c r="CV111">
        <v>1</v>
      </c>
      <c r="CX111">
        <v>1</v>
      </c>
      <c r="CZ111">
        <v>0</v>
      </c>
      <c r="DA111">
        <v>0</v>
      </c>
      <c r="DB111">
        <v>0.18405092592592592</v>
      </c>
      <c r="DC111">
        <v>0.17636574074074074</v>
      </c>
      <c r="DD111">
        <v>48</v>
      </c>
      <c r="DE111">
        <v>128</v>
      </c>
      <c r="DF111">
        <v>12</v>
      </c>
      <c r="DG111" t="s">
        <v>756</v>
      </c>
      <c r="DH111">
        <v>28885</v>
      </c>
      <c r="DI111">
        <v>0.25</v>
      </c>
      <c r="DJ111">
        <v>3</v>
      </c>
      <c r="DK111">
        <v>0.25</v>
      </c>
      <c r="DL111">
        <v>8640</v>
      </c>
      <c r="DM111">
        <v>2880</v>
      </c>
      <c r="DN111">
        <v>6700</v>
      </c>
      <c r="DO111">
        <v>0.77549999999999997</v>
      </c>
      <c r="DP111">
        <v>0.16009999999999999</v>
      </c>
      <c r="DQ111">
        <v>94</v>
      </c>
      <c r="DR111">
        <v>3350</v>
      </c>
    </row>
    <row r="112" spans="95:122" x14ac:dyDescent="0.25">
      <c r="CQ112" t="s">
        <v>636</v>
      </c>
      <c r="CR112" t="s">
        <v>3</v>
      </c>
      <c r="CS112" t="s">
        <v>65</v>
      </c>
      <c r="CT112">
        <v>46072</v>
      </c>
      <c r="CU112">
        <v>1</v>
      </c>
      <c r="CV112">
        <v>1</v>
      </c>
      <c r="CX112">
        <v>1</v>
      </c>
      <c r="CZ112">
        <v>6.9444444444444444E-5</v>
      </c>
      <c r="DA112">
        <v>6.9444444444444444E-5</v>
      </c>
      <c r="DB112">
        <v>0.20123842592592592</v>
      </c>
      <c r="DC112">
        <v>0.18217592592592594</v>
      </c>
      <c r="DD112">
        <v>74</v>
      </c>
      <c r="DE112">
        <v>160</v>
      </c>
      <c r="DF112">
        <v>11</v>
      </c>
      <c r="DG112" t="s">
        <v>807</v>
      </c>
      <c r="DH112">
        <v>35751</v>
      </c>
      <c r="DI112">
        <v>0.14860000000000001</v>
      </c>
      <c r="DJ112">
        <v>2</v>
      </c>
      <c r="DK112">
        <v>0.18179999999999999</v>
      </c>
      <c r="DL112">
        <v>6000</v>
      </c>
      <c r="DM112">
        <v>3000</v>
      </c>
      <c r="DN112">
        <v>6000</v>
      </c>
      <c r="DO112">
        <v>1</v>
      </c>
      <c r="DP112">
        <v>0.12189999999999999</v>
      </c>
      <c r="DQ112">
        <v>94</v>
      </c>
      <c r="DR112">
        <v>3000</v>
      </c>
    </row>
    <row r="113" spans="95:122" x14ac:dyDescent="0.25">
      <c r="CQ113" t="s">
        <v>636</v>
      </c>
      <c r="CR113" t="s">
        <v>3</v>
      </c>
      <c r="CS113" t="s">
        <v>23</v>
      </c>
      <c r="CT113">
        <v>46070</v>
      </c>
      <c r="CU113">
        <v>1</v>
      </c>
      <c r="CV113">
        <v>1</v>
      </c>
      <c r="CW113">
        <v>1</v>
      </c>
      <c r="CZ113">
        <v>8.8425925925925929E-3</v>
      </c>
      <c r="DA113">
        <v>8.8425925925925929E-3</v>
      </c>
      <c r="DB113">
        <v>0.17327546296296295</v>
      </c>
      <c r="DC113">
        <v>0.15884259259259259</v>
      </c>
      <c r="DD113">
        <v>78</v>
      </c>
      <c r="DE113">
        <v>147</v>
      </c>
      <c r="DF113">
        <v>21</v>
      </c>
      <c r="DG113" t="s">
        <v>745</v>
      </c>
      <c r="DH113">
        <v>26926</v>
      </c>
      <c r="DI113">
        <v>0.26919999999999999</v>
      </c>
      <c r="DJ113">
        <v>3</v>
      </c>
      <c r="DK113">
        <v>0.1429</v>
      </c>
      <c r="DL113">
        <v>7150</v>
      </c>
      <c r="DM113">
        <v>2383</v>
      </c>
      <c r="DN113">
        <v>10150</v>
      </c>
      <c r="DO113">
        <v>1.4196</v>
      </c>
      <c r="DP113">
        <v>0.12720000000000001</v>
      </c>
      <c r="DQ113">
        <v>94</v>
      </c>
      <c r="DR113">
        <v>3383</v>
      </c>
    </row>
    <row r="114" spans="95:122" x14ac:dyDescent="0.25">
      <c r="CQ114" t="s">
        <v>636</v>
      </c>
      <c r="CR114" t="s">
        <v>3</v>
      </c>
      <c r="CS114" t="s">
        <v>31</v>
      </c>
      <c r="CT114">
        <v>46072</v>
      </c>
      <c r="CU114">
        <v>1</v>
      </c>
      <c r="CV114">
        <v>1</v>
      </c>
      <c r="CX114">
        <v>1</v>
      </c>
      <c r="CZ114">
        <v>4.2824074074074075E-4</v>
      </c>
      <c r="DA114">
        <v>4.2824074074074075E-4</v>
      </c>
      <c r="DB114">
        <v>0.21547453703703703</v>
      </c>
      <c r="DC114">
        <v>0.12765046296296295</v>
      </c>
      <c r="DD114">
        <v>70</v>
      </c>
      <c r="DE114">
        <v>169</v>
      </c>
      <c r="DF114">
        <v>8</v>
      </c>
      <c r="DG114">
        <v>2.75</v>
      </c>
      <c r="DH114">
        <v>28796</v>
      </c>
      <c r="DI114">
        <v>0.1143</v>
      </c>
      <c r="DJ114">
        <v>1</v>
      </c>
      <c r="DK114">
        <v>0.125</v>
      </c>
      <c r="DL114">
        <v>3890</v>
      </c>
      <c r="DM114">
        <v>3890</v>
      </c>
      <c r="DN114">
        <v>3890</v>
      </c>
      <c r="DO114">
        <v>1</v>
      </c>
      <c r="DP114">
        <v>0.1646</v>
      </c>
      <c r="DQ114">
        <v>94</v>
      </c>
      <c r="DR114">
        <v>3890</v>
      </c>
    </row>
    <row r="115" spans="95:122" x14ac:dyDescent="0.25">
      <c r="CQ115" t="s">
        <v>636</v>
      </c>
      <c r="CR115" t="s">
        <v>3</v>
      </c>
      <c r="CS115" t="s">
        <v>17</v>
      </c>
      <c r="CT115">
        <v>46062</v>
      </c>
      <c r="CU115">
        <v>1</v>
      </c>
      <c r="CV115">
        <v>1</v>
      </c>
      <c r="CX115">
        <v>1</v>
      </c>
      <c r="CZ115">
        <v>2.9513888888888888E-3</v>
      </c>
      <c r="DA115">
        <v>2.9513888888888888E-3</v>
      </c>
      <c r="DB115">
        <v>0</v>
      </c>
      <c r="DC115">
        <v>1.1805555555555556E-3</v>
      </c>
      <c r="DD115">
        <v>64</v>
      </c>
      <c r="DE115">
        <v>122</v>
      </c>
      <c r="DF115">
        <v>9</v>
      </c>
      <c r="DG115" t="s">
        <v>769</v>
      </c>
      <c r="DH115">
        <v>57030</v>
      </c>
      <c r="DI115">
        <v>0.1406</v>
      </c>
      <c r="DJ115">
        <v>1</v>
      </c>
      <c r="DK115">
        <v>0.1111</v>
      </c>
      <c r="DL115">
        <v>500</v>
      </c>
      <c r="DM115">
        <v>500</v>
      </c>
      <c r="DN115">
        <v>500</v>
      </c>
      <c r="DO115">
        <v>1</v>
      </c>
      <c r="DQ115">
        <v>94</v>
      </c>
      <c r="DR115">
        <v>500</v>
      </c>
    </row>
    <row r="116" spans="95:122" x14ac:dyDescent="0.25">
      <c r="CQ116" t="s">
        <v>636</v>
      </c>
      <c r="CR116" t="s">
        <v>3</v>
      </c>
      <c r="CS116" t="s">
        <v>207</v>
      </c>
      <c r="CT116">
        <v>46056</v>
      </c>
      <c r="CU116">
        <v>1</v>
      </c>
      <c r="CV116">
        <v>1</v>
      </c>
      <c r="CX116">
        <v>1</v>
      </c>
      <c r="CZ116">
        <v>2.3148148148148147E-5</v>
      </c>
      <c r="DA116">
        <v>2.3148148148148147E-5</v>
      </c>
      <c r="DB116">
        <v>7.8275462962962963E-2</v>
      </c>
      <c r="DC116">
        <v>4.3518518518518519E-2</v>
      </c>
      <c r="DD116">
        <v>184</v>
      </c>
      <c r="DE116">
        <v>365</v>
      </c>
      <c r="DF116">
        <v>35</v>
      </c>
      <c r="DG116" t="s">
        <v>850</v>
      </c>
      <c r="DH116">
        <v>17714</v>
      </c>
      <c r="DI116">
        <v>0.19020000000000001</v>
      </c>
      <c r="DJ116">
        <v>1</v>
      </c>
      <c r="DK116">
        <v>2.86E-2</v>
      </c>
      <c r="DL116">
        <v>1000</v>
      </c>
      <c r="DM116">
        <v>1000</v>
      </c>
      <c r="DN116">
        <v>1000</v>
      </c>
      <c r="DO116">
        <v>1</v>
      </c>
      <c r="DP116">
        <v>0.14099999999999999</v>
      </c>
      <c r="DQ116">
        <v>94</v>
      </c>
      <c r="DR116">
        <v>1000</v>
      </c>
    </row>
    <row r="117" spans="95:122" x14ac:dyDescent="0.25">
      <c r="CQ117" t="s">
        <v>636</v>
      </c>
      <c r="CR117" t="s">
        <v>3</v>
      </c>
      <c r="CS117" t="s">
        <v>207</v>
      </c>
      <c r="CT117">
        <v>46062</v>
      </c>
      <c r="CU117">
        <v>1</v>
      </c>
      <c r="CV117">
        <v>1</v>
      </c>
      <c r="CX117">
        <v>1</v>
      </c>
      <c r="CZ117">
        <v>1.1574074074074073E-5</v>
      </c>
      <c r="DA117">
        <v>1.1574074074074073E-5</v>
      </c>
      <c r="DB117">
        <v>1.8067129629629631E-2</v>
      </c>
      <c r="DC117">
        <v>9.1666666666666667E-3</v>
      </c>
      <c r="DD117">
        <v>168</v>
      </c>
      <c r="DE117">
        <v>253</v>
      </c>
      <c r="DF117">
        <v>16</v>
      </c>
      <c r="DG117">
        <v>1.5625</v>
      </c>
      <c r="DH117">
        <v>17752</v>
      </c>
      <c r="DI117">
        <v>9.5200000000000007E-2</v>
      </c>
      <c r="DJ117">
        <v>1</v>
      </c>
      <c r="DK117">
        <v>6.25E-2</v>
      </c>
      <c r="DL117">
        <v>3000</v>
      </c>
      <c r="DM117">
        <v>3000</v>
      </c>
      <c r="DN117">
        <v>3000</v>
      </c>
      <c r="DO117">
        <v>1</v>
      </c>
      <c r="DP117">
        <v>0.2167</v>
      </c>
      <c r="DQ117">
        <v>94</v>
      </c>
      <c r="DR117">
        <v>3000</v>
      </c>
    </row>
    <row r="118" spans="95:122" x14ac:dyDescent="0.25">
      <c r="CQ118" t="s">
        <v>636</v>
      </c>
      <c r="CR118" t="s">
        <v>124</v>
      </c>
      <c r="CS118" t="s">
        <v>58</v>
      </c>
      <c r="CT118">
        <v>46056</v>
      </c>
      <c r="CU118">
        <v>1</v>
      </c>
      <c r="CV118">
        <v>1</v>
      </c>
      <c r="CX118">
        <v>1</v>
      </c>
      <c r="CZ118">
        <v>9.2592592592592588E-5</v>
      </c>
      <c r="DA118">
        <v>9.2592592592592588E-5</v>
      </c>
      <c r="DB118">
        <v>5.3715277777777778E-2</v>
      </c>
      <c r="DC118">
        <v>2.5266203703703704E-2</v>
      </c>
      <c r="DD118">
        <v>120</v>
      </c>
      <c r="DE118">
        <v>226</v>
      </c>
      <c r="DF118">
        <v>29</v>
      </c>
      <c r="DG118" t="s">
        <v>984</v>
      </c>
      <c r="DH118">
        <v>9212</v>
      </c>
      <c r="DI118">
        <v>0.2417</v>
      </c>
      <c r="DJ118">
        <v>1</v>
      </c>
      <c r="DK118">
        <v>3.4500000000000003E-2</v>
      </c>
      <c r="DL118">
        <v>205</v>
      </c>
      <c r="DM118">
        <v>205</v>
      </c>
      <c r="DN118">
        <v>205</v>
      </c>
      <c r="DO118">
        <v>1</v>
      </c>
      <c r="DQ118">
        <v>92</v>
      </c>
      <c r="DR118">
        <v>205</v>
      </c>
    </row>
    <row r="119" spans="95:122" x14ac:dyDescent="0.25">
      <c r="CQ119" t="s">
        <v>636</v>
      </c>
      <c r="CR119" t="s">
        <v>124</v>
      </c>
      <c r="CS119" t="s">
        <v>58</v>
      </c>
      <c r="CT119">
        <v>46072</v>
      </c>
      <c r="CU119">
        <v>1</v>
      </c>
      <c r="CV119">
        <v>1</v>
      </c>
      <c r="CX119">
        <v>1</v>
      </c>
      <c r="CZ119">
        <v>1.1574074074074075E-4</v>
      </c>
      <c r="DA119">
        <v>1.1574074074074075E-4</v>
      </c>
      <c r="DB119">
        <v>0.19065972222222222</v>
      </c>
      <c r="DC119">
        <v>0.14405092592592592</v>
      </c>
      <c r="DD119">
        <v>95</v>
      </c>
      <c r="DE119">
        <v>216</v>
      </c>
      <c r="DF119">
        <v>36</v>
      </c>
      <c r="DG119" t="s">
        <v>999</v>
      </c>
      <c r="DH119">
        <v>21223</v>
      </c>
      <c r="DI119">
        <v>0.37890000000000001</v>
      </c>
      <c r="DJ119">
        <v>1</v>
      </c>
      <c r="DK119">
        <v>2.7799999999999998E-2</v>
      </c>
      <c r="DL119">
        <v>230</v>
      </c>
      <c r="DM119">
        <v>230</v>
      </c>
      <c r="DN119">
        <v>230</v>
      </c>
      <c r="DO119">
        <v>1</v>
      </c>
      <c r="DP119">
        <v>1.7664</v>
      </c>
      <c r="DQ119">
        <v>92</v>
      </c>
      <c r="DR119">
        <v>230</v>
      </c>
    </row>
    <row r="120" spans="95:122" x14ac:dyDescent="0.25">
      <c r="CQ120" t="s">
        <v>636</v>
      </c>
      <c r="CR120" t="s">
        <v>124</v>
      </c>
      <c r="CS120" t="s">
        <v>174</v>
      </c>
      <c r="CT120">
        <v>46063</v>
      </c>
      <c r="CU120">
        <v>1</v>
      </c>
      <c r="CV120">
        <v>1</v>
      </c>
      <c r="CX120">
        <v>1</v>
      </c>
      <c r="CZ120">
        <v>1.1574074074074073E-5</v>
      </c>
      <c r="DA120">
        <v>1.1574074074074073E-5</v>
      </c>
      <c r="DB120">
        <v>9.959490740740741E-2</v>
      </c>
      <c r="DC120">
        <v>3.0578703703703705E-2</v>
      </c>
      <c r="DD120">
        <v>354</v>
      </c>
      <c r="DE120">
        <v>613</v>
      </c>
      <c r="DF120">
        <v>42</v>
      </c>
      <c r="DG120" t="s">
        <v>737</v>
      </c>
      <c r="DH120">
        <v>12172</v>
      </c>
      <c r="DI120">
        <v>0.1186</v>
      </c>
      <c r="DJ120">
        <v>2</v>
      </c>
      <c r="DK120">
        <v>4.7600000000000003E-2</v>
      </c>
      <c r="DL120">
        <v>1790</v>
      </c>
      <c r="DM120">
        <v>895</v>
      </c>
      <c r="DN120">
        <v>1790</v>
      </c>
      <c r="DO120">
        <v>1</v>
      </c>
      <c r="DP120">
        <v>0.25390000000000001</v>
      </c>
      <c r="DQ120">
        <v>92</v>
      </c>
      <c r="DR120">
        <v>895</v>
      </c>
    </row>
    <row r="121" spans="95:122" x14ac:dyDescent="0.25">
      <c r="CQ121" t="s">
        <v>636</v>
      </c>
      <c r="CR121" t="s">
        <v>124</v>
      </c>
      <c r="CS121" t="s">
        <v>174</v>
      </c>
      <c r="CT121">
        <v>46073</v>
      </c>
      <c r="CU121">
        <v>1</v>
      </c>
      <c r="CV121">
        <v>1</v>
      </c>
      <c r="CX121">
        <v>1</v>
      </c>
      <c r="CZ121">
        <v>0</v>
      </c>
      <c r="DA121">
        <v>0</v>
      </c>
      <c r="DB121">
        <v>0.20633101851851851</v>
      </c>
      <c r="DC121">
        <v>0.12024305555555556</v>
      </c>
      <c r="DD121">
        <v>208</v>
      </c>
      <c r="DE121">
        <v>252</v>
      </c>
      <c r="DF121">
        <v>10</v>
      </c>
      <c r="DG121">
        <v>1.5</v>
      </c>
      <c r="DH121">
        <v>31631</v>
      </c>
      <c r="DI121">
        <v>4.8099999999999997E-2</v>
      </c>
      <c r="DQ121">
        <v>92</v>
      </c>
    </row>
    <row r="122" spans="95:122" x14ac:dyDescent="0.25">
      <c r="CQ122" t="s">
        <v>636</v>
      </c>
      <c r="CR122" t="s">
        <v>124</v>
      </c>
      <c r="CS122" t="s">
        <v>174</v>
      </c>
      <c r="CT122">
        <v>46081</v>
      </c>
      <c r="CU122">
        <v>1</v>
      </c>
      <c r="CV122">
        <v>1</v>
      </c>
      <c r="CX122">
        <v>1</v>
      </c>
      <c r="CZ122">
        <v>1.1574074074074073E-5</v>
      </c>
      <c r="DA122">
        <v>1.1574074074074073E-5</v>
      </c>
      <c r="DB122">
        <v>9.993055555555555E-2</v>
      </c>
      <c r="DC122">
        <v>8.6458333333333331E-2</v>
      </c>
      <c r="DD122">
        <v>82</v>
      </c>
      <c r="DE122">
        <v>142</v>
      </c>
      <c r="DF122">
        <v>16</v>
      </c>
      <c r="DG122">
        <v>2.1875</v>
      </c>
      <c r="DH122">
        <v>22536</v>
      </c>
      <c r="DI122">
        <v>0.1951</v>
      </c>
      <c r="DJ122">
        <v>1</v>
      </c>
      <c r="DK122">
        <v>6.25E-2</v>
      </c>
      <c r="DL122">
        <v>250</v>
      </c>
      <c r="DM122">
        <v>250</v>
      </c>
      <c r="DN122">
        <v>250</v>
      </c>
      <c r="DO122">
        <v>1</v>
      </c>
      <c r="DP122">
        <v>0.2651</v>
      </c>
      <c r="DQ122">
        <v>92</v>
      </c>
      <c r="DR122">
        <v>250</v>
      </c>
    </row>
    <row r="123" spans="95:122" x14ac:dyDescent="0.25">
      <c r="CQ123" t="s">
        <v>636</v>
      </c>
      <c r="CR123" t="s">
        <v>124</v>
      </c>
      <c r="CS123" t="s">
        <v>493</v>
      </c>
      <c r="CT123">
        <v>46062</v>
      </c>
      <c r="CU123">
        <v>1</v>
      </c>
      <c r="CV123">
        <v>1</v>
      </c>
      <c r="CX123">
        <v>1</v>
      </c>
      <c r="CZ123">
        <v>4.6296296296296294E-5</v>
      </c>
      <c r="DA123">
        <v>4.6296296296296294E-5</v>
      </c>
      <c r="DB123">
        <v>3.3310185185185186E-2</v>
      </c>
      <c r="DC123">
        <v>8.9120370370370378E-3</v>
      </c>
      <c r="DD123">
        <v>129</v>
      </c>
      <c r="DE123">
        <v>225</v>
      </c>
      <c r="DF123">
        <v>28</v>
      </c>
      <c r="DG123" t="s">
        <v>996</v>
      </c>
      <c r="DH123">
        <v>10354</v>
      </c>
      <c r="DI123">
        <v>0.21709999999999999</v>
      </c>
      <c r="DJ123">
        <v>1</v>
      </c>
      <c r="DK123">
        <v>3.5700000000000003E-2</v>
      </c>
      <c r="DL123">
        <v>600</v>
      </c>
      <c r="DM123">
        <v>600</v>
      </c>
      <c r="DN123">
        <v>600</v>
      </c>
      <c r="DO123">
        <v>1</v>
      </c>
      <c r="DP123">
        <v>0.50939999999999996</v>
      </c>
      <c r="DQ123">
        <v>92</v>
      </c>
      <c r="DR123">
        <v>600</v>
      </c>
    </row>
    <row r="124" spans="95:122" x14ac:dyDescent="0.25">
      <c r="CQ124" t="s">
        <v>636</v>
      </c>
      <c r="CR124" t="s">
        <v>124</v>
      </c>
      <c r="CS124" t="s">
        <v>493</v>
      </c>
      <c r="CT124">
        <v>46066</v>
      </c>
      <c r="CU124">
        <v>1</v>
      </c>
      <c r="CV124">
        <v>1</v>
      </c>
      <c r="CX124">
        <v>1</v>
      </c>
      <c r="CZ124">
        <v>0</v>
      </c>
      <c r="DA124">
        <v>0</v>
      </c>
      <c r="DB124">
        <v>0.20171296296296296</v>
      </c>
      <c r="DC124">
        <v>0.14879629629629629</v>
      </c>
      <c r="DD124">
        <v>115</v>
      </c>
      <c r="DE124">
        <v>225</v>
      </c>
      <c r="DF124">
        <v>41</v>
      </c>
      <c r="DG124" t="s">
        <v>1093</v>
      </c>
      <c r="DH124">
        <v>10137</v>
      </c>
      <c r="DI124">
        <v>0.35649999999999998</v>
      </c>
      <c r="DJ124">
        <v>2</v>
      </c>
      <c r="DK124">
        <v>4.8800000000000003E-2</v>
      </c>
      <c r="DL124">
        <v>3800</v>
      </c>
      <c r="DM124">
        <v>1900</v>
      </c>
      <c r="DN124">
        <v>3800</v>
      </c>
      <c r="DO124">
        <v>1</v>
      </c>
      <c r="DP124">
        <v>0.28610000000000002</v>
      </c>
      <c r="DQ124">
        <v>92</v>
      </c>
      <c r="DR124">
        <v>1900</v>
      </c>
    </row>
    <row r="125" spans="95:122" x14ac:dyDescent="0.25">
      <c r="CQ125" t="s">
        <v>636</v>
      </c>
      <c r="CR125" t="s">
        <v>124</v>
      </c>
      <c r="CS125" t="s">
        <v>51</v>
      </c>
      <c r="CT125">
        <v>46064</v>
      </c>
      <c r="CU125">
        <v>1</v>
      </c>
      <c r="CV125">
        <v>1</v>
      </c>
      <c r="CX125">
        <v>1</v>
      </c>
      <c r="CZ125">
        <v>3.4722222222222222E-5</v>
      </c>
      <c r="DA125">
        <v>3.4722222222222222E-5</v>
      </c>
      <c r="DB125">
        <v>2.6099537037037036E-2</v>
      </c>
      <c r="DC125">
        <v>3.6921296296296298E-3</v>
      </c>
      <c r="DD125">
        <v>85</v>
      </c>
      <c r="DE125">
        <v>155</v>
      </c>
      <c r="DF125">
        <v>12</v>
      </c>
      <c r="DG125" t="s">
        <v>716</v>
      </c>
      <c r="DH125">
        <v>14881</v>
      </c>
      <c r="DI125">
        <v>0.14119999999999999</v>
      </c>
      <c r="DJ125">
        <v>1</v>
      </c>
      <c r="DK125">
        <v>8.3299999999999999E-2</v>
      </c>
      <c r="DL125">
        <v>250</v>
      </c>
      <c r="DM125">
        <v>250</v>
      </c>
      <c r="DN125">
        <v>250</v>
      </c>
      <c r="DO125">
        <v>1</v>
      </c>
      <c r="DP125">
        <v>0.31640000000000001</v>
      </c>
      <c r="DQ125">
        <v>92</v>
      </c>
      <c r="DR125">
        <v>250</v>
      </c>
    </row>
    <row r="126" spans="95:122" x14ac:dyDescent="0.25">
      <c r="CQ126" t="s">
        <v>636</v>
      </c>
      <c r="CR126" t="s">
        <v>124</v>
      </c>
      <c r="CS126" t="s">
        <v>49</v>
      </c>
      <c r="CT126">
        <v>46073</v>
      </c>
      <c r="CU126">
        <v>1</v>
      </c>
      <c r="CV126">
        <v>1</v>
      </c>
      <c r="CX126">
        <v>1</v>
      </c>
      <c r="CZ126">
        <v>0</v>
      </c>
      <c r="DA126">
        <v>0</v>
      </c>
      <c r="DB126">
        <v>0.20719907407407406</v>
      </c>
      <c r="DC126">
        <v>0.13120370370370371</v>
      </c>
      <c r="DD126">
        <v>88</v>
      </c>
      <c r="DE126">
        <v>143</v>
      </c>
      <c r="DF126">
        <v>21</v>
      </c>
      <c r="DG126" t="s">
        <v>845</v>
      </c>
      <c r="DH126">
        <v>28883</v>
      </c>
      <c r="DI126">
        <v>0.23860000000000001</v>
      </c>
      <c r="DQ126">
        <v>92</v>
      </c>
    </row>
    <row r="127" spans="95:122" x14ac:dyDescent="0.25">
      <c r="CQ127" t="s">
        <v>636</v>
      </c>
      <c r="CR127" t="s">
        <v>124</v>
      </c>
      <c r="CS127" t="s">
        <v>49</v>
      </c>
      <c r="CT127">
        <v>46076</v>
      </c>
      <c r="CU127">
        <v>1</v>
      </c>
      <c r="CV127">
        <v>1</v>
      </c>
      <c r="CX127">
        <v>1</v>
      </c>
      <c r="CZ127">
        <v>1.3541666666666667E-3</v>
      </c>
      <c r="DA127">
        <v>1.3541666666666667E-3</v>
      </c>
      <c r="DB127">
        <v>0.20971064814814816</v>
      </c>
      <c r="DC127">
        <v>0.14053240740740741</v>
      </c>
      <c r="DD127">
        <v>79</v>
      </c>
      <c r="DE127">
        <v>132</v>
      </c>
      <c r="DF127">
        <v>11</v>
      </c>
      <c r="DG127" t="s">
        <v>847</v>
      </c>
      <c r="DH127">
        <v>29466</v>
      </c>
      <c r="DI127">
        <v>0.13919999999999999</v>
      </c>
      <c r="DJ127">
        <v>1</v>
      </c>
      <c r="DK127">
        <v>9.0899999999999995E-2</v>
      </c>
      <c r="DL127">
        <v>1200</v>
      </c>
      <c r="DM127">
        <v>1200</v>
      </c>
      <c r="DN127">
        <v>1200</v>
      </c>
      <c r="DO127">
        <v>1</v>
      </c>
      <c r="DP127">
        <v>0.23430000000000001</v>
      </c>
      <c r="DQ127">
        <v>92</v>
      </c>
      <c r="DR127">
        <v>1200</v>
      </c>
    </row>
    <row r="128" spans="95:122" x14ac:dyDescent="0.25">
      <c r="CQ128" t="s">
        <v>636</v>
      </c>
      <c r="CR128" t="s">
        <v>124</v>
      </c>
      <c r="CS128" t="s">
        <v>549</v>
      </c>
      <c r="CT128">
        <v>46073</v>
      </c>
      <c r="CU128">
        <v>1</v>
      </c>
      <c r="CV128">
        <v>1</v>
      </c>
      <c r="CX128">
        <v>1</v>
      </c>
      <c r="CZ128">
        <v>0</v>
      </c>
      <c r="DA128">
        <v>0</v>
      </c>
      <c r="DB128">
        <v>0.24188657407407407</v>
      </c>
      <c r="DC128">
        <v>0.11670138888888888</v>
      </c>
      <c r="DD128">
        <v>167</v>
      </c>
      <c r="DE128">
        <v>228</v>
      </c>
      <c r="DF128">
        <v>15</v>
      </c>
      <c r="DG128" t="s">
        <v>718</v>
      </c>
      <c r="DH128">
        <v>26007</v>
      </c>
      <c r="DI128">
        <v>8.9800000000000005E-2</v>
      </c>
      <c r="DQ128">
        <v>92</v>
      </c>
    </row>
    <row r="129" spans="95:122" x14ac:dyDescent="0.25">
      <c r="CQ129" t="s">
        <v>636</v>
      </c>
      <c r="CR129" t="s">
        <v>124</v>
      </c>
      <c r="CS129" t="s">
        <v>77</v>
      </c>
      <c r="CT129">
        <v>46055</v>
      </c>
      <c r="CU129">
        <v>1</v>
      </c>
      <c r="CV129">
        <v>1</v>
      </c>
      <c r="CX129">
        <v>1</v>
      </c>
      <c r="CZ129">
        <v>0</v>
      </c>
      <c r="DA129">
        <v>0</v>
      </c>
      <c r="DB129">
        <v>1.5324074074074073E-2</v>
      </c>
      <c r="DC129">
        <v>2.5879629629629631E-2</v>
      </c>
      <c r="DD129">
        <v>57</v>
      </c>
      <c r="DE129">
        <v>101</v>
      </c>
      <c r="DF129">
        <v>24</v>
      </c>
      <c r="DG129">
        <v>1.625</v>
      </c>
      <c r="DH129">
        <v>9212</v>
      </c>
      <c r="DI129">
        <v>0.42109999999999997</v>
      </c>
      <c r="DJ129">
        <v>10</v>
      </c>
      <c r="DK129">
        <v>0.41670000000000001</v>
      </c>
      <c r="DL129">
        <v>7622</v>
      </c>
      <c r="DM129">
        <v>762</v>
      </c>
      <c r="DN129">
        <v>6822</v>
      </c>
      <c r="DO129">
        <v>0.89500000000000002</v>
      </c>
      <c r="DP129">
        <v>0.67879999999999996</v>
      </c>
      <c r="DQ129">
        <v>92</v>
      </c>
      <c r="DR129">
        <v>975</v>
      </c>
    </row>
    <row r="130" spans="95:122" x14ac:dyDescent="0.25">
      <c r="CQ130" t="s">
        <v>636</v>
      </c>
      <c r="CR130" t="s">
        <v>124</v>
      </c>
      <c r="CS130" t="s">
        <v>55</v>
      </c>
      <c r="CT130">
        <v>46072</v>
      </c>
      <c r="CU130">
        <v>1</v>
      </c>
      <c r="CV130">
        <v>1</v>
      </c>
      <c r="CX130">
        <v>1</v>
      </c>
      <c r="CZ130">
        <v>1.8518518518518518E-4</v>
      </c>
      <c r="DA130">
        <v>1.8518518518518518E-4</v>
      </c>
      <c r="DB130">
        <v>0.2129050925925926</v>
      </c>
      <c r="DC130">
        <v>0.16048611111111111</v>
      </c>
      <c r="DD130">
        <v>161</v>
      </c>
      <c r="DE130">
        <v>283</v>
      </c>
      <c r="DF130">
        <v>35</v>
      </c>
      <c r="DG130" t="s">
        <v>920</v>
      </c>
      <c r="DH130">
        <v>12567</v>
      </c>
      <c r="DI130">
        <v>0.21740000000000001</v>
      </c>
      <c r="DJ130">
        <v>1</v>
      </c>
      <c r="DK130">
        <v>2.86E-2</v>
      </c>
      <c r="DL130">
        <v>200</v>
      </c>
      <c r="DM130">
        <v>200</v>
      </c>
      <c r="DN130">
        <v>200</v>
      </c>
      <c r="DO130">
        <v>1</v>
      </c>
      <c r="DP130">
        <v>0.28399999999999997</v>
      </c>
      <c r="DQ130">
        <v>92</v>
      </c>
      <c r="DR130">
        <v>200</v>
      </c>
    </row>
    <row r="131" spans="95:122" x14ac:dyDescent="0.25">
      <c r="CQ131" t="s">
        <v>636</v>
      </c>
      <c r="CR131" t="s">
        <v>124</v>
      </c>
      <c r="CS131" t="s">
        <v>55</v>
      </c>
      <c r="CT131">
        <v>46073</v>
      </c>
      <c r="CU131">
        <v>1</v>
      </c>
      <c r="CV131">
        <v>1</v>
      </c>
      <c r="CX131">
        <v>1</v>
      </c>
      <c r="CZ131">
        <v>1.1574074074074073E-5</v>
      </c>
      <c r="DA131">
        <v>1.1574074074074073E-5</v>
      </c>
      <c r="DB131">
        <v>0.21417824074074074</v>
      </c>
      <c r="DC131">
        <v>0.13553240740740741</v>
      </c>
      <c r="DD131">
        <v>146</v>
      </c>
      <c r="DE131">
        <v>218</v>
      </c>
      <c r="DF131">
        <v>27</v>
      </c>
      <c r="DG131" t="s">
        <v>726</v>
      </c>
      <c r="DH131">
        <v>19057</v>
      </c>
      <c r="DI131">
        <v>0.18490000000000001</v>
      </c>
      <c r="DQ131">
        <v>92</v>
      </c>
    </row>
    <row r="132" spans="95:122" x14ac:dyDescent="0.25">
      <c r="CQ132" t="s">
        <v>636</v>
      </c>
      <c r="CR132" t="s">
        <v>124</v>
      </c>
      <c r="CS132" t="s">
        <v>55</v>
      </c>
      <c r="CT132">
        <v>46079</v>
      </c>
      <c r="CU132">
        <v>1</v>
      </c>
      <c r="CV132">
        <v>1</v>
      </c>
      <c r="CX132">
        <v>1</v>
      </c>
      <c r="CZ132">
        <v>5.7870370370370373E-5</v>
      </c>
      <c r="DA132">
        <v>5.7870370370370373E-5</v>
      </c>
      <c r="DB132">
        <v>0.11348379629629629</v>
      </c>
      <c r="DC132">
        <v>0.22375</v>
      </c>
      <c r="DD132">
        <v>160</v>
      </c>
      <c r="DE132">
        <v>259</v>
      </c>
      <c r="DF132">
        <v>46</v>
      </c>
      <c r="DG132" t="s">
        <v>849</v>
      </c>
      <c r="DH132">
        <v>7898</v>
      </c>
      <c r="DI132">
        <v>0.28749999999999998</v>
      </c>
      <c r="DJ132">
        <v>3</v>
      </c>
      <c r="DK132">
        <v>6.5199999999999994E-2</v>
      </c>
      <c r="DL132">
        <v>1100</v>
      </c>
      <c r="DM132">
        <v>367</v>
      </c>
      <c r="DN132">
        <v>780</v>
      </c>
      <c r="DO132">
        <v>0.70909999999999995</v>
      </c>
      <c r="DP132">
        <v>0.24440000000000001</v>
      </c>
      <c r="DQ132">
        <v>92</v>
      </c>
      <c r="DR132">
        <v>390</v>
      </c>
    </row>
    <row r="133" spans="95:122" x14ac:dyDescent="0.25">
      <c r="CQ133" t="s">
        <v>636</v>
      </c>
      <c r="CR133" t="s">
        <v>124</v>
      </c>
      <c r="CS133" t="s">
        <v>73</v>
      </c>
      <c r="CT133">
        <v>46059</v>
      </c>
      <c r="CU133">
        <v>1</v>
      </c>
      <c r="CV133">
        <v>1</v>
      </c>
      <c r="CX133">
        <v>1</v>
      </c>
      <c r="CZ133">
        <v>8.1018518518518516E-5</v>
      </c>
      <c r="DA133">
        <v>8.1018518518518516E-5</v>
      </c>
      <c r="DB133">
        <v>9.3217592592592588E-2</v>
      </c>
      <c r="DC133">
        <v>1.3541666666666667E-2</v>
      </c>
      <c r="DD133">
        <v>54</v>
      </c>
      <c r="DE133">
        <v>78</v>
      </c>
      <c r="DF133">
        <v>17</v>
      </c>
      <c r="DG133" t="s">
        <v>839</v>
      </c>
      <c r="DH133">
        <v>17970</v>
      </c>
      <c r="DI133">
        <v>0.31480000000000002</v>
      </c>
      <c r="DJ133">
        <v>6</v>
      </c>
      <c r="DK133">
        <v>0.35289999999999999</v>
      </c>
      <c r="DL133">
        <v>2340</v>
      </c>
      <c r="DM133">
        <v>390</v>
      </c>
      <c r="DN133">
        <v>1000</v>
      </c>
      <c r="DO133">
        <v>0.4274</v>
      </c>
      <c r="DP133">
        <v>0.2198</v>
      </c>
      <c r="DQ133">
        <v>92</v>
      </c>
      <c r="DR133">
        <v>500</v>
      </c>
    </row>
    <row r="134" spans="95:122" x14ac:dyDescent="0.25">
      <c r="CQ134" t="s">
        <v>636</v>
      </c>
      <c r="CR134" t="s">
        <v>124</v>
      </c>
      <c r="CS134" t="s">
        <v>73</v>
      </c>
      <c r="CT134">
        <v>46081</v>
      </c>
      <c r="CU134">
        <v>1</v>
      </c>
      <c r="CV134">
        <v>1</v>
      </c>
      <c r="CW134">
        <v>1</v>
      </c>
      <c r="CZ134">
        <v>8.8541666666666664E-3</v>
      </c>
      <c r="DA134">
        <v>8.8541666666666664E-3</v>
      </c>
      <c r="DB134">
        <v>5.3101851851851851E-2</v>
      </c>
      <c r="DC134">
        <v>6.9224537037037043E-2</v>
      </c>
      <c r="DD134">
        <v>17</v>
      </c>
      <c r="DE134">
        <v>34</v>
      </c>
      <c r="DF134">
        <v>3</v>
      </c>
      <c r="DG134" t="s">
        <v>687</v>
      </c>
      <c r="DH134">
        <v>6111</v>
      </c>
      <c r="DI134">
        <v>0.17649999999999999</v>
      </c>
      <c r="DJ134">
        <v>1</v>
      </c>
      <c r="DK134">
        <v>0.33329999999999999</v>
      </c>
      <c r="DL134">
        <v>500</v>
      </c>
      <c r="DM134">
        <v>500</v>
      </c>
      <c r="DN134">
        <v>500</v>
      </c>
      <c r="DO134">
        <v>1</v>
      </c>
      <c r="DP134">
        <v>0.35270000000000001</v>
      </c>
      <c r="DQ134">
        <v>92</v>
      </c>
      <c r="DR134">
        <v>500</v>
      </c>
    </row>
    <row r="135" spans="95:122" x14ac:dyDescent="0.25">
      <c r="CQ135" t="s">
        <v>636</v>
      </c>
      <c r="CR135" t="s">
        <v>124</v>
      </c>
      <c r="CS135" t="s">
        <v>48</v>
      </c>
      <c r="CT135">
        <v>46079</v>
      </c>
      <c r="CU135">
        <v>1</v>
      </c>
      <c r="CV135">
        <v>1</v>
      </c>
      <c r="CX135">
        <v>1</v>
      </c>
      <c r="CZ135">
        <v>0</v>
      </c>
      <c r="DA135">
        <v>0</v>
      </c>
      <c r="DB135">
        <v>0.15418981481481481</v>
      </c>
      <c r="DC135">
        <v>0.19138888888888889</v>
      </c>
      <c r="DD135">
        <v>103</v>
      </c>
      <c r="DE135">
        <v>134</v>
      </c>
      <c r="DF135">
        <v>33</v>
      </c>
      <c r="DG135" t="s">
        <v>889</v>
      </c>
      <c r="DH135">
        <v>19497</v>
      </c>
      <c r="DI135">
        <v>0.32040000000000002</v>
      </c>
      <c r="DJ135">
        <v>1</v>
      </c>
      <c r="DK135">
        <v>3.0300000000000001E-2</v>
      </c>
      <c r="DL135">
        <v>585</v>
      </c>
      <c r="DM135">
        <v>585</v>
      </c>
      <c r="DN135">
        <v>585</v>
      </c>
      <c r="DO135">
        <v>1</v>
      </c>
      <c r="DP135">
        <v>0.99990000000000001</v>
      </c>
      <c r="DQ135">
        <v>92</v>
      </c>
      <c r="DR135">
        <v>585</v>
      </c>
    </row>
    <row r="136" spans="95:122" x14ac:dyDescent="0.25">
      <c r="CQ136" t="s">
        <v>636</v>
      </c>
      <c r="CR136" t="s">
        <v>125</v>
      </c>
      <c r="CS136" t="s">
        <v>18</v>
      </c>
      <c r="CT136">
        <v>46073</v>
      </c>
      <c r="CU136">
        <v>1</v>
      </c>
      <c r="CV136">
        <v>1</v>
      </c>
      <c r="CX136">
        <v>1</v>
      </c>
      <c r="CZ136">
        <v>6.9444444444444444E-5</v>
      </c>
      <c r="DA136">
        <v>6.9444444444444444E-5</v>
      </c>
      <c r="DB136">
        <v>0.19238425925925925</v>
      </c>
      <c r="DC136">
        <v>0.15185185185185185</v>
      </c>
      <c r="DD136">
        <v>188</v>
      </c>
      <c r="DE136">
        <v>309</v>
      </c>
      <c r="DF136">
        <v>18</v>
      </c>
      <c r="DG136" t="s">
        <v>674</v>
      </c>
      <c r="DH136">
        <v>39085</v>
      </c>
      <c r="DI136">
        <v>9.5699999999999993E-2</v>
      </c>
      <c r="DJ136">
        <v>1</v>
      </c>
      <c r="DK136">
        <v>5.5599999999999997E-2</v>
      </c>
      <c r="DL136">
        <v>2000</v>
      </c>
      <c r="DM136">
        <v>2000</v>
      </c>
      <c r="DN136">
        <v>2000</v>
      </c>
      <c r="DO136">
        <v>1</v>
      </c>
      <c r="DP136">
        <v>0.1489</v>
      </c>
      <c r="DQ136">
        <v>92</v>
      </c>
      <c r="DR136">
        <v>2000</v>
      </c>
    </row>
    <row r="137" spans="95:122" x14ac:dyDescent="0.25">
      <c r="CQ137" t="s">
        <v>636</v>
      </c>
      <c r="CR137" t="s">
        <v>125</v>
      </c>
      <c r="CS137" t="s">
        <v>60</v>
      </c>
      <c r="CT137">
        <v>46059</v>
      </c>
      <c r="CU137">
        <v>1</v>
      </c>
      <c r="CV137">
        <v>1</v>
      </c>
      <c r="CX137">
        <v>1</v>
      </c>
      <c r="CZ137">
        <v>1.1574074074074073E-5</v>
      </c>
      <c r="DA137">
        <v>1.1574074074074073E-5</v>
      </c>
      <c r="DB137">
        <v>1.1770833333333333E-2</v>
      </c>
      <c r="DC137">
        <v>1.2627314814814815E-2</v>
      </c>
      <c r="DD137">
        <v>78</v>
      </c>
      <c r="DE137">
        <v>129</v>
      </c>
      <c r="DF137">
        <v>11</v>
      </c>
      <c r="DG137" t="s">
        <v>671</v>
      </c>
      <c r="DH137">
        <v>45329</v>
      </c>
      <c r="DI137">
        <v>0.14099999999999999</v>
      </c>
      <c r="DJ137">
        <v>1</v>
      </c>
      <c r="DK137">
        <v>9.0899999999999995E-2</v>
      </c>
      <c r="DL137">
        <v>4200</v>
      </c>
      <c r="DM137">
        <v>4200</v>
      </c>
      <c r="DN137">
        <v>4200</v>
      </c>
      <c r="DO137">
        <v>1</v>
      </c>
      <c r="DP137">
        <v>0.2089</v>
      </c>
      <c r="DQ137">
        <v>92</v>
      </c>
      <c r="DR137">
        <v>4200</v>
      </c>
    </row>
    <row r="138" spans="95:122" x14ac:dyDescent="0.25">
      <c r="CQ138" t="s">
        <v>636</v>
      </c>
      <c r="CR138" t="s">
        <v>125</v>
      </c>
      <c r="CS138" t="s">
        <v>60</v>
      </c>
      <c r="CT138">
        <v>46062</v>
      </c>
      <c r="CU138">
        <v>1</v>
      </c>
      <c r="CV138">
        <v>1</v>
      </c>
      <c r="CX138">
        <v>1</v>
      </c>
      <c r="CZ138">
        <v>3.4722222222222222E-5</v>
      </c>
      <c r="DA138">
        <v>3.4722222222222222E-5</v>
      </c>
      <c r="DB138">
        <v>2.4409722222222222E-2</v>
      </c>
      <c r="DC138">
        <v>3.0555555555555557E-3</v>
      </c>
      <c r="DD138">
        <v>66</v>
      </c>
      <c r="DE138">
        <v>144</v>
      </c>
      <c r="DF138">
        <v>13</v>
      </c>
      <c r="DG138" t="s">
        <v>754</v>
      </c>
      <c r="DH138">
        <v>22419</v>
      </c>
      <c r="DI138">
        <v>0.19700000000000001</v>
      </c>
      <c r="DJ138">
        <v>3</v>
      </c>
      <c r="DK138">
        <v>0.23080000000000001</v>
      </c>
      <c r="DL138">
        <v>6700</v>
      </c>
      <c r="DM138">
        <v>2233</v>
      </c>
      <c r="DN138">
        <v>6700</v>
      </c>
      <c r="DO138">
        <v>1</v>
      </c>
      <c r="DP138">
        <v>0.12790000000000001</v>
      </c>
      <c r="DQ138">
        <v>92</v>
      </c>
      <c r="DR138">
        <v>2233</v>
      </c>
    </row>
    <row r="139" spans="95:122" x14ac:dyDescent="0.25">
      <c r="CQ139" t="s">
        <v>636</v>
      </c>
      <c r="CR139" t="s">
        <v>125</v>
      </c>
      <c r="CS139" t="s">
        <v>60</v>
      </c>
      <c r="CT139">
        <v>46064</v>
      </c>
      <c r="CU139">
        <v>1</v>
      </c>
      <c r="CV139">
        <v>1</v>
      </c>
      <c r="CX139">
        <v>1</v>
      </c>
      <c r="CZ139">
        <v>3.4722222222222222E-5</v>
      </c>
      <c r="DA139">
        <v>3.4722222222222222E-5</v>
      </c>
      <c r="DB139">
        <v>9.3171296296296301E-3</v>
      </c>
      <c r="DC139">
        <v>1.650462962962963E-2</v>
      </c>
      <c r="DD139">
        <v>73</v>
      </c>
      <c r="DE139">
        <v>115</v>
      </c>
      <c r="DF139">
        <v>8</v>
      </c>
      <c r="DG139">
        <v>2.25</v>
      </c>
      <c r="DH139">
        <v>61986</v>
      </c>
      <c r="DI139">
        <v>0.1096</v>
      </c>
      <c r="DJ139">
        <v>2</v>
      </c>
      <c r="DK139">
        <v>0.25</v>
      </c>
      <c r="DL139">
        <v>15200</v>
      </c>
      <c r="DM139">
        <v>7600</v>
      </c>
      <c r="DN139">
        <v>15200</v>
      </c>
      <c r="DO139">
        <v>1</v>
      </c>
      <c r="DP139">
        <v>0.16719999999999999</v>
      </c>
      <c r="DQ139">
        <v>92</v>
      </c>
      <c r="DR139">
        <v>7600</v>
      </c>
    </row>
    <row r="140" spans="95:122" x14ac:dyDescent="0.25">
      <c r="CQ140" t="s">
        <v>636</v>
      </c>
      <c r="CR140" t="s">
        <v>125</v>
      </c>
      <c r="CS140" t="s">
        <v>60</v>
      </c>
      <c r="CT140">
        <v>46079</v>
      </c>
      <c r="CU140">
        <v>1</v>
      </c>
      <c r="CV140">
        <v>1</v>
      </c>
      <c r="CX140">
        <v>1</v>
      </c>
      <c r="CZ140">
        <v>5.7870370370370373E-5</v>
      </c>
      <c r="DA140">
        <v>5.7870370370370373E-5</v>
      </c>
      <c r="DB140">
        <v>0.19008101851851852</v>
      </c>
      <c r="DC140">
        <v>0.13892361111111112</v>
      </c>
      <c r="DD140">
        <v>127</v>
      </c>
      <c r="DE140">
        <v>176</v>
      </c>
      <c r="DF140">
        <v>15</v>
      </c>
      <c r="DG140" t="s">
        <v>859</v>
      </c>
      <c r="DH140">
        <v>16919</v>
      </c>
      <c r="DI140">
        <v>0.1181</v>
      </c>
      <c r="DJ140">
        <v>1</v>
      </c>
      <c r="DK140">
        <v>6.6699999999999995E-2</v>
      </c>
      <c r="DL140">
        <v>2500</v>
      </c>
      <c r="DM140">
        <v>2500</v>
      </c>
      <c r="DN140">
        <v>2500</v>
      </c>
      <c r="DO140">
        <v>1</v>
      </c>
      <c r="DP140">
        <v>0.14660000000000001</v>
      </c>
      <c r="DQ140">
        <v>92</v>
      </c>
      <c r="DR140">
        <v>2500</v>
      </c>
    </row>
    <row r="141" spans="95:122" x14ac:dyDescent="0.25">
      <c r="CQ141" t="s">
        <v>636</v>
      </c>
      <c r="CR141" t="s">
        <v>125</v>
      </c>
      <c r="CS141" t="s">
        <v>12</v>
      </c>
      <c r="CT141">
        <v>46073</v>
      </c>
      <c r="CU141">
        <v>1</v>
      </c>
      <c r="CV141">
        <v>1</v>
      </c>
      <c r="CX141">
        <v>1</v>
      </c>
      <c r="CZ141">
        <v>2.3148148148148149E-4</v>
      </c>
      <c r="DA141">
        <v>2.3148148148148149E-4</v>
      </c>
      <c r="DB141">
        <v>0.19447916666666668</v>
      </c>
      <c r="DC141">
        <v>0.16361111111111112</v>
      </c>
      <c r="DD141">
        <v>63</v>
      </c>
      <c r="DE141">
        <v>211</v>
      </c>
      <c r="DF141">
        <v>24</v>
      </c>
      <c r="DG141" t="s">
        <v>716</v>
      </c>
      <c r="DH141">
        <v>21075</v>
      </c>
      <c r="DI141">
        <v>0.38100000000000001</v>
      </c>
      <c r="DJ141">
        <v>3</v>
      </c>
      <c r="DK141">
        <v>0.125</v>
      </c>
      <c r="DL141">
        <v>3720</v>
      </c>
      <c r="DM141">
        <v>1240</v>
      </c>
      <c r="DN141">
        <v>3500</v>
      </c>
      <c r="DO141">
        <v>0.94089999999999996</v>
      </c>
      <c r="DP141">
        <v>0.18149999999999999</v>
      </c>
      <c r="DQ141">
        <v>92</v>
      </c>
      <c r="DR141">
        <v>1750</v>
      </c>
    </row>
    <row r="142" spans="95:122" x14ac:dyDescent="0.25">
      <c r="CQ142" t="s">
        <v>636</v>
      </c>
      <c r="CR142" t="s">
        <v>2</v>
      </c>
      <c r="CS142" t="s">
        <v>42</v>
      </c>
      <c r="CT142">
        <v>46058</v>
      </c>
      <c r="CU142">
        <v>1</v>
      </c>
      <c r="CV142">
        <v>1</v>
      </c>
      <c r="CX142">
        <v>1</v>
      </c>
      <c r="CZ142">
        <v>4.6296296296296294E-5</v>
      </c>
      <c r="DA142">
        <v>4.6296296296296294E-5</v>
      </c>
      <c r="DB142">
        <v>4.4513888888888888E-2</v>
      </c>
      <c r="DC142">
        <v>1.7824074074074076E-2</v>
      </c>
      <c r="DD142">
        <v>73</v>
      </c>
      <c r="DE142">
        <v>156</v>
      </c>
      <c r="DF142">
        <v>26</v>
      </c>
      <c r="DG142">
        <v>1.5</v>
      </c>
      <c r="DH142">
        <v>7846</v>
      </c>
      <c r="DI142">
        <v>0.35620000000000002</v>
      </c>
      <c r="DJ142">
        <v>1</v>
      </c>
      <c r="DK142">
        <v>3.85E-2</v>
      </c>
      <c r="DL142">
        <v>300</v>
      </c>
      <c r="DM142">
        <v>300</v>
      </c>
      <c r="DN142">
        <v>300</v>
      </c>
      <c r="DO142">
        <v>1</v>
      </c>
      <c r="DP142">
        <v>0.83819999999999995</v>
      </c>
      <c r="DQ142">
        <v>92</v>
      </c>
      <c r="DR142">
        <v>300</v>
      </c>
    </row>
    <row r="143" spans="95:122" x14ac:dyDescent="0.25">
      <c r="CQ143" t="s">
        <v>636</v>
      </c>
      <c r="CR143" t="s">
        <v>2</v>
      </c>
      <c r="CS143" t="s">
        <v>42</v>
      </c>
      <c r="CT143">
        <v>46059</v>
      </c>
      <c r="CU143">
        <v>1</v>
      </c>
      <c r="CV143">
        <v>1</v>
      </c>
      <c r="CX143">
        <v>1</v>
      </c>
      <c r="CZ143">
        <v>0</v>
      </c>
      <c r="DA143">
        <v>0</v>
      </c>
      <c r="DB143">
        <v>4.4293981481481483E-2</v>
      </c>
      <c r="DC143">
        <v>2.9421296296296296E-2</v>
      </c>
      <c r="DD143">
        <v>68</v>
      </c>
      <c r="DE143">
        <v>134</v>
      </c>
      <c r="DF143">
        <v>18</v>
      </c>
      <c r="DG143" t="s">
        <v>715</v>
      </c>
      <c r="DH143">
        <v>29781</v>
      </c>
      <c r="DI143">
        <v>0.26469999999999999</v>
      </c>
      <c r="DJ143">
        <v>2</v>
      </c>
      <c r="DK143">
        <v>0.1111</v>
      </c>
      <c r="DL143">
        <v>2200</v>
      </c>
      <c r="DM143">
        <v>1100</v>
      </c>
      <c r="DN143">
        <v>2200</v>
      </c>
      <c r="DO143">
        <v>1</v>
      </c>
      <c r="DP143">
        <v>0.36259999999999998</v>
      </c>
      <c r="DQ143">
        <v>92</v>
      </c>
      <c r="DR143">
        <v>1100</v>
      </c>
    </row>
    <row r="144" spans="95:122" x14ac:dyDescent="0.25">
      <c r="CQ144" t="s">
        <v>636</v>
      </c>
      <c r="CR144" t="s">
        <v>2</v>
      </c>
      <c r="CS144" t="s">
        <v>25</v>
      </c>
      <c r="CT144">
        <v>46081</v>
      </c>
      <c r="CU144">
        <v>1</v>
      </c>
      <c r="CV144">
        <v>1</v>
      </c>
      <c r="CW144">
        <v>1</v>
      </c>
      <c r="CZ144">
        <v>1.7523148148148149E-2</v>
      </c>
      <c r="DA144">
        <v>1.7523148148148149E-2</v>
      </c>
      <c r="DB144">
        <v>8.8402777777777775E-2</v>
      </c>
      <c r="DC144">
        <v>7.604166666666666E-2</v>
      </c>
      <c r="DD144">
        <v>23</v>
      </c>
      <c r="DE144">
        <v>32</v>
      </c>
      <c r="DF144">
        <v>9</v>
      </c>
      <c r="DG144" t="s">
        <v>718</v>
      </c>
      <c r="DH144">
        <v>31233</v>
      </c>
      <c r="DI144">
        <v>0.39129999999999998</v>
      </c>
      <c r="DJ144">
        <v>1</v>
      </c>
      <c r="DK144">
        <v>0.1111</v>
      </c>
      <c r="DL144">
        <v>100</v>
      </c>
      <c r="DM144">
        <v>100</v>
      </c>
      <c r="DN144">
        <v>100</v>
      </c>
      <c r="DO144">
        <v>1</v>
      </c>
      <c r="DP144">
        <v>0.27650000000000002</v>
      </c>
      <c r="DQ144">
        <v>92</v>
      </c>
      <c r="DR144">
        <v>100</v>
      </c>
    </row>
    <row r="145" spans="95:122" x14ac:dyDescent="0.25">
      <c r="CQ145" t="s">
        <v>636</v>
      </c>
      <c r="CR145" t="s">
        <v>2</v>
      </c>
      <c r="CS145" t="s">
        <v>38</v>
      </c>
      <c r="CT145">
        <v>46076</v>
      </c>
      <c r="CU145">
        <v>1</v>
      </c>
      <c r="CV145">
        <v>1</v>
      </c>
      <c r="CX145">
        <v>1</v>
      </c>
      <c r="CZ145">
        <v>1.0532407407407407E-3</v>
      </c>
      <c r="DA145">
        <v>1.0532407407407407E-3</v>
      </c>
      <c r="DB145">
        <v>0.18633101851851852</v>
      </c>
      <c r="DC145">
        <v>0.1542361111111111</v>
      </c>
      <c r="DD145">
        <v>94</v>
      </c>
      <c r="DE145">
        <v>132</v>
      </c>
      <c r="DF145">
        <v>35</v>
      </c>
      <c r="DG145" t="s">
        <v>803</v>
      </c>
      <c r="DH145">
        <v>16057</v>
      </c>
      <c r="DI145">
        <v>0.37230000000000002</v>
      </c>
      <c r="DJ145">
        <v>2</v>
      </c>
      <c r="DK145">
        <v>5.7099999999999998E-2</v>
      </c>
      <c r="DL145">
        <v>1300</v>
      </c>
      <c r="DM145">
        <v>650</v>
      </c>
      <c r="DN145">
        <v>1300</v>
      </c>
      <c r="DO145">
        <v>1</v>
      </c>
      <c r="DP145">
        <v>0.32640000000000002</v>
      </c>
      <c r="DQ145">
        <v>92</v>
      </c>
      <c r="DR145">
        <v>650</v>
      </c>
    </row>
    <row r="146" spans="95:122" x14ac:dyDescent="0.25">
      <c r="CQ146" t="s">
        <v>636</v>
      </c>
      <c r="CR146" t="s">
        <v>2</v>
      </c>
      <c r="CS146" t="s">
        <v>79</v>
      </c>
      <c r="CT146">
        <v>46073</v>
      </c>
      <c r="CU146">
        <v>1</v>
      </c>
      <c r="CV146">
        <v>1</v>
      </c>
      <c r="CX146">
        <v>1</v>
      </c>
      <c r="CZ146">
        <v>1.5046296296296297E-4</v>
      </c>
      <c r="DA146">
        <v>1.5046296296296297E-4</v>
      </c>
      <c r="DB146">
        <v>0.23769675925925926</v>
      </c>
      <c r="DC146">
        <v>7.1423611111111104E-2</v>
      </c>
      <c r="DD146">
        <v>69</v>
      </c>
      <c r="DE146">
        <v>153</v>
      </c>
      <c r="DF146">
        <v>29</v>
      </c>
      <c r="DG146" t="s">
        <v>866</v>
      </c>
      <c r="DH146">
        <v>24086</v>
      </c>
      <c r="DI146">
        <v>0.42030000000000001</v>
      </c>
      <c r="DJ146">
        <v>1</v>
      </c>
      <c r="DK146">
        <v>3.4500000000000003E-2</v>
      </c>
      <c r="DL146">
        <v>1000</v>
      </c>
      <c r="DM146">
        <v>1000</v>
      </c>
      <c r="DN146">
        <v>1000</v>
      </c>
      <c r="DO146">
        <v>1</v>
      </c>
      <c r="DP146">
        <v>0.2402</v>
      </c>
      <c r="DQ146">
        <v>92</v>
      </c>
      <c r="DR146">
        <v>1000</v>
      </c>
    </row>
    <row r="147" spans="95:122" x14ac:dyDescent="0.25">
      <c r="CQ147" t="s">
        <v>636</v>
      </c>
      <c r="CR147" t="s">
        <v>6</v>
      </c>
      <c r="CS147" t="s">
        <v>37</v>
      </c>
      <c r="CT147">
        <v>46069</v>
      </c>
      <c r="CU147">
        <v>1</v>
      </c>
      <c r="CV147">
        <v>1</v>
      </c>
      <c r="CX147">
        <v>1</v>
      </c>
      <c r="CZ147">
        <v>2.5462962962962961E-4</v>
      </c>
      <c r="DA147">
        <v>2.5462962962962961E-4</v>
      </c>
      <c r="DB147">
        <v>0.15988425925925925</v>
      </c>
      <c r="DC147">
        <v>0.17454861111111111</v>
      </c>
      <c r="DD147">
        <v>142</v>
      </c>
      <c r="DE147">
        <v>179</v>
      </c>
      <c r="DF147">
        <v>15</v>
      </c>
      <c r="DG147">
        <v>1.6</v>
      </c>
      <c r="DH147">
        <v>22123</v>
      </c>
      <c r="DI147">
        <v>0.1056</v>
      </c>
      <c r="DJ147">
        <v>3</v>
      </c>
      <c r="DK147">
        <v>0.2</v>
      </c>
      <c r="DL147">
        <v>3500</v>
      </c>
      <c r="DM147">
        <v>1167</v>
      </c>
      <c r="DN147">
        <v>3500</v>
      </c>
      <c r="DO147">
        <v>1</v>
      </c>
      <c r="DP147">
        <v>0.34499999999999997</v>
      </c>
      <c r="DQ147">
        <v>92</v>
      </c>
      <c r="DR147">
        <v>1167</v>
      </c>
    </row>
    <row r="148" spans="95:122" x14ac:dyDescent="0.25">
      <c r="CQ148" t="s">
        <v>636</v>
      </c>
      <c r="CR148" t="s">
        <v>6</v>
      </c>
      <c r="CS148" t="s">
        <v>35</v>
      </c>
      <c r="CT148">
        <v>46081</v>
      </c>
      <c r="CU148">
        <v>1</v>
      </c>
      <c r="CV148">
        <v>1</v>
      </c>
      <c r="CX148">
        <v>1</v>
      </c>
      <c r="CZ148">
        <v>3.9351851851851852E-4</v>
      </c>
      <c r="DA148">
        <v>3.9351851851851852E-4</v>
      </c>
      <c r="DB148">
        <v>0.10293981481481482</v>
      </c>
      <c r="DC148">
        <v>0.10504629629629629</v>
      </c>
      <c r="DD148">
        <v>28</v>
      </c>
      <c r="DE148">
        <v>44</v>
      </c>
      <c r="DF148">
        <v>20</v>
      </c>
      <c r="DG148">
        <v>1.65</v>
      </c>
      <c r="DH148">
        <v>42256</v>
      </c>
      <c r="DI148">
        <v>0.71430000000000005</v>
      </c>
      <c r="DJ148">
        <v>1</v>
      </c>
      <c r="DK148">
        <v>0.05</v>
      </c>
      <c r="DL148">
        <v>3250</v>
      </c>
      <c r="DM148">
        <v>3250</v>
      </c>
      <c r="DN148">
        <v>3250</v>
      </c>
      <c r="DO148">
        <v>1</v>
      </c>
      <c r="DP148">
        <v>0.23669999999999999</v>
      </c>
      <c r="DQ148">
        <v>92</v>
      </c>
      <c r="DR148">
        <v>3250</v>
      </c>
    </row>
    <row r="149" spans="95:122" x14ac:dyDescent="0.25">
      <c r="CQ149" t="s">
        <v>636</v>
      </c>
      <c r="CR149" t="s">
        <v>6</v>
      </c>
      <c r="CS149" t="s">
        <v>97</v>
      </c>
      <c r="CT149">
        <v>46080</v>
      </c>
      <c r="CU149">
        <v>1</v>
      </c>
      <c r="CV149">
        <v>1</v>
      </c>
      <c r="CX149">
        <v>1</v>
      </c>
      <c r="CZ149">
        <v>6.9444444444444444E-5</v>
      </c>
      <c r="DA149">
        <v>6.9444444444444444E-5</v>
      </c>
      <c r="DB149">
        <v>0.11125</v>
      </c>
      <c r="DC149">
        <v>0.22283564814814816</v>
      </c>
      <c r="DD149">
        <v>97</v>
      </c>
      <c r="DE149">
        <v>173</v>
      </c>
      <c r="DF149">
        <v>18</v>
      </c>
      <c r="DG149" t="s">
        <v>965</v>
      </c>
      <c r="DH149">
        <v>29623</v>
      </c>
      <c r="DI149">
        <v>0.18559999999999999</v>
      </c>
      <c r="DJ149">
        <v>3</v>
      </c>
      <c r="DK149">
        <v>0.16669999999999999</v>
      </c>
      <c r="DL149">
        <v>26000</v>
      </c>
      <c r="DM149">
        <v>8667</v>
      </c>
      <c r="DN149">
        <v>26000</v>
      </c>
      <c r="DO149">
        <v>1</v>
      </c>
      <c r="DP149">
        <v>0.13669999999999999</v>
      </c>
      <c r="DQ149">
        <v>92</v>
      </c>
      <c r="DR149">
        <v>8667</v>
      </c>
    </row>
    <row r="150" spans="95:122" x14ac:dyDescent="0.25">
      <c r="CQ150" t="s">
        <v>636</v>
      </c>
      <c r="CR150" t="s">
        <v>6</v>
      </c>
      <c r="CS150" t="s">
        <v>34</v>
      </c>
      <c r="CT150">
        <v>46059</v>
      </c>
      <c r="CU150">
        <v>1</v>
      </c>
      <c r="CV150">
        <v>1</v>
      </c>
      <c r="CX150">
        <v>1</v>
      </c>
      <c r="CZ150">
        <v>9.2592592592592588E-5</v>
      </c>
      <c r="DA150">
        <v>9.2592592592592588E-5</v>
      </c>
      <c r="DB150">
        <v>5.3807870370370367E-2</v>
      </c>
      <c r="DC150">
        <v>3.246527777777778E-2</v>
      </c>
      <c r="DD150">
        <v>98</v>
      </c>
      <c r="DE150">
        <v>124</v>
      </c>
      <c r="DF150">
        <v>15</v>
      </c>
      <c r="DG150" t="s">
        <v>739</v>
      </c>
      <c r="DH150">
        <v>27455</v>
      </c>
      <c r="DI150">
        <v>0.15310000000000001</v>
      </c>
      <c r="DJ150">
        <v>3</v>
      </c>
      <c r="DK150">
        <v>0.2</v>
      </c>
      <c r="DL150">
        <v>6510</v>
      </c>
      <c r="DM150">
        <v>2170</v>
      </c>
      <c r="DN150">
        <v>6510</v>
      </c>
      <c r="DO150">
        <v>1</v>
      </c>
      <c r="DP150">
        <v>0.26819999999999999</v>
      </c>
      <c r="DQ150">
        <v>92</v>
      </c>
      <c r="DR150">
        <v>2170</v>
      </c>
    </row>
    <row r="151" spans="95:122" x14ac:dyDescent="0.25">
      <c r="CQ151" t="s">
        <v>636</v>
      </c>
      <c r="CR151" t="s">
        <v>6</v>
      </c>
      <c r="CS151" t="s">
        <v>78</v>
      </c>
      <c r="CT151">
        <v>46056</v>
      </c>
      <c r="CU151">
        <v>1</v>
      </c>
      <c r="CV151">
        <v>1</v>
      </c>
      <c r="CX151">
        <v>1</v>
      </c>
      <c r="CZ151">
        <v>1.6203703703703703E-4</v>
      </c>
      <c r="DA151">
        <v>1.6203703703703703E-4</v>
      </c>
      <c r="DB151">
        <v>6.8657407407407403E-2</v>
      </c>
      <c r="DC151">
        <v>6.5231481481481488E-2</v>
      </c>
      <c r="DD151">
        <v>89</v>
      </c>
      <c r="DE151">
        <v>142</v>
      </c>
      <c r="DF151">
        <v>24</v>
      </c>
      <c r="DG151">
        <v>1.625</v>
      </c>
      <c r="DH151">
        <v>11177</v>
      </c>
      <c r="DI151">
        <v>0.2697</v>
      </c>
      <c r="DJ151">
        <v>4</v>
      </c>
      <c r="DK151">
        <v>0.16669999999999999</v>
      </c>
      <c r="DL151">
        <v>2780</v>
      </c>
      <c r="DM151">
        <v>695</v>
      </c>
      <c r="DN151">
        <v>3980</v>
      </c>
      <c r="DO151">
        <v>1.4317</v>
      </c>
      <c r="DP151">
        <v>0.83760000000000001</v>
      </c>
      <c r="DQ151">
        <v>92</v>
      </c>
      <c r="DR151">
        <v>995</v>
      </c>
    </row>
    <row r="152" spans="95:122" x14ac:dyDescent="0.25">
      <c r="CQ152" t="s">
        <v>636</v>
      </c>
      <c r="CR152" t="s">
        <v>3</v>
      </c>
      <c r="CS152" t="s">
        <v>377</v>
      </c>
      <c r="CT152">
        <v>46069</v>
      </c>
      <c r="CU152">
        <v>1</v>
      </c>
      <c r="CV152">
        <v>1</v>
      </c>
      <c r="CW152">
        <v>1</v>
      </c>
      <c r="CZ152">
        <v>2.4027777777777776E-2</v>
      </c>
      <c r="DA152">
        <v>2.4027777777777776E-2</v>
      </c>
      <c r="DB152">
        <v>0.16065972222222222</v>
      </c>
      <c r="DC152">
        <v>0.1307986111111111</v>
      </c>
      <c r="DD152">
        <v>58</v>
      </c>
      <c r="DE152">
        <v>111</v>
      </c>
      <c r="DF152">
        <v>15</v>
      </c>
      <c r="DG152">
        <v>1.8</v>
      </c>
      <c r="DH152">
        <v>32915</v>
      </c>
      <c r="DI152">
        <v>0.2586</v>
      </c>
      <c r="DJ152">
        <v>3</v>
      </c>
      <c r="DK152">
        <v>0.2</v>
      </c>
      <c r="DL152">
        <v>15500</v>
      </c>
      <c r="DM152">
        <v>5167</v>
      </c>
      <c r="DN152">
        <v>15500</v>
      </c>
      <c r="DO152">
        <v>1</v>
      </c>
      <c r="DP152">
        <v>0.1231</v>
      </c>
      <c r="DQ152">
        <v>92</v>
      </c>
      <c r="DR152">
        <v>5167</v>
      </c>
    </row>
    <row r="153" spans="95:122" x14ac:dyDescent="0.25">
      <c r="CQ153" t="s">
        <v>636</v>
      </c>
      <c r="CR153" t="s">
        <v>3</v>
      </c>
      <c r="CS153" t="s">
        <v>22</v>
      </c>
      <c r="CT153">
        <v>46070</v>
      </c>
      <c r="CU153">
        <v>1</v>
      </c>
      <c r="CV153">
        <v>1</v>
      </c>
      <c r="CX153">
        <v>1</v>
      </c>
      <c r="CZ153">
        <v>0</v>
      </c>
      <c r="DA153">
        <v>0</v>
      </c>
      <c r="DB153">
        <v>0.19259259259259259</v>
      </c>
      <c r="DC153">
        <v>0.15278935185185186</v>
      </c>
      <c r="DD153">
        <v>66</v>
      </c>
      <c r="DE153">
        <v>150</v>
      </c>
      <c r="DF153">
        <v>21</v>
      </c>
      <c r="DG153" t="s">
        <v>817</v>
      </c>
      <c r="DH153">
        <v>28803</v>
      </c>
      <c r="DI153">
        <v>0.31819999999999998</v>
      </c>
      <c r="DJ153">
        <v>2</v>
      </c>
      <c r="DK153">
        <v>9.5200000000000007E-2</v>
      </c>
      <c r="DL153">
        <v>1500</v>
      </c>
      <c r="DM153">
        <v>750</v>
      </c>
      <c r="DQ153">
        <v>92</v>
      </c>
    </row>
    <row r="154" spans="95:122" x14ac:dyDescent="0.25">
      <c r="CQ154" t="s">
        <v>636</v>
      </c>
      <c r="CR154" t="s">
        <v>3</v>
      </c>
      <c r="CS154" t="s">
        <v>96</v>
      </c>
      <c r="CT154">
        <v>46066</v>
      </c>
      <c r="CU154">
        <v>1</v>
      </c>
      <c r="CV154">
        <v>1</v>
      </c>
      <c r="CW154">
        <v>1</v>
      </c>
      <c r="CZ154">
        <v>0.15060185185185185</v>
      </c>
      <c r="DA154">
        <v>0.15060185185185185</v>
      </c>
      <c r="DB154">
        <v>0.21447916666666667</v>
      </c>
      <c r="DC154">
        <v>0.14581018518518518</v>
      </c>
      <c r="DD154">
        <v>37</v>
      </c>
      <c r="DE154">
        <v>88</v>
      </c>
      <c r="DF154">
        <v>8</v>
      </c>
      <c r="DG154">
        <v>1.875</v>
      </c>
      <c r="DH154">
        <v>17030</v>
      </c>
      <c r="DI154">
        <v>0.2162</v>
      </c>
      <c r="DJ154">
        <v>1</v>
      </c>
      <c r="DK154">
        <v>0.125</v>
      </c>
      <c r="DL154">
        <v>500</v>
      </c>
      <c r="DM154">
        <v>500</v>
      </c>
      <c r="DN154">
        <v>500</v>
      </c>
      <c r="DO154">
        <v>1</v>
      </c>
      <c r="DQ154">
        <v>92</v>
      </c>
      <c r="DR154">
        <v>500</v>
      </c>
    </row>
    <row r="155" spans="95:122" x14ac:dyDescent="0.25">
      <c r="CQ155" t="s">
        <v>636</v>
      </c>
      <c r="CR155" t="s">
        <v>3</v>
      </c>
      <c r="CS155" t="s">
        <v>96</v>
      </c>
      <c r="CT155">
        <v>46069</v>
      </c>
      <c r="CU155">
        <v>1</v>
      </c>
      <c r="CV155">
        <v>1</v>
      </c>
      <c r="CX155">
        <v>1</v>
      </c>
      <c r="CZ155">
        <v>0</v>
      </c>
      <c r="DA155">
        <v>0</v>
      </c>
      <c r="DB155">
        <v>0.16259259259259259</v>
      </c>
      <c r="DC155">
        <v>0.18116898148148147</v>
      </c>
      <c r="DD155">
        <v>72</v>
      </c>
      <c r="DE155">
        <v>188</v>
      </c>
      <c r="DF155">
        <v>10</v>
      </c>
      <c r="DG155">
        <v>1.9</v>
      </c>
      <c r="DH155">
        <v>20875</v>
      </c>
      <c r="DI155">
        <v>0.1389</v>
      </c>
      <c r="DJ155">
        <v>1</v>
      </c>
      <c r="DK155">
        <v>0.1</v>
      </c>
      <c r="DL155">
        <v>2600</v>
      </c>
      <c r="DM155">
        <v>2600</v>
      </c>
      <c r="DN155">
        <v>2600</v>
      </c>
      <c r="DO155">
        <v>1</v>
      </c>
      <c r="DP155">
        <v>0.124</v>
      </c>
      <c r="DQ155">
        <v>92</v>
      </c>
      <c r="DR155">
        <v>2600</v>
      </c>
    </row>
    <row r="156" spans="95:122" x14ac:dyDescent="0.25">
      <c r="CQ156" t="s">
        <v>636</v>
      </c>
      <c r="CR156" t="s">
        <v>3</v>
      </c>
      <c r="CS156" t="s">
        <v>96</v>
      </c>
      <c r="CT156">
        <v>46077</v>
      </c>
      <c r="CU156">
        <v>1</v>
      </c>
      <c r="CV156">
        <v>1</v>
      </c>
      <c r="CW156">
        <v>1</v>
      </c>
      <c r="CZ156">
        <v>4.9421296296296297E-3</v>
      </c>
      <c r="DA156">
        <v>4.9421296296296297E-3</v>
      </c>
      <c r="DB156">
        <v>0.14874999999999999</v>
      </c>
      <c r="DC156">
        <v>0.20063657407407406</v>
      </c>
      <c r="DD156">
        <v>58</v>
      </c>
      <c r="DE156">
        <v>130</v>
      </c>
      <c r="DF156">
        <v>7</v>
      </c>
      <c r="DG156" t="s">
        <v>679</v>
      </c>
      <c r="DH156">
        <v>49878</v>
      </c>
      <c r="DI156">
        <v>0.1207</v>
      </c>
      <c r="DJ156">
        <v>2</v>
      </c>
      <c r="DK156">
        <v>0.28570000000000001</v>
      </c>
      <c r="DL156">
        <v>6440</v>
      </c>
      <c r="DM156">
        <v>3220</v>
      </c>
      <c r="DN156">
        <v>6440</v>
      </c>
      <c r="DO156">
        <v>1</v>
      </c>
      <c r="DP156">
        <v>0.2112</v>
      </c>
      <c r="DQ156">
        <v>92</v>
      </c>
      <c r="DR156">
        <v>3220</v>
      </c>
    </row>
    <row r="157" spans="95:122" x14ac:dyDescent="0.25">
      <c r="CQ157" t="s">
        <v>636</v>
      </c>
      <c r="CR157" t="s">
        <v>3</v>
      </c>
      <c r="CS157" t="s">
        <v>96</v>
      </c>
      <c r="CT157">
        <v>46080</v>
      </c>
      <c r="CU157">
        <v>1</v>
      </c>
      <c r="CV157">
        <v>1</v>
      </c>
      <c r="CX157">
        <v>1</v>
      </c>
      <c r="CZ157">
        <v>0</v>
      </c>
      <c r="DA157">
        <v>0</v>
      </c>
      <c r="DB157">
        <v>0.15262731481481481</v>
      </c>
      <c r="DC157">
        <v>0.26321759259259259</v>
      </c>
      <c r="DD157">
        <v>71</v>
      </c>
      <c r="DE157">
        <v>168</v>
      </c>
      <c r="DF157">
        <v>15</v>
      </c>
      <c r="DG157">
        <v>1.6</v>
      </c>
      <c r="DH157">
        <v>28289</v>
      </c>
      <c r="DI157">
        <v>0.21129999999999999</v>
      </c>
      <c r="DJ157">
        <v>1</v>
      </c>
      <c r="DK157">
        <v>6.6699999999999995E-2</v>
      </c>
      <c r="DL157">
        <v>1500</v>
      </c>
      <c r="DM157">
        <v>1500</v>
      </c>
      <c r="DN157">
        <v>1500</v>
      </c>
      <c r="DO157">
        <v>1</v>
      </c>
      <c r="DP157">
        <v>0.42499999999999999</v>
      </c>
      <c r="DQ157">
        <v>92</v>
      </c>
      <c r="DR157">
        <v>1500</v>
      </c>
    </row>
    <row r="158" spans="95:122" x14ac:dyDescent="0.25">
      <c r="CQ158" t="s">
        <v>636</v>
      </c>
      <c r="CR158" t="s">
        <v>3</v>
      </c>
      <c r="CS158" t="s">
        <v>65</v>
      </c>
      <c r="CT158">
        <v>46064</v>
      </c>
      <c r="CU158">
        <v>1</v>
      </c>
      <c r="CV158">
        <v>1</v>
      </c>
      <c r="CX158">
        <v>1</v>
      </c>
      <c r="CZ158">
        <v>6.9444444444444444E-5</v>
      </c>
      <c r="DA158">
        <v>6.9444444444444444E-5</v>
      </c>
      <c r="DB158">
        <v>3.1574074074074074E-2</v>
      </c>
      <c r="DC158">
        <v>1.1851851851851851E-2</v>
      </c>
      <c r="DD158">
        <v>61</v>
      </c>
      <c r="DE158">
        <v>125</v>
      </c>
      <c r="DF158">
        <v>11</v>
      </c>
      <c r="DG158" t="s">
        <v>695</v>
      </c>
      <c r="DH158">
        <v>37349</v>
      </c>
      <c r="DI158">
        <v>0.18029999999999999</v>
      </c>
      <c r="DJ158">
        <v>3</v>
      </c>
      <c r="DK158">
        <v>0.2727</v>
      </c>
      <c r="DL158">
        <v>11300</v>
      </c>
      <c r="DM158">
        <v>3767</v>
      </c>
      <c r="DN158">
        <v>11000</v>
      </c>
      <c r="DO158">
        <v>0.97350000000000003</v>
      </c>
      <c r="DP158">
        <v>0.19739999999999999</v>
      </c>
      <c r="DQ158">
        <v>92</v>
      </c>
      <c r="DR158">
        <v>5500</v>
      </c>
    </row>
    <row r="159" spans="95:122" x14ac:dyDescent="0.25">
      <c r="CQ159" t="s">
        <v>636</v>
      </c>
      <c r="CR159" t="s">
        <v>3</v>
      </c>
      <c r="CS159" t="s">
        <v>65</v>
      </c>
      <c r="CT159">
        <v>46066</v>
      </c>
      <c r="CU159">
        <v>1</v>
      </c>
      <c r="CV159">
        <v>1</v>
      </c>
      <c r="CX159">
        <v>1</v>
      </c>
      <c r="CZ159">
        <v>1.0416666666666667E-4</v>
      </c>
      <c r="DA159">
        <v>1.0416666666666667E-4</v>
      </c>
      <c r="DB159">
        <v>7.9768518518518516E-2</v>
      </c>
      <c r="DC159">
        <v>0.10914351851851851</v>
      </c>
      <c r="DD159">
        <v>74</v>
      </c>
      <c r="DE159">
        <v>156</v>
      </c>
      <c r="DF159">
        <v>16</v>
      </c>
      <c r="DG159">
        <v>1.3125</v>
      </c>
      <c r="DH159">
        <v>36797</v>
      </c>
      <c r="DI159">
        <v>0.2162</v>
      </c>
      <c r="DJ159">
        <v>2</v>
      </c>
      <c r="DK159">
        <v>0.125</v>
      </c>
      <c r="DL159">
        <v>1800</v>
      </c>
      <c r="DM159">
        <v>900</v>
      </c>
      <c r="DN159">
        <v>1000</v>
      </c>
      <c r="DO159">
        <v>0.55559999999999998</v>
      </c>
      <c r="DQ159">
        <v>92</v>
      </c>
      <c r="DR159">
        <v>1000</v>
      </c>
    </row>
    <row r="160" spans="95:122" x14ac:dyDescent="0.25">
      <c r="CQ160" t="s">
        <v>636</v>
      </c>
      <c r="CR160" t="s">
        <v>3</v>
      </c>
      <c r="CS160" t="s">
        <v>23</v>
      </c>
      <c r="CT160">
        <v>46062</v>
      </c>
      <c r="CU160">
        <v>1</v>
      </c>
      <c r="CV160">
        <v>1</v>
      </c>
      <c r="CX160">
        <v>1</v>
      </c>
      <c r="CZ160">
        <v>0</v>
      </c>
      <c r="DA160">
        <v>0</v>
      </c>
      <c r="DB160">
        <v>1.90625E-2</v>
      </c>
      <c r="DC160">
        <v>0</v>
      </c>
      <c r="DD160">
        <v>66</v>
      </c>
      <c r="DE160">
        <v>134</v>
      </c>
      <c r="DF160">
        <v>16</v>
      </c>
      <c r="DG160">
        <v>2.0625</v>
      </c>
      <c r="DH160">
        <v>44195</v>
      </c>
      <c r="DI160">
        <v>0.2424</v>
      </c>
      <c r="DJ160">
        <v>1</v>
      </c>
      <c r="DK160">
        <v>6.25E-2</v>
      </c>
      <c r="DL160">
        <v>1239</v>
      </c>
      <c r="DM160">
        <v>1239</v>
      </c>
      <c r="DN160">
        <v>1239</v>
      </c>
      <c r="DO160">
        <v>1</v>
      </c>
      <c r="DP160">
        <v>0.24990000000000001</v>
      </c>
      <c r="DQ160">
        <v>92</v>
      </c>
      <c r="DR160">
        <v>1239</v>
      </c>
    </row>
    <row r="161" spans="95:122" x14ac:dyDescent="0.25">
      <c r="CQ161" t="s">
        <v>636</v>
      </c>
      <c r="CR161" t="s">
        <v>3</v>
      </c>
      <c r="CS161" t="s">
        <v>23</v>
      </c>
      <c r="CT161">
        <v>46072</v>
      </c>
      <c r="CU161">
        <v>1</v>
      </c>
      <c r="CV161">
        <v>1</v>
      </c>
      <c r="CX161">
        <v>1</v>
      </c>
      <c r="CZ161">
        <v>3.4722222222222222E-5</v>
      </c>
      <c r="DA161">
        <v>3.4722222222222222E-5</v>
      </c>
      <c r="DB161">
        <v>0.17684027777777778</v>
      </c>
      <c r="DC161">
        <v>0.18373842592592593</v>
      </c>
      <c r="DD161">
        <v>101</v>
      </c>
      <c r="DE161">
        <v>233</v>
      </c>
      <c r="DF161">
        <v>15</v>
      </c>
      <c r="DG161" t="s">
        <v>672</v>
      </c>
      <c r="DH161">
        <v>31680</v>
      </c>
      <c r="DI161">
        <v>0.14849999999999999</v>
      </c>
      <c r="DJ161">
        <v>2</v>
      </c>
      <c r="DK161">
        <v>0.1333</v>
      </c>
      <c r="DL161">
        <v>4250</v>
      </c>
      <c r="DM161">
        <v>2125</v>
      </c>
      <c r="DN161">
        <v>4050</v>
      </c>
      <c r="DO161">
        <v>0.95289999999999997</v>
      </c>
      <c r="DP161">
        <v>0.14729999999999999</v>
      </c>
      <c r="DQ161">
        <v>92</v>
      </c>
      <c r="DR161">
        <v>4050</v>
      </c>
    </row>
    <row r="162" spans="95:122" x14ac:dyDescent="0.25">
      <c r="CQ162" t="s">
        <v>636</v>
      </c>
      <c r="CR162" t="s">
        <v>3</v>
      </c>
      <c r="CS162" t="s">
        <v>31</v>
      </c>
      <c r="CT162">
        <v>46069</v>
      </c>
      <c r="CU162">
        <v>1</v>
      </c>
      <c r="CV162">
        <v>1</v>
      </c>
      <c r="CX162">
        <v>1</v>
      </c>
      <c r="CZ162">
        <v>3.4722222222222224E-4</v>
      </c>
      <c r="DA162">
        <v>3.4722222222222224E-4</v>
      </c>
      <c r="DB162">
        <v>0.19100694444444444</v>
      </c>
      <c r="DC162">
        <v>0.17025462962962962</v>
      </c>
      <c r="DD162">
        <v>77</v>
      </c>
      <c r="DE162">
        <v>135</v>
      </c>
      <c r="DF162">
        <v>8</v>
      </c>
      <c r="DG162">
        <v>1.625</v>
      </c>
      <c r="DH162">
        <v>32790</v>
      </c>
      <c r="DI162">
        <v>0.10390000000000001</v>
      </c>
      <c r="DJ162">
        <v>1</v>
      </c>
      <c r="DK162">
        <v>0.125</v>
      </c>
      <c r="DL162">
        <v>2000</v>
      </c>
      <c r="DM162">
        <v>2000</v>
      </c>
      <c r="DN162">
        <v>2000</v>
      </c>
      <c r="DO162">
        <v>1</v>
      </c>
      <c r="DP162">
        <v>0.52390000000000003</v>
      </c>
      <c r="DQ162">
        <v>92</v>
      </c>
      <c r="DR162">
        <v>2000</v>
      </c>
    </row>
    <row r="163" spans="95:122" x14ac:dyDescent="0.25">
      <c r="CQ163" t="s">
        <v>636</v>
      </c>
      <c r="CR163" t="s">
        <v>3</v>
      </c>
      <c r="CS163" t="s">
        <v>31</v>
      </c>
      <c r="CT163">
        <v>46078</v>
      </c>
      <c r="CU163">
        <v>1</v>
      </c>
      <c r="CV163">
        <v>1</v>
      </c>
      <c r="CX163">
        <v>1</v>
      </c>
      <c r="CZ163">
        <v>3.2407407407407406E-4</v>
      </c>
      <c r="DA163">
        <v>3.2407407407407406E-4</v>
      </c>
      <c r="DB163">
        <v>0.20466435185185186</v>
      </c>
      <c r="DC163">
        <v>0.13114583333333332</v>
      </c>
      <c r="DD163">
        <v>79</v>
      </c>
      <c r="DE163">
        <v>161</v>
      </c>
      <c r="DF163">
        <v>13</v>
      </c>
      <c r="DG163" t="s">
        <v>764</v>
      </c>
      <c r="DH163">
        <v>42910</v>
      </c>
      <c r="DI163">
        <v>0.1646</v>
      </c>
      <c r="DJ163">
        <v>1</v>
      </c>
      <c r="DK163">
        <v>7.6899999999999996E-2</v>
      </c>
      <c r="DL163">
        <v>1100</v>
      </c>
      <c r="DM163">
        <v>1100</v>
      </c>
      <c r="DN163">
        <v>1100</v>
      </c>
      <c r="DO163">
        <v>1</v>
      </c>
      <c r="DP163">
        <v>0.14050000000000001</v>
      </c>
      <c r="DQ163">
        <v>92</v>
      </c>
      <c r="DR163">
        <v>1100</v>
      </c>
    </row>
    <row r="164" spans="95:122" x14ac:dyDescent="0.25">
      <c r="CQ164" t="s">
        <v>636</v>
      </c>
      <c r="CR164" t="s">
        <v>124</v>
      </c>
      <c r="CS164" t="s">
        <v>58</v>
      </c>
      <c r="CT164">
        <v>46057</v>
      </c>
      <c r="CU164">
        <v>1</v>
      </c>
      <c r="CV164">
        <v>1</v>
      </c>
      <c r="CX164">
        <v>1</v>
      </c>
      <c r="CZ164">
        <v>8.1018518518518516E-5</v>
      </c>
      <c r="DA164">
        <v>8.1018518518518516E-5</v>
      </c>
      <c r="DB164">
        <v>0.10121527777777778</v>
      </c>
      <c r="DC164">
        <v>6.5567129629629628E-2</v>
      </c>
      <c r="DD164">
        <v>143</v>
      </c>
      <c r="DE164">
        <v>265</v>
      </c>
      <c r="DF164">
        <v>34</v>
      </c>
      <c r="DG164" t="s">
        <v>1094</v>
      </c>
      <c r="DH164">
        <v>13137</v>
      </c>
      <c r="DI164">
        <v>0.23780000000000001</v>
      </c>
      <c r="DJ164">
        <v>2</v>
      </c>
      <c r="DK164">
        <v>5.8799999999999998E-2</v>
      </c>
      <c r="DL164">
        <v>10380</v>
      </c>
      <c r="DM164">
        <v>5190</v>
      </c>
      <c r="DN164">
        <v>10380</v>
      </c>
      <c r="DO164">
        <v>1</v>
      </c>
      <c r="DP164">
        <v>0.1229</v>
      </c>
      <c r="DQ164">
        <v>90</v>
      </c>
      <c r="DR164">
        <v>5190</v>
      </c>
    </row>
    <row r="165" spans="95:122" x14ac:dyDescent="0.25">
      <c r="CQ165" t="s">
        <v>636</v>
      </c>
      <c r="CR165" t="s">
        <v>124</v>
      </c>
      <c r="CS165" t="s">
        <v>58</v>
      </c>
      <c r="CT165">
        <v>46063</v>
      </c>
      <c r="CU165">
        <v>1</v>
      </c>
      <c r="CV165">
        <v>1</v>
      </c>
      <c r="CX165">
        <v>1</v>
      </c>
      <c r="CZ165">
        <v>2.8935185185185184E-4</v>
      </c>
      <c r="DA165">
        <v>2.8935185185185184E-4</v>
      </c>
      <c r="DB165">
        <v>8.5381944444444441E-2</v>
      </c>
      <c r="DC165">
        <v>3.0636574074074073E-2</v>
      </c>
      <c r="DD165">
        <v>164</v>
      </c>
      <c r="DE165">
        <v>358</v>
      </c>
      <c r="DF165">
        <v>55</v>
      </c>
      <c r="DG165" t="s">
        <v>1095</v>
      </c>
      <c r="DH165">
        <v>14480</v>
      </c>
      <c r="DI165">
        <v>0.33539999999999998</v>
      </c>
      <c r="DJ165">
        <v>5</v>
      </c>
      <c r="DK165">
        <v>9.0899999999999995E-2</v>
      </c>
      <c r="DL165">
        <v>9550</v>
      </c>
      <c r="DM165">
        <v>1910</v>
      </c>
      <c r="DN165">
        <v>7000</v>
      </c>
      <c r="DO165">
        <v>0.73299999999999998</v>
      </c>
      <c r="DP165">
        <v>0.13009999999999999</v>
      </c>
      <c r="DQ165">
        <v>90</v>
      </c>
      <c r="DR165">
        <v>7000</v>
      </c>
    </row>
    <row r="166" spans="95:122" x14ac:dyDescent="0.25">
      <c r="CQ166" t="s">
        <v>636</v>
      </c>
      <c r="CR166" t="s">
        <v>124</v>
      </c>
      <c r="CS166" t="s">
        <v>58</v>
      </c>
      <c r="CT166">
        <v>46071</v>
      </c>
      <c r="CU166">
        <v>1</v>
      </c>
      <c r="CV166">
        <v>1</v>
      </c>
      <c r="CX166">
        <v>1</v>
      </c>
      <c r="CZ166">
        <v>2.3148148148148147E-5</v>
      </c>
      <c r="DA166">
        <v>2.3148148148148147E-5</v>
      </c>
      <c r="DB166">
        <v>0.12076388888888889</v>
      </c>
      <c r="DC166">
        <v>0.20052083333333334</v>
      </c>
      <c r="DD166">
        <v>70</v>
      </c>
      <c r="DE166">
        <v>175</v>
      </c>
      <c r="DF166">
        <v>28</v>
      </c>
      <c r="DG166" t="s">
        <v>896</v>
      </c>
      <c r="DH166">
        <v>25331</v>
      </c>
      <c r="DI166">
        <v>0.4</v>
      </c>
      <c r="DJ166">
        <v>1</v>
      </c>
      <c r="DK166">
        <v>3.5700000000000003E-2</v>
      </c>
      <c r="DL166">
        <v>250</v>
      </c>
      <c r="DM166">
        <v>250</v>
      </c>
      <c r="DN166">
        <v>250</v>
      </c>
      <c r="DO166">
        <v>1</v>
      </c>
      <c r="DP166">
        <v>0.39689999999999998</v>
      </c>
      <c r="DQ166">
        <v>90</v>
      </c>
      <c r="DR166">
        <v>250</v>
      </c>
    </row>
    <row r="167" spans="95:122" x14ac:dyDescent="0.25">
      <c r="CQ167" t="s">
        <v>636</v>
      </c>
      <c r="CR167" t="s">
        <v>124</v>
      </c>
      <c r="CS167" t="s">
        <v>174</v>
      </c>
      <c r="CT167">
        <v>46070</v>
      </c>
      <c r="CU167">
        <v>1</v>
      </c>
      <c r="CV167">
        <v>1</v>
      </c>
      <c r="CX167">
        <v>1</v>
      </c>
      <c r="CZ167">
        <v>0</v>
      </c>
      <c r="DA167">
        <v>0</v>
      </c>
      <c r="DB167">
        <v>0.20478009259259258</v>
      </c>
      <c r="DC167">
        <v>0.15253472222222222</v>
      </c>
      <c r="DD167">
        <v>204</v>
      </c>
      <c r="DE167">
        <v>267</v>
      </c>
      <c r="DF167">
        <v>27</v>
      </c>
      <c r="DG167">
        <v>2</v>
      </c>
      <c r="DH167">
        <v>21271</v>
      </c>
      <c r="DI167">
        <v>0.13239999999999999</v>
      </c>
      <c r="DJ167">
        <v>1</v>
      </c>
      <c r="DK167">
        <v>3.6999999999999998E-2</v>
      </c>
      <c r="DL167">
        <v>5168</v>
      </c>
      <c r="DM167">
        <v>5168</v>
      </c>
      <c r="DN167">
        <v>5168</v>
      </c>
      <c r="DO167">
        <v>1</v>
      </c>
      <c r="DQ167">
        <v>90</v>
      </c>
      <c r="DR167">
        <v>5168</v>
      </c>
    </row>
    <row r="168" spans="95:122" x14ac:dyDescent="0.25">
      <c r="CQ168" t="s">
        <v>636</v>
      </c>
      <c r="CR168" t="s">
        <v>124</v>
      </c>
      <c r="CS168" t="s">
        <v>174</v>
      </c>
      <c r="CT168">
        <v>46071</v>
      </c>
      <c r="CU168">
        <v>1</v>
      </c>
      <c r="CV168">
        <v>1</v>
      </c>
      <c r="CX168">
        <v>1</v>
      </c>
      <c r="CZ168">
        <v>0</v>
      </c>
      <c r="DA168">
        <v>0</v>
      </c>
      <c r="DB168">
        <v>0.21252314814814816</v>
      </c>
      <c r="DC168">
        <v>0.13569444444444445</v>
      </c>
      <c r="DD168">
        <v>211</v>
      </c>
      <c r="DE168">
        <v>267</v>
      </c>
      <c r="DF168">
        <v>24</v>
      </c>
      <c r="DG168" t="s">
        <v>731</v>
      </c>
      <c r="DH168">
        <v>23631</v>
      </c>
      <c r="DI168">
        <v>0.1137</v>
      </c>
      <c r="DJ168">
        <v>1</v>
      </c>
      <c r="DK168">
        <v>4.1700000000000001E-2</v>
      </c>
      <c r="DL168">
        <v>1000</v>
      </c>
      <c r="DM168">
        <v>1000</v>
      </c>
      <c r="DN168">
        <v>1000</v>
      </c>
      <c r="DO168">
        <v>1</v>
      </c>
      <c r="DP168">
        <v>0.1101</v>
      </c>
      <c r="DQ168">
        <v>90</v>
      </c>
      <c r="DR168">
        <v>1000</v>
      </c>
    </row>
    <row r="169" spans="95:122" x14ac:dyDescent="0.25">
      <c r="CQ169" t="s">
        <v>636</v>
      </c>
      <c r="CR169" t="s">
        <v>124</v>
      </c>
      <c r="CS169" t="s">
        <v>495</v>
      </c>
      <c r="CT169">
        <v>46058</v>
      </c>
      <c r="CU169">
        <v>1</v>
      </c>
      <c r="CV169">
        <v>1</v>
      </c>
      <c r="CX169">
        <v>1</v>
      </c>
      <c r="CZ169">
        <v>0</v>
      </c>
      <c r="DA169">
        <v>0</v>
      </c>
      <c r="DB169">
        <v>5.6840277777777781E-2</v>
      </c>
      <c r="DC169">
        <v>4.4432870370370373E-2</v>
      </c>
      <c r="DD169">
        <v>167</v>
      </c>
      <c r="DE169">
        <v>346</v>
      </c>
      <c r="DF169">
        <v>36</v>
      </c>
      <c r="DG169" t="s">
        <v>994</v>
      </c>
      <c r="DH169">
        <v>18064</v>
      </c>
      <c r="DI169">
        <v>0.21560000000000001</v>
      </c>
      <c r="DJ169">
        <v>2</v>
      </c>
      <c r="DK169">
        <v>5.5599999999999997E-2</v>
      </c>
      <c r="DL169">
        <v>180</v>
      </c>
      <c r="DM169">
        <v>90</v>
      </c>
      <c r="DN169">
        <v>180</v>
      </c>
      <c r="DO169">
        <v>1</v>
      </c>
      <c r="DP169">
        <v>0.3044</v>
      </c>
      <c r="DQ169">
        <v>90</v>
      </c>
      <c r="DR169">
        <v>90</v>
      </c>
    </row>
    <row r="170" spans="95:122" x14ac:dyDescent="0.25">
      <c r="CQ170" t="s">
        <v>636</v>
      </c>
      <c r="CR170" t="s">
        <v>124</v>
      </c>
      <c r="CS170" t="s">
        <v>495</v>
      </c>
      <c r="CT170">
        <v>46063</v>
      </c>
      <c r="CU170">
        <v>1</v>
      </c>
      <c r="CV170">
        <v>1</v>
      </c>
      <c r="CX170">
        <v>1</v>
      </c>
      <c r="CZ170">
        <v>0</v>
      </c>
      <c r="DA170">
        <v>0</v>
      </c>
      <c r="DB170">
        <v>6.6076388888888893E-2</v>
      </c>
      <c r="DC170">
        <v>6.8530092592592587E-2</v>
      </c>
      <c r="DD170">
        <v>160</v>
      </c>
      <c r="DE170">
        <v>315</v>
      </c>
      <c r="DF170">
        <v>54</v>
      </c>
      <c r="DG170" t="s">
        <v>1096</v>
      </c>
      <c r="DH170">
        <v>12071</v>
      </c>
      <c r="DI170">
        <v>0.33750000000000002</v>
      </c>
      <c r="DJ170">
        <v>4</v>
      </c>
      <c r="DK170">
        <v>7.4099999999999999E-2</v>
      </c>
      <c r="DL170">
        <v>1235</v>
      </c>
      <c r="DM170">
        <v>309</v>
      </c>
      <c r="DN170">
        <v>835</v>
      </c>
      <c r="DO170">
        <v>0.67610000000000003</v>
      </c>
      <c r="DP170">
        <v>0.33800000000000002</v>
      </c>
      <c r="DQ170">
        <v>90</v>
      </c>
      <c r="DR170">
        <v>278</v>
      </c>
    </row>
    <row r="171" spans="95:122" x14ac:dyDescent="0.25">
      <c r="CQ171" t="s">
        <v>636</v>
      </c>
      <c r="CR171" t="s">
        <v>124</v>
      </c>
      <c r="CS171" t="s">
        <v>495</v>
      </c>
      <c r="CT171">
        <v>46072</v>
      </c>
      <c r="CU171">
        <v>1</v>
      </c>
      <c r="CV171">
        <v>1</v>
      </c>
      <c r="CX171">
        <v>1</v>
      </c>
      <c r="CZ171">
        <v>9.2592592592592588E-5</v>
      </c>
      <c r="DA171">
        <v>9.2592592592592588E-5</v>
      </c>
      <c r="DB171">
        <v>0.1686111111111111</v>
      </c>
      <c r="DC171">
        <v>0.19771990740740741</v>
      </c>
      <c r="DD171">
        <v>118</v>
      </c>
      <c r="DE171">
        <v>232</v>
      </c>
      <c r="DF171">
        <v>30</v>
      </c>
      <c r="DG171">
        <v>1.6</v>
      </c>
      <c r="DH171">
        <v>17157</v>
      </c>
      <c r="DI171">
        <v>0.25419999999999998</v>
      </c>
      <c r="DJ171">
        <v>2</v>
      </c>
      <c r="DK171">
        <v>6.6699999999999995E-2</v>
      </c>
      <c r="DL171">
        <v>5750</v>
      </c>
      <c r="DM171">
        <v>2875</v>
      </c>
      <c r="DN171">
        <v>5500</v>
      </c>
      <c r="DO171">
        <v>0.95650000000000002</v>
      </c>
      <c r="DP171">
        <v>0.13819999999999999</v>
      </c>
      <c r="DQ171">
        <v>90</v>
      </c>
      <c r="DR171">
        <v>5500</v>
      </c>
    </row>
    <row r="172" spans="95:122" x14ac:dyDescent="0.25">
      <c r="CQ172" t="s">
        <v>636</v>
      </c>
      <c r="CR172" t="s">
        <v>124</v>
      </c>
      <c r="CS172" t="s">
        <v>495</v>
      </c>
      <c r="CT172">
        <v>46079</v>
      </c>
      <c r="CU172">
        <v>1</v>
      </c>
      <c r="CV172">
        <v>1</v>
      </c>
      <c r="CX172">
        <v>1</v>
      </c>
      <c r="CZ172">
        <v>1.0416666666666667E-4</v>
      </c>
      <c r="DA172">
        <v>1.0416666666666667E-4</v>
      </c>
      <c r="DB172">
        <v>0.14782407407407408</v>
      </c>
      <c r="DC172">
        <v>0.18959490740740742</v>
      </c>
      <c r="DD172">
        <v>154</v>
      </c>
      <c r="DE172">
        <v>314</v>
      </c>
      <c r="DF172">
        <v>31</v>
      </c>
      <c r="DG172" t="s">
        <v>972</v>
      </c>
      <c r="DH172">
        <v>22520</v>
      </c>
      <c r="DI172">
        <v>0.20130000000000001</v>
      </c>
      <c r="DJ172">
        <v>1</v>
      </c>
      <c r="DK172">
        <v>3.2300000000000002E-2</v>
      </c>
      <c r="DL172">
        <v>7000</v>
      </c>
      <c r="DM172">
        <v>7000</v>
      </c>
      <c r="DN172">
        <v>7000</v>
      </c>
      <c r="DO172">
        <v>1</v>
      </c>
      <c r="DP172">
        <v>9.2999999999999999E-2</v>
      </c>
      <c r="DQ172">
        <v>90</v>
      </c>
      <c r="DR172">
        <v>7000</v>
      </c>
    </row>
    <row r="173" spans="95:122" x14ac:dyDescent="0.25">
      <c r="CQ173" t="s">
        <v>636</v>
      </c>
      <c r="CR173" t="s">
        <v>124</v>
      </c>
      <c r="CS173" t="s">
        <v>49</v>
      </c>
      <c r="CT173">
        <v>46059</v>
      </c>
      <c r="CU173">
        <v>1</v>
      </c>
      <c r="CV173">
        <v>1</v>
      </c>
      <c r="CW173">
        <v>1</v>
      </c>
      <c r="CZ173">
        <v>1.0127314814814815E-2</v>
      </c>
      <c r="DA173">
        <v>1.0127314814814815E-2</v>
      </c>
      <c r="DB173">
        <v>5.7002314814814818E-2</v>
      </c>
      <c r="DC173">
        <v>2.210648148148148E-2</v>
      </c>
      <c r="DD173">
        <v>46</v>
      </c>
      <c r="DE173">
        <v>77</v>
      </c>
      <c r="DF173">
        <v>7</v>
      </c>
      <c r="DG173" t="s">
        <v>803</v>
      </c>
      <c r="DH173">
        <v>12220</v>
      </c>
      <c r="DI173">
        <v>0.1522</v>
      </c>
      <c r="DJ173">
        <v>1</v>
      </c>
      <c r="DK173">
        <v>0.1429</v>
      </c>
      <c r="DL173">
        <v>4500</v>
      </c>
      <c r="DM173">
        <v>4500</v>
      </c>
      <c r="DN173">
        <v>4500</v>
      </c>
      <c r="DO173">
        <v>1</v>
      </c>
      <c r="DP173">
        <v>0.10440000000000001</v>
      </c>
      <c r="DQ173">
        <v>90</v>
      </c>
      <c r="DR173">
        <v>4500</v>
      </c>
    </row>
    <row r="174" spans="95:122" x14ac:dyDescent="0.25">
      <c r="CQ174" t="s">
        <v>636</v>
      </c>
      <c r="CR174" t="s">
        <v>124</v>
      </c>
      <c r="CS174" t="s">
        <v>77</v>
      </c>
      <c r="CT174">
        <v>46062</v>
      </c>
      <c r="CU174">
        <v>1</v>
      </c>
      <c r="CV174">
        <v>1</v>
      </c>
      <c r="CW174">
        <v>1</v>
      </c>
      <c r="CZ174">
        <v>7.8240740740740736E-3</v>
      </c>
      <c r="DA174">
        <v>7.8240740740740736E-3</v>
      </c>
      <c r="DB174">
        <v>1.6180555555555556E-2</v>
      </c>
      <c r="DC174">
        <v>1.8680555555555554E-2</v>
      </c>
      <c r="DD174">
        <v>107</v>
      </c>
      <c r="DE174">
        <v>216</v>
      </c>
      <c r="DF174">
        <v>21</v>
      </c>
      <c r="DG174" t="s">
        <v>679</v>
      </c>
      <c r="DH174">
        <v>16405</v>
      </c>
      <c r="DI174">
        <v>0.1963</v>
      </c>
      <c r="DJ174">
        <v>1</v>
      </c>
      <c r="DK174">
        <v>4.7600000000000003E-2</v>
      </c>
      <c r="DL174">
        <v>800</v>
      </c>
      <c r="DM174">
        <v>800</v>
      </c>
      <c r="DN174">
        <v>800</v>
      </c>
      <c r="DO174">
        <v>1</v>
      </c>
      <c r="DQ174">
        <v>90</v>
      </c>
      <c r="DR174">
        <v>800</v>
      </c>
    </row>
    <row r="175" spans="95:122" x14ac:dyDescent="0.25">
      <c r="CQ175" t="s">
        <v>636</v>
      </c>
      <c r="CR175" t="s">
        <v>124</v>
      </c>
      <c r="CS175" t="s">
        <v>77</v>
      </c>
      <c r="CT175">
        <v>46065</v>
      </c>
      <c r="CU175">
        <v>1</v>
      </c>
      <c r="CV175">
        <v>1</v>
      </c>
      <c r="CX175">
        <v>1</v>
      </c>
      <c r="CZ175">
        <v>0</v>
      </c>
      <c r="DA175">
        <v>0</v>
      </c>
      <c r="DB175">
        <v>6.5046296296296297E-2</v>
      </c>
      <c r="DC175">
        <v>6.2615740740740739E-3</v>
      </c>
      <c r="DD175">
        <v>128</v>
      </c>
      <c r="DE175">
        <v>242</v>
      </c>
      <c r="DF175">
        <v>40</v>
      </c>
      <c r="DG175">
        <v>1.95</v>
      </c>
      <c r="DH175">
        <v>10523</v>
      </c>
      <c r="DI175">
        <v>0.3125</v>
      </c>
      <c r="DJ175">
        <v>3</v>
      </c>
      <c r="DK175">
        <v>7.4999999999999997E-2</v>
      </c>
      <c r="DL175">
        <v>5030</v>
      </c>
      <c r="DM175">
        <v>1677</v>
      </c>
      <c r="DQ175">
        <v>90</v>
      </c>
    </row>
    <row r="176" spans="95:122" x14ac:dyDescent="0.25">
      <c r="CQ176" t="s">
        <v>636</v>
      </c>
      <c r="CR176" t="s">
        <v>124</v>
      </c>
      <c r="CS176" t="s">
        <v>55</v>
      </c>
      <c r="CT176">
        <v>46081</v>
      </c>
      <c r="CU176">
        <v>1</v>
      </c>
      <c r="CV176">
        <v>1</v>
      </c>
      <c r="CX176">
        <v>1</v>
      </c>
      <c r="CZ176">
        <v>5.7870370370370373E-5</v>
      </c>
      <c r="DA176">
        <v>5.7870370370370373E-5</v>
      </c>
      <c r="DB176">
        <v>4.5717592592592594E-2</v>
      </c>
      <c r="DC176">
        <v>0.15380787037037036</v>
      </c>
      <c r="DD176">
        <v>58</v>
      </c>
      <c r="DE176">
        <v>100</v>
      </c>
      <c r="DF176">
        <v>22</v>
      </c>
      <c r="DG176" t="s">
        <v>838</v>
      </c>
      <c r="DH176">
        <v>23751</v>
      </c>
      <c r="DI176">
        <v>0.37930000000000003</v>
      </c>
      <c r="DJ176">
        <v>1</v>
      </c>
      <c r="DK176">
        <v>4.5499999999999999E-2</v>
      </c>
      <c r="DL176">
        <v>3500</v>
      </c>
      <c r="DM176">
        <v>3500</v>
      </c>
      <c r="DN176">
        <v>3500</v>
      </c>
      <c r="DO176">
        <v>1</v>
      </c>
      <c r="DP176">
        <v>0.16969999999999999</v>
      </c>
      <c r="DQ176">
        <v>90</v>
      </c>
      <c r="DR176">
        <v>3500</v>
      </c>
    </row>
    <row r="177" spans="95:122" x14ac:dyDescent="0.25">
      <c r="CQ177" t="s">
        <v>636</v>
      </c>
      <c r="CR177" t="s">
        <v>124</v>
      </c>
      <c r="CS177" t="s">
        <v>73</v>
      </c>
      <c r="CT177">
        <v>46070</v>
      </c>
      <c r="CU177">
        <v>1</v>
      </c>
      <c r="CV177">
        <v>1</v>
      </c>
      <c r="CX177">
        <v>1</v>
      </c>
      <c r="CZ177">
        <v>1.4004629629629629E-3</v>
      </c>
      <c r="DA177">
        <v>1.4004629629629629E-3</v>
      </c>
      <c r="DB177">
        <v>0.20555555555555555</v>
      </c>
      <c r="DC177">
        <v>0.17369212962962963</v>
      </c>
      <c r="DD177">
        <v>66</v>
      </c>
      <c r="DE177">
        <v>108</v>
      </c>
      <c r="DF177">
        <v>15</v>
      </c>
      <c r="DG177" t="s">
        <v>723</v>
      </c>
      <c r="DH177">
        <v>14397</v>
      </c>
      <c r="DI177">
        <v>0.2273</v>
      </c>
      <c r="DJ177">
        <v>1</v>
      </c>
      <c r="DK177">
        <v>6.6699999999999995E-2</v>
      </c>
      <c r="DL177">
        <v>1000</v>
      </c>
      <c r="DM177">
        <v>1000</v>
      </c>
      <c r="DQ177">
        <v>90</v>
      </c>
    </row>
    <row r="178" spans="95:122" x14ac:dyDescent="0.25">
      <c r="CQ178" t="s">
        <v>636</v>
      </c>
      <c r="CR178" t="s">
        <v>124</v>
      </c>
      <c r="CS178" t="s">
        <v>73</v>
      </c>
      <c r="CT178">
        <v>46071</v>
      </c>
      <c r="CU178">
        <v>1</v>
      </c>
      <c r="CV178">
        <v>1</v>
      </c>
      <c r="CW178">
        <v>1</v>
      </c>
      <c r="CZ178">
        <v>4.5254629629629629E-3</v>
      </c>
      <c r="DA178">
        <v>4.5254629629629629E-3</v>
      </c>
      <c r="DB178">
        <v>0.18439814814814814</v>
      </c>
      <c r="DC178">
        <v>0.12844907407407408</v>
      </c>
      <c r="DD178">
        <v>49</v>
      </c>
      <c r="DE178">
        <v>89</v>
      </c>
      <c r="DF178">
        <v>16</v>
      </c>
      <c r="DG178">
        <v>1.5</v>
      </c>
      <c r="DH178">
        <v>13786</v>
      </c>
      <c r="DI178">
        <v>0.32650000000000001</v>
      </c>
      <c r="DJ178">
        <v>1</v>
      </c>
      <c r="DK178">
        <v>6.25E-2</v>
      </c>
      <c r="DL178">
        <v>1000</v>
      </c>
      <c r="DM178">
        <v>1000</v>
      </c>
      <c r="DN178">
        <v>1000</v>
      </c>
      <c r="DO178">
        <v>1</v>
      </c>
      <c r="DP178">
        <v>0.111</v>
      </c>
      <c r="DQ178">
        <v>90</v>
      </c>
      <c r="DR178">
        <v>1000</v>
      </c>
    </row>
    <row r="179" spans="95:122" x14ac:dyDescent="0.25">
      <c r="CQ179" t="s">
        <v>636</v>
      </c>
      <c r="CR179" t="s">
        <v>124</v>
      </c>
      <c r="CS179" t="s">
        <v>73</v>
      </c>
      <c r="CT179">
        <v>46077</v>
      </c>
      <c r="CU179">
        <v>1</v>
      </c>
      <c r="CV179">
        <v>1</v>
      </c>
      <c r="CX179">
        <v>1</v>
      </c>
      <c r="CZ179">
        <v>2.1643518518518518E-3</v>
      </c>
      <c r="DA179">
        <v>2.1643518518518518E-3</v>
      </c>
      <c r="DB179">
        <v>0.15641203703703704</v>
      </c>
      <c r="DC179">
        <v>0.1074537037037037</v>
      </c>
      <c r="DD179">
        <v>55</v>
      </c>
      <c r="DE179">
        <v>82</v>
      </c>
      <c r="DF179">
        <v>16</v>
      </c>
      <c r="DG179">
        <v>1.375</v>
      </c>
      <c r="DH179">
        <v>24331</v>
      </c>
      <c r="DI179">
        <v>0.29089999999999999</v>
      </c>
      <c r="DJ179">
        <v>1</v>
      </c>
      <c r="DK179">
        <v>6.25E-2</v>
      </c>
      <c r="DL179">
        <v>800</v>
      </c>
      <c r="DM179">
        <v>800</v>
      </c>
      <c r="DQ179">
        <v>90</v>
      </c>
    </row>
    <row r="180" spans="95:122" x14ac:dyDescent="0.25">
      <c r="CQ180" t="s">
        <v>636</v>
      </c>
      <c r="CR180" t="s">
        <v>124</v>
      </c>
      <c r="CS180" t="s">
        <v>48</v>
      </c>
      <c r="CT180">
        <v>46064</v>
      </c>
      <c r="CU180">
        <v>1</v>
      </c>
      <c r="CV180">
        <v>1</v>
      </c>
      <c r="CX180">
        <v>1</v>
      </c>
      <c r="CZ180">
        <v>6.9444444444444444E-5</v>
      </c>
      <c r="DA180">
        <v>6.9444444444444444E-5</v>
      </c>
      <c r="DB180">
        <v>4.3055555555555555E-2</v>
      </c>
      <c r="DC180">
        <v>5.4166666666666669E-2</v>
      </c>
      <c r="DD180">
        <v>77</v>
      </c>
      <c r="DE180">
        <v>114</v>
      </c>
      <c r="DF180">
        <v>29</v>
      </c>
      <c r="DG180" t="s">
        <v>1006</v>
      </c>
      <c r="DH180">
        <v>16227</v>
      </c>
      <c r="DI180">
        <v>0.37659999999999999</v>
      </c>
      <c r="DJ180">
        <v>3</v>
      </c>
      <c r="DK180">
        <v>0.10340000000000001</v>
      </c>
      <c r="DL180">
        <v>4380</v>
      </c>
      <c r="DM180">
        <v>1460</v>
      </c>
      <c r="DN180">
        <v>4160</v>
      </c>
      <c r="DO180">
        <v>0.94979999999999998</v>
      </c>
      <c r="DP180">
        <v>0.1948</v>
      </c>
      <c r="DQ180">
        <v>90</v>
      </c>
      <c r="DR180">
        <v>2080</v>
      </c>
    </row>
    <row r="181" spans="95:122" x14ac:dyDescent="0.25">
      <c r="CQ181" t="s">
        <v>636</v>
      </c>
      <c r="CR181" t="s">
        <v>124</v>
      </c>
      <c r="CS181" t="s">
        <v>48</v>
      </c>
      <c r="CT181">
        <v>46070</v>
      </c>
      <c r="CU181">
        <v>1</v>
      </c>
      <c r="CV181">
        <v>1</v>
      </c>
      <c r="CX181">
        <v>1</v>
      </c>
      <c r="CZ181">
        <v>9.2592592592592588E-5</v>
      </c>
      <c r="DA181">
        <v>9.2592592592592588E-5</v>
      </c>
      <c r="DB181">
        <v>0.23244212962962962</v>
      </c>
      <c r="DC181">
        <v>0.10732638888888889</v>
      </c>
      <c r="DD181">
        <v>109</v>
      </c>
      <c r="DE181">
        <v>152</v>
      </c>
      <c r="DF181">
        <v>25</v>
      </c>
      <c r="DG181">
        <v>1.76</v>
      </c>
      <c r="DH181">
        <v>17790</v>
      </c>
      <c r="DI181">
        <v>0.22939999999999999</v>
      </c>
      <c r="DJ181">
        <v>1</v>
      </c>
      <c r="DK181">
        <v>0.04</v>
      </c>
      <c r="DL181">
        <v>300</v>
      </c>
      <c r="DM181">
        <v>300</v>
      </c>
      <c r="DN181">
        <v>300</v>
      </c>
      <c r="DO181">
        <v>1</v>
      </c>
      <c r="DP181">
        <v>0.99990000000000001</v>
      </c>
      <c r="DQ181">
        <v>90</v>
      </c>
      <c r="DR181">
        <v>300</v>
      </c>
    </row>
    <row r="182" spans="95:122" x14ac:dyDescent="0.25">
      <c r="CQ182" t="s">
        <v>636</v>
      </c>
      <c r="CR182" t="s">
        <v>124</v>
      </c>
      <c r="CS182" t="s">
        <v>48</v>
      </c>
      <c r="CT182">
        <v>46072</v>
      </c>
      <c r="CU182">
        <v>1</v>
      </c>
      <c r="CV182">
        <v>1</v>
      </c>
      <c r="CX182">
        <v>1</v>
      </c>
      <c r="CZ182">
        <v>1.273148148148148E-4</v>
      </c>
      <c r="DA182">
        <v>1.273148148148148E-4</v>
      </c>
      <c r="DB182">
        <v>0.20708333333333334</v>
      </c>
      <c r="DC182">
        <v>9.9710648148148145E-2</v>
      </c>
      <c r="DD182">
        <v>60</v>
      </c>
      <c r="DE182">
        <v>84</v>
      </c>
      <c r="DF182">
        <v>20</v>
      </c>
      <c r="DG182">
        <v>1.85</v>
      </c>
      <c r="DH182">
        <v>16969</v>
      </c>
      <c r="DI182">
        <v>0.33329999999999999</v>
      </c>
      <c r="DJ182">
        <v>1</v>
      </c>
      <c r="DK182">
        <v>0.05</v>
      </c>
      <c r="DL182">
        <v>500</v>
      </c>
      <c r="DM182">
        <v>500</v>
      </c>
      <c r="DQ182">
        <v>90</v>
      </c>
    </row>
    <row r="183" spans="95:122" x14ac:dyDescent="0.25">
      <c r="CQ183" t="s">
        <v>636</v>
      </c>
      <c r="CR183" t="s">
        <v>124</v>
      </c>
      <c r="CS183" t="s">
        <v>48</v>
      </c>
      <c r="CT183">
        <v>46080</v>
      </c>
      <c r="CU183">
        <v>1</v>
      </c>
      <c r="CV183">
        <v>1</v>
      </c>
      <c r="CX183">
        <v>1</v>
      </c>
      <c r="CZ183">
        <v>2.9166666666666668E-3</v>
      </c>
      <c r="DA183">
        <v>2.9166666666666668E-3</v>
      </c>
      <c r="DB183">
        <v>0.22589120370370369</v>
      </c>
      <c r="DC183">
        <v>0.17077546296296298</v>
      </c>
      <c r="DD183">
        <v>99</v>
      </c>
      <c r="DE183">
        <v>140</v>
      </c>
      <c r="DF183">
        <v>33</v>
      </c>
      <c r="DG183" t="s">
        <v>847</v>
      </c>
      <c r="DH183">
        <v>24389</v>
      </c>
      <c r="DI183">
        <v>0.33329999999999999</v>
      </c>
      <c r="DJ183">
        <v>1</v>
      </c>
      <c r="DK183">
        <v>3.0300000000000001E-2</v>
      </c>
      <c r="DL183">
        <v>4000</v>
      </c>
      <c r="DM183">
        <v>4000</v>
      </c>
      <c r="DN183">
        <v>4000</v>
      </c>
      <c r="DO183">
        <v>1</v>
      </c>
      <c r="DP183">
        <v>0.1053</v>
      </c>
      <c r="DQ183">
        <v>90</v>
      </c>
      <c r="DR183">
        <v>4000</v>
      </c>
    </row>
    <row r="184" spans="95:122" x14ac:dyDescent="0.25">
      <c r="CQ184" t="s">
        <v>636</v>
      </c>
      <c r="CR184" t="s">
        <v>125</v>
      </c>
      <c r="CS184" t="s">
        <v>109</v>
      </c>
      <c r="CT184">
        <v>46078</v>
      </c>
      <c r="CU184">
        <v>1</v>
      </c>
      <c r="CV184">
        <v>1</v>
      </c>
      <c r="CW184">
        <v>1</v>
      </c>
      <c r="CZ184">
        <v>7.037037037037037E-3</v>
      </c>
      <c r="DA184">
        <v>7.037037037037037E-3</v>
      </c>
      <c r="DB184">
        <v>0.19369212962962962</v>
      </c>
      <c r="DC184">
        <v>0.14623842592592592</v>
      </c>
      <c r="DD184">
        <v>113</v>
      </c>
      <c r="DE184">
        <v>195</v>
      </c>
      <c r="DF184">
        <v>14</v>
      </c>
      <c r="DG184" t="s">
        <v>803</v>
      </c>
      <c r="DH184">
        <v>46713</v>
      </c>
      <c r="DI184">
        <v>0.1239</v>
      </c>
      <c r="DJ184">
        <v>1</v>
      </c>
      <c r="DK184">
        <v>7.1400000000000005E-2</v>
      </c>
      <c r="DL184">
        <v>230</v>
      </c>
      <c r="DM184">
        <v>230</v>
      </c>
      <c r="DN184">
        <v>230</v>
      </c>
      <c r="DO184">
        <v>1</v>
      </c>
      <c r="DP184">
        <v>0.69299999999999995</v>
      </c>
      <c r="DQ184">
        <v>90</v>
      </c>
      <c r="DR184">
        <v>230</v>
      </c>
    </row>
    <row r="185" spans="95:122" x14ac:dyDescent="0.25">
      <c r="CQ185" t="s">
        <v>636</v>
      </c>
      <c r="CR185" t="s">
        <v>125</v>
      </c>
      <c r="CS185" t="s">
        <v>60</v>
      </c>
      <c r="CT185">
        <v>46065</v>
      </c>
      <c r="CU185">
        <v>1</v>
      </c>
      <c r="CV185">
        <v>1</v>
      </c>
      <c r="CX185">
        <v>1</v>
      </c>
      <c r="CZ185">
        <v>9.2592592592592588E-5</v>
      </c>
      <c r="DA185">
        <v>9.2592592592592588E-5</v>
      </c>
      <c r="DB185">
        <v>0</v>
      </c>
      <c r="DC185">
        <v>0</v>
      </c>
      <c r="DD185">
        <v>143</v>
      </c>
      <c r="DE185">
        <v>175</v>
      </c>
      <c r="DF185">
        <v>7</v>
      </c>
      <c r="DG185" t="s">
        <v>955</v>
      </c>
      <c r="DH185">
        <v>23586</v>
      </c>
      <c r="DI185">
        <v>4.9000000000000002E-2</v>
      </c>
      <c r="DJ185">
        <v>1</v>
      </c>
      <c r="DK185">
        <v>0.1429</v>
      </c>
      <c r="DL185">
        <v>3000</v>
      </c>
      <c r="DM185">
        <v>3000</v>
      </c>
      <c r="DN185">
        <v>3000</v>
      </c>
      <c r="DO185">
        <v>1</v>
      </c>
      <c r="DP185">
        <v>0.18959999999999999</v>
      </c>
      <c r="DQ185">
        <v>90</v>
      </c>
      <c r="DR185">
        <v>3000</v>
      </c>
    </row>
    <row r="186" spans="95:122" x14ac:dyDescent="0.25">
      <c r="CQ186" t="s">
        <v>636</v>
      </c>
      <c r="CR186" t="s">
        <v>125</v>
      </c>
      <c r="CS186" t="s">
        <v>61</v>
      </c>
      <c r="CT186">
        <v>46066</v>
      </c>
      <c r="CU186">
        <v>1</v>
      </c>
      <c r="CV186">
        <v>1</v>
      </c>
      <c r="CX186">
        <v>1</v>
      </c>
      <c r="CZ186">
        <v>6.9444444444444444E-5</v>
      </c>
      <c r="DA186">
        <v>6.9444444444444444E-5</v>
      </c>
      <c r="DB186">
        <v>0.18384259259259259</v>
      </c>
      <c r="DC186">
        <v>9.6493055555555554E-2</v>
      </c>
      <c r="DD186">
        <v>88</v>
      </c>
      <c r="DE186">
        <v>247</v>
      </c>
      <c r="DF186">
        <v>13</v>
      </c>
      <c r="DG186" t="s">
        <v>727</v>
      </c>
      <c r="DH186">
        <v>54343</v>
      </c>
      <c r="DI186">
        <v>0.1477</v>
      </c>
      <c r="DJ186">
        <v>1</v>
      </c>
      <c r="DK186">
        <v>7.6899999999999996E-2</v>
      </c>
      <c r="DL186">
        <v>1200</v>
      </c>
      <c r="DM186">
        <v>1200</v>
      </c>
      <c r="DN186">
        <v>1200</v>
      </c>
      <c r="DO186">
        <v>1</v>
      </c>
      <c r="DP186">
        <v>0.20019999999999999</v>
      </c>
      <c r="DQ186">
        <v>90</v>
      </c>
      <c r="DR186">
        <v>1200</v>
      </c>
    </row>
    <row r="187" spans="95:122" x14ac:dyDescent="0.25">
      <c r="CQ187" t="s">
        <v>636</v>
      </c>
      <c r="CR187" t="s">
        <v>125</v>
      </c>
      <c r="CS187" t="s">
        <v>61</v>
      </c>
      <c r="CT187">
        <v>46078</v>
      </c>
      <c r="CU187">
        <v>1</v>
      </c>
      <c r="CV187">
        <v>1</v>
      </c>
      <c r="CX187">
        <v>1</v>
      </c>
      <c r="CZ187">
        <v>1.273148148148148E-4</v>
      </c>
      <c r="DA187">
        <v>1.273148148148148E-4</v>
      </c>
      <c r="DB187">
        <v>0.18233796296296295</v>
      </c>
      <c r="DC187">
        <v>0.16685185185185186</v>
      </c>
      <c r="DD187">
        <v>80</v>
      </c>
      <c r="DE187">
        <v>212</v>
      </c>
      <c r="DF187">
        <v>21</v>
      </c>
      <c r="DG187" t="s">
        <v>752</v>
      </c>
      <c r="DH187">
        <v>34177</v>
      </c>
      <c r="DI187">
        <v>0.26250000000000001</v>
      </c>
      <c r="DJ187">
        <v>1</v>
      </c>
      <c r="DK187">
        <v>4.7600000000000003E-2</v>
      </c>
      <c r="DL187">
        <v>400</v>
      </c>
      <c r="DM187">
        <v>400</v>
      </c>
      <c r="DN187">
        <v>400</v>
      </c>
      <c r="DO187">
        <v>1</v>
      </c>
      <c r="DQ187">
        <v>90</v>
      </c>
      <c r="DR187">
        <v>400</v>
      </c>
    </row>
    <row r="188" spans="95:122" x14ac:dyDescent="0.25">
      <c r="CQ188" t="s">
        <v>636</v>
      </c>
      <c r="CR188" t="s">
        <v>125</v>
      </c>
      <c r="CS188" t="s">
        <v>12</v>
      </c>
      <c r="CT188">
        <v>46063</v>
      </c>
      <c r="CU188">
        <v>1</v>
      </c>
      <c r="CV188">
        <v>1</v>
      </c>
      <c r="CX188">
        <v>1</v>
      </c>
      <c r="CZ188">
        <v>1.1574074074074073E-5</v>
      </c>
      <c r="DA188">
        <v>1.1574074074074073E-5</v>
      </c>
      <c r="DB188">
        <v>8.6493055555555559E-2</v>
      </c>
      <c r="DC188">
        <v>4.5729166666666668E-2</v>
      </c>
      <c r="DD188">
        <v>132</v>
      </c>
      <c r="DE188">
        <v>353</v>
      </c>
      <c r="DF188">
        <v>39</v>
      </c>
      <c r="DG188" t="s">
        <v>780</v>
      </c>
      <c r="DH188">
        <v>26475</v>
      </c>
      <c r="DI188">
        <v>0.29549999999999998</v>
      </c>
      <c r="DJ188">
        <v>1</v>
      </c>
      <c r="DK188">
        <v>2.5600000000000001E-2</v>
      </c>
      <c r="DL188">
        <v>5700</v>
      </c>
      <c r="DM188">
        <v>5700</v>
      </c>
      <c r="DN188">
        <v>5700</v>
      </c>
      <c r="DO188">
        <v>1</v>
      </c>
      <c r="DP188">
        <v>0.1022</v>
      </c>
      <c r="DQ188">
        <v>90</v>
      </c>
      <c r="DR188">
        <v>5700</v>
      </c>
    </row>
    <row r="189" spans="95:122" x14ac:dyDescent="0.25">
      <c r="CQ189" t="s">
        <v>636</v>
      </c>
      <c r="CR189" t="s">
        <v>125</v>
      </c>
      <c r="CS189" t="s">
        <v>122</v>
      </c>
      <c r="CT189">
        <v>46072</v>
      </c>
      <c r="CU189">
        <v>1</v>
      </c>
      <c r="CV189">
        <v>1</v>
      </c>
      <c r="CX189">
        <v>1</v>
      </c>
      <c r="CZ189">
        <v>3.8194444444444446E-4</v>
      </c>
      <c r="DA189">
        <v>3.8194444444444446E-4</v>
      </c>
      <c r="DB189">
        <v>0.19636574074074073</v>
      </c>
      <c r="DC189">
        <v>0.13549768518518518</v>
      </c>
      <c r="DD189">
        <v>59</v>
      </c>
      <c r="DE189">
        <v>173</v>
      </c>
      <c r="DF189">
        <v>8</v>
      </c>
      <c r="DG189">
        <v>1.625</v>
      </c>
      <c r="DH189">
        <v>17038</v>
      </c>
      <c r="DI189">
        <v>0.1356</v>
      </c>
      <c r="DJ189">
        <v>1</v>
      </c>
      <c r="DK189">
        <v>0.125</v>
      </c>
      <c r="DL189">
        <v>1000</v>
      </c>
      <c r="DM189">
        <v>1000</v>
      </c>
      <c r="DN189">
        <v>1000</v>
      </c>
      <c r="DO189">
        <v>1</v>
      </c>
      <c r="DQ189">
        <v>90</v>
      </c>
      <c r="DR189">
        <v>1000</v>
      </c>
    </row>
    <row r="190" spans="95:122" x14ac:dyDescent="0.25">
      <c r="CQ190" t="s">
        <v>636</v>
      </c>
      <c r="CR190" t="s">
        <v>125</v>
      </c>
      <c r="CS190" t="s">
        <v>75</v>
      </c>
      <c r="CT190">
        <v>46057</v>
      </c>
      <c r="CU190">
        <v>1</v>
      </c>
      <c r="CV190">
        <v>1</v>
      </c>
      <c r="CX190">
        <v>1</v>
      </c>
      <c r="CZ190">
        <v>5.7870370370370373E-5</v>
      </c>
      <c r="DA190">
        <v>5.7870370370370373E-5</v>
      </c>
      <c r="DB190">
        <v>6.4988425925925922E-2</v>
      </c>
      <c r="DC190">
        <v>5.5833333333333332E-2</v>
      </c>
      <c r="DD190">
        <v>102</v>
      </c>
      <c r="DE190">
        <v>239</v>
      </c>
      <c r="DF190">
        <v>20</v>
      </c>
      <c r="DG190">
        <v>1.95</v>
      </c>
      <c r="DH190">
        <v>22834</v>
      </c>
      <c r="DI190">
        <v>0.1961</v>
      </c>
      <c r="DJ190">
        <v>2</v>
      </c>
      <c r="DK190">
        <v>0.1</v>
      </c>
      <c r="DL190">
        <v>6400</v>
      </c>
      <c r="DM190">
        <v>3200</v>
      </c>
      <c r="DN190">
        <v>6400</v>
      </c>
      <c r="DO190">
        <v>1</v>
      </c>
      <c r="DP190">
        <v>0.31280000000000002</v>
      </c>
      <c r="DQ190">
        <v>90</v>
      </c>
      <c r="DR190">
        <v>3200</v>
      </c>
    </row>
    <row r="191" spans="95:122" x14ac:dyDescent="0.25">
      <c r="CQ191" t="s">
        <v>636</v>
      </c>
      <c r="CR191" t="s">
        <v>125</v>
      </c>
      <c r="CS191" t="s">
        <v>59</v>
      </c>
      <c r="CT191">
        <v>46070</v>
      </c>
      <c r="CU191">
        <v>1</v>
      </c>
      <c r="CV191">
        <v>1</v>
      </c>
      <c r="CX191">
        <v>1</v>
      </c>
      <c r="CZ191">
        <v>4.6296296296296294E-5</v>
      </c>
      <c r="DA191">
        <v>4.6296296296296294E-5</v>
      </c>
      <c r="DB191">
        <v>0.17074074074074075</v>
      </c>
      <c r="DC191">
        <v>0.18344907407407407</v>
      </c>
      <c r="DD191">
        <v>154</v>
      </c>
      <c r="DE191">
        <v>318</v>
      </c>
      <c r="DF191">
        <v>23</v>
      </c>
      <c r="DG191" t="s">
        <v>954</v>
      </c>
      <c r="DH191">
        <v>42980</v>
      </c>
      <c r="DI191">
        <v>0.14940000000000001</v>
      </c>
      <c r="DJ191">
        <v>1</v>
      </c>
      <c r="DK191">
        <v>4.3499999999999997E-2</v>
      </c>
      <c r="DL191">
        <v>3000</v>
      </c>
      <c r="DM191">
        <v>3000</v>
      </c>
      <c r="DN191">
        <v>3000</v>
      </c>
      <c r="DO191">
        <v>1</v>
      </c>
      <c r="DP191">
        <v>0.1482</v>
      </c>
      <c r="DQ191">
        <v>90</v>
      </c>
      <c r="DR191">
        <v>3000</v>
      </c>
    </row>
    <row r="192" spans="95:122" x14ac:dyDescent="0.25">
      <c r="CQ192" t="s">
        <v>636</v>
      </c>
      <c r="CR192" t="s">
        <v>125</v>
      </c>
      <c r="CS192" t="s">
        <v>59</v>
      </c>
      <c r="CT192">
        <v>46079</v>
      </c>
      <c r="CU192">
        <v>1</v>
      </c>
      <c r="CV192">
        <v>1</v>
      </c>
      <c r="CX192">
        <v>1</v>
      </c>
      <c r="CZ192">
        <v>1.1574074074074073E-5</v>
      </c>
      <c r="DA192">
        <v>1.1574074074074073E-5</v>
      </c>
      <c r="DB192">
        <v>0.15615740740740741</v>
      </c>
      <c r="DC192">
        <v>0.20469907407407406</v>
      </c>
      <c r="DD192">
        <v>132</v>
      </c>
      <c r="DE192">
        <v>250</v>
      </c>
      <c r="DF192">
        <v>19</v>
      </c>
      <c r="DG192" t="s">
        <v>1092</v>
      </c>
      <c r="DH192">
        <v>60979</v>
      </c>
      <c r="DI192">
        <v>0.1439</v>
      </c>
      <c r="DJ192">
        <v>3</v>
      </c>
      <c r="DK192">
        <v>0.15790000000000001</v>
      </c>
      <c r="DL192">
        <v>17261</v>
      </c>
      <c r="DM192">
        <v>5754</v>
      </c>
      <c r="DN192">
        <v>5061</v>
      </c>
      <c r="DO192">
        <v>0.29320000000000002</v>
      </c>
      <c r="DP192">
        <v>0.1174</v>
      </c>
      <c r="DQ192">
        <v>90</v>
      </c>
      <c r="DR192">
        <v>1687</v>
      </c>
    </row>
    <row r="193" spans="95:122" x14ac:dyDescent="0.25">
      <c r="CQ193" t="s">
        <v>636</v>
      </c>
      <c r="CR193" t="s">
        <v>125</v>
      </c>
      <c r="CS193" t="s">
        <v>10</v>
      </c>
      <c r="CT193">
        <v>46058</v>
      </c>
      <c r="CU193">
        <v>1</v>
      </c>
      <c r="CV193">
        <v>1</v>
      </c>
      <c r="CX193">
        <v>1</v>
      </c>
      <c r="CZ193">
        <v>9.2592592592592588E-5</v>
      </c>
      <c r="DA193">
        <v>9.2592592592592588E-5</v>
      </c>
      <c r="DB193">
        <v>0.12302083333333333</v>
      </c>
      <c r="DC193">
        <v>1.576388888888889E-2</v>
      </c>
      <c r="DD193">
        <v>156</v>
      </c>
      <c r="DE193">
        <v>284</v>
      </c>
      <c r="DF193">
        <v>15</v>
      </c>
      <c r="DG193" t="s">
        <v>739</v>
      </c>
      <c r="DH193">
        <v>42035</v>
      </c>
      <c r="DI193">
        <v>9.6199999999999994E-2</v>
      </c>
      <c r="DJ193">
        <v>1</v>
      </c>
      <c r="DK193">
        <v>6.6699999999999995E-2</v>
      </c>
      <c r="DL193">
        <v>1210</v>
      </c>
      <c r="DM193">
        <v>1210</v>
      </c>
      <c r="DN193">
        <v>1210</v>
      </c>
      <c r="DO193">
        <v>1</v>
      </c>
      <c r="DP193">
        <v>0.60750000000000004</v>
      </c>
      <c r="DQ193">
        <v>90</v>
      </c>
      <c r="DR193">
        <v>1210</v>
      </c>
    </row>
    <row r="194" spans="95:122" x14ac:dyDescent="0.25">
      <c r="CQ194" t="s">
        <v>636</v>
      </c>
      <c r="CR194" t="s">
        <v>125</v>
      </c>
      <c r="CS194" t="s">
        <v>10</v>
      </c>
      <c r="CT194">
        <v>46073</v>
      </c>
      <c r="CU194">
        <v>1</v>
      </c>
      <c r="CV194">
        <v>1</v>
      </c>
      <c r="CX194">
        <v>1</v>
      </c>
      <c r="CZ194">
        <v>1.1574074074074075E-4</v>
      </c>
      <c r="DA194">
        <v>1.1574074074074075E-4</v>
      </c>
      <c r="DB194">
        <v>0.20565972222222223</v>
      </c>
      <c r="DC194">
        <v>0.1338425925925926</v>
      </c>
      <c r="DD194">
        <v>98</v>
      </c>
      <c r="DE194">
        <v>172</v>
      </c>
      <c r="DF194">
        <v>16</v>
      </c>
      <c r="DG194">
        <v>2.0625</v>
      </c>
      <c r="DH194">
        <v>25306</v>
      </c>
      <c r="DI194">
        <v>0.1633</v>
      </c>
      <c r="DJ194">
        <v>1</v>
      </c>
      <c r="DK194">
        <v>6.25E-2</v>
      </c>
      <c r="DL194">
        <v>4000</v>
      </c>
      <c r="DM194">
        <v>4000</v>
      </c>
      <c r="DN194">
        <v>4000</v>
      </c>
      <c r="DO194">
        <v>1</v>
      </c>
      <c r="DP194">
        <v>0.1108</v>
      </c>
      <c r="DQ194">
        <v>90</v>
      </c>
      <c r="DR194">
        <v>4000</v>
      </c>
    </row>
    <row r="195" spans="95:122" x14ac:dyDescent="0.25">
      <c r="CQ195" t="s">
        <v>636</v>
      </c>
      <c r="CR195" t="s">
        <v>2</v>
      </c>
      <c r="CS195" t="s">
        <v>42</v>
      </c>
      <c r="CT195">
        <v>46063</v>
      </c>
      <c r="CU195">
        <v>1</v>
      </c>
      <c r="CV195">
        <v>1</v>
      </c>
      <c r="CX195">
        <v>1</v>
      </c>
      <c r="CZ195">
        <v>2.3148148148148147E-5</v>
      </c>
      <c r="DA195">
        <v>2.3148148148148147E-5</v>
      </c>
      <c r="DB195">
        <v>6.1539351851851852E-2</v>
      </c>
      <c r="DC195">
        <v>4.9583333333333333E-2</v>
      </c>
      <c r="DD195">
        <v>117</v>
      </c>
      <c r="DE195">
        <v>215</v>
      </c>
      <c r="DF195">
        <v>45</v>
      </c>
      <c r="DG195">
        <v>1.8</v>
      </c>
      <c r="DH195">
        <v>13546</v>
      </c>
      <c r="DI195">
        <v>0.3846</v>
      </c>
      <c r="DJ195">
        <v>1</v>
      </c>
      <c r="DK195">
        <v>2.2200000000000001E-2</v>
      </c>
      <c r="DL195">
        <v>210</v>
      </c>
      <c r="DM195">
        <v>210</v>
      </c>
      <c r="DN195">
        <v>210</v>
      </c>
      <c r="DO195">
        <v>1</v>
      </c>
      <c r="DP195">
        <v>0.7167</v>
      </c>
      <c r="DQ195">
        <v>90</v>
      </c>
      <c r="DR195">
        <v>210</v>
      </c>
    </row>
    <row r="196" spans="95:122" x14ac:dyDescent="0.25">
      <c r="CQ196" t="s">
        <v>636</v>
      </c>
      <c r="CR196" t="s">
        <v>2</v>
      </c>
      <c r="CS196" t="s">
        <v>29</v>
      </c>
      <c r="CT196">
        <v>46073</v>
      </c>
      <c r="CU196">
        <v>1</v>
      </c>
      <c r="CV196">
        <v>1</v>
      </c>
      <c r="CZ196">
        <v>3.5995370370370369E-3</v>
      </c>
      <c r="DA196">
        <v>3.5995370370370369E-3</v>
      </c>
      <c r="DB196">
        <v>0.16059027777777779</v>
      </c>
      <c r="DC196">
        <v>0.13126157407407407</v>
      </c>
      <c r="DD196">
        <v>57</v>
      </c>
      <c r="DE196">
        <v>119</v>
      </c>
      <c r="DF196">
        <v>24</v>
      </c>
      <c r="DG196" t="s">
        <v>1055</v>
      </c>
      <c r="DH196">
        <v>18799</v>
      </c>
      <c r="DI196">
        <v>0.42109999999999997</v>
      </c>
      <c r="DJ196">
        <v>2</v>
      </c>
      <c r="DK196">
        <v>8.3299999999999999E-2</v>
      </c>
      <c r="DL196">
        <v>4000</v>
      </c>
      <c r="DM196">
        <v>2000</v>
      </c>
      <c r="DN196">
        <v>4000</v>
      </c>
      <c r="DO196">
        <v>1</v>
      </c>
      <c r="DP196">
        <v>0.1477</v>
      </c>
      <c r="DQ196">
        <v>90</v>
      </c>
      <c r="DR196">
        <v>2000</v>
      </c>
    </row>
    <row r="197" spans="95:122" x14ac:dyDescent="0.25">
      <c r="CQ197" t="s">
        <v>636</v>
      </c>
      <c r="CR197" t="s">
        <v>2</v>
      </c>
      <c r="CS197" t="s">
        <v>79</v>
      </c>
      <c r="CT197">
        <v>46058</v>
      </c>
      <c r="CU197">
        <v>1</v>
      </c>
      <c r="CV197">
        <v>1</v>
      </c>
      <c r="CX197">
        <v>1</v>
      </c>
      <c r="CZ197">
        <v>2.0833333333333335E-4</v>
      </c>
      <c r="DA197">
        <v>2.0833333333333335E-4</v>
      </c>
      <c r="DB197">
        <v>0.12177083333333333</v>
      </c>
      <c r="DC197">
        <v>3.2986111111111111E-3</v>
      </c>
      <c r="DD197">
        <v>65</v>
      </c>
      <c r="DE197">
        <v>126</v>
      </c>
      <c r="DF197">
        <v>20</v>
      </c>
      <c r="DG197">
        <v>1.6</v>
      </c>
      <c r="DH197">
        <v>21216</v>
      </c>
      <c r="DI197">
        <v>0.30769999999999997</v>
      </c>
      <c r="DJ197">
        <v>1</v>
      </c>
      <c r="DK197">
        <v>0.05</v>
      </c>
      <c r="DL197">
        <v>4500</v>
      </c>
      <c r="DM197">
        <v>4500</v>
      </c>
      <c r="DN197">
        <v>4500</v>
      </c>
      <c r="DO197">
        <v>1</v>
      </c>
      <c r="DP197">
        <v>0.20230000000000001</v>
      </c>
      <c r="DQ197">
        <v>90</v>
      </c>
      <c r="DR197">
        <v>4500</v>
      </c>
    </row>
    <row r="198" spans="95:122" x14ac:dyDescent="0.25">
      <c r="CQ198" t="s">
        <v>636</v>
      </c>
      <c r="CR198" t="s">
        <v>2</v>
      </c>
      <c r="CS198" t="s">
        <v>79</v>
      </c>
      <c r="CT198">
        <v>46059</v>
      </c>
      <c r="CU198">
        <v>1</v>
      </c>
      <c r="CV198">
        <v>1</v>
      </c>
      <c r="CX198">
        <v>1</v>
      </c>
      <c r="CZ198">
        <v>1.0416666666666667E-4</v>
      </c>
      <c r="DA198">
        <v>1.0416666666666667E-4</v>
      </c>
      <c r="DB198">
        <v>5.4247685185185184E-2</v>
      </c>
      <c r="DC198">
        <v>2.2546296296296297E-2</v>
      </c>
      <c r="DD198">
        <v>45</v>
      </c>
      <c r="DE198">
        <v>89</v>
      </c>
      <c r="DF198">
        <v>14</v>
      </c>
      <c r="DG198" t="s">
        <v>735</v>
      </c>
      <c r="DH198">
        <v>48272</v>
      </c>
      <c r="DI198">
        <v>0.31109999999999999</v>
      </c>
      <c r="DJ198">
        <v>2</v>
      </c>
      <c r="DK198">
        <v>0.1429</v>
      </c>
      <c r="DL198">
        <v>13000</v>
      </c>
      <c r="DM198">
        <v>6500</v>
      </c>
      <c r="DN198">
        <v>13000</v>
      </c>
      <c r="DO198">
        <v>1</v>
      </c>
      <c r="DP198">
        <v>0.27960000000000002</v>
      </c>
      <c r="DQ198">
        <v>90</v>
      </c>
      <c r="DR198">
        <v>6500</v>
      </c>
    </row>
    <row r="199" spans="95:122" x14ac:dyDescent="0.25">
      <c r="CQ199" t="s">
        <v>636</v>
      </c>
      <c r="CR199" t="s">
        <v>2</v>
      </c>
      <c r="CS199" t="s">
        <v>79</v>
      </c>
      <c r="CT199">
        <v>46079</v>
      </c>
      <c r="CU199">
        <v>1</v>
      </c>
      <c r="CV199">
        <v>1</v>
      </c>
      <c r="CX199">
        <v>1</v>
      </c>
      <c r="CZ199">
        <v>3.4722222222222224E-4</v>
      </c>
      <c r="DA199">
        <v>3.4722222222222224E-4</v>
      </c>
      <c r="DB199">
        <v>0.17097222222222222</v>
      </c>
      <c r="DC199">
        <v>0.12949074074074074</v>
      </c>
      <c r="DD199">
        <v>48</v>
      </c>
      <c r="DE199">
        <v>110</v>
      </c>
      <c r="DF199">
        <v>27</v>
      </c>
      <c r="DG199" t="s">
        <v>749</v>
      </c>
      <c r="DH199">
        <v>35994</v>
      </c>
      <c r="DI199">
        <v>0.5625</v>
      </c>
      <c r="DJ199">
        <v>2</v>
      </c>
      <c r="DK199">
        <v>7.4099999999999999E-2</v>
      </c>
      <c r="DL199">
        <v>5250</v>
      </c>
      <c r="DM199">
        <v>2625</v>
      </c>
      <c r="DN199">
        <v>5250</v>
      </c>
      <c r="DO199">
        <v>1</v>
      </c>
      <c r="DP199">
        <v>0.111</v>
      </c>
      <c r="DQ199">
        <v>90</v>
      </c>
      <c r="DR199">
        <v>2625</v>
      </c>
    </row>
    <row r="200" spans="95:122" x14ac:dyDescent="0.25">
      <c r="CQ200" t="s">
        <v>636</v>
      </c>
      <c r="CR200" t="s">
        <v>2</v>
      </c>
      <c r="CS200" t="s">
        <v>79</v>
      </c>
      <c r="CT200">
        <v>46081</v>
      </c>
      <c r="CU200">
        <v>1</v>
      </c>
      <c r="CV200">
        <v>1</v>
      </c>
      <c r="CX200">
        <v>1</v>
      </c>
      <c r="CZ200">
        <v>2.8935185185185184E-4</v>
      </c>
      <c r="DA200">
        <v>2.8935185185185184E-4</v>
      </c>
      <c r="DB200">
        <v>0.10722222222222222</v>
      </c>
      <c r="DC200">
        <v>7.8611111111111118E-2</v>
      </c>
      <c r="DD200">
        <v>29</v>
      </c>
      <c r="DE200">
        <v>58</v>
      </c>
      <c r="DF200">
        <v>10</v>
      </c>
      <c r="DG200">
        <v>1.9</v>
      </c>
      <c r="DH200">
        <v>30930</v>
      </c>
      <c r="DI200">
        <v>0.3448</v>
      </c>
      <c r="DJ200">
        <v>1</v>
      </c>
      <c r="DK200">
        <v>0.1</v>
      </c>
      <c r="DL200">
        <v>1600</v>
      </c>
      <c r="DM200">
        <v>1600</v>
      </c>
      <c r="DN200">
        <v>1600</v>
      </c>
      <c r="DO200">
        <v>1</v>
      </c>
      <c r="DP200">
        <v>0.1545</v>
      </c>
      <c r="DQ200">
        <v>90</v>
      </c>
      <c r="DR200">
        <v>1600</v>
      </c>
    </row>
    <row r="201" spans="95:122" x14ac:dyDescent="0.25">
      <c r="CQ201" t="s">
        <v>636</v>
      </c>
      <c r="CR201" t="s">
        <v>2</v>
      </c>
      <c r="CS201" t="s">
        <v>76</v>
      </c>
      <c r="CT201">
        <v>46056</v>
      </c>
      <c r="CU201">
        <v>1</v>
      </c>
      <c r="CV201">
        <v>1</v>
      </c>
      <c r="CX201">
        <v>1</v>
      </c>
      <c r="CZ201">
        <v>0</v>
      </c>
      <c r="DA201">
        <v>0</v>
      </c>
      <c r="DB201">
        <v>0.11305555555555556</v>
      </c>
      <c r="DC201">
        <v>1.1516203703703704E-2</v>
      </c>
      <c r="DD201">
        <v>58</v>
      </c>
      <c r="DE201">
        <v>90</v>
      </c>
      <c r="DF201">
        <v>30</v>
      </c>
      <c r="DG201" t="s">
        <v>742</v>
      </c>
      <c r="DH201">
        <v>17513</v>
      </c>
      <c r="DI201">
        <v>0.51719999999999999</v>
      </c>
      <c r="DJ201">
        <v>1</v>
      </c>
      <c r="DK201">
        <v>3.3300000000000003E-2</v>
      </c>
      <c r="DL201">
        <v>4200</v>
      </c>
      <c r="DM201">
        <v>4200</v>
      </c>
      <c r="DN201">
        <v>4200</v>
      </c>
      <c r="DO201">
        <v>1</v>
      </c>
      <c r="DP201">
        <v>0.28570000000000001</v>
      </c>
      <c r="DQ201">
        <v>90</v>
      </c>
      <c r="DR201">
        <v>4200</v>
      </c>
    </row>
    <row r="202" spans="95:122" x14ac:dyDescent="0.25">
      <c r="CQ202" t="s">
        <v>636</v>
      </c>
      <c r="CR202" t="s">
        <v>6</v>
      </c>
      <c r="CS202" t="s">
        <v>80</v>
      </c>
      <c r="CT202">
        <v>46070</v>
      </c>
      <c r="CU202">
        <v>1</v>
      </c>
      <c r="CV202">
        <v>1</v>
      </c>
      <c r="CX202">
        <v>1</v>
      </c>
      <c r="CZ202">
        <v>1.273148148148148E-4</v>
      </c>
      <c r="DA202">
        <v>1.273148148148148E-4</v>
      </c>
      <c r="DB202">
        <v>0.17612268518518517</v>
      </c>
      <c r="DC202">
        <v>0.16883101851851851</v>
      </c>
      <c r="DD202">
        <v>82</v>
      </c>
      <c r="DE202">
        <v>109</v>
      </c>
      <c r="DF202">
        <v>12</v>
      </c>
      <c r="DG202" t="s">
        <v>811</v>
      </c>
      <c r="DH202">
        <v>27759</v>
      </c>
      <c r="DI202">
        <v>0.14630000000000001</v>
      </c>
      <c r="DJ202">
        <v>1</v>
      </c>
      <c r="DK202">
        <v>8.3299999999999999E-2</v>
      </c>
      <c r="DL202">
        <v>330</v>
      </c>
      <c r="DM202">
        <v>330</v>
      </c>
      <c r="DN202">
        <v>330</v>
      </c>
      <c r="DO202">
        <v>1</v>
      </c>
      <c r="DP202">
        <v>1.0055000000000001</v>
      </c>
      <c r="DQ202">
        <v>90</v>
      </c>
      <c r="DR202">
        <v>330</v>
      </c>
    </row>
    <row r="203" spans="95:122" x14ac:dyDescent="0.25">
      <c r="CQ203" t="s">
        <v>636</v>
      </c>
      <c r="CR203" t="s">
        <v>6</v>
      </c>
      <c r="CS203" t="s">
        <v>81</v>
      </c>
      <c r="CT203">
        <v>46069</v>
      </c>
      <c r="CU203">
        <v>1</v>
      </c>
      <c r="CV203">
        <v>1</v>
      </c>
      <c r="CX203">
        <v>1</v>
      </c>
      <c r="CZ203">
        <v>1.1574074074074075E-4</v>
      </c>
      <c r="DA203">
        <v>1.1574074074074075E-4</v>
      </c>
      <c r="DB203">
        <v>0.22855324074074074</v>
      </c>
      <c r="DC203">
        <v>0.11792824074074074</v>
      </c>
      <c r="DD203">
        <v>81</v>
      </c>
      <c r="DE203">
        <v>141</v>
      </c>
      <c r="DF203">
        <v>11</v>
      </c>
      <c r="DG203" t="s">
        <v>905</v>
      </c>
      <c r="DH203">
        <v>18805</v>
      </c>
      <c r="DI203">
        <v>0.1358</v>
      </c>
      <c r="DJ203">
        <v>2</v>
      </c>
      <c r="DK203">
        <v>0.18179999999999999</v>
      </c>
      <c r="DL203">
        <v>6251</v>
      </c>
      <c r="DM203">
        <v>3126</v>
      </c>
      <c r="DN203">
        <v>6251</v>
      </c>
      <c r="DO203">
        <v>1</v>
      </c>
      <c r="DP203">
        <v>0.1166</v>
      </c>
      <c r="DQ203">
        <v>90</v>
      </c>
      <c r="DR203">
        <v>3126</v>
      </c>
    </row>
    <row r="204" spans="95:122" x14ac:dyDescent="0.25">
      <c r="CQ204" t="s">
        <v>636</v>
      </c>
      <c r="CR204" t="s">
        <v>6</v>
      </c>
      <c r="CS204" t="s">
        <v>81</v>
      </c>
      <c r="CT204">
        <v>46071</v>
      </c>
      <c r="CU204">
        <v>1</v>
      </c>
      <c r="CV204">
        <v>1</v>
      </c>
      <c r="CX204">
        <v>1</v>
      </c>
      <c r="CZ204">
        <v>0</v>
      </c>
      <c r="DA204">
        <v>0</v>
      </c>
      <c r="DB204">
        <v>0.19423611111111111</v>
      </c>
      <c r="DC204">
        <v>0.14556712962962962</v>
      </c>
      <c r="DD204">
        <v>91</v>
      </c>
      <c r="DE204">
        <v>141</v>
      </c>
      <c r="DF204">
        <v>3</v>
      </c>
      <c r="DG204">
        <v>3</v>
      </c>
      <c r="DH204">
        <v>26784</v>
      </c>
      <c r="DI204">
        <v>3.3000000000000002E-2</v>
      </c>
      <c r="DJ204">
        <v>1</v>
      </c>
      <c r="DK204">
        <v>0.33329999999999999</v>
      </c>
      <c r="DL204">
        <v>7000</v>
      </c>
      <c r="DM204">
        <v>7000</v>
      </c>
      <c r="DN204">
        <v>7000</v>
      </c>
      <c r="DO204">
        <v>1</v>
      </c>
      <c r="DP204">
        <v>0.1024</v>
      </c>
      <c r="DQ204">
        <v>90</v>
      </c>
      <c r="DR204">
        <v>7000</v>
      </c>
    </row>
    <row r="205" spans="95:122" x14ac:dyDescent="0.25">
      <c r="CQ205" t="s">
        <v>636</v>
      </c>
      <c r="CR205" t="s">
        <v>6</v>
      </c>
      <c r="CS205" t="s">
        <v>81</v>
      </c>
      <c r="CT205">
        <v>46076</v>
      </c>
      <c r="CU205">
        <v>1</v>
      </c>
      <c r="CV205">
        <v>1</v>
      </c>
      <c r="CX205">
        <v>1</v>
      </c>
      <c r="CZ205">
        <v>1.273148148148148E-4</v>
      </c>
      <c r="DA205">
        <v>1.273148148148148E-4</v>
      </c>
      <c r="DB205">
        <v>0.19821759259259258</v>
      </c>
      <c r="DC205">
        <v>0.1037037037037037</v>
      </c>
      <c r="DD205">
        <v>74</v>
      </c>
      <c r="DE205">
        <v>132</v>
      </c>
      <c r="DF205">
        <v>12</v>
      </c>
      <c r="DG205" t="s">
        <v>716</v>
      </c>
      <c r="DH205">
        <v>34191</v>
      </c>
      <c r="DI205">
        <v>0.16220000000000001</v>
      </c>
      <c r="DJ205">
        <v>1</v>
      </c>
      <c r="DK205">
        <v>8.3299999999999999E-2</v>
      </c>
      <c r="DL205">
        <v>2500</v>
      </c>
      <c r="DM205">
        <v>2500</v>
      </c>
      <c r="DN205">
        <v>2500</v>
      </c>
      <c r="DO205">
        <v>1</v>
      </c>
      <c r="DP205">
        <v>0.22750000000000001</v>
      </c>
      <c r="DQ205">
        <v>90</v>
      </c>
      <c r="DR205">
        <v>2500</v>
      </c>
    </row>
    <row r="206" spans="95:122" x14ac:dyDescent="0.25">
      <c r="CQ206" t="s">
        <v>636</v>
      </c>
      <c r="CR206" t="s">
        <v>6</v>
      </c>
      <c r="CS206" t="s">
        <v>26</v>
      </c>
      <c r="CT206">
        <v>46076</v>
      </c>
      <c r="CU206">
        <v>1</v>
      </c>
      <c r="CV206">
        <v>1</v>
      </c>
      <c r="CX206">
        <v>1</v>
      </c>
      <c r="CZ206">
        <v>5.7870370370370373E-5</v>
      </c>
      <c r="DA206">
        <v>5.7870370370370373E-5</v>
      </c>
      <c r="DB206">
        <v>0.2497337962962963</v>
      </c>
      <c r="DC206">
        <v>0.10528935185185186</v>
      </c>
      <c r="DD206">
        <v>130</v>
      </c>
      <c r="DE206">
        <v>241</v>
      </c>
      <c r="DF206">
        <v>17</v>
      </c>
      <c r="DG206" t="s">
        <v>728</v>
      </c>
      <c r="DH206">
        <v>16353</v>
      </c>
      <c r="DI206">
        <v>0.1308</v>
      </c>
      <c r="DJ206">
        <v>1</v>
      </c>
      <c r="DK206">
        <v>5.8799999999999998E-2</v>
      </c>
      <c r="DL206">
        <v>300</v>
      </c>
      <c r="DM206">
        <v>300</v>
      </c>
      <c r="DN206">
        <v>300</v>
      </c>
      <c r="DO206">
        <v>1</v>
      </c>
      <c r="DP206">
        <v>0.4461</v>
      </c>
      <c r="DQ206">
        <v>90</v>
      </c>
      <c r="DR206">
        <v>300</v>
      </c>
    </row>
    <row r="207" spans="95:122" x14ac:dyDescent="0.25">
      <c r="CQ207" t="s">
        <v>636</v>
      </c>
      <c r="CR207" t="s">
        <v>6</v>
      </c>
      <c r="CS207" t="s">
        <v>37</v>
      </c>
      <c r="CT207">
        <v>46056</v>
      </c>
      <c r="CU207">
        <v>1</v>
      </c>
      <c r="CV207">
        <v>1</v>
      </c>
      <c r="CX207">
        <v>1</v>
      </c>
      <c r="CZ207">
        <v>0</v>
      </c>
      <c r="DA207">
        <v>0</v>
      </c>
      <c r="DB207">
        <v>7.076388888888889E-2</v>
      </c>
      <c r="DC207">
        <v>3.3321759259259259E-2</v>
      </c>
      <c r="DD207">
        <v>62</v>
      </c>
      <c r="DE207">
        <v>165</v>
      </c>
      <c r="DF207">
        <v>15</v>
      </c>
      <c r="DG207" t="s">
        <v>808</v>
      </c>
      <c r="DH207">
        <v>16102</v>
      </c>
      <c r="DI207">
        <v>0.2419</v>
      </c>
      <c r="DJ207">
        <v>5</v>
      </c>
      <c r="DK207">
        <v>0.33329999999999999</v>
      </c>
      <c r="DL207">
        <v>10482</v>
      </c>
      <c r="DM207">
        <v>2096</v>
      </c>
      <c r="DN207">
        <v>9787</v>
      </c>
      <c r="DO207">
        <v>0.93369999999999997</v>
      </c>
      <c r="DP207">
        <v>0.4955</v>
      </c>
      <c r="DQ207">
        <v>90</v>
      </c>
      <c r="DR207">
        <v>2447</v>
      </c>
    </row>
    <row r="208" spans="95:122" x14ac:dyDescent="0.25">
      <c r="CQ208" t="s">
        <v>636</v>
      </c>
      <c r="CR208" t="s">
        <v>6</v>
      </c>
      <c r="CS208" t="s">
        <v>37</v>
      </c>
      <c r="CT208">
        <v>46080</v>
      </c>
      <c r="CU208">
        <v>1</v>
      </c>
      <c r="CV208">
        <v>1</v>
      </c>
      <c r="CX208">
        <v>1</v>
      </c>
      <c r="CZ208">
        <v>3.4722222222222222E-5</v>
      </c>
      <c r="DA208">
        <v>3.4722222222222222E-5</v>
      </c>
      <c r="DB208">
        <v>0.11606481481481482</v>
      </c>
      <c r="DC208">
        <v>0.25026620370370373</v>
      </c>
      <c r="DD208">
        <v>99</v>
      </c>
      <c r="DE208">
        <v>130</v>
      </c>
      <c r="DF208">
        <v>19</v>
      </c>
      <c r="DG208" t="s">
        <v>691</v>
      </c>
      <c r="DH208">
        <v>15441</v>
      </c>
      <c r="DI208">
        <v>0.19189999999999999</v>
      </c>
      <c r="DJ208">
        <v>2</v>
      </c>
      <c r="DK208">
        <v>0.1053</v>
      </c>
      <c r="DL208">
        <v>3500</v>
      </c>
      <c r="DM208">
        <v>1750</v>
      </c>
      <c r="DN208">
        <v>3500</v>
      </c>
      <c r="DO208">
        <v>1</v>
      </c>
      <c r="DP208">
        <v>0.24460000000000001</v>
      </c>
      <c r="DQ208">
        <v>90</v>
      </c>
      <c r="DR208">
        <v>1750</v>
      </c>
    </row>
    <row r="209" spans="95:122" x14ac:dyDescent="0.25">
      <c r="CQ209" t="s">
        <v>636</v>
      </c>
      <c r="CR209" t="s">
        <v>6</v>
      </c>
      <c r="CS209" t="s">
        <v>35</v>
      </c>
      <c r="CT209">
        <v>46071</v>
      </c>
      <c r="CU209">
        <v>1</v>
      </c>
      <c r="CV209">
        <v>1</v>
      </c>
      <c r="CX209">
        <v>1</v>
      </c>
      <c r="CZ209">
        <v>9.2592592592592588E-5</v>
      </c>
      <c r="DA209">
        <v>9.2592592592592588E-5</v>
      </c>
      <c r="DB209">
        <v>0.13640046296296296</v>
      </c>
      <c r="DC209">
        <v>0.2462037037037037</v>
      </c>
      <c r="DD209">
        <v>67</v>
      </c>
      <c r="DE209">
        <v>122</v>
      </c>
      <c r="DF209">
        <v>10</v>
      </c>
      <c r="DG209">
        <v>1.4</v>
      </c>
      <c r="DH209">
        <v>19700</v>
      </c>
      <c r="DI209">
        <v>0.14929999999999999</v>
      </c>
      <c r="DJ209">
        <v>2</v>
      </c>
      <c r="DK209">
        <v>0.2</v>
      </c>
      <c r="DL209">
        <v>588</v>
      </c>
      <c r="DM209">
        <v>294</v>
      </c>
      <c r="DN209">
        <v>588</v>
      </c>
      <c r="DO209">
        <v>1</v>
      </c>
      <c r="DP209">
        <v>1.002</v>
      </c>
      <c r="DQ209">
        <v>90</v>
      </c>
      <c r="DR209">
        <v>294</v>
      </c>
    </row>
    <row r="210" spans="95:122" x14ac:dyDescent="0.25">
      <c r="CQ210" t="s">
        <v>636</v>
      </c>
      <c r="CR210" t="s">
        <v>6</v>
      </c>
      <c r="CS210" t="s">
        <v>35</v>
      </c>
      <c r="CT210">
        <v>46080</v>
      </c>
      <c r="CU210">
        <v>1</v>
      </c>
      <c r="CV210">
        <v>1</v>
      </c>
      <c r="CX210">
        <v>1</v>
      </c>
      <c r="CZ210">
        <v>5.7870370370370373E-5</v>
      </c>
      <c r="DA210">
        <v>5.7870370370370373E-5</v>
      </c>
      <c r="DB210">
        <v>0.14167824074074073</v>
      </c>
      <c r="DC210">
        <v>0.23641203703703703</v>
      </c>
      <c r="DD210">
        <v>44</v>
      </c>
      <c r="DE210">
        <v>92</v>
      </c>
      <c r="DF210">
        <v>16</v>
      </c>
      <c r="DG210">
        <v>2.125</v>
      </c>
      <c r="DH210">
        <v>55665</v>
      </c>
      <c r="DI210">
        <v>0.36359999999999998</v>
      </c>
      <c r="DJ210">
        <v>2</v>
      </c>
      <c r="DK210">
        <v>0.125</v>
      </c>
      <c r="DL210">
        <v>7525</v>
      </c>
      <c r="DM210">
        <v>3763</v>
      </c>
      <c r="DN210">
        <v>7525</v>
      </c>
      <c r="DO210">
        <v>1</v>
      </c>
      <c r="DP210">
        <v>0.13500000000000001</v>
      </c>
      <c r="DQ210">
        <v>90</v>
      </c>
      <c r="DR210">
        <v>3763</v>
      </c>
    </row>
    <row r="211" spans="95:122" x14ac:dyDescent="0.25">
      <c r="CQ211" t="s">
        <v>636</v>
      </c>
      <c r="CR211" t="s">
        <v>6</v>
      </c>
      <c r="CS211" t="s">
        <v>78</v>
      </c>
      <c r="CT211">
        <v>46066</v>
      </c>
      <c r="CU211">
        <v>1</v>
      </c>
      <c r="CV211">
        <v>1</v>
      </c>
      <c r="CX211">
        <v>1</v>
      </c>
      <c r="CZ211">
        <v>2.6620370370370372E-4</v>
      </c>
      <c r="DA211">
        <v>2.6620370370370372E-4</v>
      </c>
      <c r="DB211">
        <v>0.20709490740740741</v>
      </c>
      <c r="DC211">
        <v>0.16138888888888889</v>
      </c>
      <c r="DD211">
        <v>78</v>
      </c>
      <c r="DE211">
        <v>149</v>
      </c>
      <c r="DF211">
        <v>31</v>
      </c>
      <c r="DG211" t="s">
        <v>696</v>
      </c>
      <c r="DH211">
        <v>29225</v>
      </c>
      <c r="DI211">
        <v>0.39739999999999998</v>
      </c>
      <c r="DJ211">
        <v>2</v>
      </c>
      <c r="DK211">
        <v>6.4500000000000002E-2</v>
      </c>
      <c r="DL211">
        <v>9700</v>
      </c>
      <c r="DM211">
        <v>4850</v>
      </c>
      <c r="DN211">
        <v>9700</v>
      </c>
      <c r="DO211">
        <v>1</v>
      </c>
      <c r="DP211">
        <v>0.1421</v>
      </c>
      <c r="DQ211">
        <v>90</v>
      </c>
      <c r="DR211">
        <v>4850</v>
      </c>
    </row>
    <row r="212" spans="95:122" x14ac:dyDescent="0.25">
      <c r="CQ212" t="s">
        <v>636</v>
      </c>
      <c r="CR212" t="s">
        <v>3</v>
      </c>
      <c r="CS212" t="s">
        <v>22</v>
      </c>
      <c r="CT212">
        <v>46078</v>
      </c>
      <c r="CU212">
        <v>1</v>
      </c>
      <c r="CV212">
        <v>1</v>
      </c>
      <c r="CX212">
        <v>1</v>
      </c>
      <c r="CZ212">
        <v>0</v>
      </c>
      <c r="DA212">
        <v>0</v>
      </c>
      <c r="DB212">
        <v>0.17021990740740742</v>
      </c>
      <c r="DC212">
        <v>0.17162037037037037</v>
      </c>
      <c r="DD212">
        <v>74</v>
      </c>
      <c r="DE212">
        <v>132</v>
      </c>
      <c r="DF212">
        <v>21</v>
      </c>
      <c r="DG212">
        <v>2</v>
      </c>
      <c r="DH212">
        <v>28529</v>
      </c>
      <c r="DI212">
        <v>0.2838</v>
      </c>
      <c r="DJ212">
        <v>1</v>
      </c>
      <c r="DK212">
        <v>4.7600000000000003E-2</v>
      </c>
      <c r="DL212">
        <v>4280</v>
      </c>
      <c r="DM212">
        <v>4280</v>
      </c>
      <c r="DN212">
        <v>4280</v>
      </c>
      <c r="DO212">
        <v>1</v>
      </c>
      <c r="DQ212">
        <v>90</v>
      </c>
      <c r="DR212">
        <v>4280</v>
      </c>
    </row>
    <row r="213" spans="95:122" x14ac:dyDescent="0.25">
      <c r="CQ213" t="s">
        <v>636</v>
      </c>
      <c r="CR213" t="s">
        <v>3</v>
      </c>
      <c r="CS213" t="s">
        <v>13</v>
      </c>
      <c r="CT213">
        <v>46076</v>
      </c>
      <c r="CU213">
        <v>1</v>
      </c>
      <c r="CV213">
        <v>1</v>
      </c>
      <c r="CX213">
        <v>1</v>
      </c>
      <c r="CZ213">
        <v>0</v>
      </c>
      <c r="DA213">
        <v>0</v>
      </c>
      <c r="DB213">
        <v>0.16503472222222224</v>
      </c>
      <c r="DC213">
        <v>0.17082175925925927</v>
      </c>
      <c r="DD213">
        <v>82</v>
      </c>
      <c r="DE213">
        <v>168</v>
      </c>
      <c r="DF213">
        <v>16</v>
      </c>
      <c r="DG213">
        <v>1.9375</v>
      </c>
      <c r="DH213">
        <v>42770</v>
      </c>
      <c r="DI213">
        <v>0.1951</v>
      </c>
      <c r="DJ213">
        <v>2</v>
      </c>
      <c r="DK213">
        <v>0.125</v>
      </c>
      <c r="DL213">
        <v>13800</v>
      </c>
      <c r="DM213">
        <v>6900</v>
      </c>
      <c r="DN213">
        <v>13800</v>
      </c>
      <c r="DO213">
        <v>1</v>
      </c>
      <c r="DP213">
        <v>0.1171</v>
      </c>
      <c r="DQ213">
        <v>90</v>
      </c>
      <c r="DR213">
        <v>6900</v>
      </c>
    </row>
    <row r="214" spans="95:122" x14ac:dyDescent="0.25">
      <c r="CQ214" t="s">
        <v>636</v>
      </c>
      <c r="CR214" t="s">
        <v>3</v>
      </c>
      <c r="CS214" t="s">
        <v>32</v>
      </c>
      <c r="CT214">
        <v>46077</v>
      </c>
      <c r="CU214">
        <v>1</v>
      </c>
      <c r="CV214">
        <v>1</v>
      </c>
      <c r="CX214">
        <v>1</v>
      </c>
      <c r="CZ214">
        <v>5.7870370370370373E-5</v>
      </c>
      <c r="DA214">
        <v>5.7870370370370373E-5</v>
      </c>
      <c r="DB214">
        <v>0.15189814814814814</v>
      </c>
      <c r="DC214">
        <v>0.19232638888888889</v>
      </c>
      <c r="DD214">
        <v>72</v>
      </c>
      <c r="DE214">
        <v>152</v>
      </c>
      <c r="DF214">
        <v>21</v>
      </c>
      <c r="DG214" t="s">
        <v>700</v>
      </c>
      <c r="DH214">
        <v>22440</v>
      </c>
      <c r="DI214">
        <v>0.29170000000000001</v>
      </c>
      <c r="DJ214">
        <v>3</v>
      </c>
      <c r="DK214">
        <v>0.1429</v>
      </c>
      <c r="DL214">
        <v>6100</v>
      </c>
      <c r="DM214">
        <v>2033</v>
      </c>
      <c r="DN214">
        <v>6612</v>
      </c>
      <c r="DO214">
        <v>1.0839000000000001</v>
      </c>
      <c r="DP214">
        <v>0.27210000000000001</v>
      </c>
      <c r="DQ214">
        <v>90</v>
      </c>
      <c r="DR214">
        <v>2204</v>
      </c>
    </row>
    <row r="215" spans="95:122" x14ac:dyDescent="0.25">
      <c r="CQ215" t="s">
        <v>636</v>
      </c>
      <c r="CR215" t="s">
        <v>3</v>
      </c>
      <c r="CS215" t="s">
        <v>96</v>
      </c>
      <c r="CT215">
        <v>46063</v>
      </c>
      <c r="CU215">
        <v>1</v>
      </c>
      <c r="CV215">
        <v>1</v>
      </c>
      <c r="CX215">
        <v>1</v>
      </c>
      <c r="CZ215">
        <v>0</v>
      </c>
      <c r="DA215">
        <v>0</v>
      </c>
      <c r="DB215">
        <v>6.3078703703703706E-2</v>
      </c>
      <c r="DC215">
        <v>3.1481481481481478E-2</v>
      </c>
      <c r="DD215">
        <v>70</v>
      </c>
      <c r="DE215">
        <v>141</v>
      </c>
      <c r="DF215">
        <v>13</v>
      </c>
      <c r="DG215">
        <v>2</v>
      </c>
      <c r="DH215">
        <v>13745</v>
      </c>
      <c r="DI215">
        <v>0.1857</v>
      </c>
      <c r="DJ215">
        <v>1</v>
      </c>
      <c r="DK215">
        <v>7.6899999999999996E-2</v>
      </c>
      <c r="DL215">
        <v>2000</v>
      </c>
      <c r="DM215">
        <v>2000</v>
      </c>
      <c r="DQ215">
        <v>90</v>
      </c>
    </row>
    <row r="216" spans="95:122" x14ac:dyDescent="0.25">
      <c r="CQ216" t="s">
        <v>636</v>
      </c>
      <c r="CR216" t="s">
        <v>3</v>
      </c>
      <c r="CS216" t="s">
        <v>17</v>
      </c>
      <c r="CT216">
        <v>46065</v>
      </c>
      <c r="CU216">
        <v>1</v>
      </c>
      <c r="CV216">
        <v>1</v>
      </c>
      <c r="CX216">
        <v>1</v>
      </c>
      <c r="CZ216">
        <v>3.1250000000000001E-4</v>
      </c>
      <c r="DA216">
        <v>3.1250000000000001E-4</v>
      </c>
      <c r="DB216">
        <v>0</v>
      </c>
      <c r="DC216">
        <v>0</v>
      </c>
      <c r="DD216">
        <v>83</v>
      </c>
      <c r="DE216">
        <v>182</v>
      </c>
      <c r="DF216">
        <v>14</v>
      </c>
      <c r="DG216" t="s">
        <v>762</v>
      </c>
      <c r="DH216">
        <v>62877</v>
      </c>
      <c r="DI216">
        <v>0.16869999999999999</v>
      </c>
      <c r="DJ216">
        <v>1</v>
      </c>
      <c r="DK216">
        <v>7.1400000000000005E-2</v>
      </c>
      <c r="DL216">
        <v>400</v>
      </c>
      <c r="DM216">
        <v>400</v>
      </c>
      <c r="DN216">
        <v>400</v>
      </c>
      <c r="DO216">
        <v>1</v>
      </c>
      <c r="DP216">
        <v>0.53449999999999998</v>
      </c>
      <c r="DQ216">
        <v>90</v>
      </c>
      <c r="DR216">
        <v>400</v>
      </c>
    </row>
    <row r="217" spans="95:122" x14ac:dyDescent="0.25">
      <c r="CQ217" t="s">
        <v>636</v>
      </c>
      <c r="CR217" t="s">
        <v>124</v>
      </c>
      <c r="CS217" t="s">
        <v>58</v>
      </c>
      <c r="CT217">
        <v>46055</v>
      </c>
      <c r="CU217">
        <v>1</v>
      </c>
      <c r="CV217">
        <v>1</v>
      </c>
      <c r="CX217">
        <v>1</v>
      </c>
      <c r="CZ217">
        <v>2.199074074074074E-4</v>
      </c>
      <c r="DA217">
        <v>2.199074074074074E-4</v>
      </c>
      <c r="DB217">
        <v>5.5266203703703706E-2</v>
      </c>
      <c r="DC217">
        <v>8.7384259259259255E-3</v>
      </c>
      <c r="DD217">
        <v>81</v>
      </c>
      <c r="DE217">
        <v>153</v>
      </c>
      <c r="DF217">
        <v>30</v>
      </c>
      <c r="DG217" t="s">
        <v>723</v>
      </c>
      <c r="DH217">
        <v>15055</v>
      </c>
      <c r="DI217">
        <v>0.37040000000000001</v>
      </c>
      <c r="DJ217">
        <v>15</v>
      </c>
      <c r="DK217">
        <v>0.5</v>
      </c>
      <c r="DL217">
        <v>9940</v>
      </c>
      <c r="DM217">
        <v>663</v>
      </c>
      <c r="DN217">
        <v>8440</v>
      </c>
      <c r="DO217">
        <v>0.84909999999999997</v>
      </c>
      <c r="DP217">
        <v>7.0400000000000004E-2</v>
      </c>
      <c r="DQ217">
        <v>88</v>
      </c>
      <c r="DR217">
        <v>649</v>
      </c>
    </row>
    <row r="218" spans="95:122" x14ac:dyDescent="0.25">
      <c r="CQ218" t="s">
        <v>636</v>
      </c>
      <c r="CR218" t="s">
        <v>124</v>
      </c>
      <c r="CS218" t="s">
        <v>174</v>
      </c>
      <c r="CT218">
        <v>46058</v>
      </c>
      <c r="CU218">
        <v>1</v>
      </c>
      <c r="CV218">
        <v>1</v>
      </c>
      <c r="CX218">
        <v>1</v>
      </c>
      <c r="CZ218">
        <v>0</v>
      </c>
      <c r="DA218">
        <v>0</v>
      </c>
      <c r="DB218">
        <v>0.11125</v>
      </c>
      <c r="DC218">
        <v>4.3402777777777776E-2</v>
      </c>
      <c r="DD218">
        <v>247</v>
      </c>
      <c r="DE218">
        <v>311</v>
      </c>
      <c r="DF218">
        <v>36</v>
      </c>
      <c r="DG218" t="s">
        <v>716</v>
      </c>
      <c r="DH218">
        <v>16161</v>
      </c>
      <c r="DI218">
        <v>0.1457</v>
      </c>
      <c r="DJ218">
        <v>2</v>
      </c>
      <c r="DK218">
        <v>5.5599999999999997E-2</v>
      </c>
      <c r="DL218">
        <v>1070</v>
      </c>
      <c r="DM218">
        <v>535</v>
      </c>
      <c r="DN218">
        <v>1070</v>
      </c>
      <c r="DO218">
        <v>1</v>
      </c>
      <c r="DP218">
        <v>0.21659999999999999</v>
      </c>
      <c r="DQ218">
        <v>88</v>
      </c>
      <c r="DR218">
        <v>535</v>
      </c>
    </row>
    <row r="219" spans="95:122" x14ac:dyDescent="0.25">
      <c r="CQ219" t="s">
        <v>636</v>
      </c>
      <c r="CR219" t="s">
        <v>124</v>
      </c>
      <c r="CS219" t="s">
        <v>174</v>
      </c>
      <c r="CT219">
        <v>46078</v>
      </c>
      <c r="CU219">
        <v>1</v>
      </c>
      <c r="CV219">
        <v>1</v>
      </c>
      <c r="CX219">
        <v>1</v>
      </c>
      <c r="CZ219">
        <v>0</v>
      </c>
      <c r="DA219">
        <v>0</v>
      </c>
      <c r="DB219">
        <v>0.16965277777777779</v>
      </c>
      <c r="DC219">
        <v>0.15910879629629629</v>
      </c>
      <c r="DD219">
        <v>215</v>
      </c>
      <c r="DE219">
        <v>296</v>
      </c>
      <c r="DF219">
        <v>41</v>
      </c>
      <c r="DG219" t="s">
        <v>813</v>
      </c>
      <c r="DH219">
        <v>26417</v>
      </c>
      <c r="DI219">
        <v>0.19070000000000001</v>
      </c>
      <c r="DJ219">
        <v>1</v>
      </c>
      <c r="DK219">
        <v>2.4400000000000002E-2</v>
      </c>
      <c r="DL219">
        <v>2000</v>
      </c>
      <c r="DM219">
        <v>2000</v>
      </c>
      <c r="DN219">
        <v>2000</v>
      </c>
      <c r="DO219">
        <v>1</v>
      </c>
      <c r="DP219">
        <v>0.158</v>
      </c>
      <c r="DQ219">
        <v>88</v>
      </c>
      <c r="DR219">
        <v>2000</v>
      </c>
    </row>
    <row r="220" spans="95:122" x14ac:dyDescent="0.25">
      <c r="CQ220" t="s">
        <v>636</v>
      </c>
      <c r="CR220" t="s">
        <v>124</v>
      </c>
      <c r="CS220" t="s">
        <v>174</v>
      </c>
      <c r="CT220">
        <v>46079</v>
      </c>
      <c r="CU220">
        <v>1</v>
      </c>
      <c r="CV220">
        <v>1</v>
      </c>
      <c r="CX220">
        <v>1</v>
      </c>
      <c r="CZ220">
        <v>0</v>
      </c>
      <c r="DA220">
        <v>0</v>
      </c>
      <c r="DB220">
        <v>0.15368055555555554</v>
      </c>
      <c r="DC220">
        <v>0.18671296296296297</v>
      </c>
      <c r="DD220">
        <v>204</v>
      </c>
      <c r="DE220">
        <v>305</v>
      </c>
      <c r="DF220">
        <v>26</v>
      </c>
      <c r="DG220" t="s">
        <v>823</v>
      </c>
      <c r="DH220">
        <v>22910</v>
      </c>
      <c r="DI220">
        <v>0.1275</v>
      </c>
      <c r="DJ220">
        <v>2</v>
      </c>
      <c r="DK220">
        <v>7.6899999999999996E-2</v>
      </c>
      <c r="DL220">
        <v>7500</v>
      </c>
      <c r="DM220">
        <v>3750</v>
      </c>
      <c r="DN220">
        <v>7000</v>
      </c>
      <c r="DO220">
        <v>0.93330000000000002</v>
      </c>
      <c r="DP220">
        <v>7.5899999999999995E-2</v>
      </c>
      <c r="DQ220">
        <v>88</v>
      </c>
      <c r="DR220">
        <v>7000</v>
      </c>
    </row>
    <row r="221" spans="95:122" x14ac:dyDescent="0.25">
      <c r="CQ221" t="s">
        <v>636</v>
      </c>
      <c r="CR221" t="s">
        <v>124</v>
      </c>
      <c r="CS221" t="s">
        <v>495</v>
      </c>
      <c r="CT221">
        <v>46055</v>
      </c>
      <c r="CU221">
        <v>1</v>
      </c>
      <c r="CV221">
        <v>1</v>
      </c>
      <c r="CX221">
        <v>1</v>
      </c>
      <c r="CZ221">
        <v>0</v>
      </c>
      <c r="DA221">
        <v>0</v>
      </c>
      <c r="DB221">
        <v>6.3634259259259265E-2</v>
      </c>
      <c r="DC221">
        <v>2.795138888888889E-2</v>
      </c>
      <c r="DD221">
        <v>88</v>
      </c>
      <c r="DE221">
        <v>139</v>
      </c>
      <c r="DF221">
        <v>20</v>
      </c>
      <c r="DG221">
        <v>1.75</v>
      </c>
      <c r="DH221">
        <v>15003</v>
      </c>
      <c r="DI221">
        <v>0.2273</v>
      </c>
      <c r="DJ221">
        <v>3</v>
      </c>
      <c r="DK221">
        <v>0.15</v>
      </c>
      <c r="DL221">
        <v>2578</v>
      </c>
      <c r="DM221">
        <v>859</v>
      </c>
      <c r="DN221">
        <v>2578</v>
      </c>
      <c r="DO221">
        <v>1</v>
      </c>
      <c r="DP221">
        <v>0.42609999999999998</v>
      </c>
      <c r="DQ221">
        <v>88</v>
      </c>
      <c r="DR221">
        <v>859</v>
      </c>
    </row>
    <row r="222" spans="95:122" x14ac:dyDescent="0.25">
      <c r="CQ222" t="s">
        <v>636</v>
      </c>
      <c r="CR222" t="s">
        <v>124</v>
      </c>
      <c r="CS222" t="s">
        <v>495</v>
      </c>
      <c r="CT222">
        <v>46057</v>
      </c>
      <c r="CU222">
        <v>1</v>
      </c>
      <c r="CV222">
        <v>1</v>
      </c>
      <c r="CX222">
        <v>1</v>
      </c>
      <c r="CZ222">
        <v>0</v>
      </c>
      <c r="DA222">
        <v>0</v>
      </c>
      <c r="DB222">
        <v>9.3182870370370374E-2</v>
      </c>
      <c r="DC222">
        <v>6.7291666666666666E-2</v>
      </c>
      <c r="DD222">
        <v>178</v>
      </c>
      <c r="DE222">
        <v>369</v>
      </c>
      <c r="DF222">
        <v>50</v>
      </c>
      <c r="DG222">
        <v>1.74</v>
      </c>
      <c r="DH222">
        <v>11231</v>
      </c>
      <c r="DI222">
        <v>0.28089999999999998</v>
      </c>
      <c r="DJ222">
        <v>1</v>
      </c>
      <c r="DK222">
        <v>0.02</v>
      </c>
      <c r="DL222">
        <v>1800</v>
      </c>
      <c r="DM222">
        <v>1800</v>
      </c>
      <c r="DN222">
        <v>1800</v>
      </c>
      <c r="DO222">
        <v>1</v>
      </c>
      <c r="DP222">
        <v>0.14860000000000001</v>
      </c>
      <c r="DQ222">
        <v>88</v>
      </c>
      <c r="DR222">
        <v>1800</v>
      </c>
    </row>
    <row r="223" spans="95:122" x14ac:dyDescent="0.25">
      <c r="CQ223" t="s">
        <v>636</v>
      </c>
      <c r="CR223" t="s">
        <v>124</v>
      </c>
      <c r="CS223" t="s">
        <v>493</v>
      </c>
      <c r="CT223">
        <v>46056</v>
      </c>
      <c r="CU223">
        <v>1</v>
      </c>
      <c r="CV223">
        <v>1</v>
      </c>
      <c r="CX223">
        <v>1</v>
      </c>
      <c r="CZ223">
        <v>8.6805555555555551E-4</v>
      </c>
      <c r="DA223">
        <v>8.6805555555555551E-4</v>
      </c>
      <c r="DB223">
        <v>7.873842592592592E-2</v>
      </c>
      <c r="DC223">
        <v>2.5347222222222222E-2</v>
      </c>
      <c r="DD223">
        <v>125</v>
      </c>
      <c r="DE223">
        <v>194</v>
      </c>
      <c r="DF223">
        <v>38</v>
      </c>
      <c r="DG223" t="s">
        <v>951</v>
      </c>
      <c r="DH223">
        <v>14208</v>
      </c>
      <c r="DI223">
        <v>0.30399999999999999</v>
      </c>
      <c r="DJ223">
        <v>2</v>
      </c>
      <c r="DK223">
        <v>5.2600000000000001E-2</v>
      </c>
      <c r="DL223">
        <v>2650</v>
      </c>
      <c r="DM223">
        <v>1325</v>
      </c>
      <c r="DQ223">
        <v>88</v>
      </c>
    </row>
    <row r="224" spans="95:122" x14ac:dyDescent="0.25">
      <c r="CQ224" t="s">
        <v>636</v>
      </c>
      <c r="CR224" t="s">
        <v>124</v>
      </c>
      <c r="CS224" t="s">
        <v>493</v>
      </c>
      <c r="CT224">
        <v>46058</v>
      </c>
      <c r="CU224">
        <v>1</v>
      </c>
      <c r="CV224">
        <v>1</v>
      </c>
      <c r="CX224">
        <v>1</v>
      </c>
      <c r="CZ224">
        <v>5.7870370370370373E-5</v>
      </c>
      <c r="DA224">
        <v>5.7870370370370373E-5</v>
      </c>
      <c r="DB224">
        <v>2.9409722222222223E-2</v>
      </c>
      <c r="DC224">
        <v>2.6805555555555555E-2</v>
      </c>
      <c r="DD224">
        <v>188</v>
      </c>
      <c r="DE224">
        <v>309</v>
      </c>
      <c r="DF224">
        <v>51</v>
      </c>
      <c r="DG224" t="s">
        <v>1097</v>
      </c>
      <c r="DH224">
        <v>11698</v>
      </c>
      <c r="DI224">
        <v>0.27129999999999999</v>
      </c>
      <c r="DJ224">
        <v>1</v>
      </c>
      <c r="DK224">
        <v>1.9599999999999999E-2</v>
      </c>
      <c r="DL224">
        <v>1250</v>
      </c>
      <c r="DM224">
        <v>1250</v>
      </c>
      <c r="DN224">
        <v>1250</v>
      </c>
      <c r="DO224">
        <v>1</v>
      </c>
      <c r="DP224">
        <v>0.51849999999999996</v>
      </c>
      <c r="DQ224">
        <v>88</v>
      </c>
      <c r="DR224">
        <v>1250</v>
      </c>
    </row>
    <row r="225" spans="95:122" x14ac:dyDescent="0.25">
      <c r="CQ225" t="s">
        <v>636</v>
      </c>
      <c r="CR225" t="s">
        <v>124</v>
      </c>
      <c r="CS225" t="s">
        <v>49</v>
      </c>
      <c r="CT225">
        <v>46063</v>
      </c>
      <c r="CU225">
        <v>1</v>
      </c>
      <c r="CV225">
        <v>1</v>
      </c>
      <c r="CW225">
        <v>1</v>
      </c>
      <c r="CZ225">
        <v>5.4050925925925924E-3</v>
      </c>
      <c r="DA225">
        <v>5.4050925925925924E-3</v>
      </c>
      <c r="DB225">
        <v>3.9467592592592596E-2</v>
      </c>
      <c r="DC225">
        <v>8.3796296296296292E-3</v>
      </c>
      <c r="DD225">
        <v>87</v>
      </c>
      <c r="DE225">
        <v>149</v>
      </c>
      <c r="DF225">
        <v>23</v>
      </c>
      <c r="DG225">
        <v>2</v>
      </c>
      <c r="DH225">
        <v>9412</v>
      </c>
      <c r="DI225">
        <v>0.26440000000000002</v>
      </c>
      <c r="DJ225">
        <v>2</v>
      </c>
      <c r="DK225">
        <v>8.6999999999999994E-2</v>
      </c>
      <c r="DL225">
        <v>2600</v>
      </c>
      <c r="DM225">
        <v>1300</v>
      </c>
      <c r="DN225">
        <v>2600</v>
      </c>
      <c r="DO225">
        <v>1</v>
      </c>
      <c r="DP225">
        <v>0.12039999999999999</v>
      </c>
      <c r="DQ225">
        <v>88</v>
      </c>
      <c r="DR225">
        <v>1300</v>
      </c>
    </row>
    <row r="226" spans="95:122" x14ac:dyDescent="0.25">
      <c r="CQ226" t="s">
        <v>636</v>
      </c>
      <c r="CR226" t="s">
        <v>124</v>
      </c>
      <c r="CS226" t="s">
        <v>49</v>
      </c>
      <c r="CT226">
        <v>46070</v>
      </c>
      <c r="CU226">
        <v>1</v>
      </c>
      <c r="CV226">
        <v>1</v>
      </c>
      <c r="CX226">
        <v>1</v>
      </c>
      <c r="CZ226">
        <v>1.4930555555555556E-3</v>
      </c>
      <c r="DA226">
        <v>1.4930555555555556E-3</v>
      </c>
      <c r="DB226">
        <v>0.22990740740740739</v>
      </c>
      <c r="DC226">
        <v>9.1770833333333329E-2</v>
      </c>
      <c r="DD226">
        <v>91</v>
      </c>
      <c r="DE226">
        <v>149</v>
      </c>
      <c r="DF226">
        <v>21</v>
      </c>
      <c r="DG226" t="s">
        <v>817</v>
      </c>
      <c r="DH226">
        <v>27346</v>
      </c>
      <c r="DI226">
        <v>0.23080000000000001</v>
      </c>
      <c r="DJ226">
        <v>1</v>
      </c>
      <c r="DK226">
        <v>4.7600000000000003E-2</v>
      </c>
      <c r="DL226">
        <v>600</v>
      </c>
      <c r="DM226">
        <v>600</v>
      </c>
      <c r="DQ226">
        <v>88</v>
      </c>
    </row>
    <row r="227" spans="95:122" x14ac:dyDescent="0.25">
      <c r="CQ227" t="s">
        <v>636</v>
      </c>
      <c r="CR227" t="s">
        <v>124</v>
      </c>
      <c r="CS227" t="s">
        <v>55</v>
      </c>
      <c r="CT227">
        <v>46057</v>
      </c>
      <c r="CU227">
        <v>1</v>
      </c>
      <c r="CV227">
        <v>1</v>
      </c>
      <c r="CX227">
        <v>1</v>
      </c>
      <c r="CZ227">
        <v>4.6296296296296294E-5</v>
      </c>
      <c r="DA227">
        <v>4.6296296296296294E-5</v>
      </c>
      <c r="DB227">
        <v>0</v>
      </c>
      <c r="DC227">
        <v>1.15625E-2</v>
      </c>
      <c r="DD227">
        <v>84</v>
      </c>
      <c r="DE227">
        <v>181</v>
      </c>
      <c r="DF227">
        <v>19</v>
      </c>
      <c r="DG227" t="s">
        <v>691</v>
      </c>
      <c r="DH227">
        <v>3610</v>
      </c>
      <c r="DI227">
        <v>0.22620000000000001</v>
      </c>
      <c r="DJ227">
        <v>4</v>
      </c>
      <c r="DK227">
        <v>0.21049999999999999</v>
      </c>
      <c r="DL227">
        <v>4920</v>
      </c>
      <c r="DM227">
        <v>1230</v>
      </c>
      <c r="DN227">
        <v>4420</v>
      </c>
      <c r="DO227">
        <v>0.89839999999999998</v>
      </c>
      <c r="DP227">
        <v>0.1085</v>
      </c>
      <c r="DQ227">
        <v>88</v>
      </c>
      <c r="DR227">
        <v>1473</v>
      </c>
    </row>
    <row r="228" spans="95:122" x14ac:dyDescent="0.25">
      <c r="CQ228" t="s">
        <v>636</v>
      </c>
      <c r="CR228" t="s">
        <v>124</v>
      </c>
      <c r="CS228" t="s">
        <v>55</v>
      </c>
      <c r="CT228">
        <v>46058</v>
      </c>
      <c r="CU228">
        <v>1</v>
      </c>
      <c r="CV228">
        <v>1</v>
      </c>
      <c r="CX228">
        <v>1</v>
      </c>
      <c r="CZ228">
        <v>8.1018518518518516E-5</v>
      </c>
      <c r="DA228">
        <v>8.1018518518518516E-5</v>
      </c>
      <c r="DB228">
        <v>9.9537037037037042E-4</v>
      </c>
      <c r="DC228">
        <v>1.1817129629629629E-2</v>
      </c>
      <c r="DD228">
        <v>93</v>
      </c>
      <c r="DE228">
        <v>222</v>
      </c>
      <c r="DF228">
        <v>20</v>
      </c>
      <c r="DG228">
        <v>1.45</v>
      </c>
      <c r="DH228">
        <v>1349</v>
      </c>
      <c r="DI228">
        <v>0.21510000000000001</v>
      </c>
      <c r="DJ228">
        <v>3</v>
      </c>
      <c r="DK228">
        <v>0.15</v>
      </c>
      <c r="DL228">
        <v>755</v>
      </c>
      <c r="DM228">
        <v>252</v>
      </c>
      <c r="DN228">
        <v>300</v>
      </c>
      <c r="DO228">
        <v>0.39739999999999998</v>
      </c>
      <c r="DP228">
        <v>0.12870000000000001</v>
      </c>
      <c r="DQ228">
        <v>88</v>
      </c>
      <c r="DR228">
        <v>300</v>
      </c>
    </row>
    <row r="229" spans="95:122" x14ac:dyDescent="0.25">
      <c r="CQ229" t="s">
        <v>636</v>
      </c>
      <c r="CR229" t="s">
        <v>124</v>
      </c>
      <c r="CS229" t="s">
        <v>73</v>
      </c>
      <c r="CT229">
        <v>46062</v>
      </c>
      <c r="CU229">
        <v>1</v>
      </c>
      <c r="CV229">
        <v>1</v>
      </c>
      <c r="CX229">
        <v>1</v>
      </c>
      <c r="CZ229">
        <v>3.1250000000000001E-4</v>
      </c>
      <c r="DA229">
        <v>3.1250000000000001E-4</v>
      </c>
      <c r="DB229">
        <v>1.3090277777777777E-2</v>
      </c>
      <c r="DC229">
        <v>3.3564814814814812E-4</v>
      </c>
      <c r="DD229">
        <v>50</v>
      </c>
      <c r="DE229">
        <v>86</v>
      </c>
      <c r="DF229">
        <v>10</v>
      </c>
      <c r="DG229">
        <v>1.6</v>
      </c>
      <c r="DH229">
        <v>15987</v>
      </c>
      <c r="DI229">
        <v>0.2</v>
      </c>
      <c r="DJ229">
        <v>1</v>
      </c>
      <c r="DK229">
        <v>0.1</v>
      </c>
      <c r="DL229">
        <v>250</v>
      </c>
      <c r="DM229">
        <v>250</v>
      </c>
      <c r="DQ229">
        <v>88</v>
      </c>
    </row>
    <row r="230" spans="95:122" x14ac:dyDescent="0.25">
      <c r="CQ230" t="s">
        <v>636</v>
      </c>
      <c r="CR230" t="s">
        <v>124</v>
      </c>
      <c r="CS230" t="s">
        <v>73</v>
      </c>
      <c r="CT230">
        <v>46063</v>
      </c>
      <c r="CU230">
        <v>1</v>
      </c>
      <c r="CV230">
        <v>1</v>
      </c>
      <c r="CX230">
        <v>1</v>
      </c>
      <c r="CZ230">
        <v>0</v>
      </c>
      <c r="DA230">
        <v>0</v>
      </c>
      <c r="DB230">
        <v>3.6076388888888887E-2</v>
      </c>
      <c r="DC230">
        <v>4.6898148148148147E-2</v>
      </c>
      <c r="DD230">
        <v>95</v>
      </c>
      <c r="DE230">
        <v>161</v>
      </c>
      <c r="DF230">
        <v>25</v>
      </c>
      <c r="DG230">
        <v>1.92</v>
      </c>
      <c r="DH230">
        <v>12798</v>
      </c>
      <c r="DI230">
        <v>0.26319999999999999</v>
      </c>
      <c r="DJ230">
        <v>1</v>
      </c>
      <c r="DK230">
        <v>0.04</v>
      </c>
      <c r="DL230">
        <v>1500</v>
      </c>
      <c r="DM230">
        <v>1500</v>
      </c>
      <c r="DN230">
        <v>1500</v>
      </c>
      <c r="DO230">
        <v>1</v>
      </c>
      <c r="DP230">
        <v>0.3241</v>
      </c>
      <c r="DQ230">
        <v>88</v>
      </c>
      <c r="DR230">
        <v>1500</v>
      </c>
    </row>
    <row r="231" spans="95:122" x14ac:dyDescent="0.25">
      <c r="CQ231" t="s">
        <v>636</v>
      </c>
      <c r="CR231" t="s">
        <v>124</v>
      </c>
      <c r="CS231" t="s">
        <v>73</v>
      </c>
      <c r="CT231">
        <v>46065</v>
      </c>
      <c r="CU231">
        <v>1</v>
      </c>
      <c r="CV231">
        <v>1</v>
      </c>
      <c r="CX231">
        <v>1</v>
      </c>
      <c r="CZ231">
        <v>4.6296296296296294E-5</v>
      </c>
      <c r="DA231">
        <v>4.6296296296296294E-5</v>
      </c>
      <c r="DB231">
        <v>2.5983796296296297E-2</v>
      </c>
      <c r="DC231">
        <v>2.4456018518518519E-2</v>
      </c>
      <c r="DD231">
        <v>44</v>
      </c>
      <c r="DE231">
        <v>75</v>
      </c>
      <c r="DF231">
        <v>10</v>
      </c>
      <c r="DG231">
        <v>1.3</v>
      </c>
      <c r="DH231">
        <v>24415</v>
      </c>
      <c r="DI231">
        <v>0.2273</v>
      </c>
      <c r="DJ231">
        <v>3</v>
      </c>
      <c r="DK231">
        <v>0.3</v>
      </c>
      <c r="DL231">
        <v>3100</v>
      </c>
      <c r="DM231">
        <v>1033</v>
      </c>
      <c r="DN231">
        <v>1700</v>
      </c>
      <c r="DO231">
        <v>0.5484</v>
      </c>
      <c r="DP231">
        <v>7.9100000000000004E-2</v>
      </c>
      <c r="DQ231">
        <v>88</v>
      </c>
      <c r="DR231">
        <v>1700</v>
      </c>
    </row>
    <row r="232" spans="95:122" x14ac:dyDescent="0.25">
      <c r="CQ232" t="s">
        <v>636</v>
      </c>
      <c r="CR232" t="s">
        <v>125</v>
      </c>
      <c r="CS232" t="s">
        <v>18</v>
      </c>
      <c r="CT232">
        <v>46058</v>
      </c>
      <c r="CU232">
        <v>1</v>
      </c>
      <c r="CV232">
        <v>1</v>
      </c>
      <c r="CX232">
        <v>1</v>
      </c>
      <c r="CZ232">
        <v>9.2592592592592588E-5</v>
      </c>
      <c r="DA232">
        <v>9.2592592592592588E-5</v>
      </c>
      <c r="DB232">
        <v>9.8599537037037041E-2</v>
      </c>
      <c r="DC232">
        <v>1.3819444444444445E-2</v>
      </c>
      <c r="DD232">
        <v>115</v>
      </c>
      <c r="DE232">
        <v>238</v>
      </c>
      <c r="DF232">
        <v>16</v>
      </c>
      <c r="DG232">
        <v>1.8125</v>
      </c>
      <c r="DH232">
        <v>32166</v>
      </c>
      <c r="DI232">
        <v>0.1391</v>
      </c>
      <c r="DJ232">
        <v>4</v>
      </c>
      <c r="DK232">
        <v>0.25</v>
      </c>
      <c r="DL232">
        <v>5650</v>
      </c>
      <c r="DM232">
        <v>1413</v>
      </c>
      <c r="DN232">
        <v>5000</v>
      </c>
      <c r="DO232">
        <v>0.88500000000000001</v>
      </c>
      <c r="DP232">
        <v>0.22509999999999999</v>
      </c>
      <c r="DQ232">
        <v>88</v>
      </c>
      <c r="DR232">
        <v>1667</v>
      </c>
    </row>
    <row r="233" spans="95:122" x14ac:dyDescent="0.25">
      <c r="CQ233" t="s">
        <v>636</v>
      </c>
      <c r="CR233" t="s">
        <v>125</v>
      </c>
      <c r="CS233" t="s">
        <v>60</v>
      </c>
      <c r="CT233">
        <v>46056</v>
      </c>
      <c r="CU233">
        <v>1</v>
      </c>
      <c r="CV233">
        <v>1</v>
      </c>
      <c r="CX233">
        <v>1</v>
      </c>
      <c r="CZ233">
        <v>3.4722222222222222E-5</v>
      </c>
      <c r="DA233">
        <v>3.4722222222222222E-5</v>
      </c>
      <c r="DB233">
        <v>4.1354166666666664E-2</v>
      </c>
      <c r="DC233">
        <v>9.0624999999999994E-3</v>
      </c>
      <c r="DD233">
        <v>89</v>
      </c>
      <c r="DE233">
        <v>148</v>
      </c>
      <c r="DF233">
        <v>8</v>
      </c>
      <c r="DG233">
        <v>1.625</v>
      </c>
      <c r="DH233">
        <v>52670</v>
      </c>
      <c r="DI233">
        <v>8.9899999999999994E-2</v>
      </c>
      <c r="DJ233">
        <v>1</v>
      </c>
      <c r="DK233">
        <v>0.125</v>
      </c>
      <c r="DL233">
        <v>500</v>
      </c>
      <c r="DM233">
        <v>500</v>
      </c>
      <c r="DN233">
        <v>1000</v>
      </c>
      <c r="DO233">
        <v>2</v>
      </c>
      <c r="DQ233">
        <v>88</v>
      </c>
      <c r="DR233">
        <v>1000</v>
      </c>
    </row>
    <row r="234" spans="95:122" x14ac:dyDescent="0.25">
      <c r="CQ234" t="s">
        <v>636</v>
      </c>
      <c r="CR234" t="s">
        <v>125</v>
      </c>
      <c r="CS234" t="s">
        <v>85</v>
      </c>
      <c r="CT234">
        <v>46063</v>
      </c>
      <c r="CU234">
        <v>1</v>
      </c>
      <c r="CV234">
        <v>1</v>
      </c>
      <c r="CX234">
        <v>1</v>
      </c>
      <c r="CZ234">
        <v>0</v>
      </c>
      <c r="DA234">
        <v>0</v>
      </c>
      <c r="DB234">
        <v>1.9675925925925926E-4</v>
      </c>
      <c r="DC234">
        <v>1.5069444444444444E-2</v>
      </c>
      <c r="DD234">
        <v>107</v>
      </c>
      <c r="DE234">
        <v>230</v>
      </c>
      <c r="DF234">
        <v>27</v>
      </c>
      <c r="DG234" t="s">
        <v>690</v>
      </c>
      <c r="DH234">
        <v>27103</v>
      </c>
      <c r="DI234">
        <v>0.25230000000000002</v>
      </c>
      <c r="DJ234">
        <v>1</v>
      </c>
      <c r="DK234">
        <v>3.6999999999999998E-2</v>
      </c>
      <c r="DL234">
        <v>1500</v>
      </c>
      <c r="DM234">
        <v>1500</v>
      </c>
      <c r="DQ234">
        <v>88</v>
      </c>
    </row>
    <row r="235" spans="95:122" x14ac:dyDescent="0.25">
      <c r="CQ235" t="s">
        <v>636</v>
      </c>
      <c r="CR235" t="s">
        <v>125</v>
      </c>
      <c r="CS235" t="s">
        <v>85</v>
      </c>
      <c r="CT235">
        <v>46080</v>
      </c>
      <c r="CU235">
        <v>1</v>
      </c>
      <c r="CV235">
        <v>1</v>
      </c>
      <c r="CX235">
        <v>1</v>
      </c>
      <c r="CZ235">
        <v>0</v>
      </c>
      <c r="DA235">
        <v>0</v>
      </c>
      <c r="DB235">
        <v>0.20137731481481483</v>
      </c>
      <c r="DC235">
        <v>0.18059027777777778</v>
      </c>
      <c r="DD235">
        <v>100</v>
      </c>
      <c r="DE235">
        <v>221</v>
      </c>
      <c r="DF235">
        <v>17</v>
      </c>
      <c r="DG235" t="s">
        <v>728</v>
      </c>
      <c r="DH235">
        <v>31096</v>
      </c>
      <c r="DI235">
        <v>0.17</v>
      </c>
      <c r="DJ235">
        <v>2</v>
      </c>
      <c r="DK235">
        <v>0.1176</v>
      </c>
      <c r="DL235">
        <v>1600</v>
      </c>
      <c r="DM235">
        <v>800</v>
      </c>
      <c r="DN235">
        <v>2500</v>
      </c>
      <c r="DO235">
        <v>1.5625</v>
      </c>
      <c r="DQ235">
        <v>88</v>
      </c>
      <c r="DR235">
        <v>2500</v>
      </c>
    </row>
    <row r="236" spans="95:122" x14ac:dyDescent="0.25">
      <c r="CQ236" t="s">
        <v>636</v>
      </c>
      <c r="CR236" t="s">
        <v>125</v>
      </c>
      <c r="CS236" t="s">
        <v>122</v>
      </c>
      <c r="CT236">
        <v>46062</v>
      </c>
      <c r="CU236">
        <v>1</v>
      </c>
      <c r="CV236">
        <v>1</v>
      </c>
      <c r="CX236">
        <v>1</v>
      </c>
      <c r="CZ236">
        <v>0</v>
      </c>
      <c r="DA236">
        <v>0</v>
      </c>
      <c r="DB236">
        <v>1.3680555555555555E-2</v>
      </c>
      <c r="DC236">
        <v>1.9085648148148147E-2</v>
      </c>
      <c r="DD236">
        <v>53</v>
      </c>
      <c r="DE236">
        <v>175</v>
      </c>
      <c r="DF236">
        <v>10</v>
      </c>
      <c r="DG236">
        <v>2.1</v>
      </c>
      <c r="DH236">
        <v>45716</v>
      </c>
      <c r="DI236">
        <v>0.18870000000000001</v>
      </c>
      <c r="DJ236">
        <v>2</v>
      </c>
      <c r="DK236">
        <v>0.2</v>
      </c>
      <c r="DL236">
        <v>8000</v>
      </c>
      <c r="DM236">
        <v>4000</v>
      </c>
      <c r="DN236">
        <v>8000</v>
      </c>
      <c r="DO236">
        <v>1</v>
      </c>
      <c r="DP236">
        <v>0.1032</v>
      </c>
      <c r="DQ236">
        <v>88</v>
      </c>
      <c r="DR236">
        <v>4000</v>
      </c>
    </row>
    <row r="237" spans="95:122" x14ac:dyDescent="0.25">
      <c r="CQ237" t="s">
        <v>636</v>
      </c>
      <c r="CR237" t="s">
        <v>125</v>
      </c>
      <c r="CS237" t="s">
        <v>59</v>
      </c>
      <c r="CT237">
        <v>46071</v>
      </c>
      <c r="CU237">
        <v>1</v>
      </c>
      <c r="CV237">
        <v>1</v>
      </c>
      <c r="CX237">
        <v>1</v>
      </c>
      <c r="CZ237">
        <v>2.3148148148148147E-5</v>
      </c>
      <c r="DA237">
        <v>2.3148148148148147E-5</v>
      </c>
      <c r="DB237">
        <v>0.19487268518518519</v>
      </c>
      <c r="DC237">
        <v>0.15010416666666668</v>
      </c>
      <c r="DD237">
        <v>187</v>
      </c>
      <c r="DE237">
        <v>334</v>
      </c>
      <c r="DF237">
        <v>19</v>
      </c>
      <c r="DG237" t="s">
        <v>791</v>
      </c>
      <c r="DH237">
        <v>33192</v>
      </c>
      <c r="DI237">
        <v>0.1016</v>
      </c>
      <c r="DJ237">
        <v>1</v>
      </c>
      <c r="DK237">
        <v>5.2600000000000001E-2</v>
      </c>
      <c r="DL237">
        <v>4500</v>
      </c>
      <c r="DM237">
        <v>4500</v>
      </c>
      <c r="DN237">
        <v>4500</v>
      </c>
      <c r="DO237">
        <v>1</v>
      </c>
      <c r="DP237">
        <v>0.18190000000000001</v>
      </c>
      <c r="DQ237">
        <v>88</v>
      </c>
      <c r="DR237">
        <v>4500</v>
      </c>
    </row>
    <row r="238" spans="95:122" x14ac:dyDescent="0.25">
      <c r="CQ238" t="s">
        <v>636</v>
      </c>
      <c r="CR238" t="s">
        <v>125</v>
      </c>
      <c r="CS238" t="s">
        <v>59</v>
      </c>
      <c r="CT238">
        <v>46076</v>
      </c>
      <c r="CU238">
        <v>1</v>
      </c>
      <c r="CV238">
        <v>1</v>
      </c>
      <c r="CX238">
        <v>1</v>
      </c>
      <c r="CZ238">
        <v>0</v>
      </c>
      <c r="DA238">
        <v>0</v>
      </c>
      <c r="DB238">
        <v>0.16280092592592593</v>
      </c>
      <c r="DC238">
        <v>0.18708333333333332</v>
      </c>
      <c r="DD238">
        <v>133</v>
      </c>
      <c r="DE238">
        <v>261</v>
      </c>
      <c r="DF238">
        <v>19</v>
      </c>
      <c r="DG238" t="s">
        <v>791</v>
      </c>
      <c r="DH238">
        <v>31970</v>
      </c>
      <c r="DI238">
        <v>0.1429</v>
      </c>
      <c r="DJ238">
        <v>1</v>
      </c>
      <c r="DK238">
        <v>5.2600000000000001E-2</v>
      </c>
      <c r="DL238">
        <v>7200</v>
      </c>
      <c r="DM238">
        <v>7200</v>
      </c>
      <c r="DN238">
        <v>7200</v>
      </c>
      <c r="DO238">
        <v>1</v>
      </c>
      <c r="DP238">
        <v>0.1333</v>
      </c>
      <c r="DQ238">
        <v>88</v>
      </c>
      <c r="DR238">
        <v>7200</v>
      </c>
    </row>
    <row r="239" spans="95:122" x14ac:dyDescent="0.25">
      <c r="CQ239" t="s">
        <v>636</v>
      </c>
      <c r="CR239" t="s">
        <v>2</v>
      </c>
      <c r="CS239" t="s">
        <v>15</v>
      </c>
      <c r="CT239">
        <v>46064</v>
      </c>
      <c r="CU239">
        <v>1</v>
      </c>
      <c r="CV239">
        <v>1</v>
      </c>
      <c r="CX239">
        <v>1</v>
      </c>
      <c r="CZ239">
        <v>1.6203703703703703E-4</v>
      </c>
      <c r="DA239">
        <v>1.6203703703703703E-4</v>
      </c>
      <c r="DB239">
        <v>2.9155092592592594E-2</v>
      </c>
      <c r="DC239">
        <v>5.2557870370370373E-2</v>
      </c>
      <c r="DD239">
        <v>67</v>
      </c>
      <c r="DE239">
        <v>88</v>
      </c>
      <c r="DF239">
        <v>14</v>
      </c>
      <c r="DG239">
        <v>1.5</v>
      </c>
      <c r="DH239">
        <v>8072</v>
      </c>
      <c r="DI239">
        <v>0.20899999999999999</v>
      </c>
      <c r="DJ239">
        <v>1</v>
      </c>
      <c r="DK239">
        <v>7.1400000000000005E-2</v>
      </c>
      <c r="DL239">
        <v>360</v>
      </c>
      <c r="DM239">
        <v>360</v>
      </c>
      <c r="DN239">
        <v>360</v>
      </c>
      <c r="DO239">
        <v>1</v>
      </c>
      <c r="DP239">
        <v>0.2019</v>
      </c>
      <c r="DQ239">
        <v>88</v>
      </c>
      <c r="DR239">
        <v>360</v>
      </c>
    </row>
    <row r="240" spans="95:122" x14ac:dyDescent="0.25">
      <c r="CQ240" t="s">
        <v>636</v>
      </c>
      <c r="CR240" t="s">
        <v>2</v>
      </c>
      <c r="CS240" t="s">
        <v>15</v>
      </c>
      <c r="CT240">
        <v>46070</v>
      </c>
      <c r="CU240">
        <v>1</v>
      </c>
      <c r="CV240">
        <v>1</v>
      </c>
      <c r="CX240">
        <v>1</v>
      </c>
      <c r="CZ240">
        <v>4.6296296296296294E-5</v>
      </c>
      <c r="DA240">
        <v>4.6296296296296294E-5</v>
      </c>
      <c r="DB240">
        <v>0.20614583333333333</v>
      </c>
      <c r="DC240">
        <v>0.1395949074074074</v>
      </c>
      <c r="DD240">
        <v>55</v>
      </c>
      <c r="DE240">
        <v>76</v>
      </c>
      <c r="DF240">
        <v>9</v>
      </c>
      <c r="DG240" t="s">
        <v>707</v>
      </c>
      <c r="DH240">
        <v>9007</v>
      </c>
      <c r="DI240">
        <v>0.1636</v>
      </c>
      <c r="DJ240">
        <v>1</v>
      </c>
      <c r="DK240">
        <v>0.1111</v>
      </c>
      <c r="DL240">
        <v>2300</v>
      </c>
      <c r="DM240">
        <v>2300</v>
      </c>
      <c r="DN240">
        <v>2300</v>
      </c>
      <c r="DO240">
        <v>1</v>
      </c>
      <c r="DP240">
        <v>0.32150000000000001</v>
      </c>
      <c r="DQ240">
        <v>88</v>
      </c>
      <c r="DR240">
        <v>2300</v>
      </c>
    </row>
    <row r="241" spans="95:122" x14ac:dyDescent="0.25">
      <c r="CQ241" t="s">
        <v>636</v>
      </c>
      <c r="CR241" t="s">
        <v>2</v>
      </c>
      <c r="CS241" t="s">
        <v>15</v>
      </c>
      <c r="CT241">
        <v>46077</v>
      </c>
      <c r="CU241">
        <v>1</v>
      </c>
      <c r="CV241">
        <v>1</v>
      </c>
      <c r="CX241">
        <v>1</v>
      </c>
      <c r="CZ241">
        <v>0</v>
      </c>
      <c r="DA241">
        <v>0</v>
      </c>
      <c r="DB241">
        <v>0.13829861111111111</v>
      </c>
      <c r="DC241">
        <v>0.17762731481481481</v>
      </c>
      <c r="DD241">
        <v>62</v>
      </c>
      <c r="DE241">
        <v>100</v>
      </c>
      <c r="DF241">
        <v>16</v>
      </c>
      <c r="DG241">
        <v>1.9375</v>
      </c>
      <c r="DH241">
        <v>17904</v>
      </c>
      <c r="DI241">
        <v>0.2581</v>
      </c>
      <c r="DJ241">
        <v>1</v>
      </c>
      <c r="DK241">
        <v>6.25E-2</v>
      </c>
      <c r="DL241">
        <v>3500</v>
      </c>
      <c r="DM241">
        <v>3500</v>
      </c>
      <c r="DN241">
        <v>3500</v>
      </c>
      <c r="DO241">
        <v>1</v>
      </c>
      <c r="DP241">
        <v>0.13969999999999999</v>
      </c>
      <c r="DQ241">
        <v>88</v>
      </c>
      <c r="DR241">
        <v>3500</v>
      </c>
    </row>
    <row r="242" spans="95:122" x14ac:dyDescent="0.25">
      <c r="CQ242" t="s">
        <v>636</v>
      </c>
      <c r="CR242" t="s">
        <v>2</v>
      </c>
      <c r="CS242" t="s">
        <v>15</v>
      </c>
      <c r="CT242">
        <v>46080</v>
      </c>
      <c r="CU242">
        <v>1</v>
      </c>
      <c r="CV242">
        <v>1</v>
      </c>
      <c r="CX242">
        <v>1</v>
      </c>
      <c r="CZ242">
        <v>1.6203703703703703E-4</v>
      </c>
      <c r="DA242">
        <v>1.6203703703703703E-4</v>
      </c>
      <c r="DB242">
        <v>0.21124999999999999</v>
      </c>
      <c r="DC242">
        <v>0.17598379629629629</v>
      </c>
      <c r="DD242">
        <v>71</v>
      </c>
      <c r="DE242">
        <v>106</v>
      </c>
      <c r="DF242">
        <v>29</v>
      </c>
      <c r="DG242" t="s">
        <v>881</v>
      </c>
      <c r="DH242">
        <v>11067</v>
      </c>
      <c r="DI242">
        <v>0.40849999999999997</v>
      </c>
      <c r="DJ242">
        <v>2</v>
      </c>
      <c r="DK242">
        <v>6.9000000000000006E-2</v>
      </c>
      <c r="DL242">
        <v>3780</v>
      </c>
      <c r="DM242">
        <v>1890</v>
      </c>
      <c r="DN242">
        <v>3780</v>
      </c>
      <c r="DO242">
        <v>1</v>
      </c>
      <c r="DP242">
        <v>0.1434</v>
      </c>
      <c r="DQ242">
        <v>88</v>
      </c>
      <c r="DR242">
        <v>1890</v>
      </c>
    </row>
    <row r="243" spans="95:122" x14ac:dyDescent="0.25">
      <c r="CQ243" t="s">
        <v>636</v>
      </c>
      <c r="CR243" t="s">
        <v>2</v>
      </c>
      <c r="CS243" t="s">
        <v>42</v>
      </c>
      <c r="CT243">
        <v>46065</v>
      </c>
      <c r="CU243">
        <v>1</v>
      </c>
      <c r="CV243">
        <v>1</v>
      </c>
      <c r="CX243">
        <v>1</v>
      </c>
      <c r="CZ243">
        <v>2.8935185185185184E-4</v>
      </c>
      <c r="DA243">
        <v>2.8935185185185184E-4</v>
      </c>
      <c r="DB243">
        <v>8.3564814814814821E-3</v>
      </c>
      <c r="DC243">
        <v>1.638888888888889E-2</v>
      </c>
      <c r="DD243">
        <v>122</v>
      </c>
      <c r="DE243">
        <v>239</v>
      </c>
      <c r="DF243">
        <v>33</v>
      </c>
      <c r="DG243" t="s">
        <v>889</v>
      </c>
      <c r="DH243">
        <v>18660</v>
      </c>
      <c r="DI243">
        <v>0.27050000000000002</v>
      </c>
      <c r="DJ243">
        <v>1</v>
      </c>
      <c r="DK243">
        <v>3.0300000000000001E-2</v>
      </c>
      <c r="DL243">
        <v>180</v>
      </c>
      <c r="DM243">
        <v>180</v>
      </c>
      <c r="DN243">
        <v>180</v>
      </c>
      <c r="DO243">
        <v>1</v>
      </c>
      <c r="DP243">
        <v>0.32100000000000001</v>
      </c>
      <c r="DQ243">
        <v>88</v>
      </c>
      <c r="DR243">
        <v>180</v>
      </c>
    </row>
    <row r="244" spans="95:122" x14ac:dyDescent="0.25">
      <c r="CQ244" t="s">
        <v>636</v>
      </c>
      <c r="CR244" t="s">
        <v>2</v>
      </c>
      <c r="CS244" t="s">
        <v>42</v>
      </c>
      <c r="CT244">
        <v>46071</v>
      </c>
      <c r="CU244">
        <v>1</v>
      </c>
      <c r="CV244">
        <v>1</v>
      </c>
      <c r="CW244">
        <v>1</v>
      </c>
      <c r="CZ244">
        <v>5.8796296296296296E-3</v>
      </c>
      <c r="DA244">
        <v>5.8796296296296296E-3</v>
      </c>
      <c r="DB244">
        <v>0.1986111111111111</v>
      </c>
      <c r="DC244">
        <v>0.13188657407407409</v>
      </c>
      <c r="DD244">
        <v>77</v>
      </c>
      <c r="DE244">
        <v>149</v>
      </c>
      <c r="DF244">
        <v>21</v>
      </c>
      <c r="DG244" t="s">
        <v>745</v>
      </c>
      <c r="DH244">
        <v>21933</v>
      </c>
      <c r="DI244">
        <v>0.2727</v>
      </c>
      <c r="DJ244">
        <v>1</v>
      </c>
      <c r="DK244">
        <v>4.7600000000000003E-2</v>
      </c>
      <c r="DL244">
        <v>3000</v>
      </c>
      <c r="DM244">
        <v>3000</v>
      </c>
      <c r="DN244">
        <v>3000</v>
      </c>
      <c r="DO244">
        <v>1</v>
      </c>
      <c r="DP244">
        <v>8.2299999999999998E-2</v>
      </c>
      <c r="DQ244">
        <v>88</v>
      </c>
      <c r="DR244">
        <v>3000</v>
      </c>
    </row>
    <row r="245" spans="95:122" x14ac:dyDescent="0.25">
      <c r="CQ245" t="s">
        <v>636</v>
      </c>
      <c r="CR245" t="s">
        <v>2</v>
      </c>
      <c r="CS245" t="s">
        <v>29</v>
      </c>
      <c r="CT245">
        <v>46066</v>
      </c>
      <c r="CU245">
        <v>1</v>
      </c>
      <c r="CV245">
        <v>1</v>
      </c>
      <c r="CW245">
        <v>1</v>
      </c>
      <c r="CZ245">
        <v>4.5601851851851853E-3</v>
      </c>
      <c r="DA245">
        <v>4.5601851851851853E-3</v>
      </c>
      <c r="DB245">
        <v>0.20337962962962963</v>
      </c>
      <c r="DC245">
        <v>0.10766203703703704</v>
      </c>
      <c r="DD245">
        <v>57</v>
      </c>
      <c r="DE245">
        <v>118</v>
      </c>
      <c r="DF245">
        <v>23</v>
      </c>
      <c r="DG245" t="s">
        <v>827</v>
      </c>
      <c r="DH245">
        <v>22598</v>
      </c>
      <c r="DI245">
        <v>0.40350000000000003</v>
      </c>
      <c r="DJ245">
        <v>1</v>
      </c>
      <c r="DK245">
        <v>4.3499999999999997E-2</v>
      </c>
      <c r="DL245">
        <v>1500</v>
      </c>
      <c r="DM245">
        <v>1500</v>
      </c>
      <c r="DN245">
        <v>1500</v>
      </c>
      <c r="DO245">
        <v>1</v>
      </c>
      <c r="DP245">
        <v>0.31369999999999998</v>
      </c>
      <c r="DQ245">
        <v>88</v>
      </c>
      <c r="DR245">
        <v>1500</v>
      </c>
    </row>
    <row r="246" spans="95:122" x14ac:dyDescent="0.25">
      <c r="CQ246" t="s">
        <v>636</v>
      </c>
      <c r="CR246" t="s">
        <v>2</v>
      </c>
      <c r="CS246" t="s">
        <v>29</v>
      </c>
      <c r="CT246">
        <v>46069</v>
      </c>
      <c r="CU246">
        <v>1</v>
      </c>
      <c r="CV246">
        <v>1</v>
      </c>
      <c r="CX246">
        <v>1</v>
      </c>
      <c r="CZ246">
        <v>1.3541666666666667E-3</v>
      </c>
      <c r="DA246">
        <v>1.3541666666666667E-3</v>
      </c>
      <c r="DB246">
        <v>0.18005787037037038</v>
      </c>
      <c r="DC246">
        <v>0.13721064814814815</v>
      </c>
      <c r="DD246">
        <v>56</v>
      </c>
      <c r="DE246">
        <v>144</v>
      </c>
      <c r="DF246">
        <v>19</v>
      </c>
      <c r="DG246" t="s">
        <v>963</v>
      </c>
      <c r="DH246">
        <v>8932</v>
      </c>
      <c r="DI246">
        <v>0.33929999999999999</v>
      </c>
      <c r="DJ246">
        <v>1</v>
      </c>
      <c r="DK246">
        <v>5.2600000000000001E-2</v>
      </c>
      <c r="DL246">
        <v>1000</v>
      </c>
      <c r="DM246">
        <v>1000</v>
      </c>
      <c r="DN246">
        <v>1000</v>
      </c>
      <c r="DO246">
        <v>1</v>
      </c>
      <c r="DQ246">
        <v>88</v>
      </c>
      <c r="DR246">
        <v>1000</v>
      </c>
    </row>
    <row r="247" spans="95:122" x14ac:dyDescent="0.25">
      <c r="CQ247" t="s">
        <v>636</v>
      </c>
      <c r="CR247" t="s">
        <v>2</v>
      </c>
      <c r="CS247" t="s">
        <v>25</v>
      </c>
      <c r="CT247">
        <v>46062</v>
      </c>
      <c r="CU247">
        <v>1</v>
      </c>
      <c r="CV247">
        <v>1</v>
      </c>
      <c r="CX247">
        <v>1</v>
      </c>
      <c r="CZ247">
        <v>0</v>
      </c>
      <c r="DA247">
        <v>0</v>
      </c>
      <c r="DB247">
        <v>1.5196759259259259E-2</v>
      </c>
      <c r="DC247">
        <v>1.951388888888889E-2</v>
      </c>
      <c r="DD247">
        <v>62</v>
      </c>
      <c r="DE247">
        <v>125</v>
      </c>
      <c r="DF247">
        <v>11</v>
      </c>
      <c r="DG247" t="s">
        <v>905</v>
      </c>
      <c r="DH247">
        <v>10157</v>
      </c>
      <c r="DI247">
        <v>0.1774</v>
      </c>
      <c r="DJ247">
        <v>1</v>
      </c>
      <c r="DK247">
        <v>9.0899999999999995E-2</v>
      </c>
      <c r="DL247">
        <v>1400</v>
      </c>
      <c r="DM247">
        <v>1400</v>
      </c>
      <c r="DN247">
        <v>1400</v>
      </c>
      <c r="DO247">
        <v>1</v>
      </c>
      <c r="DP247">
        <v>0.13880000000000001</v>
      </c>
      <c r="DQ247">
        <v>88</v>
      </c>
      <c r="DR247">
        <v>1400</v>
      </c>
    </row>
    <row r="248" spans="95:122" x14ac:dyDescent="0.25">
      <c r="CQ248" t="s">
        <v>636</v>
      </c>
      <c r="CR248" t="s">
        <v>2</v>
      </c>
      <c r="CS248" t="s">
        <v>25</v>
      </c>
      <c r="CT248">
        <v>46066</v>
      </c>
      <c r="CU248">
        <v>1</v>
      </c>
      <c r="CV248">
        <v>1</v>
      </c>
      <c r="CW248">
        <v>1</v>
      </c>
      <c r="CZ248">
        <v>9.9652777777777778E-3</v>
      </c>
      <c r="DA248">
        <v>9.9652777777777778E-3</v>
      </c>
      <c r="DB248">
        <v>0.18025462962962963</v>
      </c>
      <c r="DC248">
        <v>0.12106481481481482</v>
      </c>
      <c r="DD248">
        <v>79</v>
      </c>
      <c r="DE248">
        <v>120</v>
      </c>
      <c r="DF248">
        <v>25</v>
      </c>
      <c r="DG248">
        <v>1.64</v>
      </c>
      <c r="DH248">
        <v>22690</v>
      </c>
      <c r="DI248">
        <v>0.3165</v>
      </c>
      <c r="DJ248">
        <v>1</v>
      </c>
      <c r="DK248">
        <v>0.04</v>
      </c>
      <c r="DL248">
        <v>13500</v>
      </c>
      <c r="DM248">
        <v>13500</v>
      </c>
      <c r="DN248">
        <v>13500</v>
      </c>
      <c r="DO248">
        <v>1</v>
      </c>
      <c r="DP248">
        <v>0.41830000000000001</v>
      </c>
      <c r="DQ248">
        <v>88</v>
      </c>
      <c r="DR248">
        <v>13500</v>
      </c>
    </row>
    <row r="249" spans="95:122" x14ac:dyDescent="0.25">
      <c r="CQ249" t="s">
        <v>636</v>
      </c>
      <c r="CR249" t="s">
        <v>2</v>
      </c>
      <c r="CS249" t="s">
        <v>38</v>
      </c>
      <c r="CT249">
        <v>46080</v>
      </c>
      <c r="CU249">
        <v>1</v>
      </c>
      <c r="CV249">
        <v>1</v>
      </c>
      <c r="CX249">
        <v>1</v>
      </c>
      <c r="CZ249">
        <v>3.0092592592592595E-4</v>
      </c>
      <c r="DA249">
        <v>3.0092592592592595E-4</v>
      </c>
      <c r="DB249">
        <v>0.23707175925925925</v>
      </c>
      <c r="DC249">
        <v>0.13664351851851853</v>
      </c>
      <c r="DD249">
        <v>82</v>
      </c>
      <c r="DE249">
        <v>119</v>
      </c>
      <c r="DF249">
        <v>36</v>
      </c>
      <c r="DG249" t="s">
        <v>994</v>
      </c>
      <c r="DH249">
        <v>27327</v>
      </c>
      <c r="DI249">
        <v>0.439</v>
      </c>
      <c r="DJ249">
        <v>2</v>
      </c>
      <c r="DK249">
        <v>5.5599999999999997E-2</v>
      </c>
      <c r="DL249">
        <v>7000</v>
      </c>
      <c r="DM249">
        <v>3500</v>
      </c>
      <c r="DN249">
        <v>7000</v>
      </c>
      <c r="DO249">
        <v>1</v>
      </c>
      <c r="DP249">
        <v>0.14130000000000001</v>
      </c>
      <c r="DQ249">
        <v>88</v>
      </c>
      <c r="DR249">
        <v>3500</v>
      </c>
    </row>
    <row r="250" spans="95:122" x14ac:dyDescent="0.25">
      <c r="CQ250" t="s">
        <v>636</v>
      </c>
      <c r="CR250" t="s">
        <v>2</v>
      </c>
      <c r="CS250" t="s">
        <v>38</v>
      </c>
      <c r="CT250">
        <v>46081</v>
      </c>
      <c r="CU250">
        <v>1</v>
      </c>
      <c r="CV250">
        <v>1</v>
      </c>
      <c r="CX250">
        <v>1</v>
      </c>
      <c r="CZ250">
        <v>5.7870370370370367E-4</v>
      </c>
      <c r="DA250">
        <v>5.7870370370370367E-4</v>
      </c>
      <c r="DB250">
        <v>0.15834490740740742</v>
      </c>
      <c r="DC250">
        <v>3.4722222222222224E-2</v>
      </c>
      <c r="DD250">
        <v>41</v>
      </c>
      <c r="DE250">
        <v>60</v>
      </c>
      <c r="DF250">
        <v>29</v>
      </c>
      <c r="DG250" t="s">
        <v>866</v>
      </c>
      <c r="DH250">
        <v>24271</v>
      </c>
      <c r="DI250">
        <v>0.70730000000000004</v>
      </c>
      <c r="DJ250">
        <v>1</v>
      </c>
      <c r="DK250">
        <v>3.4500000000000003E-2</v>
      </c>
      <c r="DL250">
        <v>1570</v>
      </c>
      <c r="DM250">
        <v>1570</v>
      </c>
      <c r="DN250">
        <v>1570</v>
      </c>
      <c r="DO250">
        <v>1</v>
      </c>
      <c r="DQ250">
        <v>88</v>
      </c>
      <c r="DR250">
        <v>1570</v>
      </c>
    </row>
    <row r="251" spans="95:122" x14ac:dyDescent="0.25">
      <c r="CQ251" t="s">
        <v>636</v>
      </c>
      <c r="CR251" t="s">
        <v>2</v>
      </c>
      <c r="CS251" t="s">
        <v>76</v>
      </c>
      <c r="CT251">
        <v>46071</v>
      </c>
      <c r="CU251">
        <v>1</v>
      </c>
      <c r="CV251">
        <v>1</v>
      </c>
      <c r="CX251">
        <v>1</v>
      </c>
      <c r="CZ251">
        <v>0</v>
      </c>
      <c r="DA251">
        <v>0</v>
      </c>
      <c r="DB251">
        <v>0.1481712962962963</v>
      </c>
      <c r="DC251">
        <v>0.13616898148148149</v>
      </c>
      <c r="DD251">
        <v>57</v>
      </c>
      <c r="DE251">
        <v>72</v>
      </c>
      <c r="DF251">
        <v>7</v>
      </c>
      <c r="DG251" t="s">
        <v>803</v>
      </c>
      <c r="DH251">
        <v>14589</v>
      </c>
      <c r="DI251">
        <v>0.12280000000000001</v>
      </c>
      <c r="DJ251">
        <v>1</v>
      </c>
      <c r="DK251">
        <v>0.1429</v>
      </c>
      <c r="DL251">
        <v>2500</v>
      </c>
      <c r="DM251">
        <v>2500</v>
      </c>
      <c r="DQ251">
        <v>88</v>
      </c>
    </row>
    <row r="252" spans="95:122" x14ac:dyDescent="0.25">
      <c r="CQ252" t="s">
        <v>636</v>
      </c>
      <c r="CR252" t="s">
        <v>6</v>
      </c>
      <c r="CS252" t="s">
        <v>19</v>
      </c>
      <c r="CT252">
        <v>46078</v>
      </c>
      <c r="CU252">
        <v>1</v>
      </c>
      <c r="CV252">
        <v>1</v>
      </c>
      <c r="CX252">
        <v>1</v>
      </c>
      <c r="CZ252">
        <v>1.6203703703703703E-4</v>
      </c>
      <c r="DA252">
        <v>1.6203703703703703E-4</v>
      </c>
      <c r="DB252">
        <v>0.23849537037037036</v>
      </c>
      <c r="DC252">
        <v>9.8379629629629636E-2</v>
      </c>
      <c r="DD252">
        <v>76</v>
      </c>
      <c r="DE252">
        <v>113</v>
      </c>
      <c r="DF252">
        <v>16</v>
      </c>
      <c r="DG252">
        <v>2.3125</v>
      </c>
      <c r="DH252">
        <v>33108</v>
      </c>
      <c r="DI252">
        <v>0.21049999999999999</v>
      </c>
      <c r="DJ252">
        <v>1</v>
      </c>
      <c r="DK252">
        <v>6.25E-2</v>
      </c>
      <c r="DL252">
        <v>3000</v>
      </c>
      <c r="DM252">
        <v>3000</v>
      </c>
      <c r="DN252">
        <v>3000</v>
      </c>
      <c r="DO252">
        <v>1</v>
      </c>
      <c r="DP252">
        <v>0.43280000000000002</v>
      </c>
      <c r="DQ252">
        <v>88</v>
      </c>
      <c r="DR252">
        <v>3000</v>
      </c>
    </row>
    <row r="253" spans="95:122" x14ac:dyDescent="0.25">
      <c r="CQ253" t="s">
        <v>636</v>
      </c>
      <c r="CR253" t="s">
        <v>6</v>
      </c>
      <c r="CS253" t="s">
        <v>19</v>
      </c>
      <c r="CT253">
        <v>46080</v>
      </c>
      <c r="CU253">
        <v>1</v>
      </c>
      <c r="CV253">
        <v>1</v>
      </c>
      <c r="CX253">
        <v>1</v>
      </c>
      <c r="CZ253">
        <v>1.1574074074074075E-4</v>
      </c>
      <c r="DA253">
        <v>1.1574074074074075E-4</v>
      </c>
      <c r="DB253">
        <v>0.16724537037037038</v>
      </c>
      <c r="DC253">
        <v>0.21822916666666667</v>
      </c>
      <c r="DD253">
        <v>97</v>
      </c>
      <c r="DE253">
        <v>186</v>
      </c>
      <c r="DF253">
        <v>25</v>
      </c>
      <c r="DG253">
        <v>2.08</v>
      </c>
      <c r="DH253">
        <v>28504</v>
      </c>
      <c r="DI253">
        <v>0.25769999999999998</v>
      </c>
      <c r="DJ253">
        <v>2</v>
      </c>
      <c r="DK253">
        <v>0.08</v>
      </c>
      <c r="DL253">
        <v>10260</v>
      </c>
      <c r="DM253">
        <v>5130</v>
      </c>
      <c r="DN253">
        <v>10260</v>
      </c>
      <c r="DO253">
        <v>1</v>
      </c>
      <c r="DP253">
        <v>0.18279999999999999</v>
      </c>
      <c r="DQ253">
        <v>88</v>
      </c>
      <c r="DR253">
        <v>5130</v>
      </c>
    </row>
    <row r="254" spans="95:122" x14ac:dyDescent="0.25">
      <c r="CQ254" t="s">
        <v>636</v>
      </c>
      <c r="CR254" t="s">
        <v>6</v>
      </c>
      <c r="CS254" t="s">
        <v>81</v>
      </c>
      <c r="CT254">
        <v>46077</v>
      </c>
      <c r="CU254">
        <v>1</v>
      </c>
      <c r="CV254">
        <v>1</v>
      </c>
      <c r="CX254">
        <v>1</v>
      </c>
      <c r="CZ254">
        <v>1.1574074074074075E-4</v>
      </c>
      <c r="DA254">
        <v>1.1574074074074075E-4</v>
      </c>
      <c r="DB254">
        <v>0.22275462962962964</v>
      </c>
      <c r="DC254">
        <v>0.13197916666666668</v>
      </c>
      <c r="DD254">
        <v>89</v>
      </c>
      <c r="DE254">
        <v>153</v>
      </c>
      <c r="DF254">
        <v>11</v>
      </c>
      <c r="DG254" t="s">
        <v>807</v>
      </c>
      <c r="DH254">
        <v>30653</v>
      </c>
      <c r="DI254">
        <v>0.1236</v>
      </c>
      <c r="DJ254">
        <v>2</v>
      </c>
      <c r="DK254">
        <v>0.18179999999999999</v>
      </c>
      <c r="DL254">
        <v>7570</v>
      </c>
      <c r="DM254">
        <v>3785</v>
      </c>
      <c r="DN254">
        <v>70</v>
      </c>
      <c r="DO254">
        <v>9.1999999999999998E-3</v>
      </c>
      <c r="DP254">
        <v>8.9999999999999998E-4</v>
      </c>
      <c r="DQ254">
        <v>88</v>
      </c>
      <c r="DR254">
        <v>70</v>
      </c>
    </row>
    <row r="255" spans="95:122" x14ac:dyDescent="0.25">
      <c r="CQ255" t="s">
        <v>636</v>
      </c>
      <c r="CR255" t="s">
        <v>6</v>
      </c>
      <c r="CS255" t="s">
        <v>35</v>
      </c>
      <c r="CT255">
        <v>46059</v>
      </c>
      <c r="CU255">
        <v>1</v>
      </c>
      <c r="CV255">
        <v>1</v>
      </c>
      <c r="CX255">
        <v>1</v>
      </c>
      <c r="CZ255">
        <v>1.0416666666666667E-4</v>
      </c>
      <c r="DA255">
        <v>1.0416666666666667E-4</v>
      </c>
      <c r="DB255">
        <v>2.6793981481481481E-2</v>
      </c>
      <c r="DC255">
        <v>1.681712962962963E-2</v>
      </c>
      <c r="DD255">
        <v>87</v>
      </c>
      <c r="DE255">
        <v>165</v>
      </c>
      <c r="DF255">
        <v>18</v>
      </c>
      <c r="DG255" t="s">
        <v>715</v>
      </c>
      <c r="DH255">
        <v>57846</v>
      </c>
      <c r="DI255">
        <v>0.2069</v>
      </c>
      <c r="DJ255">
        <v>2</v>
      </c>
      <c r="DK255">
        <v>0.1111</v>
      </c>
      <c r="DL255">
        <v>8476</v>
      </c>
      <c r="DM255">
        <v>4238</v>
      </c>
      <c r="DN255">
        <v>8476</v>
      </c>
      <c r="DO255">
        <v>1</v>
      </c>
      <c r="DP255">
        <v>1.0016</v>
      </c>
      <c r="DQ255">
        <v>88</v>
      </c>
      <c r="DR255">
        <v>4238</v>
      </c>
    </row>
    <row r="256" spans="95:122" x14ac:dyDescent="0.25">
      <c r="CQ256" t="s">
        <v>636</v>
      </c>
      <c r="CR256" t="s">
        <v>6</v>
      </c>
      <c r="CS256" t="s">
        <v>35</v>
      </c>
      <c r="CT256">
        <v>46077</v>
      </c>
      <c r="CU256">
        <v>1</v>
      </c>
      <c r="CV256">
        <v>1</v>
      </c>
      <c r="CX256">
        <v>1</v>
      </c>
      <c r="CZ256">
        <v>1.273148148148148E-4</v>
      </c>
      <c r="DA256">
        <v>1.273148148148148E-4</v>
      </c>
      <c r="DB256">
        <v>9.7557870370370364E-2</v>
      </c>
      <c r="DC256">
        <v>0.29656250000000001</v>
      </c>
      <c r="DD256">
        <v>82</v>
      </c>
      <c r="DE256">
        <v>165</v>
      </c>
      <c r="DF256">
        <v>18</v>
      </c>
      <c r="DG256" t="s">
        <v>749</v>
      </c>
      <c r="DH256">
        <v>33239</v>
      </c>
      <c r="DI256">
        <v>0.2195</v>
      </c>
      <c r="DJ256">
        <v>2</v>
      </c>
      <c r="DK256">
        <v>0.1111</v>
      </c>
      <c r="DL256">
        <v>12900</v>
      </c>
      <c r="DM256">
        <v>6450</v>
      </c>
      <c r="DN256">
        <v>12000</v>
      </c>
      <c r="DO256">
        <v>0.93020000000000003</v>
      </c>
      <c r="DP256">
        <v>0.23860000000000001</v>
      </c>
      <c r="DQ256">
        <v>88</v>
      </c>
      <c r="DR256">
        <v>12000</v>
      </c>
    </row>
    <row r="257" spans="95:122" x14ac:dyDescent="0.25">
      <c r="CQ257" t="s">
        <v>636</v>
      </c>
      <c r="CR257" t="s">
        <v>6</v>
      </c>
      <c r="CS257" t="s">
        <v>97</v>
      </c>
      <c r="CT257">
        <v>46057</v>
      </c>
      <c r="CU257">
        <v>1</v>
      </c>
      <c r="CV257">
        <v>1</v>
      </c>
      <c r="CX257">
        <v>1</v>
      </c>
      <c r="CZ257">
        <v>0</v>
      </c>
      <c r="DA257">
        <v>0</v>
      </c>
      <c r="DB257">
        <v>8.5567129629629632E-2</v>
      </c>
      <c r="DC257">
        <v>1.0393518518518519E-2</v>
      </c>
      <c r="DD257">
        <v>147</v>
      </c>
      <c r="DE257">
        <v>295</v>
      </c>
      <c r="DF257">
        <v>20</v>
      </c>
      <c r="DG257">
        <v>1.85</v>
      </c>
      <c r="DH257">
        <v>33758</v>
      </c>
      <c r="DI257">
        <v>0.1361</v>
      </c>
      <c r="DJ257">
        <v>2</v>
      </c>
      <c r="DK257">
        <v>0.1</v>
      </c>
      <c r="DL257">
        <v>615</v>
      </c>
      <c r="DM257">
        <v>308</v>
      </c>
      <c r="DN257">
        <v>615</v>
      </c>
      <c r="DO257">
        <v>1</v>
      </c>
      <c r="DP257">
        <v>1.5564</v>
      </c>
      <c r="DQ257">
        <v>88</v>
      </c>
      <c r="DR257">
        <v>308</v>
      </c>
    </row>
    <row r="258" spans="95:122" x14ac:dyDescent="0.25">
      <c r="CQ258" t="s">
        <v>636</v>
      </c>
      <c r="CR258" t="s">
        <v>6</v>
      </c>
      <c r="CS258" t="s">
        <v>97</v>
      </c>
      <c r="CT258">
        <v>46063</v>
      </c>
      <c r="CU258">
        <v>1</v>
      </c>
      <c r="CV258">
        <v>1</v>
      </c>
      <c r="CX258">
        <v>1</v>
      </c>
      <c r="CZ258">
        <v>1.1574074074074073E-5</v>
      </c>
      <c r="DA258">
        <v>1.1574074074074073E-5</v>
      </c>
      <c r="DB258">
        <v>5.9409722222222225E-2</v>
      </c>
      <c r="DC258">
        <v>3.5879629629629629E-2</v>
      </c>
      <c r="DD258">
        <v>79</v>
      </c>
      <c r="DE258">
        <v>158</v>
      </c>
      <c r="DF258">
        <v>33</v>
      </c>
      <c r="DG258" t="s">
        <v>1098</v>
      </c>
      <c r="DH258">
        <v>25942</v>
      </c>
      <c r="DI258">
        <v>0.41770000000000002</v>
      </c>
      <c r="DJ258">
        <v>5</v>
      </c>
      <c r="DK258">
        <v>0.1515</v>
      </c>
      <c r="DL258">
        <v>16585</v>
      </c>
      <c r="DM258">
        <v>3317</v>
      </c>
      <c r="DN258">
        <v>15385</v>
      </c>
      <c r="DO258">
        <v>0.92759999999999998</v>
      </c>
      <c r="DP258">
        <v>0.1883</v>
      </c>
      <c r="DQ258">
        <v>88</v>
      </c>
      <c r="DR258">
        <v>3846</v>
      </c>
    </row>
    <row r="259" spans="95:122" x14ac:dyDescent="0.25">
      <c r="CQ259" t="s">
        <v>636</v>
      </c>
      <c r="CR259" t="s">
        <v>6</v>
      </c>
      <c r="CS259" t="s">
        <v>97</v>
      </c>
      <c r="CT259">
        <v>46069</v>
      </c>
      <c r="CU259">
        <v>1</v>
      </c>
      <c r="CV259">
        <v>1</v>
      </c>
      <c r="CX259">
        <v>1</v>
      </c>
      <c r="CZ259">
        <v>1.6203703703703703E-4</v>
      </c>
      <c r="DA259">
        <v>1.6203703703703703E-4</v>
      </c>
      <c r="DB259">
        <v>0.17719907407407406</v>
      </c>
      <c r="DC259">
        <v>0.18</v>
      </c>
      <c r="DD259">
        <v>114</v>
      </c>
      <c r="DE259">
        <v>172</v>
      </c>
      <c r="DF259">
        <v>18</v>
      </c>
      <c r="DG259" t="s">
        <v>706</v>
      </c>
      <c r="DH259">
        <v>22976</v>
      </c>
      <c r="DI259">
        <v>0.15790000000000001</v>
      </c>
      <c r="DJ259">
        <v>3</v>
      </c>
      <c r="DK259">
        <v>0.16669999999999999</v>
      </c>
      <c r="DL259">
        <v>7750</v>
      </c>
      <c r="DM259">
        <v>2583</v>
      </c>
      <c r="DN259">
        <v>7750</v>
      </c>
      <c r="DO259">
        <v>1</v>
      </c>
      <c r="DP259">
        <v>0.27750000000000002</v>
      </c>
      <c r="DQ259">
        <v>88</v>
      </c>
      <c r="DR259">
        <v>2583</v>
      </c>
    </row>
    <row r="260" spans="95:122" x14ac:dyDescent="0.25">
      <c r="CQ260" t="s">
        <v>636</v>
      </c>
      <c r="CR260" t="s">
        <v>6</v>
      </c>
      <c r="CS260" t="s">
        <v>97</v>
      </c>
      <c r="CT260">
        <v>46073</v>
      </c>
      <c r="CU260">
        <v>1</v>
      </c>
      <c r="CV260">
        <v>1</v>
      </c>
      <c r="CX260">
        <v>1</v>
      </c>
      <c r="CZ260">
        <v>1.1574074074074073E-5</v>
      </c>
      <c r="DA260">
        <v>1.1574074074074073E-5</v>
      </c>
      <c r="DB260">
        <v>0.1519675925925926</v>
      </c>
      <c r="DC260">
        <v>0.22306712962962963</v>
      </c>
      <c r="DD260">
        <v>146</v>
      </c>
      <c r="DE260">
        <v>250</v>
      </c>
      <c r="DF260">
        <v>32</v>
      </c>
      <c r="DG260">
        <v>1.84375</v>
      </c>
      <c r="DH260">
        <v>27225</v>
      </c>
      <c r="DI260">
        <v>0.21920000000000001</v>
      </c>
      <c r="DJ260">
        <v>2</v>
      </c>
      <c r="DK260">
        <v>6.25E-2</v>
      </c>
      <c r="DL260">
        <v>1019</v>
      </c>
      <c r="DM260">
        <v>509</v>
      </c>
      <c r="DN260">
        <v>1019</v>
      </c>
      <c r="DO260">
        <v>1</v>
      </c>
      <c r="DP260">
        <v>1.5966</v>
      </c>
      <c r="DQ260">
        <v>88</v>
      </c>
      <c r="DR260">
        <v>509</v>
      </c>
    </row>
    <row r="261" spans="95:122" x14ac:dyDescent="0.25">
      <c r="CQ261" t="s">
        <v>636</v>
      </c>
      <c r="CR261" t="s">
        <v>6</v>
      </c>
      <c r="CS261" t="s">
        <v>34</v>
      </c>
      <c r="CT261">
        <v>46072</v>
      </c>
      <c r="CU261">
        <v>1</v>
      </c>
      <c r="CV261">
        <v>1</v>
      </c>
      <c r="CX261">
        <v>1</v>
      </c>
      <c r="CZ261">
        <v>8.1018518518518516E-5</v>
      </c>
      <c r="DA261">
        <v>8.1018518518518516E-5</v>
      </c>
      <c r="DB261">
        <v>0.16077546296296297</v>
      </c>
      <c r="DC261">
        <v>0.18533564814814815</v>
      </c>
      <c r="DD261">
        <v>86</v>
      </c>
      <c r="DE261">
        <v>107</v>
      </c>
      <c r="DF261">
        <v>8</v>
      </c>
      <c r="DG261">
        <v>2</v>
      </c>
      <c r="DH261">
        <v>19375</v>
      </c>
      <c r="DI261">
        <v>9.2999999999999999E-2</v>
      </c>
      <c r="DJ261">
        <v>1</v>
      </c>
      <c r="DK261">
        <v>0.125</v>
      </c>
      <c r="DL261">
        <v>650</v>
      </c>
      <c r="DM261">
        <v>650</v>
      </c>
      <c r="DN261">
        <v>650</v>
      </c>
      <c r="DO261">
        <v>1</v>
      </c>
      <c r="DQ261">
        <v>88</v>
      </c>
      <c r="DR261">
        <v>650</v>
      </c>
    </row>
    <row r="262" spans="95:122" x14ac:dyDescent="0.25">
      <c r="CQ262" t="s">
        <v>636</v>
      </c>
      <c r="CR262" t="s">
        <v>6</v>
      </c>
      <c r="CS262" t="s">
        <v>78</v>
      </c>
      <c r="CT262">
        <v>46058</v>
      </c>
      <c r="CU262">
        <v>1</v>
      </c>
      <c r="CV262">
        <v>1</v>
      </c>
      <c r="CX262">
        <v>1</v>
      </c>
      <c r="CZ262">
        <v>2.4305555555555555E-4</v>
      </c>
      <c r="DA262">
        <v>2.4305555555555555E-4</v>
      </c>
      <c r="DB262">
        <v>8.4062499999999998E-2</v>
      </c>
      <c r="DC262">
        <v>1.8391203703703705E-2</v>
      </c>
      <c r="DD262">
        <v>79</v>
      </c>
      <c r="DE262">
        <v>122</v>
      </c>
      <c r="DF262">
        <v>21</v>
      </c>
      <c r="DG262" t="s">
        <v>679</v>
      </c>
      <c r="DH262">
        <v>10310</v>
      </c>
      <c r="DI262">
        <v>0.26579999999999998</v>
      </c>
      <c r="DJ262">
        <v>4</v>
      </c>
      <c r="DK262">
        <v>0.1905</v>
      </c>
      <c r="DL262">
        <v>6303</v>
      </c>
      <c r="DM262">
        <v>1576</v>
      </c>
      <c r="DN262">
        <v>6303</v>
      </c>
      <c r="DO262">
        <v>1</v>
      </c>
      <c r="DP262">
        <v>0.20419999999999999</v>
      </c>
      <c r="DQ262">
        <v>88</v>
      </c>
      <c r="DR262">
        <v>1576</v>
      </c>
    </row>
    <row r="263" spans="95:122" x14ac:dyDescent="0.25">
      <c r="CQ263" t="s">
        <v>636</v>
      </c>
      <c r="CR263" t="s">
        <v>3</v>
      </c>
      <c r="CS263" t="s">
        <v>22</v>
      </c>
      <c r="CT263">
        <v>46073</v>
      </c>
      <c r="CU263">
        <v>1</v>
      </c>
      <c r="CV263">
        <v>1</v>
      </c>
      <c r="CX263">
        <v>1</v>
      </c>
      <c r="CZ263">
        <v>0</v>
      </c>
      <c r="DA263">
        <v>0</v>
      </c>
      <c r="DB263">
        <v>0.20465277777777777</v>
      </c>
      <c r="DC263">
        <v>0.14120370370370369</v>
      </c>
      <c r="DD263">
        <v>77</v>
      </c>
      <c r="DE263">
        <v>182</v>
      </c>
      <c r="DF263">
        <v>22</v>
      </c>
      <c r="DG263" t="s">
        <v>681</v>
      </c>
      <c r="DH263">
        <v>36419</v>
      </c>
      <c r="DI263">
        <v>0.28570000000000001</v>
      </c>
      <c r="DJ263">
        <v>1</v>
      </c>
      <c r="DK263">
        <v>4.5499999999999999E-2</v>
      </c>
      <c r="DL263">
        <v>1000</v>
      </c>
      <c r="DM263">
        <v>1000</v>
      </c>
      <c r="DN263">
        <v>1000</v>
      </c>
      <c r="DO263">
        <v>1</v>
      </c>
      <c r="DQ263">
        <v>88</v>
      </c>
      <c r="DR263">
        <v>1000</v>
      </c>
    </row>
    <row r="264" spans="95:122" x14ac:dyDescent="0.25">
      <c r="CQ264" t="s">
        <v>636</v>
      </c>
      <c r="CR264" t="s">
        <v>3</v>
      </c>
      <c r="CS264" t="s">
        <v>22</v>
      </c>
      <c r="CT264">
        <v>46081</v>
      </c>
      <c r="CU264">
        <v>1</v>
      </c>
      <c r="CV264">
        <v>1</v>
      </c>
      <c r="CW264">
        <v>1</v>
      </c>
      <c r="CZ264">
        <v>5.8796296296296296E-3</v>
      </c>
      <c r="DA264">
        <v>5.8796296296296296E-3</v>
      </c>
      <c r="DB264">
        <v>7.2164351851851855E-2</v>
      </c>
      <c r="DC264">
        <v>0.14549768518518519</v>
      </c>
      <c r="DD264">
        <v>15</v>
      </c>
      <c r="DE264">
        <v>34</v>
      </c>
      <c r="DF264">
        <v>7</v>
      </c>
      <c r="DG264">
        <v>2</v>
      </c>
      <c r="DH264">
        <v>40027</v>
      </c>
      <c r="DI264">
        <v>0.4667</v>
      </c>
      <c r="DJ264">
        <v>1</v>
      </c>
      <c r="DK264">
        <v>0.1429</v>
      </c>
      <c r="DL264">
        <v>7000</v>
      </c>
      <c r="DM264">
        <v>7000</v>
      </c>
      <c r="DN264">
        <v>7000</v>
      </c>
      <c r="DO264">
        <v>1</v>
      </c>
      <c r="DP264">
        <v>0.2402</v>
      </c>
      <c r="DQ264">
        <v>88</v>
      </c>
      <c r="DR264">
        <v>7000</v>
      </c>
    </row>
    <row r="265" spans="95:122" x14ac:dyDescent="0.25">
      <c r="CQ265" t="s">
        <v>636</v>
      </c>
      <c r="CR265" t="s">
        <v>3</v>
      </c>
      <c r="CS265" t="s">
        <v>13</v>
      </c>
      <c r="CT265">
        <v>46056</v>
      </c>
      <c r="CU265">
        <v>1</v>
      </c>
      <c r="CV265">
        <v>1</v>
      </c>
      <c r="CX265">
        <v>1</v>
      </c>
      <c r="CZ265">
        <v>1.8518518518518518E-4</v>
      </c>
      <c r="DA265">
        <v>1.8518518518518518E-4</v>
      </c>
      <c r="DB265">
        <v>1.8124999999999999E-2</v>
      </c>
      <c r="DC265">
        <v>2.7777777777777778E-4</v>
      </c>
      <c r="DD265">
        <v>79</v>
      </c>
      <c r="DE265">
        <v>187</v>
      </c>
      <c r="DF265">
        <v>23</v>
      </c>
      <c r="DG265" t="s">
        <v>895</v>
      </c>
      <c r="DH265">
        <v>32582</v>
      </c>
      <c r="DI265">
        <v>0.29110000000000003</v>
      </c>
      <c r="DJ265">
        <v>1</v>
      </c>
      <c r="DK265">
        <v>4.3499999999999997E-2</v>
      </c>
      <c r="DL265">
        <v>210</v>
      </c>
      <c r="DM265">
        <v>210</v>
      </c>
      <c r="DQ265">
        <v>88</v>
      </c>
    </row>
    <row r="266" spans="95:122" x14ac:dyDescent="0.25">
      <c r="CQ266" t="s">
        <v>636</v>
      </c>
      <c r="CR266" t="s">
        <v>3</v>
      </c>
      <c r="CS266" t="s">
        <v>96</v>
      </c>
      <c r="CT266">
        <v>46057</v>
      </c>
      <c r="CU266">
        <v>1</v>
      </c>
      <c r="CV266">
        <v>1</v>
      </c>
      <c r="CX266">
        <v>1</v>
      </c>
      <c r="CZ266">
        <v>0</v>
      </c>
      <c r="DA266">
        <v>0</v>
      </c>
      <c r="DB266">
        <v>6.0057870370370373E-2</v>
      </c>
      <c r="DC266">
        <v>1.2141203703703704E-2</v>
      </c>
      <c r="DD266">
        <v>71</v>
      </c>
      <c r="DE266">
        <v>160</v>
      </c>
      <c r="DF266">
        <v>8</v>
      </c>
      <c r="DG266">
        <v>2</v>
      </c>
      <c r="DH266">
        <v>28434</v>
      </c>
      <c r="DI266">
        <v>0.11269999999999999</v>
      </c>
      <c r="DJ266">
        <v>2</v>
      </c>
      <c r="DK266">
        <v>0.25</v>
      </c>
      <c r="DL266">
        <v>9100</v>
      </c>
      <c r="DM266">
        <v>4550</v>
      </c>
      <c r="DN266">
        <v>8500</v>
      </c>
      <c r="DO266">
        <v>0.93410000000000004</v>
      </c>
      <c r="DP266">
        <v>0.2024</v>
      </c>
      <c r="DQ266">
        <v>88</v>
      </c>
      <c r="DR266">
        <v>8500</v>
      </c>
    </row>
    <row r="267" spans="95:122" x14ac:dyDescent="0.25">
      <c r="CQ267" t="s">
        <v>636</v>
      </c>
      <c r="CR267" t="s">
        <v>3</v>
      </c>
      <c r="CS267" t="s">
        <v>23</v>
      </c>
      <c r="CT267">
        <v>46055</v>
      </c>
      <c r="CU267">
        <v>1</v>
      </c>
      <c r="CV267">
        <v>1</v>
      </c>
      <c r="CX267">
        <v>1</v>
      </c>
      <c r="CZ267">
        <v>0</v>
      </c>
      <c r="DA267">
        <v>0</v>
      </c>
      <c r="DB267">
        <v>4.1261574074074076E-2</v>
      </c>
      <c r="DC267">
        <v>2.0891203703703703E-2</v>
      </c>
      <c r="DD267">
        <v>59</v>
      </c>
      <c r="DE267">
        <v>102</v>
      </c>
      <c r="DF267">
        <v>35</v>
      </c>
      <c r="DG267" t="s">
        <v>1099</v>
      </c>
      <c r="DH267">
        <v>19159</v>
      </c>
      <c r="DI267">
        <v>0.59319999999999995</v>
      </c>
      <c r="DJ267">
        <v>27</v>
      </c>
      <c r="DK267">
        <v>0.77139999999999997</v>
      </c>
      <c r="DL267">
        <v>32421</v>
      </c>
      <c r="DM267">
        <v>1201</v>
      </c>
      <c r="DN267">
        <v>22271</v>
      </c>
      <c r="DO267">
        <v>0.68689999999999996</v>
      </c>
      <c r="DP267">
        <v>0.17180000000000001</v>
      </c>
      <c r="DQ267">
        <v>88</v>
      </c>
      <c r="DR267">
        <v>1485</v>
      </c>
    </row>
    <row r="268" spans="95:122" x14ac:dyDescent="0.25">
      <c r="CQ268" t="s">
        <v>636</v>
      </c>
      <c r="CR268" t="s">
        <v>3</v>
      </c>
      <c r="CS268" t="s">
        <v>23</v>
      </c>
      <c r="CT268">
        <v>46081</v>
      </c>
      <c r="CU268">
        <v>1</v>
      </c>
      <c r="CV268">
        <v>1</v>
      </c>
      <c r="CW268">
        <v>1</v>
      </c>
      <c r="CZ268">
        <v>5.092592592592593E-3</v>
      </c>
      <c r="DA268">
        <v>5.092592592592593E-3</v>
      </c>
      <c r="DB268">
        <v>7.2037037037037038E-2</v>
      </c>
      <c r="DC268">
        <v>0.10542824074074074</v>
      </c>
      <c r="DD268">
        <v>30</v>
      </c>
      <c r="DE268">
        <v>78</v>
      </c>
      <c r="DF268">
        <v>13</v>
      </c>
      <c r="DG268" t="s">
        <v>787</v>
      </c>
      <c r="DH268">
        <v>29981</v>
      </c>
      <c r="DI268">
        <v>0.43330000000000002</v>
      </c>
      <c r="DJ268">
        <v>2</v>
      </c>
      <c r="DK268">
        <v>0.15379999999999999</v>
      </c>
      <c r="DL268">
        <v>10100</v>
      </c>
      <c r="DM268">
        <v>5050</v>
      </c>
      <c r="DN268">
        <v>10100</v>
      </c>
      <c r="DO268">
        <v>1</v>
      </c>
      <c r="DP268">
        <v>9.9900000000000003E-2</v>
      </c>
      <c r="DQ268">
        <v>88</v>
      </c>
      <c r="DR268">
        <v>5050</v>
      </c>
    </row>
    <row r="269" spans="95:122" x14ac:dyDescent="0.25">
      <c r="CQ269" t="s">
        <v>636</v>
      </c>
      <c r="CR269" t="s">
        <v>3</v>
      </c>
      <c r="CS269" t="s">
        <v>17</v>
      </c>
      <c r="CT269">
        <v>46055</v>
      </c>
      <c r="CU269">
        <v>1</v>
      </c>
      <c r="CV269">
        <v>1</v>
      </c>
      <c r="CW269">
        <v>1</v>
      </c>
      <c r="CZ269">
        <v>0.18807870370370369</v>
      </c>
      <c r="DA269">
        <v>0.18807870370370369</v>
      </c>
      <c r="DB269">
        <v>6.0185185185185185E-3</v>
      </c>
      <c r="DC269">
        <v>2.795138888888889E-2</v>
      </c>
      <c r="DD269">
        <v>20</v>
      </c>
      <c r="DE269">
        <v>44</v>
      </c>
      <c r="DF269">
        <v>15</v>
      </c>
      <c r="DG269">
        <v>1.4</v>
      </c>
      <c r="DH269">
        <v>21998</v>
      </c>
      <c r="DI269">
        <v>0.75</v>
      </c>
      <c r="DJ269">
        <v>10</v>
      </c>
      <c r="DK269">
        <v>0.66669999999999996</v>
      </c>
      <c r="DL269">
        <v>7355</v>
      </c>
      <c r="DM269">
        <v>735</v>
      </c>
      <c r="DN269">
        <v>6555</v>
      </c>
      <c r="DO269">
        <v>0.89119999999999999</v>
      </c>
      <c r="DP269">
        <v>0.31659999999999999</v>
      </c>
      <c r="DQ269">
        <v>88</v>
      </c>
      <c r="DR269">
        <v>819</v>
      </c>
    </row>
    <row r="270" spans="95:122" x14ac:dyDescent="0.25">
      <c r="CQ270" t="s">
        <v>636</v>
      </c>
      <c r="CR270" t="s">
        <v>3</v>
      </c>
      <c r="CS270" t="s">
        <v>17</v>
      </c>
      <c r="CT270">
        <v>46064</v>
      </c>
      <c r="CU270">
        <v>1</v>
      </c>
      <c r="CV270">
        <v>1</v>
      </c>
      <c r="CX270">
        <v>1</v>
      </c>
      <c r="CZ270">
        <v>2.0486111111111113E-3</v>
      </c>
      <c r="DA270">
        <v>2.0486111111111113E-3</v>
      </c>
      <c r="DB270">
        <v>2.2222222222222223E-2</v>
      </c>
      <c r="DC270">
        <v>1.0393518518518519E-2</v>
      </c>
      <c r="DD270">
        <v>61</v>
      </c>
      <c r="DE270">
        <v>129</v>
      </c>
      <c r="DF270">
        <v>15</v>
      </c>
      <c r="DG270" t="s">
        <v>674</v>
      </c>
      <c r="DH270">
        <v>29581</v>
      </c>
      <c r="DI270">
        <v>0.24590000000000001</v>
      </c>
      <c r="DJ270">
        <v>1</v>
      </c>
      <c r="DK270">
        <v>6.6699999999999995E-2</v>
      </c>
      <c r="DL270">
        <v>12000</v>
      </c>
      <c r="DM270">
        <v>12000</v>
      </c>
      <c r="DN270">
        <v>12000</v>
      </c>
      <c r="DO270">
        <v>1</v>
      </c>
      <c r="DP270">
        <v>0.18659999999999999</v>
      </c>
      <c r="DQ270">
        <v>88</v>
      </c>
      <c r="DR270">
        <v>12000</v>
      </c>
    </row>
    <row r="271" spans="95:122" x14ac:dyDescent="0.25">
      <c r="CQ271" t="s">
        <v>636</v>
      </c>
      <c r="CR271" t="s">
        <v>124</v>
      </c>
      <c r="CS271" t="s">
        <v>174</v>
      </c>
      <c r="CT271">
        <v>46056</v>
      </c>
      <c r="CU271">
        <v>1</v>
      </c>
      <c r="CV271">
        <v>1</v>
      </c>
      <c r="CX271">
        <v>1</v>
      </c>
      <c r="CZ271">
        <v>3.4722222222222222E-5</v>
      </c>
      <c r="DA271">
        <v>3.4722222222222222E-5</v>
      </c>
      <c r="DB271">
        <v>0.12087962962962963</v>
      </c>
      <c r="DC271">
        <v>3.3865740740740738E-2</v>
      </c>
      <c r="DD271">
        <v>175</v>
      </c>
      <c r="DE271">
        <v>206</v>
      </c>
      <c r="DF271">
        <v>21</v>
      </c>
      <c r="DG271" t="s">
        <v>752</v>
      </c>
      <c r="DH271">
        <v>10047</v>
      </c>
      <c r="DI271">
        <v>0.12</v>
      </c>
      <c r="DQ271">
        <v>86</v>
      </c>
    </row>
    <row r="272" spans="95:122" x14ac:dyDescent="0.25">
      <c r="CQ272" t="s">
        <v>636</v>
      </c>
      <c r="CR272" t="s">
        <v>124</v>
      </c>
      <c r="CS272" t="s">
        <v>174</v>
      </c>
      <c r="CT272">
        <v>46059</v>
      </c>
      <c r="CU272">
        <v>1</v>
      </c>
      <c r="CV272">
        <v>1</v>
      </c>
      <c r="CX272">
        <v>1</v>
      </c>
      <c r="CZ272">
        <v>1.1574074074074073E-5</v>
      </c>
      <c r="DA272">
        <v>1.1574074074074073E-5</v>
      </c>
      <c r="DB272">
        <v>4.1076388888888891E-2</v>
      </c>
      <c r="DC272">
        <v>3.8553240740740742E-2</v>
      </c>
      <c r="DD272">
        <v>317</v>
      </c>
      <c r="DE272">
        <v>377</v>
      </c>
      <c r="DF272">
        <v>34</v>
      </c>
      <c r="DG272" t="s">
        <v>782</v>
      </c>
      <c r="DH272">
        <v>13568</v>
      </c>
      <c r="DI272">
        <v>0.10730000000000001</v>
      </c>
      <c r="DJ272">
        <v>1</v>
      </c>
      <c r="DK272">
        <v>2.9399999999999999E-2</v>
      </c>
      <c r="DL272">
        <v>200</v>
      </c>
      <c r="DM272">
        <v>200</v>
      </c>
      <c r="DN272">
        <v>200</v>
      </c>
      <c r="DO272">
        <v>1</v>
      </c>
      <c r="DQ272">
        <v>86</v>
      </c>
      <c r="DR272">
        <v>200</v>
      </c>
    </row>
    <row r="273" spans="95:122" x14ac:dyDescent="0.25">
      <c r="CQ273" t="s">
        <v>636</v>
      </c>
      <c r="CR273" t="s">
        <v>124</v>
      </c>
      <c r="CS273" t="s">
        <v>174</v>
      </c>
      <c r="CT273">
        <v>46064</v>
      </c>
      <c r="CU273">
        <v>1</v>
      </c>
      <c r="CV273">
        <v>1</v>
      </c>
      <c r="CX273">
        <v>1</v>
      </c>
      <c r="CZ273">
        <v>1.1574074074074073E-5</v>
      </c>
      <c r="DA273">
        <v>1.1574074074074073E-5</v>
      </c>
      <c r="DB273">
        <v>6.8043981481481483E-2</v>
      </c>
      <c r="DC273">
        <v>2.4259259259259258E-2</v>
      </c>
      <c r="DD273">
        <v>174</v>
      </c>
      <c r="DE273">
        <v>238</v>
      </c>
      <c r="DF273">
        <v>25</v>
      </c>
      <c r="DG273">
        <v>2.04</v>
      </c>
      <c r="DH273">
        <v>15661</v>
      </c>
      <c r="DI273">
        <v>0.14369999999999999</v>
      </c>
      <c r="DJ273">
        <v>2</v>
      </c>
      <c r="DK273">
        <v>0.08</v>
      </c>
      <c r="DL273">
        <v>1550</v>
      </c>
      <c r="DM273">
        <v>775</v>
      </c>
      <c r="DN273">
        <v>1250</v>
      </c>
      <c r="DO273">
        <v>0.80649999999999999</v>
      </c>
      <c r="DQ273">
        <v>86</v>
      </c>
      <c r="DR273">
        <v>1250</v>
      </c>
    </row>
    <row r="274" spans="95:122" x14ac:dyDescent="0.25">
      <c r="CQ274" t="s">
        <v>636</v>
      </c>
      <c r="CR274" t="s">
        <v>124</v>
      </c>
      <c r="CS274" t="s">
        <v>41</v>
      </c>
      <c r="CT274">
        <v>46073</v>
      </c>
      <c r="CU274">
        <v>1</v>
      </c>
      <c r="CV274">
        <v>1</v>
      </c>
      <c r="CZ274">
        <v>0</v>
      </c>
      <c r="DA274">
        <v>0</v>
      </c>
      <c r="DB274">
        <v>0</v>
      </c>
      <c r="DC274">
        <v>0</v>
      </c>
      <c r="DQ274">
        <v>86</v>
      </c>
    </row>
    <row r="275" spans="95:122" x14ac:dyDescent="0.25">
      <c r="CQ275" t="s">
        <v>636</v>
      </c>
      <c r="CR275" t="s">
        <v>124</v>
      </c>
      <c r="CS275" t="s">
        <v>40</v>
      </c>
      <c r="CT275">
        <v>46056</v>
      </c>
      <c r="CU275">
        <v>1</v>
      </c>
      <c r="CV275">
        <v>1</v>
      </c>
      <c r="CX275">
        <v>1</v>
      </c>
      <c r="CZ275">
        <v>5.5555555555555556E-4</v>
      </c>
      <c r="DA275">
        <v>5.5555555555555556E-4</v>
      </c>
      <c r="DB275">
        <v>3.3009259259259259E-2</v>
      </c>
      <c r="DC275">
        <v>2.326388888888889E-2</v>
      </c>
      <c r="DD275">
        <v>54</v>
      </c>
      <c r="DE275">
        <v>91</v>
      </c>
      <c r="DF275">
        <v>18</v>
      </c>
      <c r="DG275" t="s">
        <v>755</v>
      </c>
      <c r="DH275">
        <v>6597</v>
      </c>
      <c r="DI275">
        <v>0.33329999999999999</v>
      </c>
      <c r="DQ275">
        <v>86</v>
      </c>
    </row>
    <row r="276" spans="95:122" x14ac:dyDescent="0.25">
      <c r="CQ276" t="s">
        <v>636</v>
      </c>
      <c r="CR276" t="s">
        <v>124</v>
      </c>
      <c r="CS276" t="s">
        <v>495</v>
      </c>
      <c r="CT276">
        <v>46066</v>
      </c>
      <c r="CU276">
        <v>1</v>
      </c>
      <c r="CV276">
        <v>1</v>
      </c>
      <c r="CX276">
        <v>1</v>
      </c>
      <c r="CZ276">
        <v>0</v>
      </c>
      <c r="DA276">
        <v>0</v>
      </c>
      <c r="DB276">
        <v>0.19241898148148148</v>
      </c>
      <c r="DC276">
        <v>0.23337962962962963</v>
      </c>
      <c r="DD276">
        <v>118</v>
      </c>
      <c r="DE276">
        <v>237</v>
      </c>
      <c r="DF276">
        <v>40</v>
      </c>
      <c r="DG276">
        <v>1.95</v>
      </c>
      <c r="DH276">
        <v>9849</v>
      </c>
      <c r="DI276">
        <v>0.33900000000000002</v>
      </c>
      <c r="DJ276">
        <v>2</v>
      </c>
      <c r="DK276">
        <v>0.05</v>
      </c>
      <c r="DL276">
        <v>1200</v>
      </c>
      <c r="DM276">
        <v>600</v>
      </c>
      <c r="DN276">
        <v>1200</v>
      </c>
      <c r="DO276">
        <v>1</v>
      </c>
      <c r="DP276">
        <v>0.1633</v>
      </c>
      <c r="DQ276">
        <v>86</v>
      </c>
      <c r="DR276">
        <v>600</v>
      </c>
    </row>
    <row r="277" spans="95:122" x14ac:dyDescent="0.25">
      <c r="CQ277" t="s">
        <v>636</v>
      </c>
      <c r="CR277" t="s">
        <v>124</v>
      </c>
      <c r="CS277" t="s">
        <v>495</v>
      </c>
      <c r="CT277">
        <v>46078</v>
      </c>
      <c r="CU277">
        <v>1</v>
      </c>
      <c r="CV277">
        <v>1</v>
      </c>
      <c r="CX277">
        <v>1</v>
      </c>
      <c r="CZ277">
        <v>1.5046296296296297E-4</v>
      </c>
      <c r="DA277">
        <v>1.5046296296296297E-4</v>
      </c>
      <c r="DB277">
        <v>0.15303240740740739</v>
      </c>
      <c r="DC277">
        <v>0.18559027777777778</v>
      </c>
      <c r="DD277">
        <v>113</v>
      </c>
      <c r="DE277">
        <v>228</v>
      </c>
      <c r="DF277">
        <v>28</v>
      </c>
      <c r="DG277" t="s">
        <v>705</v>
      </c>
      <c r="DH277">
        <v>15626</v>
      </c>
      <c r="DI277">
        <v>0.24779999999999999</v>
      </c>
      <c r="DJ277">
        <v>1</v>
      </c>
      <c r="DK277">
        <v>3.5700000000000003E-2</v>
      </c>
      <c r="DL277">
        <v>800</v>
      </c>
      <c r="DM277">
        <v>800</v>
      </c>
      <c r="DN277">
        <v>800</v>
      </c>
      <c r="DO277">
        <v>1</v>
      </c>
      <c r="DP277">
        <v>0.1021</v>
      </c>
      <c r="DQ277">
        <v>86</v>
      </c>
      <c r="DR277">
        <v>800</v>
      </c>
    </row>
    <row r="278" spans="95:122" x14ac:dyDescent="0.25">
      <c r="CQ278" t="s">
        <v>636</v>
      </c>
      <c r="CR278" t="s">
        <v>124</v>
      </c>
      <c r="CS278" t="s">
        <v>493</v>
      </c>
      <c r="CT278">
        <v>46059</v>
      </c>
      <c r="CU278">
        <v>1</v>
      </c>
      <c r="CV278">
        <v>1</v>
      </c>
      <c r="CX278">
        <v>1</v>
      </c>
      <c r="CZ278">
        <v>0</v>
      </c>
      <c r="DA278">
        <v>0</v>
      </c>
      <c r="DB278">
        <v>1.4317129629629629E-2</v>
      </c>
      <c r="DC278">
        <v>4.7685185185185183E-3</v>
      </c>
      <c r="DD278">
        <v>177</v>
      </c>
      <c r="DE278">
        <v>256</v>
      </c>
      <c r="DF278">
        <v>42</v>
      </c>
      <c r="DG278" t="s">
        <v>703</v>
      </c>
      <c r="DH278">
        <v>8349</v>
      </c>
      <c r="DI278">
        <v>0.23730000000000001</v>
      </c>
      <c r="DJ278">
        <v>1</v>
      </c>
      <c r="DK278">
        <v>2.3800000000000002E-2</v>
      </c>
      <c r="DL278">
        <v>500</v>
      </c>
      <c r="DM278">
        <v>500</v>
      </c>
      <c r="DN278">
        <v>500</v>
      </c>
      <c r="DO278">
        <v>1</v>
      </c>
      <c r="DP278">
        <v>0.1769</v>
      </c>
      <c r="DQ278">
        <v>86</v>
      </c>
      <c r="DR278">
        <v>500</v>
      </c>
    </row>
    <row r="279" spans="95:122" x14ac:dyDescent="0.25">
      <c r="CQ279" t="s">
        <v>636</v>
      </c>
      <c r="CR279" t="s">
        <v>124</v>
      </c>
      <c r="CS279" t="s">
        <v>493</v>
      </c>
      <c r="CT279">
        <v>46071</v>
      </c>
      <c r="CU279">
        <v>1</v>
      </c>
      <c r="CV279">
        <v>1</v>
      </c>
      <c r="CX279">
        <v>1</v>
      </c>
      <c r="CZ279">
        <v>9.3749999999999997E-4</v>
      </c>
      <c r="DA279">
        <v>9.3749999999999997E-4</v>
      </c>
      <c r="DB279">
        <v>0.22141203703703705</v>
      </c>
      <c r="DC279">
        <v>0.10577546296296296</v>
      </c>
      <c r="DD279">
        <v>179</v>
      </c>
      <c r="DE279">
        <v>221</v>
      </c>
      <c r="DF279">
        <v>37</v>
      </c>
      <c r="DG279" t="s">
        <v>1100</v>
      </c>
      <c r="DH279">
        <v>16434</v>
      </c>
      <c r="DI279">
        <v>0.20669999999999999</v>
      </c>
      <c r="DJ279">
        <v>1</v>
      </c>
      <c r="DK279">
        <v>2.7E-2</v>
      </c>
      <c r="DL279">
        <v>300</v>
      </c>
      <c r="DM279">
        <v>300</v>
      </c>
      <c r="DN279">
        <v>300</v>
      </c>
      <c r="DO279">
        <v>1</v>
      </c>
      <c r="DP279">
        <v>0.70609999999999995</v>
      </c>
      <c r="DQ279">
        <v>86</v>
      </c>
      <c r="DR279">
        <v>300</v>
      </c>
    </row>
    <row r="280" spans="95:122" x14ac:dyDescent="0.25">
      <c r="CQ280" t="s">
        <v>636</v>
      </c>
      <c r="CR280" t="s">
        <v>124</v>
      </c>
      <c r="CS280" t="s">
        <v>51</v>
      </c>
      <c r="CT280">
        <v>46056</v>
      </c>
      <c r="CU280">
        <v>1</v>
      </c>
      <c r="CV280">
        <v>1</v>
      </c>
      <c r="CX280">
        <v>1</v>
      </c>
      <c r="CZ280">
        <v>0</v>
      </c>
      <c r="DA280">
        <v>0</v>
      </c>
      <c r="DB280">
        <v>5.5208333333333331E-2</v>
      </c>
      <c r="DC280">
        <v>4.0625000000000001E-3</v>
      </c>
      <c r="DD280">
        <v>93</v>
      </c>
      <c r="DE280">
        <v>154</v>
      </c>
      <c r="DF280">
        <v>8</v>
      </c>
      <c r="DG280">
        <v>1.875</v>
      </c>
      <c r="DH280">
        <v>20098</v>
      </c>
      <c r="DI280">
        <v>8.5999999999999993E-2</v>
      </c>
      <c r="DQ280">
        <v>86</v>
      </c>
    </row>
    <row r="281" spans="95:122" x14ac:dyDescent="0.25">
      <c r="CQ281" t="s">
        <v>636</v>
      </c>
      <c r="CR281" t="s">
        <v>124</v>
      </c>
      <c r="CS281" t="s">
        <v>51</v>
      </c>
      <c r="CT281">
        <v>46073</v>
      </c>
      <c r="CU281">
        <v>1</v>
      </c>
      <c r="CV281">
        <v>1</v>
      </c>
      <c r="CW281">
        <v>1</v>
      </c>
      <c r="CZ281">
        <v>8.9814814814814809E-3</v>
      </c>
      <c r="DA281">
        <v>8.9814814814814809E-3</v>
      </c>
      <c r="DB281">
        <v>0.19510416666666666</v>
      </c>
      <c r="DC281">
        <v>8.0694444444444444E-2</v>
      </c>
      <c r="DD281">
        <v>82</v>
      </c>
      <c r="DE281">
        <v>160</v>
      </c>
      <c r="DF281">
        <v>12</v>
      </c>
      <c r="DG281" t="s">
        <v>674</v>
      </c>
      <c r="DH281">
        <v>18447</v>
      </c>
      <c r="DI281">
        <v>0.14630000000000001</v>
      </c>
      <c r="DQ281">
        <v>86</v>
      </c>
    </row>
    <row r="282" spans="95:122" x14ac:dyDescent="0.25">
      <c r="CQ282" t="s">
        <v>636</v>
      </c>
      <c r="CR282" t="s">
        <v>124</v>
      </c>
      <c r="CS282" t="s">
        <v>49</v>
      </c>
      <c r="CT282">
        <v>46056</v>
      </c>
      <c r="CU282">
        <v>1</v>
      </c>
      <c r="CV282">
        <v>1</v>
      </c>
      <c r="CX282">
        <v>1</v>
      </c>
      <c r="CZ282">
        <v>0</v>
      </c>
      <c r="DA282">
        <v>0</v>
      </c>
      <c r="DB282">
        <v>2.2233796296296297E-2</v>
      </c>
      <c r="DC282">
        <v>2.5891203703703704E-2</v>
      </c>
      <c r="DD282">
        <v>43</v>
      </c>
      <c r="DE282">
        <v>56</v>
      </c>
      <c r="DF282">
        <v>9</v>
      </c>
      <c r="DG282" t="s">
        <v>767</v>
      </c>
      <c r="DH282">
        <v>8441</v>
      </c>
      <c r="DI282">
        <v>0.20930000000000001</v>
      </c>
      <c r="DQ282">
        <v>86</v>
      </c>
    </row>
    <row r="283" spans="95:122" x14ac:dyDescent="0.25">
      <c r="CQ283" t="s">
        <v>636</v>
      </c>
      <c r="CR283" t="s">
        <v>124</v>
      </c>
      <c r="CS283" t="s">
        <v>549</v>
      </c>
      <c r="CT283">
        <v>46070</v>
      </c>
      <c r="CU283">
        <v>1</v>
      </c>
      <c r="CV283">
        <v>1</v>
      </c>
      <c r="CX283">
        <v>1</v>
      </c>
      <c r="CZ283">
        <v>0</v>
      </c>
      <c r="DA283">
        <v>0</v>
      </c>
      <c r="DB283">
        <v>0.21068287037037037</v>
      </c>
      <c r="DC283">
        <v>0.13672453703703705</v>
      </c>
      <c r="DD283">
        <v>175</v>
      </c>
      <c r="DE283">
        <v>279</v>
      </c>
      <c r="DF283">
        <v>28</v>
      </c>
      <c r="DG283" t="s">
        <v>796</v>
      </c>
      <c r="DH283">
        <v>17138</v>
      </c>
      <c r="DI283">
        <v>0.16</v>
      </c>
      <c r="DJ283">
        <v>1</v>
      </c>
      <c r="DK283">
        <v>3.5700000000000003E-2</v>
      </c>
      <c r="DL283">
        <v>420</v>
      </c>
      <c r="DM283">
        <v>420</v>
      </c>
      <c r="DN283">
        <v>420</v>
      </c>
      <c r="DO283">
        <v>1</v>
      </c>
      <c r="DP283">
        <v>0.52890000000000004</v>
      </c>
      <c r="DQ283">
        <v>86</v>
      </c>
      <c r="DR283">
        <v>420</v>
      </c>
    </row>
    <row r="284" spans="95:122" x14ac:dyDescent="0.25">
      <c r="CQ284" t="s">
        <v>636</v>
      </c>
      <c r="CR284" t="s">
        <v>124</v>
      </c>
      <c r="CS284" t="s">
        <v>549</v>
      </c>
      <c r="CT284">
        <v>46081</v>
      </c>
      <c r="CU284">
        <v>1</v>
      </c>
      <c r="CV284">
        <v>1</v>
      </c>
      <c r="CW284">
        <v>1</v>
      </c>
      <c r="CZ284">
        <v>1.0416666666666666E-2</v>
      </c>
      <c r="DA284">
        <v>1.0416666666666666E-2</v>
      </c>
      <c r="DB284">
        <v>9.4861111111111104E-2</v>
      </c>
      <c r="DC284">
        <v>8.5081018518518514E-2</v>
      </c>
      <c r="DD284">
        <v>82</v>
      </c>
      <c r="DE284">
        <v>132</v>
      </c>
      <c r="DF284">
        <v>20</v>
      </c>
      <c r="DG284">
        <v>1.65</v>
      </c>
      <c r="DH284">
        <v>21898</v>
      </c>
      <c r="DI284">
        <v>0.24390000000000001</v>
      </c>
      <c r="DJ284">
        <v>1</v>
      </c>
      <c r="DK284">
        <v>0.05</v>
      </c>
      <c r="DL284">
        <v>220</v>
      </c>
      <c r="DM284">
        <v>220</v>
      </c>
      <c r="DN284">
        <v>220</v>
      </c>
      <c r="DO284">
        <v>1</v>
      </c>
      <c r="DP284">
        <v>0.54879999999999995</v>
      </c>
      <c r="DQ284">
        <v>86</v>
      </c>
      <c r="DR284">
        <v>220</v>
      </c>
    </row>
    <row r="285" spans="95:122" x14ac:dyDescent="0.25">
      <c r="CQ285" t="s">
        <v>636</v>
      </c>
      <c r="CR285" t="s">
        <v>124</v>
      </c>
      <c r="CS285" t="s">
        <v>77</v>
      </c>
      <c r="CT285">
        <v>46056</v>
      </c>
      <c r="CU285">
        <v>1</v>
      </c>
      <c r="CV285">
        <v>1</v>
      </c>
      <c r="CX285">
        <v>1</v>
      </c>
      <c r="CZ285">
        <v>0</v>
      </c>
      <c r="DA285">
        <v>0</v>
      </c>
      <c r="DB285">
        <v>5.0520833333333334E-2</v>
      </c>
      <c r="DC285">
        <v>2.7303240740740739E-2</v>
      </c>
      <c r="DD285">
        <v>88</v>
      </c>
      <c r="DE285">
        <v>156</v>
      </c>
      <c r="DF285">
        <v>24</v>
      </c>
      <c r="DG285" t="s">
        <v>949</v>
      </c>
      <c r="DH285">
        <v>12409</v>
      </c>
      <c r="DI285">
        <v>0.2727</v>
      </c>
      <c r="DQ285">
        <v>86</v>
      </c>
    </row>
    <row r="286" spans="95:122" x14ac:dyDescent="0.25">
      <c r="CQ286" t="s">
        <v>636</v>
      </c>
      <c r="CR286" t="s">
        <v>124</v>
      </c>
      <c r="CS286" t="s">
        <v>55</v>
      </c>
      <c r="CT286">
        <v>46071</v>
      </c>
      <c r="CU286">
        <v>1</v>
      </c>
      <c r="CV286">
        <v>1</v>
      </c>
      <c r="CX286">
        <v>1</v>
      </c>
      <c r="CZ286">
        <v>3.4722222222222222E-5</v>
      </c>
      <c r="DA286">
        <v>3.4722222222222222E-5</v>
      </c>
      <c r="DB286">
        <v>0.21648148148148147</v>
      </c>
      <c r="DC286">
        <v>0.13745370370370372</v>
      </c>
      <c r="DD286">
        <v>168</v>
      </c>
      <c r="DE286">
        <v>266</v>
      </c>
      <c r="DF286">
        <v>30</v>
      </c>
      <c r="DG286" t="s">
        <v>810</v>
      </c>
      <c r="DH286">
        <v>18945</v>
      </c>
      <c r="DI286">
        <v>0.17860000000000001</v>
      </c>
      <c r="DJ286">
        <v>2</v>
      </c>
      <c r="DK286">
        <v>6.6699999999999995E-2</v>
      </c>
      <c r="DL286">
        <v>320</v>
      </c>
      <c r="DM286">
        <v>160</v>
      </c>
      <c r="DN286">
        <v>200</v>
      </c>
      <c r="DO286">
        <v>0.625</v>
      </c>
      <c r="DP286">
        <v>0.18709999999999999</v>
      </c>
      <c r="DQ286">
        <v>86</v>
      </c>
      <c r="DR286">
        <v>200</v>
      </c>
    </row>
    <row r="287" spans="95:122" x14ac:dyDescent="0.25">
      <c r="CQ287" t="s">
        <v>636</v>
      </c>
      <c r="CR287" t="s">
        <v>124</v>
      </c>
      <c r="CS287" t="s">
        <v>544</v>
      </c>
      <c r="CT287">
        <v>46056</v>
      </c>
      <c r="CU287">
        <v>1</v>
      </c>
      <c r="CV287">
        <v>1</v>
      </c>
      <c r="CX287">
        <v>1</v>
      </c>
      <c r="CZ287">
        <v>0</v>
      </c>
      <c r="DA287">
        <v>0</v>
      </c>
      <c r="DB287">
        <v>0.16846064814814815</v>
      </c>
      <c r="DC287">
        <v>1.269675925925926E-2</v>
      </c>
      <c r="DD287">
        <v>95</v>
      </c>
      <c r="DE287">
        <v>139</v>
      </c>
      <c r="DF287">
        <v>29</v>
      </c>
      <c r="DG287" t="s">
        <v>881</v>
      </c>
      <c r="DH287">
        <v>9031</v>
      </c>
      <c r="DI287">
        <v>0.30530000000000002</v>
      </c>
      <c r="DQ287">
        <v>86</v>
      </c>
    </row>
    <row r="288" spans="95:122" x14ac:dyDescent="0.25">
      <c r="CQ288" t="s">
        <v>636</v>
      </c>
      <c r="CR288" t="s">
        <v>124</v>
      </c>
      <c r="CS288" t="s">
        <v>544</v>
      </c>
      <c r="CT288">
        <v>46073</v>
      </c>
      <c r="CU288">
        <v>1</v>
      </c>
      <c r="CV288">
        <v>1</v>
      </c>
      <c r="CY288">
        <v>1</v>
      </c>
      <c r="CZ288">
        <v>0</v>
      </c>
      <c r="DA288">
        <v>0</v>
      </c>
      <c r="DB288">
        <v>0</v>
      </c>
      <c r="DC288">
        <v>0</v>
      </c>
      <c r="DQ288">
        <v>86</v>
      </c>
    </row>
    <row r="289" spans="95:122" x14ac:dyDescent="0.25">
      <c r="CQ289" t="s">
        <v>636</v>
      </c>
      <c r="CR289" t="s">
        <v>124</v>
      </c>
      <c r="CS289" t="s">
        <v>557</v>
      </c>
      <c r="CT289">
        <v>46073</v>
      </c>
      <c r="CU289">
        <v>1</v>
      </c>
      <c r="CV289">
        <v>1</v>
      </c>
      <c r="CY289">
        <v>1</v>
      </c>
      <c r="CZ289">
        <v>0</v>
      </c>
      <c r="DA289">
        <v>0</v>
      </c>
      <c r="DB289">
        <v>0</v>
      </c>
      <c r="DC289">
        <v>0</v>
      </c>
      <c r="DQ289">
        <v>86</v>
      </c>
    </row>
    <row r="290" spans="95:122" x14ac:dyDescent="0.25">
      <c r="CQ290" t="s">
        <v>636</v>
      </c>
      <c r="CR290" t="s">
        <v>124</v>
      </c>
      <c r="CS290" t="s">
        <v>48</v>
      </c>
      <c r="CT290">
        <v>46056</v>
      </c>
      <c r="CU290">
        <v>1</v>
      </c>
      <c r="CV290">
        <v>1</v>
      </c>
      <c r="CX290">
        <v>1</v>
      </c>
      <c r="CZ290">
        <v>3.4722222222222222E-5</v>
      </c>
      <c r="DA290">
        <v>3.4722222222222222E-5</v>
      </c>
      <c r="DB290">
        <v>0.13097222222222221</v>
      </c>
      <c r="DC290">
        <v>5.7511574074074076E-2</v>
      </c>
      <c r="DD290">
        <v>64</v>
      </c>
      <c r="DE290">
        <v>87</v>
      </c>
      <c r="DF290">
        <v>18</v>
      </c>
      <c r="DG290" t="s">
        <v>715</v>
      </c>
      <c r="DH290">
        <v>14389</v>
      </c>
      <c r="DI290">
        <v>0.28129999999999999</v>
      </c>
      <c r="DQ290">
        <v>86</v>
      </c>
    </row>
    <row r="291" spans="95:122" x14ac:dyDescent="0.25">
      <c r="CQ291" t="s">
        <v>636</v>
      </c>
      <c r="CR291" t="s">
        <v>124</v>
      </c>
      <c r="CS291" t="s">
        <v>48</v>
      </c>
      <c r="CT291">
        <v>46073</v>
      </c>
      <c r="CU291">
        <v>1</v>
      </c>
      <c r="CV291">
        <v>1</v>
      </c>
      <c r="CW291">
        <v>1</v>
      </c>
      <c r="CZ291">
        <v>1.5787037037037037E-2</v>
      </c>
      <c r="DA291">
        <v>1.5787037037037037E-2</v>
      </c>
      <c r="DB291">
        <v>0.1791550925925926</v>
      </c>
      <c r="DC291">
        <v>0.14686342592592594</v>
      </c>
      <c r="DD291">
        <v>103</v>
      </c>
      <c r="DE291">
        <v>131</v>
      </c>
      <c r="DF291">
        <v>16</v>
      </c>
      <c r="DG291">
        <v>1.4375</v>
      </c>
      <c r="DH291">
        <v>22716</v>
      </c>
      <c r="DI291">
        <v>0.15529999999999999</v>
      </c>
      <c r="DQ291">
        <v>86</v>
      </c>
    </row>
    <row r="292" spans="95:122" x14ac:dyDescent="0.25">
      <c r="CQ292" t="s">
        <v>636</v>
      </c>
      <c r="CR292" t="s">
        <v>125</v>
      </c>
      <c r="CS292" t="s">
        <v>18</v>
      </c>
      <c r="CT292">
        <v>46062</v>
      </c>
      <c r="CU292">
        <v>1</v>
      </c>
      <c r="CV292">
        <v>1</v>
      </c>
      <c r="CX292">
        <v>1</v>
      </c>
      <c r="CZ292">
        <v>3.4722222222222222E-5</v>
      </c>
      <c r="DA292">
        <v>3.4722222222222222E-5</v>
      </c>
      <c r="DB292">
        <v>2.4340277777777777E-2</v>
      </c>
      <c r="DC292">
        <v>3.2870370370370371E-3</v>
      </c>
      <c r="DD292">
        <v>127</v>
      </c>
      <c r="DE292">
        <v>261</v>
      </c>
      <c r="DF292">
        <v>19</v>
      </c>
      <c r="DG292" t="s">
        <v>921</v>
      </c>
      <c r="DH292">
        <v>33957</v>
      </c>
      <c r="DI292">
        <v>0.14960000000000001</v>
      </c>
      <c r="DJ292">
        <v>1</v>
      </c>
      <c r="DK292">
        <v>5.2600000000000001E-2</v>
      </c>
      <c r="DL292">
        <v>6340</v>
      </c>
      <c r="DM292">
        <v>6340</v>
      </c>
      <c r="DN292">
        <v>6340</v>
      </c>
      <c r="DO292">
        <v>1</v>
      </c>
      <c r="DP292">
        <v>0.1842</v>
      </c>
      <c r="DQ292">
        <v>86</v>
      </c>
      <c r="DR292">
        <v>6340</v>
      </c>
    </row>
    <row r="293" spans="95:122" x14ac:dyDescent="0.25">
      <c r="CQ293" t="s">
        <v>636</v>
      </c>
      <c r="CR293" t="s">
        <v>125</v>
      </c>
      <c r="CS293" t="s">
        <v>109</v>
      </c>
      <c r="CT293">
        <v>46079</v>
      </c>
      <c r="CU293">
        <v>1</v>
      </c>
      <c r="CV293">
        <v>1</v>
      </c>
      <c r="CW293">
        <v>1</v>
      </c>
      <c r="CZ293">
        <v>6.1342592592592594E-3</v>
      </c>
      <c r="DA293">
        <v>6.1342592592592594E-3</v>
      </c>
      <c r="DB293">
        <v>0.1882523148148148</v>
      </c>
      <c r="DC293">
        <v>0.16391203703703705</v>
      </c>
      <c r="DD293">
        <v>59</v>
      </c>
      <c r="DE293">
        <v>151</v>
      </c>
      <c r="DF293">
        <v>18</v>
      </c>
      <c r="DG293" t="s">
        <v>690</v>
      </c>
      <c r="DH293">
        <v>28223</v>
      </c>
      <c r="DI293">
        <v>0.30509999999999998</v>
      </c>
      <c r="DJ293">
        <v>2</v>
      </c>
      <c r="DK293">
        <v>0.1111</v>
      </c>
      <c r="DL293">
        <v>3450</v>
      </c>
      <c r="DM293">
        <v>1725</v>
      </c>
      <c r="DN293">
        <v>3450</v>
      </c>
      <c r="DO293">
        <v>1</v>
      </c>
      <c r="DP293">
        <v>0.1041</v>
      </c>
      <c r="DQ293">
        <v>86</v>
      </c>
      <c r="DR293">
        <v>1725</v>
      </c>
    </row>
    <row r="294" spans="95:122" x14ac:dyDescent="0.25">
      <c r="CQ294" t="s">
        <v>636</v>
      </c>
      <c r="CR294" t="s">
        <v>125</v>
      </c>
      <c r="CS294" t="s">
        <v>60</v>
      </c>
      <c r="CT294">
        <v>46076</v>
      </c>
      <c r="CU294">
        <v>1</v>
      </c>
      <c r="CV294">
        <v>1</v>
      </c>
      <c r="CX294">
        <v>1</v>
      </c>
      <c r="CZ294">
        <v>4.6296296296296294E-5</v>
      </c>
      <c r="DA294">
        <v>4.6296296296296294E-5</v>
      </c>
      <c r="DB294">
        <v>0.19594907407407408</v>
      </c>
      <c r="DC294">
        <v>0.12693287037037038</v>
      </c>
      <c r="DD294">
        <v>100</v>
      </c>
      <c r="DE294">
        <v>173</v>
      </c>
      <c r="DF294">
        <v>13</v>
      </c>
      <c r="DG294" t="s">
        <v>843</v>
      </c>
      <c r="DH294">
        <v>30220</v>
      </c>
      <c r="DI294">
        <v>0.13</v>
      </c>
      <c r="DJ294">
        <v>1</v>
      </c>
      <c r="DK294">
        <v>7.6899999999999996E-2</v>
      </c>
      <c r="DL294">
        <v>420</v>
      </c>
      <c r="DM294">
        <v>420</v>
      </c>
      <c r="DN294">
        <v>420</v>
      </c>
      <c r="DO294">
        <v>1</v>
      </c>
      <c r="DQ294">
        <v>86</v>
      </c>
      <c r="DR294">
        <v>420</v>
      </c>
    </row>
    <row r="295" spans="95:122" x14ac:dyDescent="0.25">
      <c r="CQ295" t="s">
        <v>636</v>
      </c>
      <c r="CR295" t="s">
        <v>125</v>
      </c>
      <c r="CS295" t="s">
        <v>61</v>
      </c>
      <c r="CT295">
        <v>46055</v>
      </c>
      <c r="CU295">
        <v>1</v>
      </c>
      <c r="CV295">
        <v>1</v>
      </c>
      <c r="CX295">
        <v>1</v>
      </c>
      <c r="CZ295">
        <v>2.8703703703703703E-3</v>
      </c>
      <c r="DA295">
        <v>2.8703703703703703E-3</v>
      </c>
      <c r="DB295">
        <v>1.8206018518518517E-2</v>
      </c>
      <c r="DC295">
        <v>8.2986111111111108E-3</v>
      </c>
      <c r="DD295">
        <v>63</v>
      </c>
      <c r="DE295">
        <v>159</v>
      </c>
      <c r="DF295">
        <v>9</v>
      </c>
      <c r="DG295" t="s">
        <v>697</v>
      </c>
      <c r="DH295">
        <v>33036</v>
      </c>
      <c r="DI295">
        <v>0.1429</v>
      </c>
      <c r="DJ295">
        <v>3</v>
      </c>
      <c r="DK295">
        <v>0.33329999999999999</v>
      </c>
      <c r="DL295">
        <v>1988</v>
      </c>
      <c r="DM295">
        <v>663</v>
      </c>
      <c r="DN295">
        <v>1988</v>
      </c>
      <c r="DO295">
        <v>1</v>
      </c>
      <c r="DQ295">
        <v>86</v>
      </c>
      <c r="DR295">
        <v>663</v>
      </c>
    </row>
    <row r="296" spans="95:122" x14ac:dyDescent="0.25">
      <c r="CQ296" t="s">
        <v>636</v>
      </c>
      <c r="CR296" t="s">
        <v>125</v>
      </c>
      <c r="CS296" t="s">
        <v>61</v>
      </c>
      <c r="CT296">
        <v>46064</v>
      </c>
      <c r="CU296">
        <v>1</v>
      </c>
      <c r="CV296">
        <v>1</v>
      </c>
      <c r="CX296">
        <v>1</v>
      </c>
      <c r="CZ296">
        <v>4.6296296296296294E-5</v>
      </c>
      <c r="DA296">
        <v>4.6296296296296294E-5</v>
      </c>
      <c r="DB296">
        <v>3.0312499999999999E-2</v>
      </c>
      <c r="DC296">
        <v>7.6967592592592591E-3</v>
      </c>
      <c r="DD296">
        <v>117</v>
      </c>
      <c r="DE296">
        <v>318</v>
      </c>
      <c r="DF296">
        <v>11</v>
      </c>
      <c r="DG296" t="s">
        <v>1007</v>
      </c>
      <c r="DH296">
        <v>40298</v>
      </c>
      <c r="DI296">
        <v>9.4E-2</v>
      </c>
      <c r="DJ296">
        <v>1</v>
      </c>
      <c r="DK296">
        <v>9.0899999999999995E-2</v>
      </c>
      <c r="DL296">
        <v>2000</v>
      </c>
      <c r="DM296">
        <v>2000</v>
      </c>
      <c r="DN296">
        <v>2000</v>
      </c>
      <c r="DO296">
        <v>1</v>
      </c>
      <c r="DP296">
        <v>0.4269</v>
      </c>
      <c r="DQ296">
        <v>86</v>
      </c>
      <c r="DR296">
        <v>2000</v>
      </c>
    </row>
    <row r="297" spans="95:122" x14ac:dyDescent="0.25">
      <c r="CQ297" t="s">
        <v>636</v>
      </c>
      <c r="CR297" t="s">
        <v>125</v>
      </c>
      <c r="CS297" t="s">
        <v>12</v>
      </c>
      <c r="CT297">
        <v>46080</v>
      </c>
      <c r="CU297">
        <v>1</v>
      </c>
      <c r="CV297">
        <v>1</v>
      </c>
      <c r="CX297">
        <v>1</v>
      </c>
      <c r="CZ297">
        <v>2.199074074074074E-4</v>
      </c>
      <c r="DA297">
        <v>2.199074074074074E-4</v>
      </c>
      <c r="DB297">
        <v>0.2475</v>
      </c>
      <c r="DC297">
        <v>0.19349537037037037</v>
      </c>
      <c r="DD297">
        <v>73</v>
      </c>
      <c r="DE297">
        <v>231</v>
      </c>
      <c r="DF297">
        <v>16</v>
      </c>
      <c r="DG297">
        <v>1.6875</v>
      </c>
      <c r="DH297">
        <v>16151</v>
      </c>
      <c r="DI297">
        <v>0.21920000000000001</v>
      </c>
      <c r="DJ297">
        <v>1</v>
      </c>
      <c r="DK297">
        <v>6.25E-2</v>
      </c>
      <c r="DL297">
        <v>1800</v>
      </c>
      <c r="DM297">
        <v>1800</v>
      </c>
      <c r="DN297">
        <v>1800</v>
      </c>
      <c r="DO297">
        <v>1</v>
      </c>
      <c r="DP297">
        <v>0.30580000000000002</v>
      </c>
      <c r="DQ297">
        <v>86</v>
      </c>
      <c r="DR297">
        <v>1800</v>
      </c>
    </row>
    <row r="298" spans="95:122" x14ac:dyDescent="0.25">
      <c r="CQ298" t="s">
        <v>636</v>
      </c>
      <c r="CR298" t="s">
        <v>125</v>
      </c>
      <c r="CS298" t="s">
        <v>122</v>
      </c>
      <c r="CT298">
        <v>46056</v>
      </c>
      <c r="CU298">
        <v>1</v>
      </c>
      <c r="CV298">
        <v>1</v>
      </c>
      <c r="CW298">
        <v>1</v>
      </c>
      <c r="CZ298">
        <v>1.5752314814814816E-2</v>
      </c>
      <c r="DA298">
        <v>1.5752314814814816E-2</v>
      </c>
      <c r="DB298">
        <v>4.1643518518518517E-2</v>
      </c>
      <c r="DC298">
        <v>1.7847222222222223E-2</v>
      </c>
      <c r="DD298">
        <v>42</v>
      </c>
      <c r="DE298">
        <v>135</v>
      </c>
      <c r="DF298">
        <v>13</v>
      </c>
      <c r="DG298" t="s">
        <v>708</v>
      </c>
      <c r="DH298">
        <v>24630</v>
      </c>
      <c r="DI298">
        <v>0.3095</v>
      </c>
      <c r="DJ298">
        <v>2</v>
      </c>
      <c r="DK298">
        <v>0.15379999999999999</v>
      </c>
      <c r="DL298">
        <v>2860</v>
      </c>
      <c r="DM298">
        <v>1430</v>
      </c>
      <c r="DN298">
        <v>4580</v>
      </c>
      <c r="DO298">
        <v>1.6013999999999999</v>
      </c>
      <c r="DP298">
        <v>0.1245</v>
      </c>
      <c r="DQ298">
        <v>86</v>
      </c>
      <c r="DR298">
        <v>2290</v>
      </c>
    </row>
    <row r="299" spans="95:122" x14ac:dyDescent="0.25">
      <c r="CQ299" t="s">
        <v>636</v>
      </c>
      <c r="CR299" t="s">
        <v>125</v>
      </c>
      <c r="CS299" t="s">
        <v>122</v>
      </c>
      <c r="CT299">
        <v>46059</v>
      </c>
      <c r="CU299">
        <v>1</v>
      </c>
      <c r="CV299">
        <v>1</v>
      </c>
      <c r="CX299">
        <v>1</v>
      </c>
      <c r="CZ299">
        <v>2.2800925925925927E-3</v>
      </c>
      <c r="DA299">
        <v>2.2800925925925927E-3</v>
      </c>
      <c r="DB299">
        <v>6.0127314814814814E-2</v>
      </c>
      <c r="DC299">
        <v>1.5162037037037036E-2</v>
      </c>
      <c r="DD299">
        <v>44</v>
      </c>
      <c r="DE299">
        <v>160</v>
      </c>
      <c r="DF299">
        <v>11</v>
      </c>
      <c r="DG299" t="s">
        <v>943</v>
      </c>
      <c r="DH299">
        <v>67454</v>
      </c>
      <c r="DI299">
        <v>0.25</v>
      </c>
      <c r="DJ299">
        <v>1</v>
      </c>
      <c r="DK299">
        <v>9.0899999999999995E-2</v>
      </c>
      <c r="DL299">
        <v>1000</v>
      </c>
      <c r="DM299">
        <v>1000</v>
      </c>
      <c r="DN299">
        <v>1000</v>
      </c>
      <c r="DO299">
        <v>1</v>
      </c>
      <c r="DP299">
        <v>0.20610000000000001</v>
      </c>
      <c r="DQ299">
        <v>86</v>
      </c>
      <c r="DR299">
        <v>1000</v>
      </c>
    </row>
    <row r="300" spans="95:122" x14ac:dyDescent="0.25">
      <c r="CQ300" t="s">
        <v>636</v>
      </c>
      <c r="CR300" t="s">
        <v>125</v>
      </c>
      <c r="CS300" t="s">
        <v>75</v>
      </c>
      <c r="CT300">
        <v>46066</v>
      </c>
      <c r="CU300">
        <v>1</v>
      </c>
      <c r="CV300">
        <v>1</v>
      </c>
      <c r="CX300">
        <v>1</v>
      </c>
      <c r="CZ300">
        <v>2.199074074074074E-4</v>
      </c>
      <c r="DA300">
        <v>2.199074074074074E-4</v>
      </c>
      <c r="DB300">
        <v>0.15932870370370369</v>
      </c>
      <c r="DC300">
        <v>0.10881944444444444</v>
      </c>
      <c r="DD300">
        <v>68</v>
      </c>
      <c r="DE300">
        <v>151</v>
      </c>
      <c r="DF300">
        <v>17</v>
      </c>
      <c r="DG300" t="s">
        <v>686</v>
      </c>
      <c r="DH300">
        <v>49478</v>
      </c>
      <c r="DI300">
        <v>0.25</v>
      </c>
      <c r="DJ300">
        <v>1</v>
      </c>
      <c r="DK300">
        <v>5.8799999999999998E-2</v>
      </c>
      <c r="DL300">
        <v>1000</v>
      </c>
      <c r="DM300">
        <v>1000</v>
      </c>
      <c r="DN300">
        <v>1000</v>
      </c>
      <c r="DO300">
        <v>1</v>
      </c>
      <c r="DP300">
        <v>0.38469999999999999</v>
      </c>
      <c r="DQ300">
        <v>86</v>
      </c>
      <c r="DR300">
        <v>1000</v>
      </c>
    </row>
    <row r="301" spans="95:122" x14ac:dyDescent="0.25">
      <c r="CQ301" t="s">
        <v>636</v>
      </c>
      <c r="CR301" t="s">
        <v>2</v>
      </c>
      <c r="CS301" t="s">
        <v>38</v>
      </c>
      <c r="CT301">
        <v>46062</v>
      </c>
      <c r="CU301">
        <v>1</v>
      </c>
      <c r="CV301">
        <v>1</v>
      </c>
      <c r="CX301">
        <v>1</v>
      </c>
      <c r="CZ301">
        <v>1.6550925925925926E-3</v>
      </c>
      <c r="DA301">
        <v>1.6550925925925926E-3</v>
      </c>
      <c r="DB301">
        <v>3.8900462962962963E-2</v>
      </c>
      <c r="DC301">
        <v>6.7685185185185182E-2</v>
      </c>
      <c r="DD301">
        <v>78</v>
      </c>
      <c r="DE301">
        <v>110</v>
      </c>
      <c r="DF301">
        <v>21</v>
      </c>
      <c r="DG301" t="s">
        <v>817</v>
      </c>
      <c r="DH301">
        <v>32699</v>
      </c>
      <c r="DI301">
        <v>0.26919999999999999</v>
      </c>
      <c r="DJ301">
        <v>2</v>
      </c>
      <c r="DK301">
        <v>9.5200000000000007E-2</v>
      </c>
      <c r="DL301">
        <v>1400</v>
      </c>
      <c r="DM301">
        <v>700</v>
      </c>
      <c r="DN301">
        <v>900</v>
      </c>
      <c r="DO301">
        <v>0.64290000000000003</v>
      </c>
      <c r="DP301">
        <v>0.39290000000000003</v>
      </c>
      <c r="DQ301">
        <v>86</v>
      </c>
      <c r="DR301">
        <v>900</v>
      </c>
    </row>
    <row r="302" spans="95:122" x14ac:dyDescent="0.25">
      <c r="CQ302" t="s">
        <v>636</v>
      </c>
      <c r="CR302" t="s">
        <v>2</v>
      </c>
      <c r="CS302" t="s">
        <v>79</v>
      </c>
      <c r="CT302">
        <v>46065</v>
      </c>
      <c r="CU302">
        <v>1</v>
      </c>
      <c r="CV302">
        <v>1</v>
      </c>
      <c r="CX302">
        <v>1</v>
      </c>
      <c r="CZ302">
        <v>1.7361111111111112E-4</v>
      </c>
      <c r="DA302">
        <v>1.7361111111111112E-4</v>
      </c>
      <c r="DB302">
        <v>2.0104166666666666E-2</v>
      </c>
      <c r="DC302">
        <v>1.3078703703703703E-3</v>
      </c>
      <c r="DD302">
        <v>75</v>
      </c>
      <c r="DE302">
        <v>146</v>
      </c>
      <c r="DF302">
        <v>36</v>
      </c>
      <c r="DG302" t="s">
        <v>811</v>
      </c>
      <c r="DH302">
        <v>29480</v>
      </c>
      <c r="DI302">
        <v>0.48</v>
      </c>
      <c r="DJ302">
        <v>1</v>
      </c>
      <c r="DK302">
        <v>2.7799999999999998E-2</v>
      </c>
      <c r="DL302">
        <v>16620</v>
      </c>
      <c r="DM302">
        <v>16620</v>
      </c>
      <c r="DN302">
        <v>16620</v>
      </c>
      <c r="DO302">
        <v>1</v>
      </c>
      <c r="DQ302">
        <v>86</v>
      </c>
      <c r="DR302">
        <v>16620</v>
      </c>
    </row>
    <row r="303" spans="95:122" x14ac:dyDescent="0.25">
      <c r="CQ303" t="s">
        <v>636</v>
      </c>
      <c r="CR303" t="s">
        <v>6</v>
      </c>
      <c r="CS303" t="s">
        <v>19</v>
      </c>
      <c r="CT303">
        <v>46081</v>
      </c>
      <c r="CU303">
        <v>1</v>
      </c>
      <c r="CV303">
        <v>1</v>
      </c>
      <c r="CX303">
        <v>1</v>
      </c>
      <c r="CZ303">
        <v>0</v>
      </c>
      <c r="DA303">
        <v>0</v>
      </c>
      <c r="DB303">
        <v>0.1312962962962963</v>
      </c>
      <c r="DC303">
        <v>6.7974537037037042E-2</v>
      </c>
      <c r="DD303">
        <v>64</v>
      </c>
      <c r="DE303">
        <v>99</v>
      </c>
      <c r="DF303">
        <v>18</v>
      </c>
      <c r="DG303">
        <v>2</v>
      </c>
      <c r="DH303">
        <v>32753</v>
      </c>
      <c r="DI303">
        <v>0.28129999999999999</v>
      </c>
      <c r="DJ303">
        <v>1</v>
      </c>
      <c r="DK303">
        <v>5.5599999999999997E-2</v>
      </c>
      <c r="DL303">
        <v>1500</v>
      </c>
      <c r="DM303">
        <v>1500</v>
      </c>
      <c r="DN303">
        <v>1500</v>
      </c>
      <c r="DO303">
        <v>1</v>
      </c>
      <c r="DQ303">
        <v>86</v>
      </c>
      <c r="DR303">
        <v>1500</v>
      </c>
    </row>
    <row r="304" spans="95:122" x14ac:dyDescent="0.25">
      <c r="CQ304" t="s">
        <v>636</v>
      </c>
      <c r="CR304" t="s">
        <v>6</v>
      </c>
      <c r="CS304" t="s">
        <v>80</v>
      </c>
      <c r="CT304">
        <v>46065</v>
      </c>
      <c r="CU304">
        <v>1</v>
      </c>
      <c r="CV304">
        <v>1</v>
      </c>
      <c r="CX304">
        <v>1</v>
      </c>
      <c r="CZ304">
        <v>6.9444444444444444E-5</v>
      </c>
      <c r="DA304">
        <v>6.9444444444444444E-5</v>
      </c>
      <c r="DB304">
        <v>1.0046296296296296E-2</v>
      </c>
      <c r="DC304">
        <v>1.6747685185185185E-2</v>
      </c>
      <c r="DD304">
        <v>92</v>
      </c>
      <c r="DE304">
        <v>132</v>
      </c>
      <c r="DF304">
        <v>15</v>
      </c>
      <c r="DG304" t="s">
        <v>710</v>
      </c>
      <c r="DH304">
        <v>28578</v>
      </c>
      <c r="DI304">
        <v>0.16300000000000001</v>
      </c>
      <c r="DJ304">
        <v>1</v>
      </c>
      <c r="DK304">
        <v>6.6699999999999995E-2</v>
      </c>
      <c r="DL304">
        <v>600</v>
      </c>
      <c r="DM304">
        <v>600</v>
      </c>
      <c r="DN304">
        <v>600</v>
      </c>
      <c r="DO304">
        <v>1</v>
      </c>
      <c r="DP304">
        <v>0.25330000000000003</v>
      </c>
      <c r="DQ304">
        <v>86</v>
      </c>
      <c r="DR304">
        <v>600</v>
      </c>
    </row>
    <row r="305" spans="95:122" x14ac:dyDescent="0.25">
      <c r="CQ305" t="s">
        <v>636</v>
      </c>
      <c r="CR305" t="s">
        <v>6</v>
      </c>
      <c r="CS305" t="s">
        <v>81</v>
      </c>
      <c r="CT305">
        <v>46059</v>
      </c>
      <c r="CU305">
        <v>1</v>
      </c>
      <c r="CV305">
        <v>1</v>
      </c>
      <c r="CW305">
        <v>1</v>
      </c>
      <c r="CZ305">
        <v>5.8564814814814816E-3</v>
      </c>
      <c r="DA305">
        <v>5.8564814814814816E-3</v>
      </c>
      <c r="DB305">
        <v>1.1574074074074075E-4</v>
      </c>
      <c r="DC305">
        <v>8.564814814814815E-4</v>
      </c>
      <c r="DD305">
        <v>99</v>
      </c>
      <c r="DE305">
        <v>161</v>
      </c>
      <c r="DF305">
        <v>8</v>
      </c>
      <c r="DG305">
        <v>2.125</v>
      </c>
      <c r="DH305">
        <v>30141</v>
      </c>
      <c r="DI305">
        <v>8.0799999999999997E-2</v>
      </c>
      <c r="DJ305">
        <v>1</v>
      </c>
      <c r="DK305">
        <v>0.125</v>
      </c>
      <c r="DL305">
        <v>290</v>
      </c>
      <c r="DM305">
        <v>290</v>
      </c>
      <c r="DN305">
        <v>290</v>
      </c>
      <c r="DO305">
        <v>1</v>
      </c>
      <c r="DP305">
        <v>0.68889999999999996</v>
      </c>
      <c r="DQ305">
        <v>86</v>
      </c>
      <c r="DR305">
        <v>290</v>
      </c>
    </row>
    <row r="306" spans="95:122" x14ac:dyDescent="0.25">
      <c r="CQ306" t="s">
        <v>636</v>
      </c>
      <c r="CR306" t="s">
        <v>6</v>
      </c>
      <c r="CS306" t="s">
        <v>81</v>
      </c>
      <c r="CT306">
        <v>46065</v>
      </c>
      <c r="CU306">
        <v>1</v>
      </c>
      <c r="CV306">
        <v>1</v>
      </c>
      <c r="CX306">
        <v>1</v>
      </c>
      <c r="CZ306">
        <v>5.7870370370370373E-5</v>
      </c>
      <c r="DA306">
        <v>5.7870370370370373E-5</v>
      </c>
      <c r="DB306">
        <v>1.0613425925925925E-2</v>
      </c>
      <c r="DC306">
        <v>9.2476851851851852E-3</v>
      </c>
      <c r="DD306">
        <v>106</v>
      </c>
      <c r="DE306">
        <v>163</v>
      </c>
      <c r="DF306">
        <v>13</v>
      </c>
      <c r="DG306" t="s">
        <v>708</v>
      </c>
      <c r="DH306">
        <v>39491</v>
      </c>
      <c r="DI306">
        <v>0.1226</v>
      </c>
      <c r="DJ306">
        <v>1</v>
      </c>
      <c r="DK306">
        <v>7.6899999999999996E-2</v>
      </c>
      <c r="DL306">
        <v>80</v>
      </c>
      <c r="DM306">
        <v>80</v>
      </c>
      <c r="DN306">
        <v>80</v>
      </c>
      <c r="DO306">
        <v>1</v>
      </c>
      <c r="DP306">
        <v>0.47949999999999998</v>
      </c>
      <c r="DQ306">
        <v>86</v>
      </c>
      <c r="DR306">
        <v>80</v>
      </c>
    </row>
    <row r="307" spans="95:122" x14ac:dyDescent="0.25">
      <c r="CQ307" t="s">
        <v>636</v>
      </c>
      <c r="CR307" t="s">
        <v>6</v>
      </c>
      <c r="CS307" t="s">
        <v>35</v>
      </c>
      <c r="CT307">
        <v>46069</v>
      </c>
      <c r="CU307">
        <v>1</v>
      </c>
      <c r="CV307">
        <v>1</v>
      </c>
      <c r="CX307">
        <v>1</v>
      </c>
      <c r="CZ307">
        <v>1.3888888888888889E-4</v>
      </c>
      <c r="DA307">
        <v>1.3888888888888889E-4</v>
      </c>
      <c r="DB307">
        <v>0.10277777777777777</v>
      </c>
      <c r="DC307">
        <v>0.26998842592592592</v>
      </c>
      <c r="DD307">
        <v>35</v>
      </c>
      <c r="DE307">
        <v>68</v>
      </c>
      <c r="DF307">
        <v>13</v>
      </c>
      <c r="DG307" t="s">
        <v>704</v>
      </c>
      <c r="DH307">
        <v>28391</v>
      </c>
      <c r="DI307">
        <v>0.37140000000000001</v>
      </c>
      <c r="DJ307">
        <v>2</v>
      </c>
      <c r="DK307">
        <v>0.15379999999999999</v>
      </c>
      <c r="DL307">
        <v>14000</v>
      </c>
      <c r="DM307">
        <v>7000</v>
      </c>
      <c r="DN307">
        <v>14000</v>
      </c>
      <c r="DO307">
        <v>1</v>
      </c>
      <c r="DP307">
        <v>0.14729999999999999</v>
      </c>
      <c r="DQ307">
        <v>86</v>
      </c>
      <c r="DR307">
        <v>7000</v>
      </c>
    </row>
    <row r="308" spans="95:122" x14ac:dyDescent="0.25">
      <c r="CQ308" t="s">
        <v>636</v>
      </c>
      <c r="CR308" t="s">
        <v>6</v>
      </c>
      <c r="CS308" t="s">
        <v>97</v>
      </c>
      <c r="CT308">
        <v>46077</v>
      </c>
      <c r="CU308">
        <v>1</v>
      </c>
      <c r="CV308">
        <v>1</v>
      </c>
      <c r="CX308">
        <v>1</v>
      </c>
      <c r="CZ308">
        <v>2.3148148148148147E-5</v>
      </c>
      <c r="DA308">
        <v>2.3148148148148147E-5</v>
      </c>
      <c r="DB308">
        <v>0.10303240740740741</v>
      </c>
      <c r="DC308">
        <v>0.24134259259259258</v>
      </c>
      <c r="DD308">
        <v>136</v>
      </c>
      <c r="DE308">
        <v>256</v>
      </c>
      <c r="DF308">
        <v>19</v>
      </c>
      <c r="DG308" t="s">
        <v>791</v>
      </c>
      <c r="DH308">
        <v>16787</v>
      </c>
      <c r="DI308">
        <v>0.13969999999999999</v>
      </c>
      <c r="DJ308">
        <v>1</v>
      </c>
      <c r="DK308">
        <v>5.2600000000000001E-2</v>
      </c>
      <c r="DL308">
        <v>4000</v>
      </c>
      <c r="DM308">
        <v>4000</v>
      </c>
      <c r="DN308">
        <v>4000</v>
      </c>
      <c r="DO308">
        <v>1</v>
      </c>
      <c r="DP308">
        <v>0.20200000000000001</v>
      </c>
      <c r="DQ308">
        <v>86</v>
      </c>
      <c r="DR308">
        <v>4000</v>
      </c>
    </row>
    <row r="309" spans="95:122" x14ac:dyDescent="0.25">
      <c r="CQ309" t="s">
        <v>636</v>
      </c>
      <c r="CR309" t="s">
        <v>6</v>
      </c>
      <c r="CS309" t="s">
        <v>34</v>
      </c>
      <c r="CT309">
        <v>46078</v>
      </c>
      <c r="CU309">
        <v>1</v>
      </c>
      <c r="CV309">
        <v>1</v>
      </c>
      <c r="CX309">
        <v>1</v>
      </c>
      <c r="CZ309">
        <v>3.449074074074074E-3</v>
      </c>
      <c r="DA309">
        <v>3.449074074074074E-3</v>
      </c>
      <c r="DB309">
        <v>0.16239583333333332</v>
      </c>
      <c r="DC309">
        <v>0.10436342592592593</v>
      </c>
      <c r="DD309">
        <v>106</v>
      </c>
      <c r="DE309">
        <v>127</v>
      </c>
      <c r="DF309">
        <v>10</v>
      </c>
      <c r="DG309">
        <v>2.7</v>
      </c>
      <c r="DH309">
        <v>21164</v>
      </c>
      <c r="DI309">
        <v>9.4299999999999995E-2</v>
      </c>
      <c r="DJ309">
        <v>2</v>
      </c>
      <c r="DK309">
        <v>0.2</v>
      </c>
      <c r="DL309">
        <v>5250</v>
      </c>
      <c r="DM309">
        <v>2625</v>
      </c>
      <c r="DN309">
        <v>5250</v>
      </c>
      <c r="DO309">
        <v>1</v>
      </c>
      <c r="DP309">
        <v>0.1295</v>
      </c>
      <c r="DQ309">
        <v>86</v>
      </c>
      <c r="DR309">
        <v>2625</v>
      </c>
    </row>
    <row r="310" spans="95:122" x14ac:dyDescent="0.25">
      <c r="CQ310" t="s">
        <v>636</v>
      </c>
      <c r="CR310" t="s">
        <v>3</v>
      </c>
      <c r="CS310" t="s">
        <v>377</v>
      </c>
      <c r="CT310">
        <v>46070</v>
      </c>
      <c r="CU310">
        <v>1</v>
      </c>
      <c r="CV310">
        <v>1</v>
      </c>
      <c r="CX310">
        <v>1</v>
      </c>
      <c r="CZ310">
        <v>0</v>
      </c>
      <c r="DA310">
        <v>0</v>
      </c>
      <c r="DB310">
        <v>0.19399305555555554</v>
      </c>
      <c r="DC310">
        <v>0.16194444444444445</v>
      </c>
      <c r="DD310">
        <v>91</v>
      </c>
      <c r="DE310">
        <v>160</v>
      </c>
      <c r="DF310">
        <v>21</v>
      </c>
      <c r="DG310" t="s">
        <v>745</v>
      </c>
      <c r="DH310">
        <v>23117</v>
      </c>
      <c r="DI310">
        <v>0.23080000000000001</v>
      </c>
      <c r="DQ310">
        <v>86</v>
      </c>
    </row>
    <row r="311" spans="95:122" x14ac:dyDescent="0.25">
      <c r="CQ311" t="s">
        <v>636</v>
      </c>
      <c r="CR311" t="s">
        <v>3</v>
      </c>
      <c r="CS311" t="s">
        <v>32</v>
      </c>
      <c r="CT311">
        <v>46080</v>
      </c>
      <c r="CU311">
        <v>1</v>
      </c>
      <c r="CV311">
        <v>1</v>
      </c>
      <c r="CX311">
        <v>1</v>
      </c>
      <c r="CZ311">
        <v>1.3888888888888889E-4</v>
      </c>
      <c r="DA311">
        <v>1.3888888888888889E-4</v>
      </c>
      <c r="DB311">
        <v>0.23358796296296297</v>
      </c>
      <c r="DC311">
        <v>0.13318287037037038</v>
      </c>
      <c r="DD311">
        <v>99</v>
      </c>
      <c r="DE311">
        <v>197</v>
      </c>
      <c r="DF311">
        <v>27</v>
      </c>
      <c r="DG311" t="s">
        <v>1004</v>
      </c>
      <c r="DH311">
        <v>28323</v>
      </c>
      <c r="DI311">
        <v>0.2727</v>
      </c>
      <c r="DJ311">
        <v>1</v>
      </c>
      <c r="DK311">
        <v>3.6999999999999998E-2</v>
      </c>
      <c r="DL311">
        <v>2800</v>
      </c>
      <c r="DM311">
        <v>2800</v>
      </c>
      <c r="DN311">
        <v>3510</v>
      </c>
      <c r="DO311">
        <v>1.2536</v>
      </c>
      <c r="DP311">
        <v>0.18859999999999999</v>
      </c>
      <c r="DQ311">
        <v>86</v>
      </c>
      <c r="DR311">
        <v>3510</v>
      </c>
    </row>
    <row r="312" spans="95:122" x14ac:dyDescent="0.25">
      <c r="CQ312" t="s">
        <v>636</v>
      </c>
      <c r="CR312" t="s">
        <v>3</v>
      </c>
      <c r="CS312" t="s">
        <v>65</v>
      </c>
      <c r="CT312">
        <v>46058</v>
      </c>
      <c r="CU312">
        <v>1</v>
      </c>
      <c r="CV312">
        <v>1</v>
      </c>
      <c r="CX312">
        <v>1</v>
      </c>
      <c r="CZ312">
        <v>5.7870370370370373E-5</v>
      </c>
      <c r="DA312">
        <v>5.7870370370370373E-5</v>
      </c>
      <c r="DB312">
        <v>2.2812499999999999E-2</v>
      </c>
      <c r="DC312">
        <v>2.0752314814814814E-2</v>
      </c>
      <c r="DD312">
        <v>78</v>
      </c>
      <c r="DE312">
        <v>172</v>
      </c>
      <c r="DF312">
        <v>16</v>
      </c>
      <c r="DG312">
        <v>1.375</v>
      </c>
      <c r="DH312">
        <v>43424</v>
      </c>
      <c r="DI312">
        <v>0.2051</v>
      </c>
      <c r="DJ312">
        <v>1</v>
      </c>
      <c r="DK312">
        <v>6.25E-2</v>
      </c>
      <c r="DL312">
        <v>3000</v>
      </c>
      <c r="DM312">
        <v>3000</v>
      </c>
      <c r="DN312">
        <v>3000</v>
      </c>
      <c r="DO312">
        <v>1</v>
      </c>
      <c r="DP312">
        <v>0.1963</v>
      </c>
      <c r="DQ312">
        <v>86</v>
      </c>
      <c r="DR312">
        <v>3000</v>
      </c>
    </row>
    <row r="313" spans="95:122" x14ac:dyDescent="0.25">
      <c r="CQ313" t="s">
        <v>636</v>
      </c>
      <c r="CR313" t="s">
        <v>3</v>
      </c>
      <c r="CS313" t="s">
        <v>65</v>
      </c>
      <c r="CT313">
        <v>46070</v>
      </c>
      <c r="CU313">
        <v>1</v>
      </c>
      <c r="CV313">
        <v>1</v>
      </c>
      <c r="CX313">
        <v>1</v>
      </c>
      <c r="CZ313">
        <v>4.6296296296296294E-5</v>
      </c>
      <c r="DA313">
        <v>4.6296296296296294E-5</v>
      </c>
      <c r="DB313">
        <v>0.204375</v>
      </c>
      <c r="DC313">
        <v>0.14496527777777779</v>
      </c>
      <c r="DD313">
        <v>74</v>
      </c>
      <c r="DE313">
        <v>136</v>
      </c>
      <c r="DF313">
        <v>14</v>
      </c>
      <c r="DG313">
        <v>1.5</v>
      </c>
      <c r="DH313">
        <v>23362</v>
      </c>
      <c r="DI313">
        <v>0.18920000000000001</v>
      </c>
      <c r="DQ313">
        <v>86</v>
      </c>
    </row>
    <row r="314" spans="95:122" x14ac:dyDescent="0.25">
      <c r="CQ314" t="s">
        <v>636</v>
      </c>
      <c r="CR314" t="s">
        <v>3</v>
      </c>
      <c r="CS314" t="s">
        <v>65</v>
      </c>
      <c r="CT314">
        <v>46079</v>
      </c>
      <c r="CU314">
        <v>1</v>
      </c>
      <c r="CV314">
        <v>1</v>
      </c>
      <c r="CX314">
        <v>1</v>
      </c>
      <c r="CZ314">
        <v>4.6296296296296294E-5</v>
      </c>
      <c r="DA314">
        <v>4.6296296296296294E-5</v>
      </c>
      <c r="DB314">
        <v>0.18543981481481481</v>
      </c>
      <c r="DC314">
        <v>0.16652777777777777</v>
      </c>
      <c r="DD314">
        <v>65</v>
      </c>
      <c r="DE314">
        <v>176</v>
      </c>
      <c r="DF314">
        <v>8</v>
      </c>
      <c r="DG314">
        <v>1.25</v>
      </c>
      <c r="DH314">
        <v>25388</v>
      </c>
      <c r="DI314">
        <v>0.1231</v>
      </c>
      <c r="DJ314">
        <v>1</v>
      </c>
      <c r="DK314">
        <v>0.125</v>
      </c>
      <c r="DL314">
        <v>4000</v>
      </c>
      <c r="DM314">
        <v>4000</v>
      </c>
      <c r="DN314">
        <v>4000</v>
      </c>
      <c r="DO314">
        <v>1</v>
      </c>
      <c r="DP314">
        <v>0.10589999999999999</v>
      </c>
      <c r="DQ314">
        <v>86</v>
      </c>
      <c r="DR314">
        <v>4000</v>
      </c>
    </row>
    <row r="315" spans="95:122" x14ac:dyDescent="0.25">
      <c r="CQ315" t="s">
        <v>636</v>
      </c>
      <c r="CR315" t="s">
        <v>3</v>
      </c>
      <c r="CS315" t="s">
        <v>65</v>
      </c>
      <c r="CT315">
        <v>46080</v>
      </c>
      <c r="CU315">
        <v>1</v>
      </c>
      <c r="CV315">
        <v>1</v>
      </c>
      <c r="CX315">
        <v>1</v>
      </c>
      <c r="CZ315">
        <v>1.0416666666666667E-4</v>
      </c>
      <c r="DA315">
        <v>1.0416666666666667E-4</v>
      </c>
      <c r="DB315">
        <v>0.19320601851851851</v>
      </c>
      <c r="DC315">
        <v>0.20467592592592593</v>
      </c>
      <c r="DD315">
        <v>42</v>
      </c>
      <c r="DE315">
        <v>126</v>
      </c>
      <c r="DF315">
        <v>14</v>
      </c>
      <c r="DG315" t="s">
        <v>850</v>
      </c>
      <c r="DH315">
        <v>18835</v>
      </c>
      <c r="DI315">
        <v>0.33329999999999999</v>
      </c>
      <c r="DJ315">
        <v>1</v>
      </c>
      <c r="DK315">
        <v>7.1400000000000005E-2</v>
      </c>
      <c r="DL315">
        <v>1400</v>
      </c>
      <c r="DM315">
        <v>1400</v>
      </c>
      <c r="DN315">
        <v>1400</v>
      </c>
      <c r="DO315">
        <v>1</v>
      </c>
      <c r="DP315">
        <v>0.18490000000000001</v>
      </c>
      <c r="DQ315">
        <v>86</v>
      </c>
      <c r="DR315">
        <v>1400</v>
      </c>
    </row>
    <row r="316" spans="95:122" x14ac:dyDescent="0.25">
      <c r="CQ316" t="s">
        <v>636</v>
      </c>
      <c r="CR316" t="s">
        <v>3</v>
      </c>
      <c r="CS316" t="s">
        <v>31</v>
      </c>
      <c r="CT316">
        <v>46057</v>
      </c>
      <c r="CU316">
        <v>1</v>
      </c>
      <c r="CV316">
        <v>1</v>
      </c>
      <c r="CX316">
        <v>1</v>
      </c>
      <c r="CZ316">
        <v>5.7870370370370373E-5</v>
      </c>
      <c r="DA316">
        <v>5.7870370370370373E-5</v>
      </c>
      <c r="DB316">
        <v>4.4641203703703704E-2</v>
      </c>
      <c r="DC316">
        <v>1.3622685185185186E-2</v>
      </c>
      <c r="DD316">
        <v>83</v>
      </c>
      <c r="DE316">
        <v>171</v>
      </c>
      <c r="DF316">
        <v>13</v>
      </c>
      <c r="DG316" t="s">
        <v>764</v>
      </c>
      <c r="DH316">
        <v>55309</v>
      </c>
      <c r="DI316">
        <v>0.15659999999999999</v>
      </c>
      <c r="DJ316">
        <v>1</v>
      </c>
      <c r="DK316">
        <v>7.6899999999999996E-2</v>
      </c>
      <c r="DL316">
        <v>1500</v>
      </c>
      <c r="DM316">
        <v>1500</v>
      </c>
      <c r="DN316">
        <v>1500</v>
      </c>
      <c r="DO316">
        <v>1</v>
      </c>
      <c r="DP316">
        <v>0.1045</v>
      </c>
      <c r="DQ316">
        <v>86</v>
      </c>
      <c r="DR316">
        <v>1500</v>
      </c>
    </row>
    <row r="317" spans="95:122" x14ac:dyDescent="0.25">
      <c r="CQ317" t="s">
        <v>636</v>
      </c>
      <c r="CR317" t="s">
        <v>3</v>
      </c>
      <c r="CS317" t="s">
        <v>31</v>
      </c>
      <c r="CT317">
        <v>46070</v>
      </c>
      <c r="CU317">
        <v>1</v>
      </c>
      <c r="CV317">
        <v>1</v>
      </c>
      <c r="CX317">
        <v>1</v>
      </c>
      <c r="CZ317">
        <v>3.0092592592592595E-4</v>
      </c>
      <c r="DA317">
        <v>3.0092592592592595E-4</v>
      </c>
      <c r="DB317">
        <v>0.20929398148148148</v>
      </c>
      <c r="DC317">
        <v>0.11538194444444444</v>
      </c>
      <c r="DD317">
        <v>70</v>
      </c>
      <c r="DE317">
        <v>143</v>
      </c>
      <c r="DF317">
        <v>6</v>
      </c>
      <c r="DG317" t="s">
        <v>1101</v>
      </c>
      <c r="DH317">
        <v>37426</v>
      </c>
      <c r="DI317">
        <v>8.5699999999999998E-2</v>
      </c>
      <c r="DQ317">
        <v>86</v>
      </c>
    </row>
    <row r="318" spans="95:122" x14ac:dyDescent="0.25">
      <c r="CQ318" t="s">
        <v>636</v>
      </c>
      <c r="CR318" t="s">
        <v>3</v>
      </c>
      <c r="CS318" t="s">
        <v>17</v>
      </c>
      <c r="CT318">
        <v>46070</v>
      </c>
      <c r="CU318">
        <v>1</v>
      </c>
      <c r="CV318">
        <v>1</v>
      </c>
      <c r="CX318">
        <v>1</v>
      </c>
      <c r="CZ318">
        <v>4.6296296296296294E-5</v>
      </c>
      <c r="DA318">
        <v>4.6296296296296294E-5</v>
      </c>
      <c r="DB318">
        <v>0.21210648148148148</v>
      </c>
      <c r="DC318">
        <v>0.11329861111111111</v>
      </c>
      <c r="DD318">
        <v>88</v>
      </c>
      <c r="DE318">
        <v>208</v>
      </c>
      <c r="DF318">
        <v>13</v>
      </c>
      <c r="DG318" t="s">
        <v>704</v>
      </c>
      <c r="DH318">
        <v>35261</v>
      </c>
      <c r="DI318">
        <v>0.1477</v>
      </c>
      <c r="DQ318">
        <v>86</v>
      </c>
    </row>
    <row r="319" spans="95:122" x14ac:dyDescent="0.25">
      <c r="CQ319" t="s">
        <v>636</v>
      </c>
      <c r="CR319" t="s">
        <v>3</v>
      </c>
      <c r="CS319" t="s">
        <v>17</v>
      </c>
      <c r="CT319">
        <v>46078</v>
      </c>
      <c r="CU319">
        <v>1</v>
      </c>
      <c r="CV319">
        <v>1</v>
      </c>
      <c r="CZ319">
        <v>4.0740740740740737E-3</v>
      </c>
      <c r="DA319">
        <v>4.0740740740740737E-3</v>
      </c>
      <c r="DB319">
        <v>0.18304398148148149</v>
      </c>
      <c r="DC319">
        <v>0.1486574074074074</v>
      </c>
      <c r="DD319">
        <v>71</v>
      </c>
      <c r="DE319">
        <v>148</v>
      </c>
      <c r="DF319">
        <v>9</v>
      </c>
      <c r="DG319" t="s">
        <v>749</v>
      </c>
      <c r="DH319">
        <v>35321</v>
      </c>
      <c r="DI319">
        <v>0.1268</v>
      </c>
      <c r="DJ319">
        <v>1</v>
      </c>
      <c r="DK319">
        <v>0.1111</v>
      </c>
      <c r="DL319">
        <v>600</v>
      </c>
      <c r="DM319">
        <v>600</v>
      </c>
      <c r="DN319">
        <v>600</v>
      </c>
      <c r="DO319">
        <v>1</v>
      </c>
      <c r="DQ319">
        <v>86</v>
      </c>
      <c r="DR319">
        <v>600</v>
      </c>
    </row>
    <row r="320" spans="95:122" x14ac:dyDescent="0.25">
      <c r="CQ320" t="s">
        <v>636</v>
      </c>
      <c r="CR320" t="s">
        <v>3</v>
      </c>
      <c r="CS320" t="s">
        <v>207</v>
      </c>
      <c r="CT320">
        <v>46070</v>
      </c>
      <c r="CU320">
        <v>1</v>
      </c>
      <c r="CV320">
        <v>1</v>
      </c>
      <c r="CX320">
        <v>1</v>
      </c>
      <c r="CZ320">
        <v>6.9444444444444444E-5</v>
      </c>
      <c r="DA320">
        <v>6.9444444444444444E-5</v>
      </c>
      <c r="DB320">
        <v>0.21322916666666666</v>
      </c>
      <c r="DC320">
        <v>0.15989583333333332</v>
      </c>
      <c r="DD320">
        <v>220</v>
      </c>
      <c r="DE320">
        <v>299</v>
      </c>
      <c r="DF320">
        <v>21</v>
      </c>
      <c r="DG320" t="s">
        <v>1009</v>
      </c>
      <c r="DH320">
        <v>34096</v>
      </c>
      <c r="DI320">
        <v>9.5500000000000002E-2</v>
      </c>
      <c r="DQ320">
        <v>86</v>
      </c>
    </row>
    <row r="321" spans="95:122" x14ac:dyDescent="0.25">
      <c r="CQ321" t="s">
        <v>636</v>
      </c>
      <c r="CR321" t="s">
        <v>3</v>
      </c>
      <c r="CS321" t="s">
        <v>207</v>
      </c>
      <c r="CT321">
        <v>46072</v>
      </c>
      <c r="CU321">
        <v>1</v>
      </c>
      <c r="CV321">
        <v>1</v>
      </c>
      <c r="CX321">
        <v>1</v>
      </c>
      <c r="CZ321">
        <v>6.9444444444444444E-5</v>
      </c>
      <c r="DA321">
        <v>6.9444444444444444E-5</v>
      </c>
      <c r="DB321">
        <v>0.20374999999999999</v>
      </c>
      <c r="DC321">
        <v>0.18059027777777778</v>
      </c>
      <c r="DD321">
        <v>141</v>
      </c>
      <c r="DE321">
        <v>174</v>
      </c>
      <c r="DF321">
        <v>13</v>
      </c>
      <c r="DG321" t="s">
        <v>734</v>
      </c>
      <c r="DH321">
        <v>41041</v>
      </c>
      <c r="DI321">
        <v>9.2200000000000004E-2</v>
      </c>
      <c r="DJ321">
        <v>1</v>
      </c>
      <c r="DK321">
        <v>7.6899999999999996E-2</v>
      </c>
      <c r="DL321">
        <v>450</v>
      </c>
      <c r="DM321">
        <v>450</v>
      </c>
      <c r="DN321">
        <v>450</v>
      </c>
      <c r="DO321">
        <v>1</v>
      </c>
      <c r="DQ321">
        <v>86</v>
      </c>
      <c r="DR321">
        <v>450</v>
      </c>
    </row>
    <row r="322" spans="95:122" x14ac:dyDescent="0.25">
      <c r="CQ322" t="s">
        <v>636</v>
      </c>
      <c r="CR322" t="s">
        <v>124</v>
      </c>
      <c r="CS322" t="s">
        <v>58</v>
      </c>
      <c r="CT322">
        <v>46058</v>
      </c>
      <c r="CU322">
        <v>1</v>
      </c>
      <c r="CV322">
        <v>1</v>
      </c>
      <c r="CX322">
        <v>1</v>
      </c>
      <c r="CZ322">
        <v>1.0416666666666667E-4</v>
      </c>
      <c r="DA322">
        <v>1.0416666666666667E-4</v>
      </c>
      <c r="DB322">
        <v>6.564814814814815E-2</v>
      </c>
      <c r="DC322">
        <v>1.7789351851851851E-2</v>
      </c>
      <c r="DD322">
        <v>132</v>
      </c>
      <c r="DE322">
        <v>238</v>
      </c>
      <c r="DF322">
        <v>45</v>
      </c>
      <c r="DG322" t="s">
        <v>674</v>
      </c>
      <c r="DH322">
        <v>14518</v>
      </c>
      <c r="DI322">
        <v>0.34089999999999998</v>
      </c>
      <c r="DJ322">
        <v>2</v>
      </c>
      <c r="DK322">
        <v>4.4400000000000002E-2</v>
      </c>
      <c r="DL322">
        <v>1600</v>
      </c>
      <c r="DM322">
        <v>800</v>
      </c>
      <c r="DN322">
        <v>1000</v>
      </c>
      <c r="DO322">
        <v>0.625</v>
      </c>
      <c r="DQ322">
        <v>84</v>
      </c>
      <c r="DR322">
        <v>1000</v>
      </c>
    </row>
    <row r="323" spans="95:122" x14ac:dyDescent="0.25">
      <c r="CQ323" t="s">
        <v>636</v>
      </c>
      <c r="CR323" t="s">
        <v>124</v>
      </c>
      <c r="CS323" t="s">
        <v>58</v>
      </c>
      <c r="CT323">
        <v>46076</v>
      </c>
      <c r="CU323">
        <v>1</v>
      </c>
      <c r="CV323">
        <v>1</v>
      </c>
      <c r="CX323">
        <v>1</v>
      </c>
      <c r="CZ323">
        <v>2.3148148148148147E-5</v>
      </c>
      <c r="DA323">
        <v>2.3148148148148147E-5</v>
      </c>
      <c r="DB323">
        <v>0.16412037037037036</v>
      </c>
      <c r="DC323">
        <v>0.1918287037037037</v>
      </c>
      <c r="DD323">
        <v>102</v>
      </c>
      <c r="DE323">
        <v>230</v>
      </c>
      <c r="DF323">
        <v>28</v>
      </c>
      <c r="DG323" t="s">
        <v>762</v>
      </c>
      <c r="DH323">
        <v>18913</v>
      </c>
      <c r="DI323">
        <v>0.27450000000000002</v>
      </c>
      <c r="DJ323">
        <v>2</v>
      </c>
      <c r="DK323">
        <v>7.1400000000000005E-2</v>
      </c>
      <c r="DL323">
        <v>1700</v>
      </c>
      <c r="DM323">
        <v>850</v>
      </c>
      <c r="DN323">
        <v>1700</v>
      </c>
      <c r="DO323">
        <v>1</v>
      </c>
      <c r="DP323">
        <v>0.27910000000000001</v>
      </c>
      <c r="DQ323">
        <v>84</v>
      </c>
      <c r="DR323">
        <v>850</v>
      </c>
    </row>
    <row r="324" spans="95:122" x14ac:dyDescent="0.25">
      <c r="CQ324" t="s">
        <v>636</v>
      </c>
      <c r="CR324" t="s">
        <v>124</v>
      </c>
      <c r="CS324" t="s">
        <v>495</v>
      </c>
      <c r="CT324">
        <v>46059</v>
      </c>
      <c r="CU324">
        <v>1</v>
      </c>
      <c r="CV324">
        <v>1</v>
      </c>
      <c r="CX324">
        <v>1</v>
      </c>
      <c r="CZ324">
        <v>0</v>
      </c>
      <c r="DA324">
        <v>0</v>
      </c>
      <c r="DB324">
        <v>1.4247685185185184E-2</v>
      </c>
      <c r="DC324">
        <v>3.2372685185185185E-2</v>
      </c>
      <c r="DD324">
        <v>154</v>
      </c>
      <c r="DE324">
        <v>270</v>
      </c>
      <c r="DF324">
        <v>38</v>
      </c>
      <c r="DG324" t="s">
        <v>725</v>
      </c>
      <c r="DH324">
        <v>11473</v>
      </c>
      <c r="DI324">
        <v>0.24679999999999999</v>
      </c>
      <c r="DJ324">
        <v>3</v>
      </c>
      <c r="DK324">
        <v>7.8899999999999998E-2</v>
      </c>
      <c r="DL324">
        <v>3650</v>
      </c>
      <c r="DM324">
        <v>1217</v>
      </c>
      <c r="DN324">
        <v>250</v>
      </c>
      <c r="DO324">
        <v>6.8500000000000005E-2</v>
      </c>
      <c r="DP324">
        <v>2.2200000000000001E-2</v>
      </c>
      <c r="DQ324">
        <v>84</v>
      </c>
      <c r="DR324">
        <v>250</v>
      </c>
    </row>
    <row r="325" spans="95:122" x14ac:dyDescent="0.25">
      <c r="CQ325" t="s">
        <v>636</v>
      </c>
      <c r="CR325" t="s">
        <v>124</v>
      </c>
      <c r="CS325" t="s">
        <v>49</v>
      </c>
      <c r="CT325">
        <v>46057</v>
      </c>
      <c r="CU325">
        <v>1</v>
      </c>
      <c r="CV325">
        <v>1</v>
      </c>
      <c r="CW325">
        <v>1</v>
      </c>
      <c r="CZ325">
        <v>9.6064814814814815E-3</v>
      </c>
      <c r="DA325">
        <v>9.6064814814814815E-3</v>
      </c>
      <c r="DB325">
        <v>5.8101851851851849E-2</v>
      </c>
      <c r="DC325">
        <v>5.5011574074074074E-2</v>
      </c>
      <c r="DD325">
        <v>61</v>
      </c>
      <c r="DE325">
        <v>89</v>
      </c>
      <c r="DF325">
        <v>13</v>
      </c>
      <c r="DG325" t="s">
        <v>787</v>
      </c>
      <c r="DH325">
        <v>9668</v>
      </c>
      <c r="DI325">
        <v>0.21310000000000001</v>
      </c>
      <c r="DJ325">
        <v>2</v>
      </c>
      <c r="DK325">
        <v>0.15379999999999999</v>
      </c>
      <c r="DL325">
        <v>850</v>
      </c>
      <c r="DM325">
        <v>425</v>
      </c>
      <c r="DN325">
        <v>500</v>
      </c>
      <c r="DO325">
        <v>0.58819999999999995</v>
      </c>
      <c r="DP325">
        <v>0.46739999999999998</v>
      </c>
      <c r="DQ325">
        <v>84</v>
      </c>
      <c r="DR325">
        <v>500</v>
      </c>
    </row>
    <row r="326" spans="95:122" x14ac:dyDescent="0.25">
      <c r="CQ326" t="s">
        <v>636</v>
      </c>
      <c r="CR326" t="s">
        <v>124</v>
      </c>
      <c r="CS326" t="s">
        <v>49</v>
      </c>
      <c r="CT326">
        <v>46066</v>
      </c>
      <c r="CU326">
        <v>1</v>
      </c>
      <c r="CV326">
        <v>1</v>
      </c>
      <c r="CZ326">
        <v>3.7847222222222223E-3</v>
      </c>
      <c r="DA326">
        <v>3.7847222222222223E-3</v>
      </c>
      <c r="DB326">
        <v>0.23071759259259259</v>
      </c>
      <c r="DC326">
        <v>0.18046296296296296</v>
      </c>
      <c r="DD326">
        <v>73</v>
      </c>
      <c r="DE326">
        <v>130</v>
      </c>
      <c r="DF326">
        <v>23</v>
      </c>
      <c r="DG326" t="s">
        <v>724</v>
      </c>
      <c r="DH326">
        <v>14493</v>
      </c>
      <c r="DI326">
        <v>0.31509999999999999</v>
      </c>
      <c r="DJ326">
        <v>1</v>
      </c>
      <c r="DK326">
        <v>4.3499999999999997E-2</v>
      </c>
      <c r="DL326">
        <v>5620</v>
      </c>
      <c r="DM326">
        <v>5620</v>
      </c>
      <c r="DN326">
        <v>5620</v>
      </c>
      <c r="DO326">
        <v>1</v>
      </c>
      <c r="DP326">
        <v>0.1</v>
      </c>
      <c r="DQ326">
        <v>84</v>
      </c>
      <c r="DR326">
        <v>5620</v>
      </c>
    </row>
    <row r="327" spans="95:122" x14ac:dyDescent="0.25">
      <c r="CQ327" t="s">
        <v>636</v>
      </c>
      <c r="CR327" t="s">
        <v>124</v>
      </c>
      <c r="CS327" t="s">
        <v>55</v>
      </c>
      <c r="CT327">
        <v>46064</v>
      </c>
      <c r="CU327">
        <v>1</v>
      </c>
      <c r="CV327">
        <v>1</v>
      </c>
      <c r="CX327">
        <v>1</v>
      </c>
      <c r="CZ327">
        <v>8.1018518518518516E-5</v>
      </c>
      <c r="DA327">
        <v>8.1018518518518516E-5</v>
      </c>
      <c r="DB327">
        <v>3.9027777777777779E-2</v>
      </c>
      <c r="DC327">
        <v>7.1643518518518514E-3</v>
      </c>
      <c r="DD327">
        <v>180</v>
      </c>
      <c r="DE327">
        <v>306</v>
      </c>
      <c r="DF327">
        <v>36</v>
      </c>
      <c r="DG327" t="s">
        <v>832</v>
      </c>
      <c r="DH327">
        <v>10555</v>
      </c>
      <c r="DI327">
        <v>0.2</v>
      </c>
      <c r="DJ327">
        <v>1</v>
      </c>
      <c r="DK327">
        <v>2.7799999999999998E-2</v>
      </c>
      <c r="DL327">
        <v>120</v>
      </c>
      <c r="DM327">
        <v>120</v>
      </c>
      <c r="DN327">
        <v>120</v>
      </c>
      <c r="DO327">
        <v>1</v>
      </c>
      <c r="DP327">
        <v>0.67879999999999996</v>
      </c>
      <c r="DQ327">
        <v>84</v>
      </c>
      <c r="DR327">
        <v>120</v>
      </c>
    </row>
    <row r="328" spans="95:122" x14ac:dyDescent="0.25">
      <c r="CQ328" t="s">
        <v>636</v>
      </c>
      <c r="CR328" t="s">
        <v>124</v>
      </c>
      <c r="CS328" t="s">
        <v>55</v>
      </c>
      <c r="CT328">
        <v>46080</v>
      </c>
      <c r="CU328">
        <v>1</v>
      </c>
      <c r="CV328">
        <v>1</v>
      </c>
      <c r="CX328">
        <v>1</v>
      </c>
      <c r="CZ328">
        <v>1.273148148148148E-4</v>
      </c>
      <c r="DA328">
        <v>1.273148148148148E-4</v>
      </c>
      <c r="DB328">
        <v>7.4456018518518519E-2</v>
      </c>
      <c r="DC328">
        <v>0.33211805555555557</v>
      </c>
      <c r="DD328">
        <v>231</v>
      </c>
      <c r="DE328">
        <v>391</v>
      </c>
      <c r="DF328">
        <v>94</v>
      </c>
      <c r="DG328" t="s">
        <v>1102</v>
      </c>
      <c r="DH328">
        <v>16635</v>
      </c>
      <c r="DI328">
        <v>0.40689999999999998</v>
      </c>
      <c r="DJ328">
        <v>1</v>
      </c>
      <c r="DK328">
        <v>1.06E-2</v>
      </c>
      <c r="DL328">
        <v>150</v>
      </c>
      <c r="DM328">
        <v>150</v>
      </c>
      <c r="DN328">
        <v>150</v>
      </c>
      <c r="DO328">
        <v>1</v>
      </c>
      <c r="DP328">
        <v>0.34570000000000001</v>
      </c>
      <c r="DQ328">
        <v>84</v>
      </c>
      <c r="DR328">
        <v>150</v>
      </c>
    </row>
    <row r="329" spans="95:122" x14ac:dyDescent="0.25">
      <c r="CQ329" t="s">
        <v>636</v>
      </c>
      <c r="CR329" t="s">
        <v>124</v>
      </c>
      <c r="CS329" t="s">
        <v>48</v>
      </c>
      <c r="CT329">
        <v>46066</v>
      </c>
      <c r="CU329">
        <v>1</v>
      </c>
      <c r="CV329">
        <v>1</v>
      </c>
      <c r="CX329">
        <v>1</v>
      </c>
      <c r="CZ329">
        <v>0</v>
      </c>
      <c r="DA329">
        <v>0</v>
      </c>
      <c r="DB329">
        <v>0.1559837962962963</v>
      </c>
      <c r="DC329">
        <v>0.2447337962962963</v>
      </c>
      <c r="DD329">
        <v>105</v>
      </c>
      <c r="DE329">
        <v>156</v>
      </c>
      <c r="DF329">
        <v>24</v>
      </c>
      <c r="DG329" t="s">
        <v>689</v>
      </c>
      <c r="DH329">
        <v>14578</v>
      </c>
      <c r="DI329">
        <v>0.2286</v>
      </c>
      <c r="DJ329">
        <v>1</v>
      </c>
      <c r="DK329">
        <v>4.1700000000000001E-2</v>
      </c>
      <c r="DL329">
        <v>8000</v>
      </c>
      <c r="DM329">
        <v>8000</v>
      </c>
      <c r="DN329">
        <v>8000</v>
      </c>
      <c r="DO329">
        <v>1</v>
      </c>
      <c r="DP329">
        <v>0.1384</v>
      </c>
      <c r="DQ329">
        <v>84</v>
      </c>
      <c r="DR329">
        <v>8000</v>
      </c>
    </row>
    <row r="330" spans="95:122" x14ac:dyDescent="0.25">
      <c r="CQ330" t="s">
        <v>636</v>
      </c>
      <c r="CR330" t="s">
        <v>125</v>
      </c>
      <c r="CS330" t="s">
        <v>18</v>
      </c>
      <c r="CT330">
        <v>46066</v>
      </c>
      <c r="CU330">
        <v>1</v>
      </c>
      <c r="CV330">
        <v>1</v>
      </c>
      <c r="CX330">
        <v>1</v>
      </c>
      <c r="CZ330">
        <v>4.6296296296296294E-5</v>
      </c>
      <c r="DA330">
        <v>4.6296296296296294E-5</v>
      </c>
      <c r="DB330">
        <v>0.18949074074074074</v>
      </c>
      <c r="DC330">
        <v>0.15025462962962963</v>
      </c>
      <c r="DD330">
        <v>128</v>
      </c>
      <c r="DE330">
        <v>259</v>
      </c>
      <c r="DF330">
        <v>13</v>
      </c>
      <c r="DG330" t="s">
        <v>704</v>
      </c>
      <c r="DH330">
        <v>34945</v>
      </c>
      <c r="DI330">
        <v>0.1016</v>
      </c>
      <c r="DJ330">
        <v>1</v>
      </c>
      <c r="DK330">
        <v>7.6899999999999996E-2</v>
      </c>
      <c r="DL330">
        <v>1050</v>
      </c>
      <c r="DM330">
        <v>1050</v>
      </c>
      <c r="DN330">
        <v>1050</v>
      </c>
      <c r="DO330">
        <v>1</v>
      </c>
      <c r="DP330">
        <v>0.1938</v>
      </c>
      <c r="DQ330">
        <v>84</v>
      </c>
      <c r="DR330">
        <v>1050</v>
      </c>
    </row>
    <row r="331" spans="95:122" x14ac:dyDescent="0.25">
      <c r="CQ331" t="s">
        <v>636</v>
      </c>
      <c r="CR331" t="s">
        <v>125</v>
      </c>
      <c r="CS331" t="s">
        <v>18</v>
      </c>
      <c r="CT331">
        <v>46069</v>
      </c>
      <c r="CU331">
        <v>1</v>
      </c>
      <c r="CV331">
        <v>1</v>
      </c>
      <c r="CX331">
        <v>1</v>
      </c>
      <c r="CZ331">
        <v>8.1018518518518516E-5</v>
      </c>
      <c r="DA331">
        <v>8.1018518518518516E-5</v>
      </c>
      <c r="DB331">
        <v>0.20799768518518519</v>
      </c>
      <c r="DC331">
        <v>0.12287037037037037</v>
      </c>
      <c r="DD331">
        <v>128</v>
      </c>
      <c r="DE331">
        <v>276</v>
      </c>
      <c r="DF331">
        <v>20</v>
      </c>
      <c r="DG331">
        <v>1.5</v>
      </c>
      <c r="DH331">
        <v>31726</v>
      </c>
      <c r="DI331">
        <v>0.15629999999999999</v>
      </c>
      <c r="DJ331">
        <v>1</v>
      </c>
      <c r="DK331">
        <v>0.05</v>
      </c>
      <c r="DL331">
        <v>1650</v>
      </c>
      <c r="DM331">
        <v>1650</v>
      </c>
      <c r="DN331">
        <v>1650</v>
      </c>
      <c r="DO331">
        <v>1</v>
      </c>
      <c r="DP331">
        <v>0.2752</v>
      </c>
      <c r="DQ331">
        <v>84</v>
      </c>
      <c r="DR331">
        <v>1650</v>
      </c>
    </row>
    <row r="332" spans="95:122" x14ac:dyDescent="0.25">
      <c r="CQ332" t="s">
        <v>636</v>
      </c>
      <c r="CR332" t="s">
        <v>125</v>
      </c>
      <c r="CS332" t="s">
        <v>109</v>
      </c>
      <c r="CT332">
        <v>46066</v>
      </c>
      <c r="CU332">
        <v>1</v>
      </c>
      <c r="CV332">
        <v>1</v>
      </c>
      <c r="CX332">
        <v>1</v>
      </c>
      <c r="CZ332">
        <v>1.1574074074074075E-4</v>
      </c>
      <c r="DA332">
        <v>1.1574074074074075E-4</v>
      </c>
      <c r="DB332">
        <v>8.217592592592593E-2</v>
      </c>
      <c r="DC332">
        <v>0.1287962962962963</v>
      </c>
      <c r="DD332">
        <v>100</v>
      </c>
      <c r="DE332">
        <v>200</v>
      </c>
      <c r="DF332">
        <v>14</v>
      </c>
      <c r="DG332" t="s">
        <v>796</v>
      </c>
      <c r="DH332">
        <v>32544</v>
      </c>
      <c r="DI332">
        <v>0.14000000000000001</v>
      </c>
      <c r="DJ332">
        <v>1</v>
      </c>
      <c r="DK332">
        <v>7.1400000000000005E-2</v>
      </c>
      <c r="DL332">
        <v>300</v>
      </c>
      <c r="DM332">
        <v>300</v>
      </c>
      <c r="DN332">
        <v>300</v>
      </c>
      <c r="DO332">
        <v>1</v>
      </c>
      <c r="DP332">
        <v>0.66320000000000001</v>
      </c>
      <c r="DQ332">
        <v>84</v>
      </c>
      <c r="DR332">
        <v>300</v>
      </c>
    </row>
    <row r="333" spans="95:122" x14ac:dyDescent="0.25">
      <c r="CQ333" t="s">
        <v>636</v>
      </c>
      <c r="CR333" t="s">
        <v>125</v>
      </c>
      <c r="CS333" t="s">
        <v>85</v>
      </c>
      <c r="CT333">
        <v>46055</v>
      </c>
      <c r="CU333">
        <v>1</v>
      </c>
      <c r="CV333">
        <v>1</v>
      </c>
      <c r="CW333">
        <v>1</v>
      </c>
      <c r="CZ333">
        <v>0.31035879629629631</v>
      </c>
      <c r="DA333">
        <v>0.31035879629629631</v>
      </c>
      <c r="DB333">
        <v>1.087962962962963E-2</v>
      </c>
      <c r="DC333">
        <v>1.9560185185185184E-3</v>
      </c>
      <c r="DD333">
        <v>25</v>
      </c>
      <c r="DE333">
        <v>42</v>
      </c>
      <c r="DF333">
        <v>3</v>
      </c>
      <c r="DG333" t="s">
        <v>718</v>
      </c>
      <c r="DH333">
        <v>35184</v>
      </c>
      <c r="DI333">
        <v>0.12</v>
      </c>
      <c r="DJ333">
        <v>1</v>
      </c>
      <c r="DK333">
        <v>0.33329999999999999</v>
      </c>
      <c r="DL333">
        <v>9000</v>
      </c>
      <c r="DM333">
        <v>9000</v>
      </c>
      <c r="DN333">
        <v>9000</v>
      </c>
      <c r="DO333">
        <v>1</v>
      </c>
      <c r="DQ333">
        <v>84</v>
      </c>
      <c r="DR333">
        <v>9000</v>
      </c>
    </row>
    <row r="334" spans="95:122" x14ac:dyDescent="0.25">
      <c r="CQ334" t="s">
        <v>636</v>
      </c>
      <c r="CR334" t="s">
        <v>125</v>
      </c>
      <c r="CS334" t="s">
        <v>85</v>
      </c>
      <c r="CT334">
        <v>46062</v>
      </c>
      <c r="CU334">
        <v>1</v>
      </c>
      <c r="CV334">
        <v>1</v>
      </c>
      <c r="CX334">
        <v>1</v>
      </c>
      <c r="CZ334">
        <v>0</v>
      </c>
      <c r="DA334">
        <v>0</v>
      </c>
      <c r="DB334">
        <v>0</v>
      </c>
      <c r="DC334">
        <v>0</v>
      </c>
      <c r="DD334">
        <v>99</v>
      </c>
      <c r="DE334">
        <v>179</v>
      </c>
      <c r="DF334">
        <v>18</v>
      </c>
      <c r="DG334" t="s">
        <v>794</v>
      </c>
      <c r="DH334">
        <v>38358</v>
      </c>
      <c r="DI334">
        <v>0.18179999999999999</v>
      </c>
      <c r="DJ334">
        <v>1</v>
      </c>
      <c r="DK334">
        <v>5.5599999999999997E-2</v>
      </c>
      <c r="DL334">
        <v>10000</v>
      </c>
      <c r="DM334">
        <v>10000</v>
      </c>
      <c r="DN334">
        <v>10000</v>
      </c>
      <c r="DO334">
        <v>1</v>
      </c>
      <c r="DP334">
        <v>0.16930000000000001</v>
      </c>
      <c r="DQ334">
        <v>84</v>
      </c>
      <c r="DR334">
        <v>10000</v>
      </c>
    </row>
    <row r="335" spans="95:122" x14ac:dyDescent="0.25">
      <c r="CQ335" t="s">
        <v>636</v>
      </c>
      <c r="CR335" t="s">
        <v>125</v>
      </c>
      <c r="CS335" t="s">
        <v>85</v>
      </c>
      <c r="CT335">
        <v>46072</v>
      </c>
      <c r="CU335">
        <v>1</v>
      </c>
      <c r="CV335">
        <v>1</v>
      </c>
      <c r="CX335">
        <v>1</v>
      </c>
      <c r="CZ335">
        <v>0</v>
      </c>
      <c r="DA335">
        <v>0</v>
      </c>
      <c r="DB335">
        <v>0.22175925925925927</v>
      </c>
      <c r="DC335">
        <v>0.12731481481481483</v>
      </c>
      <c r="DD335">
        <v>129</v>
      </c>
      <c r="DE335">
        <v>261</v>
      </c>
      <c r="DF335">
        <v>15</v>
      </c>
      <c r="DG335" t="s">
        <v>718</v>
      </c>
      <c r="DH335">
        <v>55621</v>
      </c>
      <c r="DI335">
        <v>0.1163</v>
      </c>
      <c r="DJ335">
        <v>1</v>
      </c>
      <c r="DK335">
        <v>6.6699999999999995E-2</v>
      </c>
      <c r="DL335">
        <v>530</v>
      </c>
      <c r="DM335">
        <v>530</v>
      </c>
      <c r="DN335">
        <v>530</v>
      </c>
      <c r="DO335">
        <v>1</v>
      </c>
      <c r="DP335">
        <v>0.70630000000000004</v>
      </c>
      <c r="DQ335">
        <v>84</v>
      </c>
      <c r="DR335">
        <v>530</v>
      </c>
    </row>
    <row r="336" spans="95:122" x14ac:dyDescent="0.25">
      <c r="CQ336" t="s">
        <v>636</v>
      </c>
      <c r="CR336" t="s">
        <v>125</v>
      </c>
      <c r="CS336" t="s">
        <v>61</v>
      </c>
      <c r="CT336">
        <v>46057</v>
      </c>
      <c r="CU336">
        <v>1</v>
      </c>
      <c r="CV336">
        <v>1</v>
      </c>
      <c r="CW336">
        <v>1</v>
      </c>
      <c r="CZ336">
        <v>8.0555555555555554E-3</v>
      </c>
      <c r="DA336">
        <v>8.0555555555555554E-3</v>
      </c>
      <c r="DB336">
        <v>2.9340277777777778E-2</v>
      </c>
      <c r="DC336">
        <v>2.7083333333333334E-2</v>
      </c>
      <c r="DD336">
        <v>106</v>
      </c>
      <c r="DE336">
        <v>234</v>
      </c>
      <c r="DF336">
        <v>24</v>
      </c>
      <c r="DG336" t="s">
        <v>736</v>
      </c>
      <c r="DH336">
        <v>29799</v>
      </c>
      <c r="DI336">
        <v>0.22639999999999999</v>
      </c>
      <c r="DJ336">
        <v>3</v>
      </c>
      <c r="DK336">
        <v>0.125</v>
      </c>
      <c r="DL336">
        <v>22400</v>
      </c>
      <c r="DM336">
        <v>7467</v>
      </c>
      <c r="DN336">
        <v>23200</v>
      </c>
      <c r="DO336">
        <v>1.0357000000000001</v>
      </c>
      <c r="DP336">
        <v>9.9000000000000005E-2</v>
      </c>
      <c r="DQ336">
        <v>84</v>
      </c>
      <c r="DR336">
        <v>7733</v>
      </c>
    </row>
    <row r="337" spans="95:122" x14ac:dyDescent="0.25">
      <c r="CQ337" t="s">
        <v>636</v>
      </c>
      <c r="CR337" t="s">
        <v>125</v>
      </c>
      <c r="CS337" t="s">
        <v>61</v>
      </c>
      <c r="CT337">
        <v>46069</v>
      </c>
      <c r="CU337">
        <v>1</v>
      </c>
      <c r="CV337">
        <v>1</v>
      </c>
      <c r="CX337">
        <v>1</v>
      </c>
      <c r="CZ337">
        <v>3.4722222222222222E-5</v>
      </c>
      <c r="DA337">
        <v>3.4722222222222222E-5</v>
      </c>
      <c r="DB337">
        <v>0.20722222222222222</v>
      </c>
      <c r="DC337">
        <v>0.12480324074074074</v>
      </c>
      <c r="DD337">
        <v>82</v>
      </c>
      <c r="DE337">
        <v>232</v>
      </c>
      <c r="DF337">
        <v>19</v>
      </c>
      <c r="DG337">
        <v>2</v>
      </c>
      <c r="DH337">
        <v>56493</v>
      </c>
      <c r="DI337">
        <v>0.23169999999999999</v>
      </c>
      <c r="DJ337">
        <v>2</v>
      </c>
      <c r="DK337">
        <v>0.1053</v>
      </c>
      <c r="DL337">
        <v>610</v>
      </c>
      <c r="DM337">
        <v>305</v>
      </c>
      <c r="DN337">
        <v>300</v>
      </c>
      <c r="DO337">
        <v>0.49180000000000001</v>
      </c>
      <c r="DP337">
        <v>0.37109999999999999</v>
      </c>
      <c r="DQ337">
        <v>84</v>
      </c>
      <c r="DR337">
        <v>300</v>
      </c>
    </row>
    <row r="338" spans="95:122" x14ac:dyDescent="0.25">
      <c r="CQ338" t="s">
        <v>636</v>
      </c>
      <c r="CR338" t="s">
        <v>125</v>
      </c>
      <c r="CS338" t="s">
        <v>61</v>
      </c>
      <c r="CT338">
        <v>46071</v>
      </c>
      <c r="CU338">
        <v>1</v>
      </c>
      <c r="CV338">
        <v>1</v>
      </c>
      <c r="CX338">
        <v>1</v>
      </c>
      <c r="CZ338">
        <v>1.273148148148148E-4</v>
      </c>
      <c r="DA338">
        <v>1.273148148148148E-4</v>
      </c>
      <c r="DB338">
        <v>0.19714120370370369</v>
      </c>
      <c r="DC338">
        <v>0.14353009259259258</v>
      </c>
      <c r="DD338">
        <v>82</v>
      </c>
      <c r="DE338">
        <v>237</v>
      </c>
      <c r="DF338">
        <v>28</v>
      </c>
      <c r="DG338" t="s">
        <v>705</v>
      </c>
      <c r="DH338">
        <v>28156</v>
      </c>
      <c r="DI338">
        <v>0.34150000000000003</v>
      </c>
      <c r="DJ338">
        <v>1</v>
      </c>
      <c r="DK338">
        <v>3.5700000000000003E-2</v>
      </c>
      <c r="DL338">
        <v>1500</v>
      </c>
      <c r="DM338">
        <v>1500</v>
      </c>
      <c r="DN338">
        <v>1500</v>
      </c>
      <c r="DO338">
        <v>1</v>
      </c>
      <c r="DP338">
        <v>0.26579999999999998</v>
      </c>
      <c r="DQ338">
        <v>84</v>
      </c>
      <c r="DR338">
        <v>1500</v>
      </c>
    </row>
    <row r="339" spans="95:122" x14ac:dyDescent="0.25">
      <c r="CQ339" t="s">
        <v>636</v>
      </c>
      <c r="CR339" t="s">
        <v>125</v>
      </c>
      <c r="CS339" t="s">
        <v>75</v>
      </c>
      <c r="CT339">
        <v>46055</v>
      </c>
      <c r="CU339">
        <v>1</v>
      </c>
      <c r="CV339">
        <v>1</v>
      </c>
      <c r="CX339">
        <v>1</v>
      </c>
      <c r="CZ339">
        <v>1.273148148148148E-4</v>
      </c>
      <c r="DA339">
        <v>1.273148148148148E-4</v>
      </c>
      <c r="DB339">
        <v>2.9085648148148149E-2</v>
      </c>
      <c r="DC339">
        <v>3.2638888888888891E-3</v>
      </c>
      <c r="DD339">
        <v>96</v>
      </c>
      <c r="DE339">
        <v>205</v>
      </c>
      <c r="DF339">
        <v>27</v>
      </c>
      <c r="DG339" t="s">
        <v>1088</v>
      </c>
      <c r="DH339">
        <v>32487</v>
      </c>
      <c r="DI339">
        <v>0.28129999999999999</v>
      </c>
      <c r="DJ339">
        <v>9</v>
      </c>
      <c r="DK339">
        <v>0.33329999999999999</v>
      </c>
      <c r="DL339">
        <v>8322</v>
      </c>
      <c r="DM339">
        <v>925</v>
      </c>
      <c r="DN339">
        <v>7412</v>
      </c>
      <c r="DO339">
        <v>0.89070000000000005</v>
      </c>
      <c r="DP339">
        <v>1.0379</v>
      </c>
      <c r="DQ339">
        <v>84</v>
      </c>
      <c r="DR339">
        <v>1059</v>
      </c>
    </row>
    <row r="340" spans="95:122" x14ac:dyDescent="0.25">
      <c r="CQ340" t="s">
        <v>636</v>
      </c>
      <c r="CR340" t="s">
        <v>125</v>
      </c>
      <c r="CS340" t="s">
        <v>59</v>
      </c>
      <c r="CT340">
        <v>46072</v>
      </c>
      <c r="CU340">
        <v>1</v>
      </c>
      <c r="CV340">
        <v>1</v>
      </c>
      <c r="CX340">
        <v>1</v>
      </c>
      <c r="CZ340">
        <v>0</v>
      </c>
      <c r="DA340">
        <v>0</v>
      </c>
      <c r="DB340">
        <v>0.19013888888888889</v>
      </c>
      <c r="DC340">
        <v>0.1645486111111111</v>
      </c>
      <c r="DD340">
        <v>175</v>
      </c>
      <c r="DE340">
        <v>335</v>
      </c>
      <c r="DF340">
        <v>17</v>
      </c>
      <c r="DG340" t="s">
        <v>744</v>
      </c>
      <c r="DH340">
        <v>44577</v>
      </c>
      <c r="DI340">
        <v>9.7100000000000006E-2</v>
      </c>
      <c r="DJ340">
        <v>1</v>
      </c>
      <c r="DK340">
        <v>5.8799999999999998E-2</v>
      </c>
      <c r="DL340">
        <v>3500</v>
      </c>
      <c r="DM340">
        <v>3500</v>
      </c>
      <c r="DN340">
        <v>3500</v>
      </c>
      <c r="DO340">
        <v>1</v>
      </c>
      <c r="DP340">
        <v>0.1401</v>
      </c>
      <c r="DQ340">
        <v>84</v>
      </c>
      <c r="DR340">
        <v>3500</v>
      </c>
    </row>
    <row r="341" spans="95:122" x14ac:dyDescent="0.25">
      <c r="CQ341" t="s">
        <v>636</v>
      </c>
      <c r="CR341" t="s">
        <v>2</v>
      </c>
      <c r="CS341" t="s">
        <v>42</v>
      </c>
      <c r="CT341">
        <v>46062</v>
      </c>
      <c r="CU341">
        <v>1</v>
      </c>
      <c r="CV341">
        <v>1</v>
      </c>
      <c r="CX341">
        <v>1</v>
      </c>
      <c r="CZ341">
        <v>7.6388888888888893E-4</v>
      </c>
      <c r="DA341">
        <v>7.6388888888888893E-4</v>
      </c>
      <c r="DB341">
        <v>5.3935185185185188E-3</v>
      </c>
      <c r="DC341">
        <v>4.6759259259259263E-3</v>
      </c>
      <c r="DD341">
        <v>45</v>
      </c>
      <c r="DE341">
        <v>95</v>
      </c>
      <c r="DF341">
        <v>16</v>
      </c>
      <c r="DG341">
        <v>2</v>
      </c>
      <c r="DH341">
        <v>18847</v>
      </c>
      <c r="DI341">
        <v>0.35560000000000003</v>
      </c>
      <c r="DJ341">
        <v>1</v>
      </c>
      <c r="DK341">
        <v>6.25E-2</v>
      </c>
      <c r="DL341">
        <v>6500</v>
      </c>
      <c r="DM341">
        <v>6500</v>
      </c>
      <c r="DN341">
        <v>6500</v>
      </c>
      <c r="DO341">
        <v>1</v>
      </c>
      <c r="DP341">
        <v>0.16070000000000001</v>
      </c>
      <c r="DQ341">
        <v>84</v>
      </c>
      <c r="DR341">
        <v>6500</v>
      </c>
    </row>
    <row r="342" spans="95:122" x14ac:dyDescent="0.25">
      <c r="CQ342" t="s">
        <v>636</v>
      </c>
      <c r="CR342" t="s">
        <v>2</v>
      </c>
      <c r="CS342" t="s">
        <v>42</v>
      </c>
      <c r="CT342">
        <v>46078</v>
      </c>
      <c r="CU342">
        <v>1</v>
      </c>
      <c r="CV342">
        <v>1</v>
      </c>
      <c r="CX342">
        <v>1</v>
      </c>
      <c r="CZ342">
        <v>1.5046296296296297E-4</v>
      </c>
      <c r="DA342">
        <v>1.5046296296296297E-4</v>
      </c>
      <c r="DB342">
        <v>0.17877314814814815</v>
      </c>
      <c r="DC342">
        <v>0.15383101851851852</v>
      </c>
      <c r="DD342">
        <v>96</v>
      </c>
      <c r="DE342">
        <v>179</v>
      </c>
      <c r="DF342">
        <v>38</v>
      </c>
      <c r="DG342" t="s">
        <v>951</v>
      </c>
      <c r="DH342">
        <v>22052</v>
      </c>
      <c r="DI342">
        <v>0.39579999999999999</v>
      </c>
      <c r="DJ342">
        <v>1</v>
      </c>
      <c r="DK342">
        <v>2.63E-2</v>
      </c>
      <c r="DL342">
        <v>10000</v>
      </c>
      <c r="DM342">
        <v>10000</v>
      </c>
      <c r="DQ342">
        <v>84</v>
      </c>
    </row>
    <row r="343" spans="95:122" x14ac:dyDescent="0.25">
      <c r="CQ343" t="s">
        <v>636</v>
      </c>
      <c r="CR343" t="s">
        <v>2</v>
      </c>
      <c r="CS343" t="s">
        <v>29</v>
      </c>
      <c r="CT343">
        <v>46064</v>
      </c>
      <c r="CU343">
        <v>1</v>
      </c>
      <c r="CV343">
        <v>1</v>
      </c>
      <c r="CW343">
        <v>1</v>
      </c>
      <c r="CZ343">
        <v>6.6319444444444446E-3</v>
      </c>
      <c r="DA343">
        <v>6.6319444444444446E-3</v>
      </c>
      <c r="DB343">
        <v>1.832175925925926E-2</v>
      </c>
      <c r="DC343">
        <v>2.4594907407407409E-2</v>
      </c>
      <c r="DD343">
        <v>39</v>
      </c>
      <c r="DE343">
        <v>92</v>
      </c>
      <c r="DF343">
        <v>9</v>
      </c>
      <c r="DG343">
        <v>2</v>
      </c>
      <c r="DH343">
        <v>11621</v>
      </c>
      <c r="DI343">
        <v>0.23080000000000001</v>
      </c>
      <c r="DJ343">
        <v>1</v>
      </c>
      <c r="DK343">
        <v>0.1111</v>
      </c>
      <c r="DL343">
        <v>400</v>
      </c>
      <c r="DM343">
        <v>400</v>
      </c>
      <c r="DQ343">
        <v>84</v>
      </c>
    </row>
    <row r="344" spans="95:122" x14ac:dyDescent="0.25">
      <c r="CQ344" t="s">
        <v>636</v>
      </c>
      <c r="CR344" t="s">
        <v>2</v>
      </c>
      <c r="CS344" t="s">
        <v>38</v>
      </c>
      <c r="CT344">
        <v>46063</v>
      </c>
      <c r="CU344">
        <v>1</v>
      </c>
      <c r="CV344">
        <v>1</v>
      </c>
      <c r="CX344">
        <v>1</v>
      </c>
      <c r="CZ344">
        <v>0</v>
      </c>
      <c r="DA344">
        <v>0</v>
      </c>
      <c r="DB344">
        <v>2.5289351851851851E-2</v>
      </c>
      <c r="DC344">
        <v>3.3391203703703701E-2</v>
      </c>
      <c r="DD344">
        <v>128</v>
      </c>
      <c r="DE344">
        <v>197</v>
      </c>
      <c r="DF344">
        <v>64</v>
      </c>
      <c r="DG344">
        <v>1.875</v>
      </c>
      <c r="DH344">
        <v>18072</v>
      </c>
      <c r="DI344">
        <v>0.5</v>
      </c>
      <c r="DJ344">
        <v>1</v>
      </c>
      <c r="DK344">
        <v>1.5599999999999999E-2</v>
      </c>
      <c r="DL344">
        <v>1000</v>
      </c>
      <c r="DM344">
        <v>1000</v>
      </c>
      <c r="DN344">
        <v>1000</v>
      </c>
      <c r="DO344">
        <v>1</v>
      </c>
      <c r="DP344">
        <v>0.1656</v>
      </c>
      <c r="DQ344">
        <v>84</v>
      </c>
      <c r="DR344">
        <v>1000</v>
      </c>
    </row>
    <row r="345" spans="95:122" x14ac:dyDescent="0.25">
      <c r="CQ345" t="s">
        <v>636</v>
      </c>
      <c r="CR345" t="s">
        <v>6</v>
      </c>
      <c r="CS345" t="s">
        <v>80</v>
      </c>
      <c r="CT345">
        <v>46056</v>
      </c>
      <c r="CU345">
        <v>1</v>
      </c>
      <c r="CV345">
        <v>1</v>
      </c>
      <c r="CX345">
        <v>1</v>
      </c>
      <c r="CZ345">
        <v>6.9444444444444444E-5</v>
      </c>
      <c r="DA345">
        <v>6.9444444444444444E-5</v>
      </c>
      <c r="DB345">
        <v>5.9120370370370372E-2</v>
      </c>
      <c r="DC345">
        <v>1.6157407407407409E-2</v>
      </c>
      <c r="DD345">
        <v>86</v>
      </c>
      <c r="DE345">
        <v>140</v>
      </c>
      <c r="DF345">
        <v>19</v>
      </c>
      <c r="DG345" t="s">
        <v>1092</v>
      </c>
      <c r="DH345">
        <v>18512</v>
      </c>
      <c r="DI345">
        <v>0.22090000000000001</v>
      </c>
      <c r="DJ345">
        <v>1</v>
      </c>
      <c r="DK345">
        <v>5.2600000000000001E-2</v>
      </c>
      <c r="DL345">
        <v>256</v>
      </c>
      <c r="DM345">
        <v>256</v>
      </c>
      <c r="DN345">
        <v>256</v>
      </c>
      <c r="DO345">
        <v>1</v>
      </c>
      <c r="DP345">
        <v>0.57299999999999995</v>
      </c>
      <c r="DQ345">
        <v>84</v>
      </c>
      <c r="DR345">
        <v>256</v>
      </c>
    </row>
    <row r="346" spans="95:122" x14ac:dyDescent="0.25">
      <c r="CQ346" t="s">
        <v>636</v>
      </c>
      <c r="CR346" t="s">
        <v>6</v>
      </c>
      <c r="CS346" t="s">
        <v>81</v>
      </c>
      <c r="CT346">
        <v>46056</v>
      </c>
      <c r="CU346">
        <v>1</v>
      </c>
      <c r="CV346">
        <v>1</v>
      </c>
      <c r="CX346">
        <v>1</v>
      </c>
      <c r="CZ346">
        <v>8.1018518518518516E-5</v>
      </c>
      <c r="DA346">
        <v>8.1018518518518516E-5</v>
      </c>
      <c r="DB346">
        <v>3.2638888888888891E-3</v>
      </c>
      <c r="DC346">
        <v>8.0324074074074082E-3</v>
      </c>
      <c r="DD346">
        <v>86</v>
      </c>
      <c r="DE346">
        <v>156</v>
      </c>
      <c r="DF346">
        <v>11</v>
      </c>
      <c r="DG346" t="s">
        <v>905</v>
      </c>
      <c r="DH346">
        <v>36816</v>
      </c>
      <c r="DI346">
        <v>0.12790000000000001</v>
      </c>
      <c r="DJ346">
        <v>1</v>
      </c>
      <c r="DK346">
        <v>9.0899999999999995E-2</v>
      </c>
      <c r="DL346">
        <v>509</v>
      </c>
      <c r="DM346">
        <v>509</v>
      </c>
      <c r="DN346">
        <v>509</v>
      </c>
      <c r="DO346">
        <v>1</v>
      </c>
      <c r="DQ346">
        <v>84</v>
      </c>
      <c r="DR346">
        <v>509</v>
      </c>
    </row>
    <row r="347" spans="95:122" x14ac:dyDescent="0.25">
      <c r="CQ347" t="s">
        <v>636</v>
      </c>
      <c r="CR347" t="s">
        <v>6</v>
      </c>
      <c r="CS347" t="s">
        <v>81</v>
      </c>
      <c r="CT347">
        <v>46058</v>
      </c>
      <c r="CU347">
        <v>1</v>
      </c>
      <c r="CV347">
        <v>1</v>
      </c>
      <c r="CX347">
        <v>1</v>
      </c>
      <c r="CZ347">
        <v>4.861111111111111E-4</v>
      </c>
      <c r="DA347">
        <v>4.861111111111111E-4</v>
      </c>
      <c r="DB347">
        <v>0</v>
      </c>
      <c r="DC347">
        <v>0</v>
      </c>
      <c r="DD347">
        <v>103</v>
      </c>
      <c r="DE347">
        <v>170</v>
      </c>
      <c r="DF347">
        <v>14</v>
      </c>
      <c r="DG347">
        <v>1.5</v>
      </c>
      <c r="DH347">
        <v>23225</v>
      </c>
      <c r="DI347">
        <v>0.13589999999999999</v>
      </c>
      <c r="DJ347">
        <v>1</v>
      </c>
      <c r="DK347">
        <v>7.1400000000000005E-2</v>
      </c>
      <c r="DL347">
        <v>200</v>
      </c>
      <c r="DM347">
        <v>200</v>
      </c>
      <c r="DN347">
        <v>200</v>
      </c>
      <c r="DO347">
        <v>1</v>
      </c>
      <c r="DP347">
        <v>0.41820000000000002</v>
      </c>
      <c r="DQ347">
        <v>84</v>
      </c>
      <c r="DR347">
        <v>200</v>
      </c>
    </row>
    <row r="348" spans="95:122" x14ac:dyDescent="0.25">
      <c r="CQ348" t="s">
        <v>636</v>
      </c>
      <c r="CR348" t="s">
        <v>6</v>
      </c>
      <c r="CS348" t="s">
        <v>105</v>
      </c>
      <c r="CT348">
        <v>46055</v>
      </c>
      <c r="CU348">
        <v>1</v>
      </c>
      <c r="CV348">
        <v>1</v>
      </c>
      <c r="CX348">
        <v>1</v>
      </c>
      <c r="CZ348">
        <v>5.7870370370370373E-5</v>
      </c>
      <c r="DA348">
        <v>5.7870370370370373E-5</v>
      </c>
      <c r="DB348">
        <v>6.8622685185185189E-2</v>
      </c>
      <c r="DC348">
        <v>2.0914351851851851E-2</v>
      </c>
      <c r="DD348">
        <v>76</v>
      </c>
      <c r="DE348">
        <v>148</v>
      </c>
      <c r="DF348">
        <v>19</v>
      </c>
      <c r="DG348" t="s">
        <v>861</v>
      </c>
      <c r="DH348">
        <v>25319</v>
      </c>
      <c r="DI348">
        <v>0.25</v>
      </c>
      <c r="DJ348">
        <v>4</v>
      </c>
      <c r="DK348">
        <v>0.21049999999999999</v>
      </c>
      <c r="DL348">
        <v>6830</v>
      </c>
      <c r="DM348">
        <v>1708</v>
      </c>
      <c r="DN348">
        <v>6830</v>
      </c>
      <c r="DO348">
        <v>1</v>
      </c>
      <c r="DQ348">
        <v>84</v>
      </c>
      <c r="DR348">
        <v>1708</v>
      </c>
    </row>
    <row r="349" spans="95:122" x14ac:dyDescent="0.25">
      <c r="CQ349" t="s">
        <v>636</v>
      </c>
      <c r="CR349" t="s">
        <v>6</v>
      </c>
      <c r="CS349" t="s">
        <v>105</v>
      </c>
      <c r="CT349">
        <v>46064</v>
      </c>
      <c r="CU349">
        <v>1</v>
      </c>
      <c r="CV349">
        <v>1</v>
      </c>
      <c r="CX349">
        <v>1</v>
      </c>
      <c r="CZ349">
        <v>5.7870370370370373E-5</v>
      </c>
      <c r="DA349">
        <v>5.7870370370370373E-5</v>
      </c>
      <c r="DB349">
        <v>4.3969907407407409E-2</v>
      </c>
      <c r="DC349">
        <v>2.119212962962963E-2</v>
      </c>
      <c r="DD349">
        <v>69</v>
      </c>
      <c r="DE349">
        <v>153</v>
      </c>
      <c r="DF349">
        <v>17</v>
      </c>
      <c r="DG349" t="s">
        <v>782</v>
      </c>
      <c r="DH349">
        <v>41207</v>
      </c>
      <c r="DI349">
        <v>0.24640000000000001</v>
      </c>
      <c r="DJ349">
        <v>1</v>
      </c>
      <c r="DK349">
        <v>5.8799999999999998E-2</v>
      </c>
      <c r="DL349">
        <v>12000</v>
      </c>
      <c r="DM349">
        <v>12000</v>
      </c>
      <c r="DN349">
        <v>12000</v>
      </c>
      <c r="DO349">
        <v>1</v>
      </c>
      <c r="DP349">
        <v>0.11459999999999999</v>
      </c>
      <c r="DQ349">
        <v>84</v>
      </c>
      <c r="DR349">
        <v>12000</v>
      </c>
    </row>
    <row r="350" spans="95:122" x14ac:dyDescent="0.25">
      <c r="CQ350" t="s">
        <v>636</v>
      </c>
      <c r="CR350" t="s">
        <v>6</v>
      </c>
      <c r="CS350" t="s">
        <v>105</v>
      </c>
      <c r="CT350">
        <v>46080</v>
      </c>
      <c r="CU350">
        <v>1</v>
      </c>
      <c r="CV350">
        <v>1</v>
      </c>
      <c r="CX350">
        <v>1</v>
      </c>
      <c r="CZ350">
        <v>8.1018518518518516E-5</v>
      </c>
      <c r="DA350">
        <v>8.1018518518518516E-5</v>
      </c>
      <c r="DB350">
        <v>0.16923611111111111</v>
      </c>
      <c r="DC350">
        <v>0.19783564814814814</v>
      </c>
      <c r="DD350">
        <v>69</v>
      </c>
      <c r="DE350">
        <v>155</v>
      </c>
      <c r="DF350">
        <v>23</v>
      </c>
      <c r="DG350" t="s">
        <v>895</v>
      </c>
      <c r="DH350">
        <v>35293</v>
      </c>
      <c r="DI350">
        <v>0.33329999999999999</v>
      </c>
      <c r="DJ350">
        <v>1</v>
      </c>
      <c r="DK350">
        <v>4.3499999999999997E-2</v>
      </c>
      <c r="DL350">
        <v>6000</v>
      </c>
      <c r="DM350">
        <v>6000</v>
      </c>
      <c r="DN350">
        <v>6000</v>
      </c>
      <c r="DO350">
        <v>1</v>
      </c>
      <c r="DP350">
        <v>0.19500000000000001</v>
      </c>
      <c r="DQ350">
        <v>84</v>
      </c>
      <c r="DR350">
        <v>6000</v>
      </c>
    </row>
    <row r="351" spans="95:122" x14ac:dyDescent="0.25">
      <c r="CQ351" t="s">
        <v>636</v>
      </c>
      <c r="CR351" t="s">
        <v>6</v>
      </c>
      <c r="CS351" t="s">
        <v>37</v>
      </c>
      <c r="CT351">
        <v>46070</v>
      </c>
      <c r="CU351">
        <v>1</v>
      </c>
      <c r="CV351">
        <v>1</v>
      </c>
      <c r="CX351">
        <v>1</v>
      </c>
      <c r="CZ351">
        <v>1.5046296296296297E-4</v>
      </c>
      <c r="DA351">
        <v>1.5046296296296297E-4</v>
      </c>
      <c r="DB351">
        <v>0.12761574074074075</v>
      </c>
      <c r="DC351">
        <v>0.21493055555555557</v>
      </c>
      <c r="DD351">
        <v>65</v>
      </c>
      <c r="DE351">
        <v>110</v>
      </c>
      <c r="DF351">
        <v>16</v>
      </c>
      <c r="DG351">
        <v>1.75</v>
      </c>
      <c r="DH351">
        <v>21634</v>
      </c>
      <c r="DI351">
        <v>0.2462</v>
      </c>
      <c r="DJ351">
        <v>1</v>
      </c>
      <c r="DK351">
        <v>6.25E-2</v>
      </c>
      <c r="DL351">
        <v>10000</v>
      </c>
      <c r="DM351">
        <v>10000</v>
      </c>
      <c r="DN351">
        <v>10000</v>
      </c>
      <c r="DO351">
        <v>1</v>
      </c>
      <c r="DP351">
        <v>0.33360000000000001</v>
      </c>
      <c r="DQ351">
        <v>84</v>
      </c>
      <c r="DR351">
        <v>10000</v>
      </c>
    </row>
    <row r="352" spans="95:122" x14ac:dyDescent="0.25">
      <c r="CQ352" t="s">
        <v>636</v>
      </c>
      <c r="CR352" t="s">
        <v>6</v>
      </c>
      <c r="CS352" t="s">
        <v>35</v>
      </c>
      <c r="CT352">
        <v>46058</v>
      </c>
      <c r="CU352">
        <v>1</v>
      </c>
      <c r="CV352">
        <v>1</v>
      </c>
      <c r="CX352">
        <v>1</v>
      </c>
      <c r="CZ352">
        <v>9.2592592592592588E-5</v>
      </c>
      <c r="DA352">
        <v>9.2592592592592588E-5</v>
      </c>
      <c r="DB352">
        <v>2.1990740740740741E-2</v>
      </c>
      <c r="DC352">
        <v>3.0092592592592591E-2</v>
      </c>
      <c r="DD352">
        <v>51</v>
      </c>
      <c r="DE352">
        <v>116</v>
      </c>
      <c r="DF352">
        <v>11</v>
      </c>
      <c r="DG352" t="s">
        <v>695</v>
      </c>
      <c r="DH352">
        <v>48220</v>
      </c>
      <c r="DI352">
        <v>0.2157</v>
      </c>
      <c r="DJ352">
        <v>3</v>
      </c>
      <c r="DK352">
        <v>0.2727</v>
      </c>
      <c r="DL352">
        <v>25300</v>
      </c>
      <c r="DM352">
        <v>8433</v>
      </c>
      <c r="DN352">
        <v>24000</v>
      </c>
      <c r="DO352">
        <v>0.9486</v>
      </c>
      <c r="DP352">
        <v>0.1923</v>
      </c>
      <c r="DQ352">
        <v>84</v>
      </c>
      <c r="DR352">
        <v>24000</v>
      </c>
    </row>
    <row r="353" spans="95:122" x14ac:dyDescent="0.25">
      <c r="CQ353" t="s">
        <v>636</v>
      </c>
      <c r="CR353" t="s">
        <v>6</v>
      </c>
      <c r="CS353" t="s">
        <v>35</v>
      </c>
      <c r="CT353">
        <v>46063</v>
      </c>
      <c r="CU353">
        <v>1</v>
      </c>
      <c r="CV353">
        <v>1</v>
      </c>
      <c r="CX353">
        <v>1</v>
      </c>
      <c r="CZ353">
        <v>9.2592592592592588E-5</v>
      </c>
      <c r="DA353">
        <v>9.2592592592592588E-5</v>
      </c>
      <c r="DB353">
        <v>4.4733796296296299E-2</v>
      </c>
      <c r="DC353">
        <v>4.3888888888888887E-2</v>
      </c>
      <c r="DD353">
        <v>70</v>
      </c>
      <c r="DE353">
        <v>136</v>
      </c>
      <c r="DF353">
        <v>30</v>
      </c>
      <c r="DG353">
        <v>1.9</v>
      </c>
      <c r="DH353">
        <v>37977</v>
      </c>
      <c r="DI353">
        <v>0.42859999999999998</v>
      </c>
      <c r="DJ353">
        <v>6</v>
      </c>
      <c r="DK353">
        <v>0.2</v>
      </c>
      <c r="DL353">
        <v>7507</v>
      </c>
      <c r="DM353">
        <v>1251</v>
      </c>
      <c r="DN353">
        <v>4100</v>
      </c>
      <c r="DO353">
        <v>0.54620000000000002</v>
      </c>
      <c r="DP353">
        <v>0.82169999999999999</v>
      </c>
      <c r="DQ353">
        <v>84</v>
      </c>
      <c r="DR353">
        <v>1025</v>
      </c>
    </row>
    <row r="354" spans="95:122" x14ac:dyDescent="0.25">
      <c r="CQ354" t="s">
        <v>636</v>
      </c>
      <c r="CR354" t="s">
        <v>6</v>
      </c>
      <c r="CS354" t="s">
        <v>50</v>
      </c>
      <c r="CT354">
        <v>46071</v>
      </c>
      <c r="CU354">
        <v>1</v>
      </c>
      <c r="CV354">
        <v>1</v>
      </c>
      <c r="CX354">
        <v>1</v>
      </c>
      <c r="CZ354">
        <v>3.4722222222222224E-4</v>
      </c>
      <c r="DA354">
        <v>3.4722222222222224E-4</v>
      </c>
      <c r="DB354">
        <v>0.15412037037037038</v>
      </c>
      <c r="DC354">
        <v>0.18070601851851853</v>
      </c>
      <c r="DD354">
        <v>96</v>
      </c>
      <c r="DE354">
        <v>189</v>
      </c>
      <c r="DF354">
        <v>16</v>
      </c>
      <c r="DG354">
        <v>2</v>
      </c>
      <c r="DH354">
        <v>15173</v>
      </c>
      <c r="DI354">
        <v>0.16669999999999999</v>
      </c>
      <c r="DJ354">
        <v>2</v>
      </c>
      <c r="DK354">
        <v>0.125</v>
      </c>
      <c r="DL354">
        <v>550</v>
      </c>
      <c r="DM354">
        <v>275</v>
      </c>
      <c r="DN354">
        <v>550</v>
      </c>
      <c r="DO354">
        <v>1</v>
      </c>
      <c r="DP354">
        <v>0.435</v>
      </c>
      <c r="DQ354">
        <v>84</v>
      </c>
      <c r="DR354">
        <v>275</v>
      </c>
    </row>
    <row r="355" spans="95:122" x14ac:dyDescent="0.25">
      <c r="CQ355" t="s">
        <v>636</v>
      </c>
      <c r="CR355" t="s">
        <v>3</v>
      </c>
      <c r="CS355" t="s">
        <v>377</v>
      </c>
      <c r="CT355">
        <v>46056</v>
      </c>
      <c r="CU355">
        <v>1</v>
      </c>
      <c r="CV355">
        <v>1</v>
      </c>
      <c r="CX355">
        <v>1</v>
      </c>
      <c r="CZ355">
        <v>3.4722222222222224E-4</v>
      </c>
      <c r="DA355">
        <v>3.4722222222222224E-4</v>
      </c>
      <c r="DB355">
        <v>3.9710648148148148E-2</v>
      </c>
      <c r="DC355">
        <v>1.7777777777777778E-2</v>
      </c>
      <c r="DD355">
        <v>69</v>
      </c>
      <c r="DE355">
        <v>109</v>
      </c>
      <c r="DF355">
        <v>30</v>
      </c>
      <c r="DG355" t="s">
        <v>723</v>
      </c>
      <c r="DH355">
        <v>20374</v>
      </c>
      <c r="DI355">
        <v>0.43480000000000002</v>
      </c>
      <c r="DJ355">
        <v>1</v>
      </c>
      <c r="DK355">
        <v>3.3300000000000003E-2</v>
      </c>
      <c r="DL355">
        <v>2000</v>
      </c>
      <c r="DM355">
        <v>2000</v>
      </c>
      <c r="DQ355">
        <v>84</v>
      </c>
    </row>
    <row r="356" spans="95:122" x14ac:dyDescent="0.25">
      <c r="CQ356" t="s">
        <v>636</v>
      </c>
      <c r="CR356" t="s">
        <v>3</v>
      </c>
      <c r="CS356" t="s">
        <v>22</v>
      </c>
      <c r="CT356">
        <v>46076</v>
      </c>
      <c r="CU356">
        <v>1</v>
      </c>
      <c r="CV356">
        <v>1</v>
      </c>
      <c r="CX356">
        <v>1</v>
      </c>
      <c r="CZ356">
        <v>0</v>
      </c>
      <c r="DA356">
        <v>0</v>
      </c>
      <c r="DB356">
        <v>0.16199074074074074</v>
      </c>
      <c r="DC356">
        <v>0.20731481481481481</v>
      </c>
      <c r="DD356">
        <v>84</v>
      </c>
      <c r="DE356">
        <v>171</v>
      </c>
      <c r="DF356">
        <v>23</v>
      </c>
      <c r="DG356" t="s">
        <v>856</v>
      </c>
      <c r="DH356">
        <v>50316</v>
      </c>
      <c r="DI356">
        <v>0.27379999999999999</v>
      </c>
      <c r="DJ356">
        <v>1</v>
      </c>
      <c r="DK356">
        <v>4.3499999999999997E-2</v>
      </c>
      <c r="DL356">
        <v>3000</v>
      </c>
      <c r="DM356">
        <v>3000</v>
      </c>
      <c r="DN356">
        <v>3000</v>
      </c>
      <c r="DO356">
        <v>1</v>
      </c>
      <c r="DP356">
        <v>0.1235</v>
      </c>
      <c r="DQ356">
        <v>84</v>
      </c>
      <c r="DR356">
        <v>3000</v>
      </c>
    </row>
    <row r="357" spans="95:122" x14ac:dyDescent="0.25">
      <c r="CQ357" t="s">
        <v>636</v>
      </c>
      <c r="CR357" t="s">
        <v>3</v>
      </c>
      <c r="CS357" t="s">
        <v>22</v>
      </c>
      <c r="CT357">
        <v>46077</v>
      </c>
      <c r="CU357">
        <v>1</v>
      </c>
      <c r="CV357">
        <v>1</v>
      </c>
      <c r="CX357">
        <v>1</v>
      </c>
      <c r="CZ357">
        <v>0</v>
      </c>
      <c r="DA357">
        <v>0</v>
      </c>
      <c r="DB357">
        <v>0.14863425925925927</v>
      </c>
      <c r="DC357">
        <v>0.1940162037037037</v>
      </c>
      <c r="DD357">
        <v>70</v>
      </c>
      <c r="DE357">
        <v>148</v>
      </c>
      <c r="DF357">
        <v>20</v>
      </c>
      <c r="DG357">
        <v>2</v>
      </c>
      <c r="DH357">
        <v>36841</v>
      </c>
      <c r="DI357">
        <v>0.28570000000000001</v>
      </c>
      <c r="DJ357">
        <v>1</v>
      </c>
      <c r="DK357">
        <v>0.05</v>
      </c>
      <c r="DL357">
        <v>6000</v>
      </c>
      <c r="DM357">
        <v>6000</v>
      </c>
      <c r="DN357">
        <v>6000</v>
      </c>
      <c r="DO357">
        <v>1</v>
      </c>
      <c r="DP357">
        <v>0.13700000000000001</v>
      </c>
      <c r="DQ357">
        <v>84</v>
      </c>
      <c r="DR357">
        <v>6000</v>
      </c>
    </row>
    <row r="358" spans="95:122" x14ac:dyDescent="0.25">
      <c r="CQ358" t="s">
        <v>636</v>
      </c>
      <c r="CR358" t="s">
        <v>3</v>
      </c>
      <c r="CS358" t="s">
        <v>13</v>
      </c>
      <c r="CT358">
        <v>46059</v>
      </c>
      <c r="CU358">
        <v>1</v>
      </c>
      <c r="CV358">
        <v>1</v>
      </c>
      <c r="CX358">
        <v>1</v>
      </c>
      <c r="CZ358">
        <v>1.6203703703703703E-4</v>
      </c>
      <c r="DA358">
        <v>1.6203703703703703E-4</v>
      </c>
      <c r="DB358">
        <v>2.0162037037037037E-2</v>
      </c>
      <c r="DC358">
        <v>1.6053240740740739E-2</v>
      </c>
      <c r="DD358">
        <v>81</v>
      </c>
      <c r="DE358">
        <v>181</v>
      </c>
      <c r="DF358">
        <v>14</v>
      </c>
      <c r="DG358" t="s">
        <v>735</v>
      </c>
      <c r="DH358">
        <v>19010</v>
      </c>
      <c r="DI358">
        <v>0.17280000000000001</v>
      </c>
      <c r="DJ358">
        <v>2</v>
      </c>
      <c r="DK358">
        <v>0.1429</v>
      </c>
      <c r="DL358">
        <v>5400</v>
      </c>
      <c r="DM358">
        <v>2700</v>
      </c>
      <c r="DN358">
        <v>4800</v>
      </c>
      <c r="DO358">
        <v>0.88890000000000002</v>
      </c>
      <c r="DP358">
        <v>0.38769999999999999</v>
      </c>
      <c r="DQ358">
        <v>84</v>
      </c>
      <c r="DR358">
        <v>4800</v>
      </c>
    </row>
    <row r="359" spans="95:122" x14ac:dyDescent="0.25">
      <c r="CQ359" t="s">
        <v>636</v>
      </c>
      <c r="CR359" t="s">
        <v>3</v>
      </c>
      <c r="CS359" t="s">
        <v>13</v>
      </c>
      <c r="CT359">
        <v>46065</v>
      </c>
      <c r="CU359">
        <v>1</v>
      </c>
      <c r="CV359">
        <v>1</v>
      </c>
      <c r="CX359">
        <v>1</v>
      </c>
      <c r="CZ359">
        <v>6.9444444444444444E-5</v>
      </c>
      <c r="DA359">
        <v>6.9444444444444444E-5</v>
      </c>
      <c r="DB359">
        <v>1.5046296296296296E-3</v>
      </c>
      <c r="DC359">
        <v>3.3680555555555556E-3</v>
      </c>
      <c r="DD359">
        <v>90</v>
      </c>
      <c r="DE359">
        <v>210</v>
      </c>
      <c r="DF359">
        <v>18</v>
      </c>
      <c r="DG359" t="s">
        <v>703</v>
      </c>
      <c r="DH359">
        <v>34510</v>
      </c>
      <c r="DI359">
        <v>0.2</v>
      </c>
      <c r="DJ359">
        <v>1</v>
      </c>
      <c r="DK359">
        <v>5.5599999999999997E-2</v>
      </c>
      <c r="DL359">
        <v>5000</v>
      </c>
      <c r="DM359">
        <v>5000</v>
      </c>
      <c r="DN359">
        <v>5000</v>
      </c>
      <c r="DO359">
        <v>1</v>
      </c>
      <c r="DQ359">
        <v>84</v>
      </c>
      <c r="DR359">
        <v>5000</v>
      </c>
    </row>
    <row r="360" spans="95:122" x14ac:dyDescent="0.25">
      <c r="CQ360" t="s">
        <v>636</v>
      </c>
      <c r="CR360" t="s">
        <v>3</v>
      </c>
      <c r="CS360" t="s">
        <v>13</v>
      </c>
      <c r="CT360">
        <v>46071</v>
      </c>
      <c r="CU360">
        <v>1</v>
      </c>
      <c r="CV360">
        <v>1</v>
      </c>
      <c r="CX360">
        <v>1</v>
      </c>
      <c r="CZ360">
        <v>1.1574074074074075E-4</v>
      </c>
      <c r="DA360">
        <v>1.1574074074074075E-4</v>
      </c>
      <c r="DB360">
        <v>0.17627314814814815</v>
      </c>
      <c r="DC360">
        <v>0.16373842592592591</v>
      </c>
      <c r="DD360">
        <v>85</v>
      </c>
      <c r="DE360">
        <v>170</v>
      </c>
      <c r="DF360">
        <v>25</v>
      </c>
      <c r="DG360">
        <v>1.76</v>
      </c>
      <c r="DH360">
        <v>41366</v>
      </c>
      <c r="DI360">
        <v>0.29409999999999997</v>
      </c>
      <c r="DJ360">
        <v>2</v>
      </c>
      <c r="DK360">
        <v>0.08</v>
      </c>
      <c r="DL360">
        <v>16800</v>
      </c>
      <c r="DM360">
        <v>8400</v>
      </c>
      <c r="DN360">
        <v>16800</v>
      </c>
      <c r="DO360">
        <v>1</v>
      </c>
      <c r="DP360">
        <v>0.31719999999999998</v>
      </c>
      <c r="DQ360">
        <v>84</v>
      </c>
      <c r="DR360">
        <v>8400</v>
      </c>
    </row>
    <row r="361" spans="95:122" x14ac:dyDescent="0.25">
      <c r="CQ361" t="s">
        <v>636</v>
      </c>
      <c r="CR361" t="s">
        <v>3</v>
      </c>
      <c r="CS361" t="s">
        <v>32</v>
      </c>
      <c r="CT361">
        <v>46064</v>
      </c>
      <c r="CU361">
        <v>1</v>
      </c>
      <c r="CV361">
        <v>1</v>
      </c>
      <c r="CX361">
        <v>1</v>
      </c>
      <c r="CZ361">
        <v>9.2592592592592588E-5</v>
      </c>
      <c r="DA361">
        <v>9.2592592592592588E-5</v>
      </c>
      <c r="DB361">
        <v>9.6874999999999999E-3</v>
      </c>
      <c r="DC361">
        <v>2.4918981481481483E-2</v>
      </c>
      <c r="DD361">
        <v>72</v>
      </c>
      <c r="DE361">
        <v>163</v>
      </c>
      <c r="DF361">
        <v>17</v>
      </c>
      <c r="DG361" t="s">
        <v>1103</v>
      </c>
      <c r="DH361">
        <v>33624</v>
      </c>
      <c r="DI361">
        <v>0.2361</v>
      </c>
      <c r="DJ361">
        <v>3</v>
      </c>
      <c r="DK361">
        <v>0.17649999999999999</v>
      </c>
      <c r="DL361">
        <v>36900</v>
      </c>
      <c r="DM361">
        <v>12300</v>
      </c>
      <c r="DN361">
        <v>6900</v>
      </c>
      <c r="DO361">
        <v>0.187</v>
      </c>
      <c r="DP361">
        <v>2.41E-2</v>
      </c>
      <c r="DQ361">
        <v>84</v>
      </c>
      <c r="DR361">
        <v>3450</v>
      </c>
    </row>
    <row r="362" spans="95:122" x14ac:dyDescent="0.25">
      <c r="CQ362" t="s">
        <v>636</v>
      </c>
      <c r="CR362" t="s">
        <v>3</v>
      </c>
      <c r="CS362" t="s">
        <v>32</v>
      </c>
      <c r="CT362">
        <v>46079</v>
      </c>
      <c r="CU362">
        <v>1</v>
      </c>
      <c r="CV362">
        <v>1</v>
      </c>
      <c r="CX362">
        <v>1</v>
      </c>
      <c r="CZ362">
        <v>9.2592592592592588E-5</v>
      </c>
      <c r="DA362">
        <v>9.2592592592592588E-5</v>
      </c>
      <c r="DB362">
        <v>0.19921296296296295</v>
      </c>
      <c r="DC362">
        <v>0.15693287037037038</v>
      </c>
      <c r="DD362">
        <v>68</v>
      </c>
      <c r="DE362">
        <v>143</v>
      </c>
      <c r="DF362">
        <v>21</v>
      </c>
      <c r="DG362" t="s">
        <v>678</v>
      </c>
      <c r="DH362">
        <v>26357</v>
      </c>
      <c r="DI362">
        <v>0.30880000000000002</v>
      </c>
      <c r="DJ362">
        <v>3</v>
      </c>
      <c r="DK362">
        <v>0.1429</v>
      </c>
      <c r="DL362">
        <v>5000</v>
      </c>
      <c r="DM362">
        <v>1667</v>
      </c>
      <c r="DN362">
        <v>4000</v>
      </c>
      <c r="DO362">
        <v>0.8</v>
      </c>
      <c r="DP362">
        <v>0.1862</v>
      </c>
      <c r="DQ362">
        <v>84</v>
      </c>
      <c r="DR362">
        <v>2000</v>
      </c>
    </row>
    <row r="363" spans="95:122" x14ac:dyDescent="0.25">
      <c r="CQ363" t="s">
        <v>636</v>
      </c>
      <c r="CR363" t="s">
        <v>3</v>
      </c>
      <c r="CS363" t="s">
        <v>65</v>
      </c>
      <c r="CT363">
        <v>46071</v>
      </c>
      <c r="CU363">
        <v>1</v>
      </c>
      <c r="CV363">
        <v>1</v>
      </c>
      <c r="CX363">
        <v>1</v>
      </c>
      <c r="CZ363">
        <v>1.1574074074074075E-4</v>
      </c>
      <c r="DA363">
        <v>1.1574074074074075E-4</v>
      </c>
      <c r="DB363">
        <v>0.20672453703703703</v>
      </c>
      <c r="DC363">
        <v>0.15106481481481482</v>
      </c>
      <c r="DD363">
        <v>75</v>
      </c>
      <c r="DE363">
        <v>164</v>
      </c>
      <c r="DF363">
        <v>8</v>
      </c>
      <c r="DG363">
        <v>1.625</v>
      </c>
      <c r="DH363">
        <v>13799</v>
      </c>
      <c r="DI363">
        <v>0.1067</v>
      </c>
      <c r="DJ363">
        <v>1</v>
      </c>
      <c r="DK363">
        <v>0.125</v>
      </c>
      <c r="DL363">
        <v>2350</v>
      </c>
      <c r="DM363">
        <v>2350</v>
      </c>
      <c r="DN363">
        <v>2350</v>
      </c>
      <c r="DO363">
        <v>1</v>
      </c>
      <c r="DP363">
        <v>0.2258</v>
      </c>
      <c r="DQ363">
        <v>84</v>
      </c>
      <c r="DR363">
        <v>2350</v>
      </c>
    </row>
    <row r="364" spans="95:122" x14ac:dyDescent="0.25">
      <c r="CQ364" t="s">
        <v>636</v>
      </c>
      <c r="CR364" t="s">
        <v>3</v>
      </c>
      <c r="CS364" t="s">
        <v>65</v>
      </c>
      <c r="CT364">
        <v>46076</v>
      </c>
      <c r="CU364">
        <v>1</v>
      </c>
      <c r="CV364">
        <v>1</v>
      </c>
      <c r="CX364">
        <v>1</v>
      </c>
      <c r="CZ364">
        <v>1.1574074074074075E-4</v>
      </c>
      <c r="DA364">
        <v>1.1574074074074075E-4</v>
      </c>
      <c r="DB364">
        <v>0.18185185185185185</v>
      </c>
      <c r="DC364">
        <v>0.21469907407407407</v>
      </c>
      <c r="DD364">
        <v>70</v>
      </c>
      <c r="DE364">
        <v>172</v>
      </c>
      <c r="DF364">
        <v>17</v>
      </c>
      <c r="DG364" t="s">
        <v>744</v>
      </c>
      <c r="DH364">
        <v>31366</v>
      </c>
      <c r="DI364">
        <v>0.2429</v>
      </c>
      <c r="DJ364">
        <v>4</v>
      </c>
      <c r="DK364">
        <v>0.23530000000000001</v>
      </c>
      <c r="DL364">
        <v>4500</v>
      </c>
      <c r="DM364">
        <v>1125</v>
      </c>
      <c r="DN364">
        <v>3900</v>
      </c>
      <c r="DO364">
        <v>0.86670000000000003</v>
      </c>
      <c r="DP364">
        <v>0.10539999999999999</v>
      </c>
      <c r="DQ364">
        <v>84</v>
      </c>
      <c r="DR364">
        <v>1300</v>
      </c>
    </row>
    <row r="365" spans="95:122" x14ac:dyDescent="0.25">
      <c r="CQ365" t="s">
        <v>636</v>
      </c>
      <c r="CR365" t="s">
        <v>3</v>
      </c>
      <c r="CS365" t="s">
        <v>33</v>
      </c>
      <c r="CT365">
        <v>46059</v>
      </c>
      <c r="CU365">
        <v>1</v>
      </c>
      <c r="CV365">
        <v>1</v>
      </c>
      <c r="CX365">
        <v>1</v>
      </c>
      <c r="CZ365">
        <v>1.9675925925925926E-4</v>
      </c>
      <c r="DA365">
        <v>1.9675925925925926E-4</v>
      </c>
      <c r="DB365">
        <v>3.3414351851851855E-2</v>
      </c>
      <c r="DC365">
        <v>8.5416666666666662E-3</v>
      </c>
      <c r="DD365">
        <v>69</v>
      </c>
      <c r="DE365">
        <v>123</v>
      </c>
      <c r="DF365">
        <v>9</v>
      </c>
      <c r="DG365" t="s">
        <v>707</v>
      </c>
      <c r="DH365">
        <v>30399</v>
      </c>
      <c r="DI365">
        <v>0.13039999999999999</v>
      </c>
      <c r="DJ365">
        <v>1</v>
      </c>
      <c r="DK365">
        <v>0.1111</v>
      </c>
      <c r="DL365">
        <v>4000</v>
      </c>
      <c r="DM365">
        <v>4000</v>
      </c>
      <c r="DN365">
        <v>2000</v>
      </c>
      <c r="DO365">
        <v>0.5</v>
      </c>
      <c r="DP365">
        <v>0.13469999999999999</v>
      </c>
      <c r="DQ365">
        <v>84</v>
      </c>
      <c r="DR365">
        <v>2000</v>
      </c>
    </row>
    <row r="366" spans="95:122" x14ac:dyDescent="0.25">
      <c r="CQ366" t="s">
        <v>636</v>
      </c>
      <c r="CR366" t="s">
        <v>3</v>
      </c>
      <c r="CS366" t="s">
        <v>23</v>
      </c>
      <c r="CT366">
        <v>46058</v>
      </c>
      <c r="CU366">
        <v>1</v>
      </c>
      <c r="CV366">
        <v>1</v>
      </c>
      <c r="CX366">
        <v>1</v>
      </c>
      <c r="CZ366">
        <v>2.4537037037037036E-3</v>
      </c>
      <c r="DA366">
        <v>2.4537037037037036E-3</v>
      </c>
      <c r="DB366">
        <v>6.491898148148148E-2</v>
      </c>
      <c r="DC366">
        <v>2.1041666666666667E-2</v>
      </c>
      <c r="DD366">
        <v>72</v>
      </c>
      <c r="DE366">
        <v>152</v>
      </c>
      <c r="DF366">
        <v>14</v>
      </c>
      <c r="DG366" t="s">
        <v>955</v>
      </c>
      <c r="DH366">
        <v>33214</v>
      </c>
      <c r="DI366">
        <v>0.19439999999999999</v>
      </c>
      <c r="DJ366">
        <v>1</v>
      </c>
      <c r="DK366">
        <v>7.1400000000000005E-2</v>
      </c>
      <c r="DL366">
        <v>1700</v>
      </c>
      <c r="DM366">
        <v>1700</v>
      </c>
      <c r="DN366">
        <v>1700</v>
      </c>
      <c r="DO366">
        <v>1</v>
      </c>
      <c r="DP366">
        <v>0.1026</v>
      </c>
      <c r="DQ366">
        <v>84</v>
      </c>
      <c r="DR366">
        <v>1700</v>
      </c>
    </row>
    <row r="367" spans="95:122" x14ac:dyDescent="0.25">
      <c r="CQ367" t="s">
        <v>636</v>
      </c>
      <c r="CR367" t="s">
        <v>3</v>
      </c>
      <c r="CS367" t="s">
        <v>23</v>
      </c>
      <c r="CT367">
        <v>46066</v>
      </c>
      <c r="CU367">
        <v>1</v>
      </c>
      <c r="CV367">
        <v>1</v>
      </c>
      <c r="CX367">
        <v>1</v>
      </c>
      <c r="CZ367">
        <v>2.4305555555555555E-4</v>
      </c>
      <c r="DA367">
        <v>2.4305555555555555E-4</v>
      </c>
      <c r="DB367">
        <v>0.12537037037037038</v>
      </c>
      <c r="DC367">
        <v>0.10820601851851852</v>
      </c>
      <c r="DD367">
        <v>103</v>
      </c>
      <c r="DE367">
        <v>216</v>
      </c>
      <c r="DF367">
        <v>20</v>
      </c>
      <c r="DG367">
        <v>1.6</v>
      </c>
      <c r="DH367">
        <v>25226</v>
      </c>
      <c r="DI367">
        <v>0.19420000000000001</v>
      </c>
      <c r="DJ367">
        <v>2</v>
      </c>
      <c r="DK367">
        <v>0.1</v>
      </c>
      <c r="DL367">
        <v>930</v>
      </c>
      <c r="DM367">
        <v>465</v>
      </c>
      <c r="DN367">
        <v>500</v>
      </c>
      <c r="DO367">
        <v>0.53759999999999997</v>
      </c>
      <c r="DQ367">
        <v>84</v>
      </c>
      <c r="DR367">
        <v>500</v>
      </c>
    </row>
    <row r="368" spans="95:122" x14ac:dyDescent="0.25">
      <c r="CQ368" t="s">
        <v>636</v>
      </c>
      <c r="CR368" t="s">
        <v>124</v>
      </c>
      <c r="CS368" t="s">
        <v>58</v>
      </c>
      <c r="CT368">
        <v>46062</v>
      </c>
      <c r="CU368">
        <v>1</v>
      </c>
      <c r="CV368">
        <v>1</v>
      </c>
      <c r="CX368">
        <v>1</v>
      </c>
      <c r="CZ368">
        <v>1.0416666666666667E-4</v>
      </c>
      <c r="DA368">
        <v>1.0416666666666667E-4</v>
      </c>
      <c r="DB368">
        <v>2.1458333333333333E-2</v>
      </c>
      <c r="DC368">
        <v>8.9004629629629625E-3</v>
      </c>
      <c r="DD368">
        <v>119</v>
      </c>
      <c r="DE368">
        <v>217</v>
      </c>
      <c r="DF368">
        <v>22</v>
      </c>
      <c r="DG368" t="s">
        <v>807</v>
      </c>
      <c r="DH368">
        <v>14351</v>
      </c>
      <c r="DI368">
        <v>0.18490000000000001</v>
      </c>
      <c r="DJ368">
        <v>1</v>
      </c>
      <c r="DK368">
        <v>4.5499999999999999E-2</v>
      </c>
      <c r="DL368">
        <v>370</v>
      </c>
      <c r="DM368">
        <v>370</v>
      </c>
      <c r="DQ368">
        <v>82</v>
      </c>
    </row>
    <row r="369" spans="95:122" x14ac:dyDescent="0.25">
      <c r="CQ369" t="s">
        <v>636</v>
      </c>
      <c r="CR369" t="s">
        <v>124</v>
      </c>
      <c r="CS369" t="s">
        <v>58</v>
      </c>
      <c r="CT369">
        <v>46069</v>
      </c>
      <c r="CU369">
        <v>1</v>
      </c>
      <c r="CV369">
        <v>1</v>
      </c>
      <c r="CX369">
        <v>1</v>
      </c>
      <c r="CZ369">
        <v>4.6296296296296294E-5</v>
      </c>
      <c r="DA369">
        <v>4.6296296296296294E-5</v>
      </c>
      <c r="DB369">
        <v>0.21747685185185187</v>
      </c>
      <c r="DC369">
        <v>0.1408912037037037</v>
      </c>
      <c r="DD369">
        <v>109</v>
      </c>
      <c r="DE369">
        <v>262</v>
      </c>
      <c r="DF369">
        <v>41</v>
      </c>
      <c r="DG369" t="s">
        <v>1104</v>
      </c>
      <c r="DH369">
        <v>21635</v>
      </c>
      <c r="DI369">
        <v>0.37609999999999999</v>
      </c>
      <c r="DQ369">
        <v>82</v>
      </c>
    </row>
    <row r="370" spans="95:122" x14ac:dyDescent="0.25">
      <c r="CQ370" t="s">
        <v>636</v>
      </c>
      <c r="CR370" t="s">
        <v>124</v>
      </c>
      <c r="CS370" t="s">
        <v>58</v>
      </c>
      <c r="CT370">
        <v>46077</v>
      </c>
      <c r="CU370">
        <v>1</v>
      </c>
      <c r="CV370">
        <v>1</v>
      </c>
      <c r="CX370">
        <v>1</v>
      </c>
      <c r="CZ370">
        <v>5.7870370370370373E-5</v>
      </c>
      <c r="DA370">
        <v>5.7870370370370373E-5</v>
      </c>
      <c r="DB370">
        <v>0.15504629629629629</v>
      </c>
      <c r="DC370">
        <v>0.20069444444444445</v>
      </c>
      <c r="DD370">
        <v>132</v>
      </c>
      <c r="DE370">
        <v>268</v>
      </c>
      <c r="DF370">
        <v>36</v>
      </c>
      <c r="DG370" t="s">
        <v>794</v>
      </c>
      <c r="DH370">
        <v>21792</v>
      </c>
      <c r="DI370">
        <v>0.2727</v>
      </c>
      <c r="DQ370">
        <v>82</v>
      </c>
    </row>
    <row r="371" spans="95:122" x14ac:dyDescent="0.25">
      <c r="CQ371" t="s">
        <v>636</v>
      </c>
      <c r="CR371" t="s">
        <v>124</v>
      </c>
      <c r="CS371" t="s">
        <v>58</v>
      </c>
      <c r="CT371">
        <v>46080</v>
      </c>
      <c r="CU371">
        <v>1</v>
      </c>
      <c r="CV371">
        <v>1</v>
      </c>
      <c r="CX371">
        <v>1</v>
      </c>
      <c r="CZ371">
        <v>5.7870370370370373E-5</v>
      </c>
      <c r="DA371">
        <v>5.7870370370370373E-5</v>
      </c>
      <c r="DB371">
        <v>0.14162037037037037</v>
      </c>
      <c r="DC371">
        <v>0.24605324074074075</v>
      </c>
      <c r="DD371">
        <v>118</v>
      </c>
      <c r="DE371">
        <v>265</v>
      </c>
      <c r="DF371">
        <v>39</v>
      </c>
      <c r="DG371" t="s">
        <v>1105</v>
      </c>
      <c r="DH371">
        <v>16952</v>
      </c>
      <c r="DI371">
        <v>0.33050000000000002</v>
      </c>
      <c r="DJ371">
        <v>2</v>
      </c>
      <c r="DK371">
        <v>5.1299999999999998E-2</v>
      </c>
      <c r="DL371">
        <v>700</v>
      </c>
      <c r="DM371">
        <v>350</v>
      </c>
      <c r="DN371">
        <v>500</v>
      </c>
      <c r="DO371">
        <v>0.71430000000000005</v>
      </c>
      <c r="DP371">
        <v>0.1555</v>
      </c>
      <c r="DQ371">
        <v>82</v>
      </c>
      <c r="DR371">
        <v>500</v>
      </c>
    </row>
    <row r="372" spans="95:122" x14ac:dyDescent="0.25">
      <c r="CQ372" t="s">
        <v>636</v>
      </c>
      <c r="CR372" t="s">
        <v>124</v>
      </c>
      <c r="CS372" t="s">
        <v>174</v>
      </c>
      <c r="CT372">
        <v>46057</v>
      </c>
      <c r="CU372">
        <v>1</v>
      </c>
      <c r="CV372">
        <v>1</v>
      </c>
      <c r="CX372">
        <v>1</v>
      </c>
      <c r="CZ372">
        <v>6.3657407407407413E-4</v>
      </c>
      <c r="DA372">
        <v>6.3657407407407413E-4</v>
      </c>
      <c r="DB372">
        <v>0.10027777777777777</v>
      </c>
      <c r="DC372">
        <v>6.8136574074074072E-2</v>
      </c>
      <c r="DD372">
        <v>204</v>
      </c>
      <c r="DE372">
        <v>266</v>
      </c>
      <c r="DF372">
        <v>30</v>
      </c>
      <c r="DG372" t="s">
        <v>808</v>
      </c>
      <c r="DH372">
        <v>17645</v>
      </c>
      <c r="DI372">
        <v>0.14710000000000001</v>
      </c>
      <c r="DJ372">
        <v>2</v>
      </c>
      <c r="DK372">
        <v>6.6699999999999995E-2</v>
      </c>
      <c r="DL372">
        <v>2970</v>
      </c>
      <c r="DM372">
        <v>1485</v>
      </c>
      <c r="DQ372">
        <v>82</v>
      </c>
    </row>
    <row r="373" spans="95:122" x14ac:dyDescent="0.25">
      <c r="CQ373" t="s">
        <v>636</v>
      </c>
      <c r="CR373" t="s">
        <v>124</v>
      </c>
      <c r="CS373" t="s">
        <v>174</v>
      </c>
      <c r="CT373">
        <v>46069</v>
      </c>
      <c r="CU373">
        <v>1</v>
      </c>
      <c r="CV373">
        <v>1</v>
      </c>
      <c r="CX373">
        <v>1</v>
      </c>
      <c r="CZ373">
        <v>1.1574074074074073E-5</v>
      </c>
      <c r="DA373">
        <v>1.1574074074074073E-5</v>
      </c>
      <c r="DB373">
        <v>0.20047453703703705</v>
      </c>
      <c r="DC373">
        <v>0.15982638888888889</v>
      </c>
      <c r="DD373">
        <v>183</v>
      </c>
      <c r="DE373">
        <v>269</v>
      </c>
      <c r="DF373">
        <v>38</v>
      </c>
      <c r="DG373" t="s">
        <v>791</v>
      </c>
      <c r="DH373">
        <v>19903</v>
      </c>
      <c r="DI373">
        <v>0.2077</v>
      </c>
      <c r="DQ373">
        <v>82</v>
      </c>
    </row>
    <row r="374" spans="95:122" x14ac:dyDescent="0.25">
      <c r="CQ374" t="s">
        <v>636</v>
      </c>
      <c r="CR374" t="s">
        <v>124</v>
      </c>
      <c r="CS374" t="s">
        <v>174</v>
      </c>
      <c r="CT374">
        <v>46077</v>
      </c>
      <c r="CU374">
        <v>1</v>
      </c>
      <c r="CV374">
        <v>1</v>
      </c>
      <c r="CX374">
        <v>1</v>
      </c>
      <c r="CZ374">
        <v>0</v>
      </c>
      <c r="DA374">
        <v>0</v>
      </c>
      <c r="DB374">
        <v>0.18721064814814814</v>
      </c>
      <c r="DC374">
        <v>0.16619212962962962</v>
      </c>
      <c r="DD374">
        <v>214</v>
      </c>
      <c r="DE374">
        <v>279</v>
      </c>
      <c r="DF374">
        <v>25</v>
      </c>
      <c r="DG374">
        <v>1.76</v>
      </c>
      <c r="DH374">
        <v>19410</v>
      </c>
      <c r="DI374">
        <v>0.1168</v>
      </c>
      <c r="DQ374">
        <v>82</v>
      </c>
    </row>
    <row r="375" spans="95:122" x14ac:dyDescent="0.25">
      <c r="CQ375" t="s">
        <v>636</v>
      </c>
      <c r="CR375" t="s">
        <v>124</v>
      </c>
      <c r="CS375" t="s">
        <v>493</v>
      </c>
      <c r="CT375">
        <v>46063</v>
      </c>
      <c r="CU375">
        <v>1</v>
      </c>
      <c r="CV375">
        <v>1</v>
      </c>
      <c r="CX375">
        <v>1</v>
      </c>
      <c r="CZ375">
        <v>1.1574074074074073E-5</v>
      </c>
      <c r="DA375">
        <v>1.1574074074074073E-5</v>
      </c>
      <c r="DB375">
        <v>2.2777777777777779E-2</v>
      </c>
      <c r="DC375">
        <v>2.9479166666666667E-2</v>
      </c>
      <c r="DD375">
        <v>224</v>
      </c>
      <c r="DE375">
        <v>431</v>
      </c>
      <c r="DF375">
        <v>81</v>
      </c>
      <c r="DG375" t="s">
        <v>707</v>
      </c>
      <c r="DH375">
        <v>9705</v>
      </c>
      <c r="DI375">
        <v>0.36159999999999998</v>
      </c>
      <c r="DJ375">
        <v>4</v>
      </c>
      <c r="DK375">
        <v>4.9399999999999999E-2</v>
      </c>
      <c r="DL375">
        <v>4891</v>
      </c>
      <c r="DM375">
        <v>1223</v>
      </c>
      <c r="DN375">
        <v>4650</v>
      </c>
      <c r="DO375">
        <v>0.95069999999999999</v>
      </c>
      <c r="DP375">
        <v>0.17330000000000001</v>
      </c>
      <c r="DQ375">
        <v>82</v>
      </c>
      <c r="DR375">
        <v>1550</v>
      </c>
    </row>
    <row r="376" spans="95:122" x14ac:dyDescent="0.25">
      <c r="CQ376" t="s">
        <v>636</v>
      </c>
      <c r="CR376" t="s">
        <v>124</v>
      </c>
      <c r="CS376" t="s">
        <v>493</v>
      </c>
      <c r="CT376">
        <v>46078</v>
      </c>
      <c r="CU376">
        <v>1</v>
      </c>
      <c r="CV376">
        <v>1</v>
      </c>
      <c r="CX376">
        <v>1</v>
      </c>
      <c r="CZ376">
        <v>0</v>
      </c>
      <c r="DA376">
        <v>0</v>
      </c>
      <c r="DB376">
        <v>0.20217592592592593</v>
      </c>
      <c r="DC376">
        <v>0.14621527777777779</v>
      </c>
      <c r="DD376">
        <v>182</v>
      </c>
      <c r="DE376">
        <v>234</v>
      </c>
      <c r="DF376">
        <v>39</v>
      </c>
      <c r="DG376" t="s">
        <v>1051</v>
      </c>
      <c r="DH376">
        <v>17957</v>
      </c>
      <c r="DI376">
        <v>0.21429999999999999</v>
      </c>
      <c r="DJ376">
        <v>1</v>
      </c>
      <c r="DK376">
        <v>2.5600000000000001E-2</v>
      </c>
      <c r="DL376">
        <v>1000</v>
      </c>
      <c r="DM376">
        <v>1000</v>
      </c>
      <c r="DN376">
        <v>1000</v>
      </c>
      <c r="DO376">
        <v>1</v>
      </c>
      <c r="DP376">
        <v>0.1394</v>
      </c>
      <c r="DQ376">
        <v>82</v>
      </c>
      <c r="DR376">
        <v>1000</v>
      </c>
    </row>
    <row r="377" spans="95:122" x14ac:dyDescent="0.25">
      <c r="CQ377" t="s">
        <v>636</v>
      </c>
      <c r="CR377" t="s">
        <v>124</v>
      </c>
      <c r="CS377" t="s">
        <v>51</v>
      </c>
      <c r="CT377">
        <v>46077</v>
      </c>
      <c r="CU377">
        <v>1</v>
      </c>
      <c r="CV377">
        <v>1</v>
      </c>
      <c r="CX377">
        <v>1</v>
      </c>
      <c r="CZ377">
        <v>1.1574074074074073E-5</v>
      </c>
      <c r="DA377">
        <v>1.1574074074074073E-5</v>
      </c>
      <c r="DB377">
        <v>0.19440972222222222</v>
      </c>
      <c r="DC377">
        <v>0.13528935185185184</v>
      </c>
      <c r="DD377">
        <v>120</v>
      </c>
      <c r="DE377">
        <v>245</v>
      </c>
      <c r="DF377">
        <v>10</v>
      </c>
      <c r="DG377">
        <v>1.4</v>
      </c>
      <c r="DH377">
        <v>17924</v>
      </c>
      <c r="DI377">
        <v>8.3299999999999999E-2</v>
      </c>
      <c r="DQ377">
        <v>82</v>
      </c>
    </row>
    <row r="378" spans="95:122" x14ac:dyDescent="0.25">
      <c r="CQ378" t="s">
        <v>636</v>
      </c>
      <c r="CR378" t="s">
        <v>124</v>
      </c>
      <c r="CS378" t="s">
        <v>49</v>
      </c>
      <c r="CT378">
        <v>46065</v>
      </c>
      <c r="CU378">
        <v>1</v>
      </c>
      <c r="CV378">
        <v>1</v>
      </c>
      <c r="CX378">
        <v>1</v>
      </c>
      <c r="CZ378">
        <v>0</v>
      </c>
      <c r="DA378">
        <v>0</v>
      </c>
      <c r="DB378">
        <v>4.8773148148148149E-2</v>
      </c>
      <c r="DC378">
        <v>1.9479166666666665E-2</v>
      </c>
      <c r="DD378">
        <v>62</v>
      </c>
      <c r="DE378">
        <v>100</v>
      </c>
      <c r="DF378">
        <v>17</v>
      </c>
      <c r="DG378" t="s">
        <v>821</v>
      </c>
      <c r="DH378">
        <v>20788</v>
      </c>
      <c r="DI378">
        <v>0.2742</v>
      </c>
      <c r="DJ378">
        <v>1</v>
      </c>
      <c r="DK378">
        <v>5.8799999999999998E-2</v>
      </c>
      <c r="DL378">
        <v>730</v>
      </c>
      <c r="DM378">
        <v>730</v>
      </c>
      <c r="DQ378">
        <v>82</v>
      </c>
    </row>
    <row r="379" spans="95:122" x14ac:dyDescent="0.25">
      <c r="CQ379" t="s">
        <v>636</v>
      </c>
      <c r="CR379" t="s">
        <v>124</v>
      </c>
      <c r="CS379" t="s">
        <v>49</v>
      </c>
      <c r="CT379">
        <v>46080</v>
      </c>
      <c r="CU379">
        <v>1</v>
      </c>
      <c r="CV379">
        <v>1</v>
      </c>
      <c r="CW379">
        <v>1</v>
      </c>
      <c r="CZ379">
        <v>5.9143518518518521E-3</v>
      </c>
      <c r="DA379">
        <v>5.9143518518518521E-3</v>
      </c>
      <c r="DB379">
        <v>0.18616898148148148</v>
      </c>
      <c r="DC379">
        <v>0.20913194444444444</v>
      </c>
      <c r="DD379">
        <v>68</v>
      </c>
      <c r="DE379">
        <v>107</v>
      </c>
      <c r="DF379">
        <v>18</v>
      </c>
      <c r="DG379" t="s">
        <v>755</v>
      </c>
      <c r="DH379">
        <v>32533</v>
      </c>
      <c r="DI379">
        <v>0.26469999999999999</v>
      </c>
      <c r="DJ379">
        <v>2</v>
      </c>
      <c r="DK379">
        <v>0.1111</v>
      </c>
      <c r="DL379">
        <v>1200</v>
      </c>
      <c r="DM379">
        <v>600</v>
      </c>
      <c r="DN379">
        <v>400</v>
      </c>
      <c r="DO379">
        <v>0.33329999999999999</v>
      </c>
      <c r="DQ379">
        <v>82</v>
      </c>
      <c r="DR379">
        <v>400</v>
      </c>
    </row>
    <row r="380" spans="95:122" x14ac:dyDescent="0.25">
      <c r="CQ380" t="s">
        <v>636</v>
      </c>
      <c r="CR380" t="s">
        <v>124</v>
      </c>
      <c r="CS380" t="s">
        <v>549</v>
      </c>
      <c r="CT380">
        <v>46069</v>
      </c>
      <c r="CU380">
        <v>1</v>
      </c>
      <c r="CV380">
        <v>1</v>
      </c>
      <c r="CX380">
        <v>1</v>
      </c>
      <c r="CZ380">
        <v>0</v>
      </c>
      <c r="DA380">
        <v>0</v>
      </c>
      <c r="DB380">
        <v>0.22420138888888888</v>
      </c>
      <c r="DC380">
        <v>0.12532407407407409</v>
      </c>
      <c r="DD380">
        <v>202</v>
      </c>
      <c r="DE380">
        <v>272</v>
      </c>
      <c r="DF380">
        <v>26</v>
      </c>
      <c r="DG380" t="s">
        <v>734</v>
      </c>
      <c r="DH380">
        <v>17776</v>
      </c>
      <c r="DI380">
        <v>0.12870000000000001</v>
      </c>
      <c r="DQ380">
        <v>82</v>
      </c>
    </row>
    <row r="381" spans="95:122" x14ac:dyDescent="0.25">
      <c r="CQ381" t="s">
        <v>636</v>
      </c>
      <c r="CR381" t="s">
        <v>124</v>
      </c>
      <c r="CS381" t="s">
        <v>77</v>
      </c>
      <c r="CT381">
        <v>46057</v>
      </c>
      <c r="CU381">
        <v>1</v>
      </c>
      <c r="CV381">
        <v>1</v>
      </c>
      <c r="CX381">
        <v>1</v>
      </c>
      <c r="CZ381">
        <v>0</v>
      </c>
      <c r="DA381">
        <v>0</v>
      </c>
      <c r="DB381">
        <v>5.2245370370370373E-2</v>
      </c>
      <c r="DC381">
        <v>2.3506944444444445E-2</v>
      </c>
      <c r="DD381">
        <v>114</v>
      </c>
      <c r="DE381">
        <v>192</v>
      </c>
      <c r="DF381">
        <v>42</v>
      </c>
      <c r="DG381" t="s">
        <v>1010</v>
      </c>
      <c r="DH381">
        <v>11274</v>
      </c>
      <c r="DI381">
        <v>0.36840000000000001</v>
      </c>
      <c r="DJ381">
        <v>1</v>
      </c>
      <c r="DK381">
        <v>2.3800000000000002E-2</v>
      </c>
      <c r="DL381">
        <v>458</v>
      </c>
      <c r="DM381">
        <v>458</v>
      </c>
      <c r="DN381">
        <v>458</v>
      </c>
      <c r="DO381">
        <v>1</v>
      </c>
      <c r="DQ381">
        <v>82</v>
      </c>
      <c r="DR381">
        <v>458</v>
      </c>
    </row>
    <row r="382" spans="95:122" x14ac:dyDescent="0.25">
      <c r="CQ382" t="s">
        <v>636</v>
      </c>
      <c r="CR382" t="s">
        <v>124</v>
      </c>
      <c r="CS382" t="s">
        <v>77</v>
      </c>
      <c r="CT382">
        <v>46077</v>
      </c>
      <c r="CU382">
        <v>1</v>
      </c>
      <c r="CV382">
        <v>1</v>
      </c>
      <c r="CX382">
        <v>1</v>
      </c>
      <c r="CZ382">
        <v>0</v>
      </c>
      <c r="DA382">
        <v>0</v>
      </c>
      <c r="DB382">
        <v>0.14728009259259259</v>
      </c>
      <c r="DC382">
        <v>0.20170138888888889</v>
      </c>
      <c r="DD382">
        <v>109</v>
      </c>
      <c r="DE382">
        <v>226</v>
      </c>
      <c r="DF382">
        <v>35</v>
      </c>
      <c r="DG382" t="s">
        <v>841</v>
      </c>
      <c r="DH382">
        <v>16907</v>
      </c>
      <c r="DI382">
        <v>0.3211</v>
      </c>
      <c r="DQ382">
        <v>82</v>
      </c>
    </row>
    <row r="383" spans="95:122" x14ac:dyDescent="0.25">
      <c r="CQ383" t="s">
        <v>636</v>
      </c>
      <c r="CR383" t="s">
        <v>124</v>
      </c>
      <c r="CS383" t="s">
        <v>77</v>
      </c>
      <c r="CT383">
        <v>46078</v>
      </c>
      <c r="CU383">
        <v>1</v>
      </c>
      <c r="CV383">
        <v>1</v>
      </c>
      <c r="CX383">
        <v>1</v>
      </c>
      <c r="CZ383">
        <v>0</v>
      </c>
      <c r="DA383">
        <v>0</v>
      </c>
      <c r="DB383">
        <v>0.17196759259259259</v>
      </c>
      <c r="DC383">
        <v>0.20150462962962962</v>
      </c>
      <c r="DD383">
        <v>133</v>
      </c>
      <c r="DE383">
        <v>260</v>
      </c>
      <c r="DF383">
        <v>35</v>
      </c>
      <c r="DG383" t="s">
        <v>992</v>
      </c>
      <c r="DH383">
        <v>19958</v>
      </c>
      <c r="DI383">
        <v>0.26319999999999999</v>
      </c>
      <c r="DJ383">
        <v>1</v>
      </c>
      <c r="DK383">
        <v>2.86E-2</v>
      </c>
      <c r="DL383">
        <v>430</v>
      </c>
      <c r="DM383">
        <v>430</v>
      </c>
      <c r="DN383">
        <v>430</v>
      </c>
      <c r="DO383">
        <v>1</v>
      </c>
      <c r="DQ383">
        <v>82</v>
      </c>
      <c r="DR383">
        <v>430</v>
      </c>
    </row>
    <row r="384" spans="95:122" x14ac:dyDescent="0.25">
      <c r="CQ384" t="s">
        <v>636</v>
      </c>
      <c r="CR384" t="s">
        <v>124</v>
      </c>
      <c r="CS384" t="s">
        <v>55</v>
      </c>
      <c r="CT384">
        <v>46069</v>
      </c>
      <c r="CU384">
        <v>1</v>
      </c>
      <c r="CV384">
        <v>1</v>
      </c>
      <c r="CX384">
        <v>1</v>
      </c>
      <c r="CZ384">
        <v>4.6296296296296294E-5</v>
      </c>
      <c r="DA384">
        <v>4.6296296296296294E-5</v>
      </c>
      <c r="DB384">
        <v>0.16833333333333333</v>
      </c>
      <c r="DC384">
        <v>0.18658564814814815</v>
      </c>
      <c r="DD384">
        <v>186</v>
      </c>
      <c r="DE384">
        <v>336</v>
      </c>
      <c r="DF384">
        <v>25</v>
      </c>
      <c r="DG384">
        <v>1.52</v>
      </c>
      <c r="DH384">
        <v>10467</v>
      </c>
      <c r="DI384">
        <v>0.13439999999999999</v>
      </c>
      <c r="DQ384">
        <v>82</v>
      </c>
    </row>
    <row r="385" spans="95:122" x14ac:dyDescent="0.25">
      <c r="CQ385" t="s">
        <v>636</v>
      </c>
      <c r="CR385" t="s">
        <v>124</v>
      </c>
      <c r="CS385" t="s">
        <v>55</v>
      </c>
      <c r="CT385">
        <v>46076</v>
      </c>
      <c r="CU385">
        <v>1</v>
      </c>
      <c r="CV385">
        <v>1</v>
      </c>
      <c r="CX385">
        <v>1</v>
      </c>
      <c r="CZ385">
        <v>0</v>
      </c>
      <c r="DA385">
        <v>0</v>
      </c>
      <c r="DB385">
        <v>0.1635648148148148</v>
      </c>
      <c r="DC385">
        <v>0.20068287037037036</v>
      </c>
      <c r="DD385">
        <v>150</v>
      </c>
      <c r="DE385">
        <v>259</v>
      </c>
      <c r="DF385">
        <v>32</v>
      </c>
      <c r="DG385">
        <v>1.90625</v>
      </c>
      <c r="DH385">
        <v>20090</v>
      </c>
      <c r="DI385">
        <v>0.21329999999999999</v>
      </c>
      <c r="DJ385">
        <v>4</v>
      </c>
      <c r="DK385">
        <v>0.125</v>
      </c>
      <c r="DL385">
        <v>4700</v>
      </c>
      <c r="DM385">
        <v>1175</v>
      </c>
      <c r="DN385">
        <v>4200</v>
      </c>
      <c r="DO385">
        <v>0.89359999999999995</v>
      </c>
      <c r="DP385">
        <v>0.1231</v>
      </c>
      <c r="DQ385">
        <v>82</v>
      </c>
      <c r="DR385">
        <v>1400</v>
      </c>
    </row>
    <row r="386" spans="95:122" x14ac:dyDescent="0.25">
      <c r="CQ386" t="s">
        <v>636</v>
      </c>
      <c r="CR386" t="s">
        <v>124</v>
      </c>
      <c r="CS386" t="s">
        <v>55</v>
      </c>
      <c r="CT386">
        <v>46077</v>
      </c>
      <c r="CU386">
        <v>1</v>
      </c>
      <c r="CV386">
        <v>1</v>
      </c>
      <c r="CX386">
        <v>1</v>
      </c>
      <c r="CZ386">
        <v>3.4722222222222222E-5</v>
      </c>
      <c r="DA386">
        <v>3.4722222222222222E-5</v>
      </c>
      <c r="DB386">
        <v>0.19214120370370372</v>
      </c>
      <c r="DC386">
        <v>0.13760416666666667</v>
      </c>
      <c r="DD386">
        <v>193</v>
      </c>
      <c r="DE386">
        <v>276</v>
      </c>
      <c r="DF386">
        <v>25</v>
      </c>
      <c r="DG386">
        <v>1.4</v>
      </c>
      <c r="DH386">
        <v>9232</v>
      </c>
      <c r="DI386">
        <v>0.1295</v>
      </c>
      <c r="DQ386">
        <v>82</v>
      </c>
    </row>
    <row r="387" spans="95:122" x14ac:dyDescent="0.25">
      <c r="CQ387" t="s">
        <v>636</v>
      </c>
      <c r="CR387" t="s">
        <v>124</v>
      </c>
      <c r="CS387" t="s">
        <v>544</v>
      </c>
      <c r="CT387">
        <v>46069</v>
      </c>
      <c r="CU387">
        <v>1</v>
      </c>
      <c r="CV387">
        <v>1</v>
      </c>
      <c r="CX387">
        <v>1</v>
      </c>
      <c r="CZ387">
        <v>4.6296296296296294E-5</v>
      </c>
      <c r="DA387">
        <v>4.6296296296296294E-5</v>
      </c>
      <c r="DB387">
        <v>0.20045138888888889</v>
      </c>
      <c r="DC387">
        <v>0.11079861111111111</v>
      </c>
      <c r="DD387">
        <v>177</v>
      </c>
      <c r="DE387">
        <v>245</v>
      </c>
      <c r="DF387">
        <v>29</v>
      </c>
      <c r="DG387" t="s">
        <v>971</v>
      </c>
      <c r="DH387">
        <v>17194</v>
      </c>
      <c r="DI387">
        <v>0.1638</v>
      </c>
      <c r="DQ387">
        <v>82</v>
      </c>
    </row>
    <row r="388" spans="95:122" x14ac:dyDescent="0.25">
      <c r="CQ388" t="s">
        <v>636</v>
      </c>
      <c r="CR388" t="s">
        <v>124</v>
      </c>
      <c r="CS388" t="s">
        <v>73</v>
      </c>
      <c r="CT388">
        <v>46080</v>
      </c>
      <c r="CU388">
        <v>1</v>
      </c>
      <c r="CV388">
        <v>1</v>
      </c>
      <c r="CX388">
        <v>1</v>
      </c>
      <c r="CZ388">
        <v>4.0509259259259258E-4</v>
      </c>
      <c r="DA388">
        <v>4.0509259259259258E-4</v>
      </c>
      <c r="DB388">
        <v>0.10413194444444444</v>
      </c>
      <c r="DC388">
        <v>0.1965625</v>
      </c>
      <c r="DD388">
        <v>66</v>
      </c>
      <c r="DE388">
        <v>120</v>
      </c>
      <c r="DF388">
        <v>19</v>
      </c>
      <c r="DG388" t="s">
        <v>950</v>
      </c>
      <c r="DH388">
        <v>23198</v>
      </c>
      <c r="DI388">
        <v>0.28789999999999999</v>
      </c>
      <c r="DJ388">
        <v>1</v>
      </c>
      <c r="DK388">
        <v>5.2600000000000001E-2</v>
      </c>
      <c r="DL388">
        <v>600</v>
      </c>
      <c r="DM388">
        <v>600</v>
      </c>
      <c r="DQ388">
        <v>82</v>
      </c>
    </row>
    <row r="389" spans="95:122" x14ac:dyDescent="0.25">
      <c r="CQ389" t="s">
        <v>636</v>
      </c>
      <c r="CR389" t="s">
        <v>124</v>
      </c>
      <c r="CS389" t="s">
        <v>48</v>
      </c>
      <c r="CT389">
        <v>46065</v>
      </c>
      <c r="CU389">
        <v>1</v>
      </c>
      <c r="CV389">
        <v>1</v>
      </c>
      <c r="CX389">
        <v>1</v>
      </c>
      <c r="CZ389">
        <v>8.1018518518518516E-5</v>
      </c>
      <c r="DA389">
        <v>8.1018518518518516E-5</v>
      </c>
      <c r="DB389">
        <v>4.8344907407407406E-2</v>
      </c>
      <c r="DC389">
        <v>5.7858796296296297E-2</v>
      </c>
      <c r="DD389">
        <v>89</v>
      </c>
      <c r="DE389">
        <v>115</v>
      </c>
      <c r="DF389">
        <v>28</v>
      </c>
      <c r="DG389" t="s">
        <v>988</v>
      </c>
      <c r="DH389">
        <v>13445</v>
      </c>
      <c r="DI389">
        <v>0.31459999999999999</v>
      </c>
      <c r="DJ389">
        <v>1</v>
      </c>
      <c r="DK389">
        <v>3.5700000000000003E-2</v>
      </c>
      <c r="DL389">
        <v>410</v>
      </c>
      <c r="DM389">
        <v>410</v>
      </c>
      <c r="DQ389">
        <v>82</v>
      </c>
    </row>
    <row r="390" spans="95:122" x14ac:dyDescent="0.25">
      <c r="CQ390" t="s">
        <v>636</v>
      </c>
      <c r="CR390" t="s">
        <v>124</v>
      </c>
      <c r="CS390" t="s">
        <v>48</v>
      </c>
      <c r="CT390">
        <v>46069</v>
      </c>
      <c r="CU390">
        <v>1</v>
      </c>
      <c r="CV390">
        <v>1</v>
      </c>
      <c r="CX390">
        <v>1</v>
      </c>
      <c r="CZ390">
        <v>4.6296296296296294E-5</v>
      </c>
      <c r="DA390">
        <v>4.6296296296296294E-5</v>
      </c>
      <c r="DB390">
        <v>0.18988425925925925</v>
      </c>
      <c r="DC390">
        <v>0.15547453703703704</v>
      </c>
      <c r="DD390">
        <v>96</v>
      </c>
      <c r="DE390">
        <v>141</v>
      </c>
      <c r="DF390">
        <v>23</v>
      </c>
      <c r="DG390" t="s">
        <v>895</v>
      </c>
      <c r="DH390">
        <v>14654</v>
      </c>
      <c r="DI390">
        <v>0.23960000000000001</v>
      </c>
      <c r="DQ390">
        <v>82</v>
      </c>
    </row>
    <row r="391" spans="95:122" x14ac:dyDescent="0.25">
      <c r="CQ391" t="s">
        <v>636</v>
      </c>
      <c r="CR391" t="s">
        <v>124</v>
      </c>
      <c r="CS391" t="s">
        <v>48</v>
      </c>
      <c r="CT391">
        <v>46076</v>
      </c>
      <c r="CU391">
        <v>1</v>
      </c>
      <c r="CV391">
        <v>1</v>
      </c>
      <c r="CX391">
        <v>1</v>
      </c>
      <c r="CZ391">
        <v>2.3148148148148147E-5</v>
      </c>
      <c r="DA391">
        <v>2.3148148148148147E-5</v>
      </c>
      <c r="DB391">
        <v>0.15923611111111111</v>
      </c>
      <c r="DC391">
        <v>0.18607638888888889</v>
      </c>
      <c r="DD391">
        <v>62</v>
      </c>
      <c r="DE391">
        <v>100</v>
      </c>
      <c r="DF391">
        <v>26</v>
      </c>
      <c r="DG391" t="s">
        <v>779</v>
      </c>
      <c r="DH391">
        <v>16790</v>
      </c>
      <c r="DI391">
        <v>0.4194</v>
      </c>
      <c r="DJ391">
        <v>1</v>
      </c>
      <c r="DK391">
        <v>3.85E-2</v>
      </c>
      <c r="DL391">
        <v>3500</v>
      </c>
      <c r="DM391">
        <v>3500</v>
      </c>
      <c r="DN391">
        <v>3500</v>
      </c>
      <c r="DO391">
        <v>1</v>
      </c>
      <c r="DP391">
        <v>0.21110000000000001</v>
      </c>
      <c r="DQ391">
        <v>82</v>
      </c>
      <c r="DR391">
        <v>3500</v>
      </c>
    </row>
    <row r="392" spans="95:122" x14ac:dyDescent="0.25">
      <c r="CQ392" t="s">
        <v>636</v>
      </c>
      <c r="CR392" t="s">
        <v>124</v>
      </c>
      <c r="CS392" t="s">
        <v>48</v>
      </c>
      <c r="CT392">
        <v>46077</v>
      </c>
      <c r="CU392">
        <v>1</v>
      </c>
      <c r="CV392">
        <v>1</v>
      </c>
      <c r="CX392">
        <v>1</v>
      </c>
      <c r="CZ392">
        <v>0</v>
      </c>
      <c r="DA392">
        <v>0</v>
      </c>
      <c r="DB392">
        <v>0.18506944444444445</v>
      </c>
      <c r="DC392">
        <v>0.20707175925925925</v>
      </c>
      <c r="DD392">
        <v>100</v>
      </c>
      <c r="DE392">
        <v>136</v>
      </c>
      <c r="DF392">
        <v>21</v>
      </c>
      <c r="DG392" t="s">
        <v>1009</v>
      </c>
      <c r="DH392">
        <v>22162</v>
      </c>
      <c r="DI392">
        <v>0.21</v>
      </c>
      <c r="DQ392">
        <v>82</v>
      </c>
    </row>
    <row r="393" spans="95:122" x14ac:dyDescent="0.25">
      <c r="CQ393" t="s">
        <v>636</v>
      </c>
      <c r="CR393" t="s">
        <v>125</v>
      </c>
      <c r="CS393" t="s">
        <v>60</v>
      </c>
      <c r="CT393">
        <v>46081</v>
      </c>
      <c r="CU393">
        <v>1</v>
      </c>
      <c r="CV393">
        <v>1</v>
      </c>
      <c r="CX393">
        <v>1</v>
      </c>
      <c r="CZ393">
        <v>1.1574074074074073E-5</v>
      </c>
      <c r="DA393">
        <v>1.1574074074074073E-5</v>
      </c>
      <c r="DB393">
        <v>0.12792824074074075</v>
      </c>
      <c r="DC393">
        <v>5.271990740740741E-2</v>
      </c>
      <c r="DD393">
        <v>18</v>
      </c>
      <c r="DE393">
        <v>27</v>
      </c>
      <c r="DF393">
        <v>5</v>
      </c>
      <c r="DG393">
        <v>2.4</v>
      </c>
      <c r="DH393">
        <v>22557</v>
      </c>
      <c r="DI393">
        <v>0.27779999999999999</v>
      </c>
      <c r="DQ393">
        <v>82</v>
      </c>
    </row>
    <row r="394" spans="95:122" x14ac:dyDescent="0.25">
      <c r="CQ394" t="s">
        <v>636</v>
      </c>
      <c r="CR394" t="s">
        <v>125</v>
      </c>
      <c r="CS394" t="s">
        <v>85</v>
      </c>
      <c r="CT394">
        <v>46081</v>
      </c>
      <c r="CU394">
        <v>1</v>
      </c>
      <c r="CV394">
        <v>1</v>
      </c>
      <c r="CX394">
        <v>1</v>
      </c>
      <c r="CZ394">
        <v>1.8055555555555555E-3</v>
      </c>
      <c r="DA394">
        <v>1.8055555555555555E-3</v>
      </c>
      <c r="DB394">
        <v>0.18056712962962962</v>
      </c>
      <c r="DC394">
        <v>8.819444444444444E-3</v>
      </c>
      <c r="DD394">
        <v>55</v>
      </c>
      <c r="DE394">
        <v>102</v>
      </c>
      <c r="DF394">
        <v>11</v>
      </c>
      <c r="DG394" t="s">
        <v>807</v>
      </c>
      <c r="DH394">
        <v>31004</v>
      </c>
      <c r="DI394">
        <v>0.2</v>
      </c>
      <c r="DQ394">
        <v>82</v>
      </c>
    </row>
    <row r="395" spans="95:122" x14ac:dyDescent="0.25">
      <c r="CQ395" t="s">
        <v>636</v>
      </c>
      <c r="CR395" t="s">
        <v>125</v>
      </c>
      <c r="CS395" t="s">
        <v>12</v>
      </c>
      <c r="CT395">
        <v>46069</v>
      </c>
      <c r="CU395">
        <v>1</v>
      </c>
      <c r="CV395">
        <v>1</v>
      </c>
      <c r="CX395">
        <v>1</v>
      </c>
      <c r="CZ395">
        <v>1.5046296296296297E-4</v>
      </c>
      <c r="DA395">
        <v>1.5046296296296297E-4</v>
      </c>
      <c r="DB395">
        <v>0.20734953703703704</v>
      </c>
      <c r="DC395">
        <v>0.14653935185185185</v>
      </c>
      <c r="DD395">
        <v>88</v>
      </c>
      <c r="DE395">
        <v>292</v>
      </c>
      <c r="DF395">
        <v>22</v>
      </c>
      <c r="DG395" t="s">
        <v>852</v>
      </c>
      <c r="DH395">
        <v>23231</v>
      </c>
      <c r="DI395">
        <v>0.25</v>
      </c>
      <c r="DJ395">
        <v>1</v>
      </c>
      <c r="DK395">
        <v>4.5499999999999999E-2</v>
      </c>
      <c r="DL395">
        <v>2500</v>
      </c>
      <c r="DM395">
        <v>2500</v>
      </c>
      <c r="DN395">
        <v>2500</v>
      </c>
      <c r="DO395">
        <v>1</v>
      </c>
      <c r="DP395">
        <v>0.27239999999999998</v>
      </c>
      <c r="DQ395">
        <v>82</v>
      </c>
      <c r="DR395">
        <v>2500</v>
      </c>
    </row>
    <row r="396" spans="95:122" x14ac:dyDescent="0.25">
      <c r="CQ396" t="s">
        <v>636</v>
      </c>
      <c r="CR396" t="s">
        <v>125</v>
      </c>
      <c r="CS396" t="s">
        <v>122</v>
      </c>
      <c r="CT396">
        <v>46077</v>
      </c>
      <c r="CU396">
        <v>1</v>
      </c>
      <c r="CV396">
        <v>1</v>
      </c>
      <c r="CX396">
        <v>1</v>
      </c>
      <c r="CZ396">
        <v>0</v>
      </c>
      <c r="DA396">
        <v>0</v>
      </c>
      <c r="DB396">
        <v>0.16115740740740742</v>
      </c>
      <c r="DC396">
        <v>0.14458333333333334</v>
      </c>
      <c r="DD396">
        <v>47</v>
      </c>
      <c r="DE396">
        <v>177</v>
      </c>
      <c r="DF396">
        <v>14</v>
      </c>
      <c r="DG396" t="s">
        <v>705</v>
      </c>
      <c r="DH396">
        <v>31043</v>
      </c>
      <c r="DI396">
        <v>0.2979</v>
      </c>
      <c r="DJ396">
        <v>1</v>
      </c>
      <c r="DK396">
        <v>7.1400000000000005E-2</v>
      </c>
      <c r="DL396">
        <v>2000</v>
      </c>
      <c r="DM396">
        <v>2000</v>
      </c>
      <c r="DN396">
        <v>2000</v>
      </c>
      <c r="DO396">
        <v>1</v>
      </c>
      <c r="DP396">
        <v>0.10639999999999999</v>
      </c>
      <c r="DQ396">
        <v>82</v>
      </c>
      <c r="DR396">
        <v>2000</v>
      </c>
    </row>
    <row r="397" spans="95:122" x14ac:dyDescent="0.25">
      <c r="CQ397" t="s">
        <v>636</v>
      </c>
      <c r="CR397" t="s">
        <v>125</v>
      </c>
      <c r="CS397" t="s">
        <v>122</v>
      </c>
      <c r="CT397">
        <v>46080</v>
      </c>
      <c r="CU397">
        <v>1</v>
      </c>
      <c r="CV397">
        <v>1</v>
      </c>
      <c r="CW397">
        <v>1</v>
      </c>
      <c r="CZ397">
        <v>4.6874999999999998E-3</v>
      </c>
      <c r="DA397">
        <v>4.6874999999999998E-3</v>
      </c>
      <c r="DB397">
        <v>0.11684027777777778</v>
      </c>
      <c r="DC397">
        <v>0.26957175925925925</v>
      </c>
      <c r="DD397">
        <v>45</v>
      </c>
      <c r="DE397">
        <v>195</v>
      </c>
      <c r="DF397">
        <v>14</v>
      </c>
      <c r="DG397" t="s">
        <v>679</v>
      </c>
      <c r="DH397">
        <v>23088</v>
      </c>
      <c r="DI397">
        <v>0.31109999999999999</v>
      </c>
      <c r="DJ397">
        <v>2</v>
      </c>
      <c r="DK397">
        <v>0.1429</v>
      </c>
      <c r="DL397">
        <v>6000</v>
      </c>
      <c r="DM397">
        <v>3000</v>
      </c>
      <c r="DN397">
        <v>6000</v>
      </c>
      <c r="DO397">
        <v>1</v>
      </c>
      <c r="DP397">
        <v>0.15840000000000001</v>
      </c>
      <c r="DQ397">
        <v>82</v>
      </c>
      <c r="DR397">
        <v>3000</v>
      </c>
    </row>
    <row r="398" spans="95:122" x14ac:dyDescent="0.25">
      <c r="CQ398" t="s">
        <v>636</v>
      </c>
      <c r="CR398" t="s">
        <v>125</v>
      </c>
      <c r="CS398" t="s">
        <v>122</v>
      </c>
      <c r="CT398">
        <v>46081</v>
      </c>
      <c r="CU398">
        <v>1</v>
      </c>
      <c r="CV398">
        <v>1</v>
      </c>
      <c r="CX398">
        <v>1</v>
      </c>
      <c r="CZ398">
        <v>0</v>
      </c>
      <c r="DA398">
        <v>0</v>
      </c>
      <c r="DB398">
        <v>8.3379629629629623E-2</v>
      </c>
      <c r="DC398">
        <v>0.10748842592592593</v>
      </c>
      <c r="DD398">
        <v>16</v>
      </c>
      <c r="DE398">
        <v>62</v>
      </c>
      <c r="DF398">
        <v>10</v>
      </c>
      <c r="DG398">
        <v>1.4</v>
      </c>
      <c r="DH398">
        <v>25946</v>
      </c>
      <c r="DI398">
        <v>0.625</v>
      </c>
      <c r="DQ398">
        <v>82</v>
      </c>
    </row>
    <row r="399" spans="95:122" x14ac:dyDescent="0.25">
      <c r="CQ399" t="s">
        <v>636</v>
      </c>
      <c r="CR399" t="s">
        <v>125</v>
      </c>
      <c r="CS399" t="s">
        <v>75</v>
      </c>
      <c r="CT399">
        <v>46080</v>
      </c>
      <c r="CU399">
        <v>1</v>
      </c>
      <c r="CV399">
        <v>1</v>
      </c>
      <c r="CX399">
        <v>1</v>
      </c>
      <c r="CZ399">
        <v>1.5046296296296297E-4</v>
      </c>
      <c r="DA399">
        <v>1.5046296296296297E-4</v>
      </c>
      <c r="DB399">
        <v>0.21960648148148149</v>
      </c>
      <c r="DC399">
        <v>0.1482175925925926</v>
      </c>
      <c r="DD399">
        <v>79</v>
      </c>
      <c r="DE399">
        <v>189</v>
      </c>
      <c r="DF399">
        <v>16</v>
      </c>
      <c r="DG399">
        <v>2.25</v>
      </c>
      <c r="DH399">
        <v>29136</v>
      </c>
      <c r="DI399">
        <v>0.20250000000000001</v>
      </c>
      <c r="DJ399">
        <v>1</v>
      </c>
      <c r="DK399">
        <v>6.25E-2</v>
      </c>
      <c r="DL399">
        <v>1200</v>
      </c>
      <c r="DM399">
        <v>1200</v>
      </c>
      <c r="DN399">
        <v>1200</v>
      </c>
      <c r="DO399">
        <v>1</v>
      </c>
      <c r="DP399">
        <v>0.2404</v>
      </c>
      <c r="DQ399">
        <v>82</v>
      </c>
      <c r="DR399">
        <v>1200</v>
      </c>
    </row>
    <row r="400" spans="95:122" x14ac:dyDescent="0.25">
      <c r="CQ400" t="s">
        <v>636</v>
      </c>
      <c r="CR400" t="s">
        <v>125</v>
      </c>
      <c r="CS400" t="s">
        <v>206</v>
      </c>
      <c r="CT400">
        <v>46077</v>
      </c>
      <c r="CU400">
        <v>1</v>
      </c>
      <c r="CV400">
        <v>1</v>
      </c>
      <c r="CX400">
        <v>1</v>
      </c>
      <c r="CZ400">
        <v>1.5046296296296297E-4</v>
      </c>
      <c r="DA400">
        <v>1.5046296296296297E-4</v>
      </c>
      <c r="DB400">
        <v>0.19498842592592591</v>
      </c>
      <c r="DC400">
        <v>0.1766550925925926</v>
      </c>
      <c r="DD400">
        <v>122</v>
      </c>
      <c r="DE400">
        <v>268</v>
      </c>
      <c r="DF400">
        <v>25</v>
      </c>
      <c r="DG400">
        <v>1.8</v>
      </c>
      <c r="DH400">
        <v>27644</v>
      </c>
      <c r="DI400">
        <v>0.2049</v>
      </c>
      <c r="DJ400">
        <v>1</v>
      </c>
      <c r="DK400">
        <v>0.04</v>
      </c>
      <c r="DL400">
        <v>3500</v>
      </c>
      <c r="DM400">
        <v>3500</v>
      </c>
      <c r="DN400">
        <v>3500</v>
      </c>
      <c r="DO400">
        <v>1</v>
      </c>
      <c r="DP400">
        <v>0.1081</v>
      </c>
      <c r="DQ400">
        <v>82</v>
      </c>
      <c r="DR400">
        <v>3500</v>
      </c>
    </row>
    <row r="401" spans="95:122" x14ac:dyDescent="0.25">
      <c r="CQ401" t="s">
        <v>636</v>
      </c>
      <c r="CR401" t="s">
        <v>125</v>
      </c>
      <c r="CS401" t="s">
        <v>206</v>
      </c>
      <c r="CT401">
        <v>46081</v>
      </c>
      <c r="CU401">
        <v>1</v>
      </c>
      <c r="CV401">
        <v>1</v>
      </c>
      <c r="CX401">
        <v>1</v>
      </c>
      <c r="CZ401">
        <v>1.0416666666666667E-4</v>
      </c>
      <c r="DA401">
        <v>1.0416666666666667E-4</v>
      </c>
      <c r="DB401">
        <v>0.10572916666666667</v>
      </c>
      <c r="DC401">
        <v>9.3379629629629632E-2</v>
      </c>
      <c r="DD401">
        <v>88</v>
      </c>
      <c r="DE401">
        <v>154</v>
      </c>
      <c r="DF401">
        <v>21</v>
      </c>
      <c r="DG401" t="s">
        <v>850</v>
      </c>
      <c r="DH401">
        <v>39802</v>
      </c>
      <c r="DI401">
        <v>0.23860000000000001</v>
      </c>
      <c r="DQ401">
        <v>82</v>
      </c>
    </row>
    <row r="402" spans="95:122" x14ac:dyDescent="0.25">
      <c r="CQ402" t="s">
        <v>636</v>
      </c>
      <c r="CR402" t="s">
        <v>125</v>
      </c>
      <c r="CS402" t="s">
        <v>59</v>
      </c>
      <c r="CT402">
        <v>46064</v>
      </c>
      <c r="CU402">
        <v>1</v>
      </c>
      <c r="CV402">
        <v>1</v>
      </c>
      <c r="CX402">
        <v>1</v>
      </c>
      <c r="CZ402">
        <v>2.3148148148148147E-5</v>
      </c>
      <c r="DA402">
        <v>2.3148148148148147E-5</v>
      </c>
      <c r="DB402">
        <v>2.3032407407407408E-2</v>
      </c>
      <c r="DC402">
        <v>2.3877314814814816E-2</v>
      </c>
      <c r="DD402">
        <v>175</v>
      </c>
      <c r="DE402">
        <v>391</v>
      </c>
      <c r="DF402">
        <v>16</v>
      </c>
      <c r="DG402">
        <v>2.0625</v>
      </c>
      <c r="DH402">
        <v>57246</v>
      </c>
      <c r="DI402">
        <v>9.1399999999999995E-2</v>
      </c>
      <c r="DJ402">
        <v>1</v>
      </c>
      <c r="DK402">
        <v>6.25E-2</v>
      </c>
      <c r="DL402">
        <v>2000</v>
      </c>
      <c r="DM402">
        <v>2000</v>
      </c>
      <c r="DN402">
        <v>2000</v>
      </c>
      <c r="DO402">
        <v>1</v>
      </c>
      <c r="DP402">
        <v>0.20300000000000001</v>
      </c>
      <c r="DQ402">
        <v>82</v>
      </c>
      <c r="DR402">
        <v>2000</v>
      </c>
    </row>
    <row r="403" spans="95:122" x14ac:dyDescent="0.25">
      <c r="CQ403" t="s">
        <v>636</v>
      </c>
      <c r="CR403" t="s">
        <v>125</v>
      </c>
      <c r="CS403" t="s">
        <v>59</v>
      </c>
      <c r="CT403">
        <v>46081</v>
      </c>
      <c r="CU403">
        <v>1</v>
      </c>
      <c r="CV403">
        <v>1</v>
      </c>
      <c r="CX403">
        <v>1</v>
      </c>
      <c r="CZ403">
        <v>0</v>
      </c>
      <c r="DA403">
        <v>0</v>
      </c>
      <c r="DB403">
        <v>0.16040509259259259</v>
      </c>
      <c r="DC403">
        <v>2.326388888888889E-2</v>
      </c>
      <c r="DD403">
        <v>42</v>
      </c>
      <c r="DE403">
        <v>74</v>
      </c>
      <c r="DF403">
        <v>13</v>
      </c>
      <c r="DG403" t="s">
        <v>708</v>
      </c>
      <c r="DH403">
        <v>39484</v>
      </c>
      <c r="DI403">
        <v>0.3095</v>
      </c>
      <c r="DQ403">
        <v>82</v>
      </c>
    </row>
    <row r="404" spans="95:122" x14ac:dyDescent="0.25">
      <c r="CQ404" t="s">
        <v>636</v>
      </c>
      <c r="CR404" t="s">
        <v>125</v>
      </c>
      <c r="CS404" t="s">
        <v>10</v>
      </c>
      <c r="CT404">
        <v>46059</v>
      </c>
      <c r="CU404">
        <v>1</v>
      </c>
      <c r="CV404">
        <v>1</v>
      </c>
      <c r="CX404">
        <v>1</v>
      </c>
      <c r="CZ404">
        <v>8.1018518518518516E-5</v>
      </c>
      <c r="DA404">
        <v>8.1018518518518516E-5</v>
      </c>
      <c r="DB404">
        <v>6.1203703703703705E-2</v>
      </c>
      <c r="DC404">
        <v>1.3425925925925926E-2</v>
      </c>
      <c r="DD404">
        <v>122</v>
      </c>
      <c r="DE404">
        <v>241</v>
      </c>
      <c r="DF404">
        <v>15</v>
      </c>
      <c r="DG404">
        <v>1.6</v>
      </c>
      <c r="DH404">
        <v>13861</v>
      </c>
      <c r="DI404">
        <v>0.123</v>
      </c>
      <c r="DJ404">
        <v>1</v>
      </c>
      <c r="DK404">
        <v>6.6699999999999995E-2</v>
      </c>
      <c r="DL404">
        <v>100</v>
      </c>
      <c r="DM404">
        <v>100</v>
      </c>
      <c r="DN404">
        <v>100</v>
      </c>
      <c r="DO404">
        <v>1</v>
      </c>
      <c r="DP404">
        <v>0.38969999999999999</v>
      </c>
      <c r="DQ404">
        <v>82</v>
      </c>
      <c r="DR404">
        <v>100</v>
      </c>
    </row>
    <row r="405" spans="95:122" x14ac:dyDescent="0.25">
      <c r="CQ405" t="s">
        <v>636</v>
      </c>
      <c r="CR405" t="s">
        <v>125</v>
      </c>
      <c r="CS405" t="s">
        <v>10</v>
      </c>
      <c r="CT405">
        <v>46070</v>
      </c>
      <c r="CU405">
        <v>1</v>
      </c>
      <c r="CV405">
        <v>1</v>
      </c>
      <c r="CX405">
        <v>1</v>
      </c>
      <c r="CZ405">
        <v>1.273148148148148E-4</v>
      </c>
      <c r="DA405">
        <v>1.273148148148148E-4</v>
      </c>
      <c r="DB405">
        <v>0.2310763888888889</v>
      </c>
      <c r="DC405">
        <v>0.1174537037037037</v>
      </c>
      <c r="DD405">
        <v>127</v>
      </c>
      <c r="DE405">
        <v>254</v>
      </c>
      <c r="DF405">
        <v>26</v>
      </c>
      <c r="DG405" t="s">
        <v>733</v>
      </c>
      <c r="DH405">
        <v>45104</v>
      </c>
      <c r="DI405">
        <v>0.20469999999999999</v>
      </c>
      <c r="DJ405">
        <v>1</v>
      </c>
      <c r="DK405">
        <v>3.85E-2</v>
      </c>
      <c r="DL405">
        <v>1500</v>
      </c>
      <c r="DM405">
        <v>1500</v>
      </c>
      <c r="DQ405">
        <v>82</v>
      </c>
    </row>
    <row r="406" spans="95:122" x14ac:dyDescent="0.25">
      <c r="CQ406" t="s">
        <v>636</v>
      </c>
      <c r="CR406" t="s">
        <v>125</v>
      </c>
      <c r="CS406" t="s">
        <v>10</v>
      </c>
      <c r="CT406">
        <v>46076</v>
      </c>
      <c r="CU406">
        <v>1</v>
      </c>
      <c r="CV406">
        <v>1</v>
      </c>
      <c r="CX406">
        <v>1</v>
      </c>
      <c r="CZ406">
        <v>8.1018518518518516E-5</v>
      </c>
      <c r="DA406">
        <v>8.1018518518518516E-5</v>
      </c>
      <c r="DB406">
        <v>0.17855324074074075</v>
      </c>
      <c r="DC406">
        <v>0.17407407407407408</v>
      </c>
      <c r="DD406">
        <v>124</v>
      </c>
      <c r="DE406">
        <v>213</v>
      </c>
      <c r="DF406">
        <v>16</v>
      </c>
      <c r="DG406">
        <v>2.3125</v>
      </c>
      <c r="DH406">
        <v>33699</v>
      </c>
      <c r="DI406">
        <v>0.129</v>
      </c>
      <c r="DJ406">
        <v>2</v>
      </c>
      <c r="DK406">
        <v>0.125</v>
      </c>
      <c r="DL406">
        <v>4500</v>
      </c>
      <c r="DM406">
        <v>2250</v>
      </c>
      <c r="DN406">
        <v>1500</v>
      </c>
      <c r="DO406">
        <v>0.33329999999999999</v>
      </c>
      <c r="DP406">
        <v>5.7299999999999997E-2</v>
      </c>
      <c r="DQ406">
        <v>82</v>
      </c>
      <c r="DR406">
        <v>1500</v>
      </c>
    </row>
    <row r="407" spans="95:122" x14ac:dyDescent="0.25">
      <c r="CQ407" t="s">
        <v>636</v>
      </c>
      <c r="CR407" t="s">
        <v>2</v>
      </c>
      <c r="CS407" t="s">
        <v>15</v>
      </c>
      <c r="CT407">
        <v>46065</v>
      </c>
      <c r="CU407">
        <v>1</v>
      </c>
      <c r="CV407">
        <v>1</v>
      </c>
      <c r="CX407">
        <v>1</v>
      </c>
      <c r="CZ407">
        <v>8.1018518518518516E-5</v>
      </c>
      <c r="DA407">
        <v>8.1018518518518516E-5</v>
      </c>
      <c r="DB407">
        <v>2.7210648148148147E-2</v>
      </c>
      <c r="DC407">
        <v>2.9942129629629631E-2</v>
      </c>
      <c r="DD407">
        <v>95</v>
      </c>
      <c r="DE407">
        <v>145</v>
      </c>
      <c r="DF407">
        <v>43</v>
      </c>
      <c r="DG407" t="s">
        <v>1106</v>
      </c>
      <c r="DH407">
        <v>36032</v>
      </c>
      <c r="DI407">
        <v>0.4526</v>
      </c>
      <c r="DJ407">
        <v>1</v>
      </c>
      <c r="DK407">
        <v>2.3300000000000001E-2</v>
      </c>
      <c r="DL407">
        <v>4000</v>
      </c>
      <c r="DM407">
        <v>4000</v>
      </c>
      <c r="DN407">
        <v>4000</v>
      </c>
      <c r="DO407">
        <v>1</v>
      </c>
      <c r="DP407">
        <v>0.1278</v>
      </c>
      <c r="DQ407">
        <v>82</v>
      </c>
      <c r="DR407">
        <v>4000</v>
      </c>
    </row>
    <row r="408" spans="95:122" x14ac:dyDescent="0.25">
      <c r="CQ408" t="s">
        <v>636</v>
      </c>
      <c r="CR408" t="s">
        <v>2</v>
      </c>
      <c r="CS408" t="s">
        <v>15</v>
      </c>
      <c r="CT408">
        <v>46066</v>
      </c>
      <c r="CU408">
        <v>1</v>
      </c>
      <c r="CV408">
        <v>1</v>
      </c>
      <c r="CX408">
        <v>1</v>
      </c>
      <c r="CZ408">
        <v>2.3148148148148147E-5</v>
      </c>
      <c r="DA408">
        <v>2.3148148148148147E-5</v>
      </c>
      <c r="DB408">
        <v>0.20958333333333334</v>
      </c>
      <c r="DC408">
        <v>0.13362268518518519</v>
      </c>
      <c r="DD408">
        <v>82</v>
      </c>
      <c r="DE408">
        <v>105</v>
      </c>
      <c r="DF408">
        <v>19</v>
      </c>
      <c r="DG408">
        <v>2</v>
      </c>
      <c r="DH408">
        <v>24500</v>
      </c>
      <c r="DI408">
        <v>0.23169999999999999</v>
      </c>
      <c r="DQ408">
        <v>82</v>
      </c>
    </row>
    <row r="409" spans="95:122" x14ac:dyDescent="0.25">
      <c r="CQ409" t="s">
        <v>636</v>
      </c>
      <c r="CR409" t="s">
        <v>2</v>
      </c>
      <c r="CS409" t="s">
        <v>15</v>
      </c>
      <c r="CT409">
        <v>46071</v>
      </c>
      <c r="CU409">
        <v>1</v>
      </c>
      <c r="CV409">
        <v>1</v>
      </c>
      <c r="CX409">
        <v>1</v>
      </c>
      <c r="CZ409">
        <v>4.6296296296296294E-5</v>
      </c>
      <c r="DA409">
        <v>4.6296296296296294E-5</v>
      </c>
      <c r="DB409">
        <v>0.19783564814814814</v>
      </c>
      <c r="DC409">
        <v>0.14028935185185185</v>
      </c>
      <c r="DD409">
        <v>131</v>
      </c>
      <c r="DE409">
        <v>156</v>
      </c>
      <c r="DF409">
        <v>26</v>
      </c>
      <c r="DG409" t="s">
        <v>799</v>
      </c>
      <c r="DH409">
        <v>17731</v>
      </c>
      <c r="DI409">
        <v>0.19850000000000001</v>
      </c>
      <c r="DQ409">
        <v>82</v>
      </c>
    </row>
    <row r="410" spans="95:122" x14ac:dyDescent="0.25">
      <c r="CQ410" t="s">
        <v>636</v>
      </c>
      <c r="CR410" t="s">
        <v>2</v>
      </c>
      <c r="CS410" t="s">
        <v>15</v>
      </c>
      <c r="CT410">
        <v>46072</v>
      </c>
      <c r="CU410">
        <v>1</v>
      </c>
      <c r="CV410">
        <v>1</v>
      </c>
      <c r="CX410">
        <v>1</v>
      </c>
      <c r="CZ410">
        <v>1.0416666666666667E-4</v>
      </c>
      <c r="DA410">
        <v>1.0416666666666667E-4</v>
      </c>
      <c r="DB410">
        <v>0.21532407407407408</v>
      </c>
      <c r="DC410">
        <v>0.13452546296296297</v>
      </c>
      <c r="DD410">
        <v>131</v>
      </c>
      <c r="DE410">
        <v>164</v>
      </c>
      <c r="DF410">
        <v>30</v>
      </c>
      <c r="DG410" t="s">
        <v>810</v>
      </c>
      <c r="DH410">
        <v>16404</v>
      </c>
      <c r="DI410">
        <v>0.22900000000000001</v>
      </c>
      <c r="DQ410">
        <v>82</v>
      </c>
    </row>
    <row r="411" spans="95:122" x14ac:dyDescent="0.25">
      <c r="CQ411" t="s">
        <v>636</v>
      </c>
      <c r="CR411" t="s">
        <v>2</v>
      </c>
      <c r="CS411" t="s">
        <v>15</v>
      </c>
      <c r="CT411">
        <v>46073</v>
      </c>
      <c r="CU411">
        <v>1</v>
      </c>
      <c r="CV411">
        <v>1</v>
      </c>
      <c r="CX411">
        <v>1</v>
      </c>
      <c r="CZ411">
        <v>1.1574074074074075E-4</v>
      </c>
      <c r="DA411">
        <v>1.1574074074074075E-4</v>
      </c>
      <c r="DB411">
        <v>0.14851851851851852</v>
      </c>
      <c r="DC411">
        <v>0.16902777777777778</v>
      </c>
      <c r="DD411">
        <v>109</v>
      </c>
      <c r="DE411">
        <v>134</v>
      </c>
      <c r="DF411">
        <v>25</v>
      </c>
      <c r="DG411">
        <v>1.64</v>
      </c>
      <c r="DH411">
        <v>22332</v>
      </c>
      <c r="DI411">
        <v>0.22939999999999999</v>
      </c>
      <c r="DJ411">
        <v>2</v>
      </c>
      <c r="DK411">
        <v>0.08</v>
      </c>
      <c r="DL411">
        <v>1950</v>
      </c>
      <c r="DM411">
        <v>975</v>
      </c>
      <c r="DN411">
        <v>1600</v>
      </c>
      <c r="DO411">
        <v>0.82050000000000001</v>
      </c>
      <c r="DP411">
        <v>0.18110000000000001</v>
      </c>
      <c r="DQ411">
        <v>82</v>
      </c>
      <c r="DR411">
        <v>1600</v>
      </c>
    </row>
    <row r="412" spans="95:122" x14ac:dyDescent="0.25">
      <c r="CQ412" t="s">
        <v>636</v>
      </c>
      <c r="CR412" t="s">
        <v>2</v>
      </c>
      <c r="CS412" t="s">
        <v>15</v>
      </c>
      <c r="CT412">
        <v>46078</v>
      </c>
      <c r="CU412">
        <v>1</v>
      </c>
      <c r="CV412">
        <v>1</v>
      </c>
      <c r="CX412">
        <v>1</v>
      </c>
      <c r="CZ412">
        <v>1.273148148148148E-4</v>
      </c>
      <c r="DA412">
        <v>1.273148148148148E-4</v>
      </c>
      <c r="DB412">
        <v>0.1582523148148148</v>
      </c>
      <c r="DC412">
        <v>0.18505787037037036</v>
      </c>
      <c r="DD412">
        <v>91</v>
      </c>
      <c r="DE412">
        <v>136</v>
      </c>
      <c r="DF412">
        <v>35</v>
      </c>
      <c r="DG412" t="s">
        <v>803</v>
      </c>
      <c r="DH412">
        <v>20515</v>
      </c>
      <c r="DI412">
        <v>0.3846</v>
      </c>
      <c r="DJ412">
        <v>1</v>
      </c>
      <c r="DK412">
        <v>2.86E-2</v>
      </c>
      <c r="DL412">
        <v>360</v>
      </c>
      <c r="DM412">
        <v>360</v>
      </c>
      <c r="DQ412">
        <v>82</v>
      </c>
    </row>
    <row r="413" spans="95:122" x14ac:dyDescent="0.25">
      <c r="CQ413" t="s">
        <v>636</v>
      </c>
      <c r="CR413" t="s">
        <v>2</v>
      </c>
      <c r="CS413" t="s">
        <v>42</v>
      </c>
      <c r="CT413">
        <v>46066</v>
      </c>
      <c r="CU413">
        <v>1</v>
      </c>
      <c r="CV413">
        <v>1</v>
      </c>
      <c r="CX413">
        <v>1</v>
      </c>
      <c r="CZ413">
        <v>1.9675925925925926E-4</v>
      </c>
      <c r="DA413">
        <v>1.9675925925925926E-4</v>
      </c>
      <c r="DB413">
        <v>0.25199074074074074</v>
      </c>
      <c r="DC413">
        <v>0.17945601851851853</v>
      </c>
      <c r="DD413">
        <v>81</v>
      </c>
      <c r="DE413">
        <v>178</v>
      </c>
      <c r="DF413">
        <v>28</v>
      </c>
      <c r="DG413" t="s">
        <v>745</v>
      </c>
      <c r="DH413">
        <v>23471</v>
      </c>
      <c r="DI413">
        <v>0.34570000000000001</v>
      </c>
      <c r="DQ413">
        <v>82</v>
      </c>
    </row>
    <row r="414" spans="95:122" x14ac:dyDescent="0.25">
      <c r="CQ414" t="s">
        <v>636</v>
      </c>
      <c r="CR414" t="s">
        <v>2</v>
      </c>
      <c r="CS414" t="s">
        <v>42</v>
      </c>
      <c r="CT414">
        <v>46076</v>
      </c>
      <c r="CU414">
        <v>1</v>
      </c>
      <c r="CV414">
        <v>1</v>
      </c>
      <c r="CX414">
        <v>1</v>
      </c>
      <c r="CZ414">
        <v>2.199074074074074E-4</v>
      </c>
      <c r="DA414">
        <v>2.199074074074074E-4</v>
      </c>
      <c r="DB414">
        <v>0.15939814814814815</v>
      </c>
      <c r="DC414">
        <v>0.15688657407407408</v>
      </c>
      <c r="DD414">
        <v>74</v>
      </c>
      <c r="DE414">
        <v>137</v>
      </c>
      <c r="DF414">
        <v>33</v>
      </c>
      <c r="DG414" t="s">
        <v>837</v>
      </c>
      <c r="DH414">
        <v>27368</v>
      </c>
      <c r="DI414">
        <v>0.44590000000000002</v>
      </c>
      <c r="DJ414">
        <v>2</v>
      </c>
      <c r="DK414">
        <v>6.0600000000000001E-2</v>
      </c>
      <c r="DL414">
        <v>3300</v>
      </c>
      <c r="DM414">
        <v>1650</v>
      </c>
      <c r="DN414">
        <v>600</v>
      </c>
      <c r="DO414">
        <v>0.18179999999999999</v>
      </c>
      <c r="DP414">
        <v>7.6100000000000001E-2</v>
      </c>
      <c r="DQ414">
        <v>82</v>
      </c>
      <c r="DR414">
        <v>600</v>
      </c>
    </row>
    <row r="415" spans="95:122" x14ac:dyDescent="0.25">
      <c r="CQ415" t="s">
        <v>636</v>
      </c>
      <c r="CR415" t="s">
        <v>2</v>
      </c>
      <c r="CS415" t="s">
        <v>42</v>
      </c>
      <c r="CT415">
        <v>46079</v>
      </c>
      <c r="CU415">
        <v>1</v>
      </c>
      <c r="CV415">
        <v>1</v>
      </c>
      <c r="CX415">
        <v>1</v>
      </c>
      <c r="CZ415">
        <v>2.0833333333333335E-4</v>
      </c>
      <c r="DA415">
        <v>2.0833333333333335E-4</v>
      </c>
      <c r="DB415">
        <v>0.15390046296296298</v>
      </c>
      <c r="DC415">
        <v>0.13554398148148147</v>
      </c>
      <c r="DD415">
        <v>87</v>
      </c>
      <c r="DE415">
        <v>164</v>
      </c>
      <c r="DF415">
        <v>19</v>
      </c>
      <c r="DG415" t="s">
        <v>836</v>
      </c>
      <c r="DH415">
        <v>31613</v>
      </c>
      <c r="DI415">
        <v>0.21840000000000001</v>
      </c>
      <c r="DQ415">
        <v>82</v>
      </c>
    </row>
    <row r="416" spans="95:122" x14ac:dyDescent="0.25">
      <c r="CQ416" t="s">
        <v>636</v>
      </c>
      <c r="CR416" t="s">
        <v>2</v>
      </c>
      <c r="CS416" t="s">
        <v>29</v>
      </c>
      <c r="CT416">
        <v>46071</v>
      </c>
      <c r="CU416">
        <v>1</v>
      </c>
      <c r="CV416">
        <v>1</v>
      </c>
      <c r="CX416">
        <v>1</v>
      </c>
      <c r="CZ416">
        <v>5.4398148148148144E-4</v>
      </c>
      <c r="DA416">
        <v>5.4398148148148144E-4</v>
      </c>
      <c r="DB416">
        <v>0.24108796296296298</v>
      </c>
      <c r="DC416">
        <v>9.3796296296296294E-2</v>
      </c>
      <c r="DD416">
        <v>74</v>
      </c>
      <c r="DE416">
        <v>139</v>
      </c>
      <c r="DF416">
        <v>18</v>
      </c>
      <c r="DG416" t="s">
        <v>960</v>
      </c>
      <c r="DH416">
        <v>16877</v>
      </c>
      <c r="DI416">
        <v>0.2432</v>
      </c>
      <c r="DQ416">
        <v>82</v>
      </c>
    </row>
    <row r="417" spans="95:122" x14ac:dyDescent="0.25">
      <c r="CQ417" t="s">
        <v>636</v>
      </c>
      <c r="CR417" t="s">
        <v>2</v>
      </c>
      <c r="CS417" t="s">
        <v>29</v>
      </c>
      <c r="CT417">
        <v>46072</v>
      </c>
      <c r="CU417">
        <v>1</v>
      </c>
      <c r="CV417">
        <v>1</v>
      </c>
      <c r="CX417">
        <v>1</v>
      </c>
      <c r="CZ417">
        <v>1.9560185185185184E-3</v>
      </c>
      <c r="DA417">
        <v>1.9560185185185184E-3</v>
      </c>
      <c r="DB417">
        <v>0.23105324074074074</v>
      </c>
      <c r="DC417">
        <v>0.11011574074074074</v>
      </c>
      <c r="DD417">
        <v>73</v>
      </c>
      <c r="DE417">
        <v>145</v>
      </c>
      <c r="DF417">
        <v>18</v>
      </c>
      <c r="DG417" t="s">
        <v>706</v>
      </c>
      <c r="DH417">
        <v>28370</v>
      </c>
      <c r="DI417">
        <v>0.24660000000000001</v>
      </c>
      <c r="DQ417">
        <v>82</v>
      </c>
    </row>
    <row r="418" spans="95:122" x14ac:dyDescent="0.25">
      <c r="CQ418" t="s">
        <v>636</v>
      </c>
      <c r="CR418" t="s">
        <v>2</v>
      </c>
      <c r="CS418" t="s">
        <v>25</v>
      </c>
      <c r="CT418">
        <v>46072</v>
      </c>
      <c r="CU418">
        <v>1</v>
      </c>
      <c r="CV418">
        <v>1</v>
      </c>
      <c r="CX418">
        <v>1</v>
      </c>
      <c r="CZ418">
        <v>0</v>
      </c>
      <c r="DA418">
        <v>0</v>
      </c>
      <c r="DB418">
        <v>0.20531250000000001</v>
      </c>
      <c r="DC418">
        <v>0.13333333333333333</v>
      </c>
      <c r="DD418">
        <v>54</v>
      </c>
      <c r="DE418">
        <v>96</v>
      </c>
      <c r="DF418">
        <v>19</v>
      </c>
      <c r="DG418" t="s">
        <v>721</v>
      </c>
      <c r="DH418">
        <v>15815</v>
      </c>
      <c r="DI418">
        <v>0.35189999999999999</v>
      </c>
      <c r="DQ418">
        <v>82</v>
      </c>
    </row>
    <row r="419" spans="95:122" x14ac:dyDescent="0.25">
      <c r="CQ419" t="s">
        <v>636</v>
      </c>
      <c r="CR419" t="s">
        <v>2</v>
      </c>
      <c r="CS419" t="s">
        <v>38</v>
      </c>
      <c r="CT419">
        <v>46055</v>
      </c>
      <c r="CU419">
        <v>1</v>
      </c>
      <c r="CV419">
        <v>1</v>
      </c>
      <c r="CX419">
        <v>1</v>
      </c>
      <c r="CZ419">
        <v>0</v>
      </c>
      <c r="DA419">
        <v>0</v>
      </c>
      <c r="DB419">
        <v>2.9409722222222223E-2</v>
      </c>
      <c r="DC419">
        <v>1.4004629629629629E-2</v>
      </c>
      <c r="DD419">
        <v>80</v>
      </c>
      <c r="DE419">
        <v>107</v>
      </c>
      <c r="DF419">
        <v>40</v>
      </c>
      <c r="DG419">
        <v>1.5</v>
      </c>
      <c r="DH419">
        <v>19385</v>
      </c>
      <c r="DI419">
        <v>0.5</v>
      </c>
      <c r="DJ419">
        <v>12</v>
      </c>
      <c r="DK419">
        <v>0.3</v>
      </c>
      <c r="DL419">
        <v>18930</v>
      </c>
      <c r="DM419">
        <v>1578</v>
      </c>
      <c r="DN419">
        <v>18350</v>
      </c>
      <c r="DO419">
        <v>0.96940000000000004</v>
      </c>
      <c r="DP419">
        <v>0.64649999999999996</v>
      </c>
      <c r="DQ419">
        <v>82</v>
      </c>
      <c r="DR419">
        <v>1668</v>
      </c>
    </row>
    <row r="420" spans="95:122" x14ac:dyDescent="0.25">
      <c r="CQ420" t="s">
        <v>636</v>
      </c>
      <c r="CR420" t="s">
        <v>2</v>
      </c>
      <c r="CS420" t="s">
        <v>38</v>
      </c>
      <c r="CT420">
        <v>46066</v>
      </c>
      <c r="CU420">
        <v>1</v>
      </c>
      <c r="CV420">
        <v>1</v>
      </c>
      <c r="CX420">
        <v>1</v>
      </c>
      <c r="CZ420">
        <v>4.6296296296296294E-5</v>
      </c>
      <c r="DA420">
        <v>4.6296296296296294E-5</v>
      </c>
      <c r="DB420">
        <v>0.2408912037037037</v>
      </c>
      <c r="DC420">
        <v>0.23914351851851851</v>
      </c>
      <c r="DD420">
        <v>95</v>
      </c>
      <c r="DE420">
        <v>124</v>
      </c>
      <c r="DF420">
        <v>27</v>
      </c>
      <c r="DG420" t="s">
        <v>726</v>
      </c>
      <c r="DH420">
        <v>18513</v>
      </c>
      <c r="DI420">
        <v>0.28420000000000001</v>
      </c>
      <c r="DQ420">
        <v>82</v>
      </c>
    </row>
    <row r="421" spans="95:122" x14ac:dyDescent="0.25">
      <c r="CQ421" t="s">
        <v>636</v>
      </c>
      <c r="CR421" t="s">
        <v>2</v>
      </c>
      <c r="CS421" t="s">
        <v>38</v>
      </c>
      <c r="CT421">
        <v>46071</v>
      </c>
      <c r="CU421">
        <v>1</v>
      </c>
      <c r="CV421">
        <v>1</v>
      </c>
      <c r="CX421">
        <v>1</v>
      </c>
      <c r="CZ421">
        <v>1.7361111111111112E-4</v>
      </c>
      <c r="DA421">
        <v>1.7361111111111112E-4</v>
      </c>
      <c r="DB421">
        <v>0.20975694444444445</v>
      </c>
      <c r="DC421">
        <v>0.12329861111111111</v>
      </c>
      <c r="DD421">
        <v>80</v>
      </c>
      <c r="DE421">
        <v>108</v>
      </c>
      <c r="DF421">
        <v>27</v>
      </c>
      <c r="DG421" t="s">
        <v>829</v>
      </c>
      <c r="DH421">
        <v>23031</v>
      </c>
      <c r="DI421">
        <v>0.33750000000000002</v>
      </c>
      <c r="DQ421">
        <v>82</v>
      </c>
    </row>
    <row r="422" spans="95:122" x14ac:dyDescent="0.25">
      <c r="CQ422" t="s">
        <v>636</v>
      </c>
      <c r="CR422" t="s">
        <v>2</v>
      </c>
      <c r="CS422" t="s">
        <v>38</v>
      </c>
      <c r="CT422">
        <v>46072</v>
      </c>
      <c r="CU422">
        <v>1</v>
      </c>
      <c r="CV422">
        <v>1</v>
      </c>
      <c r="CX422">
        <v>1</v>
      </c>
      <c r="CZ422">
        <v>0</v>
      </c>
      <c r="DA422">
        <v>0</v>
      </c>
      <c r="DB422">
        <v>0.21730324074074073</v>
      </c>
      <c r="DC422">
        <v>0.12383101851851852</v>
      </c>
      <c r="DD422">
        <v>99</v>
      </c>
      <c r="DE422">
        <v>125</v>
      </c>
      <c r="DF422">
        <v>32</v>
      </c>
      <c r="DG422">
        <v>1.625</v>
      </c>
      <c r="DH422">
        <v>16774</v>
      </c>
      <c r="DI422">
        <v>0.32319999999999999</v>
      </c>
      <c r="DQ422">
        <v>82</v>
      </c>
    </row>
    <row r="423" spans="95:122" x14ac:dyDescent="0.25">
      <c r="CQ423" t="s">
        <v>636</v>
      </c>
      <c r="CR423" t="s">
        <v>2</v>
      </c>
      <c r="CS423" t="s">
        <v>38</v>
      </c>
      <c r="CT423">
        <v>46079</v>
      </c>
      <c r="CU423">
        <v>1</v>
      </c>
      <c r="CV423">
        <v>1</v>
      </c>
      <c r="CX423">
        <v>1</v>
      </c>
      <c r="CZ423">
        <v>6.7129629629629625E-4</v>
      </c>
      <c r="DA423">
        <v>6.7129629629629625E-4</v>
      </c>
      <c r="DB423">
        <v>0.16758101851851853</v>
      </c>
      <c r="DC423">
        <v>0.13314814814814815</v>
      </c>
      <c r="DD423">
        <v>67</v>
      </c>
      <c r="DE423">
        <v>96</v>
      </c>
      <c r="DF423">
        <v>30</v>
      </c>
      <c r="DG423" t="s">
        <v>723</v>
      </c>
      <c r="DH423">
        <v>22532</v>
      </c>
      <c r="DI423">
        <v>0.44779999999999998</v>
      </c>
      <c r="DQ423">
        <v>82</v>
      </c>
    </row>
    <row r="424" spans="95:122" x14ac:dyDescent="0.25">
      <c r="CQ424" t="s">
        <v>636</v>
      </c>
      <c r="CR424" t="s">
        <v>2</v>
      </c>
      <c r="CS424" t="s">
        <v>79</v>
      </c>
      <c r="CT424">
        <v>46063</v>
      </c>
      <c r="CU424">
        <v>1</v>
      </c>
      <c r="CV424">
        <v>1</v>
      </c>
      <c r="CX424">
        <v>1</v>
      </c>
      <c r="CZ424">
        <v>0</v>
      </c>
      <c r="DA424">
        <v>0</v>
      </c>
      <c r="DB424">
        <v>2.4699074074074075E-2</v>
      </c>
      <c r="DC424">
        <v>2.0092592592592592E-2</v>
      </c>
      <c r="DD424">
        <v>131</v>
      </c>
      <c r="DE424">
        <v>212</v>
      </c>
      <c r="DF424">
        <v>47</v>
      </c>
      <c r="DG424" t="s">
        <v>1107</v>
      </c>
      <c r="DH424">
        <v>27412</v>
      </c>
      <c r="DI424">
        <v>0.35880000000000001</v>
      </c>
      <c r="DJ424">
        <v>1</v>
      </c>
      <c r="DK424">
        <v>2.1299999999999999E-2</v>
      </c>
      <c r="DL424">
        <v>280</v>
      </c>
      <c r="DM424">
        <v>280</v>
      </c>
      <c r="DQ424">
        <v>82</v>
      </c>
    </row>
    <row r="425" spans="95:122" x14ac:dyDescent="0.25">
      <c r="CQ425" t="s">
        <v>636</v>
      </c>
      <c r="CR425" t="s">
        <v>2</v>
      </c>
      <c r="CS425" t="s">
        <v>79</v>
      </c>
      <c r="CT425">
        <v>46066</v>
      </c>
      <c r="CU425">
        <v>1</v>
      </c>
      <c r="CV425">
        <v>1</v>
      </c>
      <c r="CX425">
        <v>1</v>
      </c>
      <c r="CZ425">
        <v>9.2592592592592588E-5</v>
      </c>
      <c r="DA425">
        <v>9.2592592592592588E-5</v>
      </c>
      <c r="DB425">
        <v>0.19321759259259258</v>
      </c>
      <c r="DC425">
        <v>9.0578703703703703E-2</v>
      </c>
      <c r="DD425">
        <v>55</v>
      </c>
      <c r="DE425">
        <v>113</v>
      </c>
      <c r="DF425">
        <v>22</v>
      </c>
      <c r="DG425">
        <v>1.5</v>
      </c>
      <c r="DH425">
        <v>42127</v>
      </c>
      <c r="DI425">
        <v>0.4</v>
      </c>
      <c r="DQ425">
        <v>82</v>
      </c>
    </row>
    <row r="426" spans="95:122" x14ac:dyDescent="0.25">
      <c r="CQ426" t="s">
        <v>636</v>
      </c>
      <c r="CR426" t="s">
        <v>2</v>
      </c>
      <c r="CS426" t="s">
        <v>79</v>
      </c>
      <c r="CT426">
        <v>46071</v>
      </c>
      <c r="CU426">
        <v>1</v>
      </c>
      <c r="CV426">
        <v>1</v>
      </c>
      <c r="CX426">
        <v>1</v>
      </c>
      <c r="CZ426">
        <v>5.7870370370370373E-5</v>
      </c>
      <c r="DA426">
        <v>5.7870370370370373E-5</v>
      </c>
      <c r="DB426">
        <v>0.21148148148148149</v>
      </c>
      <c r="DC426">
        <v>0.12903935185185186</v>
      </c>
      <c r="DD426">
        <v>66</v>
      </c>
      <c r="DE426">
        <v>138</v>
      </c>
      <c r="DF426">
        <v>25</v>
      </c>
      <c r="DG426">
        <v>1.44</v>
      </c>
      <c r="DH426">
        <v>21305</v>
      </c>
      <c r="DI426">
        <v>0.37880000000000003</v>
      </c>
      <c r="DQ426">
        <v>82</v>
      </c>
    </row>
    <row r="427" spans="95:122" x14ac:dyDescent="0.25">
      <c r="CQ427" t="s">
        <v>636</v>
      </c>
      <c r="CR427" t="s">
        <v>2</v>
      </c>
      <c r="CS427" t="s">
        <v>79</v>
      </c>
      <c r="CT427">
        <v>46072</v>
      </c>
      <c r="CU427">
        <v>1</v>
      </c>
      <c r="CV427">
        <v>1</v>
      </c>
      <c r="CX427">
        <v>1</v>
      </c>
      <c r="CZ427">
        <v>2.6620370370370372E-4</v>
      </c>
      <c r="DA427">
        <v>2.6620370370370372E-4</v>
      </c>
      <c r="DB427">
        <v>0.22489583333333332</v>
      </c>
      <c r="DC427">
        <v>0.1125</v>
      </c>
      <c r="DD427">
        <v>70</v>
      </c>
      <c r="DE427">
        <v>148</v>
      </c>
      <c r="DF427">
        <v>23</v>
      </c>
      <c r="DG427" t="s">
        <v>1108</v>
      </c>
      <c r="DH427">
        <v>13209</v>
      </c>
      <c r="DI427">
        <v>0.3286</v>
      </c>
      <c r="DQ427">
        <v>82</v>
      </c>
    </row>
    <row r="428" spans="95:122" x14ac:dyDescent="0.25">
      <c r="CQ428" t="s">
        <v>636</v>
      </c>
      <c r="CR428" t="s">
        <v>2</v>
      </c>
      <c r="CS428" t="s">
        <v>76</v>
      </c>
      <c r="CT428">
        <v>46063</v>
      </c>
      <c r="CU428">
        <v>1</v>
      </c>
      <c r="CV428">
        <v>1</v>
      </c>
      <c r="CW428">
        <v>1</v>
      </c>
      <c r="CZ428">
        <v>8.3715277777777777E-2</v>
      </c>
      <c r="DA428">
        <v>8.3715277777777777E-2</v>
      </c>
      <c r="DB428">
        <v>2.7256944444444445E-2</v>
      </c>
      <c r="DC428">
        <v>7.7083333333333335E-3</v>
      </c>
      <c r="DD428">
        <v>77</v>
      </c>
      <c r="DE428">
        <v>123</v>
      </c>
      <c r="DF428">
        <v>34</v>
      </c>
      <c r="DG428" t="s">
        <v>744</v>
      </c>
      <c r="DH428">
        <v>17578</v>
      </c>
      <c r="DI428">
        <v>0.44159999999999999</v>
      </c>
      <c r="DJ428">
        <v>1</v>
      </c>
      <c r="DK428">
        <v>2.9399999999999999E-2</v>
      </c>
      <c r="DL428">
        <v>500</v>
      </c>
      <c r="DM428">
        <v>500</v>
      </c>
      <c r="DQ428">
        <v>82</v>
      </c>
    </row>
    <row r="429" spans="95:122" x14ac:dyDescent="0.25">
      <c r="CQ429" t="s">
        <v>636</v>
      </c>
      <c r="CR429" t="s">
        <v>2</v>
      </c>
      <c r="CS429" t="s">
        <v>76</v>
      </c>
      <c r="CT429">
        <v>46066</v>
      </c>
      <c r="CU429">
        <v>1</v>
      </c>
      <c r="CV429">
        <v>1</v>
      </c>
      <c r="CX429">
        <v>1</v>
      </c>
      <c r="CZ429">
        <v>0</v>
      </c>
      <c r="DA429">
        <v>0</v>
      </c>
      <c r="DB429">
        <v>0.22346064814814814</v>
      </c>
      <c r="DC429">
        <v>8.9907407407407408E-2</v>
      </c>
      <c r="DD429">
        <v>90</v>
      </c>
      <c r="DE429">
        <v>111</v>
      </c>
      <c r="DF429">
        <v>11</v>
      </c>
      <c r="DG429" t="s">
        <v>673</v>
      </c>
      <c r="DH429">
        <v>35583</v>
      </c>
      <c r="DI429">
        <v>0.1222</v>
      </c>
      <c r="DQ429">
        <v>82</v>
      </c>
    </row>
    <row r="430" spans="95:122" x14ac:dyDescent="0.25">
      <c r="CQ430" t="s">
        <v>636</v>
      </c>
      <c r="CR430" t="s">
        <v>2</v>
      </c>
      <c r="CS430" t="s">
        <v>76</v>
      </c>
      <c r="CT430">
        <v>46072</v>
      </c>
      <c r="CU430">
        <v>1</v>
      </c>
      <c r="CV430">
        <v>1</v>
      </c>
      <c r="CX430">
        <v>1</v>
      </c>
      <c r="CZ430">
        <v>4.5138888888888887E-4</v>
      </c>
      <c r="DA430">
        <v>4.5138888888888887E-4</v>
      </c>
      <c r="DB430">
        <v>0.20253472222222221</v>
      </c>
      <c r="DC430">
        <v>0.12229166666666667</v>
      </c>
      <c r="DD430">
        <v>53</v>
      </c>
      <c r="DE430">
        <v>89</v>
      </c>
      <c r="DF430">
        <v>15</v>
      </c>
      <c r="DG430" t="s">
        <v>718</v>
      </c>
      <c r="DH430">
        <v>12317</v>
      </c>
      <c r="DI430">
        <v>0.28299999999999997</v>
      </c>
      <c r="DQ430">
        <v>82</v>
      </c>
    </row>
    <row r="431" spans="95:122" x14ac:dyDescent="0.25">
      <c r="CQ431" t="s">
        <v>636</v>
      </c>
      <c r="CR431" t="s">
        <v>2</v>
      </c>
      <c r="CS431" t="s">
        <v>76</v>
      </c>
      <c r="CT431">
        <v>46079</v>
      </c>
      <c r="CU431">
        <v>1</v>
      </c>
      <c r="CV431">
        <v>1</v>
      </c>
      <c r="CX431">
        <v>1</v>
      </c>
      <c r="CZ431">
        <v>6.9444444444444444E-5</v>
      </c>
      <c r="DA431">
        <v>6.9444444444444444E-5</v>
      </c>
      <c r="DB431">
        <v>0.14510416666666667</v>
      </c>
      <c r="DC431">
        <v>0.13967592592592593</v>
      </c>
      <c r="DD431">
        <v>67</v>
      </c>
      <c r="DE431">
        <v>88</v>
      </c>
      <c r="DF431">
        <v>10</v>
      </c>
      <c r="DG431">
        <v>1.5</v>
      </c>
      <c r="DH431">
        <v>14382</v>
      </c>
      <c r="DI431">
        <v>0.14929999999999999</v>
      </c>
      <c r="DQ431">
        <v>82</v>
      </c>
    </row>
    <row r="432" spans="95:122" x14ac:dyDescent="0.25">
      <c r="CQ432" t="s">
        <v>636</v>
      </c>
      <c r="CR432" t="s">
        <v>6</v>
      </c>
      <c r="CS432" t="s">
        <v>80</v>
      </c>
      <c r="CT432">
        <v>46072</v>
      </c>
      <c r="CU432">
        <v>1</v>
      </c>
      <c r="CV432">
        <v>1</v>
      </c>
      <c r="CX432">
        <v>1</v>
      </c>
      <c r="CZ432">
        <v>4.6296296296296294E-5</v>
      </c>
      <c r="DA432">
        <v>4.6296296296296294E-5</v>
      </c>
      <c r="DB432">
        <v>0.15931712962962963</v>
      </c>
      <c r="DC432">
        <v>0.16184027777777779</v>
      </c>
      <c r="DD432">
        <v>114</v>
      </c>
      <c r="DE432">
        <v>163</v>
      </c>
      <c r="DF432">
        <v>14</v>
      </c>
      <c r="DG432" t="s">
        <v>729</v>
      </c>
      <c r="DH432">
        <v>37239</v>
      </c>
      <c r="DI432">
        <v>0.12280000000000001</v>
      </c>
      <c r="DJ432">
        <v>1</v>
      </c>
      <c r="DK432">
        <v>7.1400000000000005E-2</v>
      </c>
      <c r="DL432">
        <v>4499</v>
      </c>
      <c r="DM432">
        <v>4499</v>
      </c>
      <c r="DN432">
        <v>4499</v>
      </c>
      <c r="DO432">
        <v>1</v>
      </c>
      <c r="DP432">
        <v>0.30449999999999999</v>
      </c>
      <c r="DQ432">
        <v>82</v>
      </c>
      <c r="DR432">
        <v>4499</v>
      </c>
    </row>
    <row r="433" spans="95:122" x14ac:dyDescent="0.25">
      <c r="CQ433" t="s">
        <v>636</v>
      </c>
      <c r="CR433" t="s">
        <v>6</v>
      </c>
      <c r="CS433" t="s">
        <v>81</v>
      </c>
      <c r="CT433">
        <v>46062</v>
      </c>
      <c r="CU433">
        <v>1</v>
      </c>
      <c r="CV433">
        <v>1</v>
      </c>
      <c r="CX433">
        <v>1</v>
      </c>
      <c r="CZ433">
        <v>2.3148148148148149E-4</v>
      </c>
      <c r="DA433">
        <v>2.3148148148148149E-4</v>
      </c>
      <c r="DB433">
        <v>6.7824074074074071E-3</v>
      </c>
      <c r="DC433">
        <v>6.1574074074074074E-3</v>
      </c>
      <c r="DD433">
        <v>65</v>
      </c>
      <c r="DE433">
        <v>108</v>
      </c>
      <c r="DF433">
        <v>6</v>
      </c>
      <c r="DG433" t="s">
        <v>703</v>
      </c>
      <c r="DH433">
        <v>26273</v>
      </c>
      <c r="DI433">
        <v>9.2299999999999993E-2</v>
      </c>
      <c r="DJ433">
        <v>1</v>
      </c>
      <c r="DK433">
        <v>0.16669999999999999</v>
      </c>
      <c r="DL433">
        <v>5000</v>
      </c>
      <c r="DM433">
        <v>5000</v>
      </c>
      <c r="DN433">
        <v>5000</v>
      </c>
      <c r="DO433">
        <v>1</v>
      </c>
      <c r="DP433">
        <v>0.1114</v>
      </c>
      <c r="DQ433">
        <v>82</v>
      </c>
      <c r="DR433">
        <v>5000</v>
      </c>
    </row>
    <row r="434" spans="95:122" x14ac:dyDescent="0.25">
      <c r="CQ434" t="s">
        <v>636</v>
      </c>
      <c r="CR434" t="s">
        <v>6</v>
      </c>
      <c r="CS434" t="s">
        <v>81</v>
      </c>
      <c r="CT434">
        <v>46063</v>
      </c>
      <c r="CU434">
        <v>1</v>
      </c>
      <c r="CV434">
        <v>1</v>
      </c>
      <c r="CX434">
        <v>1</v>
      </c>
      <c r="CZ434">
        <v>0</v>
      </c>
      <c r="DA434">
        <v>0</v>
      </c>
      <c r="DB434">
        <v>6.0416666666666665E-3</v>
      </c>
      <c r="DC434">
        <v>1.3009259259259259E-2</v>
      </c>
      <c r="DD434">
        <v>108</v>
      </c>
      <c r="DE434">
        <v>168</v>
      </c>
      <c r="DF434">
        <v>21</v>
      </c>
      <c r="DG434">
        <v>2</v>
      </c>
      <c r="DH434">
        <v>17830</v>
      </c>
      <c r="DI434">
        <v>0.19439999999999999</v>
      </c>
      <c r="DJ434">
        <v>4</v>
      </c>
      <c r="DK434">
        <v>0.1905</v>
      </c>
      <c r="DL434">
        <v>6019</v>
      </c>
      <c r="DM434">
        <v>1505</v>
      </c>
      <c r="DN434">
        <v>5000</v>
      </c>
      <c r="DO434">
        <v>0.83069999999999999</v>
      </c>
      <c r="DP434">
        <v>0.16220000000000001</v>
      </c>
      <c r="DQ434">
        <v>82</v>
      </c>
      <c r="DR434">
        <v>5000</v>
      </c>
    </row>
    <row r="435" spans="95:122" x14ac:dyDescent="0.25">
      <c r="CQ435" t="s">
        <v>636</v>
      </c>
      <c r="CR435" t="s">
        <v>6</v>
      </c>
      <c r="CS435" t="s">
        <v>26</v>
      </c>
      <c r="CT435">
        <v>46069</v>
      </c>
      <c r="CU435">
        <v>1</v>
      </c>
      <c r="CV435">
        <v>1</v>
      </c>
      <c r="CX435">
        <v>1</v>
      </c>
      <c r="CZ435">
        <v>1.1574074074074075E-4</v>
      </c>
      <c r="DA435">
        <v>1.1574074074074075E-4</v>
      </c>
      <c r="DB435">
        <v>0.27913194444444445</v>
      </c>
      <c r="DC435">
        <v>7.5960648148148152E-2</v>
      </c>
      <c r="DD435">
        <v>158</v>
      </c>
      <c r="DE435">
        <v>271</v>
      </c>
      <c r="DF435">
        <v>16</v>
      </c>
      <c r="DG435">
        <v>1.5625</v>
      </c>
      <c r="DH435">
        <v>19936</v>
      </c>
      <c r="DI435">
        <v>0.1013</v>
      </c>
      <c r="DJ435">
        <v>1</v>
      </c>
      <c r="DK435">
        <v>6.25E-2</v>
      </c>
      <c r="DL435">
        <v>256</v>
      </c>
      <c r="DM435">
        <v>256</v>
      </c>
      <c r="DN435">
        <v>256</v>
      </c>
      <c r="DO435">
        <v>1</v>
      </c>
      <c r="DP435">
        <v>0.70550000000000002</v>
      </c>
      <c r="DQ435">
        <v>82</v>
      </c>
      <c r="DR435">
        <v>256</v>
      </c>
    </row>
    <row r="436" spans="95:122" x14ac:dyDescent="0.25">
      <c r="CQ436" t="s">
        <v>636</v>
      </c>
      <c r="CR436" t="s">
        <v>6</v>
      </c>
      <c r="CS436" t="s">
        <v>26</v>
      </c>
      <c r="CT436">
        <v>46070</v>
      </c>
      <c r="CU436">
        <v>1</v>
      </c>
      <c r="CV436">
        <v>1</v>
      </c>
      <c r="CX436">
        <v>1</v>
      </c>
      <c r="CZ436">
        <v>1.0416666666666667E-4</v>
      </c>
      <c r="DA436">
        <v>1.0416666666666667E-4</v>
      </c>
      <c r="DB436">
        <v>0.29466435185185186</v>
      </c>
      <c r="DC436">
        <v>5.8495370370370371E-2</v>
      </c>
      <c r="DD436">
        <v>135</v>
      </c>
      <c r="DE436">
        <v>230</v>
      </c>
      <c r="DF436">
        <v>13</v>
      </c>
      <c r="DG436" t="s">
        <v>704</v>
      </c>
      <c r="DH436">
        <v>25327</v>
      </c>
      <c r="DI436">
        <v>9.6299999999999997E-2</v>
      </c>
      <c r="DJ436">
        <v>1</v>
      </c>
      <c r="DK436">
        <v>7.6899999999999996E-2</v>
      </c>
      <c r="DL436">
        <v>2500</v>
      </c>
      <c r="DM436">
        <v>2500</v>
      </c>
      <c r="DN436">
        <v>2500</v>
      </c>
      <c r="DO436">
        <v>1</v>
      </c>
      <c r="DP436">
        <v>0.16950000000000001</v>
      </c>
      <c r="DQ436">
        <v>82</v>
      </c>
      <c r="DR436">
        <v>2500</v>
      </c>
    </row>
    <row r="437" spans="95:122" x14ac:dyDescent="0.25">
      <c r="CQ437" t="s">
        <v>636</v>
      </c>
      <c r="CR437" t="s">
        <v>6</v>
      </c>
      <c r="CS437" t="s">
        <v>37</v>
      </c>
      <c r="CT437">
        <v>46058</v>
      </c>
      <c r="CU437">
        <v>1</v>
      </c>
      <c r="CV437">
        <v>1</v>
      </c>
      <c r="CX437">
        <v>1</v>
      </c>
      <c r="CZ437">
        <v>0</v>
      </c>
      <c r="DA437">
        <v>0</v>
      </c>
      <c r="DB437">
        <v>1.6932870370370369E-2</v>
      </c>
      <c r="DC437">
        <v>2.7523148148148147E-2</v>
      </c>
      <c r="DD437">
        <v>59</v>
      </c>
      <c r="DE437">
        <v>116</v>
      </c>
      <c r="DF437">
        <v>14</v>
      </c>
      <c r="DG437" t="s">
        <v>986</v>
      </c>
      <c r="DH437">
        <v>48691</v>
      </c>
      <c r="DI437">
        <v>0.23730000000000001</v>
      </c>
      <c r="DJ437">
        <v>1</v>
      </c>
      <c r="DK437">
        <v>7.1400000000000005E-2</v>
      </c>
      <c r="DL437">
        <v>120</v>
      </c>
      <c r="DM437">
        <v>120</v>
      </c>
      <c r="DN437">
        <v>120</v>
      </c>
      <c r="DO437">
        <v>1</v>
      </c>
      <c r="DP437">
        <v>1.8028999999999999</v>
      </c>
      <c r="DQ437">
        <v>82</v>
      </c>
      <c r="DR437">
        <v>120</v>
      </c>
    </row>
    <row r="438" spans="95:122" x14ac:dyDescent="0.25">
      <c r="CQ438" t="s">
        <v>636</v>
      </c>
      <c r="CR438" t="s">
        <v>6</v>
      </c>
      <c r="CS438" t="s">
        <v>37</v>
      </c>
      <c r="CT438">
        <v>46063</v>
      </c>
      <c r="CU438">
        <v>1</v>
      </c>
      <c r="CV438">
        <v>1</v>
      </c>
      <c r="CX438">
        <v>1</v>
      </c>
      <c r="CZ438">
        <v>1.273148148148148E-4</v>
      </c>
      <c r="DA438">
        <v>1.273148148148148E-4</v>
      </c>
      <c r="DB438">
        <v>3.8726851851851853E-2</v>
      </c>
      <c r="DC438">
        <v>4.9502314814814811E-2</v>
      </c>
      <c r="DD438">
        <v>124</v>
      </c>
      <c r="DE438">
        <v>189</v>
      </c>
      <c r="DF438">
        <v>38</v>
      </c>
      <c r="DG438" t="s">
        <v>721</v>
      </c>
      <c r="DH438">
        <v>12651</v>
      </c>
      <c r="DI438">
        <v>0.30649999999999999</v>
      </c>
      <c r="DJ438">
        <v>4</v>
      </c>
      <c r="DK438">
        <v>0.1053</v>
      </c>
      <c r="DL438">
        <v>6556</v>
      </c>
      <c r="DM438">
        <v>1639</v>
      </c>
      <c r="DN438">
        <v>5000</v>
      </c>
      <c r="DO438">
        <v>0.76270000000000004</v>
      </c>
      <c r="DP438">
        <v>0.30680000000000002</v>
      </c>
      <c r="DQ438">
        <v>82</v>
      </c>
      <c r="DR438">
        <v>5000</v>
      </c>
    </row>
    <row r="439" spans="95:122" x14ac:dyDescent="0.25">
      <c r="CQ439" t="s">
        <v>636</v>
      </c>
      <c r="CR439" t="s">
        <v>6</v>
      </c>
      <c r="CS439" t="s">
        <v>37</v>
      </c>
      <c r="CT439">
        <v>46073</v>
      </c>
      <c r="CU439">
        <v>1</v>
      </c>
      <c r="CV439">
        <v>1</v>
      </c>
      <c r="CX439">
        <v>1</v>
      </c>
      <c r="CZ439">
        <v>4.6296296296296294E-5</v>
      </c>
      <c r="DA439">
        <v>4.6296296296296294E-5</v>
      </c>
      <c r="DB439">
        <v>0.11547453703703704</v>
      </c>
      <c r="DC439">
        <v>0.23252314814814815</v>
      </c>
      <c r="DD439">
        <v>99</v>
      </c>
      <c r="DE439">
        <v>140</v>
      </c>
      <c r="DF439">
        <v>18</v>
      </c>
      <c r="DG439" t="s">
        <v>978</v>
      </c>
      <c r="DH439">
        <v>26955</v>
      </c>
      <c r="DI439">
        <v>0.18179999999999999</v>
      </c>
      <c r="DJ439">
        <v>1</v>
      </c>
      <c r="DK439">
        <v>5.5599999999999997E-2</v>
      </c>
      <c r="DL439">
        <v>5000</v>
      </c>
      <c r="DM439">
        <v>5000</v>
      </c>
      <c r="DN439">
        <v>5000</v>
      </c>
      <c r="DO439">
        <v>1</v>
      </c>
      <c r="DP439">
        <v>0.1628</v>
      </c>
      <c r="DQ439">
        <v>82</v>
      </c>
      <c r="DR439">
        <v>5000</v>
      </c>
    </row>
    <row r="440" spans="95:122" x14ac:dyDescent="0.25">
      <c r="CQ440" t="s">
        <v>636</v>
      </c>
      <c r="CR440" t="s">
        <v>6</v>
      </c>
      <c r="CS440" t="s">
        <v>50</v>
      </c>
      <c r="CT440">
        <v>46055</v>
      </c>
      <c r="CU440">
        <v>1</v>
      </c>
      <c r="CV440">
        <v>1</v>
      </c>
      <c r="CW440">
        <v>1</v>
      </c>
      <c r="CZ440">
        <v>4.8032407407407407E-3</v>
      </c>
      <c r="DA440">
        <v>4.8032407407407407E-3</v>
      </c>
      <c r="DB440">
        <v>2.7118055555555555E-2</v>
      </c>
      <c r="DC440">
        <v>1.324074074074074E-2</v>
      </c>
      <c r="DD440">
        <v>92</v>
      </c>
      <c r="DE440">
        <v>145</v>
      </c>
      <c r="DF440">
        <v>12</v>
      </c>
      <c r="DG440">
        <v>1.5</v>
      </c>
      <c r="DH440">
        <v>16162</v>
      </c>
      <c r="DI440">
        <v>0.13039999999999999</v>
      </c>
      <c r="DJ440">
        <v>3</v>
      </c>
      <c r="DK440">
        <v>0.25</v>
      </c>
      <c r="DL440">
        <v>945</v>
      </c>
      <c r="DM440">
        <v>315</v>
      </c>
      <c r="DN440">
        <v>945</v>
      </c>
      <c r="DO440">
        <v>1</v>
      </c>
      <c r="DP440">
        <v>0.72570000000000001</v>
      </c>
      <c r="DQ440">
        <v>82</v>
      </c>
      <c r="DR440">
        <v>315</v>
      </c>
    </row>
    <row r="441" spans="95:122" x14ac:dyDescent="0.25">
      <c r="CQ441" t="s">
        <v>636</v>
      </c>
      <c r="CR441" t="s">
        <v>6</v>
      </c>
      <c r="CS441" t="s">
        <v>50</v>
      </c>
      <c r="CT441">
        <v>46058</v>
      </c>
      <c r="CU441">
        <v>1</v>
      </c>
      <c r="CV441">
        <v>1</v>
      </c>
      <c r="CX441">
        <v>1</v>
      </c>
      <c r="CZ441">
        <v>6.9444444444444444E-5</v>
      </c>
      <c r="DA441">
        <v>6.9444444444444444E-5</v>
      </c>
      <c r="DB441">
        <v>7.1122685185185192E-2</v>
      </c>
      <c r="DC441">
        <v>6.6886574074074071E-2</v>
      </c>
      <c r="DD441">
        <v>88</v>
      </c>
      <c r="DE441">
        <v>165</v>
      </c>
      <c r="DF441">
        <v>8</v>
      </c>
      <c r="DG441">
        <v>2.125</v>
      </c>
      <c r="DH441">
        <v>17916</v>
      </c>
      <c r="DI441">
        <v>9.0899999999999995E-2</v>
      </c>
      <c r="DJ441">
        <v>1</v>
      </c>
      <c r="DK441">
        <v>0.125</v>
      </c>
      <c r="DL441">
        <v>860</v>
      </c>
      <c r="DM441">
        <v>860</v>
      </c>
      <c r="DN441">
        <v>860</v>
      </c>
      <c r="DO441">
        <v>1</v>
      </c>
      <c r="DQ441">
        <v>82</v>
      </c>
      <c r="DR441">
        <v>860</v>
      </c>
    </row>
    <row r="442" spans="95:122" x14ac:dyDescent="0.25">
      <c r="CQ442" t="s">
        <v>636</v>
      </c>
      <c r="CR442" t="s">
        <v>6</v>
      </c>
      <c r="CS442" t="s">
        <v>78</v>
      </c>
      <c r="CT442">
        <v>46072</v>
      </c>
      <c r="CU442">
        <v>1</v>
      </c>
      <c r="CV442">
        <v>1</v>
      </c>
      <c r="CX442">
        <v>1</v>
      </c>
      <c r="CZ442">
        <v>1.0416666666666667E-4</v>
      </c>
      <c r="DA442">
        <v>1.0416666666666667E-4</v>
      </c>
      <c r="DB442">
        <v>0.1270486111111111</v>
      </c>
      <c r="DC442">
        <v>0.19663194444444446</v>
      </c>
      <c r="DD442">
        <v>71</v>
      </c>
      <c r="DE442">
        <v>145</v>
      </c>
      <c r="DF442">
        <v>36</v>
      </c>
      <c r="DG442" t="s">
        <v>935</v>
      </c>
      <c r="DH442">
        <v>13817</v>
      </c>
      <c r="DI442">
        <v>0.50700000000000001</v>
      </c>
      <c r="DJ442">
        <v>4</v>
      </c>
      <c r="DK442">
        <v>0.1111</v>
      </c>
      <c r="DL442">
        <v>25000</v>
      </c>
      <c r="DM442">
        <v>6250</v>
      </c>
      <c r="DN442">
        <v>22500</v>
      </c>
      <c r="DO442">
        <v>0.9</v>
      </c>
      <c r="DP442">
        <v>0.3493</v>
      </c>
      <c r="DQ442">
        <v>82</v>
      </c>
      <c r="DR442">
        <v>11250</v>
      </c>
    </row>
    <row r="443" spans="95:122" x14ac:dyDescent="0.25">
      <c r="CQ443" t="s">
        <v>636</v>
      </c>
      <c r="CR443" t="s">
        <v>6</v>
      </c>
      <c r="CS443" t="s">
        <v>78</v>
      </c>
      <c r="CT443">
        <v>46073</v>
      </c>
      <c r="CU443">
        <v>1</v>
      </c>
      <c r="CV443">
        <v>1</v>
      </c>
      <c r="CX443">
        <v>1</v>
      </c>
      <c r="CZ443">
        <v>2.6620370370370372E-4</v>
      </c>
      <c r="DA443">
        <v>2.6620370370370372E-4</v>
      </c>
      <c r="DB443">
        <v>0.13152777777777777</v>
      </c>
      <c r="DC443">
        <v>0.20684027777777778</v>
      </c>
      <c r="DD443">
        <v>117</v>
      </c>
      <c r="DE443">
        <v>224</v>
      </c>
      <c r="DF443">
        <v>34</v>
      </c>
      <c r="DG443" t="s">
        <v>795</v>
      </c>
      <c r="DH443">
        <v>18124</v>
      </c>
      <c r="DI443">
        <v>0.29060000000000002</v>
      </c>
      <c r="DJ443">
        <v>2</v>
      </c>
      <c r="DK443">
        <v>5.8799999999999998E-2</v>
      </c>
      <c r="DL443">
        <v>900</v>
      </c>
      <c r="DM443">
        <v>450</v>
      </c>
      <c r="DN443">
        <v>900</v>
      </c>
      <c r="DO443">
        <v>1</v>
      </c>
      <c r="DP443">
        <v>1.0261</v>
      </c>
      <c r="DQ443">
        <v>82</v>
      </c>
      <c r="DR443">
        <v>450</v>
      </c>
    </row>
    <row r="444" spans="95:122" x14ac:dyDescent="0.25">
      <c r="CQ444" t="s">
        <v>636</v>
      </c>
      <c r="CR444" t="s">
        <v>3</v>
      </c>
      <c r="CS444" t="s">
        <v>96</v>
      </c>
      <c r="CT444">
        <v>46064</v>
      </c>
      <c r="CU444">
        <v>1</v>
      </c>
      <c r="CV444">
        <v>1</v>
      </c>
      <c r="CX444">
        <v>1</v>
      </c>
      <c r="CZ444">
        <v>0</v>
      </c>
      <c r="DA444">
        <v>0</v>
      </c>
      <c r="DB444">
        <v>6.2268518518518515E-3</v>
      </c>
      <c r="DC444">
        <v>1.4247685185185184E-2</v>
      </c>
      <c r="DD444">
        <v>50</v>
      </c>
      <c r="DE444">
        <v>132</v>
      </c>
      <c r="DF444">
        <v>8</v>
      </c>
      <c r="DG444">
        <v>1.875</v>
      </c>
      <c r="DH444">
        <v>15423</v>
      </c>
      <c r="DI444">
        <v>0.16</v>
      </c>
      <c r="DJ444">
        <v>1</v>
      </c>
      <c r="DK444">
        <v>0.125</v>
      </c>
      <c r="DL444">
        <v>780</v>
      </c>
      <c r="DM444">
        <v>780</v>
      </c>
      <c r="DN444">
        <v>780</v>
      </c>
      <c r="DO444">
        <v>1</v>
      </c>
      <c r="DQ444">
        <v>82</v>
      </c>
      <c r="DR444">
        <v>780</v>
      </c>
    </row>
    <row r="445" spans="95:122" x14ac:dyDescent="0.25">
      <c r="CQ445" t="s">
        <v>636</v>
      </c>
      <c r="CR445" t="s">
        <v>3</v>
      </c>
      <c r="CS445" t="s">
        <v>96</v>
      </c>
      <c r="CT445">
        <v>46065</v>
      </c>
      <c r="CU445">
        <v>1</v>
      </c>
      <c r="CV445">
        <v>1</v>
      </c>
      <c r="CX445">
        <v>1</v>
      </c>
      <c r="CZ445">
        <v>0</v>
      </c>
      <c r="DA445">
        <v>0</v>
      </c>
      <c r="DB445">
        <v>5.4027777777777779E-2</v>
      </c>
      <c r="DC445">
        <v>2.1747685185185186E-2</v>
      </c>
      <c r="DD445">
        <v>71</v>
      </c>
      <c r="DE445">
        <v>180</v>
      </c>
      <c r="DF445">
        <v>8</v>
      </c>
      <c r="DG445">
        <v>1.875</v>
      </c>
      <c r="DH445">
        <v>22372</v>
      </c>
      <c r="DI445">
        <v>0.11269999999999999</v>
      </c>
      <c r="DJ445">
        <v>1</v>
      </c>
      <c r="DK445">
        <v>0.125</v>
      </c>
      <c r="DL445">
        <v>500</v>
      </c>
      <c r="DM445">
        <v>500</v>
      </c>
      <c r="DQ445">
        <v>82</v>
      </c>
    </row>
    <row r="446" spans="95:122" x14ac:dyDescent="0.25">
      <c r="CQ446" t="s">
        <v>636</v>
      </c>
      <c r="CR446" t="s">
        <v>3</v>
      </c>
      <c r="CS446" t="s">
        <v>33</v>
      </c>
      <c r="CT446">
        <v>46057</v>
      </c>
      <c r="CU446">
        <v>1</v>
      </c>
      <c r="CV446">
        <v>1</v>
      </c>
      <c r="CW446">
        <v>1</v>
      </c>
      <c r="CZ446">
        <v>8.3217592592592596E-3</v>
      </c>
      <c r="DA446">
        <v>8.3217592592592596E-3</v>
      </c>
      <c r="DB446">
        <v>5.0057870370370371E-2</v>
      </c>
      <c r="DC446">
        <v>2.056712962962963E-2</v>
      </c>
      <c r="DD446">
        <v>92</v>
      </c>
      <c r="DE446">
        <v>142</v>
      </c>
      <c r="DF446">
        <v>17</v>
      </c>
      <c r="DG446" t="s">
        <v>802</v>
      </c>
      <c r="DH446">
        <v>20104</v>
      </c>
      <c r="DI446">
        <v>0.18479999999999999</v>
      </c>
      <c r="DJ446">
        <v>1</v>
      </c>
      <c r="DK446">
        <v>5.8799999999999998E-2</v>
      </c>
      <c r="DL446">
        <v>1000</v>
      </c>
      <c r="DM446">
        <v>1000</v>
      </c>
      <c r="DN446">
        <v>1000</v>
      </c>
      <c r="DO446">
        <v>1</v>
      </c>
      <c r="DP446">
        <v>0.1411</v>
      </c>
      <c r="DQ446">
        <v>82</v>
      </c>
      <c r="DR446">
        <v>1000</v>
      </c>
    </row>
    <row r="447" spans="95:122" x14ac:dyDescent="0.25">
      <c r="CQ447" t="s">
        <v>636</v>
      </c>
      <c r="CR447" t="s">
        <v>3</v>
      </c>
      <c r="CS447" t="s">
        <v>31</v>
      </c>
      <c r="CT447">
        <v>46079</v>
      </c>
      <c r="CU447">
        <v>1</v>
      </c>
      <c r="CV447">
        <v>1</v>
      </c>
      <c r="CX447">
        <v>1</v>
      </c>
      <c r="CZ447">
        <v>3.3564814814814812E-4</v>
      </c>
      <c r="DA447">
        <v>3.3564814814814812E-4</v>
      </c>
      <c r="DB447">
        <v>0.2046412037037037</v>
      </c>
      <c r="DC447">
        <v>0.14421296296296296</v>
      </c>
      <c r="DD447">
        <v>61</v>
      </c>
      <c r="DE447">
        <v>138</v>
      </c>
      <c r="DF447">
        <v>15</v>
      </c>
      <c r="DG447" t="s">
        <v>710</v>
      </c>
      <c r="DH447">
        <v>40965</v>
      </c>
      <c r="DI447">
        <v>0.24590000000000001</v>
      </c>
      <c r="DJ447">
        <v>1</v>
      </c>
      <c r="DK447">
        <v>6.6699999999999995E-2</v>
      </c>
      <c r="DL447">
        <v>2300</v>
      </c>
      <c r="DM447">
        <v>2300</v>
      </c>
      <c r="DN447">
        <v>2300</v>
      </c>
      <c r="DO447">
        <v>1</v>
      </c>
      <c r="DP447">
        <v>0.16220000000000001</v>
      </c>
      <c r="DQ447">
        <v>82</v>
      </c>
      <c r="DR447">
        <v>2300</v>
      </c>
    </row>
    <row r="448" spans="95:122" x14ac:dyDescent="0.25">
      <c r="CQ448" t="s">
        <v>636</v>
      </c>
      <c r="CR448" t="s">
        <v>3</v>
      </c>
      <c r="CS448" t="s">
        <v>207</v>
      </c>
      <c r="CT448">
        <v>46065</v>
      </c>
      <c r="CU448">
        <v>1</v>
      </c>
      <c r="CV448">
        <v>1</v>
      </c>
      <c r="CX448">
        <v>1</v>
      </c>
      <c r="CZ448">
        <v>0</v>
      </c>
      <c r="DA448">
        <v>0</v>
      </c>
      <c r="DB448">
        <v>2.074074074074074E-2</v>
      </c>
      <c r="DC448">
        <v>5.5671296296296293E-3</v>
      </c>
      <c r="DD448">
        <v>226</v>
      </c>
      <c r="DE448">
        <v>377</v>
      </c>
      <c r="DF448">
        <v>40</v>
      </c>
      <c r="DG448">
        <v>1.675</v>
      </c>
      <c r="DH448">
        <v>26097</v>
      </c>
      <c r="DI448">
        <v>0.17699999999999999</v>
      </c>
      <c r="DJ448">
        <v>6</v>
      </c>
      <c r="DK448">
        <v>0.15</v>
      </c>
      <c r="DL448">
        <v>2629</v>
      </c>
      <c r="DM448">
        <v>438</v>
      </c>
      <c r="DN448">
        <v>1468</v>
      </c>
      <c r="DO448">
        <v>0.55840000000000001</v>
      </c>
      <c r="DQ448">
        <v>82</v>
      </c>
      <c r="DR448">
        <v>367</v>
      </c>
    </row>
    <row r="449" spans="95:122" x14ac:dyDescent="0.25">
      <c r="CQ449" t="s">
        <v>636</v>
      </c>
      <c r="CR449" t="s">
        <v>124</v>
      </c>
      <c r="CS449" t="s">
        <v>495</v>
      </c>
      <c r="CT449">
        <v>46064</v>
      </c>
      <c r="CU449">
        <v>1</v>
      </c>
      <c r="CV449">
        <v>1</v>
      </c>
      <c r="CX449">
        <v>1</v>
      </c>
      <c r="CZ449">
        <v>0</v>
      </c>
      <c r="DA449">
        <v>0</v>
      </c>
      <c r="DB449">
        <v>2.5694444444444443E-2</v>
      </c>
      <c r="DC449">
        <v>1.2638888888888889E-2</v>
      </c>
      <c r="DD449">
        <v>142</v>
      </c>
      <c r="DE449">
        <v>250</v>
      </c>
      <c r="DF449">
        <v>31</v>
      </c>
      <c r="DG449" t="s">
        <v>1087</v>
      </c>
      <c r="DH449">
        <v>11668</v>
      </c>
      <c r="DI449">
        <v>0.21829999999999999</v>
      </c>
      <c r="DJ449">
        <v>2</v>
      </c>
      <c r="DK449">
        <v>6.4500000000000002E-2</v>
      </c>
      <c r="DL449">
        <v>870</v>
      </c>
      <c r="DM449">
        <v>435</v>
      </c>
      <c r="DN449">
        <v>570</v>
      </c>
      <c r="DO449">
        <v>0.6552</v>
      </c>
      <c r="DP449">
        <v>0.41639999999999999</v>
      </c>
      <c r="DQ449">
        <v>80</v>
      </c>
      <c r="DR449">
        <v>570</v>
      </c>
    </row>
    <row r="450" spans="95:122" x14ac:dyDescent="0.25">
      <c r="CQ450" t="s">
        <v>636</v>
      </c>
      <c r="CR450" t="s">
        <v>124</v>
      </c>
      <c r="CS450" t="s">
        <v>495</v>
      </c>
      <c r="CT450">
        <v>46071</v>
      </c>
      <c r="CU450">
        <v>1</v>
      </c>
      <c r="CV450">
        <v>1</v>
      </c>
      <c r="CX450">
        <v>1</v>
      </c>
      <c r="CZ450">
        <v>5.7870370370370373E-5</v>
      </c>
      <c r="DA450">
        <v>5.7870370370370373E-5</v>
      </c>
      <c r="DB450">
        <v>0.14280092592592591</v>
      </c>
      <c r="DC450">
        <v>0.18510416666666665</v>
      </c>
      <c r="DD450">
        <v>80</v>
      </c>
      <c r="DE450">
        <v>163</v>
      </c>
      <c r="DF450">
        <v>29</v>
      </c>
      <c r="DG450" t="s">
        <v>945</v>
      </c>
      <c r="DH450">
        <v>17052</v>
      </c>
      <c r="DI450">
        <v>0.36249999999999999</v>
      </c>
      <c r="DJ450">
        <v>2</v>
      </c>
      <c r="DK450">
        <v>6.9000000000000006E-2</v>
      </c>
      <c r="DL450">
        <v>3500</v>
      </c>
      <c r="DM450">
        <v>1750</v>
      </c>
      <c r="DQ450">
        <v>80</v>
      </c>
    </row>
    <row r="451" spans="95:122" x14ac:dyDescent="0.25">
      <c r="CQ451" t="s">
        <v>636</v>
      </c>
      <c r="CR451" t="s">
        <v>124</v>
      </c>
      <c r="CS451" t="s">
        <v>493</v>
      </c>
      <c r="CT451">
        <v>46076</v>
      </c>
      <c r="CU451">
        <v>1</v>
      </c>
      <c r="CV451">
        <v>1</v>
      </c>
      <c r="CX451">
        <v>1</v>
      </c>
      <c r="CZ451">
        <v>0</v>
      </c>
      <c r="DA451">
        <v>0</v>
      </c>
      <c r="DB451">
        <v>0.19532407407407407</v>
      </c>
      <c r="DC451">
        <v>0.15469907407407407</v>
      </c>
      <c r="DD451">
        <v>170</v>
      </c>
      <c r="DE451">
        <v>213</v>
      </c>
      <c r="DF451">
        <v>23</v>
      </c>
      <c r="DG451" t="s">
        <v>895</v>
      </c>
      <c r="DH451">
        <v>22400</v>
      </c>
      <c r="DI451">
        <v>0.1353</v>
      </c>
      <c r="DJ451">
        <v>1</v>
      </c>
      <c r="DK451">
        <v>4.3499999999999997E-2</v>
      </c>
      <c r="DL451">
        <v>1500</v>
      </c>
      <c r="DM451">
        <v>1500</v>
      </c>
      <c r="DN451">
        <v>1500</v>
      </c>
      <c r="DO451">
        <v>1</v>
      </c>
      <c r="DP451">
        <v>0.1082</v>
      </c>
      <c r="DQ451">
        <v>80</v>
      </c>
      <c r="DR451">
        <v>1500</v>
      </c>
    </row>
    <row r="452" spans="95:122" x14ac:dyDescent="0.25">
      <c r="CQ452" t="s">
        <v>636</v>
      </c>
      <c r="CR452" t="s">
        <v>124</v>
      </c>
      <c r="CS452" t="s">
        <v>49</v>
      </c>
      <c r="CT452">
        <v>46064</v>
      </c>
      <c r="CU452">
        <v>1</v>
      </c>
      <c r="CV452">
        <v>1</v>
      </c>
      <c r="CZ452">
        <v>3.7384259259259259E-3</v>
      </c>
      <c r="DA452">
        <v>3.7384259259259259E-3</v>
      </c>
      <c r="DB452">
        <v>5.2951388888888888E-2</v>
      </c>
      <c r="DC452">
        <v>1.8136574074074076E-2</v>
      </c>
      <c r="DD452">
        <v>69</v>
      </c>
      <c r="DE452">
        <v>108</v>
      </c>
      <c r="DF452">
        <v>13</v>
      </c>
      <c r="DG452" t="s">
        <v>743</v>
      </c>
      <c r="DH452">
        <v>11141</v>
      </c>
      <c r="DI452">
        <v>0.18840000000000001</v>
      </c>
      <c r="DJ452">
        <v>1</v>
      </c>
      <c r="DK452">
        <v>7.6899999999999996E-2</v>
      </c>
      <c r="DL452">
        <v>730</v>
      </c>
      <c r="DM452">
        <v>730</v>
      </c>
      <c r="DN452">
        <v>730</v>
      </c>
      <c r="DO452">
        <v>1</v>
      </c>
      <c r="DP452">
        <v>0.10050000000000001</v>
      </c>
      <c r="DQ452">
        <v>80</v>
      </c>
      <c r="DR452">
        <v>730</v>
      </c>
    </row>
    <row r="453" spans="95:122" x14ac:dyDescent="0.25">
      <c r="CQ453" t="s">
        <v>636</v>
      </c>
      <c r="CR453" t="s">
        <v>124</v>
      </c>
      <c r="CS453" t="s">
        <v>77</v>
      </c>
      <c r="CT453">
        <v>46064</v>
      </c>
      <c r="CU453">
        <v>1</v>
      </c>
      <c r="CV453">
        <v>1</v>
      </c>
      <c r="CX453">
        <v>1</v>
      </c>
      <c r="CZ453">
        <v>0</v>
      </c>
      <c r="DA453">
        <v>0</v>
      </c>
      <c r="DB453">
        <v>4.130787037037037E-2</v>
      </c>
      <c r="DC453">
        <v>1.0046296296296296E-2</v>
      </c>
      <c r="DD453">
        <v>103</v>
      </c>
      <c r="DE453">
        <v>210</v>
      </c>
      <c r="DF453">
        <v>42</v>
      </c>
      <c r="DG453" t="s">
        <v>962</v>
      </c>
      <c r="DH453">
        <v>15771</v>
      </c>
      <c r="DI453">
        <v>0.4078</v>
      </c>
      <c r="DJ453">
        <v>2</v>
      </c>
      <c r="DK453">
        <v>4.7600000000000003E-2</v>
      </c>
      <c r="DL453">
        <v>668</v>
      </c>
      <c r="DM453">
        <v>334</v>
      </c>
      <c r="DN453">
        <v>378</v>
      </c>
      <c r="DO453">
        <v>0.56559999999999999</v>
      </c>
      <c r="DP453">
        <v>0.46339999999999998</v>
      </c>
      <c r="DQ453">
        <v>80</v>
      </c>
      <c r="DR453">
        <v>378</v>
      </c>
    </row>
    <row r="454" spans="95:122" x14ac:dyDescent="0.25">
      <c r="CQ454" t="s">
        <v>636</v>
      </c>
      <c r="CR454" t="s">
        <v>124</v>
      </c>
      <c r="CS454" t="s">
        <v>55</v>
      </c>
      <c r="CT454">
        <v>46055</v>
      </c>
      <c r="CU454">
        <v>1</v>
      </c>
      <c r="CV454">
        <v>1</v>
      </c>
      <c r="CX454">
        <v>1</v>
      </c>
      <c r="CZ454">
        <v>5.7870370370370373E-5</v>
      </c>
      <c r="DA454">
        <v>5.7870370370370373E-5</v>
      </c>
      <c r="DB454">
        <v>2.3449074074074074E-2</v>
      </c>
      <c r="DC454">
        <v>1.9131944444444444E-2</v>
      </c>
      <c r="DD454">
        <v>45</v>
      </c>
      <c r="DE454">
        <v>79</v>
      </c>
      <c r="DF454">
        <v>12</v>
      </c>
      <c r="DG454" t="s">
        <v>674</v>
      </c>
      <c r="DH454">
        <v>9547</v>
      </c>
      <c r="DI454">
        <v>0.26669999999999999</v>
      </c>
      <c r="DJ454">
        <v>4</v>
      </c>
      <c r="DK454">
        <v>0.33329999999999999</v>
      </c>
      <c r="DL454">
        <v>1825</v>
      </c>
      <c r="DM454">
        <v>456</v>
      </c>
      <c r="DN454">
        <v>1325</v>
      </c>
      <c r="DO454">
        <v>0.72599999999999998</v>
      </c>
      <c r="DQ454">
        <v>80</v>
      </c>
      <c r="DR454">
        <v>442</v>
      </c>
    </row>
    <row r="455" spans="95:122" x14ac:dyDescent="0.25">
      <c r="CQ455" t="s">
        <v>636</v>
      </c>
      <c r="CR455" t="s">
        <v>124</v>
      </c>
      <c r="CS455" t="s">
        <v>55</v>
      </c>
      <c r="CT455">
        <v>46070</v>
      </c>
      <c r="CU455">
        <v>1</v>
      </c>
      <c r="CV455">
        <v>1</v>
      </c>
      <c r="CX455">
        <v>1</v>
      </c>
      <c r="CZ455">
        <v>8.1018518518518516E-5</v>
      </c>
      <c r="DA455">
        <v>8.1018518518518516E-5</v>
      </c>
      <c r="DB455">
        <v>0.21906249999999999</v>
      </c>
      <c r="DC455">
        <v>0.14293981481481483</v>
      </c>
      <c r="DD455">
        <v>235</v>
      </c>
      <c r="DE455">
        <v>343</v>
      </c>
      <c r="DF455">
        <v>25</v>
      </c>
      <c r="DG455">
        <v>1.64</v>
      </c>
      <c r="DH455">
        <v>14092</v>
      </c>
      <c r="DI455">
        <v>0.10639999999999999</v>
      </c>
      <c r="DJ455">
        <v>1</v>
      </c>
      <c r="DK455">
        <v>0.04</v>
      </c>
      <c r="DL455">
        <v>250</v>
      </c>
      <c r="DM455">
        <v>250</v>
      </c>
      <c r="DQ455">
        <v>80</v>
      </c>
    </row>
    <row r="456" spans="95:122" x14ac:dyDescent="0.25">
      <c r="CQ456" t="s">
        <v>636</v>
      </c>
      <c r="CR456" t="s">
        <v>125</v>
      </c>
      <c r="CS456" t="s">
        <v>18</v>
      </c>
      <c r="CT456">
        <v>46071</v>
      </c>
      <c r="CU456">
        <v>1</v>
      </c>
      <c r="CV456">
        <v>1</v>
      </c>
      <c r="CX456">
        <v>1</v>
      </c>
      <c r="CZ456">
        <v>6.9444444444444444E-5</v>
      </c>
      <c r="DA456">
        <v>6.9444444444444444E-5</v>
      </c>
      <c r="DB456">
        <v>0.19498842592592591</v>
      </c>
      <c r="DC456">
        <v>0.14222222222222222</v>
      </c>
      <c r="DD456">
        <v>189</v>
      </c>
      <c r="DE456">
        <v>370</v>
      </c>
      <c r="DF456">
        <v>35</v>
      </c>
      <c r="DG456" t="s">
        <v>875</v>
      </c>
      <c r="DH456">
        <v>24554</v>
      </c>
      <c r="DI456">
        <v>0.1852</v>
      </c>
      <c r="DJ456">
        <v>1</v>
      </c>
      <c r="DK456">
        <v>2.86E-2</v>
      </c>
      <c r="DL456">
        <v>5000</v>
      </c>
      <c r="DM456">
        <v>5000</v>
      </c>
      <c r="DN456">
        <v>5000</v>
      </c>
      <c r="DO456">
        <v>1</v>
      </c>
      <c r="DP456">
        <v>0.1464</v>
      </c>
      <c r="DQ456">
        <v>80</v>
      </c>
      <c r="DR456">
        <v>5000</v>
      </c>
    </row>
    <row r="457" spans="95:122" x14ac:dyDescent="0.25">
      <c r="CQ457" t="s">
        <v>636</v>
      </c>
      <c r="CR457" t="s">
        <v>125</v>
      </c>
      <c r="CS457" t="s">
        <v>109</v>
      </c>
      <c r="CT457">
        <v>46069</v>
      </c>
      <c r="CU457">
        <v>1</v>
      </c>
      <c r="CV457">
        <v>1</v>
      </c>
      <c r="CX457">
        <v>1</v>
      </c>
      <c r="CZ457">
        <v>4.6296296296296298E-4</v>
      </c>
      <c r="DA457">
        <v>4.6296296296296298E-4</v>
      </c>
      <c r="DB457">
        <v>0.21846064814814814</v>
      </c>
      <c r="DC457">
        <v>0.13376157407407407</v>
      </c>
      <c r="DD457">
        <v>87</v>
      </c>
      <c r="DE457">
        <v>192</v>
      </c>
      <c r="DF457">
        <v>16</v>
      </c>
      <c r="DG457">
        <v>1.8125</v>
      </c>
      <c r="DH457">
        <v>50467</v>
      </c>
      <c r="DI457">
        <v>0.18390000000000001</v>
      </c>
      <c r="DJ457">
        <v>2</v>
      </c>
      <c r="DK457">
        <v>0.125</v>
      </c>
      <c r="DL457">
        <v>15220</v>
      </c>
      <c r="DM457">
        <v>7610</v>
      </c>
      <c r="DN457">
        <v>220</v>
      </c>
      <c r="DO457">
        <v>1.4500000000000001E-2</v>
      </c>
      <c r="DP457">
        <v>2.3E-3</v>
      </c>
      <c r="DQ457">
        <v>80</v>
      </c>
      <c r="DR457">
        <v>220</v>
      </c>
    </row>
    <row r="458" spans="95:122" x14ac:dyDescent="0.25">
      <c r="CQ458" t="s">
        <v>636</v>
      </c>
      <c r="CR458" t="s">
        <v>125</v>
      </c>
      <c r="CS458" t="s">
        <v>109</v>
      </c>
      <c r="CT458">
        <v>46076</v>
      </c>
      <c r="CU458">
        <v>1</v>
      </c>
      <c r="CV458">
        <v>1</v>
      </c>
      <c r="CW458">
        <v>1</v>
      </c>
      <c r="CZ458">
        <v>4.7106481481481478E-3</v>
      </c>
      <c r="DA458">
        <v>4.7106481481481478E-3</v>
      </c>
      <c r="DB458">
        <v>0.18581018518518519</v>
      </c>
      <c r="DC458">
        <v>0.16171296296296298</v>
      </c>
      <c r="DD458">
        <v>80</v>
      </c>
      <c r="DE458">
        <v>170</v>
      </c>
      <c r="DF458">
        <v>21</v>
      </c>
      <c r="DG458" t="s">
        <v>687</v>
      </c>
      <c r="DH458">
        <v>29363</v>
      </c>
      <c r="DI458">
        <v>0.26250000000000001</v>
      </c>
      <c r="DJ458">
        <v>4</v>
      </c>
      <c r="DK458">
        <v>0.1905</v>
      </c>
      <c r="DL458">
        <v>9577</v>
      </c>
      <c r="DM458">
        <v>2394</v>
      </c>
      <c r="DN458">
        <v>4340</v>
      </c>
      <c r="DO458">
        <v>0.45319999999999999</v>
      </c>
      <c r="DP458">
        <v>0.13689999999999999</v>
      </c>
      <c r="DQ458">
        <v>80</v>
      </c>
      <c r="DR458">
        <v>2170</v>
      </c>
    </row>
    <row r="459" spans="95:122" x14ac:dyDescent="0.25">
      <c r="CQ459" t="s">
        <v>636</v>
      </c>
      <c r="CR459" t="s">
        <v>125</v>
      </c>
      <c r="CS459" t="s">
        <v>122</v>
      </c>
      <c r="CT459">
        <v>46076</v>
      </c>
      <c r="CU459">
        <v>1</v>
      </c>
      <c r="CV459">
        <v>1</v>
      </c>
      <c r="CX459">
        <v>1</v>
      </c>
      <c r="CZ459">
        <v>9.2592592592592588E-5</v>
      </c>
      <c r="DA459">
        <v>9.2592592592592588E-5</v>
      </c>
      <c r="DB459">
        <v>0.19324074074074074</v>
      </c>
      <c r="DC459">
        <v>0.1380787037037037</v>
      </c>
      <c r="DD459">
        <v>56</v>
      </c>
      <c r="DE459">
        <v>151</v>
      </c>
      <c r="DF459">
        <v>19</v>
      </c>
      <c r="DG459" t="s">
        <v>921</v>
      </c>
      <c r="DH459">
        <v>35019</v>
      </c>
      <c r="DI459">
        <v>0.33929999999999999</v>
      </c>
      <c r="DJ459">
        <v>1</v>
      </c>
      <c r="DK459">
        <v>5.2600000000000001E-2</v>
      </c>
      <c r="DL459">
        <v>500</v>
      </c>
      <c r="DM459">
        <v>500</v>
      </c>
      <c r="DN459">
        <v>500</v>
      </c>
      <c r="DO459">
        <v>1</v>
      </c>
      <c r="DQ459">
        <v>80</v>
      </c>
      <c r="DR459">
        <v>500</v>
      </c>
    </row>
    <row r="460" spans="95:122" x14ac:dyDescent="0.25">
      <c r="CQ460" t="s">
        <v>636</v>
      </c>
      <c r="CR460" t="s">
        <v>125</v>
      </c>
      <c r="CS460" t="s">
        <v>59</v>
      </c>
      <c r="CT460">
        <v>46059</v>
      </c>
      <c r="CU460">
        <v>1</v>
      </c>
      <c r="CV460">
        <v>1</v>
      </c>
      <c r="CX460">
        <v>1</v>
      </c>
      <c r="CZ460">
        <v>1.1574074074074073E-5</v>
      </c>
      <c r="DA460">
        <v>1.1574074074074073E-5</v>
      </c>
      <c r="DB460">
        <v>7.8333333333333338E-2</v>
      </c>
      <c r="DC460">
        <v>3.8414351851851852E-2</v>
      </c>
      <c r="DD460">
        <v>121</v>
      </c>
      <c r="DE460">
        <v>284</v>
      </c>
      <c r="DF460">
        <v>18</v>
      </c>
      <c r="DG460" t="s">
        <v>1109</v>
      </c>
      <c r="DH460">
        <v>44624</v>
      </c>
      <c r="DI460">
        <v>0.14879999999999999</v>
      </c>
      <c r="DJ460">
        <v>3</v>
      </c>
      <c r="DK460">
        <v>0.16669999999999999</v>
      </c>
      <c r="DL460">
        <v>17800</v>
      </c>
      <c r="DM460">
        <v>5933</v>
      </c>
      <c r="DN460">
        <v>16500</v>
      </c>
      <c r="DO460">
        <v>0.92700000000000005</v>
      </c>
      <c r="DP460">
        <v>9.8500000000000004E-2</v>
      </c>
      <c r="DQ460">
        <v>80</v>
      </c>
      <c r="DR460">
        <v>16500</v>
      </c>
    </row>
    <row r="461" spans="95:122" x14ac:dyDescent="0.25">
      <c r="CQ461" t="s">
        <v>636</v>
      </c>
      <c r="CR461" t="s">
        <v>2</v>
      </c>
      <c r="CS461" t="s">
        <v>29</v>
      </c>
      <c r="CT461">
        <v>46076</v>
      </c>
      <c r="CU461">
        <v>1</v>
      </c>
      <c r="CV461">
        <v>1</v>
      </c>
      <c r="CW461">
        <v>1</v>
      </c>
      <c r="CZ461">
        <v>7.4305555555555557E-3</v>
      </c>
      <c r="DA461">
        <v>7.4305555555555557E-3</v>
      </c>
      <c r="DB461">
        <v>0.16423611111111111</v>
      </c>
      <c r="DC461">
        <v>0.16187499999999999</v>
      </c>
      <c r="DD461">
        <v>68</v>
      </c>
      <c r="DE461">
        <v>149</v>
      </c>
      <c r="DF461">
        <v>35</v>
      </c>
      <c r="DG461" t="s">
        <v>679</v>
      </c>
      <c r="DH461">
        <v>10139</v>
      </c>
      <c r="DI461">
        <v>0.51470000000000005</v>
      </c>
      <c r="DJ461">
        <v>3</v>
      </c>
      <c r="DK461">
        <v>8.5699999999999998E-2</v>
      </c>
      <c r="DL461">
        <v>727</v>
      </c>
      <c r="DM461">
        <v>242</v>
      </c>
      <c r="DN461">
        <v>300</v>
      </c>
      <c r="DO461">
        <v>0.41270000000000001</v>
      </c>
      <c r="DQ461">
        <v>80</v>
      </c>
      <c r="DR461">
        <v>300</v>
      </c>
    </row>
    <row r="462" spans="95:122" x14ac:dyDescent="0.25">
      <c r="CQ462" t="s">
        <v>636</v>
      </c>
      <c r="CR462" t="s">
        <v>2</v>
      </c>
      <c r="CS462" t="s">
        <v>29</v>
      </c>
      <c r="CT462">
        <v>46080</v>
      </c>
      <c r="CU462">
        <v>1</v>
      </c>
      <c r="CV462">
        <v>1</v>
      </c>
      <c r="CX462">
        <v>1</v>
      </c>
      <c r="CZ462">
        <v>0</v>
      </c>
      <c r="DA462">
        <v>0</v>
      </c>
      <c r="DB462">
        <v>0.19671296296296295</v>
      </c>
      <c r="DC462">
        <v>0.18131944444444445</v>
      </c>
      <c r="DD462">
        <v>86</v>
      </c>
      <c r="DE462">
        <v>195</v>
      </c>
      <c r="DF462">
        <v>30</v>
      </c>
      <c r="DG462">
        <v>2</v>
      </c>
      <c r="DH462">
        <v>20251</v>
      </c>
      <c r="DI462">
        <v>0.3488</v>
      </c>
      <c r="DJ462">
        <v>1</v>
      </c>
      <c r="DK462">
        <v>3.3300000000000003E-2</v>
      </c>
      <c r="DL462">
        <v>7000</v>
      </c>
      <c r="DM462">
        <v>7000</v>
      </c>
      <c r="DN462">
        <v>7000</v>
      </c>
      <c r="DO462">
        <v>1</v>
      </c>
      <c r="DP462">
        <v>0.11650000000000001</v>
      </c>
      <c r="DQ462">
        <v>80</v>
      </c>
      <c r="DR462">
        <v>7000</v>
      </c>
    </row>
    <row r="463" spans="95:122" x14ac:dyDescent="0.25">
      <c r="CQ463" t="s">
        <v>636</v>
      </c>
      <c r="CR463" t="s">
        <v>2</v>
      </c>
      <c r="CS463" t="s">
        <v>25</v>
      </c>
      <c r="CT463">
        <v>46056</v>
      </c>
      <c r="CU463">
        <v>1</v>
      </c>
      <c r="CV463">
        <v>1</v>
      </c>
      <c r="CZ463">
        <v>3.8425925925925928E-3</v>
      </c>
      <c r="DA463">
        <v>3.8425925925925928E-3</v>
      </c>
      <c r="DB463">
        <v>6.1631944444444448E-2</v>
      </c>
      <c r="DC463">
        <v>3.7673611111111109E-2</v>
      </c>
      <c r="DD463">
        <v>75</v>
      </c>
      <c r="DE463">
        <v>138</v>
      </c>
      <c r="DF463">
        <v>17</v>
      </c>
      <c r="DG463" t="s">
        <v>686</v>
      </c>
      <c r="DH463">
        <v>30670</v>
      </c>
      <c r="DI463">
        <v>0.22670000000000001</v>
      </c>
      <c r="DJ463">
        <v>2</v>
      </c>
      <c r="DK463">
        <v>0.1176</v>
      </c>
      <c r="DL463">
        <v>900</v>
      </c>
      <c r="DM463">
        <v>450</v>
      </c>
      <c r="DN463">
        <v>500</v>
      </c>
      <c r="DO463">
        <v>0.55559999999999998</v>
      </c>
      <c r="DP463">
        <v>0.24890000000000001</v>
      </c>
      <c r="DQ463">
        <v>80</v>
      </c>
      <c r="DR463">
        <v>500</v>
      </c>
    </row>
    <row r="464" spans="95:122" x14ac:dyDescent="0.25">
      <c r="CQ464" t="s">
        <v>636</v>
      </c>
      <c r="CR464" t="s">
        <v>2</v>
      </c>
      <c r="CS464" t="s">
        <v>25</v>
      </c>
      <c r="CT464">
        <v>46069</v>
      </c>
      <c r="CU464">
        <v>1</v>
      </c>
      <c r="CV464">
        <v>1</v>
      </c>
      <c r="CW464">
        <v>1</v>
      </c>
      <c r="CZ464">
        <v>7.8356481481481489E-3</v>
      </c>
      <c r="DA464">
        <v>7.8356481481481489E-3</v>
      </c>
      <c r="DB464">
        <v>0.19358796296296296</v>
      </c>
      <c r="DC464">
        <v>0.12047453703703703</v>
      </c>
      <c r="DD464">
        <v>60</v>
      </c>
      <c r="DE464">
        <v>128</v>
      </c>
      <c r="DF464">
        <v>26</v>
      </c>
      <c r="DG464" t="s">
        <v>764</v>
      </c>
      <c r="DH464">
        <v>16822</v>
      </c>
      <c r="DI464">
        <v>0.43330000000000002</v>
      </c>
      <c r="DJ464">
        <v>1</v>
      </c>
      <c r="DK464">
        <v>3.85E-2</v>
      </c>
      <c r="DL464">
        <v>1400</v>
      </c>
      <c r="DM464">
        <v>1400</v>
      </c>
      <c r="DN464">
        <v>1400</v>
      </c>
      <c r="DO464">
        <v>1</v>
      </c>
      <c r="DP464">
        <v>0.1303</v>
      </c>
      <c r="DQ464">
        <v>80</v>
      </c>
      <c r="DR464">
        <v>1400</v>
      </c>
    </row>
    <row r="465" spans="95:122" x14ac:dyDescent="0.25">
      <c r="CQ465" t="s">
        <v>636</v>
      </c>
      <c r="CR465" t="s">
        <v>2</v>
      </c>
      <c r="CS465" t="s">
        <v>76</v>
      </c>
      <c r="CT465">
        <v>46055</v>
      </c>
      <c r="CU465">
        <v>1</v>
      </c>
      <c r="CV465">
        <v>1</v>
      </c>
      <c r="CX465">
        <v>1</v>
      </c>
      <c r="CZ465">
        <v>2.5462962962962961E-4</v>
      </c>
      <c r="DA465">
        <v>2.5462962962962961E-4</v>
      </c>
      <c r="DB465">
        <v>7.6886574074074079E-2</v>
      </c>
      <c r="DC465">
        <v>7.060185185185185E-3</v>
      </c>
      <c r="DD465">
        <v>51</v>
      </c>
      <c r="DE465">
        <v>74</v>
      </c>
      <c r="DF465">
        <v>17</v>
      </c>
      <c r="DG465" t="s">
        <v>744</v>
      </c>
      <c r="DH465">
        <v>13838</v>
      </c>
      <c r="DI465">
        <v>0.33329999999999999</v>
      </c>
      <c r="DJ465">
        <v>9</v>
      </c>
      <c r="DK465">
        <v>0.52939999999999998</v>
      </c>
      <c r="DL465">
        <v>13155</v>
      </c>
      <c r="DM465">
        <v>1462</v>
      </c>
      <c r="DN465">
        <v>10835</v>
      </c>
      <c r="DO465">
        <v>0.8236</v>
      </c>
      <c r="DP465">
        <v>0.58450000000000002</v>
      </c>
      <c r="DQ465">
        <v>80</v>
      </c>
      <c r="DR465">
        <v>1548</v>
      </c>
    </row>
    <row r="466" spans="95:122" x14ac:dyDescent="0.25">
      <c r="CQ466" t="s">
        <v>636</v>
      </c>
      <c r="CR466" t="s">
        <v>6</v>
      </c>
      <c r="CS466" t="s">
        <v>19</v>
      </c>
      <c r="CT466">
        <v>46062</v>
      </c>
      <c r="CU466">
        <v>1</v>
      </c>
      <c r="CV466">
        <v>1</v>
      </c>
      <c r="CX466">
        <v>1</v>
      </c>
      <c r="CZ466">
        <v>3.4722222222222222E-5</v>
      </c>
      <c r="DA466">
        <v>3.4722222222222222E-5</v>
      </c>
      <c r="DB466">
        <v>4.4259259259259262E-2</v>
      </c>
      <c r="DC466">
        <v>2.252314814814815E-2</v>
      </c>
      <c r="DD466">
        <v>132</v>
      </c>
      <c r="DE466">
        <v>195</v>
      </c>
      <c r="DF466">
        <v>15</v>
      </c>
      <c r="DG466" t="s">
        <v>742</v>
      </c>
      <c r="DH466">
        <v>27141</v>
      </c>
      <c r="DI466">
        <v>0.11360000000000001</v>
      </c>
      <c r="DJ466">
        <v>2</v>
      </c>
      <c r="DK466">
        <v>0.1333</v>
      </c>
      <c r="DL466">
        <v>580</v>
      </c>
      <c r="DM466">
        <v>290</v>
      </c>
      <c r="DN466">
        <v>580</v>
      </c>
      <c r="DO466">
        <v>1</v>
      </c>
      <c r="DP466">
        <v>0.70379999999999998</v>
      </c>
      <c r="DQ466">
        <v>80</v>
      </c>
      <c r="DR466">
        <v>290</v>
      </c>
    </row>
    <row r="467" spans="95:122" x14ac:dyDescent="0.25">
      <c r="CQ467" t="s">
        <v>636</v>
      </c>
      <c r="CR467" t="s">
        <v>6</v>
      </c>
      <c r="CS467" t="s">
        <v>19</v>
      </c>
      <c r="CT467">
        <v>46071</v>
      </c>
      <c r="CU467">
        <v>1</v>
      </c>
      <c r="CV467">
        <v>1</v>
      </c>
      <c r="CX467">
        <v>1</v>
      </c>
      <c r="CZ467">
        <v>0</v>
      </c>
      <c r="DA467">
        <v>0</v>
      </c>
      <c r="DB467">
        <v>0.19489583333333332</v>
      </c>
      <c r="DC467">
        <v>0.16269675925925925</v>
      </c>
      <c r="DD467">
        <v>160</v>
      </c>
      <c r="DE467">
        <v>256</v>
      </c>
      <c r="DF467">
        <v>23</v>
      </c>
      <c r="DG467" t="s">
        <v>797</v>
      </c>
      <c r="DH467">
        <v>34238</v>
      </c>
      <c r="DI467">
        <v>0.14380000000000001</v>
      </c>
      <c r="DJ467">
        <v>1</v>
      </c>
      <c r="DK467">
        <v>4.3499999999999997E-2</v>
      </c>
      <c r="DL467">
        <v>20000</v>
      </c>
      <c r="DM467">
        <v>20000</v>
      </c>
      <c r="DN467">
        <v>20000</v>
      </c>
      <c r="DO467">
        <v>1</v>
      </c>
      <c r="DP467">
        <v>0.1434</v>
      </c>
      <c r="DQ467">
        <v>80</v>
      </c>
      <c r="DR467">
        <v>20000</v>
      </c>
    </row>
    <row r="468" spans="95:122" x14ac:dyDescent="0.25">
      <c r="CQ468" t="s">
        <v>636</v>
      </c>
      <c r="CR468" t="s">
        <v>6</v>
      </c>
      <c r="CS468" t="s">
        <v>19</v>
      </c>
      <c r="CT468">
        <v>46072</v>
      </c>
      <c r="CU468">
        <v>1</v>
      </c>
      <c r="CV468">
        <v>1</v>
      </c>
      <c r="CX468">
        <v>1</v>
      </c>
      <c r="CZ468">
        <v>0</v>
      </c>
      <c r="DA468">
        <v>0</v>
      </c>
      <c r="DB468">
        <v>0.21890046296296295</v>
      </c>
      <c r="DC468">
        <v>0.13340277777777779</v>
      </c>
      <c r="DD468">
        <v>190</v>
      </c>
      <c r="DE468">
        <v>286</v>
      </c>
      <c r="DF468">
        <v>36</v>
      </c>
      <c r="DG468" t="s">
        <v>703</v>
      </c>
      <c r="DH468">
        <v>14496</v>
      </c>
      <c r="DI468">
        <v>0.1895</v>
      </c>
      <c r="DJ468">
        <v>1</v>
      </c>
      <c r="DK468">
        <v>2.7799999999999998E-2</v>
      </c>
      <c r="DL468">
        <v>1571</v>
      </c>
      <c r="DM468">
        <v>1571</v>
      </c>
      <c r="DN468">
        <v>1571</v>
      </c>
      <c r="DO468">
        <v>1</v>
      </c>
      <c r="DP468">
        <v>0.12709999999999999</v>
      </c>
      <c r="DQ468">
        <v>80</v>
      </c>
      <c r="DR468">
        <v>1571</v>
      </c>
    </row>
    <row r="469" spans="95:122" x14ac:dyDescent="0.25">
      <c r="CQ469" t="s">
        <v>636</v>
      </c>
      <c r="CR469" t="s">
        <v>6</v>
      </c>
      <c r="CS469" t="s">
        <v>19</v>
      </c>
      <c r="CT469">
        <v>46077</v>
      </c>
      <c r="CU469">
        <v>1</v>
      </c>
      <c r="CV469">
        <v>1</v>
      </c>
      <c r="CX469">
        <v>1</v>
      </c>
      <c r="CZ469">
        <v>3.4722222222222222E-5</v>
      </c>
      <c r="DA469">
        <v>3.4722222222222222E-5</v>
      </c>
      <c r="DB469">
        <v>0.22236111111111112</v>
      </c>
      <c r="DC469">
        <v>0.14912037037037038</v>
      </c>
      <c r="DD469">
        <v>198</v>
      </c>
      <c r="DE469">
        <v>280</v>
      </c>
      <c r="DF469">
        <v>20</v>
      </c>
      <c r="DG469">
        <v>1.7</v>
      </c>
      <c r="DH469">
        <v>19489</v>
      </c>
      <c r="DI469">
        <v>0.10100000000000001</v>
      </c>
      <c r="DJ469">
        <v>1</v>
      </c>
      <c r="DK469">
        <v>0.05</v>
      </c>
      <c r="DL469">
        <v>2500</v>
      </c>
      <c r="DM469">
        <v>2500</v>
      </c>
      <c r="DN469">
        <v>2500</v>
      </c>
      <c r="DO469">
        <v>1</v>
      </c>
      <c r="DP469">
        <v>0.1426</v>
      </c>
      <c r="DQ469">
        <v>80</v>
      </c>
      <c r="DR469">
        <v>2500</v>
      </c>
    </row>
    <row r="470" spans="95:122" x14ac:dyDescent="0.25">
      <c r="CQ470" t="s">
        <v>636</v>
      </c>
      <c r="CR470" t="s">
        <v>6</v>
      </c>
      <c r="CS470" t="s">
        <v>81</v>
      </c>
      <c r="CT470">
        <v>46055</v>
      </c>
      <c r="CU470">
        <v>1</v>
      </c>
      <c r="CV470">
        <v>1</v>
      </c>
      <c r="CX470">
        <v>1</v>
      </c>
      <c r="CZ470">
        <v>2.3148148148148147E-5</v>
      </c>
      <c r="DA470">
        <v>2.3148148148148147E-5</v>
      </c>
      <c r="DB470">
        <v>2.0509259259259258E-2</v>
      </c>
      <c r="DC470">
        <v>0</v>
      </c>
      <c r="DD470">
        <v>70</v>
      </c>
      <c r="DE470">
        <v>108</v>
      </c>
      <c r="DF470">
        <v>11</v>
      </c>
      <c r="DG470" t="s">
        <v>983</v>
      </c>
      <c r="DH470">
        <v>13963</v>
      </c>
      <c r="DI470">
        <v>0.15709999999999999</v>
      </c>
      <c r="DJ470">
        <v>2</v>
      </c>
      <c r="DK470">
        <v>0.18179999999999999</v>
      </c>
      <c r="DL470">
        <v>4398</v>
      </c>
      <c r="DM470">
        <v>2199</v>
      </c>
      <c r="DN470">
        <v>4398</v>
      </c>
      <c r="DO470">
        <v>1</v>
      </c>
      <c r="DQ470">
        <v>80</v>
      </c>
      <c r="DR470">
        <v>2199</v>
      </c>
    </row>
    <row r="471" spans="95:122" x14ac:dyDescent="0.25">
      <c r="CQ471" t="s">
        <v>636</v>
      </c>
      <c r="CR471" t="s">
        <v>6</v>
      </c>
      <c r="CS471" t="s">
        <v>81</v>
      </c>
      <c r="CT471">
        <v>46078</v>
      </c>
      <c r="CU471">
        <v>1</v>
      </c>
      <c r="CV471">
        <v>1</v>
      </c>
      <c r="CX471">
        <v>1</v>
      </c>
      <c r="CZ471">
        <v>8.1018518518518516E-5</v>
      </c>
      <c r="DA471">
        <v>8.1018518518518516E-5</v>
      </c>
      <c r="DB471">
        <v>0.1816898148148148</v>
      </c>
      <c r="DC471">
        <v>0.15061342592592591</v>
      </c>
      <c r="DD471">
        <v>53</v>
      </c>
      <c r="DE471">
        <v>127</v>
      </c>
      <c r="DF471">
        <v>9</v>
      </c>
      <c r="DG471" t="s">
        <v>707</v>
      </c>
      <c r="DH471">
        <v>34238</v>
      </c>
      <c r="DI471">
        <v>0.16980000000000001</v>
      </c>
      <c r="DJ471">
        <v>1</v>
      </c>
      <c r="DK471">
        <v>0.1111</v>
      </c>
      <c r="DL471">
        <v>350</v>
      </c>
      <c r="DM471">
        <v>350</v>
      </c>
      <c r="DN471">
        <v>350</v>
      </c>
      <c r="DO471">
        <v>1</v>
      </c>
      <c r="DP471">
        <v>0.28799999999999998</v>
      </c>
      <c r="DQ471">
        <v>80</v>
      </c>
      <c r="DR471">
        <v>350</v>
      </c>
    </row>
    <row r="472" spans="95:122" x14ac:dyDescent="0.25">
      <c r="CQ472" t="s">
        <v>636</v>
      </c>
      <c r="CR472" t="s">
        <v>6</v>
      </c>
      <c r="CS472" t="s">
        <v>105</v>
      </c>
      <c r="CT472">
        <v>46058</v>
      </c>
      <c r="CU472">
        <v>1</v>
      </c>
      <c r="CV472">
        <v>1</v>
      </c>
      <c r="CX472">
        <v>1</v>
      </c>
      <c r="CZ472">
        <v>4.6296296296296294E-5</v>
      </c>
      <c r="DA472">
        <v>4.6296296296296294E-5</v>
      </c>
      <c r="DB472">
        <v>3.9976851851851854E-2</v>
      </c>
      <c r="DC472">
        <v>2.6898148148148147E-2</v>
      </c>
      <c r="DD472">
        <v>100</v>
      </c>
      <c r="DE472">
        <v>195</v>
      </c>
      <c r="DF472">
        <v>11</v>
      </c>
      <c r="DG472">
        <v>2</v>
      </c>
      <c r="DH472">
        <v>34778</v>
      </c>
      <c r="DI472">
        <v>0.11</v>
      </c>
      <c r="DJ472">
        <v>1</v>
      </c>
      <c r="DK472">
        <v>9.0899999999999995E-2</v>
      </c>
      <c r="DL472">
        <v>3200</v>
      </c>
      <c r="DM472">
        <v>3200</v>
      </c>
      <c r="DN472">
        <v>3200</v>
      </c>
      <c r="DO472">
        <v>1</v>
      </c>
      <c r="DP472">
        <v>0.1061</v>
      </c>
      <c r="DQ472">
        <v>80</v>
      </c>
      <c r="DR472">
        <v>3200</v>
      </c>
    </row>
    <row r="473" spans="95:122" x14ac:dyDescent="0.25">
      <c r="CQ473" t="s">
        <v>636</v>
      </c>
      <c r="CR473" t="s">
        <v>6</v>
      </c>
      <c r="CS473" t="s">
        <v>105</v>
      </c>
      <c r="CT473">
        <v>46073</v>
      </c>
      <c r="CU473">
        <v>1</v>
      </c>
      <c r="CV473">
        <v>1</v>
      </c>
      <c r="CX473">
        <v>1</v>
      </c>
      <c r="CZ473">
        <v>5.7870370370370373E-5</v>
      </c>
      <c r="DA473">
        <v>5.7870370370370373E-5</v>
      </c>
      <c r="DB473">
        <v>0.16187499999999999</v>
      </c>
      <c r="DC473">
        <v>0.16114583333333332</v>
      </c>
      <c r="DD473">
        <v>86</v>
      </c>
      <c r="DE473">
        <v>177</v>
      </c>
      <c r="DF473">
        <v>22</v>
      </c>
      <c r="DG473" t="s">
        <v>786</v>
      </c>
      <c r="DH473">
        <v>40165</v>
      </c>
      <c r="DI473">
        <v>0.25580000000000003</v>
      </c>
      <c r="DJ473">
        <v>1</v>
      </c>
      <c r="DK473">
        <v>4.5499999999999999E-2</v>
      </c>
      <c r="DL473">
        <v>8000</v>
      </c>
      <c r="DM473">
        <v>8000</v>
      </c>
      <c r="DN473">
        <v>8000</v>
      </c>
      <c r="DO473">
        <v>1</v>
      </c>
      <c r="DP473">
        <v>0.13469999999999999</v>
      </c>
      <c r="DQ473">
        <v>80</v>
      </c>
      <c r="DR473">
        <v>8000</v>
      </c>
    </row>
    <row r="474" spans="95:122" x14ac:dyDescent="0.25">
      <c r="CQ474" t="s">
        <v>636</v>
      </c>
      <c r="CR474" t="s">
        <v>6</v>
      </c>
      <c r="CS474" t="s">
        <v>37</v>
      </c>
      <c r="CT474">
        <v>46066</v>
      </c>
      <c r="CU474">
        <v>1</v>
      </c>
      <c r="CV474">
        <v>1</v>
      </c>
      <c r="CX474">
        <v>1</v>
      </c>
      <c r="CZ474">
        <v>2.3148148148148149E-4</v>
      </c>
      <c r="DA474">
        <v>2.3148148148148149E-4</v>
      </c>
      <c r="DB474">
        <v>0.19425925925925927</v>
      </c>
      <c r="DC474">
        <v>0.14527777777777778</v>
      </c>
      <c r="DD474">
        <v>112</v>
      </c>
      <c r="DE474">
        <v>155</v>
      </c>
      <c r="DF474">
        <v>20</v>
      </c>
      <c r="DG474">
        <v>1.75</v>
      </c>
      <c r="DH474">
        <v>19990</v>
      </c>
      <c r="DI474">
        <v>0.17860000000000001</v>
      </c>
      <c r="DJ474">
        <v>1</v>
      </c>
      <c r="DK474">
        <v>0.05</v>
      </c>
      <c r="DL474">
        <v>300</v>
      </c>
      <c r="DM474">
        <v>300</v>
      </c>
      <c r="DN474">
        <v>300</v>
      </c>
      <c r="DO474">
        <v>1</v>
      </c>
      <c r="DQ474">
        <v>80</v>
      </c>
      <c r="DR474">
        <v>300</v>
      </c>
    </row>
    <row r="475" spans="95:122" x14ac:dyDescent="0.25">
      <c r="CQ475" t="s">
        <v>636</v>
      </c>
      <c r="CR475" t="s">
        <v>6</v>
      </c>
      <c r="CS475" t="s">
        <v>37</v>
      </c>
      <c r="CT475">
        <v>46072</v>
      </c>
      <c r="CU475">
        <v>1</v>
      </c>
      <c r="CV475">
        <v>1</v>
      </c>
      <c r="CX475">
        <v>1</v>
      </c>
      <c r="CZ475">
        <v>5.7870370370370373E-5</v>
      </c>
      <c r="DA475">
        <v>5.7870370370370373E-5</v>
      </c>
      <c r="DB475">
        <v>0.11359953703703704</v>
      </c>
      <c r="DC475">
        <v>0.21009259259259258</v>
      </c>
      <c r="DD475">
        <v>90</v>
      </c>
      <c r="DE475">
        <v>126</v>
      </c>
      <c r="DF475">
        <v>14</v>
      </c>
      <c r="DG475" t="s">
        <v>1018</v>
      </c>
      <c r="DH475">
        <v>30720</v>
      </c>
      <c r="DI475">
        <v>0.15559999999999999</v>
      </c>
      <c r="DJ475">
        <v>4</v>
      </c>
      <c r="DK475">
        <v>0.28570000000000001</v>
      </c>
      <c r="DL475">
        <v>20216</v>
      </c>
      <c r="DM475">
        <v>5054</v>
      </c>
      <c r="DN475">
        <v>16836</v>
      </c>
      <c r="DO475">
        <v>0.83279999999999998</v>
      </c>
      <c r="DP475">
        <v>0.1245</v>
      </c>
      <c r="DQ475">
        <v>80</v>
      </c>
      <c r="DR475">
        <v>5612</v>
      </c>
    </row>
    <row r="476" spans="95:122" x14ac:dyDescent="0.25">
      <c r="CQ476" t="s">
        <v>636</v>
      </c>
      <c r="CR476" t="s">
        <v>6</v>
      </c>
      <c r="CS476" t="s">
        <v>37</v>
      </c>
      <c r="CT476">
        <v>46079</v>
      </c>
      <c r="CU476">
        <v>1</v>
      </c>
      <c r="CV476">
        <v>1</v>
      </c>
      <c r="CX476">
        <v>1</v>
      </c>
      <c r="CZ476">
        <v>4.6296296296296294E-5</v>
      </c>
      <c r="DA476">
        <v>4.6296296296296294E-5</v>
      </c>
      <c r="DB476">
        <v>0.13383101851851853</v>
      </c>
      <c r="DC476">
        <v>0.21976851851851853</v>
      </c>
      <c r="DD476">
        <v>107</v>
      </c>
      <c r="DE476">
        <v>139</v>
      </c>
      <c r="DF476">
        <v>20</v>
      </c>
      <c r="DG476">
        <v>1.55</v>
      </c>
      <c r="DH476">
        <v>15600</v>
      </c>
      <c r="DI476">
        <v>0.18690000000000001</v>
      </c>
      <c r="DJ476">
        <v>1</v>
      </c>
      <c r="DK476">
        <v>0.05</v>
      </c>
      <c r="DL476">
        <v>300</v>
      </c>
      <c r="DM476">
        <v>300</v>
      </c>
      <c r="DN476">
        <v>300</v>
      </c>
      <c r="DO476">
        <v>1</v>
      </c>
      <c r="DQ476">
        <v>80</v>
      </c>
      <c r="DR476">
        <v>300</v>
      </c>
    </row>
    <row r="477" spans="95:122" x14ac:dyDescent="0.25">
      <c r="CQ477" t="s">
        <v>636</v>
      </c>
      <c r="CR477" t="s">
        <v>6</v>
      </c>
      <c r="CS477" t="s">
        <v>97</v>
      </c>
      <c r="CT477">
        <v>46056</v>
      </c>
      <c r="CU477">
        <v>1</v>
      </c>
      <c r="CV477">
        <v>1</v>
      </c>
      <c r="CX477">
        <v>1</v>
      </c>
      <c r="CZ477">
        <v>1.1574074074074073E-5</v>
      </c>
      <c r="DA477">
        <v>1.1574074074074073E-5</v>
      </c>
      <c r="DB477">
        <v>0.10386574074074074</v>
      </c>
      <c r="DC477">
        <v>3.2673611111111112E-2</v>
      </c>
      <c r="DD477">
        <v>57</v>
      </c>
      <c r="DE477">
        <v>186</v>
      </c>
      <c r="DF477">
        <v>22</v>
      </c>
      <c r="DG477" t="s">
        <v>806</v>
      </c>
      <c r="DH477">
        <v>45229</v>
      </c>
      <c r="DI477">
        <v>0.38600000000000001</v>
      </c>
      <c r="DJ477">
        <v>4</v>
      </c>
      <c r="DK477">
        <v>0.18179999999999999</v>
      </c>
      <c r="DL477">
        <v>1720</v>
      </c>
      <c r="DM477">
        <v>430</v>
      </c>
      <c r="DN477">
        <v>920</v>
      </c>
      <c r="DO477">
        <v>0.53490000000000004</v>
      </c>
      <c r="DP477">
        <v>7.1300000000000002E-2</v>
      </c>
      <c r="DQ477">
        <v>80</v>
      </c>
      <c r="DR477">
        <v>307</v>
      </c>
    </row>
    <row r="478" spans="95:122" x14ac:dyDescent="0.25">
      <c r="CQ478" t="s">
        <v>636</v>
      </c>
      <c r="CR478" t="s">
        <v>6</v>
      </c>
      <c r="CS478" t="s">
        <v>97</v>
      </c>
      <c r="CT478">
        <v>46062</v>
      </c>
      <c r="CU478">
        <v>1</v>
      </c>
      <c r="CV478">
        <v>1</v>
      </c>
      <c r="CX478">
        <v>1</v>
      </c>
      <c r="CZ478">
        <v>0</v>
      </c>
      <c r="DA478">
        <v>0</v>
      </c>
      <c r="DB478">
        <v>5.2592592592592594E-2</v>
      </c>
      <c r="DC478">
        <v>1.0706018518518519E-2</v>
      </c>
      <c r="DD478">
        <v>78</v>
      </c>
      <c r="DE478">
        <v>150</v>
      </c>
      <c r="DF478">
        <v>19</v>
      </c>
      <c r="DG478" t="s">
        <v>963</v>
      </c>
      <c r="DH478">
        <v>16782</v>
      </c>
      <c r="DI478">
        <v>0.24360000000000001</v>
      </c>
      <c r="DJ478">
        <v>2</v>
      </c>
      <c r="DK478">
        <v>0.1053</v>
      </c>
      <c r="DL478">
        <v>5700</v>
      </c>
      <c r="DM478">
        <v>2850</v>
      </c>
      <c r="DN478">
        <v>5700</v>
      </c>
      <c r="DO478">
        <v>1</v>
      </c>
      <c r="DP478">
        <v>0.42880000000000001</v>
      </c>
      <c r="DQ478">
        <v>80</v>
      </c>
      <c r="DR478">
        <v>2850</v>
      </c>
    </row>
    <row r="479" spans="95:122" x14ac:dyDescent="0.25">
      <c r="CQ479" t="s">
        <v>636</v>
      </c>
      <c r="CR479" t="s">
        <v>6</v>
      </c>
      <c r="CS479" t="s">
        <v>97</v>
      </c>
      <c r="CT479">
        <v>46072</v>
      </c>
      <c r="CU479">
        <v>1</v>
      </c>
      <c r="CV479">
        <v>1</v>
      </c>
      <c r="CX479">
        <v>1</v>
      </c>
      <c r="CZ479">
        <v>1.1574074074074073E-5</v>
      </c>
      <c r="DA479">
        <v>1.1574074074074073E-5</v>
      </c>
      <c r="DB479">
        <v>0.15403935185185186</v>
      </c>
      <c r="DC479">
        <v>0.17041666666666666</v>
      </c>
      <c r="DD479">
        <v>105</v>
      </c>
      <c r="DE479">
        <v>190</v>
      </c>
      <c r="DF479">
        <v>34</v>
      </c>
      <c r="DG479" t="s">
        <v>1025</v>
      </c>
      <c r="DH479">
        <v>18695</v>
      </c>
      <c r="DI479">
        <v>0.32379999999999998</v>
      </c>
      <c r="DJ479">
        <v>3</v>
      </c>
      <c r="DK479">
        <v>8.8200000000000001E-2</v>
      </c>
      <c r="DL479">
        <v>8200</v>
      </c>
      <c r="DM479">
        <v>2733</v>
      </c>
      <c r="DN479">
        <v>7160</v>
      </c>
      <c r="DO479">
        <v>0.87319999999999998</v>
      </c>
      <c r="DP479">
        <v>0.4204</v>
      </c>
      <c r="DQ479">
        <v>80</v>
      </c>
      <c r="DR479">
        <v>7160</v>
      </c>
    </row>
    <row r="480" spans="95:122" x14ac:dyDescent="0.25">
      <c r="CQ480" t="s">
        <v>636</v>
      </c>
      <c r="CR480" t="s">
        <v>6</v>
      </c>
      <c r="CS480" t="s">
        <v>97</v>
      </c>
      <c r="CT480">
        <v>46081</v>
      </c>
      <c r="CU480">
        <v>1</v>
      </c>
      <c r="CV480">
        <v>1</v>
      </c>
      <c r="CX480">
        <v>1</v>
      </c>
      <c r="CZ480">
        <v>4.6296296296296294E-5</v>
      </c>
      <c r="DA480">
        <v>4.6296296296296294E-5</v>
      </c>
      <c r="DB480">
        <v>0.1487037037037037</v>
      </c>
      <c r="DC480">
        <v>4.148148148148148E-2</v>
      </c>
      <c r="DD480">
        <v>44</v>
      </c>
      <c r="DE480">
        <v>87</v>
      </c>
      <c r="DF480">
        <v>31</v>
      </c>
      <c r="DG480" t="s">
        <v>1087</v>
      </c>
      <c r="DH480">
        <v>25373</v>
      </c>
      <c r="DI480">
        <v>0.70450000000000002</v>
      </c>
      <c r="DJ480">
        <v>1</v>
      </c>
      <c r="DK480">
        <v>3.2300000000000002E-2</v>
      </c>
      <c r="DL480">
        <v>1000</v>
      </c>
      <c r="DM480">
        <v>1000</v>
      </c>
      <c r="DN480">
        <v>1200</v>
      </c>
      <c r="DO480">
        <v>1.2</v>
      </c>
      <c r="DQ480">
        <v>80</v>
      </c>
      <c r="DR480">
        <v>1200</v>
      </c>
    </row>
    <row r="481" spans="95:122" x14ac:dyDescent="0.25">
      <c r="CQ481" t="s">
        <v>636</v>
      </c>
      <c r="CR481" t="s">
        <v>6</v>
      </c>
      <c r="CS481" t="s">
        <v>34</v>
      </c>
      <c r="CT481">
        <v>46055</v>
      </c>
      <c r="CU481">
        <v>1</v>
      </c>
      <c r="CV481">
        <v>1</v>
      </c>
      <c r="CW481">
        <v>1</v>
      </c>
      <c r="CZ481">
        <v>2.1030092592592593E-2</v>
      </c>
      <c r="DA481">
        <v>2.1030092592592593E-2</v>
      </c>
      <c r="DB481">
        <v>3.4247685185185187E-2</v>
      </c>
      <c r="DC481">
        <v>1.2141203703703704E-2</v>
      </c>
      <c r="DD481">
        <v>52</v>
      </c>
      <c r="DE481">
        <v>58</v>
      </c>
      <c r="DF481">
        <v>14</v>
      </c>
      <c r="DG481" t="s">
        <v>730</v>
      </c>
      <c r="DH481">
        <v>28339</v>
      </c>
      <c r="DI481">
        <v>0.26919999999999999</v>
      </c>
      <c r="DJ481">
        <v>8</v>
      </c>
      <c r="DK481">
        <v>0.57140000000000002</v>
      </c>
      <c r="DL481">
        <v>6278</v>
      </c>
      <c r="DM481">
        <v>785</v>
      </c>
      <c r="DN481">
        <v>6278</v>
      </c>
      <c r="DO481">
        <v>1</v>
      </c>
      <c r="DQ481">
        <v>80</v>
      </c>
      <c r="DR481">
        <v>785</v>
      </c>
    </row>
    <row r="482" spans="95:122" x14ac:dyDescent="0.25">
      <c r="CQ482" t="s">
        <v>636</v>
      </c>
      <c r="CR482" t="s">
        <v>6</v>
      </c>
      <c r="CS482" t="s">
        <v>34</v>
      </c>
      <c r="CT482">
        <v>46057</v>
      </c>
      <c r="CU482">
        <v>1</v>
      </c>
      <c r="CV482">
        <v>1</v>
      </c>
      <c r="CX482">
        <v>1</v>
      </c>
      <c r="CZ482">
        <v>5.7870370370370373E-5</v>
      </c>
      <c r="DA482">
        <v>5.7870370370370373E-5</v>
      </c>
      <c r="DB482">
        <v>2.3460648148148147E-2</v>
      </c>
      <c r="DC482">
        <v>8.5416666666666662E-3</v>
      </c>
      <c r="DD482">
        <v>185</v>
      </c>
      <c r="DE482">
        <v>209</v>
      </c>
      <c r="DF482">
        <v>13</v>
      </c>
      <c r="DG482" t="s">
        <v>704</v>
      </c>
      <c r="DH482">
        <v>48401</v>
      </c>
      <c r="DI482">
        <v>7.0300000000000001E-2</v>
      </c>
      <c r="DJ482">
        <v>1</v>
      </c>
      <c r="DK482">
        <v>7.6899999999999996E-2</v>
      </c>
      <c r="DL482">
        <v>7550</v>
      </c>
      <c r="DM482">
        <v>7550</v>
      </c>
      <c r="DN482">
        <v>7550</v>
      </c>
      <c r="DO482">
        <v>1</v>
      </c>
      <c r="DP482">
        <v>0.21590000000000001</v>
      </c>
      <c r="DQ482">
        <v>80</v>
      </c>
      <c r="DR482">
        <v>7550</v>
      </c>
    </row>
    <row r="483" spans="95:122" x14ac:dyDescent="0.25">
      <c r="CQ483" t="s">
        <v>636</v>
      </c>
      <c r="CR483" t="s">
        <v>6</v>
      </c>
      <c r="CS483" t="s">
        <v>78</v>
      </c>
      <c r="CT483">
        <v>46064</v>
      </c>
      <c r="CU483">
        <v>1</v>
      </c>
      <c r="CV483">
        <v>1</v>
      </c>
      <c r="CX483">
        <v>1</v>
      </c>
      <c r="CZ483">
        <v>2.8935185185185184E-4</v>
      </c>
      <c r="DA483">
        <v>2.8935185185185184E-4</v>
      </c>
      <c r="DB483">
        <v>4.0925925925925928E-2</v>
      </c>
      <c r="DC483">
        <v>1.0405092592592593E-2</v>
      </c>
      <c r="DD483">
        <v>67</v>
      </c>
      <c r="DE483">
        <v>143</v>
      </c>
      <c r="DF483">
        <v>20</v>
      </c>
      <c r="DG483">
        <v>1.55</v>
      </c>
      <c r="DH483">
        <v>13083</v>
      </c>
      <c r="DI483">
        <v>0.29849999999999999</v>
      </c>
      <c r="DJ483">
        <v>1</v>
      </c>
      <c r="DK483">
        <v>0.05</v>
      </c>
      <c r="DL483">
        <v>420</v>
      </c>
      <c r="DM483">
        <v>420</v>
      </c>
      <c r="DN483">
        <v>420</v>
      </c>
      <c r="DO483">
        <v>1</v>
      </c>
      <c r="DQ483">
        <v>80</v>
      </c>
      <c r="DR483">
        <v>420</v>
      </c>
    </row>
    <row r="484" spans="95:122" x14ac:dyDescent="0.25">
      <c r="CQ484" t="s">
        <v>636</v>
      </c>
      <c r="CR484" t="s">
        <v>6</v>
      </c>
      <c r="CS484" t="s">
        <v>78</v>
      </c>
      <c r="CT484">
        <v>46065</v>
      </c>
      <c r="CU484">
        <v>1</v>
      </c>
      <c r="CV484">
        <v>1</v>
      </c>
      <c r="CZ484">
        <v>9.2592592592592588E-5</v>
      </c>
      <c r="DA484">
        <v>9.2592592592592588E-5</v>
      </c>
      <c r="DB484">
        <v>3.7523148148148146E-2</v>
      </c>
      <c r="DC484">
        <v>7.1759259259259259E-4</v>
      </c>
      <c r="DD484">
        <v>79</v>
      </c>
      <c r="DE484">
        <v>130</v>
      </c>
      <c r="DF484">
        <v>27</v>
      </c>
      <c r="DG484" t="s">
        <v>690</v>
      </c>
      <c r="DH484">
        <v>29793</v>
      </c>
      <c r="DI484">
        <v>0.34179999999999999</v>
      </c>
      <c r="DJ484">
        <v>1</v>
      </c>
      <c r="DK484">
        <v>3.6999999999999998E-2</v>
      </c>
      <c r="DL484">
        <v>19500</v>
      </c>
      <c r="DM484">
        <v>19500</v>
      </c>
      <c r="DN484">
        <v>19500</v>
      </c>
      <c r="DO484">
        <v>1</v>
      </c>
      <c r="DP484">
        <v>1.0012000000000001</v>
      </c>
      <c r="DQ484">
        <v>80</v>
      </c>
      <c r="DR484">
        <v>19500</v>
      </c>
    </row>
    <row r="485" spans="95:122" x14ac:dyDescent="0.25">
      <c r="CQ485" t="s">
        <v>636</v>
      </c>
      <c r="CR485" t="s">
        <v>3</v>
      </c>
      <c r="CS485" t="s">
        <v>22</v>
      </c>
      <c r="CT485">
        <v>46058</v>
      </c>
      <c r="CU485">
        <v>1</v>
      </c>
      <c r="CV485">
        <v>1</v>
      </c>
      <c r="CX485">
        <v>1</v>
      </c>
      <c r="CZ485">
        <v>5.4398148148148144E-4</v>
      </c>
      <c r="DA485">
        <v>5.4398148148148144E-4</v>
      </c>
      <c r="DB485">
        <v>3.9502314814814816E-2</v>
      </c>
      <c r="DC485">
        <v>2.119212962962963E-2</v>
      </c>
      <c r="DD485">
        <v>64</v>
      </c>
      <c r="DE485">
        <v>147</v>
      </c>
      <c r="DF485">
        <v>14</v>
      </c>
      <c r="DG485" t="s">
        <v>850</v>
      </c>
      <c r="DH485">
        <v>45411</v>
      </c>
      <c r="DI485">
        <v>0.21879999999999999</v>
      </c>
      <c r="DJ485">
        <v>1</v>
      </c>
      <c r="DK485">
        <v>7.1400000000000005E-2</v>
      </c>
      <c r="DL485">
        <v>400</v>
      </c>
      <c r="DM485">
        <v>400</v>
      </c>
      <c r="DN485">
        <v>400</v>
      </c>
      <c r="DO485">
        <v>1</v>
      </c>
      <c r="DQ485">
        <v>80</v>
      </c>
      <c r="DR485">
        <v>400</v>
      </c>
    </row>
    <row r="486" spans="95:122" x14ac:dyDescent="0.25">
      <c r="CQ486" t="s">
        <v>636</v>
      </c>
      <c r="CR486" t="s">
        <v>3</v>
      </c>
      <c r="CS486" t="s">
        <v>24</v>
      </c>
      <c r="CT486">
        <v>46070</v>
      </c>
      <c r="CU486">
        <v>1</v>
      </c>
      <c r="CV486">
        <v>1</v>
      </c>
      <c r="CZ486">
        <v>0</v>
      </c>
      <c r="DA486">
        <v>0</v>
      </c>
      <c r="DB486">
        <v>0</v>
      </c>
      <c r="DC486">
        <v>0</v>
      </c>
      <c r="DQ486">
        <v>80</v>
      </c>
    </row>
    <row r="487" spans="95:122" x14ac:dyDescent="0.25">
      <c r="CQ487" t="s">
        <v>636</v>
      </c>
      <c r="CR487" t="s">
        <v>3</v>
      </c>
      <c r="CS487" t="s">
        <v>13</v>
      </c>
      <c r="CT487">
        <v>46070</v>
      </c>
      <c r="CU487">
        <v>1</v>
      </c>
      <c r="CV487">
        <v>1</v>
      </c>
      <c r="CW487">
        <v>1</v>
      </c>
      <c r="CZ487">
        <v>8.6689814814814806E-3</v>
      </c>
      <c r="DA487">
        <v>8.6689814814814806E-3</v>
      </c>
      <c r="DB487">
        <v>0.18417824074074074</v>
      </c>
      <c r="DC487">
        <v>0.12283564814814815</v>
      </c>
      <c r="DD487">
        <v>98</v>
      </c>
      <c r="DE487">
        <v>201</v>
      </c>
      <c r="DF487">
        <v>17</v>
      </c>
      <c r="DG487" t="s">
        <v>820</v>
      </c>
      <c r="DH487">
        <v>32020</v>
      </c>
      <c r="DI487">
        <v>0.17349999999999999</v>
      </c>
      <c r="DQ487">
        <v>80</v>
      </c>
    </row>
    <row r="488" spans="95:122" x14ac:dyDescent="0.25">
      <c r="CQ488" t="s">
        <v>636</v>
      </c>
      <c r="CR488" t="s">
        <v>3</v>
      </c>
      <c r="CS488" t="s">
        <v>13</v>
      </c>
      <c r="CT488">
        <v>46080</v>
      </c>
      <c r="CU488">
        <v>1</v>
      </c>
      <c r="CV488">
        <v>1</v>
      </c>
      <c r="CX488">
        <v>1</v>
      </c>
      <c r="CZ488">
        <v>1.5046296296296297E-4</v>
      </c>
      <c r="DA488">
        <v>1.5046296296296297E-4</v>
      </c>
      <c r="DB488">
        <v>0.21631944444444445</v>
      </c>
      <c r="DC488">
        <v>0.16008101851851853</v>
      </c>
      <c r="DD488">
        <v>75</v>
      </c>
      <c r="DE488">
        <v>161</v>
      </c>
      <c r="DF488">
        <v>18</v>
      </c>
      <c r="DG488" t="s">
        <v>706</v>
      </c>
      <c r="DH488">
        <v>26533</v>
      </c>
      <c r="DI488">
        <v>0.24</v>
      </c>
      <c r="DJ488">
        <v>1</v>
      </c>
      <c r="DK488">
        <v>5.5599999999999997E-2</v>
      </c>
      <c r="DL488">
        <v>10000</v>
      </c>
      <c r="DM488">
        <v>10000</v>
      </c>
      <c r="DN488">
        <v>10000</v>
      </c>
      <c r="DO488">
        <v>1</v>
      </c>
      <c r="DP488">
        <v>0.1106</v>
      </c>
      <c r="DQ488">
        <v>80</v>
      </c>
      <c r="DR488">
        <v>10000</v>
      </c>
    </row>
    <row r="489" spans="95:122" x14ac:dyDescent="0.25">
      <c r="CQ489" t="s">
        <v>636</v>
      </c>
      <c r="CR489" t="s">
        <v>3</v>
      </c>
      <c r="CS489" t="s">
        <v>32</v>
      </c>
      <c r="CT489">
        <v>46069</v>
      </c>
      <c r="CU489">
        <v>1</v>
      </c>
      <c r="CV489">
        <v>1</v>
      </c>
      <c r="CW489">
        <v>1</v>
      </c>
      <c r="CZ489">
        <v>4.4560185185185189E-3</v>
      </c>
      <c r="DA489">
        <v>4.4560185185185189E-3</v>
      </c>
      <c r="DB489">
        <v>0.18123842592592593</v>
      </c>
      <c r="DC489">
        <v>0.19688657407407406</v>
      </c>
      <c r="DD489">
        <v>75</v>
      </c>
      <c r="DE489">
        <v>158</v>
      </c>
      <c r="DF489">
        <v>20</v>
      </c>
      <c r="DG489">
        <v>2.2999999999999998</v>
      </c>
      <c r="DH489">
        <v>36079</v>
      </c>
      <c r="DI489">
        <v>0.26669999999999999</v>
      </c>
      <c r="DJ489">
        <v>3</v>
      </c>
      <c r="DK489">
        <v>0.15</v>
      </c>
      <c r="DL489">
        <v>12350</v>
      </c>
      <c r="DM489">
        <v>4117</v>
      </c>
      <c r="DN489">
        <v>6800</v>
      </c>
      <c r="DO489">
        <v>0.55059999999999998</v>
      </c>
      <c r="DP489">
        <v>9.2399999999999996E-2</v>
      </c>
      <c r="DQ489">
        <v>80</v>
      </c>
      <c r="DR489">
        <v>2267</v>
      </c>
    </row>
    <row r="490" spans="95:122" x14ac:dyDescent="0.25">
      <c r="CQ490" t="s">
        <v>636</v>
      </c>
      <c r="CR490" t="s">
        <v>3</v>
      </c>
      <c r="CS490" t="s">
        <v>32</v>
      </c>
      <c r="CT490">
        <v>46071</v>
      </c>
      <c r="CU490">
        <v>1</v>
      </c>
      <c r="CV490">
        <v>1</v>
      </c>
      <c r="CX490">
        <v>1</v>
      </c>
      <c r="CZ490">
        <v>0</v>
      </c>
      <c r="DA490">
        <v>0</v>
      </c>
      <c r="DB490">
        <v>0.19831018518518517</v>
      </c>
      <c r="DC490">
        <v>0.14938657407407407</v>
      </c>
      <c r="DD490">
        <v>81</v>
      </c>
      <c r="DE490">
        <v>215</v>
      </c>
      <c r="DF490">
        <v>25</v>
      </c>
      <c r="DG490">
        <v>1.96</v>
      </c>
      <c r="DH490">
        <v>39892</v>
      </c>
      <c r="DI490">
        <v>0.30859999999999999</v>
      </c>
      <c r="DJ490">
        <v>1</v>
      </c>
      <c r="DK490">
        <v>0.04</v>
      </c>
      <c r="DL490">
        <v>30000</v>
      </c>
      <c r="DM490">
        <v>30000</v>
      </c>
      <c r="DN490">
        <v>30000</v>
      </c>
      <c r="DO490">
        <v>1</v>
      </c>
      <c r="DP490">
        <v>0.1172</v>
      </c>
      <c r="DQ490">
        <v>80</v>
      </c>
      <c r="DR490">
        <v>30000</v>
      </c>
    </row>
    <row r="491" spans="95:122" x14ac:dyDescent="0.25">
      <c r="CQ491" t="s">
        <v>636</v>
      </c>
      <c r="CR491" t="s">
        <v>3</v>
      </c>
      <c r="CS491" t="s">
        <v>96</v>
      </c>
      <c r="CT491">
        <v>46070</v>
      </c>
      <c r="CU491">
        <v>1</v>
      </c>
      <c r="CV491">
        <v>1</v>
      </c>
      <c r="CW491">
        <v>1</v>
      </c>
      <c r="CZ491">
        <v>1.1076388888888889E-2</v>
      </c>
      <c r="DA491">
        <v>1.1076388888888889E-2</v>
      </c>
      <c r="DB491">
        <v>0.18181712962962962</v>
      </c>
      <c r="DC491">
        <v>0.15511574074074075</v>
      </c>
      <c r="DD491">
        <v>62</v>
      </c>
      <c r="DE491">
        <v>137</v>
      </c>
      <c r="DF491">
        <v>9</v>
      </c>
      <c r="DG491" t="s">
        <v>767</v>
      </c>
      <c r="DH491">
        <v>29188</v>
      </c>
      <c r="DI491">
        <v>0.1452</v>
      </c>
      <c r="DQ491">
        <v>80</v>
      </c>
    </row>
    <row r="492" spans="95:122" x14ac:dyDescent="0.25">
      <c r="CQ492" t="s">
        <v>636</v>
      </c>
      <c r="CR492" t="s">
        <v>3</v>
      </c>
      <c r="CS492" t="s">
        <v>23</v>
      </c>
      <c r="CT492">
        <v>46064</v>
      </c>
      <c r="CU492">
        <v>1</v>
      </c>
      <c r="CV492">
        <v>1</v>
      </c>
      <c r="CX492">
        <v>1</v>
      </c>
      <c r="CZ492">
        <v>8.1018518518518516E-5</v>
      </c>
      <c r="DA492">
        <v>8.1018518518518516E-5</v>
      </c>
      <c r="DB492">
        <v>3.636574074074074E-2</v>
      </c>
      <c r="DC492">
        <v>6.2037037037037035E-3</v>
      </c>
      <c r="DD492">
        <v>60</v>
      </c>
      <c r="DE492">
        <v>131</v>
      </c>
      <c r="DF492">
        <v>20</v>
      </c>
      <c r="DG492">
        <v>1.75</v>
      </c>
      <c r="DH492">
        <v>23915</v>
      </c>
      <c r="DI492">
        <v>0.33329999999999999</v>
      </c>
      <c r="DJ492">
        <v>2</v>
      </c>
      <c r="DK492">
        <v>0.1</v>
      </c>
      <c r="DL492">
        <v>5200</v>
      </c>
      <c r="DM492">
        <v>2600</v>
      </c>
      <c r="DN492">
        <v>3400</v>
      </c>
      <c r="DO492">
        <v>0.65380000000000005</v>
      </c>
      <c r="DP492">
        <v>0.18110000000000001</v>
      </c>
      <c r="DQ492">
        <v>80</v>
      </c>
      <c r="DR492">
        <v>1700</v>
      </c>
    </row>
    <row r="493" spans="95:122" x14ac:dyDescent="0.25">
      <c r="CQ493" t="s">
        <v>636</v>
      </c>
      <c r="CR493" t="s">
        <v>3</v>
      </c>
      <c r="CS493" t="s">
        <v>23</v>
      </c>
      <c r="CT493">
        <v>46065</v>
      </c>
      <c r="CU493">
        <v>1</v>
      </c>
      <c r="CV493">
        <v>1</v>
      </c>
      <c r="CX493">
        <v>1</v>
      </c>
      <c r="CZ493">
        <v>3.4722222222222222E-5</v>
      </c>
      <c r="DA493">
        <v>3.4722222222222222E-5</v>
      </c>
      <c r="DB493">
        <v>8.6342592592592599E-3</v>
      </c>
      <c r="DC493">
        <v>1.7407407407407406E-2</v>
      </c>
      <c r="DD493">
        <v>147</v>
      </c>
      <c r="DE493">
        <v>308</v>
      </c>
      <c r="DF493">
        <v>22</v>
      </c>
      <c r="DG493" t="s">
        <v>698</v>
      </c>
      <c r="DH493">
        <v>26210</v>
      </c>
      <c r="DI493">
        <v>0.1497</v>
      </c>
      <c r="DJ493">
        <v>1</v>
      </c>
      <c r="DK493">
        <v>4.5499999999999999E-2</v>
      </c>
      <c r="DL493">
        <v>250</v>
      </c>
      <c r="DM493">
        <v>250</v>
      </c>
      <c r="DN493">
        <v>250</v>
      </c>
      <c r="DO493">
        <v>1</v>
      </c>
      <c r="DQ493">
        <v>80</v>
      </c>
      <c r="DR493">
        <v>250</v>
      </c>
    </row>
    <row r="494" spans="95:122" x14ac:dyDescent="0.25">
      <c r="CQ494" t="s">
        <v>636</v>
      </c>
      <c r="CR494" t="s">
        <v>3</v>
      </c>
      <c r="CS494" t="s">
        <v>23</v>
      </c>
      <c r="CT494">
        <v>46071</v>
      </c>
      <c r="CU494">
        <v>1</v>
      </c>
      <c r="CV494">
        <v>1</v>
      </c>
      <c r="CX494">
        <v>1</v>
      </c>
      <c r="CZ494">
        <v>1.1574074074074075E-4</v>
      </c>
      <c r="DA494">
        <v>1.1574074074074075E-4</v>
      </c>
      <c r="DB494">
        <v>0.18635416666666665</v>
      </c>
      <c r="DC494">
        <v>0.11445601851851851</v>
      </c>
      <c r="DD494">
        <v>57</v>
      </c>
      <c r="DE494">
        <v>151</v>
      </c>
      <c r="DF494">
        <v>16</v>
      </c>
      <c r="DG494">
        <v>2.375</v>
      </c>
      <c r="DH494">
        <v>46177</v>
      </c>
      <c r="DI494">
        <v>0.28070000000000001</v>
      </c>
      <c r="DJ494">
        <v>3</v>
      </c>
      <c r="DK494">
        <v>0.1875</v>
      </c>
      <c r="DL494">
        <v>3028</v>
      </c>
      <c r="DM494">
        <v>1009</v>
      </c>
      <c r="DN494">
        <v>2285</v>
      </c>
      <c r="DO494">
        <v>0.75460000000000005</v>
      </c>
      <c r="DP494">
        <v>0.30130000000000001</v>
      </c>
      <c r="DQ494">
        <v>80</v>
      </c>
      <c r="DR494">
        <v>1143</v>
      </c>
    </row>
    <row r="495" spans="95:122" x14ac:dyDescent="0.25">
      <c r="CQ495" t="s">
        <v>636</v>
      </c>
      <c r="CR495" t="s">
        <v>3</v>
      </c>
      <c r="CS495" t="s">
        <v>23</v>
      </c>
      <c r="CT495">
        <v>46073</v>
      </c>
      <c r="CU495">
        <v>1</v>
      </c>
      <c r="CV495">
        <v>1</v>
      </c>
      <c r="CX495">
        <v>1</v>
      </c>
      <c r="CZ495">
        <v>0</v>
      </c>
      <c r="DA495">
        <v>0</v>
      </c>
      <c r="DB495">
        <v>0.20027777777777778</v>
      </c>
      <c r="DC495">
        <v>0.14532407407407408</v>
      </c>
      <c r="DD495">
        <v>117</v>
      </c>
      <c r="DE495">
        <v>249</v>
      </c>
      <c r="DF495">
        <v>27</v>
      </c>
      <c r="DG495" t="s">
        <v>927</v>
      </c>
      <c r="DH495">
        <v>25345</v>
      </c>
      <c r="DI495">
        <v>0.23080000000000001</v>
      </c>
      <c r="DJ495">
        <v>1</v>
      </c>
      <c r="DK495">
        <v>3.6999999999999998E-2</v>
      </c>
      <c r="DL495">
        <v>403</v>
      </c>
      <c r="DM495">
        <v>403</v>
      </c>
      <c r="DN495">
        <v>403</v>
      </c>
      <c r="DO495">
        <v>1</v>
      </c>
      <c r="DQ495">
        <v>80</v>
      </c>
      <c r="DR495">
        <v>403</v>
      </c>
    </row>
    <row r="496" spans="95:122" x14ac:dyDescent="0.25">
      <c r="CQ496" t="s">
        <v>636</v>
      </c>
      <c r="CR496" t="s">
        <v>3</v>
      </c>
      <c r="CS496" t="s">
        <v>23</v>
      </c>
      <c r="CT496">
        <v>46077</v>
      </c>
      <c r="CU496">
        <v>1</v>
      </c>
      <c r="CV496">
        <v>1</v>
      </c>
      <c r="CX496">
        <v>1</v>
      </c>
      <c r="CZ496">
        <v>6.2500000000000001E-4</v>
      </c>
      <c r="DA496">
        <v>6.2500000000000001E-4</v>
      </c>
      <c r="DB496">
        <v>0.19172453703703704</v>
      </c>
      <c r="DC496">
        <v>0.14770833333333333</v>
      </c>
      <c r="DD496">
        <v>95</v>
      </c>
      <c r="DE496">
        <v>190</v>
      </c>
      <c r="DF496">
        <v>21</v>
      </c>
      <c r="DG496" t="s">
        <v>700</v>
      </c>
      <c r="DH496">
        <v>24881</v>
      </c>
      <c r="DI496">
        <v>0.22109999999999999</v>
      </c>
      <c r="DJ496">
        <v>5</v>
      </c>
      <c r="DK496">
        <v>0.23810000000000001</v>
      </c>
      <c r="DL496">
        <v>10931</v>
      </c>
      <c r="DM496">
        <v>2186</v>
      </c>
      <c r="DN496">
        <v>8555</v>
      </c>
      <c r="DO496">
        <v>0.78259999999999996</v>
      </c>
      <c r="DP496">
        <v>0.1454</v>
      </c>
      <c r="DQ496">
        <v>80</v>
      </c>
      <c r="DR496">
        <v>2852</v>
      </c>
    </row>
    <row r="497" spans="95:122" x14ac:dyDescent="0.25">
      <c r="CQ497" t="s">
        <v>636</v>
      </c>
      <c r="CR497" t="s">
        <v>3</v>
      </c>
      <c r="CS497" t="s">
        <v>23</v>
      </c>
      <c r="CT497">
        <v>46079</v>
      </c>
      <c r="CU497">
        <v>1</v>
      </c>
      <c r="CV497">
        <v>1</v>
      </c>
      <c r="CX497">
        <v>1</v>
      </c>
      <c r="CZ497">
        <v>0</v>
      </c>
      <c r="DA497">
        <v>0</v>
      </c>
      <c r="DB497">
        <v>0.17694444444444443</v>
      </c>
      <c r="DC497">
        <v>0.17061342592592593</v>
      </c>
      <c r="DD497">
        <v>82</v>
      </c>
      <c r="DE497">
        <v>163</v>
      </c>
      <c r="DF497">
        <v>22</v>
      </c>
      <c r="DG497" t="s">
        <v>673</v>
      </c>
      <c r="DH497">
        <v>24635</v>
      </c>
      <c r="DI497">
        <v>0.26829999999999998</v>
      </c>
      <c r="DJ497">
        <v>1</v>
      </c>
      <c r="DK497">
        <v>4.5499999999999999E-2</v>
      </c>
      <c r="DL497">
        <v>2000</v>
      </c>
      <c r="DM497">
        <v>2000</v>
      </c>
      <c r="DN497">
        <v>2000</v>
      </c>
      <c r="DO497">
        <v>1</v>
      </c>
      <c r="DP497">
        <v>0.17510000000000001</v>
      </c>
      <c r="DQ497">
        <v>80</v>
      </c>
      <c r="DR497">
        <v>2000</v>
      </c>
    </row>
    <row r="498" spans="95:122" x14ac:dyDescent="0.25">
      <c r="CQ498" t="s">
        <v>636</v>
      </c>
      <c r="CR498" t="s">
        <v>3</v>
      </c>
      <c r="CS498" t="s">
        <v>23</v>
      </c>
      <c r="CT498">
        <v>46080</v>
      </c>
      <c r="CU498">
        <v>1</v>
      </c>
      <c r="CV498">
        <v>1</v>
      </c>
      <c r="CX498">
        <v>1</v>
      </c>
      <c r="CZ498">
        <v>0</v>
      </c>
      <c r="DA498">
        <v>0</v>
      </c>
      <c r="DB498">
        <v>0.15983796296296296</v>
      </c>
      <c r="DC498">
        <v>0.22635416666666666</v>
      </c>
      <c r="DD498">
        <v>73</v>
      </c>
      <c r="DE498">
        <v>161</v>
      </c>
      <c r="DF498">
        <v>24</v>
      </c>
      <c r="DG498">
        <v>2.125</v>
      </c>
      <c r="DH498">
        <v>24555</v>
      </c>
      <c r="DI498">
        <v>0.32879999999999998</v>
      </c>
      <c r="DJ498">
        <v>4</v>
      </c>
      <c r="DK498">
        <v>0.16669999999999999</v>
      </c>
      <c r="DL498">
        <v>4174</v>
      </c>
      <c r="DM498">
        <v>1044</v>
      </c>
      <c r="DN498">
        <v>3994</v>
      </c>
      <c r="DO498">
        <v>0.95689999999999997</v>
      </c>
      <c r="DP498">
        <v>0.1777</v>
      </c>
      <c r="DQ498">
        <v>80</v>
      </c>
      <c r="DR498">
        <v>1331</v>
      </c>
    </row>
    <row r="499" spans="95:122" x14ac:dyDescent="0.25">
      <c r="CQ499" t="s">
        <v>636</v>
      </c>
      <c r="CR499" t="s">
        <v>3</v>
      </c>
      <c r="CS499" t="s">
        <v>31</v>
      </c>
      <c r="CT499">
        <v>46073</v>
      </c>
      <c r="CU499">
        <v>1</v>
      </c>
      <c r="CV499">
        <v>1</v>
      </c>
      <c r="CX499">
        <v>1</v>
      </c>
      <c r="CZ499">
        <v>1.1574074074074075E-4</v>
      </c>
      <c r="DA499">
        <v>1.1574074074074075E-4</v>
      </c>
      <c r="DB499">
        <v>0.15677083333333333</v>
      </c>
      <c r="DC499">
        <v>0.1509837962962963</v>
      </c>
      <c r="DD499">
        <v>74</v>
      </c>
      <c r="DE499">
        <v>145</v>
      </c>
      <c r="DF499">
        <v>12</v>
      </c>
      <c r="DG499" t="s">
        <v>756</v>
      </c>
      <c r="DH499">
        <v>24808</v>
      </c>
      <c r="DI499">
        <v>0.16220000000000001</v>
      </c>
      <c r="DJ499">
        <v>1</v>
      </c>
      <c r="DK499">
        <v>8.3299999999999999E-2</v>
      </c>
      <c r="DL499">
        <v>400</v>
      </c>
      <c r="DM499">
        <v>400</v>
      </c>
      <c r="DQ499">
        <v>80</v>
      </c>
    </row>
    <row r="500" spans="95:122" x14ac:dyDescent="0.25">
      <c r="CQ500" t="s">
        <v>636</v>
      </c>
      <c r="CR500" t="s">
        <v>3</v>
      </c>
      <c r="CS500" t="s">
        <v>31</v>
      </c>
      <c r="CT500">
        <v>46081</v>
      </c>
      <c r="CU500">
        <v>1</v>
      </c>
      <c r="CV500">
        <v>1</v>
      </c>
      <c r="CX500">
        <v>1</v>
      </c>
      <c r="CZ500">
        <v>2.6620370370370372E-4</v>
      </c>
      <c r="DA500">
        <v>2.6620370370370372E-4</v>
      </c>
      <c r="DB500">
        <v>9.8310185185185181E-2</v>
      </c>
      <c r="DC500">
        <v>5.1736111111111108E-2</v>
      </c>
      <c r="DD500">
        <v>31</v>
      </c>
      <c r="DE500">
        <v>74</v>
      </c>
      <c r="DF500">
        <v>14</v>
      </c>
      <c r="DG500" t="s">
        <v>735</v>
      </c>
      <c r="DH500">
        <v>36572</v>
      </c>
      <c r="DI500">
        <v>0.4516</v>
      </c>
      <c r="DJ500">
        <v>1</v>
      </c>
      <c r="DK500">
        <v>7.1400000000000005E-2</v>
      </c>
      <c r="DL500">
        <v>2200</v>
      </c>
      <c r="DM500">
        <v>2200</v>
      </c>
      <c r="DN500">
        <v>2200</v>
      </c>
      <c r="DO500">
        <v>1</v>
      </c>
      <c r="DP500">
        <v>0.1348</v>
      </c>
      <c r="DQ500">
        <v>80</v>
      </c>
      <c r="DR500">
        <v>2200</v>
      </c>
    </row>
    <row r="501" spans="95:122" x14ac:dyDescent="0.25">
      <c r="CQ501" t="s">
        <v>636</v>
      </c>
      <c r="CR501" t="s">
        <v>3</v>
      </c>
      <c r="CS501" t="s">
        <v>17</v>
      </c>
      <c r="CT501">
        <v>46063</v>
      </c>
      <c r="CU501">
        <v>1</v>
      </c>
      <c r="CV501">
        <v>1</v>
      </c>
      <c r="CX501">
        <v>1</v>
      </c>
      <c r="CZ501">
        <v>3.1250000000000001E-4</v>
      </c>
      <c r="DA501">
        <v>3.1250000000000001E-4</v>
      </c>
      <c r="DB501">
        <v>2.2754629629629628E-2</v>
      </c>
      <c r="DC501">
        <v>2.3587962962962963E-2</v>
      </c>
      <c r="DD501">
        <v>73</v>
      </c>
      <c r="DE501">
        <v>149</v>
      </c>
      <c r="DF501">
        <v>23</v>
      </c>
      <c r="DG501" t="s">
        <v>714</v>
      </c>
      <c r="DH501">
        <v>49712</v>
      </c>
      <c r="DI501">
        <v>0.31509999999999999</v>
      </c>
      <c r="DJ501">
        <v>1</v>
      </c>
      <c r="DK501">
        <v>4.3499999999999997E-2</v>
      </c>
      <c r="DL501">
        <v>400</v>
      </c>
      <c r="DM501">
        <v>400</v>
      </c>
      <c r="DQ501">
        <v>80</v>
      </c>
    </row>
    <row r="502" spans="95:122" x14ac:dyDescent="0.25">
      <c r="CQ502" t="s">
        <v>636</v>
      </c>
      <c r="CR502" t="s">
        <v>3</v>
      </c>
      <c r="CS502" t="s">
        <v>207</v>
      </c>
      <c r="CT502">
        <v>46071</v>
      </c>
      <c r="CU502">
        <v>1</v>
      </c>
      <c r="CV502">
        <v>1</v>
      </c>
      <c r="CX502">
        <v>1</v>
      </c>
      <c r="CZ502">
        <v>1.1574074074074073E-5</v>
      </c>
      <c r="DA502">
        <v>1.1574074074074073E-5</v>
      </c>
      <c r="DB502">
        <v>0.22313657407407408</v>
      </c>
      <c r="DC502">
        <v>0.15767361111111111</v>
      </c>
      <c r="DD502">
        <v>158</v>
      </c>
      <c r="DE502">
        <v>195</v>
      </c>
      <c r="DF502">
        <v>17</v>
      </c>
      <c r="DG502" t="s">
        <v>782</v>
      </c>
      <c r="DH502">
        <v>36603</v>
      </c>
      <c r="DI502">
        <v>0.1076</v>
      </c>
      <c r="DJ502">
        <v>2</v>
      </c>
      <c r="DK502">
        <v>0.1176</v>
      </c>
      <c r="DL502">
        <v>3400</v>
      </c>
      <c r="DM502">
        <v>1700</v>
      </c>
      <c r="DN502">
        <v>2800</v>
      </c>
      <c r="DO502">
        <v>0.82350000000000001</v>
      </c>
      <c r="DP502">
        <v>0.53110000000000002</v>
      </c>
      <c r="DQ502">
        <v>80</v>
      </c>
      <c r="DR502">
        <v>2800</v>
      </c>
    </row>
    <row r="503" spans="95:122" x14ac:dyDescent="0.25">
      <c r="CQ503" t="s">
        <v>636</v>
      </c>
      <c r="CR503" t="s">
        <v>3</v>
      </c>
      <c r="CS503" t="s">
        <v>207</v>
      </c>
      <c r="CT503">
        <v>46080</v>
      </c>
      <c r="CU503">
        <v>1</v>
      </c>
      <c r="CV503">
        <v>1</v>
      </c>
      <c r="CX503">
        <v>1</v>
      </c>
      <c r="CZ503">
        <v>2.3148148148148147E-5</v>
      </c>
      <c r="DA503">
        <v>2.3148148148148147E-5</v>
      </c>
      <c r="DB503">
        <v>0.17349537037037038</v>
      </c>
      <c r="DC503">
        <v>0.22263888888888889</v>
      </c>
      <c r="DD503">
        <v>113</v>
      </c>
      <c r="DE503">
        <v>200</v>
      </c>
      <c r="DF503">
        <v>23</v>
      </c>
      <c r="DG503" t="s">
        <v>747</v>
      </c>
      <c r="DH503">
        <v>39698</v>
      </c>
      <c r="DI503">
        <v>0.20349999999999999</v>
      </c>
      <c r="DJ503">
        <v>2</v>
      </c>
      <c r="DK503">
        <v>8.6999999999999994E-2</v>
      </c>
      <c r="DL503">
        <v>17600</v>
      </c>
      <c r="DM503">
        <v>8800</v>
      </c>
      <c r="DN503">
        <v>17000</v>
      </c>
      <c r="DO503">
        <v>0.96589999999999998</v>
      </c>
      <c r="DP503">
        <v>0.1206</v>
      </c>
      <c r="DQ503">
        <v>80</v>
      </c>
      <c r="DR503">
        <v>8500</v>
      </c>
    </row>
    <row r="504" spans="95:122" x14ac:dyDescent="0.25">
      <c r="CQ504" t="s">
        <v>636</v>
      </c>
      <c r="CR504" t="s">
        <v>124</v>
      </c>
      <c r="CS504" t="s">
        <v>41</v>
      </c>
      <c r="CT504">
        <v>46056</v>
      </c>
      <c r="CU504">
        <v>1</v>
      </c>
      <c r="CV504">
        <v>1</v>
      </c>
      <c r="CZ504">
        <v>0</v>
      </c>
      <c r="DA504">
        <v>0</v>
      </c>
      <c r="DB504">
        <v>0</v>
      </c>
      <c r="DC504">
        <v>0</v>
      </c>
      <c r="DQ504">
        <v>78</v>
      </c>
    </row>
    <row r="505" spans="95:122" x14ac:dyDescent="0.25">
      <c r="CQ505" t="s">
        <v>636</v>
      </c>
      <c r="CR505" t="s">
        <v>124</v>
      </c>
      <c r="CS505" t="s">
        <v>493</v>
      </c>
      <c r="CT505">
        <v>46055</v>
      </c>
      <c r="CU505">
        <v>1</v>
      </c>
      <c r="CV505">
        <v>1</v>
      </c>
      <c r="CX505">
        <v>1</v>
      </c>
      <c r="CZ505">
        <v>0</v>
      </c>
      <c r="DA505">
        <v>0</v>
      </c>
      <c r="DB505">
        <v>5.7442129629629628E-2</v>
      </c>
      <c r="DC505">
        <v>1.5335648148148149E-2</v>
      </c>
      <c r="DD505">
        <v>68</v>
      </c>
      <c r="DE505">
        <v>87</v>
      </c>
      <c r="DF505">
        <v>25</v>
      </c>
      <c r="DG505">
        <v>1.48</v>
      </c>
      <c r="DH505">
        <v>13765</v>
      </c>
      <c r="DI505">
        <v>0.36759999999999998</v>
      </c>
      <c r="DJ505">
        <v>3</v>
      </c>
      <c r="DK505">
        <v>0.12</v>
      </c>
      <c r="DL505">
        <v>2586</v>
      </c>
      <c r="DM505">
        <v>862</v>
      </c>
      <c r="DN505">
        <v>2586</v>
      </c>
      <c r="DO505">
        <v>1</v>
      </c>
      <c r="DQ505">
        <v>78</v>
      </c>
      <c r="DR505">
        <v>862</v>
      </c>
    </row>
    <row r="506" spans="95:122" x14ac:dyDescent="0.25">
      <c r="CQ506" t="s">
        <v>636</v>
      </c>
      <c r="CR506" t="s">
        <v>124</v>
      </c>
      <c r="CS506" t="s">
        <v>51</v>
      </c>
      <c r="CT506">
        <v>46058</v>
      </c>
      <c r="CU506">
        <v>1</v>
      </c>
      <c r="CV506">
        <v>1</v>
      </c>
      <c r="CW506">
        <v>1</v>
      </c>
      <c r="CZ506">
        <v>1.1840277777777778E-2</v>
      </c>
      <c r="DA506">
        <v>1.1840277777777778E-2</v>
      </c>
      <c r="DB506">
        <v>1.8437499999999999E-2</v>
      </c>
      <c r="DC506">
        <v>5.9606481481481481E-3</v>
      </c>
      <c r="DD506">
        <v>83</v>
      </c>
      <c r="DE506">
        <v>141</v>
      </c>
      <c r="DF506">
        <v>10</v>
      </c>
      <c r="DG506">
        <v>1.5</v>
      </c>
      <c r="DH506">
        <v>10807</v>
      </c>
      <c r="DI506">
        <v>0.1205</v>
      </c>
      <c r="DJ506">
        <v>1</v>
      </c>
      <c r="DK506">
        <v>0.1</v>
      </c>
      <c r="DL506">
        <v>1600</v>
      </c>
      <c r="DM506">
        <v>1600</v>
      </c>
      <c r="DQ506">
        <v>78</v>
      </c>
    </row>
    <row r="507" spans="95:122" x14ac:dyDescent="0.25">
      <c r="CQ507" t="s">
        <v>636</v>
      </c>
      <c r="CR507" t="s">
        <v>124</v>
      </c>
      <c r="CS507" t="s">
        <v>55</v>
      </c>
      <c r="CT507">
        <v>46078</v>
      </c>
      <c r="CU507">
        <v>1</v>
      </c>
      <c r="CV507">
        <v>1</v>
      </c>
      <c r="CX507">
        <v>1</v>
      </c>
      <c r="CZ507">
        <v>1.5046296296296297E-4</v>
      </c>
      <c r="DA507">
        <v>1.5046296296296297E-4</v>
      </c>
      <c r="DB507">
        <v>0.11432870370370371</v>
      </c>
      <c r="DC507">
        <v>0.12509259259259259</v>
      </c>
      <c r="DD507">
        <v>175</v>
      </c>
      <c r="DE507">
        <v>293</v>
      </c>
      <c r="DF507">
        <v>49</v>
      </c>
      <c r="DG507" t="s">
        <v>1110</v>
      </c>
      <c r="DH507">
        <v>17502</v>
      </c>
      <c r="DI507">
        <v>0.28000000000000003</v>
      </c>
      <c r="DJ507">
        <v>3</v>
      </c>
      <c r="DK507">
        <v>6.1199999999999997E-2</v>
      </c>
      <c r="DL507">
        <v>5600</v>
      </c>
      <c r="DM507">
        <v>1867</v>
      </c>
      <c r="DN507">
        <v>1000</v>
      </c>
      <c r="DO507">
        <v>0.17860000000000001</v>
      </c>
      <c r="DP507">
        <v>3.3399999999999999E-2</v>
      </c>
      <c r="DQ507">
        <v>78</v>
      </c>
      <c r="DR507">
        <v>1000</v>
      </c>
    </row>
    <row r="508" spans="95:122" x14ac:dyDescent="0.25">
      <c r="CQ508" t="s">
        <v>636</v>
      </c>
      <c r="CR508" t="s">
        <v>124</v>
      </c>
      <c r="CS508" t="s">
        <v>544</v>
      </c>
      <c r="CT508">
        <v>46070</v>
      </c>
      <c r="CU508">
        <v>1</v>
      </c>
      <c r="CV508">
        <v>1</v>
      </c>
      <c r="CX508">
        <v>1</v>
      </c>
      <c r="CZ508">
        <v>8.1018518518518516E-5</v>
      </c>
      <c r="DA508">
        <v>8.1018518518518516E-5</v>
      </c>
      <c r="DB508">
        <v>0.18810185185185185</v>
      </c>
      <c r="DC508">
        <v>0.13756944444444444</v>
      </c>
      <c r="DD508">
        <v>171</v>
      </c>
      <c r="DE508">
        <v>262</v>
      </c>
      <c r="DF508">
        <v>30</v>
      </c>
      <c r="DG508" t="s">
        <v>742</v>
      </c>
      <c r="DH508">
        <v>33128</v>
      </c>
      <c r="DI508">
        <v>0.1754</v>
      </c>
      <c r="DJ508">
        <v>1</v>
      </c>
      <c r="DK508">
        <v>3.3300000000000003E-2</v>
      </c>
      <c r="DL508">
        <v>2000</v>
      </c>
      <c r="DM508">
        <v>2000</v>
      </c>
      <c r="DQ508">
        <v>78</v>
      </c>
    </row>
    <row r="509" spans="95:122" x14ac:dyDescent="0.25">
      <c r="CQ509" t="s">
        <v>636</v>
      </c>
      <c r="CR509" t="s">
        <v>124</v>
      </c>
      <c r="CS509" t="s">
        <v>73</v>
      </c>
      <c r="CT509">
        <v>46076</v>
      </c>
      <c r="CU509">
        <v>1</v>
      </c>
      <c r="CV509">
        <v>1</v>
      </c>
      <c r="CW509">
        <v>1</v>
      </c>
      <c r="CZ509">
        <v>5.0231481481481481E-3</v>
      </c>
      <c r="DA509">
        <v>5.0231481481481481E-3</v>
      </c>
      <c r="DB509">
        <v>0.15912037037037038</v>
      </c>
      <c r="DC509">
        <v>0.19556712962962963</v>
      </c>
      <c r="DD509">
        <v>54</v>
      </c>
      <c r="DE509">
        <v>84</v>
      </c>
      <c r="DF509">
        <v>12</v>
      </c>
      <c r="DG509" t="s">
        <v>712</v>
      </c>
      <c r="DH509">
        <v>24597</v>
      </c>
      <c r="DI509">
        <v>0.22220000000000001</v>
      </c>
      <c r="DJ509">
        <v>3</v>
      </c>
      <c r="DK509">
        <v>0.25</v>
      </c>
      <c r="DL509">
        <v>11200</v>
      </c>
      <c r="DM509">
        <v>3733</v>
      </c>
      <c r="DN509">
        <v>6200</v>
      </c>
      <c r="DO509">
        <v>0.55359999999999998</v>
      </c>
      <c r="DP509">
        <v>0.124</v>
      </c>
      <c r="DQ509">
        <v>78</v>
      </c>
      <c r="DR509">
        <v>3100</v>
      </c>
    </row>
    <row r="510" spans="95:122" x14ac:dyDescent="0.25">
      <c r="CQ510" t="s">
        <v>636</v>
      </c>
      <c r="CR510" t="s">
        <v>124</v>
      </c>
      <c r="CS510" t="s">
        <v>48</v>
      </c>
      <c r="CT510">
        <v>46055</v>
      </c>
      <c r="CU510">
        <v>1</v>
      </c>
      <c r="CV510">
        <v>1</v>
      </c>
      <c r="CX510">
        <v>1</v>
      </c>
      <c r="CZ510">
        <v>1.8518518518518518E-4</v>
      </c>
      <c r="DA510">
        <v>1.8518518518518518E-4</v>
      </c>
      <c r="DB510">
        <v>5.9374999999999997E-2</v>
      </c>
      <c r="DC510">
        <v>2.7939814814814813E-2</v>
      </c>
      <c r="DD510">
        <v>53</v>
      </c>
      <c r="DE510">
        <v>78</v>
      </c>
      <c r="DF510">
        <v>19</v>
      </c>
      <c r="DG510" t="s">
        <v>792</v>
      </c>
      <c r="DH510">
        <v>5575</v>
      </c>
      <c r="DI510">
        <v>0.35849999999999999</v>
      </c>
      <c r="DJ510">
        <v>5</v>
      </c>
      <c r="DK510">
        <v>0.26319999999999999</v>
      </c>
      <c r="DL510">
        <v>2460</v>
      </c>
      <c r="DM510">
        <v>492</v>
      </c>
      <c r="DN510">
        <v>1460</v>
      </c>
      <c r="DO510">
        <v>0.59350000000000003</v>
      </c>
      <c r="DP510">
        <v>0.47660000000000002</v>
      </c>
      <c r="DQ510">
        <v>78</v>
      </c>
      <c r="DR510">
        <v>365</v>
      </c>
    </row>
    <row r="511" spans="95:122" x14ac:dyDescent="0.25">
      <c r="CQ511" t="s">
        <v>636</v>
      </c>
      <c r="CR511" t="s">
        <v>125</v>
      </c>
      <c r="CS511" t="s">
        <v>18</v>
      </c>
      <c r="CT511">
        <v>46056</v>
      </c>
      <c r="CU511">
        <v>1</v>
      </c>
      <c r="CV511">
        <v>1</v>
      </c>
      <c r="CX511">
        <v>1</v>
      </c>
      <c r="CZ511">
        <v>1.1574074074074073E-5</v>
      </c>
      <c r="DA511">
        <v>1.1574074074074073E-5</v>
      </c>
      <c r="DB511">
        <v>7.1168981481481486E-2</v>
      </c>
      <c r="DC511">
        <v>2.4027777777777776E-2</v>
      </c>
      <c r="DD511">
        <v>126</v>
      </c>
      <c r="DE511">
        <v>235</v>
      </c>
      <c r="DF511">
        <v>23</v>
      </c>
      <c r="DG511" t="s">
        <v>797</v>
      </c>
      <c r="DH511">
        <v>16946</v>
      </c>
      <c r="DI511">
        <v>0.1825</v>
      </c>
      <c r="DJ511">
        <v>1</v>
      </c>
      <c r="DK511">
        <v>4.3499999999999997E-2</v>
      </c>
      <c r="DL511">
        <v>4000</v>
      </c>
      <c r="DM511">
        <v>4000</v>
      </c>
      <c r="DN511">
        <v>4000</v>
      </c>
      <c r="DO511">
        <v>1</v>
      </c>
      <c r="DP511">
        <v>0.1308</v>
      </c>
      <c r="DQ511">
        <v>78</v>
      </c>
      <c r="DR511">
        <v>4000</v>
      </c>
    </row>
    <row r="512" spans="95:122" x14ac:dyDescent="0.25">
      <c r="CQ512" t="s">
        <v>636</v>
      </c>
      <c r="CR512" t="s">
        <v>125</v>
      </c>
      <c r="CS512" t="s">
        <v>109</v>
      </c>
      <c r="CT512">
        <v>46059</v>
      </c>
      <c r="CU512">
        <v>1</v>
      </c>
      <c r="CV512">
        <v>1</v>
      </c>
      <c r="CX512">
        <v>1</v>
      </c>
      <c r="CZ512">
        <v>4.6296296296296294E-5</v>
      </c>
      <c r="DA512">
        <v>4.6296296296296294E-5</v>
      </c>
      <c r="DB512">
        <v>2.2199074074074072E-2</v>
      </c>
      <c r="DC512">
        <v>9.9884259259259266E-3</v>
      </c>
      <c r="DD512">
        <v>122</v>
      </c>
      <c r="DE512">
        <v>216</v>
      </c>
      <c r="DF512">
        <v>13</v>
      </c>
      <c r="DG512" t="s">
        <v>704</v>
      </c>
      <c r="DH512">
        <v>19396</v>
      </c>
      <c r="DI512">
        <v>0.1066</v>
      </c>
      <c r="DJ512">
        <v>1</v>
      </c>
      <c r="DK512">
        <v>7.6899999999999996E-2</v>
      </c>
      <c r="DL512">
        <v>4000</v>
      </c>
      <c r="DM512">
        <v>4000</v>
      </c>
      <c r="DN512">
        <v>4000</v>
      </c>
      <c r="DO512">
        <v>1</v>
      </c>
      <c r="DP512">
        <v>0.13389999999999999</v>
      </c>
      <c r="DQ512">
        <v>78</v>
      </c>
      <c r="DR512">
        <v>4000</v>
      </c>
    </row>
    <row r="513" spans="95:122" x14ac:dyDescent="0.25">
      <c r="CQ513" t="s">
        <v>636</v>
      </c>
      <c r="CR513" t="s">
        <v>125</v>
      </c>
      <c r="CS513" t="s">
        <v>60</v>
      </c>
      <c r="CT513">
        <v>46057</v>
      </c>
      <c r="CU513">
        <v>1</v>
      </c>
      <c r="CV513">
        <v>1</v>
      </c>
      <c r="CX513">
        <v>1</v>
      </c>
      <c r="CZ513">
        <v>2.3148148148148147E-5</v>
      </c>
      <c r="DA513">
        <v>2.3148148148148147E-5</v>
      </c>
      <c r="DB513">
        <v>2.9409722222222223E-2</v>
      </c>
      <c r="DC513">
        <v>3.3692129629629627E-2</v>
      </c>
      <c r="DD513">
        <v>127</v>
      </c>
      <c r="DE513">
        <v>208</v>
      </c>
      <c r="DF513">
        <v>14</v>
      </c>
      <c r="DG513" t="s">
        <v>955</v>
      </c>
      <c r="DH513">
        <v>22199</v>
      </c>
      <c r="DI513">
        <v>0.11020000000000001</v>
      </c>
      <c r="DJ513">
        <v>4</v>
      </c>
      <c r="DK513">
        <v>0.28570000000000001</v>
      </c>
      <c r="DL513">
        <v>15520</v>
      </c>
      <c r="DM513">
        <v>3880</v>
      </c>
      <c r="DN513">
        <v>15000</v>
      </c>
      <c r="DO513">
        <v>0.96650000000000003</v>
      </c>
      <c r="DP513">
        <v>8.6400000000000005E-2</v>
      </c>
      <c r="DQ513">
        <v>78</v>
      </c>
      <c r="DR513">
        <v>5000</v>
      </c>
    </row>
    <row r="514" spans="95:122" x14ac:dyDescent="0.25">
      <c r="CQ514" t="s">
        <v>636</v>
      </c>
      <c r="CR514" t="s">
        <v>125</v>
      </c>
      <c r="CS514" t="s">
        <v>59</v>
      </c>
      <c r="CT514">
        <v>46069</v>
      </c>
      <c r="CU514">
        <v>1</v>
      </c>
      <c r="CV514">
        <v>1</v>
      </c>
      <c r="CX514">
        <v>1</v>
      </c>
      <c r="CZ514">
        <v>1.1574074074074073E-5</v>
      </c>
      <c r="DA514">
        <v>1.1574074074074073E-5</v>
      </c>
      <c r="DB514">
        <v>0.17206018518518518</v>
      </c>
      <c r="DC514">
        <v>0.17675925925925925</v>
      </c>
      <c r="DD514">
        <v>167</v>
      </c>
      <c r="DE514">
        <v>379</v>
      </c>
      <c r="DF514">
        <v>24</v>
      </c>
      <c r="DG514" t="s">
        <v>949</v>
      </c>
      <c r="DH514">
        <v>56046</v>
      </c>
      <c r="DI514">
        <v>0.14369999999999999</v>
      </c>
      <c r="DJ514">
        <v>1</v>
      </c>
      <c r="DK514">
        <v>4.1700000000000001E-2</v>
      </c>
      <c r="DL514">
        <v>2500</v>
      </c>
      <c r="DM514">
        <v>2500</v>
      </c>
      <c r="DN514">
        <v>2500</v>
      </c>
      <c r="DO514">
        <v>1</v>
      </c>
      <c r="DQ514">
        <v>78</v>
      </c>
      <c r="DR514">
        <v>2500</v>
      </c>
    </row>
    <row r="515" spans="95:122" x14ac:dyDescent="0.25">
      <c r="CQ515" t="s">
        <v>636</v>
      </c>
      <c r="CR515" t="s">
        <v>125</v>
      </c>
      <c r="CS515" t="s">
        <v>10</v>
      </c>
      <c r="CT515">
        <v>46069</v>
      </c>
      <c r="CU515">
        <v>1</v>
      </c>
      <c r="CV515">
        <v>1</v>
      </c>
      <c r="CX515">
        <v>1</v>
      </c>
      <c r="CZ515">
        <v>5.7870370370370373E-5</v>
      </c>
      <c r="DA515">
        <v>5.7870370370370373E-5</v>
      </c>
      <c r="DB515">
        <v>0.22562499999999999</v>
      </c>
      <c r="DC515">
        <v>0.12979166666666667</v>
      </c>
      <c r="DD515">
        <v>153</v>
      </c>
      <c r="DE515">
        <v>282</v>
      </c>
      <c r="DF515">
        <v>29</v>
      </c>
      <c r="DG515" t="s">
        <v>969</v>
      </c>
      <c r="DH515">
        <v>31819</v>
      </c>
      <c r="DI515">
        <v>0.1895</v>
      </c>
      <c r="DJ515">
        <v>1</v>
      </c>
      <c r="DK515">
        <v>3.4500000000000003E-2</v>
      </c>
      <c r="DL515">
        <v>3000</v>
      </c>
      <c r="DM515">
        <v>3000</v>
      </c>
      <c r="DN515">
        <v>3000</v>
      </c>
      <c r="DO515">
        <v>1</v>
      </c>
      <c r="DP515">
        <v>0.24640000000000001</v>
      </c>
      <c r="DQ515">
        <v>78</v>
      </c>
      <c r="DR515">
        <v>3000</v>
      </c>
    </row>
    <row r="516" spans="95:122" x14ac:dyDescent="0.25">
      <c r="CQ516" t="s">
        <v>636</v>
      </c>
      <c r="CR516" t="s">
        <v>2</v>
      </c>
      <c r="CS516" t="s">
        <v>42</v>
      </c>
      <c r="CT516">
        <v>46070</v>
      </c>
      <c r="CU516">
        <v>1</v>
      </c>
      <c r="CV516">
        <v>1</v>
      </c>
      <c r="CX516">
        <v>1</v>
      </c>
      <c r="CZ516">
        <v>8.1018518518518516E-5</v>
      </c>
      <c r="DA516">
        <v>8.1018518518518516E-5</v>
      </c>
      <c r="DB516">
        <v>0.18209490740740741</v>
      </c>
      <c r="DC516">
        <v>0.16503472222222224</v>
      </c>
      <c r="DD516">
        <v>82</v>
      </c>
      <c r="DE516">
        <v>157</v>
      </c>
      <c r="DF516">
        <v>19</v>
      </c>
      <c r="DG516" t="s">
        <v>792</v>
      </c>
      <c r="DH516">
        <v>23895</v>
      </c>
      <c r="DI516">
        <v>0.23169999999999999</v>
      </c>
      <c r="DJ516">
        <v>2</v>
      </c>
      <c r="DK516">
        <v>0.1053</v>
      </c>
      <c r="DL516">
        <v>2200</v>
      </c>
      <c r="DM516">
        <v>1100</v>
      </c>
      <c r="DN516">
        <v>2200</v>
      </c>
      <c r="DO516">
        <v>1</v>
      </c>
      <c r="DP516">
        <v>0.15709999999999999</v>
      </c>
      <c r="DQ516">
        <v>78</v>
      </c>
      <c r="DR516">
        <v>1100</v>
      </c>
    </row>
    <row r="517" spans="95:122" x14ac:dyDescent="0.25">
      <c r="CQ517" t="s">
        <v>636</v>
      </c>
      <c r="CR517" t="s">
        <v>2</v>
      </c>
      <c r="CS517" t="s">
        <v>42</v>
      </c>
      <c r="CT517">
        <v>46080</v>
      </c>
      <c r="CU517">
        <v>1</v>
      </c>
      <c r="CV517">
        <v>1</v>
      </c>
      <c r="CW517">
        <v>1</v>
      </c>
      <c r="CZ517">
        <v>8.1134259259259267E-3</v>
      </c>
      <c r="DA517">
        <v>8.1134259259259267E-3</v>
      </c>
      <c r="DB517">
        <v>0.17475694444444445</v>
      </c>
      <c r="DC517">
        <v>0.19258101851851853</v>
      </c>
      <c r="DD517">
        <v>69</v>
      </c>
      <c r="DE517">
        <v>150</v>
      </c>
      <c r="DF517">
        <v>27</v>
      </c>
      <c r="DG517" t="s">
        <v>690</v>
      </c>
      <c r="DH517">
        <v>21472</v>
      </c>
      <c r="DI517">
        <v>0.39129999999999998</v>
      </c>
      <c r="DJ517">
        <v>3</v>
      </c>
      <c r="DK517">
        <v>0.1111</v>
      </c>
      <c r="DL517">
        <v>1457</v>
      </c>
      <c r="DM517">
        <v>486</v>
      </c>
      <c r="DN517">
        <v>1120</v>
      </c>
      <c r="DO517">
        <v>0.76870000000000005</v>
      </c>
      <c r="DP517">
        <v>0.2999</v>
      </c>
      <c r="DQ517">
        <v>78</v>
      </c>
      <c r="DR517">
        <v>560</v>
      </c>
    </row>
    <row r="518" spans="95:122" x14ac:dyDescent="0.25">
      <c r="CQ518" t="s">
        <v>636</v>
      </c>
      <c r="CR518" t="s">
        <v>2</v>
      </c>
      <c r="CS518" t="s">
        <v>38</v>
      </c>
      <c r="CT518">
        <v>46070</v>
      </c>
      <c r="CU518">
        <v>1</v>
      </c>
      <c r="CV518">
        <v>1</v>
      </c>
      <c r="CX518">
        <v>1</v>
      </c>
      <c r="CZ518">
        <v>1.736111111111111E-3</v>
      </c>
      <c r="DA518">
        <v>1.736111111111111E-3</v>
      </c>
      <c r="DB518">
        <v>0.23065972222222222</v>
      </c>
      <c r="DC518">
        <v>0.11381944444444445</v>
      </c>
      <c r="DD518">
        <v>88</v>
      </c>
      <c r="DE518">
        <v>119</v>
      </c>
      <c r="DF518">
        <v>42</v>
      </c>
      <c r="DG518" t="s">
        <v>1111</v>
      </c>
      <c r="DH518">
        <v>13504</v>
      </c>
      <c r="DI518">
        <v>0.4773</v>
      </c>
      <c r="DJ518">
        <v>3</v>
      </c>
      <c r="DK518">
        <v>7.1400000000000005E-2</v>
      </c>
      <c r="DL518">
        <v>1754</v>
      </c>
      <c r="DM518">
        <v>585</v>
      </c>
      <c r="DN518">
        <v>1754</v>
      </c>
      <c r="DO518">
        <v>1</v>
      </c>
      <c r="DP518">
        <v>0.86670000000000003</v>
      </c>
      <c r="DQ518">
        <v>78</v>
      </c>
      <c r="DR518">
        <v>585</v>
      </c>
    </row>
    <row r="519" spans="95:122" x14ac:dyDescent="0.25">
      <c r="CQ519" t="s">
        <v>636</v>
      </c>
      <c r="CR519" t="s">
        <v>6</v>
      </c>
      <c r="CS519" t="s">
        <v>19</v>
      </c>
      <c r="CT519">
        <v>46057</v>
      </c>
      <c r="CU519">
        <v>1</v>
      </c>
      <c r="CV519">
        <v>1</v>
      </c>
      <c r="CX519">
        <v>1</v>
      </c>
      <c r="CZ519">
        <v>8.1018518518518516E-5</v>
      </c>
      <c r="DA519">
        <v>8.1018518518518516E-5</v>
      </c>
      <c r="DB519">
        <v>2.8043981481481482E-2</v>
      </c>
      <c r="DC519">
        <v>2.0648148148148148E-2</v>
      </c>
      <c r="DD519">
        <v>202</v>
      </c>
      <c r="DE519">
        <v>351</v>
      </c>
      <c r="DF519">
        <v>30</v>
      </c>
      <c r="DG519" t="s">
        <v>703</v>
      </c>
      <c r="DH519">
        <v>18769</v>
      </c>
      <c r="DI519">
        <v>0.14849999999999999</v>
      </c>
      <c r="DJ519">
        <v>3</v>
      </c>
      <c r="DK519">
        <v>0.1</v>
      </c>
      <c r="DL519">
        <v>966</v>
      </c>
      <c r="DM519">
        <v>322</v>
      </c>
      <c r="DN519">
        <v>666</v>
      </c>
      <c r="DO519">
        <v>0.68940000000000001</v>
      </c>
      <c r="DP519">
        <v>0.93659999999999999</v>
      </c>
      <c r="DQ519">
        <v>78</v>
      </c>
      <c r="DR519">
        <v>333</v>
      </c>
    </row>
    <row r="520" spans="95:122" x14ac:dyDescent="0.25">
      <c r="CQ520" t="s">
        <v>636</v>
      </c>
      <c r="CR520" t="s">
        <v>6</v>
      </c>
      <c r="CS520" t="s">
        <v>80</v>
      </c>
      <c r="CT520">
        <v>46066</v>
      </c>
      <c r="CU520">
        <v>1</v>
      </c>
      <c r="CV520">
        <v>1</v>
      </c>
      <c r="CX520">
        <v>1</v>
      </c>
      <c r="CZ520">
        <v>0</v>
      </c>
      <c r="DA520">
        <v>0</v>
      </c>
      <c r="DB520">
        <v>0.23847222222222222</v>
      </c>
      <c r="DC520">
        <v>0.10096064814814815</v>
      </c>
      <c r="DD520">
        <v>77</v>
      </c>
      <c r="DE520">
        <v>113</v>
      </c>
      <c r="DF520">
        <v>12</v>
      </c>
      <c r="DG520" t="s">
        <v>811</v>
      </c>
      <c r="DH520">
        <v>35359</v>
      </c>
      <c r="DI520">
        <v>0.15579999999999999</v>
      </c>
      <c r="DJ520">
        <v>1</v>
      </c>
      <c r="DK520">
        <v>8.3299999999999999E-2</v>
      </c>
      <c r="DL520">
        <v>10000</v>
      </c>
      <c r="DM520">
        <v>10000</v>
      </c>
      <c r="DQ520">
        <v>78</v>
      </c>
    </row>
    <row r="521" spans="95:122" x14ac:dyDescent="0.25">
      <c r="CQ521" t="s">
        <v>636</v>
      </c>
      <c r="CR521" t="s">
        <v>6</v>
      </c>
      <c r="CS521" t="s">
        <v>26</v>
      </c>
      <c r="CT521">
        <v>46059</v>
      </c>
      <c r="CU521">
        <v>1</v>
      </c>
      <c r="CV521">
        <v>1</v>
      </c>
      <c r="CX521">
        <v>1</v>
      </c>
      <c r="CZ521">
        <v>1.5046296296296297E-4</v>
      </c>
      <c r="DA521">
        <v>1.5046296296296297E-4</v>
      </c>
      <c r="DB521">
        <v>3.6979166666666667E-2</v>
      </c>
      <c r="DC521">
        <v>3.1875000000000001E-2</v>
      </c>
      <c r="DD521">
        <v>152</v>
      </c>
      <c r="DE521">
        <v>237</v>
      </c>
      <c r="DF521">
        <v>15</v>
      </c>
      <c r="DG521">
        <v>1.4</v>
      </c>
      <c r="DH521">
        <v>15783</v>
      </c>
      <c r="DI521">
        <v>9.8699999999999996E-2</v>
      </c>
      <c r="DJ521">
        <v>1</v>
      </c>
      <c r="DK521">
        <v>6.6699999999999995E-2</v>
      </c>
      <c r="DL521">
        <v>1500</v>
      </c>
      <c r="DM521">
        <v>1500</v>
      </c>
      <c r="DN521">
        <v>1500</v>
      </c>
      <c r="DO521">
        <v>1</v>
      </c>
      <c r="DP521">
        <v>0.13700000000000001</v>
      </c>
      <c r="DQ521">
        <v>78</v>
      </c>
      <c r="DR521">
        <v>1500</v>
      </c>
    </row>
    <row r="522" spans="95:122" x14ac:dyDescent="0.25">
      <c r="CQ522" t="s">
        <v>636</v>
      </c>
      <c r="CR522" t="s">
        <v>6</v>
      </c>
      <c r="CS522" t="s">
        <v>26</v>
      </c>
      <c r="CT522">
        <v>46065</v>
      </c>
      <c r="CU522">
        <v>1</v>
      </c>
      <c r="CV522">
        <v>1</v>
      </c>
      <c r="CX522">
        <v>1</v>
      </c>
      <c r="CZ522">
        <v>1.0416666666666667E-4</v>
      </c>
      <c r="DA522">
        <v>1.0416666666666667E-4</v>
      </c>
      <c r="DB522">
        <v>1.3171296296296296E-2</v>
      </c>
      <c r="DC522">
        <v>1.9328703703703702E-2</v>
      </c>
      <c r="DD522">
        <v>233</v>
      </c>
      <c r="DE522">
        <v>365</v>
      </c>
      <c r="DF522">
        <v>18</v>
      </c>
      <c r="DG522" t="s">
        <v>726</v>
      </c>
      <c r="DH522">
        <v>36684</v>
      </c>
      <c r="DI522">
        <v>7.7299999999999994E-2</v>
      </c>
      <c r="DJ522">
        <v>1</v>
      </c>
      <c r="DK522">
        <v>5.5599999999999997E-2</v>
      </c>
      <c r="DL522">
        <v>2900</v>
      </c>
      <c r="DM522">
        <v>2900</v>
      </c>
      <c r="DN522">
        <v>2900</v>
      </c>
      <c r="DO522">
        <v>1</v>
      </c>
      <c r="DP522">
        <v>0.24010000000000001</v>
      </c>
      <c r="DQ522">
        <v>78</v>
      </c>
      <c r="DR522">
        <v>2900</v>
      </c>
    </row>
    <row r="523" spans="95:122" x14ac:dyDescent="0.25">
      <c r="CQ523" t="s">
        <v>636</v>
      </c>
      <c r="CR523" t="s">
        <v>6</v>
      </c>
      <c r="CS523" t="s">
        <v>37</v>
      </c>
      <c r="CT523">
        <v>46062</v>
      </c>
      <c r="CU523">
        <v>1</v>
      </c>
      <c r="CV523">
        <v>1</v>
      </c>
      <c r="CX523">
        <v>1</v>
      </c>
      <c r="CZ523">
        <v>0</v>
      </c>
      <c r="DA523">
        <v>0</v>
      </c>
      <c r="DB523">
        <v>3.6597222222222225E-2</v>
      </c>
      <c r="DC523">
        <v>3.8310185185185183E-2</v>
      </c>
      <c r="DD523">
        <v>80</v>
      </c>
      <c r="DE523">
        <v>129</v>
      </c>
      <c r="DF523">
        <v>20</v>
      </c>
      <c r="DG523">
        <v>1.85</v>
      </c>
      <c r="DH523">
        <v>13580</v>
      </c>
      <c r="DI523">
        <v>0.25</v>
      </c>
      <c r="DJ523">
        <v>5</v>
      </c>
      <c r="DK523">
        <v>0.25</v>
      </c>
      <c r="DL523">
        <v>19643</v>
      </c>
      <c r="DM523">
        <v>3929</v>
      </c>
      <c r="DN523">
        <v>19143</v>
      </c>
      <c r="DO523">
        <v>0.97450000000000003</v>
      </c>
      <c r="DP523">
        <v>0.14940000000000001</v>
      </c>
      <c r="DQ523">
        <v>78</v>
      </c>
      <c r="DR523">
        <v>4786</v>
      </c>
    </row>
    <row r="524" spans="95:122" x14ac:dyDescent="0.25">
      <c r="CQ524" t="s">
        <v>636</v>
      </c>
      <c r="CR524" t="s">
        <v>6</v>
      </c>
      <c r="CS524" t="s">
        <v>37</v>
      </c>
      <c r="CT524">
        <v>46071</v>
      </c>
      <c r="CU524">
        <v>1</v>
      </c>
      <c r="CV524">
        <v>1</v>
      </c>
      <c r="CX524">
        <v>1</v>
      </c>
      <c r="CZ524">
        <v>2.3148148148148147E-5</v>
      </c>
      <c r="DA524">
        <v>2.3148148148148147E-5</v>
      </c>
      <c r="DB524">
        <v>0.11219907407407408</v>
      </c>
      <c r="DC524">
        <v>0.21328703703703702</v>
      </c>
      <c r="DD524">
        <v>48</v>
      </c>
      <c r="DE524">
        <v>82</v>
      </c>
      <c r="DF524">
        <v>9</v>
      </c>
      <c r="DG524" t="s">
        <v>707</v>
      </c>
      <c r="DH524">
        <v>41053</v>
      </c>
      <c r="DI524">
        <v>0.1875</v>
      </c>
      <c r="DJ524">
        <v>2</v>
      </c>
      <c r="DK524">
        <v>0.22220000000000001</v>
      </c>
      <c r="DL524">
        <v>15150</v>
      </c>
      <c r="DM524">
        <v>7575</v>
      </c>
      <c r="DN524">
        <v>14000</v>
      </c>
      <c r="DO524">
        <v>0.92410000000000003</v>
      </c>
      <c r="DP524">
        <v>0.18679999999999999</v>
      </c>
      <c r="DQ524">
        <v>78</v>
      </c>
      <c r="DR524">
        <v>14000</v>
      </c>
    </row>
    <row r="525" spans="95:122" x14ac:dyDescent="0.25">
      <c r="CQ525" t="s">
        <v>636</v>
      </c>
      <c r="CR525" t="s">
        <v>6</v>
      </c>
      <c r="CS525" t="s">
        <v>37</v>
      </c>
      <c r="CT525">
        <v>46078</v>
      </c>
      <c r="CU525">
        <v>1</v>
      </c>
      <c r="CV525">
        <v>1</v>
      </c>
      <c r="CX525">
        <v>1</v>
      </c>
      <c r="CZ525">
        <v>1.0416666666666667E-4</v>
      </c>
      <c r="DA525">
        <v>1.0416666666666667E-4</v>
      </c>
      <c r="DB525">
        <v>0.1428587962962963</v>
      </c>
      <c r="DC525">
        <v>0.18869212962962964</v>
      </c>
      <c r="DD525">
        <v>89</v>
      </c>
      <c r="DE525">
        <v>117</v>
      </c>
      <c r="DF525">
        <v>17</v>
      </c>
      <c r="DG525" t="s">
        <v>891</v>
      </c>
      <c r="DH525">
        <v>24391</v>
      </c>
      <c r="DI525">
        <v>0.191</v>
      </c>
      <c r="DJ525">
        <v>1</v>
      </c>
      <c r="DK525">
        <v>5.8799999999999998E-2</v>
      </c>
      <c r="DL525">
        <v>5500</v>
      </c>
      <c r="DM525">
        <v>5500</v>
      </c>
      <c r="DN525">
        <v>5500</v>
      </c>
      <c r="DO525">
        <v>1</v>
      </c>
      <c r="DP525">
        <v>0.33389999999999997</v>
      </c>
      <c r="DQ525">
        <v>78</v>
      </c>
      <c r="DR525">
        <v>5500</v>
      </c>
    </row>
    <row r="526" spans="95:122" x14ac:dyDescent="0.25">
      <c r="CQ526" t="s">
        <v>636</v>
      </c>
      <c r="CR526" t="s">
        <v>6</v>
      </c>
      <c r="CS526" t="s">
        <v>35</v>
      </c>
      <c r="CT526">
        <v>46057</v>
      </c>
      <c r="CU526">
        <v>1</v>
      </c>
      <c r="CV526">
        <v>1</v>
      </c>
      <c r="CX526">
        <v>1</v>
      </c>
      <c r="CZ526">
        <v>5.7870370370370373E-5</v>
      </c>
      <c r="DA526">
        <v>5.7870370370370373E-5</v>
      </c>
      <c r="DB526">
        <v>4.3263888888888886E-2</v>
      </c>
      <c r="DC526">
        <v>2.991898148148148E-2</v>
      </c>
      <c r="DD526">
        <v>78</v>
      </c>
      <c r="DE526">
        <v>167</v>
      </c>
      <c r="DF526">
        <v>15</v>
      </c>
      <c r="DG526">
        <v>2</v>
      </c>
      <c r="DH526">
        <v>39075</v>
      </c>
      <c r="DI526">
        <v>0.1923</v>
      </c>
      <c r="DJ526">
        <v>3</v>
      </c>
      <c r="DK526">
        <v>0.2</v>
      </c>
      <c r="DL526">
        <v>4250</v>
      </c>
      <c r="DM526">
        <v>1417</v>
      </c>
      <c r="DN526">
        <v>2650</v>
      </c>
      <c r="DO526">
        <v>0.62350000000000005</v>
      </c>
      <c r="DP526">
        <v>0.19520000000000001</v>
      </c>
      <c r="DQ526">
        <v>78</v>
      </c>
      <c r="DR526">
        <v>1325</v>
      </c>
    </row>
    <row r="527" spans="95:122" x14ac:dyDescent="0.25">
      <c r="CQ527" t="s">
        <v>636</v>
      </c>
      <c r="CR527" t="s">
        <v>6</v>
      </c>
      <c r="CS527" t="s">
        <v>35</v>
      </c>
      <c r="CT527">
        <v>46062</v>
      </c>
      <c r="CU527">
        <v>1</v>
      </c>
      <c r="CV527">
        <v>1</v>
      </c>
      <c r="CX527">
        <v>1</v>
      </c>
      <c r="CZ527">
        <v>2.199074074074074E-4</v>
      </c>
      <c r="DA527">
        <v>2.199074074074074E-4</v>
      </c>
      <c r="DB527">
        <v>2.2175925925925925E-2</v>
      </c>
      <c r="DC527">
        <v>3.6689814814814814E-3</v>
      </c>
      <c r="DD527">
        <v>47</v>
      </c>
      <c r="DE527">
        <v>85</v>
      </c>
      <c r="DF527">
        <v>21</v>
      </c>
      <c r="DG527" t="s">
        <v>962</v>
      </c>
      <c r="DH527">
        <v>42540</v>
      </c>
      <c r="DI527">
        <v>0.44679999999999997</v>
      </c>
      <c r="DJ527">
        <v>2</v>
      </c>
      <c r="DK527">
        <v>9.5200000000000007E-2</v>
      </c>
      <c r="DL527">
        <v>28000</v>
      </c>
      <c r="DM527">
        <v>14000</v>
      </c>
      <c r="DN527">
        <v>28000</v>
      </c>
      <c r="DO527">
        <v>1</v>
      </c>
      <c r="DP527">
        <v>0.39219999999999999</v>
      </c>
      <c r="DQ527">
        <v>78</v>
      </c>
      <c r="DR527">
        <v>14000</v>
      </c>
    </row>
    <row r="528" spans="95:122" x14ac:dyDescent="0.25">
      <c r="CQ528" t="s">
        <v>636</v>
      </c>
      <c r="CR528" t="s">
        <v>6</v>
      </c>
      <c r="CS528" t="s">
        <v>35</v>
      </c>
      <c r="CT528">
        <v>46065</v>
      </c>
      <c r="CU528">
        <v>1</v>
      </c>
      <c r="CV528">
        <v>1</v>
      </c>
      <c r="CX528">
        <v>1</v>
      </c>
      <c r="CZ528">
        <v>9.2592592592592588E-5</v>
      </c>
      <c r="DA528">
        <v>9.2592592592592588E-5</v>
      </c>
      <c r="DB528">
        <v>5.7615740740740738E-2</v>
      </c>
      <c r="DC528">
        <v>5.9259259259259256E-3</v>
      </c>
      <c r="DD528">
        <v>79</v>
      </c>
      <c r="DE528">
        <v>145</v>
      </c>
      <c r="DF528">
        <v>20</v>
      </c>
      <c r="DG528">
        <v>1.95</v>
      </c>
      <c r="DH528">
        <v>29399</v>
      </c>
      <c r="DI528">
        <v>0.25319999999999998</v>
      </c>
      <c r="DJ528">
        <v>4</v>
      </c>
      <c r="DK528">
        <v>0.2</v>
      </c>
      <c r="DL528">
        <v>6737</v>
      </c>
      <c r="DM528">
        <v>1684</v>
      </c>
      <c r="DN528">
        <v>581</v>
      </c>
      <c r="DO528">
        <v>8.6199999999999999E-2</v>
      </c>
      <c r="DP528">
        <v>4.36E-2</v>
      </c>
      <c r="DQ528">
        <v>78</v>
      </c>
      <c r="DR528">
        <v>581</v>
      </c>
    </row>
    <row r="529" spans="95:122" x14ac:dyDescent="0.25">
      <c r="CQ529" t="s">
        <v>636</v>
      </c>
      <c r="CR529" t="s">
        <v>6</v>
      </c>
      <c r="CS529" t="s">
        <v>35</v>
      </c>
      <c r="CT529">
        <v>46073</v>
      </c>
      <c r="CU529">
        <v>1</v>
      </c>
      <c r="CV529">
        <v>1</v>
      </c>
      <c r="CX529">
        <v>1</v>
      </c>
      <c r="CZ529">
        <v>5.7870370370370373E-5</v>
      </c>
      <c r="DA529">
        <v>5.7870370370370373E-5</v>
      </c>
      <c r="DB529">
        <v>0.12299768518518518</v>
      </c>
      <c r="DC529">
        <v>0.21892361111111111</v>
      </c>
      <c r="DD529">
        <v>75</v>
      </c>
      <c r="DE529">
        <v>143</v>
      </c>
      <c r="DF529">
        <v>20</v>
      </c>
      <c r="DG529">
        <v>1.75</v>
      </c>
      <c r="DH529">
        <v>26673</v>
      </c>
      <c r="DI529">
        <v>0.26669999999999999</v>
      </c>
      <c r="DJ529">
        <v>2</v>
      </c>
      <c r="DK529">
        <v>0.1</v>
      </c>
      <c r="DL529">
        <v>1820</v>
      </c>
      <c r="DM529">
        <v>910</v>
      </c>
      <c r="DN529">
        <v>1820</v>
      </c>
      <c r="DO529">
        <v>1</v>
      </c>
      <c r="DQ529">
        <v>78</v>
      </c>
      <c r="DR529">
        <v>910</v>
      </c>
    </row>
    <row r="530" spans="95:122" x14ac:dyDescent="0.25">
      <c r="CQ530" t="s">
        <v>636</v>
      </c>
      <c r="CR530" t="s">
        <v>6</v>
      </c>
      <c r="CS530" t="s">
        <v>50</v>
      </c>
      <c r="CT530">
        <v>46079</v>
      </c>
      <c r="CU530">
        <v>1</v>
      </c>
      <c r="CV530">
        <v>1</v>
      </c>
      <c r="CX530">
        <v>1</v>
      </c>
      <c r="CZ530">
        <v>2.0833333333333335E-4</v>
      </c>
      <c r="DA530">
        <v>2.0833333333333335E-4</v>
      </c>
      <c r="DB530">
        <v>0.1663425925925926</v>
      </c>
      <c r="DC530">
        <v>0.17945601851851853</v>
      </c>
      <c r="DD530">
        <v>75</v>
      </c>
      <c r="DE530">
        <v>158</v>
      </c>
      <c r="DF530">
        <v>22</v>
      </c>
      <c r="DG530" t="s">
        <v>873</v>
      </c>
      <c r="DH530">
        <v>11281</v>
      </c>
      <c r="DI530">
        <v>0.29330000000000001</v>
      </c>
      <c r="DJ530">
        <v>2</v>
      </c>
      <c r="DK530">
        <v>9.0899999999999995E-2</v>
      </c>
      <c r="DL530">
        <v>2700</v>
      </c>
      <c r="DM530">
        <v>1350</v>
      </c>
      <c r="DN530">
        <v>500</v>
      </c>
      <c r="DO530">
        <v>0.1852</v>
      </c>
      <c r="DP530">
        <v>2.98E-2</v>
      </c>
      <c r="DQ530">
        <v>78</v>
      </c>
      <c r="DR530">
        <v>500</v>
      </c>
    </row>
    <row r="531" spans="95:122" x14ac:dyDescent="0.25">
      <c r="CQ531" t="s">
        <v>636</v>
      </c>
      <c r="CR531" t="s">
        <v>6</v>
      </c>
      <c r="CS531" t="s">
        <v>97</v>
      </c>
      <c r="CT531">
        <v>46070</v>
      </c>
      <c r="CU531">
        <v>1</v>
      </c>
      <c r="CV531">
        <v>1</v>
      </c>
      <c r="CX531">
        <v>1</v>
      </c>
      <c r="CZ531">
        <v>2.3148148148148147E-5</v>
      </c>
      <c r="DA531">
        <v>2.3148148148148147E-5</v>
      </c>
      <c r="DB531">
        <v>0.14666666666666667</v>
      </c>
      <c r="DC531">
        <v>0.19804398148148147</v>
      </c>
      <c r="DD531">
        <v>111</v>
      </c>
      <c r="DE531">
        <v>171</v>
      </c>
      <c r="DF531">
        <v>16</v>
      </c>
      <c r="DG531">
        <v>2</v>
      </c>
      <c r="DH531">
        <v>25472</v>
      </c>
      <c r="DI531">
        <v>0.14410000000000001</v>
      </c>
      <c r="DJ531">
        <v>2</v>
      </c>
      <c r="DK531">
        <v>0.125</v>
      </c>
      <c r="DL531">
        <v>6200</v>
      </c>
      <c r="DM531">
        <v>3100</v>
      </c>
      <c r="DN531">
        <v>3500</v>
      </c>
      <c r="DO531">
        <v>0.5645</v>
      </c>
      <c r="DP531">
        <v>0.16439999999999999</v>
      </c>
      <c r="DQ531">
        <v>78</v>
      </c>
      <c r="DR531">
        <v>3500</v>
      </c>
    </row>
    <row r="532" spans="95:122" x14ac:dyDescent="0.25">
      <c r="CQ532" t="s">
        <v>636</v>
      </c>
      <c r="CR532" t="s">
        <v>6</v>
      </c>
      <c r="CS532" t="s">
        <v>97</v>
      </c>
      <c r="CT532">
        <v>46076</v>
      </c>
      <c r="CU532">
        <v>1</v>
      </c>
      <c r="CV532">
        <v>1</v>
      </c>
      <c r="CX532">
        <v>1</v>
      </c>
      <c r="CZ532">
        <v>0</v>
      </c>
      <c r="DA532">
        <v>0</v>
      </c>
      <c r="DB532">
        <v>0.15225694444444443</v>
      </c>
      <c r="DC532">
        <v>0.20541666666666666</v>
      </c>
      <c r="DD532">
        <v>90</v>
      </c>
      <c r="DE532">
        <v>176</v>
      </c>
      <c r="DF532">
        <v>29</v>
      </c>
      <c r="DG532" t="s">
        <v>1006</v>
      </c>
      <c r="DH532">
        <v>41066</v>
      </c>
      <c r="DI532">
        <v>0.32219999999999999</v>
      </c>
      <c r="DJ532">
        <v>3</v>
      </c>
      <c r="DK532">
        <v>0.10340000000000001</v>
      </c>
      <c r="DL532">
        <v>7300</v>
      </c>
      <c r="DM532">
        <v>2433</v>
      </c>
      <c r="DN532">
        <v>2000</v>
      </c>
      <c r="DO532">
        <v>0.27400000000000002</v>
      </c>
      <c r="DP532">
        <v>0.16339999999999999</v>
      </c>
      <c r="DQ532">
        <v>78</v>
      </c>
      <c r="DR532">
        <v>2000</v>
      </c>
    </row>
    <row r="533" spans="95:122" x14ac:dyDescent="0.25">
      <c r="CQ533" t="s">
        <v>636</v>
      </c>
      <c r="CR533" t="s">
        <v>6</v>
      </c>
      <c r="CS533" t="s">
        <v>78</v>
      </c>
      <c r="CT533">
        <v>46059</v>
      </c>
      <c r="CU533">
        <v>1</v>
      </c>
      <c r="CV533">
        <v>1</v>
      </c>
      <c r="CW533">
        <v>1</v>
      </c>
      <c r="CZ533">
        <v>2.2650462962962963E-2</v>
      </c>
      <c r="DA533">
        <v>2.2650462962962963E-2</v>
      </c>
      <c r="DB533">
        <v>8.2754629629629636E-2</v>
      </c>
      <c r="DC533">
        <v>8.6238425925925927E-2</v>
      </c>
      <c r="DD533">
        <v>60</v>
      </c>
      <c r="DE533">
        <v>94</v>
      </c>
      <c r="DF533">
        <v>24</v>
      </c>
      <c r="DG533">
        <v>1.5</v>
      </c>
      <c r="DH533">
        <v>13897</v>
      </c>
      <c r="DI533">
        <v>0.4</v>
      </c>
      <c r="DJ533">
        <v>3</v>
      </c>
      <c r="DK533">
        <v>0.125</v>
      </c>
      <c r="DL533">
        <v>1530</v>
      </c>
      <c r="DM533">
        <v>510</v>
      </c>
      <c r="DN533">
        <v>1230</v>
      </c>
      <c r="DO533">
        <v>0.80389999999999995</v>
      </c>
      <c r="DP533">
        <v>0.81</v>
      </c>
      <c r="DQ533">
        <v>78</v>
      </c>
      <c r="DR533">
        <v>615</v>
      </c>
    </row>
    <row r="534" spans="95:122" x14ac:dyDescent="0.25">
      <c r="CQ534" t="s">
        <v>636</v>
      </c>
      <c r="CR534" t="s">
        <v>6</v>
      </c>
      <c r="CS534" t="s">
        <v>78</v>
      </c>
      <c r="CT534">
        <v>46079</v>
      </c>
      <c r="CU534">
        <v>1</v>
      </c>
      <c r="CV534">
        <v>1</v>
      </c>
      <c r="CZ534">
        <v>1.0416666666666667E-4</v>
      </c>
      <c r="DA534">
        <v>1.0416666666666667E-4</v>
      </c>
      <c r="DB534">
        <v>8.4340277777777778E-2</v>
      </c>
      <c r="DC534">
        <v>0.20636574074074074</v>
      </c>
      <c r="DD534">
        <v>70</v>
      </c>
      <c r="DE534">
        <v>119</v>
      </c>
      <c r="DF534">
        <v>28</v>
      </c>
      <c r="DG534" t="s">
        <v>722</v>
      </c>
      <c r="DH534">
        <v>18928</v>
      </c>
      <c r="DI534">
        <v>0.4</v>
      </c>
      <c r="DJ534">
        <v>2</v>
      </c>
      <c r="DK534">
        <v>7.1400000000000005E-2</v>
      </c>
      <c r="DL534">
        <v>2555</v>
      </c>
      <c r="DM534">
        <v>1278</v>
      </c>
      <c r="DN534">
        <v>555</v>
      </c>
      <c r="DO534">
        <v>0.2172</v>
      </c>
      <c r="DP534">
        <v>9.64E-2</v>
      </c>
      <c r="DQ534">
        <v>78</v>
      </c>
      <c r="DR534">
        <v>555</v>
      </c>
    </row>
    <row r="535" spans="95:122" x14ac:dyDescent="0.25">
      <c r="CQ535" t="s">
        <v>636</v>
      </c>
      <c r="CR535" t="s">
        <v>3</v>
      </c>
      <c r="CS535" t="s">
        <v>31</v>
      </c>
      <c r="CT535">
        <v>46076</v>
      </c>
      <c r="CU535">
        <v>1</v>
      </c>
      <c r="CV535">
        <v>1</v>
      </c>
      <c r="CX535">
        <v>1</v>
      </c>
      <c r="CZ535">
        <v>4.1666666666666669E-4</v>
      </c>
      <c r="DA535">
        <v>4.1666666666666669E-4</v>
      </c>
      <c r="DB535">
        <v>0.13443287037037038</v>
      </c>
      <c r="DC535">
        <v>0.14445601851851853</v>
      </c>
      <c r="DD535">
        <v>93</v>
      </c>
      <c r="DE535">
        <v>188</v>
      </c>
      <c r="DF535">
        <v>21</v>
      </c>
      <c r="DG535" t="s">
        <v>803</v>
      </c>
      <c r="DH535">
        <v>20426</v>
      </c>
      <c r="DI535">
        <v>0.2258</v>
      </c>
      <c r="DJ535">
        <v>2</v>
      </c>
      <c r="DK535">
        <v>9.5200000000000007E-2</v>
      </c>
      <c r="DL535">
        <v>880</v>
      </c>
      <c r="DM535">
        <v>440</v>
      </c>
      <c r="DN535">
        <v>280</v>
      </c>
      <c r="DO535">
        <v>0.31819999999999998</v>
      </c>
      <c r="DP535">
        <v>0.45340000000000003</v>
      </c>
      <c r="DQ535">
        <v>78</v>
      </c>
      <c r="DR535">
        <v>280</v>
      </c>
    </row>
    <row r="536" spans="95:122" x14ac:dyDescent="0.25">
      <c r="CQ536" t="s">
        <v>636</v>
      </c>
      <c r="CR536" t="s">
        <v>3</v>
      </c>
      <c r="CS536" t="s">
        <v>17</v>
      </c>
      <c r="CT536">
        <v>46058</v>
      </c>
      <c r="CU536">
        <v>1</v>
      </c>
      <c r="CV536">
        <v>1</v>
      </c>
      <c r="CZ536">
        <v>4.0509259259259257E-3</v>
      </c>
      <c r="DA536">
        <v>4.0509259259259257E-3</v>
      </c>
      <c r="DB536">
        <v>9.1620370370370366E-2</v>
      </c>
      <c r="DC536">
        <v>6.828703703703704E-3</v>
      </c>
      <c r="DD536">
        <v>53</v>
      </c>
      <c r="DE536">
        <v>113</v>
      </c>
      <c r="DF536">
        <v>16</v>
      </c>
      <c r="DG536">
        <v>2</v>
      </c>
      <c r="DH536">
        <v>52485</v>
      </c>
      <c r="DI536">
        <v>0.3019</v>
      </c>
      <c r="DJ536">
        <v>1</v>
      </c>
      <c r="DK536">
        <v>6.25E-2</v>
      </c>
      <c r="DL536">
        <v>7000</v>
      </c>
      <c r="DM536">
        <v>7000</v>
      </c>
      <c r="DN536">
        <v>7000</v>
      </c>
      <c r="DO536">
        <v>1</v>
      </c>
      <c r="DP536">
        <v>0.13730000000000001</v>
      </c>
      <c r="DQ536">
        <v>78</v>
      </c>
      <c r="DR536">
        <v>7000</v>
      </c>
    </row>
    <row r="537" spans="95:122" x14ac:dyDescent="0.25">
      <c r="CQ537" t="s">
        <v>636</v>
      </c>
      <c r="CR537" t="s">
        <v>3</v>
      </c>
      <c r="CS537" t="s">
        <v>207</v>
      </c>
      <c r="CT537">
        <v>46079</v>
      </c>
      <c r="CU537">
        <v>1</v>
      </c>
      <c r="CV537">
        <v>1</v>
      </c>
      <c r="CX537">
        <v>1</v>
      </c>
      <c r="CZ537">
        <v>3.4722222222222222E-5</v>
      </c>
      <c r="DA537">
        <v>3.4722222222222222E-5</v>
      </c>
      <c r="DB537">
        <v>0.20581018518518518</v>
      </c>
      <c r="DC537">
        <v>0.15435185185185185</v>
      </c>
      <c r="DD537">
        <v>182</v>
      </c>
      <c r="DE537">
        <v>293</v>
      </c>
      <c r="DF537">
        <v>16</v>
      </c>
      <c r="DG537">
        <v>1.5625</v>
      </c>
      <c r="DH537">
        <v>28888</v>
      </c>
      <c r="DI537">
        <v>8.7900000000000006E-2</v>
      </c>
      <c r="DJ537">
        <v>1</v>
      </c>
      <c r="DK537">
        <v>6.25E-2</v>
      </c>
      <c r="DL537">
        <v>2595</v>
      </c>
      <c r="DM537">
        <v>2595</v>
      </c>
      <c r="DN537">
        <v>2595</v>
      </c>
      <c r="DO537">
        <v>1</v>
      </c>
      <c r="DP537">
        <v>0.1512</v>
      </c>
      <c r="DQ537">
        <v>78</v>
      </c>
      <c r="DR537">
        <v>2595</v>
      </c>
    </row>
    <row r="538" spans="95:122" x14ac:dyDescent="0.25">
      <c r="CQ538" t="s">
        <v>636</v>
      </c>
      <c r="CR538" t="s">
        <v>124</v>
      </c>
      <c r="CS538" t="s">
        <v>174</v>
      </c>
      <c r="CT538">
        <v>46076</v>
      </c>
      <c r="CU538">
        <v>1</v>
      </c>
      <c r="CV538">
        <v>1</v>
      </c>
      <c r="CX538">
        <v>1</v>
      </c>
      <c r="CZ538">
        <v>0</v>
      </c>
      <c r="DA538">
        <v>0</v>
      </c>
      <c r="DB538">
        <v>0.18288194444444444</v>
      </c>
      <c r="DC538">
        <v>0.16854166666666667</v>
      </c>
      <c r="DD538">
        <v>191</v>
      </c>
      <c r="DE538">
        <v>252</v>
      </c>
      <c r="DF538">
        <v>21</v>
      </c>
      <c r="DG538">
        <v>2</v>
      </c>
      <c r="DH538">
        <v>20409</v>
      </c>
      <c r="DI538">
        <v>0.1099</v>
      </c>
      <c r="DJ538">
        <v>3</v>
      </c>
      <c r="DK538">
        <v>0.1429</v>
      </c>
      <c r="DL538">
        <v>1140</v>
      </c>
      <c r="DM538">
        <v>380</v>
      </c>
      <c r="DN538">
        <v>670</v>
      </c>
      <c r="DO538">
        <v>0.5877</v>
      </c>
      <c r="DQ538">
        <v>76</v>
      </c>
      <c r="DR538">
        <v>335</v>
      </c>
    </row>
    <row r="539" spans="95:122" x14ac:dyDescent="0.25">
      <c r="CQ539" t="s">
        <v>636</v>
      </c>
      <c r="CR539" t="s">
        <v>124</v>
      </c>
      <c r="CS539" t="s">
        <v>41</v>
      </c>
      <c r="CT539">
        <v>46069</v>
      </c>
      <c r="CU539">
        <v>1</v>
      </c>
      <c r="CV539">
        <v>1</v>
      </c>
      <c r="CZ539">
        <v>0</v>
      </c>
      <c r="DA539">
        <v>0</v>
      </c>
      <c r="DB539">
        <v>0</v>
      </c>
      <c r="DC539">
        <v>0</v>
      </c>
      <c r="DQ539">
        <v>76</v>
      </c>
    </row>
    <row r="540" spans="95:122" x14ac:dyDescent="0.25">
      <c r="CQ540" t="s">
        <v>636</v>
      </c>
      <c r="CR540" t="s">
        <v>124</v>
      </c>
      <c r="CS540" t="s">
        <v>41</v>
      </c>
      <c r="CT540">
        <v>46077</v>
      </c>
      <c r="CU540">
        <v>1</v>
      </c>
      <c r="CV540">
        <v>1</v>
      </c>
      <c r="CZ540">
        <v>0</v>
      </c>
      <c r="DA540">
        <v>0</v>
      </c>
      <c r="DB540">
        <v>0</v>
      </c>
      <c r="DC540">
        <v>0</v>
      </c>
      <c r="DQ540">
        <v>76</v>
      </c>
    </row>
    <row r="541" spans="95:122" x14ac:dyDescent="0.25">
      <c r="CQ541" t="s">
        <v>636</v>
      </c>
      <c r="CR541" t="s">
        <v>124</v>
      </c>
      <c r="CS541" t="s">
        <v>493</v>
      </c>
      <c r="CT541">
        <v>46064</v>
      </c>
      <c r="CU541">
        <v>1</v>
      </c>
      <c r="CV541">
        <v>1</v>
      </c>
      <c r="CX541">
        <v>1</v>
      </c>
      <c r="CZ541">
        <v>3.4722222222222222E-5</v>
      </c>
      <c r="DA541">
        <v>3.4722222222222222E-5</v>
      </c>
      <c r="DB541">
        <v>1.5243055555555555E-2</v>
      </c>
      <c r="DC541">
        <v>1.2673611111111111E-2</v>
      </c>
      <c r="DD541">
        <v>114</v>
      </c>
      <c r="DE541">
        <v>196</v>
      </c>
      <c r="DF541">
        <v>51</v>
      </c>
      <c r="DG541" t="s">
        <v>1112</v>
      </c>
      <c r="DH541">
        <v>8878</v>
      </c>
      <c r="DI541">
        <v>0.44740000000000002</v>
      </c>
      <c r="DJ541">
        <v>2</v>
      </c>
      <c r="DK541">
        <v>3.9199999999999999E-2</v>
      </c>
      <c r="DL541">
        <v>1300</v>
      </c>
      <c r="DM541">
        <v>650</v>
      </c>
      <c r="DN541">
        <v>1000</v>
      </c>
      <c r="DO541">
        <v>0.76919999999999999</v>
      </c>
      <c r="DP541">
        <v>0.1179</v>
      </c>
      <c r="DQ541">
        <v>76</v>
      </c>
      <c r="DR541">
        <v>1000</v>
      </c>
    </row>
    <row r="542" spans="95:122" x14ac:dyDescent="0.25">
      <c r="CQ542" t="s">
        <v>636</v>
      </c>
      <c r="CR542" t="s">
        <v>124</v>
      </c>
      <c r="CS542" t="s">
        <v>49</v>
      </c>
      <c r="CT542">
        <v>46069</v>
      </c>
      <c r="CU542">
        <v>1</v>
      </c>
      <c r="CV542">
        <v>1</v>
      </c>
      <c r="CW542">
        <v>1</v>
      </c>
      <c r="CZ542">
        <v>8.9930555555555562E-3</v>
      </c>
      <c r="DA542">
        <v>8.9930555555555562E-3</v>
      </c>
      <c r="DB542">
        <v>0.20751157407407408</v>
      </c>
      <c r="DC542">
        <v>0.12292824074074074</v>
      </c>
      <c r="DD542">
        <v>82</v>
      </c>
      <c r="DE542">
        <v>141</v>
      </c>
      <c r="DF542">
        <v>18</v>
      </c>
      <c r="DG542" t="s">
        <v>749</v>
      </c>
      <c r="DH542">
        <v>29370</v>
      </c>
      <c r="DI542">
        <v>0.2195</v>
      </c>
      <c r="DQ542">
        <v>76</v>
      </c>
    </row>
    <row r="543" spans="95:122" x14ac:dyDescent="0.25">
      <c r="CQ543" t="s">
        <v>636</v>
      </c>
      <c r="CR543" t="s">
        <v>124</v>
      </c>
      <c r="CS543" t="s">
        <v>549</v>
      </c>
      <c r="CT543">
        <v>46077</v>
      </c>
      <c r="CU543">
        <v>1</v>
      </c>
      <c r="CV543">
        <v>1</v>
      </c>
      <c r="CW543">
        <v>1</v>
      </c>
      <c r="CZ543">
        <v>6.6666666666666671E-3</v>
      </c>
      <c r="DA543">
        <v>6.6666666666666671E-3</v>
      </c>
      <c r="DB543">
        <v>0.19422453703703704</v>
      </c>
      <c r="DC543">
        <v>0.14811342592592591</v>
      </c>
      <c r="DD543">
        <v>190</v>
      </c>
      <c r="DE543">
        <v>289</v>
      </c>
      <c r="DF543">
        <v>36</v>
      </c>
      <c r="DG543" t="s">
        <v>994</v>
      </c>
      <c r="DH543">
        <v>16003</v>
      </c>
      <c r="DI543">
        <v>0.1895</v>
      </c>
      <c r="DQ543">
        <v>76</v>
      </c>
    </row>
    <row r="544" spans="95:122" x14ac:dyDescent="0.25">
      <c r="CQ544" t="s">
        <v>636</v>
      </c>
      <c r="CR544" t="s">
        <v>124</v>
      </c>
      <c r="CS544" t="s">
        <v>77</v>
      </c>
      <c r="CT544">
        <v>46069</v>
      </c>
      <c r="CU544">
        <v>1</v>
      </c>
      <c r="CV544">
        <v>1</v>
      </c>
      <c r="CZ544">
        <v>3.9351851851851848E-3</v>
      </c>
      <c r="DA544">
        <v>3.9351851851851848E-3</v>
      </c>
      <c r="DB544">
        <v>0.21537037037037038</v>
      </c>
      <c r="DC544">
        <v>0.12265046296296296</v>
      </c>
      <c r="DD544">
        <v>104</v>
      </c>
      <c r="DE544">
        <v>195</v>
      </c>
      <c r="DF544">
        <v>37</v>
      </c>
      <c r="DG544" t="s">
        <v>995</v>
      </c>
      <c r="DH544">
        <v>14953</v>
      </c>
      <c r="DI544">
        <v>0.35580000000000001</v>
      </c>
      <c r="DQ544">
        <v>76</v>
      </c>
    </row>
    <row r="545" spans="95:122" x14ac:dyDescent="0.25">
      <c r="CQ545" t="s">
        <v>636</v>
      </c>
      <c r="CR545" t="s">
        <v>124</v>
      </c>
      <c r="CS545" t="s">
        <v>55</v>
      </c>
      <c r="CT545">
        <v>46059</v>
      </c>
      <c r="CU545">
        <v>1</v>
      </c>
      <c r="CV545">
        <v>1</v>
      </c>
      <c r="CX545">
        <v>1</v>
      </c>
      <c r="CZ545">
        <v>5.7870370370370373E-5</v>
      </c>
      <c r="DA545">
        <v>5.7870370370370373E-5</v>
      </c>
      <c r="DB545">
        <v>0</v>
      </c>
      <c r="DC545">
        <v>1.5625E-2</v>
      </c>
      <c r="DD545">
        <v>126</v>
      </c>
      <c r="DE545">
        <v>365</v>
      </c>
      <c r="DF545">
        <v>20</v>
      </c>
      <c r="DG545">
        <v>1.55</v>
      </c>
      <c r="DH545">
        <v>2946</v>
      </c>
      <c r="DI545">
        <v>0.15870000000000001</v>
      </c>
      <c r="DJ545">
        <v>1</v>
      </c>
      <c r="DK545">
        <v>0.05</v>
      </c>
      <c r="DL545">
        <v>300</v>
      </c>
      <c r="DM545">
        <v>300</v>
      </c>
      <c r="DQ545">
        <v>76</v>
      </c>
    </row>
    <row r="546" spans="95:122" x14ac:dyDescent="0.25">
      <c r="CQ546" t="s">
        <v>636</v>
      </c>
      <c r="CR546" t="s">
        <v>124</v>
      </c>
      <c r="CS546" t="s">
        <v>544</v>
      </c>
      <c r="CT546">
        <v>46077</v>
      </c>
      <c r="CU546">
        <v>1</v>
      </c>
      <c r="CV546">
        <v>1</v>
      </c>
      <c r="CY546">
        <v>1</v>
      </c>
      <c r="CZ546">
        <v>0</v>
      </c>
      <c r="DA546">
        <v>0</v>
      </c>
      <c r="DB546">
        <v>0</v>
      </c>
      <c r="DC546">
        <v>0</v>
      </c>
      <c r="DQ546">
        <v>76</v>
      </c>
    </row>
    <row r="547" spans="95:122" x14ac:dyDescent="0.25">
      <c r="CQ547" t="s">
        <v>636</v>
      </c>
      <c r="CR547" t="s">
        <v>124</v>
      </c>
      <c r="CS547" t="s">
        <v>557</v>
      </c>
      <c r="CT547">
        <v>46077</v>
      </c>
      <c r="CU547">
        <v>1</v>
      </c>
      <c r="CV547">
        <v>1</v>
      </c>
      <c r="CY547">
        <v>1</v>
      </c>
      <c r="CZ547">
        <v>0</v>
      </c>
      <c r="DA547">
        <v>0</v>
      </c>
      <c r="DB547">
        <v>0</v>
      </c>
      <c r="DC547">
        <v>0</v>
      </c>
      <c r="DQ547">
        <v>76</v>
      </c>
    </row>
    <row r="548" spans="95:122" x14ac:dyDescent="0.25">
      <c r="CQ548" t="s">
        <v>636</v>
      </c>
      <c r="CR548" t="s">
        <v>125</v>
      </c>
      <c r="CS548" t="s">
        <v>18</v>
      </c>
      <c r="CT548">
        <v>46065</v>
      </c>
      <c r="CU548">
        <v>1</v>
      </c>
      <c r="CV548">
        <v>1</v>
      </c>
      <c r="CX548">
        <v>1</v>
      </c>
      <c r="CZ548">
        <v>6.9444444444444444E-5</v>
      </c>
      <c r="DA548">
        <v>6.9444444444444444E-5</v>
      </c>
      <c r="DB548">
        <v>2.1655092592592594E-2</v>
      </c>
      <c r="DC548">
        <v>3.0092592592592591E-2</v>
      </c>
      <c r="DD548">
        <v>153</v>
      </c>
      <c r="DE548">
        <v>300</v>
      </c>
      <c r="DF548">
        <v>17</v>
      </c>
      <c r="DG548" t="s">
        <v>677</v>
      </c>
      <c r="DH548">
        <v>48671</v>
      </c>
      <c r="DI548">
        <v>0.1111</v>
      </c>
      <c r="DJ548">
        <v>1</v>
      </c>
      <c r="DK548">
        <v>5.8799999999999998E-2</v>
      </c>
      <c r="DL548">
        <v>600</v>
      </c>
      <c r="DM548">
        <v>600</v>
      </c>
      <c r="DN548">
        <v>600</v>
      </c>
      <c r="DO548">
        <v>1</v>
      </c>
      <c r="DQ548">
        <v>76</v>
      </c>
      <c r="DR548">
        <v>600</v>
      </c>
    </row>
    <row r="549" spans="95:122" x14ac:dyDescent="0.25">
      <c r="CQ549" t="s">
        <v>636</v>
      </c>
      <c r="CR549" t="s">
        <v>125</v>
      </c>
      <c r="CS549" t="s">
        <v>18</v>
      </c>
      <c r="CT549">
        <v>46081</v>
      </c>
      <c r="CU549">
        <v>1</v>
      </c>
      <c r="CV549">
        <v>1</v>
      </c>
      <c r="CW549">
        <v>1</v>
      </c>
      <c r="CZ549">
        <v>5.3935185185185188E-3</v>
      </c>
      <c r="DA549">
        <v>5.3935185185185188E-3</v>
      </c>
      <c r="DB549">
        <v>0.17225694444444445</v>
      </c>
      <c r="DC549">
        <v>1.136574074074074E-2</v>
      </c>
      <c r="DD549">
        <v>76</v>
      </c>
      <c r="DE549">
        <v>122</v>
      </c>
      <c r="DF549">
        <v>24</v>
      </c>
      <c r="DG549" t="s">
        <v>718</v>
      </c>
      <c r="DH549">
        <v>32574</v>
      </c>
      <c r="DI549">
        <v>0.31580000000000003</v>
      </c>
      <c r="DQ549">
        <v>76</v>
      </c>
    </row>
    <row r="550" spans="95:122" x14ac:dyDescent="0.25">
      <c r="CQ550" t="s">
        <v>636</v>
      </c>
      <c r="CR550" t="s">
        <v>125</v>
      </c>
      <c r="CS550" t="s">
        <v>109</v>
      </c>
      <c r="CT550">
        <v>46058</v>
      </c>
      <c r="CU550">
        <v>1</v>
      </c>
      <c r="CV550">
        <v>1</v>
      </c>
      <c r="CX550">
        <v>1</v>
      </c>
      <c r="CZ550">
        <v>1.6203703703703703E-4</v>
      </c>
      <c r="DA550">
        <v>1.6203703703703703E-4</v>
      </c>
      <c r="DB550">
        <v>3.3391203703703701E-2</v>
      </c>
      <c r="DC550">
        <v>3.0833333333333334E-2</v>
      </c>
      <c r="DD550">
        <v>99</v>
      </c>
      <c r="DE550">
        <v>198</v>
      </c>
      <c r="DF550">
        <v>16</v>
      </c>
      <c r="DG550">
        <v>1.625</v>
      </c>
      <c r="DH550">
        <v>37840</v>
      </c>
      <c r="DI550">
        <v>0.16159999999999999</v>
      </c>
      <c r="DJ550">
        <v>1</v>
      </c>
      <c r="DK550">
        <v>6.25E-2</v>
      </c>
      <c r="DL550">
        <v>2220</v>
      </c>
      <c r="DM550">
        <v>2220</v>
      </c>
      <c r="DN550">
        <v>1000</v>
      </c>
      <c r="DO550">
        <v>0.45050000000000001</v>
      </c>
      <c r="DP550">
        <v>0.2782</v>
      </c>
      <c r="DQ550">
        <v>76</v>
      </c>
      <c r="DR550">
        <v>1000</v>
      </c>
    </row>
    <row r="551" spans="95:122" x14ac:dyDescent="0.25">
      <c r="CQ551" t="s">
        <v>636</v>
      </c>
      <c r="CR551" t="s">
        <v>125</v>
      </c>
      <c r="CS551" t="s">
        <v>109</v>
      </c>
      <c r="CT551">
        <v>46081</v>
      </c>
      <c r="CU551">
        <v>1</v>
      </c>
      <c r="CV551">
        <v>1</v>
      </c>
      <c r="CW551">
        <v>1</v>
      </c>
      <c r="CZ551">
        <v>5.8680555555555552E-3</v>
      </c>
      <c r="DA551">
        <v>5.8680555555555552E-3</v>
      </c>
      <c r="DB551">
        <v>0.15931712962962963</v>
      </c>
      <c r="DC551">
        <v>2.7557870370370371E-2</v>
      </c>
      <c r="DD551">
        <v>22</v>
      </c>
      <c r="DE551">
        <v>41</v>
      </c>
      <c r="DF551">
        <v>6</v>
      </c>
      <c r="DG551" t="s">
        <v>674</v>
      </c>
      <c r="DH551">
        <v>12107</v>
      </c>
      <c r="DI551">
        <v>0.2727</v>
      </c>
      <c r="DQ551">
        <v>76</v>
      </c>
    </row>
    <row r="552" spans="95:122" x14ac:dyDescent="0.25">
      <c r="CQ552" t="s">
        <v>636</v>
      </c>
      <c r="CR552" t="s">
        <v>125</v>
      </c>
      <c r="CS552" t="s">
        <v>60</v>
      </c>
      <c r="CT552">
        <v>46058</v>
      </c>
      <c r="CU552">
        <v>1</v>
      </c>
      <c r="CV552">
        <v>1</v>
      </c>
      <c r="CW552">
        <v>1</v>
      </c>
      <c r="CZ552">
        <v>5.6365740740740742E-3</v>
      </c>
      <c r="DA552">
        <v>5.6365740740740742E-3</v>
      </c>
      <c r="DB552">
        <v>1.0428240740740741E-2</v>
      </c>
      <c r="DC552">
        <v>5.8680555555555552E-3</v>
      </c>
      <c r="DD552">
        <v>69</v>
      </c>
      <c r="DE552">
        <v>145</v>
      </c>
      <c r="DF552">
        <v>12</v>
      </c>
      <c r="DG552" t="s">
        <v>689</v>
      </c>
      <c r="DH552">
        <v>47420</v>
      </c>
      <c r="DI552">
        <v>0.1739</v>
      </c>
      <c r="DJ552">
        <v>1</v>
      </c>
      <c r="DK552">
        <v>8.3299999999999999E-2</v>
      </c>
      <c r="DL552">
        <v>2000</v>
      </c>
      <c r="DM552">
        <v>2000</v>
      </c>
      <c r="DN552">
        <v>2000</v>
      </c>
      <c r="DO552">
        <v>1</v>
      </c>
      <c r="DP552">
        <v>0.13289999999999999</v>
      </c>
      <c r="DQ552">
        <v>76</v>
      </c>
      <c r="DR552">
        <v>2000</v>
      </c>
    </row>
    <row r="553" spans="95:122" x14ac:dyDescent="0.25">
      <c r="CQ553" t="s">
        <v>636</v>
      </c>
      <c r="CR553" t="s">
        <v>125</v>
      </c>
      <c r="CS553" t="s">
        <v>72</v>
      </c>
      <c r="CT553">
        <v>46081</v>
      </c>
      <c r="CU553">
        <v>1</v>
      </c>
      <c r="CV553">
        <v>1</v>
      </c>
      <c r="CZ553">
        <v>2.3148148148148147E-5</v>
      </c>
      <c r="DA553">
        <v>2.3148148148148147E-5</v>
      </c>
      <c r="DB553">
        <v>0.12515046296296295</v>
      </c>
      <c r="DC553">
        <v>6.0185185185185182E-2</v>
      </c>
      <c r="DQ553">
        <v>76</v>
      </c>
    </row>
    <row r="554" spans="95:122" x14ac:dyDescent="0.25">
      <c r="CQ554" t="s">
        <v>636</v>
      </c>
      <c r="CR554" t="s">
        <v>125</v>
      </c>
      <c r="CS554" t="s">
        <v>12</v>
      </c>
      <c r="CT554">
        <v>46056</v>
      </c>
      <c r="CU554">
        <v>1</v>
      </c>
      <c r="CV554">
        <v>1</v>
      </c>
      <c r="CW554">
        <v>1</v>
      </c>
      <c r="CZ554">
        <v>0.13430555555555557</v>
      </c>
      <c r="DA554">
        <v>0.13430555555555557</v>
      </c>
      <c r="DB554">
        <v>5.9537037037037034E-2</v>
      </c>
      <c r="DC554">
        <v>1.3321759259259259E-2</v>
      </c>
      <c r="DD554">
        <v>58</v>
      </c>
      <c r="DE554">
        <v>212</v>
      </c>
      <c r="DF554">
        <v>10</v>
      </c>
      <c r="DG554">
        <v>1.6</v>
      </c>
      <c r="DH554">
        <v>21808</v>
      </c>
      <c r="DI554">
        <v>0.1724</v>
      </c>
      <c r="DJ554">
        <v>1</v>
      </c>
      <c r="DK554">
        <v>0.1</v>
      </c>
      <c r="DL554">
        <v>800</v>
      </c>
      <c r="DM554">
        <v>800</v>
      </c>
      <c r="DN554">
        <v>800</v>
      </c>
      <c r="DO554">
        <v>1</v>
      </c>
      <c r="DP554">
        <v>1.3895</v>
      </c>
      <c r="DQ554">
        <v>76</v>
      </c>
      <c r="DR554">
        <v>800</v>
      </c>
    </row>
    <row r="555" spans="95:122" x14ac:dyDescent="0.25">
      <c r="CQ555" t="s">
        <v>636</v>
      </c>
      <c r="CR555" t="s">
        <v>125</v>
      </c>
      <c r="CS555" t="s">
        <v>75</v>
      </c>
      <c r="CT555">
        <v>46081</v>
      </c>
      <c r="CU555">
        <v>1</v>
      </c>
      <c r="CV555">
        <v>1</v>
      </c>
      <c r="CW555">
        <v>1</v>
      </c>
      <c r="CZ555">
        <v>4.5023148148148149E-3</v>
      </c>
      <c r="DA555">
        <v>4.5023148148148149E-3</v>
      </c>
      <c r="DB555">
        <v>0.15503472222222223</v>
      </c>
      <c r="DC555">
        <v>3.1504629629629632E-2</v>
      </c>
      <c r="DD555">
        <v>29</v>
      </c>
      <c r="DE555">
        <v>41</v>
      </c>
      <c r="DF555">
        <v>10</v>
      </c>
      <c r="DG555">
        <v>1.5</v>
      </c>
      <c r="DH555">
        <v>19809</v>
      </c>
      <c r="DI555">
        <v>0.3448</v>
      </c>
      <c r="DQ555">
        <v>76</v>
      </c>
    </row>
    <row r="556" spans="95:122" x14ac:dyDescent="0.25">
      <c r="CQ556" t="s">
        <v>636</v>
      </c>
      <c r="CR556" t="s">
        <v>125</v>
      </c>
      <c r="CS556" t="s">
        <v>206</v>
      </c>
      <c r="CT556">
        <v>46064</v>
      </c>
      <c r="CU556">
        <v>1</v>
      </c>
      <c r="CV556">
        <v>1</v>
      </c>
      <c r="CX556">
        <v>1</v>
      </c>
      <c r="CZ556">
        <v>8.1018518518518516E-5</v>
      </c>
      <c r="DA556">
        <v>8.1018518518518516E-5</v>
      </c>
      <c r="DB556">
        <v>1.8425925925925925E-2</v>
      </c>
      <c r="DC556">
        <v>1.5543981481481482E-2</v>
      </c>
      <c r="DD556">
        <v>189</v>
      </c>
      <c r="DE556">
        <v>327</v>
      </c>
      <c r="DF556">
        <v>20</v>
      </c>
      <c r="DG556">
        <v>1.9</v>
      </c>
      <c r="DH556">
        <v>23013</v>
      </c>
      <c r="DI556">
        <v>0.10580000000000001</v>
      </c>
      <c r="DJ556">
        <v>1</v>
      </c>
      <c r="DK556">
        <v>0.05</v>
      </c>
      <c r="DL556">
        <v>500</v>
      </c>
      <c r="DM556">
        <v>500</v>
      </c>
      <c r="DN556">
        <v>500</v>
      </c>
      <c r="DO556">
        <v>1</v>
      </c>
      <c r="DP556">
        <v>0.4511</v>
      </c>
      <c r="DQ556">
        <v>76</v>
      </c>
      <c r="DR556">
        <v>500</v>
      </c>
    </row>
    <row r="557" spans="95:122" x14ac:dyDescent="0.25">
      <c r="CQ557" t="s">
        <v>636</v>
      </c>
      <c r="CR557" t="s">
        <v>125</v>
      </c>
      <c r="CS557" t="s">
        <v>206</v>
      </c>
      <c r="CT557">
        <v>46066</v>
      </c>
      <c r="CU557">
        <v>1</v>
      </c>
      <c r="CV557">
        <v>1</v>
      </c>
      <c r="CX557">
        <v>1</v>
      </c>
      <c r="CZ557">
        <v>3.4722222222222222E-5</v>
      </c>
      <c r="DA557">
        <v>3.4722222222222222E-5</v>
      </c>
      <c r="DB557">
        <v>0.10590277777777778</v>
      </c>
      <c r="DC557">
        <v>0.15971064814814814</v>
      </c>
      <c r="DD557">
        <v>140</v>
      </c>
      <c r="DE557">
        <v>260</v>
      </c>
      <c r="DF557">
        <v>23</v>
      </c>
      <c r="DG557" t="s">
        <v>748</v>
      </c>
      <c r="DH557">
        <v>42448</v>
      </c>
      <c r="DI557">
        <v>0.1643</v>
      </c>
      <c r="DJ557">
        <v>2</v>
      </c>
      <c r="DK557">
        <v>8.6999999999999994E-2</v>
      </c>
      <c r="DL557">
        <v>925</v>
      </c>
      <c r="DM557">
        <v>463</v>
      </c>
      <c r="DQ557">
        <v>76</v>
      </c>
    </row>
    <row r="558" spans="95:122" x14ac:dyDescent="0.25">
      <c r="CQ558" t="s">
        <v>636</v>
      </c>
      <c r="CR558" t="s">
        <v>125</v>
      </c>
      <c r="CS558" t="s">
        <v>59</v>
      </c>
      <c r="CT558">
        <v>46056</v>
      </c>
      <c r="CU558">
        <v>1</v>
      </c>
      <c r="CV558">
        <v>1</v>
      </c>
      <c r="CX558">
        <v>1</v>
      </c>
      <c r="CZ558">
        <v>2.3148148148148147E-5</v>
      </c>
      <c r="DA558">
        <v>2.3148148148148147E-5</v>
      </c>
      <c r="DB558">
        <v>0.16424768518518518</v>
      </c>
      <c r="DC558">
        <v>3.2476851851851854E-2</v>
      </c>
      <c r="DD558">
        <v>129</v>
      </c>
      <c r="DE558">
        <v>322</v>
      </c>
      <c r="DF558">
        <v>24</v>
      </c>
      <c r="DG558">
        <v>2.25</v>
      </c>
      <c r="DH558">
        <v>48591</v>
      </c>
      <c r="DI558">
        <v>0.186</v>
      </c>
      <c r="DJ558">
        <v>1</v>
      </c>
      <c r="DK558">
        <v>4.1700000000000001E-2</v>
      </c>
      <c r="DL558">
        <v>13000</v>
      </c>
      <c r="DM558">
        <v>13000</v>
      </c>
      <c r="DN558">
        <v>13000</v>
      </c>
      <c r="DO558">
        <v>1</v>
      </c>
      <c r="DP558">
        <v>0.36059999999999998</v>
      </c>
      <c r="DQ558">
        <v>76</v>
      </c>
      <c r="DR558">
        <v>13000</v>
      </c>
    </row>
    <row r="559" spans="95:122" x14ac:dyDescent="0.25">
      <c r="CQ559" t="s">
        <v>636</v>
      </c>
      <c r="CR559" t="s">
        <v>2</v>
      </c>
      <c r="CS559" t="s">
        <v>15</v>
      </c>
      <c r="CT559">
        <v>46059</v>
      </c>
      <c r="CU559">
        <v>1</v>
      </c>
      <c r="CV559">
        <v>1</v>
      </c>
      <c r="CX559">
        <v>1</v>
      </c>
      <c r="CZ559">
        <v>5.7870370370370373E-5</v>
      </c>
      <c r="DA559">
        <v>5.7870370370370373E-5</v>
      </c>
      <c r="DB559">
        <v>2.5462962962962961E-4</v>
      </c>
      <c r="DC559">
        <v>1.9178240740740742E-2</v>
      </c>
      <c r="DD559">
        <v>114</v>
      </c>
      <c r="DE559">
        <v>138</v>
      </c>
      <c r="DF559">
        <v>13</v>
      </c>
      <c r="DG559" t="s">
        <v>704</v>
      </c>
      <c r="DH559">
        <v>24994</v>
      </c>
      <c r="DI559">
        <v>0.114</v>
      </c>
      <c r="DJ559">
        <v>1</v>
      </c>
      <c r="DK559">
        <v>7.6899999999999996E-2</v>
      </c>
      <c r="DL559">
        <v>1000</v>
      </c>
      <c r="DM559">
        <v>1000</v>
      </c>
      <c r="DN559">
        <v>1000</v>
      </c>
      <c r="DO559">
        <v>1</v>
      </c>
      <c r="DQ559">
        <v>76</v>
      </c>
      <c r="DR559">
        <v>1000</v>
      </c>
    </row>
    <row r="560" spans="95:122" x14ac:dyDescent="0.25">
      <c r="CQ560" t="s">
        <v>636</v>
      </c>
      <c r="CR560" t="s">
        <v>2</v>
      </c>
      <c r="CS560" t="s">
        <v>68</v>
      </c>
      <c r="CT560">
        <v>46066</v>
      </c>
      <c r="CU560">
        <v>1</v>
      </c>
      <c r="CV560">
        <v>1</v>
      </c>
      <c r="CZ560">
        <v>0</v>
      </c>
      <c r="DA560">
        <v>0</v>
      </c>
      <c r="DB560">
        <v>0</v>
      </c>
      <c r="DC560">
        <v>0</v>
      </c>
      <c r="DQ560">
        <v>76</v>
      </c>
    </row>
    <row r="561" spans="95:122" x14ac:dyDescent="0.25">
      <c r="CQ561" t="s">
        <v>636</v>
      </c>
      <c r="CR561" t="s">
        <v>2</v>
      </c>
      <c r="CS561" t="s">
        <v>68</v>
      </c>
      <c r="CT561">
        <v>46071</v>
      </c>
      <c r="CU561">
        <v>1</v>
      </c>
      <c r="CV561">
        <v>1</v>
      </c>
      <c r="CZ561">
        <v>0</v>
      </c>
      <c r="DA561">
        <v>0</v>
      </c>
      <c r="DB561">
        <v>0</v>
      </c>
      <c r="DC561">
        <v>0</v>
      </c>
      <c r="DQ561">
        <v>76</v>
      </c>
    </row>
    <row r="562" spans="95:122" x14ac:dyDescent="0.25">
      <c r="CQ562" t="s">
        <v>636</v>
      </c>
      <c r="CR562" t="s">
        <v>2</v>
      </c>
      <c r="CS562" t="s">
        <v>68</v>
      </c>
      <c r="CT562">
        <v>46079</v>
      </c>
      <c r="CU562">
        <v>1</v>
      </c>
      <c r="CV562">
        <v>1</v>
      </c>
      <c r="CZ562">
        <v>2.0833333333333335E-4</v>
      </c>
      <c r="DA562">
        <v>2.0833333333333335E-4</v>
      </c>
      <c r="DB562">
        <v>0.15390046296296298</v>
      </c>
      <c r="DC562">
        <v>0.13554398148148147</v>
      </c>
      <c r="DQ562">
        <v>76</v>
      </c>
    </row>
    <row r="563" spans="95:122" x14ac:dyDescent="0.25">
      <c r="CQ563" t="s">
        <v>636</v>
      </c>
      <c r="CR563" t="s">
        <v>2</v>
      </c>
      <c r="CS563" t="s">
        <v>29</v>
      </c>
      <c r="CT563">
        <v>46059</v>
      </c>
      <c r="CU563">
        <v>1</v>
      </c>
      <c r="CV563">
        <v>1</v>
      </c>
      <c r="CW563">
        <v>1</v>
      </c>
      <c r="CZ563">
        <v>1.7546296296296296E-2</v>
      </c>
      <c r="DA563">
        <v>1.7546296296296296E-2</v>
      </c>
      <c r="DB563">
        <v>2.101851851851852E-2</v>
      </c>
      <c r="DC563">
        <v>6.2685185185185191E-2</v>
      </c>
      <c r="DD563">
        <v>58</v>
      </c>
      <c r="DE563">
        <v>122</v>
      </c>
      <c r="DF563">
        <v>16</v>
      </c>
      <c r="DG563">
        <v>2.125</v>
      </c>
      <c r="DH563">
        <v>13997</v>
      </c>
      <c r="DI563">
        <v>0.27589999999999998</v>
      </c>
      <c r="DJ563">
        <v>3</v>
      </c>
      <c r="DK563">
        <v>0.1875</v>
      </c>
      <c r="DL563">
        <v>4611</v>
      </c>
      <c r="DM563">
        <v>1537</v>
      </c>
      <c r="DN563">
        <v>4300</v>
      </c>
      <c r="DO563">
        <v>0.93259999999999998</v>
      </c>
      <c r="DP563">
        <v>0.1646</v>
      </c>
      <c r="DQ563">
        <v>76</v>
      </c>
      <c r="DR563">
        <v>2150</v>
      </c>
    </row>
    <row r="564" spans="95:122" x14ac:dyDescent="0.25">
      <c r="CQ564" t="s">
        <v>636</v>
      </c>
      <c r="CR564" t="s">
        <v>2</v>
      </c>
      <c r="CS564" t="s">
        <v>29</v>
      </c>
      <c r="CT564">
        <v>46062</v>
      </c>
      <c r="CU564">
        <v>1</v>
      </c>
      <c r="CV564">
        <v>1</v>
      </c>
      <c r="CX564">
        <v>1</v>
      </c>
      <c r="CZ564">
        <v>2.0717592592592593E-3</v>
      </c>
      <c r="DA564">
        <v>2.0717592592592593E-3</v>
      </c>
      <c r="DB564">
        <v>1.7164351851851851E-2</v>
      </c>
      <c r="DC564">
        <v>1.6921296296296295E-2</v>
      </c>
      <c r="DD564">
        <v>56</v>
      </c>
      <c r="DE564">
        <v>106</v>
      </c>
      <c r="DF564">
        <v>10</v>
      </c>
      <c r="DG564">
        <v>1.5</v>
      </c>
      <c r="DH564">
        <v>17292</v>
      </c>
      <c r="DI564">
        <v>0.17860000000000001</v>
      </c>
      <c r="DJ564">
        <v>1</v>
      </c>
      <c r="DK564">
        <v>0.1</v>
      </c>
      <c r="DL564">
        <v>380</v>
      </c>
      <c r="DM564">
        <v>380</v>
      </c>
      <c r="DQ564">
        <v>76</v>
      </c>
    </row>
    <row r="565" spans="95:122" x14ac:dyDescent="0.25">
      <c r="CQ565" t="s">
        <v>636</v>
      </c>
      <c r="CR565" t="s">
        <v>2</v>
      </c>
      <c r="CS565" t="s">
        <v>29</v>
      </c>
      <c r="CT565">
        <v>46079</v>
      </c>
      <c r="CU565">
        <v>1</v>
      </c>
      <c r="CV565">
        <v>1</v>
      </c>
      <c r="CW565">
        <v>1</v>
      </c>
      <c r="CZ565">
        <v>1.0752314814814815E-2</v>
      </c>
      <c r="DA565">
        <v>1.0752314814814815E-2</v>
      </c>
      <c r="DB565">
        <v>0.19269675925925925</v>
      </c>
      <c r="DC565">
        <v>8.9270833333333327E-2</v>
      </c>
      <c r="DD565">
        <v>71</v>
      </c>
      <c r="DE565">
        <v>122</v>
      </c>
      <c r="DF565">
        <v>20</v>
      </c>
      <c r="DG565">
        <v>1.6</v>
      </c>
      <c r="DH565">
        <v>15705</v>
      </c>
      <c r="DI565">
        <v>0.28170000000000001</v>
      </c>
      <c r="DQ565">
        <v>76</v>
      </c>
    </row>
    <row r="566" spans="95:122" x14ac:dyDescent="0.25">
      <c r="CQ566" t="s">
        <v>636</v>
      </c>
      <c r="CR566" t="s">
        <v>2</v>
      </c>
      <c r="CS566" t="s">
        <v>25</v>
      </c>
      <c r="CT566">
        <v>46065</v>
      </c>
      <c r="CU566">
        <v>1</v>
      </c>
      <c r="CV566">
        <v>1</v>
      </c>
      <c r="CX566">
        <v>1</v>
      </c>
      <c r="CZ566">
        <v>0</v>
      </c>
      <c r="DA566">
        <v>0</v>
      </c>
      <c r="DB566">
        <v>5.3668981481481484E-2</v>
      </c>
      <c r="DC566">
        <v>3.0775462962962963E-2</v>
      </c>
      <c r="DD566">
        <v>104</v>
      </c>
      <c r="DE566">
        <v>187</v>
      </c>
      <c r="DF566">
        <v>33</v>
      </c>
      <c r="DG566" t="s">
        <v>673</v>
      </c>
      <c r="DH566">
        <v>18857</v>
      </c>
      <c r="DI566">
        <v>0.31730000000000003</v>
      </c>
      <c r="DJ566">
        <v>2</v>
      </c>
      <c r="DK566">
        <v>6.0600000000000001E-2</v>
      </c>
      <c r="DL566">
        <v>732</v>
      </c>
      <c r="DM566">
        <v>366</v>
      </c>
      <c r="DN566">
        <v>521</v>
      </c>
      <c r="DO566">
        <v>0.7117</v>
      </c>
      <c r="DP566">
        <v>0.1991</v>
      </c>
      <c r="DQ566">
        <v>76</v>
      </c>
      <c r="DR566">
        <v>521</v>
      </c>
    </row>
    <row r="567" spans="95:122" x14ac:dyDescent="0.25">
      <c r="CQ567" t="s">
        <v>636</v>
      </c>
      <c r="CR567" t="s">
        <v>2</v>
      </c>
      <c r="CS567" t="s">
        <v>25</v>
      </c>
      <c r="CT567">
        <v>46071</v>
      </c>
      <c r="CU567">
        <v>1</v>
      </c>
      <c r="CV567">
        <v>1</v>
      </c>
      <c r="CW567">
        <v>1</v>
      </c>
      <c r="CZ567">
        <v>0.19512731481481482</v>
      </c>
      <c r="DA567">
        <v>0.19512731481481482</v>
      </c>
      <c r="DB567">
        <v>9.3402777777777779E-2</v>
      </c>
      <c r="DC567">
        <v>7.0428240740740736E-2</v>
      </c>
      <c r="DD567">
        <v>44</v>
      </c>
      <c r="DE567">
        <v>77</v>
      </c>
      <c r="DF567">
        <v>15</v>
      </c>
      <c r="DG567">
        <v>1.6</v>
      </c>
      <c r="DH567">
        <v>15195</v>
      </c>
      <c r="DI567">
        <v>0.34089999999999998</v>
      </c>
      <c r="DQ567">
        <v>76</v>
      </c>
    </row>
    <row r="568" spans="95:122" x14ac:dyDescent="0.25">
      <c r="CQ568" t="s">
        <v>636</v>
      </c>
      <c r="CR568" t="s">
        <v>2</v>
      </c>
      <c r="CS568" t="s">
        <v>25</v>
      </c>
      <c r="CT568">
        <v>46079</v>
      </c>
      <c r="CU568">
        <v>1</v>
      </c>
      <c r="CV568">
        <v>1</v>
      </c>
      <c r="CW568">
        <v>1</v>
      </c>
      <c r="CZ568">
        <v>1.9849537037037037E-2</v>
      </c>
      <c r="DA568">
        <v>1.9849537037037037E-2</v>
      </c>
      <c r="DB568">
        <v>0.1388425925925926</v>
      </c>
      <c r="DC568">
        <v>0.14427083333333332</v>
      </c>
      <c r="DD568">
        <v>42</v>
      </c>
      <c r="DE568">
        <v>72</v>
      </c>
      <c r="DF568">
        <v>16</v>
      </c>
      <c r="DG568">
        <v>1.625</v>
      </c>
      <c r="DH568">
        <v>28896</v>
      </c>
      <c r="DI568">
        <v>0.38100000000000001</v>
      </c>
      <c r="DQ568">
        <v>76</v>
      </c>
    </row>
    <row r="569" spans="95:122" x14ac:dyDescent="0.25">
      <c r="CQ569" t="s">
        <v>636</v>
      </c>
      <c r="CR569" t="s">
        <v>2</v>
      </c>
      <c r="CS569" t="s">
        <v>38</v>
      </c>
      <c r="CT569">
        <v>46056</v>
      </c>
      <c r="CU569">
        <v>1</v>
      </c>
      <c r="CV569">
        <v>1</v>
      </c>
      <c r="CX569">
        <v>1</v>
      </c>
      <c r="CZ569">
        <v>2.4537037037037036E-3</v>
      </c>
      <c r="DA569">
        <v>2.4537037037037036E-3</v>
      </c>
      <c r="DB569">
        <v>8.3449074074074078E-2</v>
      </c>
      <c r="DC569">
        <v>7.407407407407407E-4</v>
      </c>
      <c r="DD569">
        <v>164</v>
      </c>
      <c r="DE569">
        <v>239</v>
      </c>
      <c r="DF569">
        <v>59</v>
      </c>
      <c r="DG569" t="s">
        <v>1113</v>
      </c>
      <c r="DH569">
        <v>16958</v>
      </c>
      <c r="DI569">
        <v>0.35980000000000001</v>
      </c>
      <c r="DJ569">
        <v>1</v>
      </c>
      <c r="DK569">
        <v>1.6899999999999998E-2</v>
      </c>
      <c r="DL569">
        <v>320</v>
      </c>
      <c r="DM569">
        <v>320</v>
      </c>
      <c r="DN569">
        <v>320</v>
      </c>
      <c r="DO569">
        <v>1</v>
      </c>
      <c r="DP569">
        <v>0.69879999999999998</v>
      </c>
      <c r="DQ569">
        <v>76</v>
      </c>
      <c r="DR569">
        <v>320</v>
      </c>
    </row>
    <row r="570" spans="95:122" x14ac:dyDescent="0.25">
      <c r="CQ570" t="s">
        <v>636</v>
      </c>
      <c r="CR570" t="s">
        <v>2</v>
      </c>
      <c r="CS570" t="s">
        <v>38</v>
      </c>
      <c r="CT570">
        <v>46065</v>
      </c>
      <c r="CU570">
        <v>1</v>
      </c>
      <c r="CV570">
        <v>1</v>
      </c>
      <c r="CX570">
        <v>1</v>
      </c>
      <c r="CZ570">
        <v>0</v>
      </c>
      <c r="DA570">
        <v>0</v>
      </c>
      <c r="DB570">
        <v>2.5011574074074075E-2</v>
      </c>
      <c r="DC570">
        <v>9.7569444444444448E-3</v>
      </c>
      <c r="DD570">
        <v>124</v>
      </c>
      <c r="DE570">
        <v>158</v>
      </c>
      <c r="DF570">
        <v>43</v>
      </c>
      <c r="DG570" t="s">
        <v>1078</v>
      </c>
      <c r="DH570">
        <v>19203</v>
      </c>
      <c r="DI570">
        <v>0.3468</v>
      </c>
      <c r="DJ570">
        <v>1</v>
      </c>
      <c r="DK570">
        <v>2.3300000000000001E-2</v>
      </c>
      <c r="DL570">
        <v>260</v>
      </c>
      <c r="DM570">
        <v>260</v>
      </c>
      <c r="DN570">
        <v>260</v>
      </c>
      <c r="DO570">
        <v>1</v>
      </c>
      <c r="DQ570">
        <v>76</v>
      </c>
      <c r="DR570">
        <v>260</v>
      </c>
    </row>
    <row r="571" spans="95:122" x14ac:dyDescent="0.25">
      <c r="CQ571" t="s">
        <v>636</v>
      </c>
      <c r="CR571" t="s">
        <v>6</v>
      </c>
      <c r="CS571" t="s">
        <v>19</v>
      </c>
      <c r="CT571">
        <v>46076</v>
      </c>
      <c r="CU571">
        <v>1</v>
      </c>
      <c r="CV571">
        <v>1</v>
      </c>
      <c r="CX571">
        <v>1</v>
      </c>
      <c r="CZ571">
        <v>0</v>
      </c>
      <c r="DA571">
        <v>0</v>
      </c>
      <c r="DB571">
        <v>0.20478009259259258</v>
      </c>
      <c r="DC571">
        <v>0.15861111111111112</v>
      </c>
      <c r="DD571">
        <v>182</v>
      </c>
      <c r="DE571">
        <v>276</v>
      </c>
      <c r="DF571">
        <v>32</v>
      </c>
      <c r="DG571">
        <v>1.90625</v>
      </c>
      <c r="DH571">
        <v>21254</v>
      </c>
      <c r="DI571">
        <v>0.17580000000000001</v>
      </c>
      <c r="DJ571">
        <v>1</v>
      </c>
      <c r="DK571">
        <v>3.1300000000000001E-2</v>
      </c>
      <c r="DL571">
        <v>280</v>
      </c>
      <c r="DM571">
        <v>280</v>
      </c>
      <c r="DN571">
        <v>280</v>
      </c>
      <c r="DO571">
        <v>1</v>
      </c>
      <c r="DP571">
        <v>0.7591</v>
      </c>
      <c r="DQ571">
        <v>76</v>
      </c>
      <c r="DR571">
        <v>280</v>
      </c>
    </row>
    <row r="572" spans="95:122" x14ac:dyDescent="0.25">
      <c r="CQ572" t="s">
        <v>636</v>
      </c>
      <c r="CR572" t="s">
        <v>6</v>
      </c>
      <c r="CS572" t="s">
        <v>81</v>
      </c>
      <c r="CT572">
        <v>46064</v>
      </c>
      <c r="CU572">
        <v>1</v>
      </c>
      <c r="CV572">
        <v>1</v>
      </c>
      <c r="CX572">
        <v>1</v>
      </c>
      <c r="CZ572">
        <v>1.1574074074074075E-4</v>
      </c>
      <c r="DA572">
        <v>1.1574074074074075E-4</v>
      </c>
      <c r="DB572">
        <v>7.6157407407407406E-3</v>
      </c>
      <c r="DC572">
        <v>0</v>
      </c>
      <c r="DD572">
        <v>87</v>
      </c>
      <c r="DE572">
        <v>157</v>
      </c>
      <c r="DF572">
        <v>13</v>
      </c>
      <c r="DG572" t="s">
        <v>743</v>
      </c>
      <c r="DH572">
        <v>38913</v>
      </c>
      <c r="DI572">
        <v>0.14940000000000001</v>
      </c>
      <c r="DJ572">
        <v>1</v>
      </c>
      <c r="DK572">
        <v>7.6899999999999996E-2</v>
      </c>
      <c r="DL572">
        <v>2000</v>
      </c>
      <c r="DM572">
        <v>2000</v>
      </c>
      <c r="DQ572">
        <v>76</v>
      </c>
    </row>
    <row r="573" spans="95:122" x14ac:dyDescent="0.25">
      <c r="CQ573" t="s">
        <v>636</v>
      </c>
      <c r="CR573" t="s">
        <v>6</v>
      </c>
      <c r="CS573" t="s">
        <v>26</v>
      </c>
      <c r="CT573">
        <v>46057</v>
      </c>
      <c r="CU573">
        <v>1</v>
      </c>
      <c r="CV573">
        <v>1</v>
      </c>
      <c r="CX573">
        <v>1</v>
      </c>
      <c r="CZ573">
        <v>5.7870370370370373E-5</v>
      </c>
      <c r="DA573">
        <v>5.7870370370370373E-5</v>
      </c>
      <c r="DB573">
        <v>5.1423611111111114E-2</v>
      </c>
      <c r="DC573">
        <v>8.726851851851852E-3</v>
      </c>
      <c r="DD573">
        <v>210</v>
      </c>
      <c r="DE573">
        <v>329</v>
      </c>
      <c r="DF573">
        <v>15</v>
      </c>
      <c r="DG573">
        <v>1.6</v>
      </c>
      <c r="DH573">
        <v>24468</v>
      </c>
      <c r="DI573">
        <v>7.1400000000000005E-2</v>
      </c>
      <c r="DJ573">
        <v>1</v>
      </c>
      <c r="DK573">
        <v>6.6699999999999995E-2</v>
      </c>
      <c r="DL573">
        <v>13000</v>
      </c>
      <c r="DM573">
        <v>13000</v>
      </c>
      <c r="DN573">
        <v>13000</v>
      </c>
      <c r="DO573">
        <v>1</v>
      </c>
      <c r="DP573">
        <v>0.1721</v>
      </c>
      <c r="DQ573">
        <v>76</v>
      </c>
      <c r="DR573">
        <v>13000</v>
      </c>
    </row>
    <row r="574" spans="95:122" x14ac:dyDescent="0.25">
      <c r="CQ574" t="s">
        <v>636</v>
      </c>
      <c r="CR574" t="s">
        <v>6</v>
      </c>
      <c r="CS574" t="s">
        <v>35</v>
      </c>
      <c r="CT574">
        <v>46072</v>
      </c>
      <c r="CU574">
        <v>1</v>
      </c>
      <c r="CV574">
        <v>1</v>
      </c>
      <c r="CX574">
        <v>1</v>
      </c>
      <c r="CZ574">
        <v>4.6296296296296294E-5</v>
      </c>
      <c r="DA574">
        <v>4.6296296296296294E-5</v>
      </c>
      <c r="DB574">
        <v>0.14719907407407407</v>
      </c>
      <c r="DC574">
        <v>0.16608796296296297</v>
      </c>
      <c r="DD574">
        <v>72</v>
      </c>
      <c r="DE574">
        <v>122</v>
      </c>
      <c r="DF574">
        <v>24</v>
      </c>
      <c r="DG574" t="s">
        <v>674</v>
      </c>
      <c r="DH574">
        <v>26341</v>
      </c>
      <c r="DI574">
        <v>0.33329999999999999</v>
      </c>
      <c r="DJ574">
        <v>1</v>
      </c>
      <c r="DK574">
        <v>4.1700000000000001E-2</v>
      </c>
      <c r="DL574">
        <v>400</v>
      </c>
      <c r="DM574">
        <v>400</v>
      </c>
      <c r="DN574">
        <v>400</v>
      </c>
      <c r="DO574">
        <v>1</v>
      </c>
      <c r="DQ574">
        <v>76</v>
      </c>
      <c r="DR574">
        <v>400</v>
      </c>
    </row>
    <row r="575" spans="95:122" x14ac:dyDescent="0.25">
      <c r="CQ575" t="s">
        <v>636</v>
      </c>
      <c r="CR575" t="s">
        <v>6</v>
      </c>
      <c r="CS575" t="s">
        <v>35</v>
      </c>
      <c r="CT575">
        <v>46076</v>
      </c>
      <c r="CU575">
        <v>1</v>
      </c>
      <c r="CV575">
        <v>1</v>
      </c>
      <c r="CX575">
        <v>1</v>
      </c>
      <c r="CZ575">
        <v>8.1018518518518516E-5</v>
      </c>
      <c r="DA575">
        <v>8.1018518518518516E-5</v>
      </c>
      <c r="DB575">
        <v>0.14324074074074075</v>
      </c>
      <c r="DC575">
        <v>0.2064236111111111</v>
      </c>
      <c r="DD575">
        <v>69</v>
      </c>
      <c r="DE575">
        <v>135</v>
      </c>
      <c r="DF575">
        <v>23</v>
      </c>
      <c r="DG575" t="s">
        <v>748</v>
      </c>
      <c r="DH575">
        <v>18328</v>
      </c>
      <c r="DI575">
        <v>0.33329999999999999</v>
      </c>
      <c r="DJ575">
        <v>1</v>
      </c>
      <c r="DK575">
        <v>4.3499999999999997E-2</v>
      </c>
      <c r="DL575">
        <v>1600</v>
      </c>
      <c r="DM575">
        <v>1600</v>
      </c>
      <c r="DN575">
        <v>1600</v>
      </c>
      <c r="DO575">
        <v>1</v>
      </c>
      <c r="DQ575">
        <v>76</v>
      </c>
      <c r="DR575">
        <v>1600</v>
      </c>
    </row>
    <row r="576" spans="95:122" x14ac:dyDescent="0.25">
      <c r="CQ576" t="s">
        <v>636</v>
      </c>
      <c r="CR576" t="s">
        <v>6</v>
      </c>
      <c r="CS576" t="s">
        <v>78</v>
      </c>
      <c r="CT576">
        <v>46070</v>
      </c>
      <c r="CU576">
        <v>1</v>
      </c>
      <c r="CV576">
        <v>1</v>
      </c>
      <c r="CX576">
        <v>1</v>
      </c>
      <c r="CZ576">
        <v>2.0833333333333335E-4</v>
      </c>
      <c r="DA576">
        <v>2.0833333333333335E-4</v>
      </c>
      <c r="DB576">
        <v>0.13667824074074075</v>
      </c>
      <c r="DC576">
        <v>0.21502314814814816</v>
      </c>
      <c r="DD576">
        <v>80</v>
      </c>
      <c r="DE576">
        <v>147</v>
      </c>
      <c r="DF576">
        <v>18</v>
      </c>
      <c r="DG576" t="s">
        <v>718</v>
      </c>
      <c r="DH576">
        <v>36332</v>
      </c>
      <c r="DI576">
        <v>0.22500000000000001</v>
      </c>
      <c r="DJ576">
        <v>2</v>
      </c>
      <c r="DK576">
        <v>0.1111</v>
      </c>
      <c r="DL576">
        <v>1060</v>
      </c>
      <c r="DM576">
        <v>530</v>
      </c>
      <c r="DN576">
        <v>260</v>
      </c>
      <c r="DO576">
        <v>0.24529999999999999</v>
      </c>
      <c r="DQ576">
        <v>76</v>
      </c>
      <c r="DR576">
        <v>260</v>
      </c>
    </row>
    <row r="577" spans="95:122" x14ac:dyDescent="0.25">
      <c r="CQ577" t="s">
        <v>636</v>
      </c>
      <c r="CR577" t="s">
        <v>6</v>
      </c>
      <c r="CS577" t="s">
        <v>78</v>
      </c>
      <c r="CT577">
        <v>46071</v>
      </c>
      <c r="CU577">
        <v>1</v>
      </c>
      <c r="CV577">
        <v>1</v>
      </c>
      <c r="CX577">
        <v>1</v>
      </c>
      <c r="CZ577">
        <v>2.199074074074074E-4</v>
      </c>
      <c r="DA577">
        <v>2.199074074074074E-4</v>
      </c>
      <c r="DB577">
        <v>0.13582175925925927</v>
      </c>
      <c r="DC577">
        <v>0.1703587962962963</v>
      </c>
      <c r="DD577">
        <v>89</v>
      </c>
      <c r="DE577">
        <v>151</v>
      </c>
      <c r="DF577">
        <v>17</v>
      </c>
      <c r="DG577" t="s">
        <v>890</v>
      </c>
      <c r="DH577">
        <v>12839</v>
      </c>
      <c r="DI577">
        <v>0.191</v>
      </c>
      <c r="DJ577">
        <v>1</v>
      </c>
      <c r="DK577">
        <v>5.8799999999999998E-2</v>
      </c>
      <c r="DL577">
        <v>305</v>
      </c>
      <c r="DM577">
        <v>305</v>
      </c>
      <c r="DN577">
        <v>305</v>
      </c>
      <c r="DO577">
        <v>1</v>
      </c>
      <c r="DQ577">
        <v>76</v>
      </c>
      <c r="DR577">
        <v>305</v>
      </c>
    </row>
    <row r="578" spans="95:122" x14ac:dyDescent="0.25">
      <c r="CQ578" t="s">
        <v>636</v>
      </c>
      <c r="CR578" t="s">
        <v>6</v>
      </c>
      <c r="CS578" t="s">
        <v>78</v>
      </c>
      <c r="CT578">
        <v>46076</v>
      </c>
      <c r="CU578">
        <v>1</v>
      </c>
      <c r="CV578">
        <v>1</v>
      </c>
      <c r="CX578">
        <v>1</v>
      </c>
      <c r="CZ578">
        <v>1.0416666666666667E-4</v>
      </c>
      <c r="DA578">
        <v>1.0416666666666667E-4</v>
      </c>
      <c r="DB578">
        <v>8.4282407407407403E-2</v>
      </c>
      <c r="DC578">
        <v>0.25598379629629631</v>
      </c>
      <c r="DD578">
        <v>63</v>
      </c>
      <c r="DE578">
        <v>150</v>
      </c>
      <c r="DF578">
        <v>26</v>
      </c>
      <c r="DG578" t="s">
        <v>727</v>
      </c>
      <c r="DH578">
        <v>14639</v>
      </c>
      <c r="DI578">
        <v>0.41270000000000001</v>
      </c>
      <c r="DJ578">
        <v>1</v>
      </c>
      <c r="DK578">
        <v>3.85E-2</v>
      </c>
      <c r="DL578">
        <v>700</v>
      </c>
      <c r="DM578">
        <v>700</v>
      </c>
      <c r="DN578">
        <v>700</v>
      </c>
      <c r="DO578">
        <v>1</v>
      </c>
      <c r="DQ578">
        <v>76</v>
      </c>
      <c r="DR578">
        <v>700</v>
      </c>
    </row>
    <row r="579" spans="95:122" x14ac:dyDescent="0.25">
      <c r="CQ579" t="s">
        <v>636</v>
      </c>
      <c r="CR579" t="s">
        <v>6</v>
      </c>
      <c r="CS579" t="s">
        <v>78</v>
      </c>
      <c r="CT579">
        <v>46077</v>
      </c>
      <c r="CU579">
        <v>1</v>
      </c>
      <c r="CV579">
        <v>1</v>
      </c>
      <c r="CX579">
        <v>1</v>
      </c>
      <c r="CZ579">
        <v>1.6203703703703703E-4</v>
      </c>
      <c r="DA579">
        <v>1.6203703703703703E-4</v>
      </c>
      <c r="DB579">
        <v>8.503472222222222E-2</v>
      </c>
      <c r="DC579">
        <v>0.26045138888888891</v>
      </c>
      <c r="DD579">
        <v>99</v>
      </c>
      <c r="DE579">
        <v>190</v>
      </c>
      <c r="DF579">
        <v>25</v>
      </c>
      <c r="DG579">
        <v>1.64</v>
      </c>
      <c r="DH579">
        <v>31562</v>
      </c>
      <c r="DI579">
        <v>0.2525</v>
      </c>
      <c r="DJ579">
        <v>3</v>
      </c>
      <c r="DK579">
        <v>0.12</v>
      </c>
      <c r="DL579">
        <v>2220</v>
      </c>
      <c r="DM579">
        <v>740</v>
      </c>
      <c r="DQ579">
        <v>76</v>
      </c>
    </row>
    <row r="580" spans="95:122" x14ac:dyDescent="0.25">
      <c r="CQ580" t="s">
        <v>636</v>
      </c>
      <c r="CR580" t="s">
        <v>6</v>
      </c>
      <c r="CS580" t="s">
        <v>78</v>
      </c>
      <c r="CT580">
        <v>46080</v>
      </c>
      <c r="CU580">
        <v>1</v>
      </c>
      <c r="CV580">
        <v>1</v>
      </c>
      <c r="CZ580">
        <v>0</v>
      </c>
      <c r="DA580">
        <v>0</v>
      </c>
      <c r="DB580">
        <v>9.5023148148148148E-2</v>
      </c>
      <c r="DC580">
        <v>0.22475694444444444</v>
      </c>
      <c r="DD580">
        <v>76</v>
      </c>
      <c r="DE580">
        <v>155</v>
      </c>
      <c r="DF580">
        <v>24</v>
      </c>
      <c r="DG580">
        <v>1.625</v>
      </c>
      <c r="DH580">
        <v>14381</v>
      </c>
      <c r="DI580">
        <v>0.31580000000000003</v>
      </c>
      <c r="DJ580">
        <v>1</v>
      </c>
      <c r="DK580">
        <v>4.1700000000000001E-2</v>
      </c>
      <c r="DL580">
        <v>1800</v>
      </c>
      <c r="DM580">
        <v>1800</v>
      </c>
      <c r="DN580">
        <v>1800</v>
      </c>
      <c r="DO580">
        <v>1</v>
      </c>
      <c r="DP580">
        <v>0.4763</v>
      </c>
      <c r="DQ580">
        <v>76</v>
      </c>
      <c r="DR580">
        <v>1800</v>
      </c>
    </row>
    <row r="581" spans="95:122" x14ac:dyDescent="0.25">
      <c r="CQ581" t="s">
        <v>636</v>
      </c>
      <c r="CR581" t="s">
        <v>3</v>
      </c>
      <c r="CS581" t="s">
        <v>22</v>
      </c>
      <c r="CT581">
        <v>46063</v>
      </c>
      <c r="CU581">
        <v>1</v>
      </c>
      <c r="CV581">
        <v>1</v>
      </c>
      <c r="CX581">
        <v>1</v>
      </c>
      <c r="CZ581">
        <v>0</v>
      </c>
      <c r="DA581">
        <v>0</v>
      </c>
      <c r="DB581">
        <v>5.1273148148148151E-2</v>
      </c>
      <c r="DC581">
        <v>1.6041666666666666E-2</v>
      </c>
      <c r="DD581">
        <v>115</v>
      </c>
      <c r="DE581">
        <v>203</v>
      </c>
      <c r="DF581">
        <v>34</v>
      </c>
      <c r="DG581" t="s">
        <v>821</v>
      </c>
      <c r="DH581">
        <v>25085</v>
      </c>
      <c r="DI581">
        <v>0.29570000000000002</v>
      </c>
      <c r="DJ581">
        <v>1</v>
      </c>
      <c r="DK581">
        <v>2.9399999999999999E-2</v>
      </c>
      <c r="DL581">
        <v>600</v>
      </c>
      <c r="DM581">
        <v>600</v>
      </c>
      <c r="DQ581">
        <v>76</v>
      </c>
    </row>
    <row r="582" spans="95:122" x14ac:dyDescent="0.25">
      <c r="CQ582" t="s">
        <v>636</v>
      </c>
      <c r="CR582" t="s">
        <v>3</v>
      </c>
      <c r="CS582" t="s">
        <v>32</v>
      </c>
      <c r="CT582">
        <v>46055</v>
      </c>
      <c r="CU582">
        <v>1</v>
      </c>
      <c r="CV582">
        <v>1</v>
      </c>
      <c r="CX582">
        <v>1</v>
      </c>
      <c r="CZ582">
        <v>2.199074074074074E-4</v>
      </c>
      <c r="DA582">
        <v>2.199074074074074E-4</v>
      </c>
      <c r="DB582">
        <v>3.8912037037037037E-2</v>
      </c>
      <c r="DC582">
        <v>2.3460648148148147E-2</v>
      </c>
      <c r="DD582">
        <v>58</v>
      </c>
      <c r="DE582">
        <v>135</v>
      </c>
      <c r="DF582">
        <v>31</v>
      </c>
      <c r="DG582" t="s">
        <v>833</v>
      </c>
      <c r="DH582">
        <v>25336</v>
      </c>
      <c r="DI582">
        <v>0.53449999999999998</v>
      </c>
      <c r="DJ582">
        <v>16</v>
      </c>
      <c r="DK582">
        <v>0.5161</v>
      </c>
      <c r="DL582">
        <v>7558</v>
      </c>
      <c r="DM582">
        <v>472</v>
      </c>
      <c r="DN582">
        <v>4865</v>
      </c>
      <c r="DO582">
        <v>0.64370000000000005</v>
      </c>
      <c r="DQ582">
        <v>76</v>
      </c>
      <c r="DR582">
        <v>442</v>
      </c>
    </row>
    <row r="583" spans="95:122" x14ac:dyDescent="0.25">
      <c r="CQ583" t="s">
        <v>636</v>
      </c>
      <c r="CR583" t="s">
        <v>3</v>
      </c>
      <c r="CS583" t="s">
        <v>32</v>
      </c>
      <c r="CT583">
        <v>46057</v>
      </c>
      <c r="CU583">
        <v>1</v>
      </c>
      <c r="CV583">
        <v>1</v>
      </c>
      <c r="CW583">
        <v>1</v>
      </c>
      <c r="CZ583">
        <v>5.4166666666666669E-3</v>
      </c>
      <c r="DA583">
        <v>5.4166666666666669E-3</v>
      </c>
      <c r="DB583">
        <v>3.4340277777777775E-2</v>
      </c>
      <c r="DC583">
        <v>5.8101851851851856E-3</v>
      </c>
      <c r="DD583">
        <v>111</v>
      </c>
      <c r="DE583">
        <v>220</v>
      </c>
      <c r="DF583">
        <v>20</v>
      </c>
      <c r="DG583">
        <v>1.8</v>
      </c>
      <c r="DH583">
        <v>38594</v>
      </c>
      <c r="DI583">
        <v>0.1802</v>
      </c>
      <c r="DJ583">
        <v>1</v>
      </c>
      <c r="DK583">
        <v>0.05</v>
      </c>
      <c r="DL583">
        <v>450</v>
      </c>
      <c r="DM583">
        <v>450</v>
      </c>
      <c r="DN583">
        <v>485</v>
      </c>
      <c r="DO583">
        <v>1.0778000000000001</v>
      </c>
      <c r="DP583">
        <v>0.1956</v>
      </c>
      <c r="DQ583">
        <v>76</v>
      </c>
      <c r="DR583">
        <v>485</v>
      </c>
    </row>
    <row r="584" spans="95:122" x14ac:dyDescent="0.25">
      <c r="CQ584" t="s">
        <v>636</v>
      </c>
      <c r="CR584" t="s">
        <v>3</v>
      </c>
      <c r="CS584" t="s">
        <v>32</v>
      </c>
      <c r="CT584">
        <v>46066</v>
      </c>
      <c r="CU584">
        <v>1</v>
      </c>
      <c r="CV584">
        <v>1</v>
      </c>
      <c r="CX584">
        <v>1</v>
      </c>
      <c r="CZ584">
        <v>2.7777777777777778E-4</v>
      </c>
      <c r="DA584">
        <v>2.7777777777777778E-4</v>
      </c>
      <c r="DB584">
        <v>0.1049537037037037</v>
      </c>
      <c r="DC584">
        <v>0.11003472222222223</v>
      </c>
      <c r="DD584">
        <v>104</v>
      </c>
      <c r="DE584">
        <v>230</v>
      </c>
      <c r="DF584">
        <v>21</v>
      </c>
      <c r="DG584" t="s">
        <v>962</v>
      </c>
      <c r="DH584">
        <v>30522</v>
      </c>
      <c r="DI584">
        <v>0.2019</v>
      </c>
      <c r="DJ584">
        <v>1</v>
      </c>
      <c r="DK584">
        <v>4.7600000000000003E-2</v>
      </c>
      <c r="DL584">
        <v>3990</v>
      </c>
      <c r="DM584">
        <v>3990</v>
      </c>
      <c r="DQ584">
        <v>76</v>
      </c>
    </row>
    <row r="585" spans="95:122" x14ac:dyDescent="0.25">
      <c r="CQ585" t="s">
        <v>636</v>
      </c>
      <c r="CR585" t="s">
        <v>3</v>
      </c>
      <c r="CS585" t="s">
        <v>32</v>
      </c>
      <c r="CT585">
        <v>46081</v>
      </c>
      <c r="CU585">
        <v>1</v>
      </c>
      <c r="CV585">
        <v>1</v>
      </c>
      <c r="CX585">
        <v>1</v>
      </c>
      <c r="CZ585">
        <v>4.1666666666666669E-4</v>
      </c>
      <c r="DA585">
        <v>4.1666666666666669E-4</v>
      </c>
      <c r="DB585">
        <v>9.3865740740740736E-2</v>
      </c>
      <c r="DC585">
        <v>0.10498842592592593</v>
      </c>
      <c r="DD585">
        <v>40</v>
      </c>
      <c r="DE585">
        <v>76</v>
      </c>
      <c r="DF585">
        <v>16</v>
      </c>
      <c r="DG585">
        <v>1.6875</v>
      </c>
      <c r="DH585">
        <v>21518</v>
      </c>
      <c r="DI585">
        <v>0.4</v>
      </c>
      <c r="DJ585">
        <v>1</v>
      </c>
      <c r="DK585">
        <v>6.25E-2</v>
      </c>
      <c r="DL585">
        <v>361</v>
      </c>
      <c r="DM585">
        <v>361</v>
      </c>
      <c r="DN585">
        <v>361</v>
      </c>
      <c r="DO585">
        <v>1</v>
      </c>
      <c r="DQ585">
        <v>76</v>
      </c>
      <c r="DR585">
        <v>361</v>
      </c>
    </row>
    <row r="586" spans="95:122" x14ac:dyDescent="0.25">
      <c r="CQ586" t="s">
        <v>636</v>
      </c>
      <c r="CR586" t="s">
        <v>124</v>
      </c>
      <c r="CS586" t="s">
        <v>174</v>
      </c>
      <c r="CT586">
        <v>46065</v>
      </c>
      <c r="CU586">
        <v>1</v>
      </c>
      <c r="CV586">
        <v>1</v>
      </c>
      <c r="CX586">
        <v>1</v>
      </c>
      <c r="CZ586">
        <v>2.3148148148148147E-5</v>
      </c>
      <c r="DA586">
        <v>2.3148148148148147E-5</v>
      </c>
      <c r="DB586">
        <v>4.8368055555555553E-2</v>
      </c>
      <c r="DC586">
        <v>1.7349537037037038E-2</v>
      </c>
      <c r="DD586">
        <v>246</v>
      </c>
      <c r="DE586">
        <v>337</v>
      </c>
      <c r="DF586">
        <v>29</v>
      </c>
      <c r="DG586" t="s">
        <v>867</v>
      </c>
      <c r="DH586">
        <v>17906</v>
      </c>
      <c r="DI586">
        <v>0.1179</v>
      </c>
      <c r="DQ586">
        <v>74</v>
      </c>
    </row>
    <row r="587" spans="95:122" x14ac:dyDescent="0.25">
      <c r="CQ587" t="s">
        <v>636</v>
      </c>
      <c r="CR587" t="s">
        <v>124</v>
      </c>
      <c r="CS587" t="s">
        <v>495</v>
      </c>
      <c r="CT587">
        <v>46062</v>
      </c>
      <c r="CU587">
        <v>1</v>
      </c>
      <c r="CV587">
        <v>1</v>
      </c>
      <c r="CX587">
        <v>1</v>
      </c>
      <c r="CZ587">
        <v>0</v>
      </c>
      <c r="DA587">
        <v>0</v>
      </c>
      <c r="DB587">
        <v>3.3935185185185186E-2</v>
      </c>
      <c r="DC587">
        <v>1.6631944444444446E-2</v>
      </c>
      <c r="DD587">
        <v>129</v>
      </c>
      <c r="DE587">
        <v>230</v>
      </c>
      <c r="DF587">
        <v>24</v>
      </c>
      <c r="DG587">
        <v>1.625</v>
      </c>
      <c r="DH587">
        <v>16556</v>
      </c>
      <c r="DI587">
        <v>0.186</v>
      </c>
      <c r="DQ587">
        <v>74</v>
      </c>
    </row>
    <row r="588" spans="95:122" x14ac:dyDescent="0.25">
      <c r="CQ588" t="s">
        <v>636</v>
      </c>
      <c r="CR588" t="s">
        <v>124</v>
      </c>
      <c r="CS588" t="s">
        <v>493</v>
      </c>
      <c r="CT588">
        <v>46057</v>
      </c>
      <c r="CU588">
        <v>1</v>
      </c>
      <c r="CV588">
        <v>1</v>
      </c>
      <c r="CX588">
        <v>1</v>
      </c>
      <c r="CZ588">
        <v>0</v>
      </c>
      <c r="DA588">
        <v>0</v>
      </c>
      <c r="DB588">
        <v>2.9629629629629631E-2</v>
      </c>
      <c r="DC588">
        <v>2.8344907407407409E-2</v>
      </c>
      <c r="DD588">
        <v>220</v>
      </c>
      <c r="DE588">
        <v>320</v>
      </c>
      <c r="DF588">
        <v>67</v>
      </c>
      <c r="DG588" t="s">
        <v>1114</v>
      </c>
      <c r="DH588">
        <v>11447</v>
      </c>
      <c r="DI588">
        <v>0.30449999999999999</v>
      </c>
      <c r="DJ588">
        <v>2</v>
      </c>
      <c r="DK588">
        <v>2.9899999999999999E-2</v>
      </c>
      <c r="DL588">
        <v>355</v>
      </c>
      <c r="DM588">
        <v>178</v>
      </c>
      <c r="DQ588">
        <v>74</v>
      </c>
    </row>
    <row r="589" spans="95:122" x14ac:dyDescent="0.25">
      <c r="CQ589" t="s">
        <v>636</v>
      </c>
      <c r="CR589" t="s">
        <v>124</v>
      </c>
      <c r="CS589" t="s">
        <v>493</v>
      </c>
      <c r="CT589">
        <v>46065</v>
      </c>
      <c r="CU589">
        <v>1</v>
      </c>
      <c r="CV589">
        <v>1</v>
      </c>
      <c r="CX589">
        <v>1</v>
      </c>
      <c r="CZ589">
        <v>6.9444444444444444E-5</v>
      </c>
      <c r="DA589">
        <v>6.9444444444444444E-5</v>
      </c>
      <c r="DB589">
        <v>0</v>
      </c>
      <c r="DC589">
        <v>9.6527777777777775E-3</v>
      </c>
      <c r="DD589">
        <v>140</v>
      </c>
      <c r="DE589">
        <v>215</v>
      </c>
      <c r="DF589">
        <v>50</v>
      </c>
      <c r="DG589">
        <v>1.66</v>
      </c>
      <c r="DH589">
        <v>14669</v>
      </c>
      <c r="DI589">
        <v>0.35709999999999997</v>
      </c>
      <c r="DQ589">
        <v>74</v>
      </c>
    </row>
    <row r="590" spans="95:122" x14ac:dyDescent="0.25">
      <c r="CQ590" t="s">
        <v>636</v>
      </c>
      <c r="CR590" t="s">
        <v>124</v>
      </c>
      <c r="CS590" t="s">
        <v>493</v>
      </c>
      <c r="CT590">
        <v>46072</v>
      </c>
      <c r="CU590">
        <v>1</v>
      </c>
      <c r="CV590">
        <v>1</v>
      </c>
      <c r="CX590">
        <v>1</v>
      </c>
      <c r="CZ590">
        <v>0</v>
      </c>
      <c r="DA590">
        <v>0</v>
      </c>
      <c r="DB590">
        <v>0.22520833333333334</v>
      </c>
      <c r="DC590">
        <v>0.12798611111111111</v>
      </c>
      <c r="DD590">
        <v>185</v>
      </c>
      <c r="DE590">
        <v>231</v>
      </c>
      <c r="DF590">
        <v>55</v>
      </c>
      <c r="DG590" t="s">
        <v>1115</v>
      </c>
      <c r="DH590">
        <v>18322</v>
      </c>
      <c r="DI590">
        <v>0.29730000000000001</v>
      </c>
      <c r="DQ590">
        <v>74</v>
      </c>
    </row>
    <row r="591" spans="95:122" x14ac:dyDescent="0.25">
      <c r="CQ591" t="s">
        <v>636</v>
      </c>
      <c r="CR591" t="s">
        <v>124</v>
      </c>
      <c r="CS591" t="s">
        <v>51</v>
      </c>
      <c r="CT591">
        <v>46063</v>
      </c>
      <c r="CU591">
        <v>1</v>
      </c>
      <c r="CV591">
        <v>1</v>
      </c>
      <c r="CX591">
        <v>1</v>
      </c>
      <c r="CZ591">
        <v>2.3958333333333331E-3</v>
      </c>
      <c r="DA591">
        <v>2.3958333333333331E-3</v>
      </c>
      <c r="DB591">
        <v>2.133101851851852E-2</v>
      </c>
      <c r="DC591">
        <v>3.09375E-2</v>
      </c>
      <c r="DD591">
        <v>113</v>
      </c>
      <c r="DE591">
        <v>246</v>
      </c>
      <c r="DF591">
        <v>14</v>
      </c>
      <c r="DG591">
        <v>2</v>
      </c>
      <c r="DH591">
        <v>37879</v>
      </c>
      <c r="DI591">
        <v>0.1239</v>
      </c>
      <c r="DJ591">
        <v>1</v>
      </c>
      <c r="DK591">
        <v>7.1400000000000005E-2</v>
      </c>
      <c r="DL591">
        <v>7500</v>
      </c>
      <c r="DM591">
        <v>7500</v>
      </c>
      <c r="DQ591">
        <v>74</v>
      </c>
    </row>
    <row r="592" spans="95:122" x14ac:dyDescent="0.25">
      <c r="CQ592" t="s">
        <v>636</v>
      </c>
      <c r="CR592" t="s">
        <v>124</v>
      </c>
      <c r="CS592" t="s">
        <v>51</v>
      </c>
      <c r="CT592">
        <v>46072</v>
      </c>
      <c r="CU592">
        <v>1</v>
      </c>
      <c r="CV592">
        <v>1</v>
      </c>
      <c r="CX592">
        <v>1</v>
      </c>
      <c r="CZ592">
        <v>1.8518518518518518E-4</v>
      </c>
      <c r="DA592">
        <v>1.8518518518518518E-4</v>
      </c>
      <c r="DB592">
        <v>0.22166666666666668</v>
      </c>
      <c r="DC592">
        <v>0.10273148148148148</v>
      </c>
      <c r="DD592">
        <v>112</v>
      </c>
      <c r="DE592">
        <v>229</v>
      </c>
      <c r="DF592">
        <v>4</v>
      </c>
      <c r="DG592">
        <v>1</v>
      </c>
      <c r="DH592">
        <v>52796</v>
      </c>
      <c r="DI592">
        <v>3.5700000000000003E-2</v>
      </c>
      <c r="DQ592">
        <v>74</v>
      </c>
    </row>
    <row r="593" spans="95:122" x14ac:dyDescent="0.25">
      <c r="CQ593" t="s">
        <v>636</v>
      </c>
      <c r="CR593" t="s">
        <v>124</v>
      </c>
      <c r="CS593" t="s">
        <v>49</v>
      </c>
      <c r="CT593">
        <v>46072</v>
      </c>
      <c r="CU593">
        <v>1</v>
      </c>
      <c r="CV593">
        <v>1</v>
      </c>
      <c r="CX593">
        <v>1</v>
      </c>
      <c r="CZ593">
        <v>0</v>
      </c>
      <c r="DA593">
        <v>0</v>
      </c>
      <c r="DB593">
        <v>0.21502314814814816</v>
      </c>
      <c r="DC593">
        <v>0.12309027777777778</v>
      </c>
      <c r="DD593">
        <v>76</v>
      </c>
      <c r="DE593">
        <v>121</v>
      </c>
      <c r="DF593">
        <v>17</v>
      </c>
      <c r="DG593" t="s">
        <v>728</v>
      </c>
      <c r="DH593">
        <v>10461</v>
      </c>
      <c r="DI593">
        <v>0.22370000000000001</v>
      </c>
      <c r="DQ593">
        <v>74</v>
      </c>
    </row>
    <row r="594" spans="95:122" x14ac:dyDescent="0.25">
      <c r="CQ594" t="s">
        <v>636</v>
      </c>
      <c r="CR594" t="s">
        <v>124</v>
      </c>
      <c r="CS594" t="s">
        <v>549</v>
      </c>
      <c r="CT594">
        <v>46072</v>
      </c>
      <c r="CU594">
        <v>1</v>
      </c>
      <c r="CV594">
        <v>1</v>
      </c>
      <c r="CX594">
        <v>1</v>
      </c>
      <c r="CZ594">
        <v>3.9351851851851852E-4</v>
      </c>
      <c r="DA594">
        <v>3.9351851851851852E-4</v>
      </c>
      <c r="DB594">
        <v>0.2170138888888889</v>
      </c>
      <c r="DC594">
        <v>0.12413194444444445</v>
      </c>
      <c r="DD594">
        <v>176</v>
      </c>
      <c r="DE594">
        <v>240</v>
      </c>
      <c r="DF594">
        <v>24</v>
      </c>
      <c r="DG594" t="s">
        <v>919</v>
      </c>
      <c r="DH594">
        <v>20024</v>
      </c>
      <c r="DI594">
        <v>0.13639999999999999</v>
      </c>
      <c r="DQ594">
        <v>74</v>
      </c>
    </row>
    <row r="595" spans="95:122" x14ac:dyDescent="0.25">
      <c r="CQ595" t="s">
        <v>636</v>
      </c>
      <c r="CR595" t="s">
        <v>124</v>
      </c>
      <c r="CS595" t="s">
        <v>77</v>
      </c>
      <c r="CT595">
        <v>46070</v>
      </c>
      <c r="CU595">
        <v>1</v>
      </c>
      <c r="CV595">
        <v>1</v>
      </c>
      <c r="CX595">
        <v>1</v>
      </c>
      <c r="CZ595">
        <v>0</v>
      </c>
      <c r="DA595">
        <v>0</v>
      </c>
      <c r="DB595">
        <v>0.20619212962962963</v>
      </c>
      <c r="DC595">
        <v>0.15114583333333334</v>
      </c>
      <c r="DD595">
        <v>117</v>
      </c>
      <c r="DE595">
        <v>228</v>
      </c>
      <c r="DF595">
        <v>37</v>
      </c>
      <c r="DG595" t="s">
        <v>1027</v>
      </c>
      <c r="DH595">
        <v>13069</v>
      </c>
      <c r="DI595">
        <v>0.31619999999999998</v>
      </c>
      <c r="DJ595">
        <v>1</v>
      </c>
      <c r="DK595">
        <v>2.7E-2</v>
      </c>
      <c r="DL595">
        <v>300</v>
      </c>
      <c r="DM595">
        <v>300</v>
      </c>
      <c r="DQ595">
        <v>74</v>
      </c>
    </row>
    <row r="596" spans="95:122" x14ac:dyDescent="0.25">
      <c r="CQ596" t="s">
        <v>636</v>
      </c>
      <c r="CR596" t="s">
        <v>124</v>
      </c>
      <c r="CS596" t="s">
        <v>55</v>
      </c>
      <c r="CT596">
        <v>46062</v>
      </c>
      <c r="CU596">
        <v>1</v>
      </c>
      <c r="CV596">
        <v>1</v>
      </c>
      <c r="CX596">
        <v>1</v>
      </c>
      <c r="CZ596">
        <v>4.6296296296296294E-5</v>
      </c>
      <c r="DA596">
        <v>4.6296296296296294E-5</v>
      </c>
      <c r="DB596">
        <v>1.1805555555555556E-3</v>
      </c>
      <c r="DC596">
        <v>2.7152777777777779E-2</v>
      </c>
      <c r="DD596">
        <v>102</v>
      </c>
      <c r="DE596">
        <v>317</v>
      </c>
      <c r="DF596">
        <v>12</v>
      </c>
      <c r="DG596" t="s">
        <v>781</v>
      </c>
      <c r="DH596">
        <v>2510</v>
      </c>
      <c r="DI596">
        <v>0.1176</v>
      </c>
      <c r="DQ596">
        <v>74</v>
      </c>
    </row>
    <row r="597" spans="95:122" x14ac:dyDescent="0.25">
      <c r="CQ597" t="s">
        <v>636</v>
      </c>
      <c r="CR597" t="s">
        <v>124</v>
      </c>
      <c r="CS597" t="s">
        <v>544</v>
      </c>
      <c r="CT597">
        <v>46062</v>
      </c>
      <c r="CU597">
        <v>1</v>
      </c>
      <c r="CV597">
        <v>1</v>
      </c>
      <c r="CX597">
        <v>1</v>
      </c>
      <c r="CZ597">
        <v>0</v>
      </c>
      <c r="DA597">
        <v>0</v>
      </c>
      <c r="DB597">
        <v>2.4131944444444445E-2</v>
      </c>
      <c r="DC597">
        <v>2.0925925925925924E-2</v>
      </c>
      <c r="DD597">
        <v>117</v>
      </c>
      <c r="DE597">
        <v>191</v>
      </c>
      <c r="DF597">
        <v>29</v>
      </c>
      <c r="DG597" t="s">
        <v>945</v>
      </c>
      <c r="DH597">
        <v>12185</v>
      </c>
      <c r="DI597">
        <v>0.24790000000000001</v>
      </c>
      <c r="DQ597">
        <v>74</v>
      </c>
    </row>
    <row r="598" spans="95:122" x14ac:dyDescent="0.25">
      <c r="CQ598" t="s">
        <v>636</v>
      </c>
      <c r="CR598" t="s">
        <v>124</v>
      </c>
      <c r="CS598" t="s">
        <v>544</v>
      </c>
      <c r="CT598">
        <v>46072</v>
      </c>
      <c r="CU598">
        <v>1</v>
      </c>
      <c r="CV598">
        <v>1</v>
      </c>
      <c r="CX598">
        <v>1</v>
      </c>
      <c r="CZ598">
        <v>3.4722222222222224E-4</v>
      </c>
      <c r="DA598">
        <v>3.4722222222222224E-4</v>
      </c>
      <c r="DB598">
        <v>0.18815972222222221</v>
      </c>
      <c r="DC598">
        <v>0.13290509259259259</v>
      </c>
      <c r="DD598">
        <v>207</v>
      </c>
      <c r="DE598">
        <v>278</v>
      </c>
      <c r="DF598">
        <v>32</v>
      </c>
      <c r="DG598">
        <v>1.5</v>
      </c>
      <c r="DH598">
        <v>23959</v>
      </c>
      <c r="DI598">
        <v>0.15459999999999999</v>
      </c>
      <c r="DQ598">
        <v>74</v>
      </c>
    </row>
    <row r="599" spans="95:122" x14ac:dyDescent="0.25">
      <c r="CQ599" t="s">
        <v>636</v>
      </c>
      <c r="CR599" t="s">
        <v>124</v>
      </c>
      <c r="CS599" t="s">
        <v>73</v>
      </c>
      <c r="CT599">
        <v>46066</v>
      </c>
      <c r="CU599">
        <v>1</v>
      </c>
      <c r="CV599">
        <v>1</v>
      </c>
      <c r="CX599">
        <v>1</v>
      </c>
      <c r="CZ599">
        <v>1.0416666666666667E-4</v>
      </c>
      <c r="DA599">
        <v>1.0416666666666667E-4</v>
      </c>
      <c r="DB599">
        <v>0.30244212962962963</v>
      </c>
      <c r="DC599">
        <v>7.2905092592592591E-2</v>
      </c>
      <c r="DD599">
        <v>46</v>
      </c>
      <c r="DE599">
        <v>81</v>
      </c>
      <c r="DF599">
        <v>13</v>
      </c>
      <c r="DG599" t="s">
        <v>799</v>
      </c>
      <c r="DH599">
        <v>12806</v>
      </c>
      <c r="DI599">
        <v>0.28260000000000002</v>
      </c>
      <c r="DJ599">
        <v>1</v>
      </c>
      <c r="DK599">
        <v>7.6899999999999996E-2</v>
      </c>
      <c r="DL599">
        <v>200</v>
      </c>
      <c r="DM599">
        <v>200</v>
      </c>
      <c r="DQ599">
        <v>74</v>
      </c>
    </row>
    <row r="600" spans="95:122" x14ac:dyDescent="0.25">
      <c r="CQ600" t="s">
        <v>636</v>
      </c>
      <c r="CR600" t="s">
        <v>124</v>
      </c>
      <c r="CS600" t="s">
        <v>73</v>
      </c>
      <c r="CT600">
        <v>46072</v>
      </c>
      <c r="CU600">
        <v>1</v>
      </c>
      <c r="CV600">
        <v>1</v>
      </c>
      <c r="CX600">
        <v>1</v>
      </c>
      <c r="CZ600">
        <v>1.6203703703703703E-4</v>
      </c>
      <c r="DA600">
        <v>1.6203703703703703E-4</v>
      </c>
      <c r="DB600">
        <v>0.2285300925925926</v>
      </c>
      <c r="DC600">
        <v>0.14753472222222222</v>
      </c>
      <c r="DD600">
        <v>82</v>
      </c>
      <c r="DE600">
        <v>143</v>
      </c>
      <c r="DF600">
        <v>17</v>
      </c>
      <c r="DG600" t="s">
        <v>804</v>
      </c>
      <c r="DH600">
        <v>10668</v>
      </c>
      <c r="DI600">
        <v>0.20730000000000001</v>
      </c>
      <c r="DQ600">
        <v>74</v>
      </c>
    </row>
    <row r="601" spans="95:122" x14ac:dyDescent="0.25">
      <c r="CQ601" t="s">
        <v>636</v>
      </c>
      <c r="CR601" t="s">
        <v>124</v>
      </c>
      <c r="CS601" t="s">
        <v>48</v>
      </c>
      <c r="CT601">
        <v>46062</v>
      </c>
      <c r="CU601">
        <v>1</v>
      </c>
      <c r="CV601">
        <v>1</v>
      </c>
      <c r="CX601">
        <v>1</v>
      </c>
      <c r="CZ601">
        <v>0</v>
      </c>
      <c r="DA601">
        <v>0</v>
      </c>
      <c r="DB601">
        <v>1.8738425925925926E-2</v>
      </c>
      <c r="DC601">
        <v>1.7800925925925925E-2</v>
      </c>
      <c r="DD601">
        <v>80</v>
      </c>
      <c r="DE601">
        <v>107</v>
      </c>
      <c r="DF601">
        <v>21</v>
      </c>
      <c r="DG601" t="s">
        <v>850</v>
      </c>
      <c r="DH601">
        <v>7374</v>
      </c>
      <c r="DI601">
        <v>0.26250000000000001</v>
      </c>
      <c r="DQ601">
        <v>74</v>
      </c>
    </row>
    <row r="602" spans="95:122" x14ac:dyDescent="0.25">
      <c r="CQ602" t="s">
        <v>636</v>
      </c>
      <c r="CR602" t="s">
        <v>125</v>
      </c>
      <c r="CS602" t="s">
        <v>18</v>
      </c>
      <c r="CT602">
        <v>46057</v>
      </c>
      <c r="CU602">
        <v>1</v>
      </c>
      <c r="CV602">
        <v>1</v>
      </c>
      <c r="CX602">
        <v>1</v>
      </c>
      <c r="CZ602">
        <v>3.4722222222222222E-5</v>
      </c>
      <c r="DA602">
        <v>3.4722222222222222E-5</v>
      </c>
      <c r="DB602">
        <v>6.0150462962962961E-2</v>
      </c>
      <c r="DC602">
        <v>2.388888888888889E-2</v>
      </c>
      <c r="DD602">
        <v>195</v>
      </c>
      <c r="DE602">
        <v>312</v>
      </c>
      <c r="DF602">
        <v>21</v>
      </c>
      <c r="DG602" t="s">
        <v>1009</v>
      </c>
      <c r="DH602">
        <v>25083</v>
      </c>
      <c r="DI602">
        <v>0.1077</v>
      </c>
      <c r="DJ602">
        <v>1</v>
      </c>
      <c r="DK602">
        <v>4.7600000000000003E-2</v>
      </c>
      <c r="DL602">
        <v>2000</v>
      </c>
      <c r="DM602">
        <v>2000</v>
      </c>
      <c r="DN602">
        <v>2000</v>
      </c>
      <c r="DO602">
        <v>1</v>
      </c>
      <c r="DP602">
        <v>0.1353</v>
      </c>
      <c r="DQ602">
        <v>74</v>
      </c>
      <c r="DR602">
        <v>2000</v>
      </c>
    </row>
    <row r="603" spans="95:122" x14ac:dyDescent="0.25">
      <c r="CQ603" t="s">
        <v>636</v>
      </c>
      <c r="CR603" t="s">
        <v>125</v>
      </c>
      <c r="CS603" t="s">
        <v>18</v>
      </c>
      <c r="CT603">
        <v>46063</v>
      </c>
      <c r="CU603">
        <v>1</v>
      </c>
      <c r="CV603">
        <v>1</v>
      </c>
      <c r="CX603">
        <v>1</v>
      </c>
      <c r="CZ603">
        <v>3.4722222222222222E-5</v>
      </c>
      <c r="DA603">
        <v>3.4722222222222222E-5</v>
      </c>
      <c r="DB603">
        <v>5.3912037037037036E-2</v>
      </c>
      <c r="DC603">
        <v>2.5405092592592594E-2</v>
      </c>
      <c r="DD603">
        <v>191</v>
      </c>
      <c r="DE603">
        <v>422</v>
      </c>
      <c r="DF603">
        <v>30</v>
      </c>
      <c r="DG603">
        <v>1.3</v>
      </c>
      <c r="DH603">
        <v>16759</v>
      </c>
      <c r="DI603">
        <v>0.15709999999999999</v>
      </c>
      <c r="DQ603">
        <v>74</v>
      </c>
    </row>
    <row r="604" spans="95:122" x14ac:dyDescent="0.25">
      <c r="CQ604" t="s">
        <v>636</v>
      </c>
      <c r="CR604" t="s">
        <v>125</v>
      </c>
      <c r="CS604" t="s">
        <v>18</v>
      </c>
      <c r="CT604">
        <v>46070</v>
      </c>
      <c r="CU604">
        <v>1</v>
      </c>
      <c r="CV604">
        <v>1</v>
      </c>
      <c r="CX604">
        <v>1</v>
      </c>
      <c r="CZ604">
        <v>8.1018518518518516E-5</v>
      </c>
      <c r="DA604">
        <v>8.1018518518518516E-5</v>
      </c>
      <c r="DB604">
        <v>0.20244212962962962</v>
      </c>
      <c r="DC604">
        <v>0.1280324074074074</v>
      </c>
      <c r="DD604">
        <v>154</v>
      </c>
      <c r="DE604">
        <v>304</v>
      </c>
      <c r="DF604">
        <v>27</v>
      </c>
      <c r="DG604" t="s">
        <v>767</v>
      </c>
      <c r="DH604">
        <v>26825</v>
      </c>
      <c r="DI604">
        <v>0.17530000000000001</v>
      </c>
      <c r="DQ604">
        <v>74</v>
      </c>
    </row>
    <row r="605" spans="95:122" x14ac:dyDescent="0.25">
      <c r="CQ605" t="s">
        <v>636</v>
      </c>
      <c r="CR605" t="s">
        <v>125</v>
      </c>
      <c r="CS605" t="s">
        <v>109</v>
      </c>
      <c r="CT605">
        <v>46063</v>
      </c>
      <c r="CU605">
        <v>1</v>
      </c>
      <c r="CV605">
        <v>1</v>
      </c>
      <c r="CX605">
        <v>1</v>
      </c>
      <c r="CZ605">
        <v>2.4074074074074076E-3</v>
      </c>
      <c r="DA605">
        <v>2.4074074074074076E-3</v>
      </c>
      <c r="DB605">
        <v>3.0266203703703705E-2</v>
      </c>
      <c r="DC605">
        <v>2.5347222222222221E-3</v>
      </c>
      <c r="DD605">
        <v>140</v>
      </c>
      <c r="DE605">
        <v>231</v>
      </c>
      <c r="DF605">
        <v>18</v>
      </c>
      <c r="DG605" t="s">
        <v>749</v>
      </c>
      <c r="DH605">
        <v>23466</v>
      </c>
      <c r="DI605">
        <v>0.12859999999999999</v>
      </c>
      <c r="DQ605">
        <v>74</v>
      </c>
    </row>
    <row r="606" spans="95:122" x14ac:dyDescent="0.25">
      <c r="CQ606" t="s">
        <v>636</v>
      </c>
      <c r="CR606" t="s">
        <v>125</v>
      </c>
      <c r="CS606" t="s">
        <v>60</v>
      </c>
      <c r="CT606">
        <v>46063</v>
      </c>
      <c r="CU606">
        <v>1</v>
      </c>
      <c r="CV606">
        <v>1</v>
      </c>
      <c r="CX606">
        <v>1</v>
      </c>
      <c r="CZ606">
        <v>3.4722222222222222E-5</v>
      </c>
      <c r="DA606">
        <v>3.4722222222222222E-5</v>
      </c>
      <c r="DB606">
        <v>1.7488425925925925E-2</v>
      </c>
      <c r="DC606">
        <v>1.7662037037037039E-2</v>
      </c>
      <c r="DD606">
        <v>124</v>
      </c>
      <c r="DE606">
        <v>198</v>
      </c>
      <c r="DF606">
        <v>17</v>
      </c>
      <c r="DG606" t="s">
        <v>670</v>
      </c>
      <c r="DH606">
        <v>36555</v>
      </c>
      <c r="DI606">
        <v>0.1371</v>
      </c>
      <c r="DQ606">
        <v>74</v>
      </c>
    </row>
    <row r="607" spans="95:122" x14ac:dyDescent="0.25">
      <c r="CQ607" t="s">
        <v>636</v>
      </c>
      <c r="CR607" t="s">
        <v>125</v>
      </c>
      <c r="CS607" t="s">
        <v>85</v>
      </c>
      <c r="CT607">
        <v>46070</v>
      </c>
      <c r="CU607">
        <v>1</v>
      </c>
      <c r="CV607">
        <v>1</v>
      </c>
      <c r="CX607">
        <v>1</v>
      </c>
      <c r="CZ607">
        <v>0</v>
      </c>
      <c r="DA607">
        <v>0</v>
      </c>
      <c r="DB607">
        <v>0.21851851851851853</v>
      </c>
      <c r="DC607">
        <v>9.1064814814814821E-2</v>
      </c>
      <c r="DD607">
        <v>105</v>
      </c>
      <c r="DE607">
        <v>258</v>
      </c>
      <c r="DF607">
        <v>19</v>
      </c>
      <c r="DG607" t="s">
        <v>861</v>
      </c>
      <c r="DH607">
        <v>25882</v>
      </c>
      <c r="DI607">
        <v>0.18099999999999999</v>
      </c>
      <c r="DQ607">
        <v>74</v>
      </c>
    </row>
    <row r="608" spans="95:122" x14ac:dyDescent="0.25">
      <c r="CQ608" t="s">
        <v>636</v>
      </c>
      <c r="CR608" t="s">
        <v>125</v>
      </c>
      <c r="CS608" t="s">
        <v>61</v>
      </c>
      <c r="CT608">
        <v>46076</v>
      </c>
      <c r="CU608">
        <v>1</v>
      </c>
      <c r="CV608">
        <v>1</v>
      </c>
      <c r="CX608">
        <v>1</v>
      </c>
      <c r="CZ608">
        <v>1.6666666666666668E-3</v>
      </c>
      <c r="DA608">
        <v>1.6666666666666668E-3</v>
      </c>
      <c r="DB608">
        <v>0.166875</v>
      </c>
      <c r="DC608">
        <v>0.16967592592592592</v>
      </c>
      <c r="DD608">
        <v>78</v>
      </c>
      <c r="DE608">
        <v>247</v>
      </c>
      <c r="DF608">
        <v>17</v>
      </c>
      <c r="DG608" t="s">
        <v>891</v>
      </c>
      <c r="DH608">
        <v>64821</v>
      </c>
      <c r="DI608">
        <v>0.21790000000000001</v>
      </c>
      <c r="DJ608">
        <v>1</v>
      </c>
      <c r="DK608">
        <v>5.8799999999999998E-2</v>
      </c>
      <c r="DL608">
        <v>400</v>
      </c>
      <c r="DM608">
        <v>400</v>
      </c>
      <c r="DQ608">
        <v>74</v>
      </c>
    </row>
    <row r="609" spans="95:122" x14ac:dyDescent="0.25">
      <c r="CQ609" t="s">
        <v>636</v>
      </c>
      <c r="CR609" t="s">
        <v>125</v>
      </c>
      <c r="CS609" t="s">
        <v>12</v>
      </c>
      <c r="CT609">
        <v>46065</v>
      </c>
      <c r="CU609">
        <v>1</v>
      </c>
      <c r="CV609">
        <v>1</v>
      </c>
      <c r="CX609">
        <v>1</v>
      </c>
      <c r="CZ609">
        <v>1.6203703703703703E-4</v>
      </c>
      <c r="DA609">
        <v>1.6203703703703703E-4</v>
      </c>
      <c r="DB609">
        <v>0.10113425925925926</v>
      </c>
      <c r="DC609">
        <v>4.0601851851851854E-2</v>
      </c>
      <c r="DD609">
        <v>116</v>
      </c>
      <c r="DE609">
        <v>337</v>
      </c>
      <c r="DF609">
        <v>19</v>
      </c>
      <c r="DG609" t="s">
        <v>725</v>
      </c>
      <c r="DH609">
        <v>14808</v>
      </c>
      <c r="DI609">
        <v>0.1638</v>
      </c>
      <c r="DJ609">
        <v>1</v>
      </c>
      <c r="DK609">
        <v>5.2600000000000001E-2</v>
      </c>
      <c r="DL609">
        <v>350</v>
      </c>
      <c r="DM609">
        <v>350</v>
      </c>
      <c r="DN609">
        <v>350</v>
      </c>
      <c r="DO609">
        <v>1</v>
      </c>
      <c r="DP609">
        <v>0.4647</v>
      </c>
      <c r="DQ609">
        <v>74</v>
      </c>
      <c r="DR609">
        <v>350</v>
      </c>
    </row>
    <row r="610" spans="95:122" x14ac:dyDescent="0.25">
      <c r="CQ610" t="s">
        <v>636</v>
      </c>
      <c r="CR610" t="s">
        <v>125</v>
      </c>
      <c r="CS610" t="s">
        <v>12</v>
      </c>
      <c r="CT610">
        <v>46070</v>
      </c>
      <c r="CU610">
        <v>1</v>
      </c>
      <c r="CV610">
        <v>1</v>
      </c>
      <c r="CX610">
        <v>1</v>
      </c>
      <c r="CZ610">
        <v>3.8194444444444446E-4</v>
      </c>
      <c r="DA610">
        <v>3.8194444444444446E-4</v>
      </c>
      <c r="DB610">
        <v>0.20758101851851851</v>
      </c>
      <c r="DC610">
        <v>0.14010416666666667</v>
      </c>
      <c r="DD610">
        <v>100</v>
      </c>
      <c r="DE610">
        <v>272</v>
      </c>
      <c r="DF610">
        <v>25</v>
      </c>
      <c r="DG610">
        <v>1.24</v>
      </c>
      <c r="DH610">
        <v>33166</v>
      </c>
      <c r="DI610">
        <v>0.25</v>
      </c>
      <c r="DQ610">
        <v>74</v>
      </c>
    </row>
    <row r="611" spans="95:122" x14ac:dyDescent="0.25">
      <c r="CQ611" t="s">
        <v>636</v>
      </c>
      <c r="CR611" t="s">
        <v>125</v>
      </c>
      <c r="CS611" t="s">
        <v>122</v>
      </c>
      <c r="CT611">
        <v>46063</v>
      </c>
      <c r="CU611">
        <v>1</v>
      </c>
      <c r="CV611">
        <v>1</v>
      </c>
      <c r="CX611">
        <v>1</v>
      </c>
      <c r="CZ611">
        <v>0</v>
      </c>
      <c r="DA611">
        <v>0</v>
      </c>
      <c r="DB611">
        <v>3.439814814814815E-2</v>
      </c>
      <c r="DC611">
        <v>4.162037037037037E-2</v>
      </c>
      <c r="DD611">
        <v>75</v>
      </c>
      <c r="DE611">
        <v>230</v>
      </c>
      <c r="DF611">
        <v>18</v>
      </c>
      <c r="DG611" t="s">
        <v>715</v>
      </c>
      <c r="DH611">
        <v>38324</v>
      </c>
      <c r="DI611">
        <v>0.24</v>
      </c>
      <c r="DQ611">
        <v>74</v>
      </c>
    </row>
    <row r="612" spans="95:122" x14ac:dyDescent="0.25">
      <c r="CQ612" t="s">
        <v>636</v>
      </c>
      <c r="CR612" t="s">
        <v>125</v>
      </c>
      <c r="CS612" t="s">
        <v>122</v>
      </c>
      <c r="CT612">
        <v>46070</v>
      </c>
      <c r="CU612">
        <v>1</v>
      </c>
      <c r="CV612">
        <v>1</v>
      </c>
      <c r="CX612">
        <v>1</v>
      </c>
      <c r="CZ612">
        <v>1.4583333333333334E-3</v>
      </c>
      <c r="DA612">
        <v>1.4583333333333334E-3</v>
      </c>
      <c r="DB612">
        <v>0.19539351851851852</v>
      </c>
      <c r="DC612">
        <v>0.1312962962962963</v>
      </c>
      <c r="DD612">
        <v>53</v>
      </c>
      <c r="DE612">
        <v>153</v>
      </c>
      <c r="DF612">
        <v>15</v>
      </c>
      <c r="DG612">
        <v>1.6</v>
      </c>
      <c r="DH612">
        <v>26828</v>
      </c>
      <c r="DI612">
        <v>0.28299999999999997</v>
      </c>
      <c r="DQ612">
        <v>74</v>
      </c>
    </row>
    <row r="613" spans="95:122" x14ac:dyDescent="0.25">
      <c r="CQ613" t="s">
        <v>636</v>
      </c>
      <c r="CR613" t="s">
        <v>125</v>
      </c>
      <c r="CS613" t="s">
        <v>75</v>
      </c>
      <c r="CT613">
        <v>46059</v>
      </c>
      <c r="CU613">
        <v>1</v>
      </c>
      <c r="CV613">
        <v>1</v>
      </c>
      <c r="CX613">
        <v>1</v>
      </c>
      <c r="CZ613">
        <v>6.9444444444444444E-5</v>
      </c>
      <c r="DA613">
        <v>6.9444444444444444E-5</v>
      </c>
      <c r="DB613">
        <v>2.8946759259259259E-2</v>
      </c>
      <c r="DC613">
        <v>1.4050925925925927E-2</v>
      </c>
      <c r="DD613">
        <v>76</v>
      </c>
      <c r="DE613">
        <v>187</v>
      </c>
      <c r="DF613">
        <v>12</v>
      </c>
      <c r="DG613" t="s">
        <v>689</v>
      </c>
      <c r="DH613">
        <v>24553</v>
      </c>
      <c r="DI613">
        <v>0.15790000000000001</v>
      </c>
      <c r="DJ613">
        <v>3</v>
      </c>
      <c r="DK613">
        <v>0.25</v>
      </c>
      <c r="DL613">
        <v>26850</v>
      </c>
      <c r="DM613">
        <v>8950</v>
      </c>
      <c r="DN613">
        <v>21850</v>
      </c>
      <c r="DO613">
        <v>0.81379999999999997</v>
      </c>
      <c r="DP613">
        <v>0.15770000000000001</v>
      </c>
      <c r="DQ613">
        <v>74</v>
      </c>
      <c r="DR613">
        <v>10925</v>
      </c>
    </row>
    <row r="614" spans="95:122" x14ac:dyDescent="0.25">
      <c r="CQ614" t="s">
        <v>636</v>
      </c>
      <c r="CR614" t="s">
        <v>125</v>
      </c>
      <c r="CS614" t="s">
        <v>75</v>
      </c>
      <c r="CT614">
        <v>46063</v>
      </c>
      <c r="CU614">
        <v>1</v>
      </c>
      <c r="CV614">
        <v>1</v>
      </c>
      <c r="CX614">
        <v>1</v>
      </c>
      <c r="CZ614">
        <v>1.3888888888888889E-4</v>
      </c>
      <c r="DA614">
        <v>1.3888888888888889E-4</v>
      </c>
      <c r="DB614">
        <v>6.7928240740740747E-2</v>
      </c>
      <c r="DC614">
        <v>1.4525462962962962E-2</v>
      </c>
      <c r="DD614">
        <v>119</v>
      </c>
      <c r="DE614">
        <v>315</v>
      </c>
      <c r="DF614">
        <v>25</v>
      </c>
      <c r="DG614">
        <v>2.16</v>
      </c>
      <c r="DH614">
        <v>21844</v>
      </c>
      <c r="DI614">
        <v>0.21010000000000001</v>
      </c>
      <c r="DQ614">
        <v>74</v>
      </c>
    </row>
    <row r="615" spans="95:122" x14ac:dyDescent="0.25">
      <c r="CQ615" t="s">
        <v>636</v>
      </c>
      <c r="CR615" t="s">
        <v>125</v>
      </c>
      <c r="CS615" t="s">
        <v>75</v>
      </c>
      <c r="CT615">
        <v>46070</v>
      </c>
      <c r="CU615">
        <v>1</v>
      </c>
      <c r="CV615">
        <v>1</v>
      </c>
      <c r="CX615">
        <v>1</v>
      </c>
      <c r="CZ615">
        <v>2.8935185185185184E-4</v>
      </c>
      <c r="DA615">
        <v>2.8935185185185184E-4</v>
      </c>
      <c r="DB615">
        <v>0.20626157407407408</v>
      </c>
      <c r="DC615">
        <v>0.12993055555555555</v>
      </c>
      <c r="DD615">
        <v>78</v>
      </c>
      <c r="DE615">
        <v>209</v>
      </c>
      <c r="DF615">
        <v>15</v>
      </c>
      <c r="DG615" t="s">
        <v>956</v>
      </c>
      <c r="DH615">
        <v>41290</v>
      </c>
      <c r="DI615">
        <v>0.1923</v>
      </c>
      <c r="DQ615">
        <v>74</v>
      </c>
    </row>
    <row r="616" spans="95:122" x14ac:dyDescent="0.25">
      <c r="CQ616" t="s">
        <v>636</v>
      </c>
      <c r="CR616" t="s">
        <v>125</v>
      </c>
      <c r="CS616" t="s">
        <v>75</v>
      </c>
      <c r="CT616">
        <v>46076</v>
      </c>
      <c r="CU616">
        <v>1</v>
      </c>
      <c r="CV616">
        <v>1</v>
      </c>
      <c r="CW616">
        <v>1</v>
      </c>
      <c r="CZ616">
        <v>4.6296296296296294E-3</v>
      </c>
      <c r="DA616">
        <v>4.6296296296296294E-3</v>
      </c>
      <c r="DB616">
        <v>0.20287037037037037</v>
      </c>
      <c r="DC616">
        <v>0.12817129629629628</v>
      </c>
      <c r="DD616">
        <v>112</v>
      </c>
      <c r="DE616">
        <v>218</v>
      </c>
      <c r="DF616">
        <v>19</v>
      </c>
      <c r="DG616" t="s">
        <v>791</v>
      </c>
      <c r="DH616">
        <v>31002</v>
      </c>
      <c r="DI616">
        <v>0.1696</v>
      </c>
      <c r="DJ616">
        <v>1</v>
      </c>
      <c r="DK616">
        <v>5.2600000000000001E-2</v>
      </c>
      <c r="DL616">
        <v>550</v>
      </c>
      <c r="DM616">
        <v>550</v>
      </c>
      <c r="DN616">
        <v>550</v>
      </c>
      <c r="DO616">
        <v>1</v>
      </c>
      <c r="DQ616">
        <v>74</v>
      </c>
      <c r="DR616">
        <v>550</v>
      </c>
    </row>
    <row r="617" spans="95:122" x14ac:dyDescent="0.25">
      <c r="CQ617" t="s">
        <v>636</v>
      </c>
      <c r="CR617" t="s">
        <v>125</v>
      </c>
      <c r="CS617" t="s">
        <v>206</v>
      </c>
      <c r="CT617">
        <v>46056</v>
      </c>
      <c r="CU617">
        <v>1</v>
      </c>
      <c r="CV617">
        <v>1</v>
      </c>
      <c r="CX617">
        <v>1</v>
      </c>
      <c r="CZ617">
        <v>8.1018518518518516E-5</v>
      </c>
      <c r="DA617">
        <v>8.1018518518518516E-5</v>
      </c>
      <c r="DB617">
        <v>0.15081018518518519</v>
      </c>
      <c r="DC617">
        <v>7.037037037037037E-3</v>
      </c>
      <c r="DD617">
        <v>168</v>
      </c>
      <c r="DE617">
        <v>292</v>
      </c>
      <c r="DF617">
        <v>25</v>
      </c>
      <c r="DG617">
        <v>1.6</v>
      </c>
      <c r="DH617">
        <v>18949</v>
      </c>
      <c r="DI617">
        <v>0.14879999999999999</v>
      </c>
      <c r="DJ617">
        <v>2</v>
      </c>
      <c r="DK617">
        <v>0.08</v>
      </c>
      <c r="DL617">
        <v>770</v>
      </c>
      <c r="DM617">
        <v>385</v>
      </c>
      <c r="DN617">
        <v>770</v>
      </c>
      <c r="DO617">
        <v>1</v>
      </c>
      <c r="DQ617">
        <v>74</v>
      </c>
      <c r="DR617">
        <v>385</v>
      </c>
    </row>
    <row r="618" spans="95:122" x14ac:dyDescent="0.25">
      <c r="CQ618" t="s">
        <v>636</v>
      </c>
      <c r="CR618" t="s">
        <v>125</v>
      </c>
      <c r="CS618" t="s">
        <v>206</v>
      </c>
      <c r="CT618">
        <v>46057</v>
      </c>
      <c r="CU618">
        <v>1</v>
      </c>
      <c r="CV618">
        <v>1</v>
      </c>
      <c r="CX618">
        <v>1</v>
      </c>
      <c r="CZ618">
        <v>6.9444444444444444E-5</v>
      </c>
      <c r="DA618">
        <v>6.9444444444444444E-5</v>
      </c>
      <c r="DB618">
        <v>8.0034722222222215E-2</v>
      </c>
      <c r="DC618">
        <v>6.1921296296296294E-2</v>
      </c>
      <c r="DD618">
        <v>183</v>
      </c>
      <c r="DE618">
        <v>323</v>
      </c>
      <c r="DF618">
        <v>31</v>
      </c>
      <c r="DG618" t="s">
        <v>972</v>
      </c>
      <c r="DH618">
        <v>50163</v>
      </c>
      <c r="DI618">
        <v>0.1694</v>
      </c>
      <c r="DJ618">
        <v>1</v>
      </c>
      <c r="DK618">
        <v>3.2300000000000002E-2</v>
      </c>
      <c r="DL618">
        <v>3500</v>
      </c>
      <c r="DM618">
        <v>3500</v>
      </c>
      <c r="DN618">
        <v>3500</v>
      </c>
      <c r="DO618">
        <v>1</v>
      </c>
      <c r="DP618">
        <v>0.1613</v>
      </c>
      <c r="DQ618">
        <v>74</v>
      </c>
      <c r="DR618">
        <v>3500</v>
      </c>
    </row>
    <row r="619" spans="95:122" x14ac:dyDescent="0.25">
      <c r="CQ619" t="s">
        <v>636</v>
      </c>
      <c r="CR619" t="s">
        <v>125</v>
      </c>
      <c r="CS619" t="s">
        <v>206</v>
      </c>
      <c r="CT619">
        <v>46063</v>
      </c>
      <c r="CU619">
        <v>1</v>
      </c>
      <c r="CV619">
        <v>1</v>
      </c>
      <c r="CX619">
        <v>1</v>
      </c>
      <c r="CZ619">
        <v>6.9444444444444444E-5</v>
      </c>
      <c r="DA619">
        <v>6.9444444444444444E-5</v>
      </c>
      <c r="DB619">
        <v>3.0648148148148147E-2</v>
      </c>
      <c r="DC619">
        <v>8.1134259259259267E-3</v>
      </c>
      <c r="DD619">
        <v>222</v>
      </c>
      <c r="DE619">
        <v>378</v>
      </c>
      <c r="DF619">
        <v>38</v>
      </c>
      <c r="DG619" t="s">
        <v>721</v>
      </c>
      <c r="DH619">
        <v>32955</v>
      </c>
      <c r="DI619">
        <v>0.17119999999999999</v>
      </c>
      <c r="DQ619">
        <v>74</v>
      </c>
    </row>
    <row r="620" spans="95:122" x14ac:dyDescent="0.25">
      <c r="CQ620" t="s">
        <v>636</v>
      </c>
      <c r="CR620" t="s">
        <v>125</v>
      </c>
      <c r="CS620" t="s">
        <v>206</v>
      </c>
      <c r="CT620">
        <v>46070</v>
      </c>
      <c r="CU620">
        <v>1</v>
      </c>
      <c r="CV620">
        <v>1</v>
      </c>
      <c r="CX620">
        <v>1</v>
      </c>
      <c r="CZ620">
        <v>6.9444444444444444E-5</v>
      </c>
      <c r="DA620">
        <v>6.9444444444444444E-5</v>
      </c>
      <c r="DB620">
        <v>0.22370370370370371</v>
      </c>
      <c r="DC620">
        <v>0.13530092592592594</v>
      </c>
      <c r="DD620">
        <v>127</v>
      </c>
      <c r="DE620">
        <v>335</v>
      </c>
      <c r="DF620">
        <v>27</v>
      </c>
      <c r="DG620" t="s">
        <v>726</v>
      </c>
      <c r="DH620">
        <v>33544</v>
      </c>
      <c r="DI620">
        <v>0.21260000000000001</v>
      </c>
      <c r="DQ620">
        <v>74</v>
      </c>
    </row>
    <row r="621" spans="95:122" x14ac:dyDescent="0.25">
      <c r="CQ621" t="s">
        <v>636</v>
      </c>
      <c r="CR621" t="s">
        <v>125</v>
      </c>
      <c r="CS621" t="s">
        <v>10</v>
      </c>
      <c r="CT621">
        <v>46063</v>
      </c>
      <c r="CU621">
        <v>1</v>
      </c>
      <c r="CV621">
        <v>1</v>
      </c>
      <c r="CX621">
        <v>1</v>
      </c>
      <c r="CZ621">
        <v>3.4722222222222222E-5</v>
      </c>
      <c r="DA621">
        <v>3.4722222222222222E-5</v>
      </c>
      <c r="DB621">
        <v>1.3194444444444444E-2</v>
      </c>
      <c r="DC621">
        <v>2.3611111111111111E-3</v>
      </c>
      <c r="DD621">
        <v>188</v>
      </c>
      <c r="DE621">
        <v>348</v>
      </c>
      <c r="DF621">
        <v>34</v>
      </c>
      <c r="DG621" t="s">
        <v>891</v>
      </c>
      <c r="DH621">
        <v>34889</v>
      </c>
      <c r="DI621">
        <v>0.18090000000000001</v>
      </c>
      <c r="DQ621">
        <v>74</v>
      </c>
    </row>
    <row r="622" spans="95:122" x14ac:dyDescent="0.25">
      <c r="CQ622" t="s">
        <v>636</v>
      </c>
      <c r="CR622" t="s">
        <v>2</v>
      </c>
      <c r="CS622" t="s">
        <v>68</v>
      </c>
      <c r="CT622">
        <v>46072</v>
      </c>
      <c r="CU622">
        <v>1</v>
      </c>
      <c r="CV622">
        <v>1</v>
      </c>
      <c r="CZ622">
        <v>0</v>
      </c>
      <c r="DA622">
        <v>0</v>
      </c>
      <c r="DB622">
        <v>0</v>
      </c>
      <c r="DC622">
        <v>0</v>
      </c>
      <c r="DQ622">
        <v>74</v>
      </c>
    </row>
    <row r="623" spans="95:122" x14ac:dyDescent="0.25">
      <c r="CQ623" t="s">
        <v>636</v>
      </c>
      <c r="CR623" t="s">
        <v>2</v>
      </c>
      <c r="CS623" t="s">
        <v>29</v>
      </c>
      <c r="CT623">
        <v>46078</v>
      </c>
      <c r="CU623">
        <v>1</v>
      </c>
      <c r="CV623">
        <v>1</v>
      </c>
      <c r="CX623">
        <v>1</v>
      </c>
      <c r="CZ623">
        <v>5.3240740740740744E-4</v>
      </c>
      <c r="DA623">
        <v>5.3240740740740744E-4</v>
      </c>
      <c r="DB623">
        <v>0.19503472222222223</v>
      </c>
      <c r="DC623">
        <v>0.13677083333333334</v>
      </c>
      <c r="DD623">
        <v>72</v>
      </c>
      <c r="DE623">
        <v>154</v>
      </c>
      <c r="DF623">
        <v>16</v>
      </c>
      <c r="DG623">
        <v>1.6875</v>
      </c>
      <c r="DH623">
        <v>11065</v>
      </c>
      <c r="DI623">
        <v>0.22220000000000001</v>
      </c>
      <c r="DQ623">
        <v>74</v>
      </c>
    </row>
    <row r="624" spans="95:122" x14ac:dyDescent="0.25">
      <c r="CQ624" t="s">
        <v>636</v>
      </c>
      <c r="CR624" t="s">
        <v>2</v>
      </c>
      <c r="CS624" t="s">
        <v>25</v>
      </c>
      <c r="CT624">
        <v>46078</v>
      </c>
      <c r="CU624">
        <v>1</v>
      </c>
      <c r="CV624">
        <v>1</v>
      </c>
      <c r="CX624">
        <v>1</v>
      </c>
      <c r="CZ624">
        <v>0</v>
      </c>
      <c r="DA624">
        <v>0</v>
      </c>
      <c r="DB624">
        <v>0.19868055555555555</v>
      </c>
      <c r="DC624">
        <v>0.15983796296296296</v>
      </c>
      <c r="DD624">
        <v>98</v>
      </c>
      <c r="DE624">
        <v>146</v>
      </c>
      <c r="DF624">
        <v>24</v>
      </c>
      <c r="DG624" t="s">
        <v>703</v>
      </c>
      <c r="DH624">
        <v>24735</v>
      </c>
      <c r="DI624">
        <v>0.24490000000000001</v>
      </c>
      <c r="DQ624">
        <v>74</v>
      </c>
    </row>
    <row r="625" spans="95:122" x14ac:dyDescent="0.25">
      <c r="CQ625" t="s">
        <v>636</v>
      </c>
      <c r="CR625" t="s">
        <v>2</v>
      </c>
      <c r="CS625" t="s">
        <v>38</v>
      </c>
      <c r="CT625">
        <v>46064</v>
      </c>
      <c r="CU625">
        <v>1</v>
      </c>
      <c r="CV625">
        <v>1</v>
      </c>
      <c r="CX625">
        <v>1</v>
      </c>
      <c r="CZ625">
        <v>0</v>
      </c>
      <c r="DA625">
        <v>0</v>
      </c>
      <c r="DB625">
        <v>1.261574074074074E-3</v>
      </c>
      <c r="DC625">
        <v>4.327546296296296E-2</v>
      </c>
      <c r="DD625">
        <v>102</v>
      </c>
      <c r="DE625">
        <v>124</v>
      </c>
      <c r="DF625">
        <v>27</v>
      </c>
      <c r="DG625" t="s">
        <v>1116</v>
      </c>
      <c r="DH625">
        <v>13929</v>
      </c>
      <c r="DI625">
        <v>0.26469999999999999</v>
      </c>
      <c r="DQ625">
        <v>74</v>
      </c>
    </row>
    <row r="626" spans="95:122" x14ac:dyDescent="0.25">
      <c r="CQ626" t="s">
        <v>636</v>
      </c>
      <c r="CR626" t="s">
        <v>2</v>
      </c>
      <c r="CS626" t="s">
        <v>38</v>
      </c>
      <c r="CT626">
        <v>46078</v>
      </c>
      <c r="CU626">
        <v>1</v>
      </c>
      <c r="CV626">
        <v>1</v>
      </c>
      <c r="CX626">
        <v>1</v>
      </c>
      <c r="CZ626">
        <v>8.1018518518518516E-5</v>
      </c>
      <c r="DA626">
        <v>8.1018518518518516E-5</v>
      </c>
      <c r="DB626">
        <v>0.19090277777777778</v>
      </c>
      <c r="DC626">
        <v>0.16141203703703705</v>
      </c>
      <c r="DD626">
        <v>85</v>
      </c>
      <c r="DE626">
        <v>127</v>
      </c>
      <c r="DF626">
        <v>33</v>
      </c>
      <c r="DG626" t="s">
        <v>974</v>
      </c>
      <c r="DH626">
        <v>25476</v>
      </c>
      <c r="DI626">
        <v>0.38819999999999999</v>
      </c>
      <c r="DQ626">
        <v>74</v>
      </c>
    </row>
    <row r="627" spans="95:122" x14ac:dyDescent="0.25">
      <c r="CQ627" t="s">
        <v>636</v>
      </c>
      <c r="CR627" t="s">
        <v>2</v>
      </c>
      <c r="CS627" t="s">
        <v>79</v>
      </c>
      <c r="CT627">
        <v>46055</v>
      </c>
      <c r="CU627">
        <v>1</v>
      </c>
      <c r="CV627">
        <v>1</v>
      </c>
      <c r="CX627">
        <v>1</v>
      </c>
      <c r="CZ627">
        <v>1.7361111111111112E-4</v>
      </c>
      <c r="DA627">
        <v>1.7361111111111112E-4</v>
      </c>
      <c r="DB627">
        <v>4.6678240740740742E-2</v>
      </c>
      <c r="DC627">
        <v>2.4652777777777777E-2</v>
      </c>
      <c r="DD627">
        <v>64</v>
      </c>
      <c r="DE627">
        <v>131</v>
      </c>
      <c r="DF627">
        <v>26</v>
      </c>
      <c r="DG627" t="s">
        <v>704</v>
      </c>
      <c r="DH627">
        <v>35493</v>
      </c>
      <c r="DI627">
        <v>0.40629999999999999</v>
      </c>
      <c r="DJ627">
        <v>6</v>
      </c>
      <c r="DK627">
        <v>0.23080000000000001</v>
      </c>
      <c r="DL627">
        <v>28550</v>
      </c>
      <c r="DM627">
        <v>4758</v>
      </c>
      <c r="DN627">
        <v>27940</v>
      </c>
      <c r="DO627">
        <v>0.97860000000000003</v>
      </c>
      <c r="DP627">
        <v>0.23069999999999999</v>
      </c>
      <c r="DQ627">
        <v>74</v>
      </c>
      <c r="DR627">
        <v>5588</v>
      </c>
    </row>
    <row r="628" spans="95:122" x14ac:dyDescent="0.25">
      <c r="CQ628" t="s">
        <v>636</v>
      </c>
      <c r="CR628" t="s">
        <v>2</v>
      </c>
      <c r="CS628" t="s">
        <v>79</v>
      </c>
      <c r="CT628">
        <v>46064</v>
      </c>
      <c r="CU628">
        <v>1</v>
      </c>
      <c r="CV628">
        <v>1</v>
      </c>
      <c r="CX628">
        <v>1</v>
      </c>
      <c r="CZ628">
        <v>2.199074074074074E-4</v>
      </c>
      <c r="DA628">
        <v>2.199074074074074E-4</v>
      </c>
      <c r="DB628">
        <v>2.0127314814814813E-2</v>
      </c>
      <c r="DC628">
        <v>1.7939814814814815E-3</v>
      </c>
      <c r="DD628">
        <v>87</v>
      </c>
      <c r="DE628">
        <v>206</v>
      </c>
      <c r="DF628">
        <v>20</v>
      </c>
      <c r="DG628">
        <v>1.5</v>
      </c>
      <c r="DH628">
        <v>14304</v>
      </c>
      <c r="DI628">
        <v>0.22989999999999999</v>
      </c>
      <c r="DQ628">
        <v>74</v>
      </c>
    </row>
    <row r="629" spans="95:122" x14ac:dyDescent="0.25">
      <c r="CQ629" t="s">
        <v>636</v>
      </c>
      <c r="CR629" t="s">
        <v>2</v>
      </c>
      <c r="CS629" t="s">
        <v>76</v>
      </c>
      <c r="CT629">
        <v>46064</v>
      </c>
      <c r="CU629">
        <v>1</v>
      </c>
      <c r="CV629">
        <v>1</v>
      </c>
      <c r="CX629">
        <v>1</v>
      </c>
      <c r="CZ629">
        <v>6.9444444444444444E-5</v>
      </c>
      <c r="DA629">
        <v>6.9444444444444444E-5</v>
      </c>
      <c r="DB629">
        <v>1.6203703703703703E-4</v>
      </c>
      <c r="DC629">
        <v>6.4004629629629628E-3</v>
      </c>
      <c r="DD629">
        <v>103</v>
      </c>
      <c r="DE629">
        <v>148</v>
      </c>
      <c r="DF629">
        <v>16</v>
      </c>
      <c r="DG629">
        <v>1.4375</v>
      </c>
      <c r="DH629">
        <v>36807</v>
      </c>
      <c r="DI629">
        <v>0.15529999999999999</v>
      </c>
      <c r="DQ629">
        <v>74</v>
      </c>
    </row>
    <row r="630" spans="95:122" x14ac:dyDescent="0.25">
      <c r="CQ630" t="s">
        <v>636</v>
      </c>
      <c r="CR630" t="s">
        <v>2</v>
      </c>
      <c r="CS630" t="s">
        <v>76</v>
      </c>
      <c r="CT630">
        <v>46078</v>
      </c>
      <c r="CU630">
        <v>1</v>
      </c>
      <c r="CV630">
        <v>1</v>
      </c>
      <c r="CX630">
        <v>1</v>
      </c>
      <c r="CZ630">
        <v>0</v>
      </c>
      <c r="DA630">
        <v>0</v>
      </c>
      <c r="DB630">
        <v>0.17542824074074073</v>
      </c>
      <c r="DC630">
        <v>0.14710648148148148</v>
      </c>
      <c r="DD630">
        <v>81</v>
      </c>
      <c r="DE630">
        <v>115</v>
      </c>
      <c r="DF630">
        <v>20</v>
      </c>
      <c r="DG630">
        <v>1.7</v>
      </c>
      <c r="DH630">
        <v>31109</v>
      </c>
      <c r="DI630">
        <v>0.24690000000000001</v>
      </c>
      <c r="DQ630">
        <v>74</v>
      </c>
    </row>
    <row r="631" spans="95:122" x14ac:dyDescent="0.25">
      <c r="CQ631" t="s">
        <v>636</v>
      </c>
      <c r="CR631" t="s">
        <v>6</v>
      </c>
      <c r="CS631" t="s">
        <v>19</v>
      </c>
      <c r="CT631">
        <v>46063</v>
      </c>
      <c r="CU631">
        <v>1</v>
      </c>
      <c r="CV631">
        <v>1</v>
      </c>
      <c r="CX631">
        <v>1</v>
      </c>
      <c r="CZ631">
        <v>0</v>
      </c>
      <c r="DA631">
        <v>0</v>
      </c>
      <c r="DB631">
        <v>2.0347222222222221E-2</v>
      </c>
      <c r="DC631">
        <v>3.6655092592592593E-2</v>
      </c>
      <c r="DD631">
        <v>205</v>
      </c>
      <c r="DE631">
        <v>302</v>
      </c>
      <c r="DF631">
        <v>30</v>
      </c>
      <c r="DG631" t="s">
        <v>863</v>
      </c>
      <c r="DH631">
        <v>19018</v>
      </c>
      <c r="DI631">
        <v>0.14630000000000001</v>
      </c>
      <c r="DJ631">
        <v>1</v>
      </c>
      <c r="DK631">
        <v>3.3300000000000003E-2</v>
      </c>
      <c r="DL631">
        <v>14000</v>
      </c>
      <c r="DM631">
        <v>14000</v>
      </c>
      <c r="DN631">
        <v>14000</v>
      </c>
      <c r="DO631">
        <v>1</v>
      </c>
      <c r="DP631">
        <v>0.1832</v>
      </c>
      <c r="DQ631">
        <v>74</v>
      </c>
      <c r="DR631">
        <v>14000</v>
      </c>
    </row>
    <row r="632" spans="95:122" x14ac:dyDescent="0.25">
      <c r="CQ632" t="s">
        <v>636</v>
      </c>
      <c r="CR632" t="s">
        <v>6</v>
      </c>
      <c r="CS632" t="s">
        <v>19</v>
      </c>
      <c r="CT632">
        <v>46064</v>
      </c>
      <c r="CU632">
        <v>1</v>
      </c>
      <c r="CV632">
        <v>1</v>
      </c>
      <c r="CX632">
        <v>1</v>
      </c>
      <c r="CZ632">
        <v>1.0416666666666667E-4</v>
      </c>
      <c r="DA632">
        <v>1.0416666666666667E-4</v>
      </c>
      <c r="DB632">
        <v>1.96875E-2</v>
      </c>
      <c r="DC632">
        <v>1.0092592592592592E-2</v>
      </c>
      <c r="DD632">
        <v>152</v>
      </c>
      <c r="DE632">
        <v>227</v>
      </c>
      <c r="DF632">
        <v>13</v>
      </c>
      <c r="DG632" t="s">
        <v>711</v>
      </c>
      <c r="DH632">
        <v>24157</v>
      </c>
      <c r="DI632">
        <v>8.5500000000000007E-2</v>
      </c>
      <c r="DJ632">
        <v>1</v>
      </c>
      <c r="DK632">
        <v>7.6899999999999996E-2</v>
      </c>
      <c r="DL632">
        <v>180</v>
      </c>
      <c r="DM632">
        <v>180</v>
      </c>
      <c r="DQ632">
        <v>74</v>
      </c>
    </row>
    <row r="633" spans="95:122" x14ac:dyDescent="0.25">
      <c r="CQ633" t="s">
        <v>636</v>
      </c>
      <c r="CR633" t="s">
        <v>6</v>
      </c>
      <c r="CS633" t="s">
        <v>80</v>
      </c>
      <c r="CT633">
        <v>46077</v>
      </c>
      <c r="CU633">
        <v>1</v>
      </c>
      <c r="CV633">
        <v>1</v>
      </c>
      <c r="CX633">
        <v>1</v>
      </c>
      <c r="CZ633">
        <v>2.3148148148148147E-5</v>
      </c>
      <c r="DA633">
        <v>2.3148148148148147E-5</v>
      </c>
      <c r="DB633">
        <v>0.20158564814814814</v>
      </c>
      <c r="DC633">
        <v>0.155</v>
      </c>
      <c r="DD633">
        <v>95</v>
      </c>
      <c r="DE633">
        <v>162</v>
      </c>
      <c r="DF633">
        <v>16</v>
      </c>
      <c r="DG633">
        <v>2.4375</v>
      </c>
      <c r="DH633">
        <v>46872</v>
      </c>
      <c r="DI633">
        <v>0.16839999999999999</v>
      </c>
      <c r="DJ633">
        <v>1</v>
      </c>
      <c r="DK633">
        <v>6.25E-2</v>
      </c>
      <c r="DL633">
        <v>13500</v>
      </c>
      <c r="DM633">
        <v>13500</v>
      </c>
      <c r="DQ633">
        <v>74</v>
      </c>
    </row>
    <row r="634" spans="95:122" x14ac:dyDescent="0.25">
      <c r="CQ634" t="s">
        <v>636</v>
      </c>
      <c r="CR634" t="s">
        <v>6</v>
      </c>
      <c r="CS634" t="s">
        <v>105</v>
      </c>
      <c r="CT634">
        <v>46057</v>
      </c>
      <c r="CU634">
        <v>1</v>
      </c>
      <c r="CV634">
        <v>1</v>
      </c>
      <c r="CX634">
        <v>1</v>
      </c>
      <c r="CZ634">
        <v>7.8703703703703705E-4</v>
      </c>
      <c r="DA634">
        <v>7.8703703703703705E-4</v>
      </c>
      <c r="DB634">
        <v>6.6284722222222217E-2</v>
      </c>
      <c r="DC634">
        <v>4.1597222222222223E-2</v>
      </c>
      <c r="DD634">
        <v>125</v>
      </c>
      <c r="DE634">
        <v>264</v>
      </c>
      <c r="DF634">
        <v>23</v>
      </c>
      <c r="DG634" t="s">
        <v>849</v>
      </c>
      <c r="DH634">
        <v>27045</v>
      </c>
      <c r="DI634">
        <v>0.184</v>
      </c>
      <c r="DJ634">
        <v>1</v>
      </c>
      <c r="DK634">
        <v>4.3499999999999997E-2</v>
      </c>
      <c r="DL634">
        <v>650</v>
      </c>
      <c r="DM634">
        <v>650</v>
      </c>
      <c r="DN634">
        <v>650</v>
      </c>
      <c r="DO634">
        <v>1</v>
      </c>
      <c r="DP634">
        <v>0.43640000000000001</v>
      </c>
      <c r="DQ634">
        <v>74</v>
      </c>
      <c r="DR634">
        <v>650</v>
      </c>
    </row>
    <row r="635" spans="95:122" x14ac:dyDescent="0.25">
      <c r="CQ635" t="s">
        <v>636</v>
      </c>
      <c r="CR635" t="s">
        <v>6</v>
      </c>
      <c r="CS635" t="s">
        <v>50</v>
      </c>
      <c r="CT635">
        <v>46078</v>
      </c>
      <c r="CU635">
        <v>1</v>
      </c>
      <c r="CV635">
        <v>1</v>
      </c>
      <c r="CW635">
        <v>1</v>
      </c>
      <c r="CZ635">
        <v>3.3252314814814818E-2</v>
      </c>
      <c r="DA635">
        <v>3.3252314814814818E-2</v>
      </c>
      <c r="DB635">
        <v>8.8414351851851855E-2</v>
      </c>
      <c r="DC635">
        <v>0.20086805555555556</v>
      </c>
      <c r="DD635">
        <v>64</v>
      </c>
      <c r="DE635">
        <v>128</v>
      </c>
      <c r="DF635">
        <v>10</v>
      </c>
      <c r="DG635">
        <v>2.2000000000000002</v>
      </c>
      <c r="DH635">
        <v>16775</v>
      </c>
      <c r="DI635">
        <v>0.15629999999999999</v>
      </c>
      <c r="DJ635">
        <v>1</v>
      </c>
      <c r="DK635">
        <v>0.1</v>
      </c>
      <c r="DL635">
        <v>1500</v>
      </c>
      <c r="DM635">
        <v>1500</v>
      </c>
      <c r="DN635">
        <v>1500</v>
      </c>
      <c r="DO635">
        <v>1</v>
      </c>
      <c r="DP635">
        <v>0.25019999999999998</v>
      </c>
      <c r="DQ635">
        <v>74</v>
      </c>
      <c r="DR635">
        <v>1500</v>
      </c>
    </row>
    <row r="636" spans="95:122" x14ac:dyDescent="0.25">
      <c r="CQ636" t="s">
        <v>636</v>
      </c>
      <c r="CR636" t="s">
        <v>6</v>
      </c>
      <c r="CS636" t="s">
        <v>34</v>
      </c>
      <c r="CT636">
        <v>46073</v>
      </c>
      <c r="CU636">
        <v>1</v>
      </c>
      <c r="CV636">
        <v>1</v>
      </c>
      <c r="CX636">
        <v>1</v>
      </c>
      <c r="CZ636">
        <v>0</v>
      </c>
      <c r="DA636">
        <v>0</v>
      </c>
      <c r="DB636">
        <v>0.21694444444444444</v>
      </c>
      <c r="DC636">
        <v>0.11575231481481481</v>
      </c>
      <c r="DD636">
        <v>150</v>
      </c>
      <c r="DE636">
        <v>176</v>
      </c>
      <c r="DF636">
        <v>12</v>
      </c>
      <c r="DG636" t="s">
        <v>689</v>
      </c>
      <c r="DH636">
        <v>22631</v>
      </c>
      <c r="DI636">
        <v>0.08</v>
      </c>
      <c r="DJ636">
        <v>3</v>
      </c>
      <c r="DK636">
        <v>0.25</v>
      </c>
      <c r="DL636">
        <v>9400</v>
      </c>
      <c r="DM636">
        <v>3133</v>
      </c>
      <c r="DN636">
        <v>9000</v>
      </c>
      <c r="DO636">
        <v>0.95740000000000003</v>
      </c>
      <c r="DP636">
        <v>0.2026</v>
      </c>
      <c r="DQ636">
        <v>74</v>
      </c>
      <c r="DR636">
        <v>4500</v>
      </c>
    </row>
    <row r="637" spans="95:122" x14ac:dyDescent="0.25">
      <c r="CQ637" t="s">
        <v>636</v>
      </c>
      <c r="CR637" t="s">
        <v>3</v>
      </c>
      <c r="CS637" t="s">
        <v>377</v>
      </c>
      <c r="CT637">
        <v>46081</v>
      </c>
      <c r="CU637">
        <v>1</v>
      </c>
      <c r="CV637">
        <v>1</v>
      </c>
      <c r="CX637">
        <v>1</v>
      </c>
      <c r="CZ637">
        <v>9.2592592592592588E-5</v>
      </c>
      <c r="DA637">
        <v>9.2592592592592588E-5</v>
      </c>
      <c r="DB637">
        <v>4.1354166666666664E-2</v>
      </c>
      <c r="DC637">
        <v>0.15414351851851851</v>
      </c>
      <c r="DD637">
        <v>27</v>
      </c>
      <c r="DE637">
        <v>50</v>
      </c>
      <c r="DF637">
        <v>10</v>
      </c>
      <c r="DG637">
        <v>1.4</v>
      </c>
      <c r="DH637">
        <v>50138</v>
      </c>
      <c r="DI637">
        <v>0.37040000000000001</v>
      </c>
      <c r="DJ637">
        <v>1</v>
      </c>
      <c r="DK637">
        <v>0.1</v>
      </c>
      <c r="DL637">
        <v>6500</v>
      </c>
      <c r="DM637">
        <v>6500</v>
      </c>
      <c r="DQ637">
        <v>74</v>
      </c>
    </row>
    <row r="638" spans="95:122" x14ac:dyDescent="0.25">
      <c r="CQ638" t="s">
        <v>636</v>
      </c>
      <c r="CR638" t="s">
        <v>3</v>
      </c>
      <c r="CS638" t="s">
        <v>22</v>
      </c>
      <c r="CT638">
        <v>46056</v>
      </c>
      <c r="CU638">
        <v>1</v>
      </c>
      <c r="CV638">
        <v>1</v>
      </c>
      <c r="CX638">
        <v>1</v>
      </c>
      <c r="CZ638">
        <v>0</v>
      </c>
      <c r="DA638">
        <v>0</v>
      </c>
      <c r="DB638">
        <v>1.9074074074074073E-2</v>
      </c>
      <c r="DC638">
        <v>2.3148148148148149E-4</v>
      </c>
      <c r="DD638">
        <v>75</v>
      </c>
      <c r="DE638">
        <v>134</v>
      </c>
      <c r="DF638">
        <v>16</v>
      </c>
      <c r="DG638">
        <v>1.75</v>
      </c>
      <c r="DH638">
        <v>30205</v>
      </c>
      <c r="DI638">
        <v>0.21329999999999999</v>
      </c>
      <c r="DQ638">
        <v>74</v>
      </c>
    </row>
    <row r="639" spans="95:122" x14ac:dyDescent="0.25">
      <c r="CQ639" t="s">
        <v>636</v>
      </c>
      <c r="CR639" t="s">
        <v>3</v>
      </c>
      <c r="CS639" t="s">
        <v>13</v>
      </c>
      <c r="CT639">
        <v>46063</v>
      </c>
      <c r="CU639">
        <v>1</v>
      </c>
      <c r="CV639">
        <v>1</v>
      </c>
      <c r="CX639">
        <v>1</v>
      </c>
      <c r="CZ639">
        <v>1.3888888888888889E-4</v>
      </c>
      <c r="DA639">
        <v>1.3888888888888889E-4</v>
      </c>
      <c r="DB639">
        <v>3.9814814814814817E-2</v>
      </c>
      <c r="DC639">
        <v>5.4398148148148144E-4</v>
      </c>
      <c r="DD639">
        <v>117</v>
      </c>
      <c r="DE639">
        <v>259</v>
      </c>
      <c r="DF639">
        <v>45</v>
      </c>
      <c r="DG639" t="s">
        <v>690</v>
      </c>
      <c r="DH639">
        <v>27723</v>
      </c>
      <c r="DI639">
        <v>0.3846</v>
      </c>
      <c r="DQ639">
        <v>74</v>
      </c>
    </row>
    <row r="640" spans="95:122" x14ac:dyDescent="0.25">
      <c r="CQ640" t="s">
        <v>636</v>
      </c>
      <c r="CR640" t="s">
        <v>3</v>
      </c>
      <c r="CS640" t="s">
        <v>32</v>
      </c>
      <c r="CT640">
        <v>46056</v>
      </c>
      <c r="CU640">
        <v>1</v>
      </c>
      <c r="CV640">
        <v>1</v>
      </c>
      <c r="CX640">
        <v>1</v>
      </c>
      <c r="CZ640">
        <v>9.2592592592592588E-5</v>
      </c>
      <c r="DA640">
        <v>9.2592592592592588E-5</v>
      </c>
      <c r="DB640">
        <v>0</v>
      </c>
      <c r="DC640">
        <v>2.0949074074074075E-2</v>
      </c>
      <c r="DD640">
        <v>99</v>
      </c>
      <c r="DE640">
        <v>231</v>
      </c>
      <c r="DF640">
        <v>26</v>
      </c>
      <c r="DG640" t="s">
        <v>1117</v>
      </c>
      <c r="DH640">
        <v>45781</v>
      </c>
      <c r="DI640">
        <v>0.2626</v>
      </c>
      <c r="DQ640">
        <v>74</v>
      </c>
    </row>
    <row r="641" spans="95:122" x14ac:dyDescent="0.25">
      <c r="CQ641" t="s">
        <v>636</v>
      </c>
      <c r="CR641" t="s">
        <v>3</v>
      </c>
      <c r="CS641" t="s">
        <v>65</v>
      </c>
      <c r="CT641">
        <v>46055</v>
      </c>
      <c r="CU641">
        <v>1</v>
      </c>
      <c r="CV641">
        <v>1</v>
      </c>
      <c r="CX641">
        <v>1</v>
      </c>
      <c r="CZ641">
        <v>8.1018518518518516E-5</v>
      </c>
      <c r="DA641">
        <v>8.1018518518518516E-5</v>
      </c>
      <c r="DB641">
        <v>2.704861111111111E-2</v>
      </c>
      <c r="DC641">
        <v>1.0671296296296297E-2</v>
      </c>
      <c r="DD641">
        <v>36</v>
      </c>
      <c r="DE641">
        <v>90</v>
      </c>
      <c r="DF641">
        <v>13</v>
      </c>
      <c r="DG641" t="s">
        <v>886</v>
      </c>
      <c r="DH641">
        <v>21430</v>
      </c>
      <c r="DI641">
        <v>0.36109999999999998</v>
      </c>
      <c r="DJ641">
        <v>4</v>
      </c>
      <c r="DK641">
        <v>0.30769999999999997</v>
      </c>
      <c r="DL641">
        <v>1755</v>
      </c>
      <c r="DM641">
        <v>439</v>
      </c>
      <c r="DN641">
        <v>1255</v>
      </c>
      <c r="DO641">
        <v>0.71509999999999996</v>
      </c>
      <c r="DQ641">
        <v>74</v>
      </c>
      <c r="DR641">
        <v>418</v>
      </c>
    </row>
    <row r="642" spans="95:122" x14ac:dyDescent="0.25">
      <c r="CQ642" t="s">
        <v>636</v>
      </c>
      <c r="CR642" t="s">
        <v>3</v>
      </c>
      <c r="CS642" t="s">
        <v>65</v>
      </c>
      <c r="CT642">
        <v>46056</v>
      </c>
      <c r="CU642">
        <v>1</v>
      </c>
      <c r="CV642">
        <v>1</v>
      </c>
      <c r="CX642">
        <v>1</v>
      </c>
      <c r="CZ642">
        <v>1.1574074074074073E-5</v>
      </c>
      <c r="DA642">
        <v>1.1574074074074073E-5</v>
      </c>
      <c r="DB642">
        <v>7.9236111111111104E-2</v>
      </c>
      <c r="DC642">
        <v>6.7129629629629625E-4</v>
      </c>
      <c r="DD642">
        <v>84</v>
      </c>
      <c r="DE642">
        <v>162</v>
      </c>
      <c r="DF642">
        <v>10</v>
      </c>
      <c r="DG642">
        <v>1.3</v>
      </c>
      <c r="DH642">
        <v>35630</v>
      </c>
      <c r="DI642">
        <v>0.11899999999999999</v>
      </c>
      <c r="DQ642">
        <v>74</v>
      </c>
    </row>
    <row r="643" spans="95:122" x14ac:dyDescent="0.25">
      <c r="CQ643" t="s">
        <v>636</v>
      </c>
      <c r="CR643" t="s">
        <v>3</v>
      </c>
      <c r="CS643" t="s">
        <v>65</v>
      </c>
      <c r="CT643">
        <v>46063</v>
      </c>
      <c r="CU643">
        <v>1</v>
      </c>
      <c r="CV643">
        <v>1</v>
      </c>
      <c r="CX643">
        <v>1</v>
      </c>
      <c r="CZ643">
        <v>2.3148148148148149E-4</v>
      </c>
      <c r="DA643">
        <v>2.3148148148148149E-4</v>
      </c>
      <c r="DB643">
        <v>2.0671296296296295E-2</v>
      </c>
      <c r="DC643">
        <v>1.1817129629629629E-2</v>
      </c>
      <c r="DD643">
        <v>74</v>
      </c>
      <c r="DE643">
        <v>170</v>
      </c>
      <c r="DF643">
        <v>14</v>
      </c>
      <c r="DG643" t="s">
        <v>803</v>
      </c>
      <c r="DH643">
        <v>21513</v>
      </c>
      <c r="DI643">
        <v>0.18920000000000001</v>
      </c>
      <c r="DQ643">
        <v>74</v>
      </c>
    </row>
    <row r="644" spans="95:122" x14ac:dyDescent="0.25">
      <c r="CQ644" t="s">
        <v>636</v>
      </c>
      <c r="CR644" t="s">
        <v>3</v>
      </c>
      <c r="CS644" t="s">
        <v>33</v>
      </c>
      <c r="CT644">
        <v>46056</v>
      </c>
      <c r="CU644">
        <v>1</v>
      </c>
      <c r="CV644">
        <v>1</v>
      </c>
      <c r="CX644">
        <v>1</v>
      </c>
      <c r="CZ644">
        <v>1.1574074074074075E-4</v>
      </c>
      <c r="DA644">
        <v>1.1574074074074075E-4</v>
      </c>
      <c r="DB644">
        <v>0.10190972222222222</v>
      </c>
      <c r="DC644">
        <v>1.4155092592592592E-2</v>
      </c>
      <c r="DD644">
        <v>100</v>
      </c>
      <c r="DE644">
        <v>144</v>
      </c>
      <c r="DF644">
        <v>21</v>
      </c>
      <c r="DG644" t="s">
        <v>850</v>
      </c>
      <c r="DH644">
        <v>25378</v>
      </c>
      <c r="DI644">
        <v>0.21</v>
      </c>
      <c r="DQ644">
        <v>74</v>
      </c>
    </row>
    <row r="645" spans="95:122" x14ac:dyDescent="0.25">
      <c r="CQ645" t="s">
        <v>636</v>
      </c>
      <c r="CR645" t="s">
        <v>3</v>
      </c>
      <c r="CS645" t="s">
        <v>23</v>
      </c>
      <c r="CT645">
        <v>46056</v>
      </c>
      <c r="CU645">
        <v>1</v>
      </c>
      <c r="CV645">
        <v>1</v>
      </c>
      <c r="CX645">
        <v>1</v>
      </c>
      <c r="CZ645">
        <v>0</v>
      </c>
      <c r="DA645">
        <v>0</v>
      </c>
      <c r="DB645">
        <v>7.840277777777778E-2</v>
      </c>
      <c r="DC645">
        <v>1.5891203703703703E-2</v>
      </c>
      <c r="DD645">
        <v>91</v>
      </c>
      <c r="DE645">
        <v>181</v>
      </c>
      <c r="DF645">
        <v>17</v>
      </c>
      <c r="DG645" t="s">
        <v>802</v>
      </c>
      <c r="DH645">
        <v>39474</v>
      </c>
      <c r="DI645">
        <v>0.18679999999999999</v>
      </c>
      <c r="DQ645">
        <v>74</v>
      </c>
    </row>
    <row r="646" spans="95:122" x14ac:dyDescent="0.25">
      <c r="CQ646" t="s">
        <v>636</v>
      </c>
      <c r="CR646" t="s">
        <v>3</v>
      </c>
      <c r="CS646" t="s">
        <v>31</v>
      </c>
      <c r="CT646">
        <v>46055</v>
      </c>
      <c r="CU646">
        <v>1</v>
      </c>
      <c r="CV646">
        <v>1</v>
      </c>
      <c r="CX646">
        <v>1</v>
      </c>
      <c r="CZ646">
        <v>1.9675925925925926E-4</v>
      </c>
      <c r="DA646">
        <v>1.9675925925925926E-4</v>
      </c>
      <c r="DB646">
        <v>3.6238425925925924E-2</v>
      </c>
      <c r="DC646">
        <v>4.5138888888888887E-4</v>
      </c>
      <c r="DD646">
        <v>33</v>
      </c>
      <c r="DE646">
        <v>77</v>
      </c>
      <c r="DF646">
        <v>14</v>
      </c>
      <c r="DG646" t="s">
        <v>679</v>
      </c>
      <c r="DH646">
        <v>34845</v>
      </c>
      <c r="DI646">
        <v>0.42420000000000002</v>
      </c>
      <c r="DJ646">
        <v>6</v>
      </c>
      <c r="DK646">
        <v>0.42859999999999998</v>
      </c>
      <c r="DL646">
        <v>5536</v>
      </c>
      <c r="DM646">
        <v>923</v>
      </c>
      <c r="DN646">
        <v>3536</v>
      </c>
      <c r="DO646">
        <v>0.63870000000000005</v>
      </c>
      <c r="DP646">
        <v>1.0462</v>
      </c>
      <c r="DQ646">
        <v>74</v>
      </c>
      <c r="DR646">
        <v>707</v>
      </c>
    </row>
    <row r="647" spans="95:122" x14ac:dyDescent="0.25">
      <c r="CQ647" t="s">
        <v>636</v>
      </c>
      <c r="CR647" t="s">
        <v>3</v>
      </c>
      <c r="CS647" t="s">
        <v>31</v>
      </c>
      <c r="CT647">
        <v>46056</v>
      </c>
      <c r="CU647">
        <v>1</v>
      </c>
      <c r="CV647">
        <v>1</v>
      </c>
      <c r="CX647">
        <v>1</v>
      </c>
      <c r="CZ647">
        <v>3.5879629629629629E-4</v>
      </c>
      <c r="DA647">
        <v>3.5879629629629629E-4</v>
      </c>
      <c r="DB647">
        <v>5.7013888888888892E-2</v>
      </c>
      <c r="DC647">
        <v>2.9050925925925928E-3</v>
      </c>
      <c r="DD647">
        <v>101</v>
      </c>
      <c r="DE647">
        <v>212</v>
      </c>
      <c r="DF647">
        <v>14</v>
      </c>
      <c r="DG647">
        <v>2</v>
      </c>
      <c r="DH647">
        <v>34921</v>
      </c>
      <c r="DI647">
        <v>0.1386</v>
      </c>
      <c r="DQ647">
        <v>74</v>
      </c>
    </row>
    <row r="648" spans="95:122" x14ac:dyDescent="0.25">
      <c r="CQ648" t="s">
        <v>636</v>
      </c>
      <c r="CR648" t="s">
        <v>3</v>
      </c>
      <c r="CS648" t="s">
        <v>31</v>
      </c>
      <c r="CT648">
        <v>46063</v>
      </c>
      <c r="CU648">
        <v>1</v>
      </c>
      <c r="CV648">
        <v>1</v>
      </c>
      <c r="CX648">
        <v>1</v>
      </c>
      <c r="CZ648">
        <v>2.5462962962962961E-4</v>
      </c>
      <c r="DA648">
        <v>2.5462962962962961E-4</v>
      </c>
      <c r="DB648">
        <v>3.6238425925925924E-2</v>
      </c>
      <c r="DC648">
        <v>0</v>
      </c>
      <c r="DD648">
        <v>98</v>
      </c>
      <c r="DE648">
        <v>201</v>
      </c>
      <c r="DF648">
        <v>23</v>
      </c>
      <c r="DG648" t="s">
        <v>826</v>
      </c>
      <c r="DH648">
        <v>31569</v>
      </c>
      <c r="DI648">
        <v>0.23469999999999999</v>
      </c>
      <c r="DQ648">
        <v>74</v>
      </c>
    </row>
    <row r="649" spans="95:122" x14ac:dyDescent="0.25">
      <c r="CQ649" t="s">
        <v>636</v>
      </c>
      <c r="CR649" t="s">
        <v>3</v>
      </c>
      <c r="CS649" t="s">
        <v>17</v>
      </c>
      <c r="CT649">
        <v>46056</v>
      </c>
      <c r="CU649">
        <v>1</v>
      </c>
      <c r="CV649">
        <v>1</v>
      </c>
      <c r="CX649">
        <v>1</v>
      </c>
      <c r="CZ649">
        <v>9.2592592592592588E-5</v>
      </c>
      <c r="DA649">
        <v>9.2592592592592588E-5</v>
      </c>
      <c r="DB649">
        <v>8.2465277777777776E-2</v>
      </c>
      <c r="DC649">
        <v>4.0393518518518521E-3</v>
      </c>
      <c r="DD649">
        <v>78</v>
      </c>
      <c r="DE649">
        <v>174</v>
      </c>
      <c r="DF649">
        <v>23</v>
      </c>
      <c r="DG649" t="s">
        <v>1118</v>
      </c>
      <c r="DH649">
        <v>37122</v>
      </c>
      <c r="DI649">
        <v>0.2949</v>
      </c>
      <c r="DQ649">
        <v>74</v>
      </c>
    </row>
    <row r="650" spans="95:122" x14ac:dyDescent="0.25">
      <c r="CQ650" t="s">
        <v>636</v>
      </c>
      <c r="CR650" t="s">
        <v>3</v>
      </c>
      <c r="CS650" t="s">
        <v>17</v>
      </c>
      <c r="CT650">
        <v>46077</v>
      </c>
      <c r="CU650">
        <v>1</v>
      </c>
      <c r="CV650">
        <v>1</v>
      </c>
      <c r="CX650">
        <v>1</v>
      </c>
      <c r="CZ650">
        <v>1.1574074074074075E-4</v>
      </c>
      <c r="DA650">
        <v>1.1574074074074075E-4</v>
      </c>
      <c r="DB650">
        <v>0.15163194444444444</v>
      </c>
      <c r="DC650">
        <v>0.13921296296296296</v>
      </c>
      <c r="DD650">
        <v>60</v>
      </c>
      <c r="DE650">
        <v>110</v>
      </c>
      <c r="DF650">
        <v>10</v>
      </c>
      <c r="DG650">
        <v>2</v>
      </c>
      <c r="DH650">
        <v>52494</v>
      </c>
      <c r="DI650">
        <v>0.16669999999999999</v>
      </c>
      <c r="DJ650">
        <v>2</v>
      </c>
      <c r="DK650">
        <v>0.2</v>
      </c>
      <c r="DL650">
        <v>10000</v>
      </c>
      <c r="DM650">
        <v>5000</v>
      </c>
      <c r="DN650">
        <v>9000</v>
      </c>
      <c r="DO650">
        <v>0.9</v>
      </c>
      <c r="DP650">
        <v>0.13139999999999999</v>
      </c>
      <c r="DQ650">
        <v>74</v>
      </c>
      <c r="DR650">
        <v>9000</v>
      </c>
    </row>
    <row r="651" spans="95:122" x14ac:dyDescent="0.25">
      <c r="CQ651" t="s">
        <v>636</v>
      </c>
      <c r="CR651" t="s">
        <v>3</v>
      </c>
      <c r="CS651" t="s">
        <v>207</v>
      </c>
      <c r="CT651">
        <v>46063</v>
      </c>
      <c r="CU651">
        <v>1</v>
      </c>
      <c r="CV651">
        <v>1</v>
      </c>
      <c r="CX651">
        <v>1</v>
      </c>
      <c r="CZ651">
        <v>0</v>
      </c>
      <c r="DA651">
        <v>0</v>
      </c>
      <c r="DB651">
        <v>3.5706018518518519E-2</v>
      </c>
      <c r="DC651">
        <v>2.5000000000000001E-2</v>
      </c>
      <c r="DD651">
        <v>299</v>
      </c>
      <c r="DE651">
        <v>501</v>
      </c>
      <c r="DF651">
        <v>39</v>
      </c>
      <c r="DG651" t="s">
        <v>674</v>
      </c>
      <c r="DH651">
        <v>41876</v>
      </c>
      <c r="DI651">
        <v>0.13039999999999999</v>
      </c>
      <c r="DQ651">
        <v>74</v>
      </c>
    </row>
    <row r="652" spans="95:122" x14ac:dyDescent="0.25">
      <c r="CQ652" t="s">
        <v>636</v>
      </c>
      <c r="CR652" t="s">
        <v>125</v>
      </c>
      <c r="CS652" t="s">
        <v>18</v>
      </c>
      <c r="CT652">
        <v>46059</v>
      </c>
      <c r="CU652">
        <v>1</v>
      </c>
      <c r="CV652">
        <v>1</v>
      </c>
      <c r="CX652">
        <v>1</v>
      </c>
      <c r="CZ652">
        <v>4.6296296296296294E-5</v>
      </c>
      <c r="DA652">
        <v>4.6296296296296294E-5</v>
      </c>
      <c r="DB652">
        <v>6.5949074074074077E-2</v>
      </c>
      <c r="DC652">
        <v>2.1759259259259259E-2</v>
      </c>
      <c r="DD652">
        <v>100</v>
      </c>
      <c r="DE652">
        <v>208</v>
      </c>
      <c r="DF652">
        <v>22</v>
      </c>
      <c r="DG652" t="s">
        <v>1037</v>
      </c>
      <c r="DH652">
        <v>41863</v>
      </c>
      <c r="DI652">
        <v>0.22</v>
      </c>
      <c r="DJ652">
        <v>1</v>
      </c>
      <c r="DK652">
        <v>4.5499999999999999E-2</v>
      </c>
      <c r="DL652">
        <v>350</v>
      </c>
      <c r="DM652">
        <v>350</v>
      </c>
      <c r="DN652">
        <v>350</v>
      </c>
      <c r="DO652">
        <v>1</v>
      </c>
      <c r="DQ652">
        <v>72</v>
      </c>
      <c r="DR652">
        <v>350</v>
      </c>
    </row>
    <row r="653" spans="95:122" x14ac:dyDescent="0.25">
      <c r="CQ653" t="s">
        <v>636</v>
      </c>
      <c r="CR653" t="s">
        <v>125</v>
      </c>
      <c r="CS653" t="s">
        <v>85</v>
      </c>
      <c r="CT653">
        <v>46056</v>
      </c>
      <c r="CU653">
        <v>1</v>
      </c>
      <c r="CV653">
        <v>1</v>
      </c>
      <c r="CX653">
        <v>1</v>
      </c>
      <c r="CZ653">
        <v>0</v>
      </c>
      <c r="DA653">
        <v>0</v>
      </c>
      <c r="DB653">
        <v>6.5509259259259262E-3</v>
      </c>
      <c r="DC653">
        <v>3.1018518518518517E-3</v>
      </c>
      <c r="DD653">
        <v>86</v>
      </c>
      <c r="DE653">
        <v>137</v>
      </c>
      <c r="DF653">
        <v>18</v>
      </c>
      <c r="DG653" t="s">
        <v>783</v>
      </c>
      <c r="DH653">
        <v>24386</v>
      </c>
      <c r="DI653">
        <v>0.20930000000000001</v>
      </c>
      <c r="DJ653">
        <v>1</v>
      </c>
      <c r="DK653">
        <v>5.5599999999999997E-2</v>
      </c>
      <c r="DL653">
        <v>3500</v>
      </c>
      <c r="DM653">
        <v>3500</v>
      </c>
      <c r="DN653">
        <v>3500</v>
      </c>
      <c r="DO653">
        <v>1</v>
      </c>
      <c r="DP653">
        <v>0.1123</v>
      </c>
      <c r="DQ653">
        <v>72</v>
      </c>
      <c r="DR653">
        <v>3500</v>
      </c>
    </row>
    <row r="654" spans="95:122" x14ac:dyDescent="0.25">
      <c r="CQ654" t="s">
        <v>636</v>
      </c>
      <c r="CR654" t="s">
        <v>125</v>
      </c>
      <c r="CS654" t="s">
        <v>85</v>
      </c>
      <c r="CT654">
        <v>46069</v>
      </c>
      <c r="CU654">
        <v>1</v>
      </c>
      <c r="CV654">
        <v>1</v>
      </c>
      <c r="CW654">
        <v>1</v>
      </c>
      <c r="CZ654">
        <v>1.1828703703703704E-2</v>
      </c>
      <c r="DA654">
        <v>1.1828703703703704E-2</v>
      </c>
      <c r="DB654">
        <v>0.20835648148148148</v>
      </c>
      <c r="DC654">
        <v>0.12532407407407409</v>
      </c>
      <c r="DD654">
        <v>132</v>
      </c>
      <c r="DE654">
        <v>235</v>
      </c>
      <c r="DF654">
        <v>19</v>
      </c>
      <c r="DG654" t="s">
        <v>936</v>
      </c>
      <c r="DH654">
        <v>51442</v>
      </c>
      <c r="DI654">
        <v>0.1439</v>
      </c>
      <c r="DJ654">
        <v>1</v>
      </c>
      <c r="DK654">
        <v>5.2600000000000001E-2</v>
      </c>
      <c r="DL654">
        <v>200</v>
      </c>
      <c r="DM654">
        <v>200</v>
      </c>
      <c r="DN654">
        <v>200</v>
      </c>
      <c r="DO654">
        <v>1</v>
      </c>
      <c r="DP654">
        <v>0.17530000000000001</v>
      </c>
      <c r="DQ654">
        <v>72</v>
      </c>
      <c r="DR654">
        <v>200</v>
      </c>
    </row>
    <row r="655" spans="95:122" x14ac:dyDescent="0.25">
      <c r="CQ655" t="s">
        <v>636</v>
      </c>
      <c r="CR655" t="s">
        <v>125</v>
      </c>
      <c r="CS655" t="s">
        <v>122</v>
      </c>
      <c r="CT655">
        <v>46064</v>
      </c>
      <c r="CU655">
        <v>1</v>
      </c>
      <c r="CV655">
        <v>1</v>
      </c>
      <c r="CX655">
        <v>1</v>
      </c>
      <c r="CZ655">
        <v>0</v>
      </c>
      <c r="DA655">
        <v>0</v>
      </c>
      <c r="DB655">
        <v>3.8379629629629632E-2</v>
      </c>
      <c r="DC655">
        <v>3.6747685185185182E-2</v>
      </c>
      <c r="DD655">
        <v>47</v>
      </c>
      <c r="DE655">
        <v>159</v>
      </c>
      <c r="DF655">
        <v>9</v>
      </c>
      <c r="DG655" t="s">
        <v>697</v>
      </c>
      <c r="DH655">
        <v>24469</v>
      </c>
      <c r="DI655">
        <v>0.1915</v>
      </c>
      <c r="DJ655">
        <v>1</v>
      </c>
      <c r="DK655">
        <v>0.1111</v>
      </c>
      <c r="DL655">
        <v>4000</v>
      </c>
      <c r="DM655">
        <v>4000</v>
      </c>
      <c r="DQ655">
        <v>72</v>
      </c>
    </row>
    <row r="656" spans="95:122" x14ac:dyDescent="0.25">
      <c r="CQ656" t="s">
        <v>636</v>
      </c>
      <c r="CR656" t="s">
        <v>125</v>
      </c>
      <c r="CS656" t="s">
        <v>59</v>
      </c>
      <c r="CT656">
        <v>46057</v>
      </c>
      <c r="CU656">
        <v>1</v>
      </c>
      <c r="CV656">
        <v>1</v>
      </c>
      <c r="CX656">
        <v>1</v>
      </c>
      <c r="CZ656">
        <v>1.1574074074074073E-5</v>
      </c>
      <c r="DA656">
        <v>1.1574074074074073E-5</v>
      </c>
      <c r="DB656">
        <v>9.0659722222222225E-2</v>
      </c>
      <c r="DC656">
        <v>2.1516203703703704E-2</v>
      </c>
      <c r="DD656">
        <v>183</v>
      </c>
      <c r="DE656">
        <v>434</v>
      </c>
      <c r="DF656">
        <v>25</v>
      </c>
      <c r="DG656">
        <v>1.84</v>
      </c>
      <c r="DH656">
        <v>46977</v>
      </c>
      <c r="DI656">
        <v>0.1366</v>
      </c>
      <c r="DJ656">
        <v>2</v>
      </c>
      <c r="DK656">
        <v>0.08</v>
      </c>
      <c r="DL656">
        <v>9820</v>
      </c>
      <c r="DM656">
        <v>4910</v>
      </c>
      <c r="DN656">
        <v>9000</v>
      </c>
      <c r="DO656">
        <v>0.91649999999999998</v>
      </c>
      <c r="DP656">
        <v>0.13189999999999999</v>
      </c>
      <c r="DQ656">
        <v>72</v>
      </c>
      <c r="DR656">
        <v>9000</v>
      </c>
    </row>
    <row r="657" spans="95:122" x14ac:dyDescent="0.25">
      <c r="CQ657" t="s">
        <v>636</v>
      </c>
      <c r="CR657" t="s">
        <v>125</v>
      </c>
      <c r="CS657" t="s">
        <v>10</v>
      </c>
      <c r="CT657">
        <v>46065</v>
      </c>
      <c r="CU657">
        <v>1</v>
      </c>
      <c r="CV657">
        <v>1</v>
      </c>
      <c r="CX657">
        <v>1</v>
      </c>
      <c r="CZ657">
        <v>9.2592592592592588E-5</v>
      </c>
      <c r="DA657">
        <v>9.2592592592592588E-5</v>
      </c>
      <c r="DB657">
        <v>2.0173611111111111E-2</v>
      </c>
      <c r="DC657">
        <v>1.9756944444444445E-2</v>
      </c>
      <c r="DD657">
        <v>196</v>
      </c>
      <c r="DE657">
        <v>308</v>
      </c>
      <c r="DF657">
        <v>27</v>
      </c>
      <c r="DG657" t="s">
        <v>674</v>
      </c>
      <c r="DH657">
        <v>27214</v>
      </c>
      <c r="DI657">
        <v>0.13780000000000001</v>
      </c>
      <c r="DJ657">
        <v>2</v>
      </c>
      <c r="DK657">
        <v>7.4099999999999999E-2</v>
      </c>
      <c r="DL657">
        <v>2900</v>
      </c>
      <c r="DM657">
        <v>1450</v>
      </c>
      <c r="DN657">
        <v>1900</v>
      </c>
      <c r="DO657">
        <v>0.6552</v>
      </c>
      <c r="DP657">
        <v>0.55840000000000001</v>
      </c>
      <c r="DQ657">
        <v>72</v>
      </c>
      <c r="DR657">
        <v>1900</v>
      </c>
    </row>
    <row r="658" spans="95:122" x14ac:dyDescent="0.25">
      <c r="CQ658" t="s">
        <v>636</v>
      </c>
      <c r="CR658" t="s">
        <v>2</v>
      </c>
      <c r="CS658" t="s">
        <v>29</v>
      </c>
      <c r="CT658">
        <v>46057</v>
      </c>
      <c r="CU658">
        <v>1</v>
      </c>
      <c r="CV658">
        <v>1</v>
      </c>
      <c r="CX658">
        <v>1</v>
      </c>
      <c r="CZ658">
        <v>3.8194444444444446E-4</v>
      </c>
      <c r="DA658">
        <v>3.8194444444444446E-4</v>
      </c>
      <c r="DB658">
        <v>5.8854166666666666E-2</v>
      </c>
      <c r="DC658">
        <v>5.4490740740740742E-2</v>
      </c>
      <c r="DD658">
        <v>105</v>
      </c>
      <c r="DE658">
        <v>186</v>
      </c>
      <c r="DF658">
        <v>25</v>
      </c>
      <c r="DG658">
        <v>1.8</v>
      </c>
      <c r="DH658">
        <v>9418</v>
      </c>
      <c r="DI658">
        <v>0.23810000000000001</v>
      </c>
      <c r="DJ658">
        <v>2</v>
      </c>
      <c r="DK658">
        <v>0.08</v>
      </c>
      <c r="DL658">
        <v>617</v>
      </c>
      <c r="DM658">
        <v>309</v>
      </c>
      <c r="DN658">
        <v>310</v>
      </c>
      <c r="DO658">
        <v>0.50239999999999996</v>
      </c>
      <c r="DQ658">
        <v>72</v>
      </c>
      <c r="DR658">
        <v>310</v>
      </c>
    </row>
    <row r="659" spans="95:122" x14ac:dyDescent="0.25">
      <c r="CQ659" t="s">
        <v>636</v>
      </c>
      <c r="CR659" t="s">
        <v>2</v>
      </c>
      <c r="CS659" t="s">
        <v>38</v>
      </c>
      <c r="CT659">
        <v>46057</v>
      </c>
      <c r="CU659">
        <v>1</v>
      </c>
      <c r="CV659">
        <v>1</v>
      </c>
      <c r="CW659">
        <v>1</v>
      </c>
      <c r="CZ659">
        <v>6.7013888888888887E-3</v>
      </c>
      <c r="DA659">
        <v>6.7013888888888887E-3</v>
      </c>
      <c r="DB659">
        <v>6.3240740740740736E-2</v>
      </c>
      <c r="DC659">
        <v>2.2129629629629631E-2</v>
      </c>
      <c r="DD659">
        <v>110</v>
      </c>
      <c r="DE659">
        <v>158</v>
      </c>
      <c r="DF659">
        <v>35</v>
      </c>
      <c r="DG659" t="s">
        <v>834</v>
      </c>
      <c r="DH659">
        <v>23741</v>
      </c>
      <c r="DI659">
        <v>0.31819999999999998</v>
      </c>
      <c r="DJ659">
        <v>2</v>
      </c>
      <c r="DK659">
        <v>5.7099999999999998E-2</v>
      </c>
      <c r="DL659">
        <v>2500</v>
      </c>
      <c r="DM659">
        <v>1250</v>
      </c>
      <c r="DN659">
        <v>2000</v>
      </c>
      <c r="DO659">
        <v>0.8</v>
      </c>
      <c r="DP659">
        <v>0.19370000000000001</v>
      </c>
      <c r="DQ659">
        <v>72</v>
      </c>
      <c r="DR659">
        <v>2000</v>
      </c>
    </row>
    <row r="660" spans="95:122" x14ac:dyDescent="0.25">
      <c r="CQ660" t="s">
        <v>636</v>
      </c>
      <c r="CR660" t="s">
        <v>2</v>
      </c>
      <c r="CS660" t="s">
        <v>79</v>
      </c>
      <c r="CT660">
        <v>46056</v>
      </c>
      <c r="CU660">
        <v>1</v>
      </c>
      <c r="CV660">
        <v>1</v>
      </c>
      <c r="CX660">
        <v>1</v>
      </c>
      <c r="CZ660">
        <v>0</v>
      </c>
      <c r="DA660">
        <v>0</v>
      </c>
      <c r="DB660">
        <v>0.13177083333333334</v>
      </c>
      <c r="DC660">
        <v>2.8935185185185184E-3</v>
      </c>
      <c r="DD660">
        <v>78</v>
      </c>
      <c r="DE660">
        <v>175</v>
      </c>
      <c r="DF660">
        <v>32</v>
      </c>
      <c r="DG660">
        <v>1.78125</v>
      </c>
      <c r="DH660">
        <v>27243</v>
      </c>
      <c r="DI660">
        <v>0.4103</v>
      </c>
      <c r="DJ660">
        <v>1</v>
      </c>
      <c r="DK660">
        <v>3.1300000000000001E-2</v>
      </c>
      <c r="DL660">
        <v>790</v>
      </c>
      <c r="DM660">
        <v>790</v>
      </c>
      <c r="DQ660">
        <v>72</v>
      </c>
    </row>
    <row r="661" spans="95:122" x14ac:dyDescent="0.25">
      <c r="CQ661" t="s">
        <v>636</v>
      </c>
      <c r="CR661" t="s">
        <v>2</v>
      </c>
      <c r="CS661" t="s">
        <v>79</v>
      </c>
      <c r="CT661">
        <v>46057</v>
      </c>
      <c r="CU661">
        <v>1</v>
      </c>
      <c r="CV661">
        <v>1</v>
      </c>
      <c r="CX661">
        <v>1</v>
      </c>
      <c r="CZ661">
        <v>8.1018518518518516E-5</v>
      </c>
      <c r="DA661">
        <v>8.1018518518518516E-5</v>
      </c>
      <c r="DB661">
        <v>6.0949074074074072E-2</v>
      </c>
      <c r="DC661">
        <v>1.1574074074074073E-5</v>
      </c>
      <c r="DD661">
        <v>106</v>
      </c>
      <c r="DE661">
        <v>226</v>
      </c>
      <c r="DF661">
        <v>24</v>
      </c>
      <c r="DG661" t="s">
        <v>674</v>
      </c>
      <c r="DH661">
        <v>17843</v>
      </c>
      <c r="DI661">
        <v>0.22639999999999999</v>
      </c>
      <c r="DJ661">
        <v>1</v>
      </c>
      <c r="DK661">
        <v>4.1700000000000001E-2</v>
      </c>
      <c r="DL661">
        <v>1000</v>
      </c>
      <c r="DM661">
        <v>1000</v>
      </c>
      <c r="DN661">
        <v>1000</v>
      </c>
      <c r="DO661">
        <v>1</v>
      </c>
      <c r="DP661">
        <v>0.1663</v>
      </c>
      <c r="DQ661">
        <v>72</v>
      </c>
      <c r="DR661">
        <v>1000</v>
      </c>
    </row>
    <row r="662" spans="95:122" x14ac:dyDescent="0.25">
      <c r="CQ662" t="s">
        <v>636</v>
      </c>
      <c r="CR662" t="s">
        <v>2</v>
      </c>
      <c r="CS662" t="s">
        <v>79</v>
      </c>
      <c r="CT662">
        <v>46076</v>
      </c>
      <c r="CU662">
        <v>1</v>
      </c>
      <c r="CV662">
        <v>1</v>
      </c>
      <c r="CX662">
        <v>1</v>
      </c>
      <c r="CZ662">
        <v>1.3888888888888889E-4</v>
      </c>
      <c r="DA662">
        <v>1.3888888888888889E-4</v>
      </c>
      <c r="DB662">
        <v>0.20775462962962962</v>
      </c>
      <c r="DC662">
        <v>0.15240740740740741</v>
      </c>
      <c r="DD662">
        <v>88</v>
      </c>
      <c r="DE662">
        <v>198</v>
      </c>
      <c r="DF662">
        <v>30</v>
      </c>
      <c r="DG662" t="s">
        <v>898</v>
      </c>
      <c r="DH662">
        <v>21241</v>
      </c>
      <c r="DI662">
        <v>0.34089999999999998</v>
      </c>
      <c r="DJ662">
        <v>1</v>
      </c>
      <c r="DK662">
        <v>3.3300000000000003E-2</v>
      </c>
      <c r="DL662">
        <v>2500</v>
      </c>
      <c r="DM662">
        <v>2500</v>
      </c>
      <c r="DQ662">
        <v>72</v>
      </c>
    </row>
    <row r="663" spans="95:122" x14ac:dyDescent="0.25">
      <c r="CQ663" t="s">
        <v>636</v>
      </c>
      <c r="CR663" t="s">
        <v>6</v>
      </c>
      <c r="CS663" t="s">
        <v>19</v>
      </c>
      <c r="CT663">
        <v>46073</v>
      </c>
      <c r="CU663">
        <v>1</v>
      </c>
      <c r="CV663">
        <v>1</v>
      </c>
      <c r="CX663">
        <v>1</v>
      </c>
      <c r="CZ663">
        <v>1.8518518518518518E-4</v>
      </c>
      <c r="DA663">
        <v>1.8518518518518518E-4</v>
      </c>
      <c r="DB663">
        <v>0.20223379629629629</v>
      </c>
      <c r="DC663">
        <v>0.1590162037037037</v>
      </c>
      <c r="DD663">
        <v>189</v>
      </c>
      <c r="DE663">
        <v>288</v>
      </c>
      <c r="DF663">
        <v>35</v>
      </c>
      <c r="DG663" t="s">
        <v>923</v>
      </c>
      <c r="DH663">
        <v>20325</v>
      </c>
      <c r="DI663">
        <v>0.1852</v>
      </c>
      <c r="DJ663">
        <v>1</v>
      </c>
      <c r="DK663">
        <v>2.86E-2</v>
      </c>
      <c r="DL663">
        <v>3360</v>
      </c>
      <c r="DM663">
        <v>3360</v>
      </c>
      <c r="DN663">
        <v>3360</v>
      </c>
      <c r="DO663">
        <v>1</v>
      </c>
      <c r="DP663">
        <v>0.13669999999999999</v>
      </c>
      <c r="DQ663">
        <v>72</v>
      </c>
      <c r="DR663">
        <v>3360</v>
      </c>
    </row>
    <row r="664" spans="95:122" x14ac:dyDescent="0.25">
      <c r="CQ664" t="s">
        <v>636</v>
      </c>
      <c r="CR664" t="s">
        <v>6</v>
      </c>
      <c r="CS664" t="s">
        <v>105</v>
      </c>
      <c r="CT664">
        <v>46059</v>
      </c>
      <c r="CU664">
        <v>1</v>
      </c>
      <c r="CV664">
        <v>1</v>
      </c>
      <c r="CX664">
        <v>1</v>
      </c>
      <c r="CZ664">
        <v>4.6296296296296294E-5</v>
      </c>
      <c r="DA664">
        <v>4.6296296296296294E-5</v>
      </c>
      <c r="DB664">
        <v>3.4652777777777775E-2</v>
      </c>
      <c r="DC664">
        <v>1.375E-2</v>
      </c>
      <c r="DD664">
        <v>129</v>
      </c>
      <c r="DE664">
        <v>254</v>
      </c>
      <c r="DF664">
        <v>18</v>
      </c>
      <c r="DG664" t="s">
        <v>674</v>
      </c>
      <c r="DH664">
        <v>22615</v>
      </c>
      <c r="DI664">
        <v>0.13950000000000001</v>
      </c>
      <c r="DJ664">
        <v>1</v>
      </c>
      <c r="DK664">
        <v>5.5599999999999997E-2</v>
      </c>
      <c r="DL664">
        <v>230</v>
      </c>
      <c r="DM664">
        <v>230</v>
      </c>
      <c r="DN664">
        <v>230</v>
      </c>
      <c r="DO664">
        <v>1</v>
      </c>
      <c r="DP664">
        <v>0.61180000000000001</v>
      </c>
      <c r="DQ664">
        <v>72</v>
      </c>
      <c r="DR664">
        <v>230</v>
      </c>
    </row>
    <row r="665" spans="95:122" x14ac:dyDescent="0.25">
      <c r="CQ665" t="s">
        <v>636</v>
      </c>
      <c r="CR665" t="s">
        <v>6</v>
      </c>
      <c r="CS665" t="s">
        <v>26</v>
      </c>
      <c r="CT665">
        <v>46078</v>
      </c>
      <c r="CU665">
        <v>1</v>
      </c>
      <c r="CV665">
        <v>1</v>
      </c>
      <c r="CX665">
        <v>1</v>
      </c>
      <c r="CZ665">
        <v>1.273148148148148E-4</v>
      </c>
      <c r="DA665">
        <v>1.273148148148148E-4</v>
      </c>
      <c r="DB665">
        <v>0.26001157407407405</v>
      </c>
      <c r="DC665">
        <v>7.8969907407407405E-2</v>
      </c>
      <c r="DD665">
        <v>100</v>
      </c>
      <c r="DE665">
        <v>179</v>
      </c>
      <c r="DF665">
        <v>36</v>
      </c>
      <c r="DG665">
        <v>1.5</v>
      </c>
      <c r="DH665">
        <v>24898</v>
      </c>
      <c r="DI665">
        <v>0.36</v>
      </c>
      <c r="DJ665">
        <v>1</v>
      </c>
      <c r="DK665">
        <v>2.7799999999999998E-2</v>
      </c>
      <c r="DL665">
        <v>250</v>
      </c>
      <c r="DM665">
        <v>250</v>
      </c>
      <c r="DN665">
        <v>250</v>
      </c>
      <c r="DO665">
        <v>1</v>
      </c>
      <c r="DP665">
        <v>0.3503</v>
      </c>
      <c r="DQ665">
        <v>72</v>
      </c>
      <c r="DR665">
        <v>250</v>
      </c>
    </row>
    <row r="666" spans="95:122" x14ac:dyDescent="0.25">
      <c r="CQ666" t="s">
        <v>636</v>
      </c>
      <c r="CR666" t="s">
        <v>6</v>
      </c>
      <c r="CS666" t="s">
        <v>35</v>
      </c>
      <c r="CT666">
        <v>46078</v>
      </c>
      <c r="CU666">
        <v>1</v>
      </c>
      <c r="CV666">
        <v>1</v>
      </c>
      <c r="CX666">
        <v>1</v>
      </c>
      <c r="CZ666">
        <v>3.5879629629629629E-4</v>
      </c>
      <c r="DA666">
        <v>3.5879629629629629E-4</v>
      </c>
      <c r="DB666">
        <v>0.15020833333333333</v>
      </c>
      <c r="DC666">
        <v>0.22714120370370369</v>
      </c>
      <c r="DD666">
        <v>51</v>
      </c>
      <c r="DE666">
        <v>98</v>
      </c>
      <c r="DF666">
        <v>17</v>
      </c>
      <c r="DG666" t="s">
        <v>1025</v>
      </c>
      <c r="DH666">
        <v>15869</v>
      </c>
      <c r="DI666">
        <v>0.33329999999999999</v>
      </c>
      <c r="DJ666">
        <v>3</v>
      </c>
      <c r="DK666">
        <v>0.17649999999999999</v>
      </c>
      <c r="DL666">
        <v>5030</v>
      </c>
      <c r="DM666">
        <v>1677</v>
      </c>
      <c r="DN666">
        <v>4000</v>
      </c>
      <c r="DO666">
        <v>0.79520000000000002</v>
      </c>
      <c r="DP666">
        <v>0.1215</v>
      </c>
      <c r="DQ666">
        <v>72</v>
      </c>
      <c r="DR666">
        <v>2000</v>
      </c>
    </row>
    <row r="667" spans="95:122" x14ac:dyDescent="0.25">
      <c r="CQ667" t="s">
        <v>636</v>
      </c>
      <c r="CR667" t="s">
        <v>6</v>
      </c>
      <c r="CS667" t="s">
        <v>78</v>
      </c>
      <c r="CT667">
        <v>46055</v>
      </c>
      <c r="CU667">
        <v>1</v>
      </c>
      <c r="CV667">
        <v>1</v>
      </c>
      <c r="CX667">
        <v>1</v>
      </c>
      <c r="CZ667">
        <v>1.3888888888888889E-4</v>
      </c>
      <c r="DA667">
        <v>1.3888888888888889E-4</v>
      </c>
      <c r="DB667">
        <v>6.4814814814814811E-2</v>
      </c>
      <c r="DC667">
        <v>3.2141203703703707E-2</v>
      </c>
      <c r="DD667">
        <v>66</v>
      </c>
      <c r="DE667">
        <v>100</v>
      </c>
      <c r="DF667">
        <v>19</v>
      </c>
      <c r="DG667" t="s">
        <v>1092</v>
      </c>
      <c r="DH667">
        <v>13764</v>
      </c>
      <c r="DI667">
        <v>0.28789999999999999</v>
      </c>
      <c r="DJ667">
        <v>2</v>
      </c>
      <c r="DK667">
        <v>0.1053</v>
      </c>
      <c r="DL667">
        <v>8350</v>
      </c>
      <c r="DM667">
        <v>4175</v>
      </c>
      <c r="DN667">
        <v>8350</v>
      </c>
      <c r="DO667">
        <v>1</v>
      </c>
      <c r="DP667">
        <v>0.4788</v>
      </c>
      <c r="DQ667">
        <v>72</v>
      </c>
      <c r="DR667">
        <v>4175</v>
      </c>
    </row>
    <row r="668" spans="95:122" x14ac:dyDescent="0.25">
      <c r="CQ668" t="s">
        <v>636</v>
      </c>
      <c r="CR668" t="s">
        <v>6</v>
      </c>
      <c r="CS668" t="s">
        <v>78</v>
      </c>
      <c r="CT668">
        <v>46062</v>
      </c>
      <c r="CU668">
        <v>1</v>
      </c>
      <c r="CV668">
        <v>1</v>
      </c>
      <c r="CX668">
        <v>1</v>
      </c>
      <c r="CZ668">
        <v>3.8194444444444446E-4</v>
      </c>
      <c r="DA668">
        <v>3.8194444444444446E-4</v>
      </c>
      <c r="DB668">
        <v>2.1076388888888888E-2</v>
      </c>
      <c r="DC668">
        <v>3.0300925925925926E-2</v>
      </c>
      <c r="DD668">
        <v>56</v>
      </c>
      <c r="DE668">
        <v>100</v>
      </c>
      <c r="DF668">
        <v>31</v>
      </c>
      <c r="DG668" t="s">
        <v>1000</v>
      </c>
      <c r="DH668">
        <v>14251</v>
      </c>
      <c r="DI668">
        <v>0.55359999999999998</v>
      </c>
      <c r="DJ668">
        <v>5</v>
      </c>
      <c r="DK668">
        <v>0.1613</v>
      </c>
      <c r="DL668">
        <v>5160</v>
      </c>
      <c r="DM668">
        <v>1032</v>
      </c>
      <c r="DN668">
        <v>3927</v>
      </c>
      <c r="DO668">
        <v>0.76100000000000001</v>
      </c>
      <c r="DP668">
        <v>0.52700000000000002</v>
      </c>
      <c r="DQ668">
        <v>72</v>
      </c>
      <c r="DR668">
        <v>982</v>
      </c>
    </row>
    <row r="669" spans="95:122" x14ac:dyDescent="0.25">
      <c r="CQ669" t="s">
        <v>636</v>
      </c>
      <c r="CR669" t="s">
        <v>6</v>
      </c>
      <c r="CS669" t="s">
        <v>78</v>
      </c>
      <c r="CT669">
        <v>46063</v>
      </c>
      <c r="CU669">
        <v>1</v>
      </c>
      <c r="CV669">
        <v>1</v>
      </c>
      <c r="CX669">
        <v>1</v>
      </c>
      <c r="CZ669">
        <v>1.3888888888888889E-4</v>
      </c>
      <c r="DA669">
        <v>1.3888888888888889E-4</v>
      </c>
      <c r="DB669">
        <v>6.0636574074074072E-2</v>
      </c>
      <c r="DC669">
        <v>3.8078703703703705E-2</v>
      </c>
      <c r="DD669">
        <v>86</v>
      </c>
      <c r="DE669">
        <v>192</v>
      </c>
      <c r="DF669">
        <v>52</v>
      </c>
      <c r="DG669" t="s">
        <v>823</v>
      </c>
      <c r="DH669">
        <v>26167</v>
      </c>
      <c r="DI669">
        <v>0.60470000000000002</v>
      </c>
      <c r="DJ669">
        <v>2</v>
      </c>
      <c r="DK669">
        <v>3.85E-2</v>
      </c>
      <c r="DL669">
        <v>1550</v>
      </c>
      <c r="DM669">
        <v>775</v>
      </c>
      <c r="DN669">
        <v>1050</v>
      </c>
      <c r="DO669">
        <v>0.6774</v>
      </c>
      <c r="DP669">
        <v>0.54790000000000005</v>
      </c>
      <c r="DQ669">
        <v>72</v>
      </c>
      <c r="DR669">
        <v>1050</v>
      </c>
    </row>
    <row r="670" spans="95:122" x14ac:dyDescent="0.25">
      <c r="CQ670" t="s">
        <v>636</v>
      </c>
      <c r="CR670" t="s">
        <v>6</v>
      </c>
      <c r="CS670" t="s">
        <v>78</v>
      </c>
      <c r="CT670">
        <v>46081</v>
      </c>
      <c r="CU670">
        <v>1</v>
      </c>
      <c r="CV670">
        <v>1</v>
      </c>
      <c r="CX670">
        <v>1</v>
      </c>
      <c r="CZ670">
        <v>3.3564814814814812E-4</v>
      </c>
      <c r="DA670">
        <v>3.3564814814814812E-4</v>
      </c>
      <c r="DB670">
        <v>0.11650462962962962</v>
      </c>
      <c r="DC670">
        <v>5.6851851851851855E-2</v>
      </c>
      <c r="DD670">
        <v>39</v>
      </c>
      <c r="DE670">
        <v>76</v>
      </c>
      <c r="DF670">
        <v>27</v>
      </c>
      <c r="DG670" t="s">
        <v>771</v>
      </c>
      <c r="DH670">
        <v>13516</v>
      </c>
      <c r="DI670">
        <v>0.69230000000000003</v>
      </c>
      <c r="DJ670">
        <v>1</v>
      </c>
      <c r="DK670">
        <v>3.6999999999999998E-2</v>
      </c>
      <c r="DL670">
        <v>4000</v>
      </c>
      <c r="DM670">
        <v>4000</v>
      </c>
      <c r="DQ670">
        <v>72</v>
      </c>
    </row>
    <row r="671" spans="95:122" x14ac:dyDescent="0.25">
      <c r="CQ671" t="s">
        <v>636</v>
      </c>
      <c r="CR671" t="s">
        <v>3</v>
      </c>
      <c r="CS671" t="s">
        <v>377</v>
      </c>
      <c r="CT671">
        <v>46066</v>
      </c>
      <c r="CU671">
        <v>1</v>
      </c>
      <c r="CV671">
        <v>1</v>
      </c>
      <c r="CX671">
        <v>1</v>
      </c>
      <c r="CZ671">
        <v>1.3888888888888889E-4</v>
      </c>
      <c r="DA671">
        <v>1.3888888888888889E-4</v>
      </c>
      <c r="DB671">
        <v>0.13608796296296297</v>
      </c>
      <c r="DC671">
        <v>0.12069444444444444</v>
      </c>
      <c r="DD671">
        <v>140</v>
      </c>
      <c r="DE671">
        <v>199</v>
      </c>
      <c r="DF671">
        <v>21</v>
      </c>
      <c r="DG671" t="s">
        <v>845</v>
      </c>
      <c r="DH671">
        <v>23945</v>
      </c>
      <c r="DI671">
        <v>0.15</v>
      </c>
      <c r="DQ671">
        <v>72</v>
      </c>
    </row>
    <row r="672" spans="95:122" x14ac:dyDescent="0.25">
      <c r="CQ672" t="s">
        <v>636</v>
      </c>
      <c r="CR672" t="s">
        <v>3</v>
      </c>
      <c r="CS672" t="s">
        <v>22</v>
      </c>
      <c r="CT672">
        <v>46066</v>
      </c>
      <c r="CU672">
        <v>1</v>
      </c>
      <c r="CV672">
        <v>1</v>
      </c>
      <c r="CX672">
        <v>1</v>
      </c>
      <c r="CZ672">
        <v>1.3888888888888889E-4</v>
      </c>
      <c r="DA672">
        <v>1.3888888888888889E-4</v>
      </c>
      <c r="DB672">
        <v>8.4884259259259257E-2</v>
      </c>
      <c r="DC672">
        <v>0.12359953703703704</v>
      </c>
      <c r="DD672">
        <v>82</v>
      </c>
      <c r="DE672">
        <v>173</v>
      </c>
      <c r="DF672">
        <v>19</v>
      </c>
      <c r="DG672">
        <v>2</v>
      </c>
      <c r="DH672">
        <v>28264</v>
      </c>
      <c r="DI672">
        <v>0.23169999999999999</v>
      </c>
      <c r="DQ672">
        <v>72</v>
      </c>
    </row>
    <row r="673" spans="95:122" x14ac:dyDescent="0.25">
      <c r="CQ673" t="s">
        <v>636</v>
      </c>
      <c r="CR673" t="s">
        <v>3</v>
      </c>
      <c r="CS673" t="s">
        <v>13</v>
      </c>
      <c r="CT673">
        <v>46055</v>
      </c>
      <c r="CU673">
        <v>1</v>
      </c>
      <c r="CV673">
        <v>1</v>
      </c>
      <c r="CX673">
        <v>1</v>
      </c>
      <c r="CZ673">
        <v>9.2592592592592588E-5</v>
      </c>
      <c r="DA673">
        <v>9.2592592592592588E-5</v>
      </c>
      <c r="DB673">
        <v>4.2847222222222224E-2</v>
      </c>
      <c r="DC673">
        <v>8.3912037037037045E-3</v>
      </c>
      <c r="DD673">
        <v>72</v>
      </c>
      <c r="DE673">
        <v>125</v>
      </c>
      <c r="DF673">
        <v>29</v>
      </c>
      <c r="DG673" t="s">
        <v>866</v>
      </c>
      <c r="DH673">
        <v>31755</v>
      </c>
      <c r="DI673">
        <v>0.40279999999999999</v>
      </c>
      <c r="DJ673">
        <v>8</v>
      </c>
      <c r="DK673">
        <v>0.27589999999999998</v>
      </c>
      <c r="DL673">
        <v>22078</v>
      </c>
      <c r="DM673">
        <v>2760</v>
      </c>
      <c r="DN673">
        <v>6150</v>
      </c>
      <c r="DO673">
        <v>0.27860000000000001</v>
      </c>
      <c r="DP673">
        <v>0.1014</v>
      </c>
      <c r="DQ673">
        <v>72</v>
      </c>
      <c r="DR673">
        <v>1538</v>
      </c>
    </row>
    <row r="674" spans="95:122" x14ac:dyDescent="0.25">
      <c r="CQ674" t="s">
        <v>636</v>
      </c>
      <c r="CR674" t="s">
        <v>3</v>
      </c>
      <c r="CS674" t="s">
        <v>13</v>
      </c>
      <c r="CT674">
        <v>46066</v>
      </c>
      <c r="CU674">
        <v>1</v>
      </c>
      <c r="CV674">
        <v>1</v>
      </c>
      <c r="CX674">
        <v>1</v>
      </c>
      <c r="CZ674">
        <v>1.6203703703703703E-4</v>
      </c>
      <c r="DA674">
        <v>1.6203703703703703E-4</v>
      </c>
      <c r="DB674">
        <v>0.12384259259259259</v>
      </c>
      <c r="DC674">
        <v>7.2314814814814818E-2</v>
      </c>
      <c r="DD674">
        <v>86</v>
      </c>
      <c r="DE674">
        <v>192</v>
      </c>
      <c r="DF674">
        <v>21</v>
      </c>
      <c r="DG674" t="s">
        <v>876</v>
      </c>
      <c r="DH674">
        <v>23516</v>
      </c>
      <c r="DI674">
        <v>0.2442</v>
      </c>
      <c r="DQ674">
        <v>72</v>
      </c>
    </row>
    <row r="675" spans="95:122" x14ac:dyDescent="0.25">
      <c r="CQ675" t="s">
        <v>636</v>
      </c>
      <c r="CR675" t="s">
        <v>3</v>
      </c>
      <c r="CS675" t="s">
        <v>32</v>
      </c>
      <c r="CT675">
        <v>46072</v>
      </c>
      <c r="CU675">
        <v>1</v>
      </c>
      <c r="CV675">
        <v>1</v>
      </c>
      <c r="CX675">
        <v>1</v>
      </c>
      <c r="CZ675">
        <v>9.2592592592592588E-5</v>
      </c>
      <c r="DA675">
        <v>9.2592592592592588E-5</v>
      </c>
      <c r="DB675">
        <v>0.1973611111111111</v>
      </c>
      <c r="DC675">
        <v>0.14841435185185184</v>
      </c>
      <c r="DD675">
        <v>83</v>
      </c>
      <c r="DE675">
        <v>176</v>
      </c>
      <c r="DF675">
        <v>20</v>
      </c>
      <c r="DG675">
        <v>1.8</v>
      </c>
      <c r="DH675">
        <v>35487</v>
      </c>
      <c r="DI675">
        <v>0.24099999999999999</v>
      </c>
      <c r="DJ675">
        <v>1</v>
      </c>
      <c r="DK675">
        <v>0.05</v>
      </c>
      <c r="DL675">
        <v>3700</v>
      </c>
      <c r="DM675">
        <v>3700</v>
      </c>
      <c r="DQ675">
        <v>72</v>
      </c>
    </row>
    <row r="676" spans="95:122" x14ac:dyDescent="0.25">
      <c r="CQ676" t="s">
        <v>636</v>
      </c>
      <c r="CR676" t="s">
        <v>3</v>
      </c>
      <c r="CS676" t="s">
        <v>23</v>
      </c>
      <c r="CT676">
        <v>46069</v>
      </c>
      <c r="CU676">
        <v>1</v>
      </c>
      <c r="CV676">
        <v>1</v>
      </c>
      <c r="CZ676">
        <v>1.1574074074074075E-4</v>
      </c>
      <c r="DA676">
        <v>1.1574074074074075E-4</v>
      </c>
      <c r="DB676">
        <v>0.17201388888888888</v>
      </c>
      <c r="DC676">
        <v>5.2210648148148145E-2</v>
      </c>
      <c r="DD676">
        <v>65</v>
      </c>
      <c r="DE676">
        <v>125</v>
      </c>
      <c r="DF676">
        <v>17</v>
      </c>
      <c r="DG676" t="s">
        <v>802</v>
      </c>
      <c r="DH676">
        <v>36172</v>
      </c>
      <c r="DI676">
        <v>0.26150000000000001</v>
      </c>
      <c r="DJ676">
        <v>1</v>
      </c>
      <c r="DK676">
        <v>5.8799999999999998E-2</v>
      </c>
      <c r="DL676">
        <v>1000</v>
      </c>
      <c r="DM676">
        <v>1000</v>
      </c>
      <c r="DN676">
        <v>1000</v>
      </c>
      <c r="DO676">
        <v>1</v>
      </c>
      <c r="DQ676">
        <v>72</v>
      </c>
      <c r="DR676">
        <v>1000</v>
      </c>
    </row>
    <row r="677" spans="95:122" x14ac:dyDescent="0.25">
      <c r="CQ677" t="s">
        <v>636</v>
      </c>
      <c r="CR677" t="s">
        <v>3</v>
      </c>
      <c r="CS677" t="s">
        <v>17</v>
      </c>
      <c r="CT677">
        <v>46066</v>
      </c>
      <c r="CU677">
        <v>1</v>
      </c>
      <c r="CV677">
        <v>1</v>
      </c>
      <c r="CX677">
        <v>1</v>
      </c>
      <c r="CZ677">
        <v>4.2824074074074075E-4</v>
      </c>
      <c r="DA677">
        <v>4.2824074074074075E-4</v>
      </c>
      <c r="DB677">
        <v>0.10173611111111111</v>
      </c>
      <c r="DC677">
        <v>0.12729166666666666</v>
      </c>
      <c r="DD677">
        <v>95</v>
      </c>
      <c r="DE677">
        <v>180</v>
      </c>
      <c r="DF677">
        <v>15</v>
      </c>
      <c r="DG677" t="s">
        <v>739</v>
      </c>
      <c r="DH677">
        <v>50603</v>
      </c>
      <c r="DI677">
        <v>0.15790000000000001</v>
      </c>
      <c r="DQ677">
        <v>72</v>
      </c>
    </row>
    <row r="678" spans="95:122" x14ac:dyDescent="0.25">
      <c r="CQ678" t="s">
        <v>636</v>
      </c>
      <c r="CR678" t="s">
        <v>125</v>
      </c>
      <c r="CS678" t="s">
        <v>109</v>
      </c>
      <c r="CT678">
        <v>46071</v>
      </c>
      <c r="CU678">
        <v>1</v>
      </c>
      <c r="CV678">
        <v>1</v>
      </c>
      <c r="CX678">
        <v>1</v>
      </c>
      <c r="CZ678">
        <v>1.9675925925925926E-4</v>
      </c>
      <c r="DA678">
        <v>1.9675925925925926E-4</v>
      </c>
      <c r="DB678">
        <v>0.20461805555555557</v>
      </c>
      <c r="DC678">
        <v>0.13878472222222221</v>
      </c>
      <c r="DD678">
        <v>85</v>
      </c>
      <c r="DE678">
        <v>189</v>
      </c>
      <c r="DF678">
        <v>19</v>
      </c>
      <c r="DG678">
        <v>2</v>
      </c>
      <c r="DH678">
        <v>24647</v>
      </c>
      <c r="DI678">
        <v>0.2235</v>
      </c>
      <c r="DJ678">
        <v>1</v>
      </c>
      <c r="DK678">
        <v>5.2600000000000001E-2</v>
      </c>
      <c r="DL678">
        <v>1000</v>
      </c>
      <c r="DM678">
        <v>1000</v>
      </c>
      <c r="DQ678">
        <v>70</v>
      </c>
    </row>
    <row r="679" spans="95:122" x14ac:dyDescent="0.25">
      <c r="CQ679" t="s">
        <v>636</v>
      </c>
      <c r="CR679" t="s">
        <v>125</v>
      </c>
      <c r="CS679" t="s">
        <v>109</v>
      </c>
      <c r="CT679">
        <v>46072</v>
      </c>
      <c r="CU679">
        <v>1</v>
      </c>
      <c r="CV679">
        <v>1</v>
      </c>
      <c r="CX679">
        <v>1</v>
      </c>
      <c r="CZ679">
        <v>1.5393518518518519E-3</v>
      </c>
      <c r="DA679">
        <v>1.5393518518518519E-3</v>
      </c>
      <c r="DB679">
        <v>0.21711805555555555</v>
      </c>
      <c r="DC679">
        <v>0.13083333333333333</v>
      </c>
      <c r="DD679">
        <v>85</v>
      </c>
      <c r="DE679">
        <v>219</v>
      </c>
      <c r="DF679">
        <v>10</v>
      </c>
      <c r="DG679">
        <v>1.8</v>
      </c>
      <c r="DH679">
        <v>47315</v>
      </c>
      <c r="DI679">
        <v>0.1176</v>
      </c>
      <c r="DJ679">
        <v>1</v>
      </c>
      <c r="DK679">
        <v>0.1</v>
      </c>
      <c r="DL679">
        <v>600</v>
      </c>
      <c r="DM679">
        <v>600</v>
      </c>
      <c r="DQ679">
        <v>70</v>
      </c>
    </row>
    <row r="680" spans="95:122" x14ac:dyDescent="0.25">
      <c r="CQ680" t="s">
        <v>636</v>
      </c>
      <c r="CR680" t="s">
        <v>125</v>
      </c>
      <c r="CS680" t="s">
        <v>12</v>
      </c>
      <c r="CT680">
        <v>46064</v>
      </c>
      <c r="CU680">
        <v>1</v>
      </c>
      <c r="CV680">
        <v>1</v>
      </c>
      <c r="CX680">
        <v>1</v>
      </c>
      <c r="CZ680">
        <v>8.1018518518518516E-5</v>
      </c>
      <c r="DA680">
        <v>8.1018518518518516E-5</v>
      </c>
      <c r="DB680">
        <v>5.1620370370370372E-2</v>
      </c>
      <c r="DC680">
        <v>4.8009259259259258E-2</v>
      </c>
      <c r="DD680">
        <v>85</v>
      </c>
      <c r="DE680">
        <v>238</v>
      </c>
      <c r="DF680">
        <v>19</v>
      </c>
      <c r="DG680" t="s">
        <v>961</v>
      </c>
      <c r="DH680">
        <v>26578</v>
      </c>
      <c r="DI680">
        <v>0.2235</v>
      </c>
      <c r="DJ680">
        <v>2</v>
      </c>
      <c r="DK680">
        <v>0.1053</v>
      </c>
      <c r="DL680">
        <v>2430</v>
      </c>
      <c r="DM680">
        <v>1215</v>
      </c>
      <c r="DN680">
        <v>2200</v>
      </c>
      <c r="DO680">
        <v>0.90529999999999999</v>
      </c>
      <c r="DP680">
        <v>0.1399</v>
      </c>
      <c r="DQ680">
        <v>70</v>
      </c>
      <c r="DR680">
        <v>2200</v>
      </c>
    </row>
    <row r="681" spans="95:122" x14ac:dyDescent="0.25">
      <c r="CQ681" t="s">
        <v>636</v>
      </c>
      <c r="CR681" t="s">
        <v>125</v>
      </c>
      <c r="CS681" t="s">
        <v>122</v>
      </c>
      <c r="CT681">
        <v>46057</v>
      </c>
      <c r="CU681">
        <v>1</v>
      </c>
      <c r="CV681">
        <v>1</v>
      </c>
      <c r="CX681">
        <v>1</v>
      </c>
      <c r="CZ681">
        <v>0</v>
      </c>
      <c r="DA681">
        <v>0</v>
      </c>
      <c r="DB681">
        <v>0.11284722222222222</v>
      </c>
      <c r="DC681">
        <v>4.9976851851851849E-2</v>
      </c>
      <c r="DD681">
        <v>87</v>
      </c>
      <c r="DE681">
        <v>287</v>
      </c>
      <c r="DF681">
        <v>16</v>
      </c>
      <c r="DG681">
        <v>1.3125</v>
      </c>
      <c r="DH681">
        <v>38405</v>
      </c>
      <c r="DI681">
        <v>0.18390000000000001</v>
      </c>
      <c r="DJ681">
        <v>1</v>
      </c>
      <c r="DK681">
        <v>6.25E-2</v>
      </c>
      <c r="DL681">
        <v>400</v>
      </c>
      <c r="DM681">
        <v>400</v>
      </c>
      <c r="DN681">
        <v>400</v>
      </c>
      <c r="DO681">
        <v>1</v>
      </c>
      <c r="DP681">
        <v>1.9900000000000001E-2</v>
      </c>
      <c r="DQ681">
        <v>70</v>
      </c>
      <c r="DR681">
        <v>400</v>
      </c>
    </row>
    <row r="682" spans="95:122" x14ac:dyDescent="0.25">
      <c r="CQ682" t="s">
        <v>636</v>
      </c>
      <c r="CR682" t="s">
        <v>125</v>
      </c>
      <c r="CS682" t="s">
        <v>59</v>
      </c>
      <c r="CT682">
        <v>46055</v>
      </c>
      <c r="CU682">
        <v>1</v>
      </c>
      <c r="CV682">
        <v>1</v>
      </c>
      <c r="CX682">
        <v>1</v>
      </c>
      <c r="CZ682">
        <v>4.6296296296296294E-5</v>
      </c>
      <c r="DA682">
        <v>4.6296296296296294E-5</v>
      </c>
      <c r="DB682">
        <v>0.10042824074074073</v>
      </c>
      <c r="DC682">
        <v>3.5208333333333335E-2</v>
      </c>
      <c r="DD682">
        <v>132</v>
      </c>
      <c r="DE682">
        <v>306</v>
      </c>
      <c r="DF682">
        <v>28</v>
      </c>
      <c r="DG682" t="s">
        <v>745</v>
      </c>
      <c r="DH682">
        <v>30398</v>
      </c>
      <c r="DI682">
        <v>0.21210000000000001</v>
      </c>
      <c r="DJ682">
        <v>8</v>
      </c>
      <c r="DK682">
        <v>0.28570000000000001</v>
      </c>
      <c r="DL682">
        <v>5762</v>
      </c>
      <c r="DM682">
        <v>720</v>
      </c>
      <c r="DN682">
        <v>5162</v>
      </c>
      <c r="DO682">
        <v>0.89590000000000003</v>
      </c>
      <c r="DP682" t="s">
        <v>637</v>
      </c>
      <c r="DQ682">
        <v>70</v>
      </c>
      <c r="DR682">
        <v>737</v>
      </c>
    </row>
    <row r="683" spans="95:122" x14ac:dyDescent="0.25">
      <c r="CQ683" t="s">
        <v>636</v>
      </c>
      <c r="CR683" t="s">
        <v>125</v>
      </c>
      <c r="CS683" t="s">
        <v>10</v>
      </c>
      <c r="CT683">
        <v>46057</v>
      </c>
      <c r="CU683">
        <v>1</v>
      </c>
      <c r="CV683">
        <v>1</v>
      </c>
      <c r="CX683">
        <v>1</v>
      </c>
      <c r="CZ683">
        <v>8.1018518518518516E-5</v>
      </c>
      <c r="DA683">
        <v>8.1018518518518516E-5</v>
      </c>
      <c r="DB683">
        <v>1.494212962962963E-2</v>
      </c>
      <c r="DC683">
        <v>1.9768518518518519E-2</v>
      </c>
      <c r="DD683">
        <v>198</v>
      </c>
      <c r="DE683">
        <v>341</v>
      </c>
      <c r="DF683">
        <v>26</v>
      </c>
      <c r="DG683" t="s">
        <v>779</v>
      </c>
      <c r="DH683">
        <v>29576</v>
      </c>
      <c r="DI683">
        <v>0.1313</v>
      </c>
      <c r="DJ683">
        <v>1</v>
      </c>
      <c r="DK683">
        <v>3.85E-2</v>
      </c>
      <c r="DL683">
        <v>3000</v>
      </c>
      <c r="DM683">
        <v>3000</v>
      </c>
      <c r="DN683">
        <v>3000</v>
      </c>
      <c r="DO683">
        <v>1</v>
      </c>
      <c r="DP683">
        <v>0.1017</v>
      </c>
      <c r="DQ683">
        <v>70</v>
      </c>
      <c r="DR683">
        <v>3000</v>
      </c>
    </row>
    <row r="684" spans="95:122" x14ac:dyDescent="0.25">
      <c r="CQ684" t="s">
        <v>636</v>
      </c>
      <c r="CR684" t="s">
        <v>2</v>
      </c>
      <c r="CS684" t="s">
        <v>42</v>
      </c>
      <c r="CT684">
        <v>46057</v>
      </c>
      <c r="CU684">
        <v>1</v>
      </c>
      <c r="CV684">
        <v>1</v>
      </c>
      <c r="CX684">
        <v>1</v>
      </c>
      <c r="CZ684">
        <v>6.9444444444444444E-5</v>
      </c>
      <c r="DA684">
        <v>6.9444444444444444E-5</v>
      </c>
      <c r="DB684">
        <v>7.2870370370370377E-2</v>
      </c>
      <c r="DC684">
        <v>1.5671296296296298E-2</v>
      </c>
      <c r="DD684">
        <v>71</v>
      </c>
      <c r="DE684">
        <v>116</v>
      </c>
      <c r="DF684">
        <v>34</v>
      </c>
      <c r="DG684" t="s">
        <v>980</v>
      </c>
      <c r="DH684">
        <v>13185</v>
      </c>
      <c r="DI684">
        <v>0.47889999999999999</v>
      </c>
      <c r="DJ684">
        <v>2</v>
      </c>
      <c r="DK684">
        <v>5.8799999999999998E-2</v>
      </c>
      <c r="DL684">
        <v>2880</v>
      </c>
      <c r="DM684">
        <v>1440</v>
      </c>
      <c r="DN684">
        <v>780</v>
      </c>
      <c r="DO684">
        <v>0.27079999999999999</v>
      </c>
      <c r="DQ684">
        <v>70</v>
      </c>
      <c r="DR684">
        <v>780</v>
      </c>
    </row>
    <row r="685" spans="95:122" x14ac:dyDescent="0.25">
      <c r="CQ685" t="s">
        <v>636</v>
      </c>
      <c r="CR685" t="s">
        <v>2</v>
      </c>
      <c r="CS685" t="s">
        <v>29</v>
      </c>
      <c r="CT685">
        <v>46077</v>
      </c>
      <c r="CU685">
        <v>1</v>
      </c>
      <c r="CV685">
        <v>1</v>
      </c>
      <c r="CX685">
        <v>1</v>
      </c>
      <c r="CZ685">
        <v>9.2592592592592588E-5</v>
      </c>
      <c r="DA685">
        <v>9.2592592592592588E-5</v>
      </c>
      <c r="DB685">
        <v>0.1973263888888889</v>
      </c>
      <c r="DC685">
        <v>0.11407407407407408</v>
      </c>
      <c r="DD685">
        <v>79</v>
      </c>
      <c r="DE685">
        <v>152</v>
      </c>
      <c r="DF685">
        <v>29</v>
      </c>
      <c r="DG685" t="s">
        <v>881</v>
      </c>
      <c r="DH685">
        <v>18092</v>
      </c>
      <c r="DI685">
        <v>0.36709999999999998</v>
      </c>
      <c r="DJ685">
        <v>2</v>
      </c>
      <c r="DK685">
        <v>6.9000000000000006E-2</v>
      </c>
      <c r="DL685">
        <v>6300</v>
      </c>
      <c r="DM685">
        <v>3150</v>
      </c>
      <c r="DN685">
        <v>1800</v>
      </c>
      <c r="DO685">
        <v>0.28570000000000001</v>
      </c>
      <c r="DP685">
        <v>9.98E-2</v>
      </c>
      <c r="DQ685">
        <v>70</v>
      </c>
      <c r="DR685">
        <v>1800</v>
      </c>
    </row>
    <row r="686" spans="95:122" x14ac:dyDescent="0.25">
      <c r="CQ686" t="s">
        <v>636</v>
      </c>
      <c r="CR686" t="s">
        <v>2</v>
      </c>
      <c r="CS686" t="s">
        <v>38</v>
      </c>
      <c r="CT686">
        <v>46077</v>
      </c>
      <c r="CU686">
        <v>1</v>
      </c>
      <c r="CV686">
        <v>1</v>
      </c>
      <c r="CX686">
        <v>1</v>
      </c>
      <c r="CZ686">
        <v>2.3148148148148147E-5</v>
      </c>
      <c r="DA686">
        <v>2.3148148148148147E-5</v>
      </c>
      <c r="DB686">
        <v>0.18995370370370371</v>
      </c>
      <c r="DC686">
        <v>0.1464236111111111</v>
      </c>
      <c r="DD686">
        <v>96</v>
      </c>
      <c r="DE686">
        <v>150</v>
      </c>
      <c r="DF686">
        <v>47</v>
      </c>
      <c r="DG686" t="s">
        <v>1119</v>
      </c>
      <c r="DH686">
        <v>23641</v>
      </c>
      <c r="DI686">
        <v>0.48959999999999998</v>
      </c>
      <c r="DJ686">
        <v>2</v>
      </c>
      <c r="DK686">
        <v>4.2599999999999999E-2</v>
      </c>
      <c r="DL686">
        <v>1195</v>
      </c>
      <c r="DM686">
        <v>598</v>
      </c>
      <c r="DN686">
        <v>800</v>
      </c>
      <c r="DO686">
        <v>0.66949999999999998</v>
      </c>
      <c r="DP686">
        <v>0.22450000000000001</v>
      </c>
      <c r="DQ686">
        <v>70</v>
      </c>
      <c r="DR686">
        <v>800</v>
      </c>
    </row>
    <row r="687" spans="95:122" x14ac:dyDescent="0.25">
      <c r="CQ687" t="s">
        <v>636</v>
      </c>
      <c r="CR687" t="s">
        <v>6</v>
      </c>
      <c r="CS687" t="s">
        <v>19</v>
      </c>
      <c r="CT687">
        <v>46069</v>
      </c>
      <c r="CU687">
        <v>1</v>
      </c>
      <c r="CV687">
        <v>1</v>
      </c>
      <c r="CX687">
        <v>1</v>
      </c>
      <c r="CZ687">
        <v>4.6296296296296294E-5</v>
      </c>
      <c r="DA687">
        <v>4.6296296296296294E-5</v>
      </c>
      <c r="DB687">
        <v>0.24841435185185184</v>
      </c>
      <c r="DC687">
        <v>0.10645833333333334</v>
      </c>
      <c r="DD687">
        <v>124</v>
      </c>
      <c r="DE687">
        <v>196</v>
      </c>
      <c r="DF687">
        <v>22</v>
      </c>
      <c r="DG687" t="s">
        <v>807</v>
      </c>
      <c r="DH687">
        <v>27014</v>
      </c>
      <c r="DI687">
        <v>0.1774</v>
      </c>
      <c r="DJ687">
        <v>1</v>
      </c>
      <c r="DK687">
        <v>4.5499999999999999E-2</v>
      </c>
      <c r="DL687">
        <v>2400</v>
      </c>
      <c r="DM687">
        <v>2400</v>
      </c>
      <c r="DN687">
        <v>2400</v>
      </c>
      <c r="DO687">
        <v>1</v>
      </c>
      <c r="DP687">
        <v>0.13900000000000001</v>
      </c>
      <c r="DQ687">
        <v>70</v>
      </c>
      <c r="DR687">
        <v>2400</v>
      </c>
    </row>
    <row r="688" spans="95:122" x14ac:dyDescent="0.25">
      <c r="CQ688" t="s">
        <v>636</v>
      </c>
      <c r="CR688" t="s">
        <v>6</v>
      </c>
      <c r="CS688" t="s">
        <v>26</v>
      </c>
      <c r="CT688">
        <v>46073</v>
      </c>
      <c r="CU688">
        <v>1</v>
      </c>
      <c r="CV688">
        <v>1</v>
      </c>
      <c r="CX688">
        <v>1</v>
      </c>
      <c r="CZ688">
        <v>8.1018518518518516E-5</v>
      </c>
      <c r="DA688">
        <v>8.1018518518518516E-5</v>
      </c>
      <c r="DB688">
        <v>0.23877314814814815</v>
      </c>
      <c r="DC688">
        <v>7.4513888888888893E-2</v>
      </c>
      <c r="DD688">
        <v>137</v>
      </c>
      <c r="DE688">
        <v>249</v>
      </c>
      <c r="DF688">
        <v>27</v>
      </c>
      <c r="DG688" t="s">
        <v>697</v>
      </c>
      <c r="DH688">
        <v>22637</v>
      </c>
      <c r="DI688">
        <v>0.1971</v>
      </c>
      <c r="DJ688">
        <v>1</v>
      </c>
      <c r="DK688">
        <v>3.6999999999999998E-2</v>
      </c>
      <c r="DL688">
        <v>18500</v>
      </c>
      <c r="DM688">
        <v>18500</v>
      </c>
      <c r="DN688">
        <v>18500</v>
      </c>
      <c r="DO688">
        <v>1</v>
      </c>
      <c r="DP688">
        <v>0.12509999999999999</v>
      </c>
      <c r="DQ688">
        <v>70</v>
      </c>
      <c r="DR688">
        <v>18500</v>
      </c>
    </row>
    <row r="689" spans="95:122" x14ac:dyDescent="0.25">
      <c r="CQ689" t="s">
        <v>636</v>
      </c>
      <c r="CR689" t="s">
        <v>6</v>
      </c>
      <c r="CS689" t="s">
        <v>37</v>
      </c>
      <c r="CT689">
        <v>46059</v>
      </c>
      <c r="CU689">
        <v>1</v>
      </c>
      <c r="CV689">
        <v>1</v>
      </c>
      <c r="CZ689">
        <v>1.273148148148148E-4</v>
      </c>
      <c r="DA689">
        <v>1.273148148148148E-4</v>
      </c>
      <c r="DB689">
        <v>4.8263888888888891E-2</v>
      </c>
      <c r="DC689">
        <v>1.5393518518518518E-2</v>
      </c>
      <c r="DD689">
        <v>81</v>
      </c>
      <c r="DE689">
        <v>133</v>
      </c>
      <c r="DF689">
        <v>14</v>
      </c>
      <c r="DG689">
        <v>1.5</v>
      </c>
      <c r="DH689">
        <v>26566</v>
      </c>
      <c r="DI689">
        <v>0.17280000000000001</v>
      </c>
      <c r="DJ689">
        <v>1</v>
      </c>
      <c r="DK689">
        <v>7.1400000000000005E-2</v>
      </c>
      <c r="DL689">
        <v>300</v>
      </c>
      <c r="DM689">
        <v>300</v>
      </c>
      <c r="DN689">
        <v>300</v>
      </c>
      <c r="DO689">
        <v>1</v>
      </c>
      <c r="DQ689">
        <v>70</v>
      </c>
      <c r="DR689">
        <v>300</v>
      </c>
    </row>
    <row r="690" spans="95:122" x14ac:dyDescent="0.25">
      <c r="CQ690" t="s">
        <v>636</v>
      </c>
      <c r="CR690" t="s">
        <v>6</v>
      </c>
      <c r="CS690" t="s">
        <v>50</v>
      </c>
      <c r="CT690">
        <v>46073</v>
      </c>
      <c r="CU690">
        <v>1</v>
      </c>
      <c r="CV690">
        <v>1</v>
      </c>
      <c r="CX690">
        <v>1</v>
      </c>
      <c r="CZ690">
        <v>9.2592592592592588E-5</v>
      </c>
      <c r="DA690">
        <v>9.2592592592592588E-5</v>
      </c>
      <c r="DB690">
        <v>0.1305324074074074</v>
      </c>
      <c r="DC690">
        <v>0.2283449074074074</v>
      </c>
      <c r="DD690">
        <v>74</v>
      </c>
      <c r="DE690">
        <v>143</v>
      </c>
      <c r="DF690">
        <v>16</v>
      </c>
      <c r="DG690">
        <v>2.1875</v>
      </c>
      <c r="DH690">
        <v>22362</v>
      </c>
      <c r="DI690">
        <v>0.2162</v>
      </c>
      <c r="DJ690">
        <v>3</v>
      </c>
      <c r="DK690">
        <v>0.1875</v>
      </c>
      <c r="DL690">
        <v>5445</v>
      </c>
      <c r="DM690">
        <v>1815</v>
      </c>
      <c r="DN690">
        <v>5200</v>
      </c>
      <c r="DO690">
        <v>0.95499999999999996</v>
      </c>
      <c r="DP690">
        <v>0.1515</v>
      </c>
      <c r="DQ690">
        <v>70</v>
      </c>
      <c r="DR690">
        <v>2600</v>
      </c>
    </row>
    <row r="691" spans="95:122" x14ac:dyDescent="0.25">
      <c r="CQ691" t="s">
        <v>636</v>
      </c>
      <c r="CR691" t="s">
        <v>6</v>
      </c>
      <c r="CS691" t="s">
        <v>34</v>
      </c>
      <c r="CT691">
        <v>46062</v>
      </c>
      <c r="CU691">
        <v>1</v>
      </c>
      <c r="CV691">
        <v>1</v>
      </c>
      <c r="CX691">
        <v>1</v>
      </c>
      <c r="CZ691">
        <v>3.4722222222222222E-5</v>
      </c>
      <c r="DA691">
        <v>3.4722222222222222E-5</v>
      </c>
      <c r="DB691">
        <v>3.7974537037037036E-2</v>
      </c>
      <c r="DC691">
        <v>6.0648148148148145E-3</v>
      </c>
      <c r="DD691">
        <v>57</v>
      </c>
      <c r="DE691">
        <v>77</v>
      </c>
      <c r="DF691">
        <v>9</v>
      </c>
      <c r="DG691" t="s">
        <v>690</v>
      </c>
      <c r="DH691">
        <v>41829</v>
      </c>
      <c r="DI691">
        <v>0.15790000000000001</v>
      </c>
      <c r="DJ691">
        <v>4</v>
      </c>
      <c r="DK691">
        <v>0.44440000000000002</v>
      </c>
      <c r="DL691">
        <v>9850</v>
      </c>
      <c r="DM691">
        <v>2463</v>
      </c>
      <c r="DN691">
        <v>6550</v>
      </c>
      <c r="DO691">
        <v>0.66500000000000004</v>
      </c>
      <c r="DP691">
        <v>0.16869999999999999</v>
      </c>
      <c r="DQ691">
        <v>70</v>
      </c>
      <c r="DR691">
        <v>2183</v>
      </c>
    </row>
    <row r="692" spans="95:122" x14ac:dyDescent="0.25">
      <c r="CQ692" t="s">
        <v>636</v>
      </c>
      <c r="CR692" t="s">
        <v>3</v>
      </c>
      <c r="CS692" t="s">
        <v>377</v>
      </c>
      <c r="CT692">
        <v>46058</v>
      </c>
      <c r="CU692">
        <v>1</v>
      </c>
      <c r="CV692">
        <v>1</v>
      </c>
      <c r="CX692">
        <v>1</v>
      </c>
      <c r="CZ692">
        <v>5.2083333333333333E-4</v>
      </c>
      <c r="DA692">
        <v>5.2083333333333333E-4</v>
      </c>
      <c r="DB692">
        <v>2.9953703703703705E-2</v>
      </c>
      <c r="DC692">
        <v>2.2129629629629631E-2</v>
      </c>
      <c r="DD692">
        <v>81</v>
      </c>
      <c r="DE692">
        <v>147</v>
      </c>
      <c r="DF692">
        <v>17</v>
      </c>
      <c r="DG692" t="s">
        <v>1120</v>
      </c>
      <c r="DH692">
        <v>21158</v>
      </c>
      <c r="DI692">
        <v>0.2099</v>
      </c>
      <c r="DJ692">
        <v>1</v>
      </c>
      <c r="DK692">
        <v>5.8799999999999998E-2</v>
      </c>
      <c r="DL692">
        <v>300</v>
      </c>
      <c r="DM692">
        <v>300</v>
      </c>
      <c r="DN692">
        <v>300</v>
      </c>
      <c r="DO692">
        <v>1</v>
      </c>
      <c r="DP692">
        <v>0.1331</v>
      </c>
      <c r="DQ692">
        <v>70</v>
      </c>
      <c r="DR692">
        <v>300</v>
      </c>
    </row>
    <row r="693" spans="95:122" x14ac:dyDescent="0.25">
      <c r="CQ693" t="s">
        <v>636</v>
      </c>
      <c r="CR693" t="s">
        <v>3</v>
      </c>
      <c r="CS693" t="s">
        <v>22</v>
      </c>
      <c r="CT693">
        <v>46079</v>
      </c>
      <c r="CU693">
        <v>1</v>
      </c>
      <c r="CV693">
        <v>1</v>
      </c>
      <c r="CX693">
        <v>1</v>
      </c>
      <c r="CZ693">
        <v>0</v>
      </c>
      <c r="DA693">
        <v>0</v>
      </c>
      <c r="DB693">
        <v>0.12288194444444445</v>
      </c>
      <c r="DC693">
        <v>0.24968750000000001</v>
      </c>
      <c r="DD693">
        <v>45</v>
      </c>
      <c r="DE693">
        <v>126</v>
      </c>
      <c r="DF693">
        <v>16</v>
      </c>
      <c r="DG693">
        <v>2.3125</v>
      </c>
      <c r="DH693">
        <v>38907</v>
      </c>
      <c r="DI693">
        <v>0.35560000000000003</v>
      </c>
      <c r="DJ693">
        <v>2</v>
      </c>
      <c r="DK693">
        <v>0.125</v>
      </c>
      <c r="DL693">
        <v>800</v>
      </c>
      <c r="DM693">
        <v>400</v>
      </c>
      <c r="DN693">
        <v>200</v>
      </c>
      <c r="DO693">
        <v>0.25</v>
      </c>
      <c r="DP693">
        <v>0.1036</v>
      </c>
      <c r="DQ693">
        <v>70</v>
      </c>
      <c r="DR693">
        <v>200</v>
      </c>
    </row>
    <row r="694" spans="95:122" x14ac:dyDescent="0.25">
      <c r="CQ694" t="s">
        <v>636</v>
      </c>
      <c r="CR694" t="s">
        <v>3</v>
      </c>
      <c r="CS694" t="s">
        <v>13</v>
      </c>
      <c r="CT694">
        <v>46077</v>
      </c>
      <c r="CU694">
        <v>1</v>
      </c>
      <c r="CV694">
        <v>1</v>
      </c>
      <c r="CZ694">
        <v>3.7962962962962963E-3</v>
      </c>
      <c r="DA694">
        <v>3.7962962962962963E-3</v>
      </c>
      <c r="DB694">
        <v>0.18490740740740741</v>
      </c>
      <c r="DC694">
        <v>0.12184027777777778</v>
      </c>
      <c r="DD694">
        <v>85</v>
      </c>
      <c r="DE694">
        <v>174</v>
      </c>
      <c r="DF694">
        <v>15</v>
      </c>
      <c r="DG694" t="s">
        <v>739</v>
      </c>
      <c r="DH694">
        <v>33358</v>
      </c>
      <c r="DI694">
        <v>0.17649999999999999</v>
      </c>
      <c r="DJ694">
        <v>1</v>
      </c>
      <c r="DK694">
        <v>6.6699999999999995E-2</v>
      </c>
      <c r="DL694">
        <v>520</v>
      </c>
      <c r="DM694">
        <v>520</v>
      </c>
      <c r="DN694">
        <v>520</v>
      </c>
      <c r="DO694">
        <v>1</v>
      </c>
      <c r="DQ694">
        <v>70</v>
      </c>
      <c r="DR694">
        <v>520</v>
      </c>
    </row>
    <row r="695" spans="95:122" x14ac:dyDescent="0.25">
      <c r="CQ695" t="s">
        <v>636</v>
      </c>
      <c r="CR695" t="s">
        <v>3</v>
      </c>
      <c r="CS695" t="s">
        <v>32</v>
      </c>
      <c r="CT695">
        <v>46058</v>
      </c>
      <c r="CU695">
        <v>1</v>
      </c>
      <c r="CV695">
        <v>1</v>
      </c>
      <c r="CX695">
        <v>1</v>
      </c>
      <c r="CZ695">
        <v>5.7870370370370373E-5</v>
      </c>
      <c r="DA695">
        <v>5.7870370370370373E-5</v>
      </c>
      <c r="DB695">
        <v>5.1631944444444446E-2</v>
      </c>
      <c r="DC695">
        <v>2.1435185185185186E-2</v>
      </c>
      <c r="DD695">
        <v>77</v>
      </c>
      <c r="DE695">
        <v>187</v>
      </c>
      <c r="DF695">
        <v>17</v>
      </c>
      <c r="DG695" t="s">
        <v>670</v>
      </c>
      <c r="DH695">
        <v>56480</v>
      </c>
      <c r="DI695">
        <v>0.2208</v>
      </c>
      <c r="DJ695">
        <v>2</v>
      </c>
      <c r="DK695">
        <v>0.1176</v>
      </c>
      <c r="DL695">
        <v>2705</v>
      </c>
      <c r="DM695">
        <v>1353</v>
      </c>
      <c r="DN695">
        <v>2500</v>
      </c>
      <c r="DO695">
        <v>0.92420000000000002</v>
      </c>
      <c r="DP695">
        <v>0.1245</v>
      </c>
      <c r="DQ695">
        <v>70</v>
      </c>
      <c r="DR695">
        <v>2500</v>
      </c>
    </row>
    <row r="696" spans="95:122" x14ac:dyDescent="0.25">
      <c r="CQ696" t="s">
        <v>636</v>
      </c>
      <c r="CR696" t="s">
        <v>124</v>
      </c>
      <c r="CS696" t="s">
        <v>58</v>
      </c>
      <c r="CT696">
        <v>46059</v>
      </c>
      <c r="CU696">
        <v>1</v>
      </c>
      <c r="CV696">
        <v>1</v>
      </c>
      <c r="CX696">
        <v>1</v>
      </c>
      <c r="CZ696">
        <v>1.0416666666666667E-4</v>
      </c>
      <c r="DA696">
        <v>1.0416666666666667E-4</v>
      </c>
      <c r="DB696">
        <v>1.9652777777777779E-2</v>
      </c>
      <c r="DC696">
        <v>2.1736111111111112E-2</v>
      </c>
      <c r="DD696">
        <v>151</v>
      </c>
      <c r="DE696">
        <v>279</v>
      </c>
      <c r="DF696">
        <v>35</v>
      </c>
      <c r="DG696" t="s">
        <v>679</v>
      </c>
      <c r="DH696">
        <v>12157</v>
      </c>
      <c r="DI696">
        <v>0.23180000000000001</v>
      </c>
      <c r="DJ696">
        <v>1</v>
      </c>
      <c r="DK696">
        <v>2.86E-2</v>
      </c>
      <c r="DL696">
        <v>200</v>
      </c>
      <c r="DM696">
        <v>200</v>
      </c>
      <c r="DQ696">
        <v>68</v>
      </c>
    </row>
    <row r="697" spans="95:122" x14ac:dyDescent="0.25">
      <c r="CQ697" t="s">
        <v>636</v>
      </c>
      <c r="CR697" t="s">
        <v>124</v>
      </c>
      <c r="CS697" t="s">
        <v>58</v>
      </c>
      <c r="CT697">
        <v>46081</v>
      </c>
      <c r="CU697">
        <v>1</v>
      </c>
      <c r="CV697">
        <v>1</v>
      </c>
      <c r="CX697">
        <v>1</v>
      </c>
      <c r="CZ697">
        <v>5.7870370370370373E-5</v>
      </c>
      <c r="DA697">
        <v>5.7870370370370373E-5</v>
      </c>
      <c r="DB697">
        <v>7.6874999999999999E-2</v>
      </c>
      <c r="DC697">
        <v>0.11386574074074074</v>
      </c>
      <c r="DD697">
        <v>53</v>
      </c>
      <c r="DE697">
        <v>120</v>
      </c>
      <c r="DF697">
        <v>19</v>
      </c>
      <c r="DG697" t="s">
        <v>968</v>
      </c>
      <c r="DH697">
        <v>13450</v>
      </c>
      <c r="DI697">
        <v>0.35849999999999999</v>
      </c>
      <c r="DQ697">
        <v>68</v>
      </c>
    </row>
    <row r="698" spans="95:122" x14ac:dyDescent="0.25">
      <c r="CQ698" t="s">
        <v>636</v>
      </c>
      <c r="CR698" t="s">
        <v>124</v>
      </c>
      <c r="CS698" t="s">
        <v>174</v>
      </c>
      <c r="CT698">
        <v>46080</v>
      </c>
      <c r="CU698">
        <v>1</v>
      </c>
      <c r="CV698">
        <v>1</v>
      </c>
      <c r="CX698">
        <v>1</v>
      </c>
      <c r="CZ698">
        <v>1.1574074074074073E-5</v>
      </c>
      <c r="DA698">
        <v>1.1574074074074073E-5</v>
      </c>
      <c r="DB698">
        <v>0.15086805555555555</v>
      </c>
      <c r="DC698">
        <v>0.23739583333333333</v>
      </c>
      <c r="DD698">
        <v>179</v>
      </c>
      <c r="DE698">
        <v>285</v>
      </c>
      <c r="DF698">
        <v>19</v>
      </c>
      <c r="DG698" t="s">
        <v>725</v>
      </c>
      <c r="DH698">
        <v>15790</v>
      </c>
      <c r="DI698">
        <v>0.1061</v>
      </c>
      <c r="DQ698">
        <v>68</v>
      </c>
    </row>
    <row r="699" spans="95:122" x14ac:dyDescent="0.25">
      <c r="CQ699" t="s">
        <v>636</v>
      </c>
      <c r="CR699" t="s">
        <v>124</v>
      </c>
      <c r="CS699" t="s">
        <v>41</v>
      </c>
      <c r="CT699">
        <v>46062</v>
      </c>
      <c r="CU699">
        <v>1</v>
      </c>
      <c r="CV699">
        <v>1</v>
      </c>
      <c r="CZ699">
        <v>0</v>
      </c>
      <c r="DA699">
        <v>0</v>
      </c>
      <c r="DB699">
        <v>0</v>
      </c>
      <c r="DC699">
        <v>0</v>
      </c>
      <c r="DQ699">
        <v>68</v>
      </c>
    </row>
    <row r="700" spans="95:122" x14ac:dyDescent="0.25">
      <c r="CQ700" t="s">
        <v>636</v>
      </c>
      <c r="CR700" t="s">
        <v>124</v>
      </c>
      <c r="CS700" t="s">
        <v>41</v>
      </c>
      <c r="CT700">
        <v>46065</v>
      </c>
      <c r="CU700">
        <v>1</v>
      </c>
      <c r="CV700">
        <v>1</v>
      </c>
      <c r="CZ700">
        <v>0</v>
      </c>
      <c r="DA700">
        <v>0</v>
      </c>
      <c r="DB700">
        <v>0</v>
      </c>
      <c r="DC700">
        <v>0</v>
      </c>
      <c r="DQ700">
        <v>68</v>
      </c>
    </row>
    <row r="701" spans="95:122" x14ac:dyDescent="0.25">
      <c r="CQ701" t="s">
        <v>636</v>
      </c>
      <c r="CR701" t="s">
        <v>124</v>
      </c>
      <c r="CS701" t="s">
        <v>40</v>
      </c>
      <c r="CT701">
        <v>46062</v>
      </c>
      <c r="CU701">
        <v>1</v>
      </c>
      <c r="CV701">
        <v>1</v>
      </c>
      <c r="CY701">
        <v>1</v>
      </c>
      <c r="CZ701">
        <v>0</v>
      </c>
      <c r="DA701">
        <v>0</v>
      </c>
      <c r="DB701">
        <v>0</v>
      </c>
      <c r="DC701">
        <v>0</v>
      </c>
      <c r="DQ701">
        <v>68</v>
      </c>
    </row>
    <row r="702" spans="95:122" x14ac:dyDescent="0.25">
      <c r="CQ702" t="s">
        <v>636</v>
      </c>
      <c r="CR702" t="s">
        <v>124</v>
      </c>
      <c r="CS702" t="s">
        <v>495</v>
      </c>
      <c r="CT702">
        <v>46081</v>
      </c>
      <c r="CU702">
        <v>1</v>
      </c>
      <c r="CV702">
        <v>1</v>
      </c>
      <c r="CX702">
        <v>1</v>
      </c>
      <c r="CZ702">
        <v>3.4722222222222222E-5</v>
      </c>
      <c r="DA702">
        <v>3.4722222222222222E-5</v>
      </c>
      <c r="DB702">
        <v>9.0127314814814813E-2</v>
      </c>
      <c r="DC702">
        <v>9.3379629629629632E-2</v>
      </c>
      <c r="DD702">
        <v>44</v>
      </c>
      <c r="DE702">
        <v>88</v>
      </c>
      <c r="DF702">
        <v>13</v>
      </c>
      <c r="DG702" t="s">
        <v>727</v>
      </c>
      <c r="DH702">
        <v>38633</v>
      </c>
      <c r="DI702">
        <v>0.29549999999999998</v>
      </c>
      <c r="DQ702">
        <v>68</v>
      </c>
    </row>
    <row r="703" spans="95:122" x14ac:dyDescent="0.25">
      <c r="CQ703" t="s">
        <v>636</v>
      </c>
      <c r="CR703" t="s">
        <v>124</v>
      </c>
      <c r="CS703" t="s">
        <v>493</v>
      </c>
      <c r="CT703">
        <v>46080</v>
      </c>
      <c r="CU703">
        <v>1</v>
      </c>
      <c r="CV703">
        <v>1</v>
      </c>
      <c r="CX703">
        <v>1</v>
      </c>
      <c r="CZ703">
        <v>0</v>
      </c>
      <c r="DA703">
        <v>0</v>
      </c>
      <c r="DB703">
        <v>0.17626157407407408</v>
      </c>
      <c r="DC703">
        <v>0.21820601851851851</v>
      </c>
      <c r="DD703">
        <v>181</v>
      </c>
      <c r="DE703">
        <v>238</v>
      </c>
      <c r="DF703">
        <v>29</v>
      </c>
      <c r="DG703" t="s">
        <v>967</v>
      </c>
      <c r="DH703">
        <v>13654</v>
      </c>
      <c r="DI703">
        <v>0.16020000000000001</v>
      </c>
      <c r="DQ703">
        <v>68</v>
      </c>
    </row>
    <row r="704" spans="95:122" x14ac:dyDescent="0.25">
      <c r="CQ704" t="s">
        <v>636</v>
      </c>
      <c r="CR704" t="s">
        <v>124</v>
      </c>
      <c r="CS704" t="s">
        <v>493</v>
      </c>
      <c r="CT704">
        <v>46081</v>
      </c>
      <c r="CU704">
        <v>1</v>
      </c>
      <c r="CV704">
        <v>1</v>
      </c>
      <c r="CX704">
        <v>1</v>
      </c>
      <c r="CZ704">
        <v>0</v>
      </c>
      <c r="DA704">
        <v>0</v>
      </c>
      <c r="DB704">
        <v>0.11430555555555555</v>
      </c>
      <c r="DC704">
        <v>7.1331018518518516E-2</v>
      </c>
      <c r="DD704">
        <v>102</v>
      </c>
      <c r="DE704">
        <v>132</v>
      </c>
      <c r="DF704">
        <v>20</v>
      </c>
      <c r="DG704">
        <v>1.7</v>
      </c>
      <c r="DH704">
        <v>12107</v>
      </c>
      <c r="DI704">
        <v>0.1961</v>
      </c>
      <c r="DQ704">
        <v>68</v>
      </c>
    </row>
    <row r="705" spans="95:122" x14ac:dyDescent="0.25">
      <c r="CQ705" t="s">
        <v>636</v>
      </c>
      <c r="CR705" t="s">
        <v>124</v>
      </c>
      <c r="CS705" t="s">
        <v>51</v>
      </c>
      <c r="CT705">
        <v>46065</v>
      </c>
      <c r="CU705">
        <v>1</v>
      </c>
      <c r="CV705">
        <v>1</v>
      </c>
      <c r="CW705">
        <v>1</v>
      </c>
      <c r="CZ705">
        <v>4.31712962962963E-3</v>
      </c>
      <c r="DA705">
        <v>4.31712962962963E-3</v>
      </c>
      <c r="DB705">
        <v>2.0266203703703703E-2</v>
      </c>
      <c r="DC705">
        <v>0</v>
      </c>
      <c r="DD705">
        <v>159</v>
      </c>
      <c r="DE705">
        <v>274</v>
      </c>
      <c r="DF705">
        <v>13</v>
      </c>
      <c r="DG705" t="s">
        <v>734</v>
      </c>
      <c r="DH705">
        <v>30523</v>
      </c>
      <c r="DI705">
        <v>8.1799999999999998E-2</v>
      </c>
      <c r="DQ705">
        <v>68</v>
      </c>
    </row>
    <row r="706" spans="95:122" x14ac:dyDescent="0.25">
      <c r="CQ706" t="s">
        <v>636</v>
      </c>
      <c r="CR706" t="s">
        <v>124</v>
      </c>
      <c r="CS706" t="s">
        <v>51</v>
      </c>
      <c r="CT706">
        <v>46081</v>
      </c>
      <c r="CU706">
        <v>1</v>
      </c>
      <c r="CV706">
        <v>1</v>
      </c>
      <c r="CX706">
        <v>1</v>
      </c>
      <c r="CZ706">
        <v>8.1018518518518516E-5</v>
      </c>
      <c r="DA706">
        <v>8.1018518518518516E-5</v>
      </c>
      <c r="DB706">
        <v>0.11534722222222223</v>
      </c>
      <c r="DC706">
        <v>7.2777777777777775E-2</v>
      </c>
      <c r="DD706">
        <v>36</v>
      </c>
      <c r="DE706">
        <v>75</v>
      </c>
      <c r="DF706">
        <v>4</v>
      </c>
      <c r="DG706">
        <v>1.25</v>
      </c>
      <c r="DH706">
        <v>16094</v>
      </c>
      <c r="DI706">
        <v>0.1111</v>
      </c>
      <c r="DQ706">
        <v>68</v>
      </c>
    </row>
    <row r="707" spans="95:122" x14ac:dyDescent="0.25">
      <c r="CQ707" t="s">
        <v>636</v>
      </c>
      <c r="CR707" t="s">
        <v>124</v>
      </c>
      <c r="CS707" t="s">
        <v>49</v>
      </c>
      <c r="CT707">
        <v>46055</v>
      </c>
      <c r="CU707">
        <v>1</v>
      </c>
      <c r="CV707">
        <v>1</v>
      </c>
      <c r="CW707">
        <v>1</v>
      </c>
      <c r="CZ707">
        <v>2.329861111111111E-2</v>
      </c>
      <c r="DA707">
        <v>2.329861111111111E-2</v>
      </c>
      <c r="DB707">
        <v>2.5011574074074075E-2</v>
      </c>
      <c r="DC707">
        <v>3.9930555555555552E-3</v>
      </c>
      <c r="DD707">
        <v>27</v>
      </c>
      <c r="DE707">
        <v>40</v>
      </c>
      <c r="DF707">
        <v>10</v>
      </c>
      <c r="DG707">
        <v>1.2</v>
      </c>
      <c r="DH707">
        <v>15689</v>
      </c>
      <c r="DI707">
        <v>0.37040000000000001</v>
      </c>
      <c r="DJ707">
        <v>4</v>
      </c>
      <c r="DK707">
        <v>0.4</v>
      </c>
      <c r="DL707">
        <v>2214</v>
      </c>
      <c r="DM707">
        <v>554</v>
      </c>
      <c r="DN707">
        <v>814</v>
      </c>
      <c r="DO707">
        <v>0.36770000000000003</v>
      </c>
      <c r="DQ707">
        <v>68</v>
      </c>
      <c r="DR707">
        <v>407</v>
      </c>
    </row>
    <row r="708" spans="95:122" x14ac:dyDescent="0.25">
      <c r="CQ708" t="s">
        <v>636</v>
      </c>
      <c r="CR708" t="s">
        <v>124</v>
      </c>
      <c r="CS708" t="s">
        <v>49</v>
      </c>
      <c r="CT708">
        <v>46062</v>
      </c>
      <c r="CU708">
        <v>1</v>
      </c>
      <c r="CV708">
        <v>1</v>
      </c>
      <c r="CW708">
        <v>1</v>
      </c>
      <c r="CZ708">
        <v>0.22199074074074074</v>
      </c>
      <c r="DA708">
        <v>0.22199074074074074</v>
      </c>
      <c r="DB708">
        <v>1.6620370370370369E-2</v>
      </c>
      <c r="DC708">
        <v>3.5532407407407409E-3</v>
      </c>
      <c r="DD708">
        <v>30</v>
      </c>
      <c r="DE708">
        <v>46</v>
      </c>
      <c r="DF708">
        <v>4</v>
      </c>
      <c r="DG708">
        <v>1.25</v>
      </c>
      <c r="DH708">
        <v>13223</v>
      </c>
      <c r="DI708">
        <v>0.1333</v>
      </c>
      <c r="DQ708">
        <v>68</v>
      </c>
    </row>
    <row r="709" spans="95:122" x14ac:dyDescent="0.25">
      <c r="CQ709" t="s">
        <v>636</v>
      </c>
      <c r="CR709" t="s">
        <v>124</v>
      </c>
      <c r="CS709" t="s">
        <v>49</v>
      </c>
      <c r="CT709">
        <v>46081</v>
      </c>
      <c r="CU709">
        <v>1</v>
      </c>
      <c r="CV709">
        <v>1</v>
      </c>
      <c r="CX709">
        <v>1</v>
      </c>
      <c r="CZ709">
        <v>2.5578703703703705E-3</v>
      </c>
      <c r="DA709">
        <v>2.5578703703703705E-3</v>
      </c>
      <c r="DB709">
        <v>0.13646990740740741</v>
      </c>
      <c r="DC709">
        <v>6.4513888888888885E-2</v>
      </c>
      <c r="DD709">
        <v>29</v>
      </c>
      <c r="DE709">
        <v>43</v>
      </c>
      <c r="DF709">
        <v>9</v>
      </c>
      <c r="DG709" t="s">
        <v>767</v>
      </c>
      <c r="DH709">
        <v>17259</v>
      </c>
      <c r="DI709">
        <v>0.31030000000000002</v>
      </c>
      <c r="DQ709">
        <v>68</v>
      </c>
    </row>
    <row r="710" spans="95:122" x14ac:dyDescent="0.25">
      <c r="CQ710" t="s">
        <v>636</v>
      </c>
      <c r="CR710" t="s">
        <v>124</v>
      </c>
      <c r="CS710" t="s">
        <v>549</v>
      </c>
      <c r="CT710">
        <v>46065</v>
      </c>
      <c r="CU710">
        <v>1</v>
      </c>
      <c r="CV710">
        <v>1</v>
      </c>
      <c r="CW710">
        <v>1</v>
      </c>
      <c r="CZ710">
        <v>7.2222222222222219E-3</v>
      </c>
      <c r="DA710">
        <v>7.2222222222222219E-3</v>
      </c>
      <c r="DB710">
        <v>1.6493055555555556E-2</v>
      </c>
      <c r="DC710">
        <v>4.861111111111111E-4</v>
      </c>
      <c r="DD710">
        <v>111</v>
      </c>
      <c r="DE710">
        <v>132</v>
      </c>
      <c r="DF710">
        <v>18</v>
      </c>
      <c r="DG710" t="s">
        <v>769</v>
      </c>
      <c r="DH710">
        <v>15913</v>
      </c>
      <c r="DI710">
        <v>0.16220000000000001</v>
      </c>
      <c r="DQ710">
        <v>68</v>
      </c>
    </row>
    <row r="711" spans="95:122" x14ac:dyDescent="0.25">
      <c r="CQ711" t="s">
        <v>636</v>
      </c>
      <c r="CR711" t="s">
        <v>124</v>
      </c>
      <c r="CS711" t="s">
        <v>77</v>
      </c>
      <c r="CT711">
        <v>46059</v>
      </c>
      <c r="CU711">
        <v>1</v>
      </c>
      <c r="CV711">
        <v>1</v>
      </c>
      <c r="CX711">
        <v>1</v>
      </c>
      <c r="CZ711">
        <v>0</v>
      </c>
      <c r="DA711">
        <v>0</v>
      </c>
      <c r="DB711">
        <v>4.0949074074074075E-2</v>
      </c>
      <c r="DC711">
        <v>2.6956018518518518E-2</v>
      </c>
      <c r="DD711">
        <v>90</v>
      </c>
      <c r="DE711">
        <v>146</v>
      </c>
      <c r="DF711">
        <v>30</v>
      </c>
      <c r="DG711" t="s">
        <v>1026</v>
      </c>
      <c r="DH711">
        <v>5586</v>
      </c>
      <c r="DI711">
        <v>0.33329999999999999</v>
      </c>
      <c r="DQ711">
        <v>68</v>
      </c>
    </row>
    <row r="712" spans="95:122" x14ac:dyDescent="0.25">
      <c r="CQ712" t="s">
        <v>636</v>
      </c>
      <c r="CR712" t="s">
        <v>124</v>
      </c>
      <c r="CS712" t="s">
        <v>544</v>
      </c>
      <c r="CT712">
        <v>46057</v>
      </c>
      <c r="CU712">
        <v>1</v>
      </c>
      <c r="CV712">
        <v>1</v>
      </c>
      <c r="CX712">
        <v>1</v>
      </c>
      <c r="CZ712">
        <v>4.6296296296296294E-5</v>
      </c>
      <c r="DA712">
        <v>4.6296296296296294E-5</v>
      </c>
      <c r="DB712">
        <v>7.570601851851852E-2</v>
      </c>
      <c r="DC712">
        <v>2.6238425925925925E-2</v>
      </c>
      <c r="DD712">
        <v>118</v>
      </c>
      <c r="DE712">
        <v>201</v>
      </c>
      <c r="DF712">
        <v>41</v>
      </c>
      <c r="DG712" t="s">
        <v>872</v>
      </c>
      <c r="DH712">
        <v>5254</v>
      </c>
      <c r="DI712">
        <v>0.34749999999999998</v>
      </c>
      <c r="DJ712">
        <v>1</v>
      </c>
      <c r="DK712">
        <v>2.4400000000000002E-2</v>
      </c>
      <c r="DL712">
        <v>250</v>
      </c>
      <c r="DM712">
        <v>250</v>
      </c>
      <c r="DQ712">
        <v>68</v>
      </c>
    </row>
    <row r="713" spans="95:122" x14ac:dyDescent="0.25">
      <c r="CQ713" t="s">
        <v>636</v>
      </c>
      <c r="CR713" t="s">
        <v>124</v>
      </c>
      <c r="CS713" t="s">
        <v>544</v>
      </c>
      <c r="CT713">
        <v>46058</v>
      </c>
      <c r="CU713">
        <v>1</v>
      </c>
      <c r="CV713">
        <v>1</v>
      </c>
      <c r="CX713">
        <v>1</v>
      </c>
      <c r="CZ713">
        <v>5.7870370370370373E-5</v>
      </c>
      <c r="DA713">
        <v>5.7870370370370373E-5</v>
      </c>
      <c r="DB713">
        <v>0.12957175925925926</v>
      </c>
      <c r="DC713">
        <v>7.5347222222222222E-3</v>
      </c>
      <c r="DD713">
        <v>123</v>
      </c>
      <c r="DE713">
        <v>201</v>
      </c>
      <c r="DF713">
        <v>38</v>
      </c>
      <c r="DG713" t="s">
        <v>691</v>
      </c>
      <c r="DH713">
        <v>9534</v>
      </c>
      <c r="DI713">
        <v>0.30890000000000001</v>
      </c>
      <c r="DQ713">
        <v>68</v>
      </c>
    </row>
    <row r="714" spans="95:122" x14ac:dyDescent="0.25">
      <c r="CQ714" t="s">
        <v>636</v>
      </c>
      <c r="CR714" t="s">
        <v>124</v>
      </c>
      <c r="CS714" t="s">
        <v>544</v>
      </c>
      <c r="CT714">
        <v>46059</v>
      </c>
      <c r="CU714">
        <v>1</v>
      </c>
      <c r="CV714">
        <v>1</v>
      </c>
      <c r="CX714">
        <v>1</v>
      </c>
      <c r="CZ714">
        <v>1.273148148148148E-4</v>
      </c>
      <c r="DA714">
        <v>1.273148148148148E-4</v>
      </c>
      <c r="DB714">
        <v>6.9467592592592595E-2</v>
      </c>
      <c r="DC714">
        <v>3.2627314814814817E-2</v>
      </c>
      <c r="DD714">
        <v>84</v>
      </c>
      <c r="DE714">
        <v>169</v>
      </c>
      <c r="DF714">
        <v>34</v>
      </c>
      <c r="DG714">
        <v>2</v>
      </c>
      <c r="DH714">
        <v>9867</v>
      </c>
      <c r="DI714">
        <v>0.40479999999999999</v>
      </c>
      <c r="DQ714">
        <v>68</v>
      </c>
    </row>
    <row r="715" spans="95:122" x14ac:dyDescent="0.25">
      <c r="CQ715" t="s">
        <v>636</v>
      </c>
      <c r="CR715" t="s">
        <v>124</v>
      </c>
      <c r="CS715" t="s">
        <v>544</v>
      </c>
      <c r="CT715">
        <v>46065</v>
      </c>
      <c r="CU715">
        <v>1</v>
      </c>
      <c r="CV715">
        <v>1</v>
      </c>
      <c r="CY715">
        <v>1</v>
      </c>
      <c r="CZ715">
        <v>0</v>
      </c>
      <c r="DA715">
        <v>0</v>
      </c>
      <c r="DB715">
        <v>0</v>
      </c>
      <c r="DC715">
        <v>0</v>
      </c>
      <c r="DQ715">
        <v>68</v>
      </c>
    </row>
    <row r="716" spans="95:122" x14ac:dyDescent="0.25">
      <c r="CQ716" t="s">
        <v>636</v>
      </c>
      <c r="CR716" t="s">
        <v>124</v>
      </c>
      <c r="CS716" t="s">
        <v>73</v>
      </c>
      <c r="CT716">
        <v>46058</v>
      </c>
      <c r="CU716">
        <v>1</v>
      </c>
      <c r="CV716">
        <v>1</v>
      </c>
      <c r="CX716">
        <v>1</v>
      </c>
      <c r="CZ716">
        <v>9.2592592592592588E-5</v>
      </c>
      <c r="DA716">
        <v>9.2592592592592588E-5</v>
      </c>
      <c r="DB716">
        <v>0.15375</v>
      </c>
      <c r="DC716">
        <v>6.6469907407407408E-2</v>
      </c>
      <c r="DD716">
        <v>82</v>
      </c>
      <c r="DE716">
        <v>123</v>
      </c>
      <c r="DF716">
        <v>10</v>
      </c>
      <c r="DG716">
        <v>1.7</v>
      </c>
      <c r="DH716">
        <v>11563</v>
      </c>
      <c r="DI716">
        <v>0.122</v>
      </c>
      <c r="DQ716">
        <v>68</v>
      </c>
    </row>
    <row r="717" spans="95:122" x14ac:dyDescent="0.25">
      <c r="CQ717" t="s">
        <v>636</v>
      </c>
      <c r="CR717" t="s">
        <v>124</v>
      </c>
      <c r="CS717" t="s">
        <v>557</v>
      </c>
      <c r="CT717">
        <v>46080</v>
      </c>
      <c r="CU717">
        <v>1</v>
      </c>
      <c r="CV717">
        <v>1</v>
      </c>
      <c r="CX717">
        <v>1</v>
      </c>
      <c r="CZ717">
        <v>1.0416666666666667E-4</v>
      </c>
      <c r="DA717">
        <v>1.0416666666666667E-4</v>
      </c>
      <c r="DB717">
        <v>0.11723379629629629</v>
      </c>
      <c r="DC717">
        <v>0.27006944444444442</v>
      </c>
      <c r="DD717">
        <v>191</v>
      </c>
      <c r="DE717">
        <v>216</v>
      </c>
      <c r="DF717">
        <v>11</v>
      </c>
      <c r="DG717" t="s">
        <v>847</v>
      </c>
      <c r="DH717">
        <v>23521</v>
      </c>
      <c r="DI717">
        <v>5.7599999999999998E-2</v>
      </c>
      <c r="DQ717">
        <v>68</v>
      </c>
    </row>
    <row r="718" spans="95:122" x14ac:dyDescent="0.25">
      <c r="CQ718" t="s">
        <v>636</v>
      </c>
      <c r="CR718" t="s">
        <v>124</v>
      </c>
      <c r="CS718" t="s">
        <v>48</v>
      </c>
      <c r="CT718">
        <v>46058</v>
      </c>
      <c r="CU718">
        <v>1</v>
      </c>
      <c r="CV718">
        <v>1</v>
      </c>
      <c r="CX718">
        <v>1</v>
      </c>
      <c r="CZ718">
        <v>3.4722222222222222E-5</v>
      </c>
      <c r="DA718">
        <v>3.4722222222222222E-5</v>
      </c>
      <c r="DB718">
        <v>0.1257638888888889</v>
      </c>
      <c r="DC718">
        <v>4.0428240740740744E-2</v>
      </c>
      <c r="DD718">
        <v>103</v>
      </c>
      <c r="DE718">
        <v>144</v>
      </c>
      <c r="DF718">
        <v>28</v>
      </c>
      <c r="DG718" t="s">
        <v>803</v>
      </c>
      <c r="DH718">
        <v>7931</v>
      </c>
      <c r="DI718">
        <v>0.27179999999999999</v>
      </c>
      <c r="DQ718">
        <v>68</v>
      </c>
    </row>
    <row r="719" spans="95:122" x14ac:dyDescent="0.25">
      <c r="CQ719" t="s">
        <v>636</v>
      </c>
      <c r="CR719" t="s">
        <v>125</v>
      </c>
      <c r="CS719" t="s">
        <v>109</v>
      </c>
      <c r="CT719">
        <v>46065</v>
      </c>
      <c r="CU719">
        <v>1</v>
      </c>
      <c r="CV719">
        <v>1</v>
      </c>
      <c r="CX719">
        <v>1</v>
      </c>
      <c r="CZ719">
        <v>3.8194444444444446E-4</v>
      </c>
      <c r="DA719">
        <v>3.8194444444444446E-4</v>
      </c>
      <c r="DB719">
        <v>1.2488425925925925E-2</v>
      </c>
      <c r="DC719">
        <v>3.2754629629629631E-3</v>
      </c>
      <c r="DD719">
        <v>140</v>
      </c>
      <c r="DE719">
        <v>283</v>
      </c>
      <c r="DF719">
        <v>16</v>
      </c>
      <c r="DG719">
        <v>1.75</v>
      </c>
      <c r="DH719">
        <v>29437</v>
      </c>
      <c r="DI719">
        <v>0.1143</v>
      </c>
      <c r="DJ719">
        <v>1</v>
      </c>
      <c r="DK719">
        <v>6.25E-2</v>
      </c>
      <c r="DL719">
        <v>4380</v>
      </c>
      <c r="DM719">
        <v>4380</v>
      </c>
      <c r="DN719">
        <v>1000</v>
      </c>
      <c r="DO719">
        <v>0.2283</v>
      </c>
      <c r="DP719">
        <v>8.9399999999999993E-2</v>
      </c>
      <c r="DQ719">
        <v>68</v>
      </c>
      <c r="DR719">
        <v>1000</v>
      </c>
    </row>
    <row r="720" spans="95:122" x14ac:dyDescent="0.25">
      <c r="CQ720" t="s">
        <v>636</v>
      </c>
      <c r="CR720" t="s">
        <v>125</v>
      </c>
      <c r="CS720" t="s">
        <v>60</v>
      </c>
      <c r="CT720">
        <v>46078</v>
      </c>
      <c r="CU720">
        <v>1</v>
      </c>
      <c r="CV720">
        <v>1</v>
      </c>
      <c r="CX720">
        <v>1</v>
      </c>
      <c r="CZ720">
        <v>8.1018518518518516E-5</v>
      </c>
      <c r="DA720">
        <v>8.1018518518518516E-5</v>
      </c>
      <c r="DB720">
        <v>0.19339120370370369</v>
      </c>
      <c r="DC720">
        <v>0.13349537037037038</v>
      </c>
      <c r="DD720">
        <v>129</v>
      </c>
      <c r="DE720">
        <v>200</v>
      </c>
      <c r="DF720">
        <v>11</v>
      </c>
      <c r="DG720" t="s">
        <v>1089</v>
      </c>
      <c r="DH720">
        <v>24758</v>
      </c>
      <c r="DI720">
        <v>8.5300000000000001E-2</v>
      </c>
      <c r="DQ720">
        <v>68</v>
      </c>
    </row>
    <row r="721" spans="95:122" x14ac:dyDescent="0.25">
      <c r="CQ721" t="s">
        <v>636</v>
      </c>
      <c r="CR721" t="s">
        <v>125</v>
      </c>
      <c r="CS721" t="s">
        <v>85</v>
      </c>
      <c r="CT721">
        <v>46065</v>
      </c>
      <c r="CU721">
        <v>1</v>
      </c>
      <c r="CV721">
        <v>1</v>
      </c>
      <c r="CW721">
        <v>1</v>
      </c>
      <c r="CZ721">
        <v>6.4930555555555557E-3</v>
      </c>
      <c r="DA721">
        <v>6.4930555555555557E-3</v>
      </c>
      <c r="DB721">
        <v>0</v>
      </c>
      <c r="DC721">
        <v>0</v>
      </c>
      <c r="DD721">
        <v>126</v>
      </c>
      <c r="DE721">
        <v>270</v>
      </c>
      <c r="DF721">
        <v>20</v>
      </c>
      <c r="DG721">
        <v>1.8</v>
      </c>
      <c r="DH721">
        <v>26084</v>
      </c>
      <c r="DI721">
        <v>0.15870000000000001</v>
      </c>
      <c r="DJ721">
        <v>2</v>
      </c>
      <c r="DK721">
        <v>0.1</v>
      </c>
      <c r="DL721">
        <v>520</v>
      </c>
      <c r="DM721">
        <v>260</v>
      </c>
      <c r="DN721">
        <v>300</v>
      </c>
      <c r="DO721">
        <v>0.57689999999999997</v>
      </c>
      <c r="DP721">
        <v>0.5101</v>
      </c>
      <c r="DQ721">
        <v>68</v>
      </c>
      <c r="DR721">
        <v>300</v>
      </c>
    </row>
    <row r="722" spans="95:122" x14ac:dyDescent="0.25">
      <c r="CQ722" t="s">
        <v>636</v>
      </c>
      <c r="CR722" t="s">
        <v>125</v>
      </c>
      <c r="CS722" t="s">
        <v>85</v>
      </c>
      <c r="CT722">
        <v>46078</v>
      </c>
      <c r="CU722">
        <v>1</v>
      </c>
      <c r="CV722">
        <v>1</v>
      </c>
      <c r="CX722">
        <v>1</v>
      </c>
      <c r="CZ722">
        <v>0</v>
      </c>
      <c r="DA722">
        <v>0</v>
      </c>
      <c r="DB722">
        <v>0.20627314814814815</v>
      </c>
      <c r="DC722">
        <v>0.13495370370370371</v>
      </c>
      <c r="DD722">
        <v>116</v>
      </c>
      <c r="DE722">
        <v>240</v>
      </c>
      <c r="DF722">
        <v>22</v>
      </c>
      <c r="DG722" t="s">
        <v>1013</v>
      </c>
      <c r="DH722">
        <v>49539</v>
      </c>
      <c r="DI722">
        <v>0.18970000000000001</v>
      </c>
      <c r="DQ722">
        <v>68</v>
      </c>
    </row>
    <row r="723" spans="95:122" x14ac:dyDescent="0.25">
      <c r="CQ723" t="s">
        <v>636</v>
      </c>
      <c r="CR723" t="s">
        <v>125</v>
      </c>
      <c r="CS723" t="s">
        <v>75</v>
      </c>
      <c r="CT723">
        <v>46078</v>
      </c>
      <c r="CU723">
        <v>1</v>
      </c>
      <c r="CV723">
        <v>1</v>
      </c>
      <c r="CX723">
        <v>1</v>
      </c>
      <c r="CZ723">
        <v>2.199074074074074E-4</v>
      </c>
      <c r="DA723">
        <v>2.199074074074074E-4</v>
      </c>
      <c r="DB723">
        <v>0.19511574074074073</v>
      </c>
      <c r="DC723">
        <v>0.14196759259259259</v>
      </c>
      <c r="DD723">
        <v>92</v>
      </c>
      <c r="DE723">
        <v>201</v>
      </c>
      <c r="DF723">
        <v>15</v>
      </c>
      <c r="DG723" t="s">
        <v>898</v>
      </c>
      <c r="DH723">
        <v>35434</v>
      </c>
      <c r="DI723">
        <v>0.16300000000000001</v>
      </c>
      <c r="DQ723">
        <v>68</v>
      </c>
    </row>
    <row r="724" spans="95:122" x14ac:dyDescent="0.25">
      <c r="CQ724" t="s">
        <v>636</v>
      </c>
      <c r="CR724" t="s">
        <v>125</v>
      </c>
      <c r="CS724" t="s">
        <v>206</v>
      </c>
      <c r="CT724">
        <v>46078</v>
      </c>
      <c r="CU724">
        <v>1</v>
      </c>
      <c r="CV724">
        <v>1</v>
      </c>
      <c r="CX724">
        <v>1</v>
      </c>
      <c r="CZ724">
        <v>1.1574074074074075E-4</v>
      </c>
      <c r="DA724">
        <v>1.1574074074074075E-4</v>
      </c>
      <c r="DB724">
        <v>0.20622685185185186</v>
      </c>
      <c r="DC724">
        <v>0.16487268518518519</v>
      </c>
      <c r="DD724">
        <v>116</v>
      </c>
      <c r="DE724">
        <v>312</v>
      </c>
      <c r="DF724">
        <v>21</v>
      </c>
      <c r="DG724" t="s">
        <v>674</v>
      </c>
      <c r="DH724">
        <v>17195</v>
      </c>
      <c r="DI724">
        <v>0.18099999999999999</v>
      </c>
      <c r="DQ724">
        <v>68</v>
      </c>
    </row>
    <row r="725" spans="95:122" x14ac:dyDescent="0.25">
      <c r="CQ725" t="s">
        <v>636</v>
      </c>
      <c r="CR725" t="s">
        <v>125</v>
      </c>
      <c r="CS725" t="s">
        <v>59</v>
      </c>
      <c r="CT725">
        <v>46078</v>
      </c>
      <c r="CU725">
        <v>1</v>
      </c>
      <c r="CV725">
        <v>1</v>
      </c>
      <c r="CX725">
        <v>1</v>
      </c>
      <c r="CZ725">
        <v>6.9444444444444444E-5</v>
      </c>
      <c r="DA725">
        <v>6.9444444444444444E-5</v>
      </c>
      <c r="DB725">
        <v>0.18726851851851853</v>
      </c>
      <c r="DC725">
        <v>0.15613425925925925</v>
      </c>
      <c r="DD725">
        <v>190</v>
      </c>
      <c r="DE725">
        <v>371</v>
      </c>
      <c r="DF725">
        <v>24</v>
      </c>
      <c r="DG725">
        <v>1.625</v>
      </c>
      <c r="DH725">
        <v>42525</v>
      </c>
      <c r="DI725">
        <v>0.1263</v>
      </c>
      <c r="DQ725">
        <v>68</v>
      </c>
    </row>
    <row r="726" spans="95:122" x14ac:dyDescent="0.25">
      <c r="CQ726" t="s">
        <v>636</v>
      </c>
      <c r="CR726" t="s">
        <v>125</v>
      </c>
      <c r="CS726" t="s">
        <v>10</v>
      </c>
      <c r="CT726">
        <v>46078</v>
      </c>
      <c r="CU726">
        <v>1</v>
      </c>
      <c r="CV726">
        <v>1</v>
      </c>
      <c r="CX726">
        <v>1</v>
      </c>
      <c r="CZ726">
        <v>5.7870370370370373E-5</v>
      </c>
      <c r="DA726">
        <v>5.7870370370370373E-5</v>
      </c>
      <c r="DB726">
        <v>0.20944444444444443</v>
      </c>
      <c r="DC726">
        <v>0.13568287037037038</v>
      </c>
      <c r="DD726">
        <v>152</v>
      </c>
      <c r="DE726">
        <v>274</v>
      </c>
      <c r="DF726">
        <v>23</v>
      </c>
      <c r="DG726" t="s">
        <v>1118</v>
      </c>
      <c r="DH726">
        <v>32275</v>
      </c>
      <c r="DI726">
        <v>0.15129999999999999</v>
      </c>
      <c r="DQ726">
        <v>68</v>
      </c>
    </row>
    <row r="727" spans="95:122" x14ac:dyDescent="0.25">
      <c r="CQ727" t="s">
        <v>636</v>
      </c>
      <c r="CR727" t="s">
        <v>2</v>
      </c>
      <c r="CS727" t="s">
        <v>15</v>
      </c>
      <c r="CT727">
        <v>46081</v>
      </c>
      <c r="CU727">
        <v>1</v>
      </c>
      <c r="CV727">
        <v>1</v>
      </c>
      <c r="CX727">
        <v>1</v>
      </c>
      <c r="CZ727">
        <v>4.6296296296296294E-5</v>
      </c>
      <c r="DA727">
        <v>4.6296296296296294E-5</v>
      </c>
      <c r="DB727">
        <v>8.8773148148148143E-2</v>
      </c>
      <c r="DC727">
        <v>0.10524305555555556</v>
      </c>
      <c r="DD727">
        <v>16</v>
      </c>
      <c r="DE727">
        <v>23</v>
      </c>
      <c r="DF727">
        <v>10</v>
      </c>
      <c r="DG727">
        <v>1.4</v>
      </c>
      <c r="DH727">
        <v>12495</v>
      </c>
      <c r="DI727">
        <v>0.625</v>
      </c>
      <c r="DQ727">
        <v>68</v>
      </c>
    </row>
    <row r="728" spans="95:122" x14ac:dyDescent="0.25">
      <c r="CQ728" t="s">
        <v>636</v>
      </c>
      <c r="CR728" t="s">
        <v>2</v>
      </c>
      <c r="CS728" t="s">
        <v>42</v>
      </c>
      <c r="CT728">
        <v>46064</v>
      </c>
      <c r="CU728">
        <v>1</v>
      </c>
      <c r="CV728">
        <v>1</v>
      </c>
      <c r="CW728">
        <v>1</v>
      </c>
      <c r="CZ728">
        <v>5.3935185185185188E-3</v>
      </c>
      <c r="DA728">
        <v>5.3935185185185188E-3</v>
      </c>
      <c r="DB728">
        <v>1.255787037037037E-2</v>
      </c>
      <c r="DC728">
        <v>1.5358796296296296E-2</v>
      </c>
      <c r="DD728">
        <v>94</v>
      </c>
      <c r="DE728">
        <v>193</v>
      </c>
      <c r="DF728">
        <v>14</v>
      </c>
      <c r="DG728" t="s">
        <v>745</v>
      </c>
      <c r="DH728">
        <v>13898</v>
      </c>
      <c r="DI728">
        <v>0.1489</v>
      </c>
      <c r="DQ728">
        <v>68</v>
      </c>
    </row>
    <row r="729" spans="95:122" x14ac:dyDescent="0.25">
      <c r="CQ729" t="s">
        <v>636</v>
      </c>
      <c r="CR729" t="s">
        <v>2</v>
      </c>
      <c r="CS729" t="s">
        <v>42</v>
      </c>
      <c r="CT729">
        <v>46069</v>
      </c>
      <c r="CU729">
        <v>1</v>
      </c>
      <c r="CV729">
        <v>1</v>
      </c>
      <c r="CX729">
        <v>1</v>
      </c>
      <c r="CZ729">
        <v>3.0092592592592595E-4</v>
      </c>
      <c r="DA729">
        <v>3.0092592592592595E-4</v>
      </c>
      <c r="DB729">
        <v>0.19666666666666666</v>
      </c>
      <c r="DC729">
        <v>0.13474537037037038</v>
      </c>
      <c r="DD729">
        <v>103</v>
      </c>
      <c r="DE729">
        <v>215</v>
      </c>
      <c r="DF729">
        <v>29</v>
      </c>
      <c r="DG729" t="s">
        <v>866</v>
      </c>
      <c r="DH729">
        <v>7200</v>
      </c>
      <c r="DI729">
        <v>0.28160000000000002</v>
      </c>
      <c r="DJ729">
        <v>1</v>
      </c>
      <c r="DK729">
        <v>3.4500000000000003E-2</v>
      </c>
      <c r="DL729">
        <v>300</v>
      </c>
      <c r="DM729">
        <v>300</v>
      </c>
      <c r="DQ729">
        <v>68</v>
      </c>
    </row>
    <row r="730" spans="95:122" x14ac:dyDescent="0.25">
      <c r="CQ730" t="s">
        <v>636</v>
      </c>
      <c r="CR730" t="s">
        <v>2</v>
      </c>
      <c r="CS730" t="s">
        <v>42</v>
      </c>
      <c r="CT730">
        <v>46081</v>
      </c>
      <c r="CU730">
        <v>1</v>
      </c>
      <c r="CV730">
        <v>1</v>
      </c>
      <c r="CX730">
        <v>1</v>
      </c>
      <c r="CZ730">
        <v>2.8935185185185184E-4</v>
      </c>
      <c r="DA730">
        <v>2.8935185185185184E-4</v>
      </c>
      <c r="DB730">
        <v>0.11194444444444444</v>
      </c>
      <c r="DC730">
        <v>7.9502314814814817E-2</v>
      </c>
      <c r="DD730">
        <v>32</v>
      </c>
      <c r="DE730">
        <v>75</v>
      </c>
      <c r="DF730">
        <v>15</v>
      </c>
      <c r="DG730" t="s">
        <v>742</v>
      </c>
      <c r="DH730">
        <v>15347</v>
      </c>
      <c r="DI730">
        <v>0.46879999999999999</v>
      </c>
      <c r="DQ730">
        <v>68</v>
      </c>
    </row>
    <row r="731" spans="95:122" x14ac:dyDescent="0.25">
      <c r="CQ731" t="s">
        <v>636</v>
      </c>
      <c r="CR731" t="s">
        <v>2</v>
      </c>
      <c r="CS731" t="s">
        <v>68</v>
      </c>
      <c r="CT731">
        <v>46064</v>
      </c>
      <c r="CU731">
        <v>1</v>
      </c>
      <c r="CV731">
        <v>1</v>
      </c>
      <c r="CZ731">
        <v>0</v>
      </c>
      <c r="DA731">
        <v>0</v>
      </c>
      <c r="DB731">
        <v>0</v>
      </c>
      <c r="DC731">
        <v>0</v>
      </c>
      <c r="DQ731">
        <v>68</v>
      </c>
    </row>
    <row r="732" spans="95:122" x14ac:dyDescent="0.25">
      <c r="CQ732" t="s">
        <v>636</v>
      </c>
      <c r="CR732" t="s">
        <v>2</v>
      </c>
      <c r="CS732" t="s">
        <v>76</v>
      </c>
      <c r="CT732">
        <v>46081</v>
      </c>
      <c r="CU732">
        <v>1</v>
      </c>
      <c r="CV732">
        <v>1</v>
      </c>
      <c r="CX732">
        <v>1</v>
      </c>
      <c r="CZ732">
        <v>0</v>
      </c>
      <c r="DA732">
        <v>0</v>
      </c>
      <c r="DB732">
        <v>0.12373842592592593</v>
      </c>
      <c r="DC732">
        <v>6.0324074074074072E-2</v>
      </c>
      <c r="DD732">
        <v>33</v>
      </c>
      <c r="DE732">
        <v>43</v>
      </c>
      <c r="DF732">
        <v>7</v>
      </c>
      <c r="DG732" t="s">
        <v>745</v>
      </c>
      <c r="DH732">
        <v>15385</v>
      </c>
      <c r="DI732">
        <v>0.21210000000000001</v>
      </c>
      <c r="DQ732">
        <v>68</v>
      </c>
    </row>
    <row r="733" spans="95:122" x14ac:dyDescent="0.25">
      <c r="CQ733" t="s">
        <v>636</v>
      </c>
      <c r="CR733" t="s">
        <v>6</v>
      </c>
      <c r="CS733" t="s">
        <v>19</v>
      </c>
      <c r="CT733">
        <v>46066</v>
      </c>
      <c r="CU733">
        <v>1</v>
      </c>
      <c r="CV733">
        <v>1</v>
      </c>
      <c r="CX733">
        <v>1</v>
      </c>
      <c r="CZ733">
        <v>3.4722222222222224E-4</v>
      </c>
      <c r="DA733">
        <v>3.4722222222222224E-4</v>
      </c>
      <c r="DB733">
        <v>0.27430555555555558</v>
      </c>
      <c r="DC733">
        <v>0.14277777777777778</v>
      </c>
      <c r="DD733">
        <v>198</v>
      </c>
      <c r="DE733">
        <v>301</v>
      </c>
      <c r="DF733">
        <v>23</v>
      </c>
      <c r="DG733" t="s">
        <v>895</v>
      </c>
      <c r="DH733">
        <v>21703</v>
      </c>
      <c r="DI733">
        <v>0.1162</v>
      </c>
      <c r="DQ733">
        <v>68</v>
      </c>
    </row>
    <row r="734" spans="95:122" x14ac:dyDescent="0.25">
      <c r="CQ734" t="s">
        <v>636</v>
      </c>
      <c r="CR734" t="s">
        <v>6</v>
      </c>
      <c r="CS734" t="s">
        <v>19</v>
      </c>
      <c r="CT734">
        <v>46079</v>
      </c>
      <c r="CU734">
        <v>1</v>
      </c>
      <c r="CV734">
        <v>1</v>
      </c>
      <c r="CX734">
        <v>1</v>
      </c>
      <c r="CZ734">
        <v>1.1574074074074073E-5</v>
      </c>
      <c r="DA734">
        <v>1.1574074074074073E-5</v>
      </c>
      <c r="DB734">
        <v>0.21753472222222223</v>
      </c>
      <c r="DC734">
        <v>0.16375000000000001</v>
      </c>
      <c r="DD734">
        <v>132</v>
      </c>
      <c r="DE734">
        <v>231</v>
      </c>
      <c r="DF734">
        <v>21</v>
      </c>
      <c r="DG734" t="s">
        <v>803</v>
      </c>
      <c r="DH734">
        <v>18975</v>
      </c>
      <c r="DI734">
        <v>0.15909999999999999</v>
      </c>
      <c r="DJ734">
        <v>1</v>
      </c>
      <c r="DK734">
        <v>4.7600000000000003E-2</v>
      </c>
      <c r="DL734">
        <v>380</v>
      </c>
      <c r="DM734">
        <v>380</v>
      </c>
      <c r="DQ734">
        <v>68</v>
      </c>
    </row>
    <row r="735" spans="95:122" x14ac:dyDescent="0.25">
      <c r="CQ735" t="s">
        <v>636</v>
      </c>
      <c r="CR735" t="s">
        <v>6</v>
      </c>
      <c r="CS735" t="s">
        <v>80</v>
      </c>
      <c r="CT735">
        <v>46057</v>
      </c>
      <c r="CU735">
        <v>1</v>
      </c>
      <c r="CV735">
        <v>1</v>
      </c>
      <c r="CX735">
        <v>1</v>
      </c>
      <c r="CZ735">
        <v>6.9444444444444444E-5</v>
      </c>
      <c r="DA735">
        <v>6.9444444444444444E-5</v>
      </c>
      <c r="DB735">
        <v>8.2847222222222225E-2</v>
      </c>
      <c r="DC735">
        <v>1.6562500000000001E-2</v>
      </c>
      <c r="DD735">
        <v>154</v>
      </c>
      <c r="DE735">
        <v>214</v>
      </c>
      <c r="DF735">
        <v>16</v>
      </c>
      <c r="DG735">
        <v>2.3125</v>
      </c>
      <c r="DH735">
        <v>14085</v>
      </c>
      <c r="DI735">
        <v>0.10390000000000001</v>
      </c>
      <c r="DJ735">
        <v>1</v>
      </c>
      <c r="DK735">
        <v>6.25E-2</v>
      </c>
      <c r="DL735">
        <v>100</v>
      </c>
      <c r="DM735">
        <v>100</v>
      </c>
      <c r="DN735">
        <v>100</v>
      </c>
      <c r="DO735">
        <v>1</v>
      </c>
      <c r="DP735">
        <v>0.30520000000000003</v>
      </c>
      <c r="DQ735">
        <v>68</v>
      </c>
      <c r="DR735">
        <v>100</v>
      </c>
    </row>
    <row r="736" spans="95:122" x14ac:dyDescent="0.25">
      <c r="CQ736" t="s">
        <v>636</v>
      </c>
      <c r="CR736" t="s">
        <v>6</v>
      </c>
      <c r="CS736" t="s">
        <v>80</v>
      </c>
      <c r="CT736">
        <v>46079</v>
      </c>
      <c r="CU736">
        <v>1</v>
      </c>
      <c r="CV736">
        <v>1</v>
      </c>
      <c r="CX736">
        <v>1</v>
      </c>
      <c r="CZ736">
        <v>4.6296296296296294E-5</v>
      </c>
      <c r="DA736">
        <v>4.6296296296296294E-5</v>
      </c>
      <c r="DB736">
        <v>0.15594907407407407</v>
      </c>
      <c r="DC736">
        <v>0.18809027777777779</v>
      </c>
      <c r="DD736">
        <v>83</v>
      </c>
      <c r="DE736">
        <v>122</v>
      </c>
      <c r="DF736">
        <v>14</v>
      </c>
      <c r="DG736" t="s">
        <v>796</v>
      </c>
      <c r="DH736">
        <v>61240</v>
      </c>
      <c r="DI736">
        <v>0.16869999999999999</v>
      </c>
      <c r="DQ736">
        <v>68</v>
      </c>
    </row>
    <row r="737" spans="95:122" x14ac:dyDescent="0.25">
      <c r="CQ737" t="s">
        <v>636</v>
      </c>
      <c r="CR737" t="s">
        <v>6</v>
      </c>
      <c r="CS737" t="s">
        <v>80</v>
      </c>
      <c r="CT737">
        <v>46081</v>
      </c>
      <c r="CU737">
        <v>1</v>
      </c>
      <c r="CV737">
        <v>1</v>
      </c>
      <c r="CX737">
        <v>1</v>
      </c>
      <c r="CZ737">
        <v>1.5046296296296297E-4</v>
      </c>
      <c r="DA737">
        <v>1.5046296296296297E-4</v>
      </c>
      <c r="DB737">
        <v>0.13344907407407408</v>
      </c>
      <c r="DC737">
        <v>4.65625E-2</v>
      </c>
      <c r="DD737">
        <v>18</v>
      </c>
      <c r="DE737">
        <v>32</v>
      </c>
      <c r="DF737">
        <v>7</v>
      </c>
      <c r="DG737" t="s">
        <v>803</v>
      </c>
      <c r="DH737">
        <v>33366</v>
      </c>
      <c r="DI737">
        <v>0.38890000000000002</v>
      </c>
      <c r="DQ737">
        <v>68</v>
      </c>
    </row>
    <row r="738" spans="95:122" x14ac:dyDescent="0.25">
      <c r="CQ738" t="s">
        <v>636</v>
      </c>
      <c r="CR738" t="s">
        <v>6</v>
      </c>
      <c r="CS738" t="s">
        <v>81</v>
      </c>
      <c r="CT738">
        <v>46066</v>
      </c>
      <c r="CU738">
        <v>1</v>
      </c>
      <c r="CV738">
        <v>1</v>
      </c>
      <c r="CX738">
        <v>1</v>
      </c>
      <c r="CZ738">
        <v>2.3148148148148147E-5</v>
      </c>
      <c r="DA738">
        <v>2.3148148148148147E-5</v>
      </c>
      <c r="DB738">
        <v>0.22703703703703704</v>
      </c>
      <c r="DC738">
        <v>8.1250000000000003E-2</v>
      </c>
      <c r="DD738">
        <v>82</v>
      </c>
      <c r="DE738">
        <v>142</v>
      </c>
      <c r="DF738">
        <v>16</v>
      </c>
      <c r="DG738">
        <v>2.0625</v>
      </c>
      <c r="DH738">
        <v>5713</v>
      </c>
      <c r="DI738">
        <v>0.1951</v>
      </c>
      <c r="DQ738">
        <v>68</v>
      </c>
    </row>
    <row r="739" spans="95:122" x14ac:dyDescent="0.25">
      <c r="CQ739" t="s">
        <v>636</v>
      </c>
      <c r="CR739" t="s">
        <v>6</v>
      </c>
      <c r="CS739" t="s">
        <v>81</v>
      </c>
      <c r="CT739">
        <v>46081</v>
      </c>
      <c r="CU739">
        <v>1</v>
      </c>
      <c r="CV739">
        <v>1</v>
      </c>
      <c r="CX739">
        <v>1</v>
      </c>
      <c r="CZ739">
        <v>1.1574074074074075E-4</v>
      </c>
      <c r="DA739">
        <v>1.1574074074074075E-4</v>
      </c>
      <c r="DB739">
        <v>0.12975694444444444</v>
      </c>
      <c r="DC739">
        <v>6.8842592592592594E-2</v>
      </c>
      <c r="DD739">
        <v>63</v>
      </c>
      <c r="DE739">
        <v>84</v>
      </c>
      <c r="DF739">
        <v>6</v>
      </c>
      <c r="DG739">
        <v>1.5</v>
      </c>
      <c r="DH739">
        <v>24905</v>
      </c>
      <c r="DI739">
        <v>9.5200000000000007E-2</v>
      </c>
      <c r="DQ739">
        <v>68</v>
      </c>
    </row>
    <row r="740" spans="95:122" x14ac:dyDescent="0.25">
      <c r="CQ740" t="s">
        <v>636</v>
      </c>
      <c r="CR740" t="s">
        <v>6</v>
      </c>
      <c r="CS740" t="s">
        <v>105</v>
      </c>
      <c r="CT740">
        <v>46066</v>
      </c>
      <c r="CU740">
        <v>1</v>
      </c>
      <c r="CV740">
        <v>1</v>
      </c>
      <c r="CX740">
        <v>1</v>
      </c>
      <c r="CZ740">
        <v>1.273148148148148E-4</v>
      </c>
      <c r="DA740">
        <v>1.273148148148148E-4</v>
      </c>
      <c r="DB740">
        <v>0.23287037037037037</v>
      </c>
      <c r="DC740">
        <v>0.10494212962962964</v>
      </c>
      <c r="DD740">
        <v>115</v>
      </c>
      <c r="DE740">
        <v>259</v>
      </c>
      <c r="DF740">
        <v>17</v>
      </c>
      <c r="DG740" t="s">
        <v>1121</v>
      </c>
      <c r="DH740">
        <v>24742</v>
      </c>
      <c r="DI740">
        <v>0.14779999999999999</v>
      </c>
      <c r="DQ740">
        <v>68</v>
      </c>
    </row>
    <row r="741" spans="95:122" x14ac:dyDescent="0.25">
      <c r="CQ741" t="s">
        <v>636</v>
      </c>
      <c r="CR741" t="s">
        <v>6</v>
      </c>
      <c r="CS741" t="s">
        <v>26</v>
      </c>
      <c r="CT741">
        <v>46064</v>
      </c>
      <c r="CU741">
        <v>1</v>
      </c>
      <c r="CV741">
        <v>1</v>
      </c>
      <c r="CX741">
        <v>1</v>
      </c>
      <c r="CZ741">
        <v>1.7361111111111112E-4</v>
      </c>
      <c r="DA741">
        <v>1.7361111111111112E-4</v>
      </c>
      <c r="DB741">
        <v>8.4953703703703701E-3</v>
      </c>
      <c r="DC741">
        <v>1.1226851851851852E-2</v>
      </c>
      <c r="DD741">
        <v>175</v>
      </c>
      <c r="DE741">
        <v>257</v>
      </c>
      <c r="DF741">
        <v>8</v>
      </c>
      <c r="DG741">
        <v>1.375</v>
      </c>
      <c r="DH741">
        <v>8112</v>
      </c>
      <c r="DI741">
        <v>4.5699999999999998E-2</v>
      </c>
      <c r="DQ741">
        <v>68</v>
      </c>
    </row>
    <row r="742" spans="95:122" x14ac:dyDescent="0.25">
      <c r="CQ742" t="s">
        <v>636</v>
      </c>
      <c r="CR742" t="s">
        <v>6</v>
      </c>
      <c r="CS742" t="s">
        <v>26</v>
      </c>
      <c r="CT742">
        <v>46066</v>
      </c>
      <c r="CU742">
        <v>1</v>
      </c>
      <c r="CV742">
        <v>1</v>
      </c>
      <c r="CX742">
        <v>1</v>
      </c>
      <c r="CZ742">
        <v>2.0833333333333335E-4</v>
      </c>
      <c r="DA742">
        <v>2.0833333333333335E-4</v>
      </c>
      <c r="DB742">
        <v>0.24787037037037038</v>
      </c>
      <c r="DC742">
        <v>7.768518518518519E-2</v>
      </c>
      <c r="DD742">
        <v>142</v>
      </c>
      <c r="DE742">
        <v>259</v>
      </c>
      <c r="DF742">
        <v>21</v>
      </c>
      <c r="DG742" t="s">
        <v>845</v>
      </c>
      <c r="DH742">
        <v>16895</v>
      </c>
      <c r="DI742">
        <v>0.1479</v>
      </c>
      <c r="DQ742">
        <v>68</v>
      </c>
    </row>
    <row r="743" spans="95:122" x14ac:dyDescent="0.25">
      <c r="CQ743" t="s">
        <v>636</v>
      </c>
      <c r="CR743" t="s">
        <v>6</v>
      </c>
      <c r="CS743" t="s">
        <v>26</v>
      </c>
      <c r="CT743">
        <v>46079</v>
      </c>
      <c r="CU743">
        <v>1</v>
      </c>
      <c r="CV743">
        <v>1</v>
      </c>
      <c r="CX743">
        <v>1</v>
      </c>
      <c r="CZ743">
        <v>1.0416666666666667E-4</v>
      </c>
      <c r="DA743">
        <v>1.0416666666666667E-4</v>
      </c>
      <c r="DB743">
        <v>0.17827546296296296</v>
      </c>
      <c r="DC743">
        <v>0.19354166666666667</v>
      </c>
      <c r="DD743">
        <v>142</v>
      </c>
      <c r="DE743">
        <v>244</v>
      </c>
      <c r="DF743">
        <v>20</v>
      </c>
      <c r="DG743">
        <v>1.35</v>
      </c>
      <c r="DH743">
        <v>30665</v>
      </c>
      <c r="DI743">
        <v>0.14080000000000001</v>
      </c>
      <c r="DQ743">
        <v>68</v>
      </c>
    </row>
    <row r="744" spans="95:122" x14ac:dyDescent="0.25">
      <c r="CQ744" t="s">
        <v>636</v>
      </c>
      <c r="CR744" t="s">
        <v>6</v>
      </c>
      <c r="CS744" t="s">
        <v>35</v>
      </c>
      <c r="CT744">
        <v>46064</v>
      </c>
      <c r="CU744">
        <v>1</v>
      </c>
      <c r="CV744">
        <v>1</v>
      </c>
      <c r="CX744">
        <v>1</v>
      </c>
      <c r="CZ744">
        <v>1.0416666666666667E-4</v>
      </c>
      <c r="DA744">
        <v>1.0416666666666667E-4</v>
      </c>
      <c r="DB744">
        <v>1.8564814814814815E-2</v>
      </c>
      <c r="DC744">
        <v>0</v>
      </c>
      <c r="DD744">
        <v>59</v>
      </c>
      <c r="DE744">
        <v>117</v>
      </c>
      <c r="DF744">
        <v>20</v>
      </c>
      <c r="DG744">
        <v>1.5</v>
      </c>
      <c r="DH744">
        <v>21894</v>
      </c>
      <c r="DI744">
        <v>0.33900000000000002</v>
      </c>
      <c r="DQ744">
        <v>68</v>
      </c>
    </row>
    <row r="745" spans="95:122" x14ac:dyDescent="0.25">
      <c r="CQ745" t="s">
        <v>636</v>
      </c>
      <c r="CR745" t="s">
        <v>6</v>
      </c>
      <c r="CS745" t="s">
        <v>35</v>
      </c>
      <c r="CT745">
        <v>46066</v>
      </c>
      <c r="CU745">
        <v>1</v>
      </c>
      <c r="CV745">
        <v>1</v>
      </c>
      <c r="CX745">
        <v>1</v>
      </c>
      <c r="CZ745">
        <v>9.2592592592592588E-5</v>
      </c>
      <c r="DA745">
        <v>9.2592592592592588E-5</v>
      </c>
      <c r="DB745">
        <v>0.18118055555555557</v>
      </c>
      <c r="DC745">
        <v>0.15511574074074075</v>
      </c>
      <c r="DD745">
        <v>66</v>
      </c>
      <c r="DE745">
        <v>126</v>
      </c>
      <c r="DF745">
        <v>28</v>
      </c>
      <c r="DG745" t="s">
        <v>896</v>
      </c>
      <c r="DH745">
        <v>17824</v>
      </c>
      <c r="DI745">
        <v>0.42420000000000002</v>
      </c>
      <c r="DJ745">
        <v>1</v>
      </c>
      <c r="DK745">
        <v>3.5700000000000003E-2</v>
      </c>
      <c r="DL745">
        <v>700</v>
      </c>
      <c r="DM745">
        <v>700</v>
      </c>
      <c r="DQ745">
        <v>68</v>
      </c>
    </row>
    <row r="746" spans="95:122" x14ac:dyDescent="0.25">
      <c r="CQ746" t="s">
        <v>636</v>
      </c>
      <c r="CR746" t="s">
        <v>6</v>
      </c>
      <c r="CS746" t="s">
        <v>50</v>
      </c>
      <c r="CT746">
        <v>46056</v>
      </c>
      <c r="CU746">
        <v>1</v>
      </c>
      <c r="CV746">
        <v>1</v>
      </c>
      <c r="CX746">
        <v>1</v>
      </c>
      <c r="CZ746">
        <v>2.5462962962962961E-4</v>
      </c>
      <c r="DA746">
        <v>2.5462962962962961E-4</v>
      </c>
      <c r="DB746">
        <v>4.7627314814814817E-2</v>
      </c>
      <c r="DC746">
        <v>3.6388888888888887E-2</v>
      </c>
      <c r="DD746">
        <v>136</v>
      </c>
      <c r="DE746">
        <v>247</v>
      </c>
      <c r="DF746">
        <v>19</v>
      </c>
      <c r="DG746" t="s">
        <v>691</v>
      </c>
      <c r="DH746">
        <v>23140</v>
      </c>
      <c r="DI746">
        <v>0.13969999999999999</v>
      </c>
      <c r="DJ746">
        <v>1</v>
      </c>
      <c r="DK746">
        <v>5.2600000000000001E-2</v>
      </c>
      <c r="DL746">
        <v>1400</v>
      </c>
      <c r="DM746">
        <v>1400</v>
      </c>
      <c r="DQ746">
        <v>68</v>
      </c>
    </row>
    <row r="747" spans="95:122" x14ac:dyDescent="0.25">
      <c r="CQ747" t="s">
        <v>636</v>
      </c>
      <c r="CR747" t="s">
        <v>6</v>
      </c>
      <c r="CS747" t="s">
        <v>50</v>
      </c>
      <c r="CT747">
        <v>46063</v>
      </c>
      <c r="CU747">
        <v>1</v>
      </c>
      <c r="CV747">
        <v>1</v>
      </c>
      <c r="CX747">
        <v>1</v>
      </c>
      <c r="CZ747">
        <v>1.1574074074074075E-4</v>
      </c>
      <c r="DA747">
        <v>1.1574074074074075E-4</v>
      </c>
      <c r="DB747">
        <v>4.085648148148148E-2</v>
      </c>
      <c r="DC747">
        <v>8.1828703703703699E-3</v>
      </c>
      <c r="DD747">
        <v>114</v>
      </c>
      <c r="DE747">
        <v>192</v>
      </c>
      <c r="DF747">
        <v>24</v>
      </c>
      <c r="DG747">
        <v>1.625</v>
      </c>
      <c r="DH747">
        <v>17539</v>
      </c>
      <c r="DI747">
        <v>0.21049999999999999</v>
      </c>
      <c r="DJ747">
        <v>1</v>
      </c>
      <c r="DK747">
        <v>4.1700000000000001E-2</v>
      </c>
      <c r="DL747">
        <v>3600</v>
      </c>
      <c r="DM747">
        <v>3600</v>
      </c>
      <c r="DQ747">
        <v>68</v>
      </c>
    </row>
    <row r="748" spans="95:122" x14ac:dyDescent="0.25">
      <c r="CQ748" t="s">
        <v>636</v>
      </c>
      <c r="CR748" t="s">
        <v>6</v>
      </c>
      <c r="CS748" t="s">
        <v>50</v>
      </c>
      <c r="CT748">
        <v>46064</v>
      </c>
      <c r="CU748">
        <v>1</v>
      </c>
      <c r="CV748">
        <v>1</v>
      </c>
      <c r="CX748">
        <v>1</v>
      </c>
      <c r="CZ748">
        <v>1.6203703703703703E-4</v>
      </c>
      <c r="DA748">
        <v>1.6203703703703703E-4</v>
      </c>
      <c r="DB748">
        <v>4.6516203703703705E-2</v>
      </c>
      <c r="DC748">
        <v>2.0763888888888887E-2</v>
      </c>
      <c r="DD748">
        <v>83</v>
      </c>
      <c r="DE748">
        <v>122</v>
      </c>
      <c r="DF748">
        <v>10</v>
      </c>
      <c r="DG748">
        <v>1.5</v>
      </c>
      <c r="DH748">
        <v>42186</v>
      </c>
      <c r="DI748">
        <v>0.1205</v>
      </c>
      <c r="DQ748">
        <v>68</v>
      </c>
    </row>
    <row r="749" spans="95:122" x14ac:dyDescent="0.25">
      <c r="CQ749" t="s">
        <v>636</v>
      </c>
      <c r="CR749" t="s">
        <v>6</v>
      </c>
      <c r="CS749" t="s">
        <v>50</v>
      </c>
      <c r="CT749">
        <v>46066</v>
      </c>
      <c r="CU749">
        <v>1</v>
      </c>
      <c r="CV749">
        <v>1</v>
      </c>
      <c r="CX749">
        <v>1</v>
      </c>
      <c r="CZ749">
        <v>1.3888888888888889E-4</v>
      </c>
      <c r="DA749">
        <v>1.3888888888888889E-4</v>
      </c>
      <c r="DB749">
        <v>0.22766203703703702</v>
      </c>
      <c r="DC749">
        <v>0.11</v>
      </c>
      <c r="DD749">
        <v>98</v>
      </c>
      <c r="DE749">
        <v>190</v>
      </c>
      <c r="DF749">
        <v>20</v>
      </c>
      <c r="DG749">
        <v>1.8</v>
      </c>
      <c r="DH749">
        <v>22002</v>
      </c>
      <c r="DI749">
        <v>0.2041</v>
      </c>
      <c r="DQ749">
        <v>68</v>
      </c>
    </row>
    <row r="750" spans="95:122" x14ac:dyDescent="0.25">
      <c r="CQ750" t="s">
        <v>636</v>
      </c>
      <c r="CR750" t="s">
        <v>6</v>
      </c>
      <c r="CS750" t="s">
        <v>50</v>
      </c>
      <c r="CT750">
        <v>46069</v>
      </c>
      <c r="CU750">
        <v>1</v>
      </c>
      <c r="CV750">
        <v>1</v>
      </c>
      <c r="CW750">
        <v>1</v>
      </c>
      <c r="CZ750">
        <v>7.1296296296296299E-3</v>
      </c>
      <c r="DA750">
        <v>7.1296296296296299E-3</v>
      </c>
      <c r="DB750">
        <v>0.19591435185185185</v>
      </c>
      <c r="DC750">
        <v>0.1476736111111111</v>
      </c>
      <c r="DD750">
        <v>79</v>
      </c>
      <c r="DE750">
        <v>154</v>
      </c>
      <c r="DF750">
        <v>21</v>
      </c>
      <c r="DG750" t="s">
        <v>876</v>
      </c>
      <c r="DH750">
        <v>19648</v>
      </c>
      <c r="DI750">
        <v>0.26579999999999998</v>
      </c>
      <c r="DJ750">
        <v>1</v>
      </c>
      <c r="DK750">
        <v>4.7600000000000003E-2</v>
      </c>
      <c r="DL750">
        <v>7500</v>
      </c>
      <c r="DM750">
        <v>7500</v>
      </c>
      <c r="DN750">
        <v>7500</v>
      </c>
      <c r="DO750">
        <v>1</v>
      </c>
      <c r="DP750">
        <v>0.113</v>
      </c>
      <c r="DQ750">
        <v>68</v>
      </c>
      <c r="DR750">
        <v>7500</v>
      </c>
    </row>
    <row r="751" spans="95:122" x14ac:dyDescent="0.25">
      <c r="CQ751" t="s">
        <v>636</v>
      </c>
      <c r="CR751" t="s">
        <v>6</v>
      </c>
      <c r="CS751" t="s">
        <v>50</v>
      </c>
      <c r="CT751">
        <v>46081</v>
      </c>
      <c r="CU751">
        <v>1</v>
      </c>
      <c r="CV751">
        <v>1</v>
      </c>
      <c r="CX751">
        <v>1</v>
      </c>
      <c r="CZ751">
        <v>6.9444444444444444E-5</v>
      </c>
      <c r="DA751">
        <v>6.9444444444444444E-5</v>
      </c>
      <c r="DB751">
        <v>0.13194444444444445</v>
      </c>
      <c r="DC751">
        <v>5.7187500000000002E-2</v>
      </c>
      <c r="DD751">
        <v>60</v>
      </c>
      <c r="DE751">
        <v>101</v>
      </c>
      <c r="DF751">
        <v>13</v>
      </c>
      <c r="DG751" t="s">
        <v>799</v>
      </c>
      <c r="DH751">
        <v>22138</v>
      </c>
      <c r="DI751">
        <v>0.2167</v>
      </c>
      <c r="DQ751">
        <v>68</v>
      </c>
    </row>
    <row r="752" spans="95:122" x14ac:dyDescent="0.25">
      <c r="CQ752" t="s">
        <v>636</v>
      </c>
      <c r="CR752" t="s">
        <v>6</v>
      </c>
      <c r="CS752" t="s">
        <v>97</v>
      </c>
      <c r="CT752">
        <v>46078</v>
      </c>
      <c r="CU752">
        <v>1</v>
      </c>
      <c r="CV752">
        <v>1</v>
      </c>
      <c r="CX752">
        <v>1</v>
      </c>
      <c r="CZ752">
        <v>6.9444444444444444E-5</v>
      </c>
      <c r="DA752">
        <v>6.9444444444444444E-5</v>
      </c>
      <c r="DB752">
        <v>0.12171296296296297</v>
      </c>
      <c r="DC752">
        <v>0.2154513888888889</v>
      </c>
      <c r="DD752">
        <v>94</v>
      </c>
      <c r="DE752">
        <v>199</v>
      </c>
      <c r="DF752">
        <v>23</v>
      </c>
      <c r="DG752" t="s">
        <v>853</v>
      </c>
      <c r="DH752">
        <v>30028</v>
      </c>
      <c r="DI752">
        <v>0.2447</v>
      </c>
      <c r="DJ752">
        <v>2</v>
      </c>
      <c r="DK752">
        <v>8.6999999999999994E-2</v>
      </c>
      <c r="DL752">
        <v>5600</v>
      </c>
      <c r="DM752">
        <v>2800</v>
      </c>
      <c r="DN752">
        <v>4000</v>
      </c>
      <c r="DO752">
        <v>0.71430000000000005</v>
      </c>
      <c r="DP752">
        <v>0.44940000000000002</v>
      </c>
      <c r="DQ752">
        <v>68</v>
      </c>
      <c r="DR752">
        <v>4000</v>
      </c>
    </row>
    <row r="753" spans="95:122" x14ac:dyDescent="0.25">
      <c r="CQ753" t="s">
        <v>636</v>
      </c>
      <c r="CR753" t="s">
        <v>6</v>
      </c>
      <c r="CS753" t="s">
        <v>97</v>
      </c>
      <c r="CT753">
        <v>46079</v>
      </c>
      <c r="CU753">
        <v>1</v>
      </c>
      <c r="CV753">
        <v>1</v>
      </c>
      <c r="CX753">
        <v>1</v>
      </c>
      <c r="CZ753">
        <v>3.4722222222222222E-5</v>
      </c>
      <c r="DA753">
        <v>3.4722222222222222E-5</v>
      </c>
      <c r="DB753">
        <v>0.13954861111111111</v>
      </c>
      <c r="DC753">
        <v>0.2414236111111111</v>
      </c>
      <c r="DD753">
        <v>128</v>
      </c>
      <c r="DE753">
        <v>188</v>
      </c>
      <c r="DF753">
        <v>23</v>
      </c>
      <c r="DG753" t="s">
        <v>827</v>
      </c>
      <c r="DH753">
        <v>29646</v>
      </c>
      <c r="DI753">
        <v>0.1797</v>
      </c>
      <c r="DQ753">
        <v>68</v>
      </c>
    </row>
    <row r="754" spans="95:122" x14ac:dyDescent="0.25">
      <c r="CQ754" t="s">
        <v>636</v>
      </c>
      <c r="CR754" t="s">
        <v>6</v>
      </c>
      <c r="CS754" t="s">
        <v>34</v>
      </c>
      <c r="CT754">
        <v>46064</v>
      </c>
      <c r="CU754">
        <v>1</v>
      </c>
      <c r="CV754">
        <v>1</v>
      </c>
      <c r="CX754">
        <v>1</v>
      </c>
      <c r="CZ754">
        <v>4.6296296296296294E-5</v>
      </c>
      <c r="DA754">
        <v>4.6296296296296294E-5</v>
      </c>
      <c r="DB754">
        <v>7.3611111111111108E-3</v>
      </c>
      <c r="DC754">
        <v>3.414351851851852E-3</v>
      </c>
      <c r="DD754">
        <v>116</v>
      </c>
      <c r="DE754">
        <v>126</v>
      </c>
      <c r="DF754">
        <v>5</v>
      </c>
      <c r="DG754">
        <v>1.4</v>
      </c>
      <c r="DH754">
        <v>27009</v>
      </c>
      <c r="DI754">
        <v>4.3099999999999999E-2</v>
      </c>
      <c r="DQ754">
        <v>68</v>
      </c>
    </row>
    <row r="755" spans="95:122" x14ac:dyDescent="0.25">
      <c r="CQ755" t="s">
        <v>636</v>
      </c>
      <c r="CR755" t="s">
        <v>6</v>
      </c>
      <c r="CS755" t="s">
        <v>34</v>
      </c>
      <c r="CT755">
        <v>46079</v>
      </c>
      <c r="CU755">
        <v>1</v>
      </c>
      <c r="CV755">
        <v>1</v>
      </c>
      <c r="CX755">
        <v>1</v>
      </c>
      <c r="CZ755">
        <v>2.3148148148148147E-5</v>
      </c>
      <c r="DA755">
        <v>2.3148148148148147E-5</v>
      </c>
      <c r="DB755">
        <v>0.17348379629629629</v>
      </c>
      <c r="DC755">
        <v>0.17106481481481481</v>
      </c>
      <c r="DD755">
        <v>181</v>
      </c>
      <c r="DE755">
        <v>192</v>
      </c>
      <c r="DF755">
        <v>10</v>
      </c>
      <c r="DG755">
        <v>1.4</v>
      </c>
      <c r="DH755">
        <v>14330</v>
      </c>
      <c r="DI755">
        <v>5.5199999999999999E-2</v>
      </c>
      <c r="DQ755">
        <v>68</v>
      </c>
    </row>
    <row r="756" spans="95:122" x14ac:dyDescent="0.25">
      <c r="CQ756" t="s">
        <v>636</v>
      </c>
      <c r="CR756" t="s">
        <v>6</v>
      </c>
      <c r="CS756" t="s">
        <v>34</v>
      </c>
      <c r="CT756">
        <v>46081</v>
      </c>
      <c r="CU756">
        <v>1</v>
      </c>
      <c r="CV756">
        <v>1</v>
      </c>
      <c r="CX756">
        <v>1</v>
      </c>
      <c r="CZ756">
        <v>5.7870370370370373E-5</v>
      </c>
      <c r="DA756">
        <v>5.7870370370370373E-5</v>
      </c>
      <c r="DB756">
        <v>0.15126157407407406</v>
      </c>
      <c r="DC756">
        <v>4.0740740740740744E-2</v>
      </c>
      <c r="DD756">
        <v>57</v>
      </c>
      <c r="DE756">
        <v>63</v>
      </c>
      <c r="DF756">
        <v>2</v>
      </c>
      <c r="DG756">
        <v>1.5</v>
      </c>
      <c r="DH756">
        <v>4545</v>
      </c>
      <c r="DI756">
        <v>3.5099999999999999E-2</v>
      </c>
      <c r="DQ756">
        <v>68</v>
      </c>
    </row>
    <row r="757" spans="95:122" x14ac:dyDescent="0.25">
      <c r="CQ757" t="s">
        <v>636</v>
      </c>
      <c r="CR757" t="s">
        <v>6</v>
      </c>
      <c r="CS757" t="s">
        <v>78</v>
      </c>
      <c r="CT757">
        <v>46057</v>
      </c>
      <c r="CU757">
        <v>1</v>
      </c>
      <c r="CV757">
        <v>1</v>
      </c>
      <c r="CX757">
        <v>1</v>
      </c>
      <c r="CZ757">
        <v>1.8518518518518518E-4</v>
      </c>
      <c r="DA757">
        <v>1.8518518518518518E-4</v>
      </c>
      <c r="DB757">
        <v>8.3020833333333335E-2</v>
      </c>
      <c r="DC757">
        <v>1.4490740740740742E-2</v>
      </c>
      <c r="DD757">
        <v>122</v>
      </c>
      <c r="DE757">
        <v>175</v>
      </c>
      <c r="DF757">
        <v>27</v>
      </c>
      <c r="DG757" t="s">
        <v>674</v>
      </c>
      <c r="DH757">
        <v>10338</v>
      </c>
      <c r="DI757">
        <v>0.2213</v>
      </c>
      <c r="DJ757">
        <v>3</v>
      </c>
      <c r="DK757">
        <v>0.1111</v>
      </c>
      <c r="DL757">
        <v>12100</v>
      </c>
      <c r="DM757">
        <v>4033</v>
      </c>
      <c r="DN757">
        <v>600</v>
      </c>
      <c r="DO757">
        <v>4.9599999999999998E-2</v>
      </c>
      <c r="DP757">
        <v>2.4400000000000002E-2</v>
      </c>
      <c r="DQ757">
        <v>68</v>
      </c>
      <c r="DR757">
        <v>600</v>
      </c>
    </row>
    <row r="758" spans="95:122" x14ac:dyDescent="0.25">
      <c r="CQ758" t="s">
        <v>636</v>
      </c>
      <c r="CR758" t="s">
        <v>3</v>
      </c>
      <c r="CS758" t="s">
        <v>377</v>
      </c>
      <c r="CT758">
        <v>46062</v>
      </c>
      <c r="CU758">
        <v>1</v>
      </c>
      <c r="CV758">
        <v>1</v>
      </c>
      <c r="CX758">
        <v>1</v>
      </c>
      <c r="CZ758">
        <v>0</v>
      </c>
      <c r="DA758">
        <v>0</v>
      </c>
      <c r="DB758">
        <v>7.6388888888888886E-3</v>
      </c>
      <c r="DC758">
        <v>1.8703703703703705E-2</v>
      </c>
      <c r="DD758">
        <v>74</v>
      </c>
      <c r="DE758">
        <v>116</v>
      </c>
      <c r="DF758">
        <v>19</v>
      </c>
      <c r="DG758" t="s">
        <v>968</v>
      </c>
      <c r="DH758">
        <v>13121</v>
      </c>
      <c r="DI758">
        <v>0.25679999999999997</v>
      </c>
      <c r="DQ758">
        <v>68</v>
      </c>
    </row>
    <row r="759" spans="95:122" x14ac:dyDescent="0.25">
      <c r="CQ759" t="s">
        <v>636</v>
      </c>
      <c r="CR759" t="s">
        <v>3</v>
      </c>
      <c r="CS759" t="s">
        <v>377</v>
      </c>
      <c r="CT759">
        <v>46072</v>
      </c>
      <c r="CU759">
        <v>1</v>
      </c>
      <c r="CV759">
        <v>1</v>
      </c>
      <c r="CX759">
        <v>1</v>
      </c>
      <c r="CZ759">
        <v>0</v>
      </c>
      <c r="DA759">
        <v>0</v>
      </c>
      <c r="DB759">
        <v>0.18927083333333333</v>
      </c>
      <c r="DC759">
        <v>0.185</v>
      </c>
      <c r="DD759">
        <v>105</v>
      </c>
      <c r="DE759">
        <v>186</v>
      </c>
      <c r="DF759">
        <v>21</v>
      </c>
      <c r="DG759" t="s">
        <v>850</v>
      </c>
      <c r="DH759">
        <v>28957</v>
      </c>
      <c r="DI759">
        <v>0.2</v>
      </c>
      <c r="DQ759">
        <v>68</v>
      </c>
    </row>
    <row r="760" spans="95:122" x14ac:dyDescent="0.25">
      <c r="CQ760" t="s">
        <v>636</v>
      </c>
      <c r="CR760" t="s">
        <v>3</v>
      </c>
      <c r="CS760" t="s">
        <v>377</v>
      </c>
      <c r="CT760">
        <v>46078</v>
      </c>
      <c r="CU760">
        <v>1</v>
      </c>
      <c r="CV760">
        <v>1</v>
      </c>
      <c r="CX760">
        <v>1</v>
      </c>
      <c r="CZ760">
        <v>9.1435185185185185E-4</v>
      </c>
      <c r="DA760">
        <v>9.1435185185185185E-4</v>
      </c>
      <c r="DB760">
        <v>0.12869212962962964</v>
      </c>
      <c r="DC760">
        <v>0.20883101851851851</v>
      </c>
      <c r="DD760">
        <v>132</v>
      </c>
      <c r="DE760">
        <v>221</v>
      </c>
      <c r="DF760">
        <v>33</v>
      </c>
      <c r="DG760" t="s">
        <v>680</v>
      </c>
      <c r="DH760">
        <v>27665</v>
      </c>
      <c r="DI760">
        <v>0.25</v>
      </c>
      <c r="DQ760">
        <v>68</v>
      </c>
    </row>
    <row r="761" spans="95:122" x14ac:dyDescent="0.25">
      <c r="CQ761" t="s">
        <v>636</v>
      </c>
      <c r="CR761" t="s">
        <v>3</v>
      </c>
      <c r="CS761" t="s">
        <v>22</v>
      </c>
      <c r="CT761">
        <v>46072</v>
      </c>
      <c r="CU761">
        <v>1</v>
      </c>
      <c r="CV761">
        <v>1</v>
      </c>
      <c r="CX761">
        <v>1</v>
      </c>
      <c r="CZ761">
        <v>0</v>
      </c>
      <c r="DA761">
        <v>0</v>
      </c>
      <c r="DB761">
        <v>0.22793981481481482</v>
      </c>
      <c r="DC761">
        <v>0.15498842592592593</v>
      </c>
      <c r="DD761">
        <v>91</v>
      </c>
      <c r="DE761">
        <v>174</v>
      </c>
      <c r="DF761">
        <v>9</v>
      </c>
      <c r="DG761" t="s">
        <v>674</v>
      </c>
      <c r="DH761">
        <v>37635</v>
      </c>
      <c r="DI761">
        <v>9.8900000000000002E-2</v>
      </c>
      <c r="DQ761">
        <v>68</v>
      </c>
    </row>
    <row r="762" spans="95:122" x14ac:dyDescent="0.25">
      <c r="CQ762" t="s">
        <v>636</v>
      </c>
      <c r="CR762" t="s">
        <v>3</v>
      </c>
      <c r="CS762" t="s">
        <v>13</v>
      </c>
      <c r="CT762">
        <v>46062</v>
      </c>
      <c r="CU762">
        <v>1</v>
      </c>
      <c r="CV762">
        <v>1</v>
      </c>
      <c r="CX762">
        <v>1</v>
      </c>
      <c r="CZ762">
        <v>0</v>
      </c>
      <c r="DA762">
        <v>0</v>
      </c>
      <c r="DB762">
        <v>3.425925925925926E-2</v>
      </c>
      <c r="DC762">
        <v>1.0937499999999999E-2</v>
      </c>
      <c r="DD762">
        <v>61</v>
      </c>
      <c r="DE762">
        <v>147</v>
      </c>
      <c r="DF762">
        <v>16</v>
      </c>
      <c r="DG762">
        <v>1.6875</v>
      </c>
      <c r="DH762">
        <v>43578</v>
      </c>
      <c r="DI762">
        <v>0.26229999999999998</v>
      </c>
      <c r="DQ762">
        <v>68</v>
      </c>
    </row>
    <row r="763" spans="95:122" x14ac:dyDescent="0.25">
      <c r="CQ763" t="s">
        <v>636</v>
      </c>
      <c r="CR763" t="s">
        <v>3</v>
      </c>
      <c r="CS763" t="s">
        <v>13</v>
      </c>
      <c r="CT763">
        <v>46072</v>
      </c>
      <c r="CU763">
        <v>1</v>
      </c>
      <c r="CV763">
        <v>1</v>
      </c>
      <c r="CX763">
        <v>1</v>
      </c>
      <c r="CZ763">
        <v>0</v>
      </c>
      <c r="DA763">
        <v>0</v>
      </c>
      <c r="DB763">
        <v>0.21524305555555556</v>
      </c>
      <c r="DC763">
        <v>0.11453703703703703</v>
      </c>
      <c r="DD763">
        <v>79</v>
      </c>
      <c r="DE763">
        <v>151</v>
      </c>
      <c r="DF763">
        <v>14</v>
      </c>
      <c r="DG763" t="s">
        <v>762</v>
      </c>
      <c r="DH763">
        <v>39626</v>
      </c>
      <c r="DI763">
        <v>0.1772</v>
      </c>
      <c r="DQ763">
        <v>68</v>
      </c>
    </row>
    <row r="764" spans="95:122" x14ac:dyDescent="0.25">
      <c r="CQ764" t="s">
        <v>636</v>
      </c>
      <c r="CR764" t="s">
        <v>3</v>
      </c>
      <c r="CS764" t="s">
        <v>13</v>
      </c>
      <c r="CT764">
        <v>46078</v>
      </c>
      <c r="CU764">
        <v>1</v>
      </c>
      <c r="CV764">
        <v>1</v>
      </c>
      <c r="CX764">
        <v>1</v>
      </c>
      <c r="CZ764">
        <v>1.3425925925925925E-3</v>
      </c>
      <c r="DA764">
        <v>1.3425925925925925E-3</v>
      </c>
      <c r="DB764">
        <v>0.20244212962962962</v>
      </c>
      <c r="DC764">
        <v>0.13413194444444446</v>
      </c>
      <c r="DD764">
        <v>88</v>
      </c>
      <c r="DE764">
        <v>179</v>
      </c>
      <c r="DF764">
        <v>19</v>
      </c>
      <c r="DG764" t="s">
        <v>721</v>
      </c>
      <c r="DH764">
        <v>30531</v>
      </c>
      <c r="DI764">
        <v>0.21590000000000001</v>
      </c>
      <c r="DQ764">
        <v>68</v>
      </c>
    </row>
    <row r="765" spans="95:122" x14ac:dyDescent="0.25">
      <c r="CQ765" t="s">
        <v>636</v>
      </c>
      <c r="CR765" t="s">
        <v>3</v>
      </c>
      <c r="CS765" t="s">
        <v>32</v>
      </c>
      <c r="CT765">
        <v>46062</v>
      </c>
      <c r="CU765">
        <v>1</v>
      </c>
      <c r="CV765">
        <v>1</v>
      </c>
      <c r="CX765">
        <v>1</v>
      </c>
      <c r="CZ765">
        <v>1.7361111111111112E-4</v>
      </c>
      <c r="DA765">
        <v>1.7361111111111112E-4</v>
      </c>
      <c r="DB765">
        <v>2.8240740740740739E-3</v>
      </c>
      <c r="DC765">
        <v>0</v>
      </c>
      <c r="DD765">
        <v>111</v>
      </c>
      <c r="DE765">
        <v>238</v>
      </c>
      <c r="DF765">
        <v>14</v>
      </c>
      <c r="DG765" t="s">
        <v>988</v>
      </c>
      <c r="DH765">
        <v>46560</v>
      </c>
      <c r="DI765">
        <v>0.12609999999999999</v>
      </c>
      <c r="DQ765">
        <v>68</v>
      </c>
    </row>
    <row r="766" spans="95:122" x14ac:dyDescent="0.25">
      <c r="CQ766" t="s">
        <v>636</v>
      </c>
      <c r="CR766" t="s">
        <v>3</v>
      </c>
      <c r="CS766" t="s">
        <v>32</v>
      </c>
      <c r="CT766">
        <v>46073</v>
      </c>
      <c r="CU766">
        <v>1</v>
      </c>
      <c r="CV766">
        <v>1</v>
      </c>
      <c r="CX766">
        <v>1</v>
      </c>
      <c r="CZ766">
        <v>1.8518518518518518E-4</v>
      </c>
      <c r="DA766">
        <v>1.8518518518518518E-4</v>
      </c>
      <c r="DB766">
        <v>0.22013888888888888</v>
      </c>
      <c r="DC766">
        <v>0.13431712962962963</v>
      </c>
      <c r="DD766">
        <v>93</v>
      </c>
      <c r="DE766">
        <v>172</v>
      </c>
      <c r="DF766">
        <v>18</v>
      </c>
      <c r="DG766" t="s">
        <v>697</v>
      </c>
      <c r="DH766">
        <v>26605</v>
      </c>
      <c r="DI766">
        <v>0.19350000000000001</v>
      </c>
      <c r="DQ766">
        <v>68</v>
      </c>
    </row>
    <row r="767" spans="95:122" x14ac:dyDescent="0.25">
      <c r="CQ767" t="s">
        <v>636</v>
      </c>
      <c r="CR767" t="s">
        <v>3</v>
      </c>
      <c r="CS767" t="s">
        <v>32</v>
      </c>
      <c r="CT767">
        <v>46078</v>
      </c>
      <c r="CU767">
        <v>1</v>
      </c>
      <c r="CV767">
        <v>1</v>
      </c>
      <c r="CX767">
        <v>1</v>
      </c>
      <c r="CZ767">
        <v>3.1250000000000001E-4</v>
      </c>
      <c r="DA767">
        <v>3.1250000000000001E-4</v>
      </c>
      <c r="DB767">
        <v>0.19900462962962964</v>
      </c>
      <c r="DC767">
        <v>0.14025462962962962</v>
      </c>
      <c r="DD767">
        <v>84</v>
      </c>
      <c r="DE767">
        <v>175</v>
      </c>
      <c r="DF767">
        <v>26</v>
      </c>
      <c r="DG767" t="s">
        <v>704</v>
      </c>
      <c r="DH767">
        <v>22470</v>
      </c>
      <c r="DI767">
        <v>0.3095</v>
      </c>
      <c r="DQ767">
        <v>68</v>
      </c>
    </row>
    <row r="768" spans="95:122" x14ac:dyDescent="0.25">
      <c r="CQ768" t="s">
        <v>636</v>
      </c>
      <c r="CR768" t="s">
        <v>3</v>
      </c>
      <c r="CS768" t="s">
        <v>96</v>
      </c>
      <c r="CT768">
        <v>46062</v>
      </c>
      <c r="CU768">
        <v>1</v>
      </c>
      <c r="CV768">
        <v>1</v>
      </c>
      <c r="CX768">
        <v>1</v>
      </c>
      <c r="CZ768">
        <v>0</v>
      </c>
      <c r="DA768">
        <v>0</v>
      </c>
      <c r="DB768">
        <v>1.5520833333333333E-2</v>
      </c>
      <c r="DC768">
        <v>2.8796296296296296E-2</v>
      </c>
      <c r="DD768">
        <v>45</v>
      </c>
      <c r="DE768">
        <v>137</v>
      </c>
      <c r="DF768">
        <v>3</v>
      </c>
      <c r="DG768">
        <v>2</v>
      </c>
      <c r="DH768">
        <v>28772</v>
      </c>
      <c r="DI768">
        <v>6.6699999999999995E-2</v>
      </c>
      <c r="DQ768">
        <v>68</v>
      </c>
    </row>
    <row r="769" spans="95:122" x14ac:dyDescent="0.25">
      <c r="CQ769" t="s">
        <v>636</v>
      </c>
      <c r="CR769" t="s">
        <v>3</v>
      </c>
      <c r="CS769" t="s">
        <v>96</v>
      </c>
      <c r="CT769">
        <v>46072</v>
      </c>
      <c r="CU769">
        <v>1</v>
      </c>
      <c r="CV769">
        <v>1</v>
      </c>
      <c r="CX769">
        <v>1</v>
      </c>
      <c r="CZ769">
        <v>3.2986111111111111E-3</v>
      </c>
      <c r="DA769">
        <v>3.2986111111111111E-3</v>
      </c>
      <c r="DB769">
        <v>0.16703703703703704</v>
      </c>
      <c r="DC769">
        <v>0.20675925925925925</v>
      </c>
      <c r="DD769">
        <v>59</v>
      </c>
      <c r="DE769">
        <v>130</v>
      </c>
      <c r="DF769">
        <v>4</v>
      </c>
      <c r="DG769">
        <v>1.75</v>
      </c>
      <c r="DH769">
        <v>47775</v>
      </c>
      <c r="DI769">
        <v>6.7799999999999999E-2</v>
      </c>
      <c r="DQ769">
        <v>68</v>
      </c>
    </row>
    <row r="770" spans="95:122" x14ac:dyDescent="0.25">
      <c r="CQ770" t="s">
        <v>636</v>
      </c>
      <c r="CR770" t="s">
        <v>3</v>
      </c>
      <c r="CS770" t="s">
        <v>96</v>
      </c>
      <c r="CT770">
        <v>46078</v>
      </c>
      <c r="CU770">
        <v>1</v>
      </c>
      <c r="CV770">
        <v>1</v>
      </c>
      <c r="CX770">
        <v>1</v>
      </c>
      <c r="CZ770">
        <v>0</v>
      </c>
      <c r="DA770">
        <v>0</v>
      </c>
      <c r="DB770">
        <v>0.19621527777777778</v>
      </c>
      <c r="DC770">
        <v>0.15601851851851853</v>
      </c>
      <c r="DD770">
        <v>58</v>
      </c>
      <c r="DE770">
        <v>156</v>
      </c>
      <c r="DF770">
        <v>3</v>
      </c>
      <c r="DG770" t="s">
        <v>674</v>
      </c>
      <c r="DH770">
        <v>24647</v>
      </c>
      <c r="DI770">
        <v>5.1700000000000003E-2</v>
      </c>
      <c r="DQ770">
        <v>68</v>
      </c>
    </row>
    <row r="771" spans="95:122" x14ac:dyDescent="0.25">
      <c r="CQ771" t="s">
        <v>636</v>
      </c>
      <c r="CR771" t="s">
        <v>3</v>
      </c>
      <c r="CS771" t="s">
        <v>65</v>
      </c>
      <c r="CT771">
        <v>46062</v>
      </c>
      <c r="CU771">
        <v>1</v>
      </c>
      <c r="CV771">
        <v>1</v>
      </c>
      <c r="CX771">
        <v>1</v>
      </c>
      <c r="CZ771">
        <v>5.7870370370370373E-5</v>
      </c>
      <c r="DA771">
        <v>5.7870370370370373E-5</v>
      </c>
      <c r="DB771">
        <v>0</v>
      </c>
      <c r="DC771">
        <v>1.4236111111111112E-3</v>
      </c>
      <c r="DD771">
        <v>62</v>
      </c>
      <c r="DE771">
        <v>149</v>
      </c>
      <c r="DF771">
        <v>5</v>
      </c>
      <c r="DG771">
        <v>1.2</v>
      </c>
      <c r="DH771">
        <v>50795</v>
      </c>
      <c r="DI771">
        <v>8.0600000000000005E-2</v>
      </c>
      <c r="DQ771">
        <v>68</v>
      </c>
    </row>
    <row r="772" spans="95:122" x14ac:dyDescent="0.25">
      <c r="CQ772" t="s">
        <v>636</v>
      </c>
      <c r="CR772" t="s">
        <v>3</v>
      </c>
      <c r="CS772" t="s">
        <v>65</v>
      </c>
      <c r="CT772">
        <v>46073</v>
      </c>
      <c r="CU772">
        <v>1</v>
      </c>
      <c r="CV772">
        <v>1</v>
      </c>
      <c r="CX772">
        <v>1</v>
      </c>
      <c r="CZ772">
        <v>9.2592592592592588E-5</v>
      </c>
      <c r="DA772">
        <v>9.2592592592592588E-5</v>
      </c>
      <c r="DB772">
        <v>0.20725694444444445</v>
      </c>
      <c r="DC772">
        <v>0.14621527777777779</v>
      </c>
      <c r="DD772">
        <v>65</v>
      </c>
      <c r="DE772">
        <v>151</v>
      </c>
      <c r="DF772">
        <v>10</v>
      </c>
      <c r="DG772">
        <v>1.2</v>
      </c>
      <c r="DH772">
        <v>28153</v>
      </c>
      <c r="DI772">
        <v>0.15379999999999999</v>
      </c>
      <c r="DQ772">
        <v>68</v>
      </c>
    </row>
    <row r="773" spans="95:122" x14ac:dyDescent="0.25">
      <c r="CQ773" t="s">
        <v>636</v>
      </c>
      <c r="CR773" t="s">
        <v>3</v>
      </c>
      <c r="CS773" t="s">
        <v>33</v>
      </c>
      <c r="CT773">
        <v>46058</v>
      </c>
      <c r="CU773">
        <v>1</v>
      </c>
      <c r="CV773">
        <v>1</v>
      </c>
      <c r="CW773">
        <v>1</v>
      </c>
      <c r="CZ773">
        <v>4.1898148148148146E-3</v>
      </c>
      <c r="DA773">
        <v>4.1898148148148146E-3</v>
      </c>
      <c r="DB773">
        <v>0.11162037037037037</v>
      </c>
      <c r="DC773">
        <v>2.3310185185185184E-2</v>
      </c>
      <c r="DD773">
        <v>82</v>
      </c>
      <c r="DE773">
        <v>110</v>
      </c>
      <c r="DF773">
        <v>16</v>
      </c>
      <c r="DG773">
        <v>1.6875</v>
      </c>
      <c r="DH773">
        <v>23410</v>
      </c>
      <c r="DI773">
        <v>0.1951</v>
      </c>
      <c r="DJ773">
        <v>1</v>
      </c>
      <c r="DK773">
        <v>6.25E-2</v>
      </c>
      <c r="DL773">
        <v>308</v>
      </c>
      <c r="DM773">
        <v>308</v>
      </c>
      <c r="DN773">
        <v>308</v>
      </c>
      <c r="DO773">
        <v>1</v>
      </c>
      <c r="DQ773">
        <v>68</v>
      </c>
      <c r="DR773">
        <v>308</v>
      </c>
    </row>
    <row r="774" spans="95:122" x14ac:dyDescent="0.25">
      <c r="CQ774" t="s">
        <v>636</v>
      </c>
      <c r="CR774" t="s">
        <v>3</v>
      </c>
      <c r="CS774" t="s">
        <v>33</v>
      </c>
      <c r="CT774">
        <v>46062</v>
      </c>
      <c r="CU774">
        <v>1</v>
      </c>
      <c r="CV774">
        <v>1</v>
      </c>
      <c r="CX774">
        <v>1</v>
      </c>
      <c r="CZ774">
        <v>1.6203703703703703E-4</v>
      </c>
      <c r="DA774">
        <v>1.6203703703703703E-4</v>
      </c>
      <c r="DB774">
        <v>1.9675925925925924E-3</v>
      </c>
      <c r="DC774">
        <v>3.4722222222222222E-5</v>
      </c>
      <c r="DD774">
        <v>53</v>
      </c>
      <c r="DE774">
        <v>72</v>
      </c>
      <c r="DF774">
        <v>14</v>
      </c>
      <c r="DG774" t="s">
        <v>986</v>
      </c>
      <c r="DH774">
        <v>29137</v>
      </c>
      <c r="DI774">
        <v>0.26419999999999999</v>
      </c>
      <c r="DQ774">
        <v>68</v>
      </c>
    </row>
    <row r="775" spans="95:122" x14ac:dyDescent="0.25">
      <c r="CQ775" t="s">
        <v>636</v>
      </c>
      <c r="CR775" t="s">
        <v>3</v>
      </c>
      <c r="CS775" t="s">
        <v>23</v>
      </c>
      <c r="CT775">
        <v>46078</v>
      </c>
      <c r="CU775">
        <v>1</v>
      </c>
      <c r="CV775">
        <v>1</v>
      </c>
      <c r="CX775">
        <v>1</v>
      </c>
      <c r="CZ775">
        <v>1.5393518518518519E-3</v>
      </c>
      <c r="DA775">
        <v>1.5393518518518519E-3</v>
      </c>
      <c r="DB775">
        <v>0.18504629629629629</v>
      </c>
      <c r="DC775">
        <v>0.16373842592592591</v>
      </c>
      <c r="DD775">
        <v>110</v>
      </c>
      <c r="DE775">
        <v>212</v>
      </c>
      <c r="DF775">
        <v>21</v>
      </c>
      <c r="DG775" t="s">
        <v>745</v>
      </c>
      <c r="DH775">
        <v>30671</v>
      </c>
      <c r="DI775">
        <v>0.19089999999999999</v>
      </c>
      <c r="DQ775">
        <v>68</v>
      </c>
    </row>
    <row r="776" spans="95:122" x14ac:dyDescent="0.25">
      <c r="CQ776" t="s">
        <v>636</v>
      </c>
      <c r="CR776" t="s">
        <v>3</v>
      </c>
      <c r="CS776" t="s">
        <v>17</v>
      </c>
      <c r="CT776">
        <v>46072</v>
      </c>
      <c r="CU776">
        <v>1</v>
      </c>
      <c r="CV776">
        <v>1</v>
      </c>
      <c r="CX776">
        <v>1</v>
      </c>
      <c r="CZ776">
        <v>1.3888888888888889E-4</v>
      </c>
      <c r="DA776">
        <v>1.3888888888888889E-4</v>
      </c>
      <c r="DB776">
        <v>0.20829861111111111</v>
      </c>
      <c r="DC776">
        <v>0.12877314814814814</v>
      </c>
      <c r="DD776">
        <v>89</v>
      </c>
      <c r="DE776">
        <v>179</v>
      </c>
      <c r="DF776">
        <v>15</v>
      </c>
      <c r="DG776">
        <v>1.6</v>
      </c>
      <c r="DH776">
        <v>44249</v>
      </c>
      <c r="DI776">
        <v>0.16850000000000001</v>
      </c>
      <c r="DQ776">
        <v>68</v>
      </c>
    </row>
    <row r="777" spans="95:122" x14ac:dyDescent="0.25">
      <c r="CQ777" t="s">
        <v>636</v>
      </c>
      <c r="CR777" t="s">
        <v>3</v>
      </c>
      <c r="CS777" t="s">
        <v>17</v>
      </c>
      <c r="CT777">
        <v>46073</v>
      </c>
      <c r="CU777">
        <v>1</v>
      </c>
      <c r="CV777">
        <v>1</v>
      </c>
      <c r="CX777">
        <v>1</v>
      </c>
      <c r="CZ777">
        <v>3.0092592592592595E-4</v>
      </c>
      <c r="DA777">
        <v>3.0092592592592595E-4</v>
      </c>
      <c r="DB777">
        <v>0.19468750000000001</v>
      </c>
      <c r="DC777">
        <v>0.12479166666666666</v>
      </c>
      <c r="DD777">
        <v>71</v>
      </c>
      <c r="DE777">
        <v>143</v>
      </c>
      <c r="DF777">
        <v>10</v>
      </c>
      <c r="DG777">
        <v>1.9</v>
      </c>
      <c r="DH777">
        <v>34737</v>
      </c>
      <c r="DI777">
        <v>0.14080000000000001</v>
      </c>
      <c r="DQ777">
        <v>68</v>
      </c>
    </row>
    <row r="778" spans="95:122" x14ac:dyDescent="0.25">
      <c r="CQ778" t="s">
        <v>636</v>
      </c>
      <c r="CR778" t="s">
        <v>3</v>
      </c>
      <c r="CS778" t="s">
        <v>207</v>
      </c>
      <c r="CT778">
        <v>46073</v>
      </c>
      <c r="CU778">
        <v>1</v>
      </c>
      <c r="CV778">
        <v>1</v>
      </c>
      <c r="CX778">
        <v>1</v>
      </c>
      <c r="CZ778">
        <v>2.3148148148148147E-5</v>
      </c>
      <c r="DA778">
        <v>2.3148148148148147E-5</v>
      </c>
      <c r="DB778">
        <v>0.20737268518518517</v>
      </c>
      <c r="DC778">
        <v>0.11935185185185185</v>
      </c>
      <c r="DD778">
        <v>148</v>
      </c>
      <c r="DE778">
        <v>199</v>
      </c>
      <c r="DF778">
        <v>18</v>
      </c>
      <c r="DG778" t="s">
        <v>674</v>
      </c>
      <c r="DH778">
        <v>29880</v>
      </c>
      <c r="DI778">
        <v>0.1216</v>
      </c>
      <c r="DQ778">
        <v>68</v>
      </c>
    </row>
    <row r="779" spans="95:122" x14ac:dyDescent="0.25">
      <c r="CQ779" t="s">
        <v>636</v>
      </c>
      <c r="CR779" t="s">
        <v>3</v>
      </c>
      <c r="CS779" t="s">
        <v>207</v>
      </c>
      <c r="CT779">
        <v>46078</v>
      </c>
      <c r="CU779">
        <v>1</v>
      </c>
      <c r="CV779">
        <v>1</v>
      </c>
      <c r="CX779">
        <v>1</v>
      </c>
      <c r="CZ779">
        <v>1.273148148148148E-4</v>
      </c>
      <c r="DA779">
        <v>1.273148148148148E-4</v>
      </c>
      <c r="DB779">
        <v>0.20244212962962962</v>
      </c>
      <c r="DC779">
        <v>0.15267361111111111</v>
      </c>
      <c r="DD779">
        <v>171</v>
      </c>
      <c r="DE779">
        <v>305</v>
      </c>
      <c r="DF779">
        <v>22</v>
      </c>
      <c r="DG779" t="s">
        <v>680</v>
      </c>
      <c r="DH779">
        <v>34503</v>
      </c>
      <c r="DI779">
        <v>0.12870000000000001</v>
      </c>
      <c r="DQ779">
        <v>68</v>
      </c>
    </row>
    <row r="780" spans="95:122" x14ac:dyDescent="0.25">
      <c r="CQ780" t="s">
        <v>636</v>
      </c>
      <c r="CR780" t="s">
        <v>124</v>
      </c>
      <c r="CS780" t="s">
        <v>174</v>
      </c>
      <c r="CT780">
        <v>46055</v>
      </c>
      <c r="CU780">
        <v>1</v>
      </c>
      <c r="CV780">
        <v>1</v>
      </c>
      <c r="CX780">
        <v>1</v>
      </c>
      <c r="CZ780">
        <v>3.4722222222222222E-5</v>
      </c>
      <c r="DA780">
        <v>3.4722222222222222E-5</v>
      </c>
      <c r="DB780">
        <v>4.9201388888888892E-2</v>
      </c>
      <c r="DC780">
        <v>5.0671296296296298E-2</v>
      </c>
      <c r="DD780">
        <v>83</v>
      </c>
      <c r="DE780">
        <v>112</v>
      </c>
      <c r="DF780">
        <v>22</v>
      </c>
      <c r="DG780" t="s">
        <v>698</v>
      </c>
      <c r="DH780">
        <v>12682</v>
      </c>
      <c r="DI780">
        <v>0.2651</v>
      </c>
      <c r="DJ780">
        <v>5</v>
      </c>
      <c r="DK780">
        <v>0.2273</v>
      </c>
      <c r="DL780">
        <v>2181</v>
      </c>
      <c r="DM780">
        <v>436</v>
      </c>
      <c r="DN780">
        <v>1181</v>
      </c>
      <c r="DO780">
        <v>0.54149999999999998</v>
      </c>
      <c r="DQ780">
        <v>66</v>
      </c>
      <c r="DR780">
        <v>295</v>
      </c>
    </row>
    <row r="781" spans="95:122" x14ac:dyDescent="0.25">
      <c r="CQ781" t="s">
        <v>636</v>
      </c>
      <c r="CR781" t="s">
        <v>124</v>
      </c>
      <c r="CS781" t="s">
        <v>41</v>
      </c>
      <c r="CT781">
        <v>46072</v>
      </c>
      <c r="CU781">
        <v>1</v>
      </c>
      <c r="CV781">
        <v>1</v>
      </c>
      <c r="CZ781">
        <v>0</v>
      </c>
      <c r="DA781">
        <v>0</v>
      </c>
      <c r="DB781">
        <v>0</v>
      </c>
      <c r="DC781">
        <v>0</v>
      </c>
      <c r="DQ781">
        <v>66</v>
      </c>
    </row>
    <row r="782" spans="95:122" x14ac:dyDescent="0.25">
      <c r="CQ782" t="s">
        <v>636</v>
      </c>
      <c r="CR782" t="s">
        <v>124</v>
      </c>
      <c r="CS782" t="s">
        <v>495</v>
      </c>
      <c r="CT782">
        <v>46070</v>
      </c>
      <c r="CU782">
        <v>1</v>
      </c>
      <c r="CV782">
        <v>1</v>
      </c>
      <c r="CX782">
        <v>1</v>
      </c>
      <c r="CZ782">
        <v>2.3148148148148147E-5</v>
      </c>
      <c r="DA782">
        <v>2.3148148148148147E-5</v>
      </c>
      <c r="DB782">
        <v>0.1834837962962963</v>
      </c>
      <c r="DC782">
        <v>0.17947916666666666</v>
      </c>
      <c r="DD782">
        <v>209</v>
      </c>
      <c r="DE782">
        <v>370</v>
      </c>
      <c r="DF782">
        <v>37</v>
      </c>
      <c r="DG782" t="s">
        <v>1005</v>
      </c>
      <c r="DH782">
        <v>21686</v>
      </c>
      <c r="DI782">
        <v>0.17699999999999999</v>
      </c>
      <c r="DQ782">
        <v>66</v>
      </c>
    </row>
    <row r="783" spans="95:122" x14ac:dyDescent="0.25">
      <c r="CQ783" t="s">
        <v>636</v>
      </c>
      <c r="CR783" t="s">
        <v>124</v>
      </c>
      <c r="CS783" t="s">
        <v>51</v>
      </c>
      <c r="CT783">
        <v>46070</v>
      </c>
      <c r="CU783">
        <v>1</v>
      </c>
      <c r="CV783">
        <v>1</v>
      </c>
      <c r="CX783">
        <v>1</v>
      </c>
      <c r="CZ783">
        <v>0</v>
      </c>
      <c r="DA783">
        <v>0</v>
      </c>
      <c r="DB783">
        <v>0.19480324074074074</v>
      </c>
      <c r="DC783">
        <v>0.14982638888888888</v>
      </c>
      <c r="DD783">
        <v>91</v>
      </c>
      <c r="DE783">
        <v>188</v>
      </c>
      <c r="DF783">
        <v>5</v>
      </c>
      <c r="DG783">
        <v>1.2</v>
      </c>
      <c r="DH783">
        <v>26050</v>
      </c>
      <c r="DI783">
        <v>5.4899999999999997E-2</v>
      </c>
      <c r="DQ783">
        <v>66</v>
      </c>
    </row>
    <row r="784" spans="95:122" x14ac:dyDescent="0.25">
      <c r="CQ784" t="s">
        <v>636</v>
      </c>
      <c r="CR784" t="s">
        <v>124</v>
      </c>
      <c r="CS784" t="s">
        <v>77</v>
      </c>
      <c r="CT784">
        <v>46066</v>
      </c>
      <c r="CU784">
        <v>1</v>
      </c>
      <c r="CV784">
        <v>1</v>
      </c>
      <c r="CX784">
        <v>1</v>
      </c>
      <c r="CZ784">
        <v>0</v>
      </c>
      <c r="DA784">
        <v>0</v>
      </c>
      <c r="DB784">
        <v>0.16291666666666665</v>
      </c>
      <c r="DC784">
        <v>0.25894675925925925</v>
      </c>
      <c r="DD784">
        <v>87</v>
      </c>
      <c r="DE784">
        <v>201</v>
      </c>
      <c r="DF784">
        <v>32</v>
      </c>
      <c r="DG784">
        <v>2.125</v>
      </c>
      <c r="DH784">
        <v>11485</v>
      </c>
      <c r="DI784">
        <v>0.36780000000000002</v>
      </c>
      <c r="DJ784">
        <v>1</v>
      </c>
      <c r="DK784">
        <v>3.1300000000000001E-2</v>
      </c>
      <c r="DL784">
        <v>1000</v>
      </c>
      <c r="DM784">
        <v>1000</v>
      </c>
      <c r="DQ784">
        <v>66</v>
      </c>
    </row>
    <row r="785" spans="95:122" x14ac:dyDescent="0.25">
      <c r="CQ785" t="s">
        <v>636</v>
      </c>
      <c r="CR785" t="s">
        <v>124</v>
      </c>
      <c r="CS785" t="s">
        <v>77</v>
      </c>
      <c r="CT785">
        <v>46071</v>
      </c>
      <c r="CU785">
        <v>1</v>
      </c>
      <c r="CV785">
        <v>1</v>
      </c>
      <c r="CX785">
        <v>1</v>
      </c>
      <c r="CZ785">
        <v>0</v>
      </c>
      <c r="DA785">
        <v>0</v>
      </c>
      <c r="DB785">
        <v>0.20645833333333333</v>
      </c>
      <c r="DC785">
        <v>0.14376157407407408</v>
      </c>
      <c r="DD785">
        <v>136</v>
      </c>
      <c r="DE785">
        <v>267</v>
      </c>
      <c r="DF785">
        <v>43</v>
      </c>
      <c r="DG785" t="s">
        <v>814</v>
      </c>
      <c r="DH785">
        <v>20306</v>
      </c>
      <c r="DI785">
        <v>0.31619999999999998</v>
      </c>
      <c r="DJ785">
        <v>1</v>
      </c>
      <c r="DK785">
        <v>2.3300000000000001E-2</v>
      </c>
      <c r="DL785">
        <v>400</v>
      </c>
      <c r="DM785">
        <v>400</v>
      </c>
      <c r="DQ785">
        <v>66</v>
      </c>
    </row>
    <row r="786" spans="95:122" x14ac:dyDescent="0.25">
      <c r="CQ786" t="s">
        <v>636</v>
      </c>
      <c r="CR786" t="s">
        <v>125</v>
      </c>
      <c r="CS786" t="s">
        <v>61</v>
      </c>
      <c r="CT786">
        <v>46059</v>
      </c>
      <c r="CU786">
        <v>1</v>
      </c>
      <c r="CV786">
        <v>1</v>
      </c>
      <c r="CW786">
        <v>1</v>
      </c>
      <c r="CZ786">
        <v>5.1041666666666666E-3</v>
      </c>
      <c r="DA786">
        <v>5.1041666666666666E-3</v>
      </c>
      <c r="DB786">
        <v>4.2766203703703702E-2</v>
      </c>
      <c r="DC786">
        <v>3.5358796296296298E-2</v>
      </c>
      <c r="DD786">
        <v>92</v>
      </c>
      <c r="DE786">
        <v>233</v>
      </c>
      <c r="DF786">
        <v>24</v>
      </c>
      <c r="DG786" t="s">
        <v>674</v>
      </c>
      <c r="DH786">
        <v>27318</v>
      </c>
      <c r="DI786">
        <v>0.26090000000000002</v>
      </c>
      <c r="DJ786">
        <v>1</v>
      </c>
      <c r="DK786">
        <v>4.1700000000000001E-2</v>
      </c>
      <c r="DL786">
        <v>500</v>
      </c>
      <c r="DM786">
        <v>500</v>
      </c>
      <c r="DN786">
        <v>500</v>
      </c>
      <c r="DO786">
        <v>1</v>
      </c>
      <c r="DP786">
        <v>0.20449999999999999</v>
      </c>
      <c r="DQ786">
        <v>66</v>
      </c>
      <c r="DR786">
        <v>500</v>
      </c>
    </row>
    <row r="787" spans="95:122" x14ac:dyDescent="0.25">
      <c r="CQ787" t="s">
        <v>636</v>
      </c>
      <c r="CR787" t="s">
        <v>125</v>
      </c>
      <c r="CS787" t="s">
        <v>61</v>
      </c>
      <c r="CT787">
        <v>46062</v>
      </c>
      <c r="CU787">
        <v>1</v>
      </c>
      <c r="CV787">
        <v>1</v>
      </c>
      <c r="CW787">
        <v>1</v>
      </c>
      <c r="CZ787">
        <v>0.22412037037037036</v>
      </c>
      <c r="DA787">
        <v>0.22412037037037036</v>
      </c>
      <c r="DB787">
        <v>1.3171296296296296E-2</v>
      </c>
      <c r="DC787">
        <v>2.960648148148148E-2</v>
      </c>
      <c r="DD787">
        <v>38</v>
      </c>
      <c r="DE787">
        <v>94</v>
      </c>
      <c r="DF787">
        <v>8</v>
      </c>
      <c r="DG787">
        <v>1.25</v>
      </c>
      <c r="DH787">
        <v>49532</v>
      </c>
      <c r="DI787">
        <v>0.21049999999999999</v>
      </c>
      <c r="DJ787">
        <v>1</v>
      </c>
      <c r="DK787">
        <v>0.125</v>
      </c>
      <c r="DL787">
        <v>10650</v>
      </c>
      <c r="DM787">
        <v>10650</v>
      </c>
      <c r="DQ787">
        <v>66</v>
      </c>
    </row>
    <row r="788" spans="95:122" x14ac:dyDescent="0.25">
      <c r="CQ788" t="s">
        <v>636</v>
      </c>
      <c r="CR788" t="s">
        <v>125</v>
      </c>
      <c r="CS788" t="s">
        <v>61</v>
      </c>
      <c r="CT788">
        <v>46070</v>
      </c>
      <c r="CU788">
        <v>1</v>
      </c>
      <c r="CV788">
        <v>1</v>
      </c>
      <c r="CW788">
        <v>1</v>
      </c>
      <c r="CZ788">
        <v>1.2430555555555556E-2</v>
      </c>
      <c r="DA788">
        <v>1.2430555555555556E-2</v>
      </c>
      <c r="DB788">
        <v>0.19057870370370369</v>
      </c>
      <c r="DC788">
        <v>0.13241898148148148</v>
      </c>
      <c r="DD788">
        <v>93</v>
      </c>
      <c r="DE788">
        <v>267</v>
      </c>
      <c r="DF788">
        <v>11</v>
      </c>
      <c r="DG788" t="s">
        <v>807</v>
      </c>
      <c r="DH788">
        <v>26621</v>
      </c>
      <c r="DI788">
        <v>0.1183</v>
      </c>
      <c r="DQ788">
        <v>66</v>
      </c>
    </row>
    <row r="789" spans="95:122" x14ac:dyDescent="0.25">
      <c r="CQ789" t="s">
        <v>636</v>
      </c>
      <c r="CR789" t="s">
        <v>125</v>
      </c>
      <c r="CS789" t="s">
        <v>72</v>
      </c>
      <c r="CT789">
        <v>46063</v>
      </c>
      <c r="CU789">
        <v>1</v>
      </c>
      <c r="CV789">
        <v>1</v>
      </c>
      <c r="CZ789">
        <v>0</v>
      </c>
      <c r="DA789">
        <v>0</v>
      </c>
      <c r="DB789">
        <v>0</v>
      </c>
      <c r="DC789">
        <v>0</v>
      </c>
      <c r="DQ789">
        <v>66</v>
      </c>
    </row>
    <row r="790" spans="95:122" x14ac:dyDescent="0.25">
      <c r="CQ790" t="s">
        <v>636</v>
      </c>
      <c r="CR790" t="s">
        <v>125</v>
      </c>
      <c r="CS790" t="s">
        <v>72</v>
      </c>
      <c r="CT790">
        <v>46070</v>
      </c>
      <c r="CU790">
        <v>1</v>
      </c>
      <c r="CV790">
        <v>1</v>
      </c>
      <c r="CZ790">
        <v>0</v>
      </c>
      <c r="DA790">
        <v>0</v>
      </c>
      <c r="DB790">
        <v>0</v>
      </c>
      <c r="DC790">
        <v>0</v>
      </c>
      <c r="DQ790">
        <v>66</v>
      </c>
    </row>
    <row r="791" spans="95:122" x14ac:dyDescent="0.25">
      <c r="CQ791" t="s">
        <v>636</v>
      </c>
      <c r="CR791" t="s">
        <v>125</v>
      </c>
      <c r="CS791" t="s">
        <v>122</v>
      </c>
      <c r="CT791">
        <v>46065</v>
      </c>
      <c r="CU791">
        <v>1</v>
      </c>
      <c r="CV791">
        <v>1</v>
      </c>
      <c r="CX791">
        <v>1</v>
      </c>
      <c r="CZ791">
        <v>0</v>
      </c>
      <c r="DA791">
        <v>0</v>
      </c>
      <c r="DB791">
        <v>7.0451388888888883E-2</v>
      </c>
      <c r="DC791">
        <v>8.6354166666666662E-2</v>
      </c>
      <c r="DD791">
        <v>87</v>
      </c>
      <c r="DE791">
        <v>211</v>
      </c>
      <c r="DF791">
        <v>12</v>
      </c>
      <c r="DG791">
        <v>1.5</v>
      </c>
      <c r="DH791">
        <v>25686</v>
      </c>
      <c r="DI791">
        <v>0.13789999999999999</v>
      </c>
      <c r="DJ791">
        <v>1</v>
      </c>
      <c r="DK791">
        <v>8.3299999999999999E-2</v>
      </c>
      <c r="DL791">
        <v>4340</v>
      </c>
      <c r="DM791">
        <v>4340</v>
      </c>
      <c r="DQ791">
        <v>66</v>
      </c>
    </row>
    <row r="792" spans="95:122" x14ac:dyDescent="0.25">
      <c r="CQ792" t="s">
        <v>636</v>
      </c>
      <c r="CR792" t="s">
        <v>2</v>
      </c>
      <c r="CS792" t="s">
        <v>68</v>
      </c>
      <c r="CT792">
        <v>46078</v>
      </c>
      <c r="CU792">
        <v>1</v>
      </c>
      <c r="CV792">
        <v>1</v>
      </c>
      <c r="CZ792">
        <v>0</v>
      </c>
      <c r="DA792">
        <v>0</v>
      </c>
      <c r="DB792">
        <v>0</v>
      </c>
      <c r="DC792">
        <v>0</v>
      </c>
      <c r="DQ792">
        <v>66</v>
      </c>
    </row>
    <row r="793" spans="95:122" x14ac:dyDescent="0.25">
      <c r="CQ793" t="s">
        <v>636</v>
      </c>
      <c r="CR793" t="s">
        <v>2</v>
      </c>
      <c r="CS793" t="s">
        <v>29</v>
      </c>
      <c r="CT793">
        <v>46063</v>
      </c>
      <c r="CU793">
        <v>1</v>
      </c>
      <c r="CV793">
        <v>1</v>
      </c>
      <c r="CX793">
        <v>1</v>
      </c>
      <c r="CZ793">
        <v>1.5393518518518519E-3</v>
      </c>
      <c r="DA793">
        <v>1.5393518518518519E-3</v>
      </c>
      <c r="DB793">
        <v>2.2060185185185186E-2</v>
      </c>
      <c r="DC793">
        <v>4.3159722222222224E-2</v>
      </c>
      <c r="DD793">
        <v>92</v>
      </c>
      <c r="DE793">
        <v>173</v>
      </c>
      <c r="DF793">
        <v>36</v>
      </c>
      <c r="DG793" t="s">
        <v>716</v>
      </c>
      <c r="DH793">
        <v>13570</v>
      </c>
      <c r="DI793">
        <v>0.39129999999999998</v>
      </c>
      <c r="DQ793">
        <v>66</v>
      </c>
    </row>
    <row r="794" spans="95:122" x14ac:dyDescent="0.25">
      <c r="CQ794" t="s">
        <v>636</v>
      </c>
      <c r="CR794" t="s">
        <v>6</v>
      </c>
      <c r="CS794" t="s">
        <v>19</v>
      </c>
      <c r="CT794">
        <v>46055</v>
      </c>
      <c r="CU794">
        <v>1</v>
      </c>
      <c r="CV794">
        <v>1</v>
      </c>
      <c r="CX794">
        <v>1</v>
      </c>
      <c r="CZ794">
        <v>4.6296296296296294E-5</v>
      </c>
      <c r="DA794">
        <v>4.6296296296296294E-5</v>
      </c>
      <c r="DB794">
        <v>1.9016203703703705E-2</v>
      </c>
      <c r="DC794">
        <v>8.1018518518518514E-3</v>
      </c>
      <c r="DD794">
        <v>100</v>
      </c>
      <c r="DE794">
        <v>158</v>
      </c>
      <c r="DF794">
        <v>27</v>
      </c>
      <c r="DG794" t="s">
        <v>674</v>
      </c>
      <c r="DH794">
        <v>36220</v>
      </c>
      <c r="DI794">
        <v>0.27</v>
      </c>
      <c r="DJ794">
        <v>6</v>
      </c>
      <c r="DK794">
        <v>0.22220000000000001</v>
      </c>
      <c r="DL794">
        <v>8623</v>
      </c>
      <c r="DM794">
        <v>1437</v>
      </c>
      <c r="DN794">
        <v>4375</v>
      </c>
      <c r="DO794">
        <v>0.50739999999999996</v>
      </c>
      <c r="DQ794">
        <v>66</v>
      </c>
      <c r="DR794">
        <v>1458</v>
      </c>
    </row>
    <row r="795" spans="95:122" x14ac:dyDescent="0.25">
      <c r="CQ795" t="s">
        <v>636</v>
      </c>
      <c r="CR795" t="s">
        <v>6</v>
      </c>
      <c r="CS795" t="s">
        <v>80</v>
      </c>
      <c r="CT795">
        <v>46059</v>
      </c>
      <c r="CU795">
        <v>1</v>
      </c>
      <c r="CV795">
        <v>1</v>
      </c>
      <c r="CW795">
        <v>1</v>
      </c>
      <c r="CZ795">
        <v>0.12041666666666667</v>
      </c>
      <c r="DA795">
        <v>0.12041666666666667</v>
      </c>
      <c r="DB795">
        <v>2.3587962962962963E-2</v>
      </c>
      <c r="DC795">
        <v>3.0671296296296297E-3</v>
      </c>
      <c r="DD795">
        <v>64</v>
      </c>
      <c r="DE795">
        <v>88</v>
      </c>
      <c r="DF795">
        <v>8</v>
      </c>
      <c r="DG795">
        <v>1.75</v>
      </c>
      <c r="DH795">
        <v>80843</v>
      </c>
      <c r="DI795">
        <v>0.125</v>
      </c>
      <c r="DJ795">
        <v>1</v>
      </c>
      <c r="DK795">
        <v>0.125</v>
      </c>
      <c r="DL795">
        <v>1534</v>
      </c>
      <c r="DM795">
        <v>1534</v>
      </c>
      <c r="DQ795">
        <v>66</v>
      </c>
    </row>
    <row r="796" spans="95:122" x14ac:dyDescent="0.25">
      <c r="CQ796" t="s">
        <v>636</v>
      </c>
      <c r="CR796" t="s">
        <v>6</v>
      </c>
      <c r="CS796" t="s">
        <v>105</v>
      </c>
      <c r="CT796">
        <v>46062</v>
      </c>
      <c r="CU796">
        <v>1</v>
      </c>
      <c r="CV796">
        <v>1</v>
      </c>
      <c r="CX796">
        <v>1</v>
      </c>
      <c r="CZ796">
        <v>6.9444444444444444E-5</v>
      </c>
      <c r="DA796">
        <v>6.9444444444444444E-5</v>
      </c>
      <c r="DB796">
        <v>2.7604166666666666E-2</v>
      </c>
      <c r="DC796">
        <v>1.758101851851852E-2</v>
      </c>
      <c r="DD796">
        <v>85</v>
      </c>
      <c r="DE796">
        <v>187</v>
      </c>
      <c r="DF796">
        <v>14</v>
      </c>
      <c r="DG796" t="s">
        <v>803</v>
      </c>
      <c r="DH796">
        <v>36726</v>
      </c>
      <c r="DI796">
        <v>0.16470000000000001</v>
      </c>
      <c r="DJ796">
        <v>1</v>
      </c>
      <c r="DK796">
        <v>7.1400000000000005E-2</v>
      </c>
      <c r="DL796">
        <v>4480</v>
      </c>
      <c r="DM796">
        <v>4480</v>
      </c>
      <c r="DN796">
        <v>4480</v>
      </c>
      <c r="DO796">
        <v>1</v>
      </c>
      <c r="DP796">
        <v>0.3785</v>
      </c>
      <c r="DQ796">
        <v>66</v>
      </c>
      <c r="DR796">
        <v>4480</v>
      </c>
    </row>
    <row r="797" spans="95:122" x14ac:dyDescent="0.25">
      <c r="CQ797" t="s">
        <v>636</v>
      </c>
      <c r="CR797" t="s">
        <v>6</v>
      </c>
      <c r="CS797" t="s">
        <v>97</v>
      </c>
      <c r="CT797">
        <v>46055</v>
      </c>
      <c r="CU797">
        <v>1</v>
      </c>
      <c r="CV797">
        <v>1</v>
      </c>
      <c r="CX797">
        <v>1</v>
      </c>
      <c r="CZ797">
        <v>0</v>
      </c>
      <c r="DA797">
        <v>0</v>
      </c>
      <c r="DB797">
        <v>4.925925925925926E-2</v>
      </c>
      <c r="DC797">
        <v>5.4606481481481478E-2</v>
      </c>
      <c r="DD797">
        <v>75</v>
      </c>
      <c r="DE797">
        <v>126</v>
      </c>
      <c r="DF797">
        <v>28</v>
      </c>
      <c r="DG797" t="s">
        <v>729</v>
      </c>
      <c r="DH797">
        <v>12700</v>
      </c>
      <c r="DI797">
        <v>0.37330000000000002</v>
      </c>
      <c r="DJ797">
        <v>3</v>
      </c>
      <c r="DK797">
        <v>0.1071</v>
      </c>
      <c r="DL797">
        <v>1690</v>
      </c>
      <c r="DM797">
        <v>563</v>
      </c>
      <c r="DN797">
        <v>1455</v>
      </c>
      <c r="DO797">
        <v>0.8609</v>
      </c>
      <c r="DP797">
        <v>0.85089999999999999</v>
      </c>
      <c r="DQ797">
        <v>66</v>
      </c>
      <c r="DR797">
        <v>728</v>
      </c>
    </row>
    <row r="798" spans="95:122" x14ac:dyDescent="0.25">
      <c r="CQ798" t="s">
        <v>636</v>
      </c>
      <c r="CR798" t="s">
        <v>6</v>
      </c>
      <c r="CS798" t="s">
        <v>78</v>
      </c>
      <c r="CT798">
        <v>46069</v>
      </c>
      <c r="CU798">
        <v>1</v>
      </c>
      <c r="CV798">
        <v>1</v>
      </c>
      <c r="CX798">
        <v>1</v>
      </c>
      <c r="CZ798">
        <v>1.7361111111111112E-4</v>
      </c>
      <c r="DA798">
        <v>1.7361111111111112E-4</v>
      </c>
      <c r="DB798">
        <v>0.15472222222222223</v>
      </c>
      <c r="DC798">
        <v>0.2069212962962963</v>
      </c>
      <c r="DD798">
        <v>96</v>
      </c>
      <c r="DE798">
        <v>195</v>
      </c>
      <c r="DF798">
        <v>21</v>
      </c>
      <c r="DG798" t="s">
        <v>1009</v>
      </c>
      <c r="DH798">
        <v>23703</v>
      </c>
      <c r="DI798">
        <v>0.21879999999999999</v>
      </c>
      <c r="DJ798">
        <v>3</v>
      </c>
      <c r="DK798">
        <v>0.1429</v>
      </c>
      <c r="DL798">
        <v>4690</v>
      </c>
      <c r="DM798">
        <v>1563</v>
      </c>
      <c r="DN798">
        <v>4440</v>
      </c>
      <c r="DO798">
        <v>0.94669999999999999</v>
      </c>
      <c r="DP798">
        <v>0.61229999999999996</v>
      </c>
      <c r="DQ798">
        <v>66</v>
      </c>
      <c r="DR798">
        <v>1480</v>
      </c>
    </row>
    <row r="799" spans="95:122" x14ac:dyDescent="0.25">
      <c r="CQ799" t="s">
        <v>636</v>
      </c>
      <c r="CR799" t="s">
        <v>3</v>
      </c>
      <c r="CS799" t="s">
        <v>24</v>
      </c>
      <c r="CT799">
        <v>46056</v>
      </c>
      <c r="CU799">
        <v>1</v>
      </c>
      <c r="CV799">
        <v>1</v>
      </c>
      <c r="CZ799">
        <v>0</v>
      </c>
      <c r="DA799">
        <v>0</v>
      </c>
      <c r="DB799">
        <v>0</v>
      </c>
      <c r="DC799">
        <v>0</v>
      </c>
      <c r="DQ799">
        <v>66</v>
      </c>
    </row>
    <row r="800" spans="95:122" x14ac:dyDescent="0.25">
      <c r="CQ800" t="s">
        <v>636</v>
      </c>
      <c r="CR800" t="s">
        <v>3</v>
      </c>
      <c r="CS800" t="s">
        <v>24</v>
      </c>
      <c r="CT800">
        <v>46063</v>
      </c>
      <c r="CU800">
        <v>1</v>
      </c>
      <c r="CV800">
        <v>1</v>
      </c>
      <c r="CZ800">
        <v>0</v>
      </c>
      <c r="DA800">
        <v>0</v>
      </c>
      <c r="DB800">
        <v>0</v>
      </c>
      <c r="DC800">
        <v>0</v>
      </c>
      <c r="DQ800">
        <v>66</v>
      </c>
    </row>
    <row r="801" spans="95:122" x14ac:dyDescent="0.25">
      <c r="CQ801" t="s">
        <v>636</v>
      </c>
      <c r="CR801" t="s">
        <v>3</v>
      </c>
      <c r="CS801" t="s">
        <v>24</v>
      </c>
      <c r="CT801">
        <v>46066</v>
      </c>
      <c r="CU801">
        <v>1</v>
      </c>
      <c r="CV801">
        <v>1</v>
      </c>
      <c r="CZ801">
        <v>0</v>
      </c>
      <c r="DA801">
        <v>0</v>
      </c>
      <c r="DB801">
        <v>0</v>
      </c>
      <c r="DC801">
        <v>0</v>
      </c>
      <c r="DQ801">
        <v>66</v>
      </c>
    </row>
    <row r="802" spans="95:122" x14ac:dyDescent="0.25">
      <c r="CQ802" t="s">
        <v>636</v>
      </c>
      <c r="CR802" t="s">
        <v>3</v>
      </c>
      <c r="CS802" t="s">
        <v>33</v>
      </c>
      <c r="CT802">
        <v>46063</v>
      </c>
      <c r="CU802">
        <v>1</v>
      </c>
      <c r="CV802">
        <v>1</v>
      </c>
      <c r="CZ802">
        <v>0</v>
      </c>
      <c r="DA802">
        <v>0</v>
      </c>
      <c r="DB802">
        <v>0</v>
      </c>
      <c r="DC802">
        <v>0</v>
      </c>
      <c r="DQ802">
        <v>66</v>
      </c>
    </row>
    <row r="803" spans="95:122" x14ac:dyDescent="0.25">
      <c r="CQ803" t="s">
        <v>636</v>
      </c>
      <c r="CR803" t="s">
        <v>3</v>
      </c>
      <c r="CS803" t="s">
        <v>23</v>
      </c>
      <c r="CT803">
        <v>46059</v>
      </c>
      <c r="CU803">
        <v>1</v>
      </c>
      <c r="CV803">
        <v>1</v>
      </c>
      <c r="CX803">
        <v>1</v>
      </c>
      <c r="CZ803">
        <v>0</v>
      </c>
      <c r="DA803">
        <v>0</v>
      </c>
      <c r="DB803">
        <v>3.5081018518518518E-2</v>
      </c>
      <c r="DC803">
        <v>1.0590277777777778E-2</v>
      </c>
      <c r="DD803">
        <v>67</v>
      </c>
      <c r="DE803">
        <v>137</v>
      </c>
      <c r="DF803">
        <v>21</v>
      </c>
      <c r="DG803" t="s">
        <v>674</v>
      </c>
      <c r="DH803">
        <v>34578</v>
      </c>
      <c r="DI803">
        <v>0.31340000000000001</v>
      </c>
      <c r="DJ803">
        <v>2</v>
      </c>
      <c r="DK803">
        <v>9.5200000000000007E-2</v>
      </c>
      <c r="DL803">
        <v>6868</v>
      </c>
      <c r="DM803">
        <v>3434</v>
      </c>
      <c r="DN803">
        <v>268</v>
      </c>
      <c r="DO803">
        <v>3.9E-2</v>
      </c>
      <c r="DQ803">
        <v>66</v>
      </c>
      <c r="DR803">
        <v>268</v>
      </c>
    </row>
    <row r="804" spans="95:122" x14ac:dyDescent="0.25">
      <c r="CQ804" t="s">
        <v>636</v>
      </c>
      <c r="CR804" t="s">
        <v>3</v>
      </c>
      <c r="CS804" t="s">
        <v>23</v>
      </c>
      <c r="CT804">
        <v>46063</v>
      </c>
      <c r="CU804">
        <v>1</v>
      </c>
      <c r="CV804">
        <v>1</v>
      </c>
      <c r="CW804">
        <v>1</v>
      </c>
      <c r="CZ804">
        <v>0.10853009259259259</v>
      </c>
      <c r="DA804">
        <v>0.10853009259259259</v>
      </c>
      <c r="DB804">
        <v>0</v>
      </c>
      <c r="DC804">
        <v>1.1423611111111112E-2</v>
      </c>
      <c r="DD804">
        <v>101</v>
      </c>
      <c r="DE804">
        <v>183</v>
      </c>
      <c r="DF804">
        <v>26</v>
      </c>
      <c r="DG804" t="s">
        <v>733</v>
      </c>
      <c r="DH804">
        <v>32553</v>
      </c>
      <c r="DI804">
        <v>0.25740000000000002</v>
      </c>
      <c r="DJ804">
        <v>1</v>
      </c>
      <c r="DK804">
        <v>3.85E-2</v>
      </c>
      <c r="DL804">
        <v>500</v>
      </c>
      <c r="DM804">
        <v>500</v>
      </c>
      <c r="DQ804">
        <v>66</v>
      </c>
    </row>
    <row r="805" spans="95:122" x14ac:dyDescent="0.25">
      <c r="CQ805" t="s">
        <v>636</v>
      </c>
      <c r="CR805" t="s">
        <v>3</v>
      </c>
      <c r="CS805" t="s">
        <v>31</v>
      </c>
      <c r="CT805">
        <v>46064</v>
      </c>
      <c r="CU805">
        <v>1</v>
      </c>
      <c r="CV805">
        <v>1</v>
      </c>
      <c r="CX805">
        <v>1</v>
      </c>
      <c r="CZ805">
        <v>8.1018518518518516E-5</v>
      </c>
      <c r="DA805">
        <v>8.1018518518518516E-5</v>
      </c>
      <c r="DB805">
        <v>2.6377314814814815E-2</v>
      </c>
      <c r="DC805">
        <v>1.7685185185185186E-2</v>
      </c>
      <c r="DD805">
        <v>57</v>
      </c>
      <c r="DE805">
        <v>150</v>
      </c>
      <c r="DF805">
        <v>13</v>
      </c>
      <c r="DG805" t="s">
        <v>799</v>
      </c>
      <c r="DH805">
        <v>13364</v>
      </c>
      <c r="DI805">
        <v>0.2281</v>
      </c>
      <c r="DJ805">
        <v>1</v>
      </c>
      <c r="DK805">
        <v>7.6899999999999996E-2</v>
      </c>
      <c r="DL805">
        <v>2980</v>
      </c>
      <c r="DM805">
        <v>2980</v>
      </c>
      <c r="DQ805">
        <v>66</v>
      </c>
    </row>
    <row r="806" spans="95:122" x14ac:dyDescent="0.25">
      <c r="CQ806" t="s">
        <v>636</v>
      </c>
      <c r="CR806" t="s">
        <v>3</v>
      </c>
      <c r="CS806" t="s">
        <v>207</v>
      </c>
      <c r="CT806">
        <v>46066</v>
      </c>
      <c r="CU806">
        <v>1</v>
      </c>
      <c r="CV806">
        <v>1</v>
      </c>
      <c r="CW806">
        <v>1</v>
      </c>
      <c r="CZ806">
        <v>1.2592592592592593E-2</v>
      </c>
      <c r="DA806">
        <v>1.2592592592592593E-2</v>
      </c>
      <c r="DB806">
        <v>0.20322916666666666</v>
      </c>
      <c r="DC806">
        <v>0.13047453703703704</v>
      </c>
      <c r="DD806">
        <v>163</v>
      </c>
      <c r="DE806">
        <v>302</v>
      </c>
      <c r="DF806">
        <v>23</v>
      </c>
      <c r="DG806" t="s">
        <v>809</v>
      </c>
      <c r="DH806">
        <v>41822</v>
      </c>
      <c r="DI806">
        <v>0.1411</v>
      </c>
      <c r="DQ806">
        <v>66</v>
      </c>
    </row>
    <row r="807" spans="95:122" x14ac:dyDescent="0.25">
      <c r="CQ807" t="s">
        <v>636</v>
      </c>
      <c r="CR807" t="s">
        <v>3</v>
      </c>
      <c r="CS807" t="s">
        <v>207</v>
      </c>
      <c r="CT807">
        <v>46077</v>
      </c>
      <c r="CU807">
        <v>1</v>
      </c>
      <c r="CV807">
        <v>1</v>
      </c>
      <c r="CX807">
        <v>1</v>
      </c>
      <c r="CZ807">
        <v>1.1574074074074073E-5</v>
      </c>
      <c r="DA807">
        <v>1.1574074074074073E-5</v>
      </c>
      <c r="DB807">
        <v>0.19461805555555556</v>
      </c>
      <c r="DC807">
        <v>0.20091435185185186</v>
      </c>
      <c r="DD807">
        <v>188</v>
      </c>
      <c r="DE807">
        <v>281</v>
      </c>
      <c r="DF807">
        <v>16</v>
      </c>
      <c r="DG807">
        <v>1.875</v>
      </c>
      <c r="DH807">
        <v>33592</v>
      </c>
      <c r="DI807">
        <v>8.5099999999999995E-2</v>
      </c>
      <c r="DJ807">
        <v>2</v>
      </c>
      <c r="DK807">
        <v>0.125</v>
      </c>
      <c r="DL807">
        <v>8600</v>
      </c>
      <c r="DM807">
        <v>4300</v>
      </c>
      <c r="DN807">
        <v>8000</v>
      </c>
      <c r="DO807">
        <v>0.93020000000000003</v>
      </c>
      <c r="DP807">
        <v>9.4200000000000006E-2</v>
      </c>
      <c r="DQ807">
        <v>66</v>
      </c>
      <c r="DR807">
        <v>8000</v>
      </c>
    </row>
    <row r="808" spans="95:122" x14ac:dyDescent="0.25">
      <c r="CQ808" t="s">
        <v>636</v>
      </c>
      <c r="CR808" t="s">
        <v>124</v>
      </c>
      <c r="CS808" t="s">
        <v>58</v>
      </c>
      <c r="CT808">
        <v>46064</v>
      </c>
      <c r="CU808">
        <v>1</v>
      </c>
      <c r="CV808">
        <v>1</v>
      </c>
      <c r="CX808">
        <v>1</v>
      </c>
      <c r="CZ808">
        <v>4.6296296296296294E-5</v>
      </c>
      <c r="DA808">
        <v>4.6296296296296294E-5</v>
      </c>
      <c r="DB808">
        <v>6.958333333333333E-2</v>
      </c>
      <c r="DC808">
        <v>2.8067129629629629E-2</v>
      </c>
      <c r="DD808">
        <v>113</v>
      </c>
      <c r="DE808">
        <v>215</v>
      </c>
      <c r="DF808">
        <v>39</v>
      </c>
      <c r="DG808" t="s">
        <v>1122</v>
      </c>
      <c r="DH808">
        <v>18289</v>
      </c>
      <c r="DI808">
        <v>0.34510000000000002</v>
      </c>
      <c r="DQ808">
        <v>64</v>
      </c>
    </row>
    <row r="809" spans="95:122" x14ac:dyDescent="0.25">
      <c r="CQ809" t="s">
        <v>636</v>
      </c>
      <c r="CR809" t="s">
        <v>124</v>
      </c>
      <c r="CS809" t="s">
        <v>493</v>
      </c>
      <c r="CT809">
        <v>46079</v>
      </c>
      <c r="CU809">
        <v>1</v>
      </c>
      <c r="CV809">
        <v>1</v>
      </c>
      <c r="CX809">
        <v>1</v>
      </c>
      <c r="CZ809">
        <v>0</v>
      </c>
      <c r="DA809">
        <v>0</v>
      </c>
      <c r="DB809">
        <v>0.18035879629629631</v>
      </c>
      <c r="DC809">
        <v>0.16498842592592591</v>
      </c>
      <c r="DD809">
        <v>217</v>
      </c>
      <c r="DE809">
        <v>299</v>
      </c>
      <c r="DF809">
        <v>43</v>
      </c>
      <c r="DG809" t="s">
        <v>1123</v>
      </c>
      <c r="DH809">
        <v>19158</v>
      </c>
      <c r="DI809">
        <v>0.19819999999999999</v>
      </c>
      <c r="DQ809">
        <v>64</v>
      </c>
    </row>
    <row r="810" spans="95:122" x14ac:dyDescent="0.25">
      <c r="CQ810" t="s">
        <v>636</v>
      </c>
      <c r="CR810" t="s">
        <v>124</v>
      </c>
      <c r="CS810" t="s">
        <v>51</v>
      </c>
      <c r="CT810">
        <v>46055</v>
      </c>
      <c r="CU810">
        <v>1</v>
      </c>
      <c r="CV810">
        <v>1</v>
      </c>
      <c r="CX810">
        <v>1</v>
      </c>
      <c r="CZ810">
        <v>1.8518518518518518E-4</v>
      </c>
      <c r="DA810">
        <v>1.8518518518518518E-4</v>
      </c>
      <c r="DB810">
        <v>1.4097222222222223E-2</v>
      </c>
      <c r="DC810">
        <v>1.0706018518518519E-2</v>
      </c>
      <c r="DD810">
        <v>49</v>
      </c>
      <c r="DE810">
        <v>86</v>
      </c>
      <c r="DF810">
        <v>12</v>
      </c>
      <c r="DG810">
        <v>1.5</v>
      </c>
      <c r="DH810">
        <v>8406</v>
      </c>
      <c r="DI810">
        <v>0.24490000000000001</v>
      </c>
      <c r="DJ810">
        <v>3</v>
      </c>
      <c r="DK810">
        <v>0.25</v>
      </c>
      <c r="DL810">
        <v>2373</v>
      </c>
      <c r="DM810">
        <v>791</v>
      </c>
      <c r="DN810">
        <v>273</v>
      </c>
      <c r="DO810">
        <v>0.115</v>
      </c>
      <c r="DQ810">
        <v>64</v>
      </c>
      <c r="DR810">
        <v>273</v>
      </c>
    </row>
    <row r="811" spans="95:122" x14ac:dyDescent="0.25">
      <c r="CQ811" t="s">
        <v>636</v>
      </c>
      <c r="CR811" t="s">
        <v>124</v>
      </c>
      <c r="CS811" t="s">
        <v>51</v>
      </c>
      <c r="CT811">
        <v>46071</v>
      </c>
      <c r="CU811">
        <v>1</v>
      </c>
      <c r="CV811">
        <v>1</v>
      </c>
      <c r="CX811">
        <v>1</v>
      </c>
      <c r="CZ811">
        <v>1.3888888888888889E-4</v>
      </c>
      <c r="DA811">
        <v>1.3888888888888889E-4</v>
      </c>
      <c r="DB811">
        <v>0.21561342592592592</v>
      </c>
      <c r="DC811">
        <v>0.12292824074074074</v>
      </c>
      <c r="DD811">
        <v>103</v>
      </c>
      <c r="DE811">
        <v>194</v>
      </c>
      <c r="DF811">
        <v>9</v>
      </c>
      <c r="DG811" t="s">
        <v>718</v>
      </c>
      <c r="DH811">
        <v>17019</v>
      </c>
      <c r="DI811">
        <v>8.7400000000000005E-2</v>
      </c>
      <c r="DQ811">
        <v>64</v>
      </c>
    </row>
    <row r="812" spans="95:122" x14ac:dyDescent="0.25">
      <c r="CQ812" t="s">
        <v>636</v>
      </c>
      <c r="CR812" t="s">
        <v>124</v>
      </c>
      <c r="CS812" t="s">
        <v>51</v>
      </c>
      <c r="CT812">
        <v>46078</v>
      </c>
      <c r="CU812">
        <v>1</v>
      </c>
      <c r="CV812">
        <v>1</v>
      </c>
      <c r="CX812">
        <v>1</v>
      </c>
      <c r="CZ812">
        <v>3.4722222222222222E-5</v>
      </c>
      <c r="DA812">
        <v>3.4722222222222222E-5</v>
      </c>
      <c r="DB812">
        <v>0.19827546296296297</v>
      </c>
      <c r="DC812">
        <v>0.13532407407407407</v>
      </c>
      <c r="DD812">
        <v>121</v>
      </c>
      <c r="DE812">
        <v>241</v>
      </c>
      <c r="DF812">
        <v>14</v>
      </c>
      <c r="DG812" t="s">
        <v>988</v>
      </c>
      <c r="DH812">
        <v>16312</v>
      </c>
      <c r="DI812">
        <v>0.1157</v>
      </c>
      <c r="DQ812">
        <v>64</v>
      </c>
    </row>
    <row r="813" spans="95:122" x14ac:dyDescent="0.25">
      <c r="CQ813" t="s">
        <v>636</v>
      </c>
      <c r="CR813" t="s">
        <v>124</v>
      </c>
      <c r="CS813" t="s">
        <v>51</v>
      </c>
      <c r="CT813">
        <v>46079</v>
      </c>
      <c r="CU813">
        <v>1</v>
      </c>
      <c r="CV813">
        <v>1</v>
      </c>
      <c r="CX813">
        <v>1</v>
      </c>
      <c r="CZ813">
        <v>2.4305555555555555E-4</v>
      </c>
      <c r="DA813">
        <v>2.4305555555555555E-4</v>
      </c>
      <c r="DB813">
        <v>0.16192129629629629</v>
      </c>
      <c r="DC813">
        <v>0.17189814814814816</v>
      </c>
      <c r="DD813">
        <v>126</v>
      </c>
      <c r="DE813">
        <v>257</v>
      </c>
      <c r="DF813">
        <v>15</v>
      </c>
      <c r="DG813">
        <v>1.4</v>
      </c>
      <c r="DH813">
        <v>18381</v>
      </c>
      <c r="DI813">
        <v>0.11899999999999999</v>
      </c>
      <c r="DQ813">
        <v>64</v>
      </c>
    </row>
    <row r="814" spans="95:122" x14ac:dyDescent="0.25">
      <c r="CQ814" t="s">
        <v>636</v>
      </c>
      <c r="CR814" t="s">
        <v>124</v>
      </c>
      <c r="CS814" t="s">
        <v>49</v>
      </c>
      <c r="CT814">
        <v>46071</v>
      </c>
      <c r="CU814">
        <v>1</v>
      </c>
      <c r="CV814">
        <v>1</v>
      </c>
      <c r="CX814">
        <v>1</v>
      </c>
      <c r="CZ814">
        <v>1.0879629629629629E-3</v>
      </c>
      <c r="DA814">
        <v>1.0879629629629629E-3</v>
      </c>
      <c r="DB814">
        <v>0.1933449074074074</v>
      </c>
      <c r="DC814">
        <v>0.14021990740740742</v>
      </c>
      <c r="DD814">
        <v>76</v>
      </c>
      <c r="DE814">
        <v>130</v>
      </c>
      <c r="DF814">
        <v>14</v>
      </c>
      <c r="DG814" t="s">
        <v>762</v>
      </c>
      <c r="DH814">
        <v>23413</v>
      </c>
      <c r="DI814">
        <v>0.1842</v>
      </c>
      <c r="DQ814">
        <v>64</v>
      </c>
    </row>
    <row r="815" spans="95:122" x14ac:dyDescent="0.25">
      <c r="CQ815" t="s">
        <v>636</v>
      </c>
      <c r="CR815" t="s">
        <v>124</v>
      </c>
      <c r="CS815" t="s">
        <v>49</v>
      </c>
      <c r="CT815">
        <v>46079</v>
      </c>
      <c r="CU815">
        <v>1</v>
      </c>
      <c r="CV815">
        <v>1</v>
      </c>
      <c r="CX815">
        <v>1</v>
      </c>
      <c r="CZ815">
        <v>3.4722222222222224E-4</v>
      </c>
      <c r="DA815">
        <v>3.4722222222222224E-4</v>
      </c>
      <c r="DB815">
        <v>0.13717592592592592</v>
      </c>
      <c r="DC815">
        <v>0.20708333333333334</v>
      </c>
      <c r="DD815">
        <v>83</v>
      </c>
      <c r="DE815">
        <v>135</v>
      </c>
      <c r="DF815">
        <v>14</v>
      </c>
      <c r="DG815">
        <v>1.5</v>
      </c>
      <c r="DH815">
        <v>17337</v>
      </c>
      <c r="DI815">
        <v>0.16869999999999999</v>
      </c>
      <c r="DQ815">
        <v>64</v>
      </c>
    </row>
    <row r="816" spans="95:122" x14ac:dyDescent="0.25">
      <c r="CQ816" t="s">
        <v>636</v>
      </c>
      <c r="CR816" t="s">
        <v>124</v>
      </c>
      <c r="CS816" t="s">
        <v>549</v>
      </c>
      <c r="CT816">
        <v>46078</v>
      </c>
      <c r="CU816">
        <v>1</v>
      </c>
      <c r="CV816">
        <v>1</v>
      </c>
      <c r="CX816">
        <v>1</v>
      </c>
      <c r="CZ816">
        <v>0</v>
      </c>
      <c r="DA816">
        <v>0</v>
      </c>
      <c r="DB816">
        <v>0.19420138888888888</v>
      </c>
      <c r="DC816">
        <v>0.16261574074074073</v>
      </c>
      <c r="DD816">
        <v>187</v>
      </c>
      <c r="DE816">
        <v>291</v>
      </c>
      <c r="DF816">
        <v>31</v>
      </c>
      <c r="DG816" t="s">
        <v>774</v>
      </c>
      <c r="DH816">
        <v>19264</v>
      </c>
      <c r="DI816">
        <v>0.1658</v>
      </c>
      <c r="DQ816">
        <v>64</v>
      </c>
    </row>
    <row r="817" spans="95:122" x14ac:dyDescent="0.25">
      <c r="CQ817" t="s">
        <v>636</v>
      </c>
      <c r="CR817" t="s">
        <v>124</v>
      </c>
      <c r="CS817" t="s">
        <v>77</v>
      </c>
      <c r="CT817">
        <v>46063</v>
      </c>
      <c r="CU817">
        <v>1</v>
      </c>
      <c r="CV817">
        <v>1</v>
      </c>
      <c r="CX817">
        <v>1</v>
      </c>
      <c r="CZ817">
        <v>3.2638888888888891E-3</v>
      </c>
      <c r="DA817">
        <v>3.2638888888888891E-3</v>
      </c>
      <c r="DB817">
        <v>4.7233796296296295E-2</v>
      </c>
      <c r="DC817">
        <v>1.0474537037037037E-2</v>
      </c>
      <c r="DD817">
        <v>160</v>
      </c>
      <c r="DE817">
        <v>372</v>
      </c>
      <c r="DF817">
        <v>91</v>
      </c>
      <c r="DG817" t="s">
        <v>1124</v>
      </c>
      <c r="DH817">
        <v>8269</v>
      </c>
      <c r="DI817">
        <v>0.56879999999999997</v>
      </c>
      <c r="DQ817">
        <v>64</v>
      </c>
    </row>
    <row r="818" spans="95:122" x14ac:dyDescent="0.25">
      <c r="CQ818" t="s">
        <v>636</v>
      </c>
      <c r="CR818" t="s">
        <v>124</v>
      </c>
      <c r="CS818" t="s">
        <v>77</v>
      </c>
      <c r="CT818">
        <v>46076</v>
      </c>
      <c r="CU818">
        <v>1</v>
      </c>
      <c r="CV818">
        <v>1</v>
      </c>
      <c r="CX818">
        <v>1</v>
      </c>
      <c r="CZ818">
        <v>3.8194444444444446E-4</v>
      </c>
      <c r="DA818">
        <v>3.8194444444444446E-4</v>
      </c>
      <c r="DB818">
        <v>0.17987268518518518</v>
      </c>
      <c r="DC818">
        <v>0.17067129629629629</v>
      </c>
      <c r="DD818">
        <v>125</v>
      </c>
      <c r="DE818">
        <v>225</v>
      </c>
      <c r="DF818">
        <v>25</v>
      </c>
      <c r="DG818">
        <v>1.8</v>
      </c>
      <c r="DH818">
        <v>15806</v>
      </c>
      <c r="DI818">
        <v>0.2</v>
      </c>
      <c r="DJ818">
        <v>2</v>
      </c>
      <c r="DK818">
        <v>0.08</v>
      </c>
      <c r="DL818">
        <v>615</v>
      </c>
      <c r="DM818">
        <v>308</v>
      </c>
      <c r="DN818">
        <v>400</v>
      </c>
      <c r="DO818">
        <v>0.65039999999999998</v>
      </c>
      <c r="DP818">
        <v>8.9099999999999999E-2</v>
      </c>
      <c r="DQ818">
        <v>64</v>
      </c>
      <c r="DR818">
        <v>400</v>
      </c>
    </row>
    <row r="819" spans="95:122" x14ac:dyDescent="0.25">
      <c r="CQ819" t="s">
        <v>636</v>
      </c>
      <c r="CR819" t="s">
        <v>124</v>
      </c>
      <c r="CS819" t="s">
        <v>55</v>
      </c>
      <c r="CT819">
        <v>46063</v>
      </c>
      <c r="CU819">
        <v>1</v>
      </c>
      <c r="CV819">
        <v>1</v>
      </c>
      <c r="CX819">
        <v>1</v>
      </c>
      <c r="CZ819">
        <v>3.4722222222222222E-5</v>
      </c>
      <c r="DA819">
        <v>3.4722222222222222E-5</v>
      </c>
      <c r="DB819">
        <v>1.2094907407407407E-2</v>
      </c>
      <c r="DC819">
        <v>3.7037037037037035E-4</v>
      </c>
      <c r="DD819">
        <v>171</v>
      </c>
      <c r="DE819">
        <v>433</v>
      </c>
      <c r="DF819">
        <v>30</v>
      </c>
      <c r="DG819" t="s">
        <v>810</v>
      </c>
      <c r="DH819">
        <v>3482</v>
      </c>
      <c r="DI819">
        <v>0.1754</v>
      </c>
      <c r="DQ819">
        <v>64</v>
      </c>
    </row>
    <row r="820" spans="95:122" x14ac:dyDescent="0.25">
      <c r="CQ820" t="s">
        <v>636</v>
      </c>
      <c r="CR820" t="s">
        <v>124</v>
      </c>
      <c r="CS820" t="s">
        <v>55</v>
      </c>
      <c r="CT820">
        <v>46066</v>
      </c>
      <c r="CU820">
        <v>1</v>
      </c>
      <c r="CV820">
        <v>1</v>
      </c>
      <c r="CX820">
        <v>1</v>
      </c>
      <c r="CZ820">
        <v>5.7870370370370373E-5</v>
      </c>
      <c r="DA820">
        <v>5.7870370370370373E-5</v>
      </c>
      <c r="DB820">
        <v>0.13168981481481482</v>
      </c>
      <c r="DC820">
        <v>0.13390046296296296</v>
      </c>
      <c r="DD820">
        <v>194</v>
      </c>
      <c r="DE820">
        <v>341</v>
      </c>
      <c r="DF820">
        <v>31</v>
      </c>
      <c r="DG820" t="s">
        <v>957</v>
      </c>
      <c r="DH820">
        <v>16282</v>
      </c>
      <c r="DI820">
        <v>0.1598</v>
      </c>
      <c r="DJ820">
        <v>1</v>
      </c>
      <c r="DK820">
        <v>3.2300000000000002E-2</v>
      </c>
      <c r="DL820">
        <v>460</v>
      </c>
      <c r="DM820">
        <v>460</v>
      </c>
      <c r="DQ820">
        <v>64</v>
      </c>
    </row>
    <row r="821" spans="95:122" x14ac:dyDescent="0.25">
      <c r="CQ821" t="s">
        <v>636</v>
      </c>
      <c r="CR821" t="s">
        <v>124</v>
      </c>
      <c r="CS821" t="s">
        <v>544</v>
      </c>
      <c r="CT821">
        <v>46063</v>
      </c>
      <c r="CU821">
        <v>1</v>
      </c>
      <c r="CV821">
        <v>1</v>
      </c>
      <c r="CX821">
        <v>1</v>
      </c>
      <c r="CZ821">
        <v>2.3148148148148147E-5</v>
      </c>
      <c r="DA821">
        <v>2.3148148148148147E-5</v>
      </c>
      <c r="DB821">
        <v>3.1898148148148148E-2</v>
      </c>
      <c r="DC821">
        <v>8.1712962962962963E-3</v>
      </c>
      <c r="DD821">
        <v>121</v>
      </c>
      <c r="DE821">
        <v>238</v>
      </c>
      <c r="DF821">
        <v>52</v>
      </c>
      <c r="DG821" t="s">
        <v>764</v>
      </c>
      <c r="DH821">
        <v>13270</v>
      </c>
      <c r="DI821">
        <v>0.42980000000000002</v>
      </c>
      <c r="DJ821">
        <v>1</v>
      </c>
      <c r="DK821">
        <v>1.9199999999999998E-2</v>
      </c>
      <c r="DL821">
        <v>800</v>
      </c>
      <c r="DM821">
        <v>800</v>
      </c>
      <c r="DQ821">
        <v>64</v>
      </c>
    </row>
    <row r="822" spans="95:122" x14ac:dyDescent="0.25">
      <c r="CQ822" t="s">
        <v>636</v>
      </c>
      <c r="CR822" t="s">
        <v>124</v>
      </c>
      <c r="CS822" t="s">
        <v>544</v>
      </c>
      <c r="CT822">
        <v>46064</v>
      </c>
      <c r="CU822">
        <v>1</v>
      </c>
      <c r="CV822">
        <v>1</v>
      </c>
      <c r="CX822">
        <v>1</v>
      </c>
      <c r="CZ822">
        <v>1.0416666666666667E-4</v>
      </c>
      <c r="DA822">
        <v>1.0416666666666667E-4</v>
      </c>
      <c r="DB822">
        <v>4.2453703703703702E-2</v>
      </c>
      <c r="DC822">
        <v>2.476851851851852E-3</v>
      </c>
      <c r="DD822">
        <v>81</v>
      </c>
      <c r="DE822">
        <v>163</v>
      </c>
      <c r="DF822">
        <v>31</v>
      </c>
      <c r="DG822" t="s">
        <v>774</v>
      </c>
      <c r="DH822">
        <v>15618</v>
      </c>
      <c r="DI822">
        <v>0.38269999999999998</v>
      </c>
      <c r="DQ822">
        <v>64</v>
      </c>
    </row>
    <row r="823" spans="95:122" x14ac:dyDescent="0.25">
      <c r="CQ823" t="s">
        <v>636</v>
      </c>
      <c r="CR823" t="s">
        <v>124</v>
      </c>
      <c r="CS823" t="s">
        <v>544</v>
      </c>
      <c r="CT823">
        <v>46071</v>
      </c>
      <c r="CU823">
        <v>1</v>
      </c>
      <c r="CV823">
        <v>1</v>
      </c>
      <c r="CX823">
        <v>1</v>
      </c>
      <c r="CZ823">
        <v>1.1574074074074073E-5</v>
      </c>
      <c r="DA823">
        <v>1.1574074074074073E-5</v>
      </c>
      <c r="DB823">
        <v>0.1590162037037037</v>
      </c>
      <c r="DC823">
        <v>0.13712962962962963</v>
      </c>
      <c r="DD823">
        <v>130</v>
      </c>
      <c r="DE823">
        <v>192</v>
      </c>
      <c r="DF823">
        <v>27</v>
      </c>
      <c r="DG823" t="s">
        <v>998</v>
      </c>
      <c r="DH823">
        <v>23433</v>
      </c>
      <c r="DI823">
        <v>0.2077</v>
      </c>
      <c r="DQ823">
        <v>64</v>
      </c>
    </row>
    <row r="824" spans="95:122" x14ac:dyDescent="0.25">
      <c r="CQ824" t="s">
        <v>636</v>
      </c>
      <c r="CR824" t="s">
        <v>124</v>
      </c>
      <c r="CS824" t="s">
        <v>73</v>
      </c>
      <c r="CT824">
        <v>46064</v>
      </c>
      <c r="CU824">
        <v>1</v>
      </c>
      <c r="CV824">
        <v>1</v>
      </c>
      <c r="CX824">
        <v>1</v>
      </c>
      <c r="CZ824">
        <v>1.2037037037037038E-3</v>
      </c>
      <c r="DA824">
        <v>1.2037037037037038E-3</v>
      </c>
      <c r="DB824">
        <v>1.4826388888888889E-2</v>
      </c>
      <c r="DC824">
        <v>1.1516203703703704E-2</v>
      </c>
      <c r="DD824">
        <v>34</v>
      </c>
      <c r="DE824">
        <v>55</v>
      </c>
      <c r="DF824">
        <v>7</v>
      </c>
      <c r="DG824" t="s">
        <v>850</v>
      </c>
      <c r="DH824">
        <v>30020</v>
      </c>
      <c r="DI824">
        <v>0.2059</v>
      </c>
      <c r="DQ824">
        <v>64</v>
      </c>
    </row>
    <row r="825" spans="95:122" x14ac:dyDescent="0.25">
      <c r="CQ825" t="s">
        <v>636</v>
      </c>
      <c r="CR825" t="s">
        <v>124</v>
      </c>
      <c r="CS825" t="s">
        <v>73</v>
      </c>
      <c r="CT825">
        <v>46079</v>
      </c>
      <c r="CU825">
        <v>1</v>
      </c>
      <c r="CV825">
        <v>1</v>
      </c>
      <c r="CX825">
        <v>1</v>
      </c>
      <c r="CZ825">
        <v>1.9675925925925926E-4</v>
      </c>
      <c r="DA825">
        <v>1.9675925925925926E-4</v>
      </c>
      <c r="DB825">
        <v>0.16416666666666666</v>
      </c>
      <c r="DC825">
        <v>0.16537037037037036</v>
      </c>
      <c r="DD825">
        <v>72</v>
      </c>
      <c r="DE825">
        <v>119</v>
      </c>
      <c r="DF825">
        <v>20</v>
      </c>
      <c r="DG825">
        <v>1.4</v>
      </c>
      <c r="DH825">
        <v>19322</v>
      </c>
      <c r="DI825">
        <v>0.27779999999999999</v>
      </c>
      <c r="DQ825">
        <v>64</v>
      </c>
    </row>
    <row r="826" spans="95:122" x14ac:dyDescent="0.25">
      <c r="CQ826" t="s">
        <v>636</v>
      </c>
      <c r="CR826" t="s">
        <v>124</v>
      </c>
      <c r="CS826" t="s">
        <v>48</v>
      </c>
      <c r="CT826">
        <v>46063</v>
      </c>
      <c r="CU826">
        <v>1</v>
      </c>
      <c r="CV826">
        <v>1</v>
      </c>
      <c r="CX826">
        <v>1</v>
      </c>
      <c r="CZ826">
        <v>2.3148148148148147E-5</v>
      </c>
      <c r="DA826">
        <v>2.3148148148148147E-5</v>
      </c>
      <c r="DB826">
        <v>0.10111111111111111</v>
      </c>
      <c r="DC826">
        <v>2.704861111111111E-2</v>
      </c>
      <c r="DD826">
        <v>114</v>
      </c>
      <c r="DE826">
        <v>192</v>
      </c>
      <c r="DF826">
        <v>49</v>
      </c>
      <c r="DG826" t="s">
        <v>1125</v>
      </c>
      <c r="DH826">
        <v>9402</v>
      </c>
      <c r="DI826">
        <v>0.42980000000000002</v>
      </c>
      <c r="DQ826">
        <v>64</v>
      </c>
    </row>
    <row r="827" spans="95:122" x14ac:dyDescent="0.25">
      <c r="CQ827" t="s">
        <v>636</v>
      </c>
      <c r="CR827" t="s">
        <v>124</v>
      </c>
      <c r="CS827" t="s">
        <v>48</v>
      </c>
      <c r="CT827">
        <v>46078</v>
      </c>
      <c r="CU827">
        <v>1</v>
      </c>
      <c r="CV827">
        <v>1</v>
      </c>
      <c r="CX827">
        <v>1</v>
      </c>
      <c r="CZ827">
        <v>1.7361111111111112E-4</v>
      </c>
      <c r="DA827">
        <v>1.7361111111111112E-4</v>
      </c>
      <c r="DB827">
        <v>0.17789351851851851</v>
      </c>
      <c r="DC827">
        <v>0.16283564814814816</v>
      </c>
      <c r="DD827">
        <v>101</v>
      </c>
      <c r="DE827">
        <v>143</v>
      </c>
      <c r="DF827">
        <v>36</v>
      </c>
      <c r="DG827" t="s">
        <v>697</v>
      </c>
      <c r="DH827">
        <v>21009</v>
      </c>
      <c r="DI827">
        <v>0.35639999999999999</v>
      </c>
      <c r="DQ827">
        <v>64</v>
      </c>
    </row>
    <row r="828" spans="95:122" x14ac:dyDescent="0.25">
      <c r="CQ828" t="s">
        <v>636</v>
      </c>
      <c r="CR828" t="s">
        <v>125</v>
      </c>
      <c r="CS828" t="s">
        <v>18</v>
      </c>
      <c r="CT828">
        <v>46072</v>
      </c>
      <c r="CU828">
        <v>1</v>
      </c>
      <c r="CV828">
        <v>1</v>
      </c>
      <c r="CX828">
        <v>1</v>
      </c>
      <c r="CZ828">
        <v>1.0416666666666667E-4</v>
      </c>
      <c r="DA828">
        <v>1.0416666666666667E-4</v>
      </c>
      <c r="DB828">
        <v>0.2064236111111111</v>
      </c>
      <c r="DC828">
        <v>0.10532407407407407</v>
      </c>
      <c r="DD828">
        <v>165</v>
      </c>
      <c r="DE828">
        <v>321</v>
      </c>
      <c r="DF828">
        <v>19</v>
      </c>
      <c r="DG828" t="s">
        <v>921</v>
      </c>
      <c r="DH828">
        <v>38610</v>
      </c>
      <c r="DI828">
        <v>0.1152</v>
      </c>
      <c r="DQ828">
        <v>64</v>
      </c>
    </row>
    <row r="829" spans="95:122" x14ac:dyDescent="0.25">
      <c r="CQ829" t="s">
        <v>636</v>
      </c>
      <c r="CR829" t="s">
        <v>125</v>
      </c>
      <c r="CS829" t="s">
        <v>18</v>
      </c>
      <c r="CT829">
        <v>46077</v>
      </c>
      <c r="CU829">
        <v>1</v>
      </c>
      <c r="CV829">
        <v>1</v>
      </c>
      <c r="CX829">
        <v>1</v>
      </c>
      <c r="CZ829">
        <v>1.3888888888888889E-4</v>
      </c>
      <c r="DA829">
        <v>1.3888888888888889E-4</v>
      </c>
      <c r="DB829">
        <v>0.20050925925925925</v>
      </c>
      <c r="DC829">
        <v>0.13651620370370371</v>
      </c>
      <c r="DD829">
        <v>155</v>
      </c>
      <c r="DE829">
        <v>276</v>
      </c>
      <c r="DF829">
        <v>25</v>
      </c>
      <c r="DG829">
        <v>1.1200000000000001</v>
      </c>
      <c r="DH829">
        <v>23130</v>
      </c>
      <c r="DI829">
        <v>0.1613</v>
      </c>
      <c r="DQ829">
        <v>64</v>
      </c>
    </row>
    <row r="830" spans="95:122" x14ac:dyDescent="0.25">
      <c r="CQ830" t="s">
        <v>636</v>
      </c>
      <c r="CR830" t="s">
        <v>125</v>
      </c>
      <c r="CS830" t="s">
        <v>18</v>
      </c>
      <c r="CT830">
        <v>46079</v>
      </c>
      <c r="CU830">
        <v>1</v>
      </c>
      <c r="CV830">
        <v>1</v>
      </c>
      <c r="CX830">
        <v>1</v>
      </c>
      <c r="CZ830">
        <v>6.9444444444444444E-5</v>
      </c>
      <c r="DA830">
        <v>6.9444444444444444E-5</v>
      </c>
      <c r="DB830">
        <v>0.1940162037037037</v>
      </c>
      <c r="DC830">
        <v>0.14425925925925925</v>
      </c>
      <c r="DD830">
        <v>184</v>
      </c>
      <c r="DE830">
        <v>333</v>
      </c>
      <c r="DF830">
        <v>29</v>
      </c>
      <c r="DG830" t="s">
        <v>1126</v>
      </c>
      <c r="DH830">
        <v>17216</v>
      </c>
      <c r="DI830">
        <v>0.15759999999999999</v>
      </c>
      <c r="DQ830">
        <v>64</v>
      </c>
    </row>
    <row r="831" spans="95:122" x14ac:dyDescent="0.25">
      <c r="CQ831" t="s">
        <v>636</v>
      </c>
      <c r="CR831" t="s">
        <v>125</v>
      </c>
      <c r="CS831" t="s">
        <v>109</v>
      </c>
      <c r="CT831">
        <v>46055</v>
      </c>
      <c r="CU831">
        <v>1</v>
      </c>
      <c r="CV831">
        <v>1</v>
      </c>
      <c r="CX831">
        <v>1</v>
      </c>
      <c r="CZ831">
        <v>2.5462962962962961E-4</v>
      </c>
      <c r="DA831">
        <v>2.5462962962962961E-4</v>
      </c>
      <c r="DB831">
        <v>0</v>
      </c>
      <c r="DC831">
        <v>6.5046296296296293E-3</v>
      </c>
      <c r="DD831">
        <v>116</v>
      </c>
      <c r="DE831">
        <v>245</v>
      </c>
      <c r="DF831">
        <v>36</v>
      </c>
      <c r="DG831" t="s">
        <v>712</v>
      </c>
      <c r="DH831">
        <v>19386</v>
      </c>
      <c r="DI831">
        <v>0.31030000000000002</v>
      </c>
      <c r="DJ831">
        <v>1</v>
      </c>
      <c r="DK831">
        <v>2.7799999999999998E-2</v>
      </c>
      <c r="DL831">
        <v>850</v>
      </c>
      <c r="DM831">
        <v>850</v>
      </c>
      <c r="DN831">
        <v>850</v>
      </c>
      <c r="DO831">
        <v>1</v>
      </c>
      <c r="DQ831">
        <v>64</v>
      </c>
      <c r="DR831">
        <v>850</v>
      </c>
    </row>
    <row r="832" spans="95:122" x14ac:dyDescent="0.25">
      <c r="CQ832" t="s">
        <v>636</v>
      </c>
      <c r="CR832" t="s">
        <v>125</v>
      </c>
      <c r="CS832" t="s">
        <v>109</v>
      </c>
      <c r="CT832">
        <v>46073</v>
      </c>
      <c r="CU832">
        <v>1</v>
      </c>
      <c r="CV832">
        <v>1</v>
      </c>
      <c r="CX832">
        <v>1</v>
      </c>
      <c r="CZ832">
        <v>5.5555555555555556E-4</v>
      </c>
      <c r="DA832">
        <v>5.5555555555555556E-4</v>
      </c>
      <c r="DB832">
        <v>0.21438657407407408</v>
      </c>
      <c r="DC832">
        <v>0.12910879629629629</v>
      </c>
      <c r="DD832">
        <v>107</v>
      </c>
      <c r="DE832">
        <v>191</v>
      </c>
      <c r="DF832">
        <v>11</v>
      </c>
      <c r="DG832" t="s">
        <v>673</v>
      </c>
      <c r="DH832">
        <v>31350</v>
      </c>
      <c r="DI832">
        <v>0.1028</v>
      </c>
      <c r="DQ832">
        <v>64</v>
      </c>
    </row>
    <row r="833" spans="95:122" x14ac:dyDescent="0.25">
      <c r="CQ833" t="s">
        <v>636</v>
      </c>
      <c r="CR833" t="s">
        <v>125</v>
      </c>
      <c r="CS833" t="s">
        <v>109</v>
      </c>
      <c r="CT833">
        <v>46077</v>
      </c>
      <c r="CU833">
        <v>1</v>
      </c>
      <c r="CV833">
        <v>1</v>
      </c>
      <c r="CX833">
        <v>1</v>
      </c>
      <c r="CZ833">
        <v>2.6620370370370372E-4</v>
      </c>
      <c r="DA833">
        <v>2.6620370370370372E-4</v>
      </c>
      <c r="DB833">
        <v>0.17462962962962963</v>
      </c>
      <c r="DC833">
        <v>0.16835648148148147</v>
      </c>
      <c r="DD833">
        <v>101</v>
      </c>
      <c r="DE833">
        <v>179</v>
      </c>
      <c r="DF833">
        <v>14</v>
      </c>
      <c r="DG833" t="s">
        <v>850</v>
      </c>
      <c r="DH833">
        <v>16279</v>
      </c>
      <c r="DI833">
        <v>0.1386</v>
      </c>
      <c r="DQ833">
        <v>64</v>
      </c>
    </row>
    <row r="834" spans="95:122" x14ac:dyDescent="0.25">
      <c r="CQ834" t="s">
        <v>636</v>
      </c>
      <c r="CR834" t="s">
        <v>125</v>
      </c>
      <c r="CS834" t="s">
        <v>60</v>
      </c>
      <c r="CT834">
        <v>46055</v>
      </c>
      <c r="CU834">
        <v>1</v>
      </c>
      <c r="CV834">
        <v>1</v>
      </c>
      <c r="CX834">
        <v>1</v>
      </c>
      <c r="CZ834">
        <v>4.6296296296296294E-5</v>
      </c>
      <c r="DA834">
        <v>4.6296296296296294E-5</v>
      </c>
      <c r="DB834">
        <v>1.1828703703703704E-2</v>
      </c>
      <c r="DC834">
        <v>1.8032407407407407E-2</v>
      </c>
      <c r="DD834">
        <v>119</v>
      </c>
      <c r="DE834">
        <v>222</v>
      </c>
      <c r="DF834">
        <v>30</v>
      </c>
      <c r="DG834" t="s">
        <v>857</v>
      </c>
      <c r="DH834">
        <v>22493</v>
      </c>
      <c r="DI834">
        <v>0.25209999999999999</v>
      </c>
      <c r="DJ834">
        <v>17</v>
      </c>
      <c r="DK834">
        <v>0.56669999999999998</v>
      </c>
      <c r="DL834">
        <v>12577</v>
      </c>
      <c r="DM834">
        <v>740</v>
      </c>
      <c r="DN834">
        <v>8763</v>
      </c>
      <c r="DO834">
        <v>0.69669999999999999</v>
      </c>
      <c r="DQ834">
        <v>64</v>
      </c>
      <c r="DR834">
        <v>730</v>
      </c>
    </row>
    <row r="835" spans="95:122" x14ac:dyDescent="0.25">
      <c r="CQ835" t="s">
        <v>636</v>
      </c>
      <c r="CR835" t="s">
        <v>125</v>
      </c>
      <c r="CS835" t="s">
        <v>60</v>
      </c>
      <c r="CT835">
        <v>46073</v>
      </c>
      <c r="CU835">
        <v>1</v>
      </c>
      <c r="CV835">
        <v>1</v>
      </c>
      <c r="CX835">
        <v>1</v>
      </c>
      <c r="CZ835">
        <v>6.9444444444444444E-5</v>
      </c>
      <c r="DA835">
        <v>6.9444444444444444E-5</v>
      </c>
      <c r="DB835">
        <v>0.20508101851851851</v>
      </c>
      <c r="DC835">
        <v>0.12189814814814814</v>
      </c>
      <c r="DD835">
        <v>115</v>
      </c>
      <c r="DE835">
        <v>160</v>
      </c>
      <c r="DF835">
        <v>11</v>
      </c>
      <c r="DG835" t="s">
        <v>852</v>
      </c>
      <c r="DH835">
        <v>15621</v>
      </c>
      <c r="DI835">
        <v>9.5699999999999993E-2</v>
      </c>
      <c r="DQ835">
        <v>64</v>
      </c>
    </row>
    <row r="836" spans="95:122" x14ac:dyDescent="0.25">
      <c r="CQ836" t="s">
        <v>636</v>
      </c>
      <c r="CR836" t="s">
        <v>125</v>
      </c>
      <c r="CS836" t="s">
        <v>60</v>
      </c>
      <c r="CT836">
        <v>46080</v>
      </c>
      <c r="CU836">
        <v>1</v>
      </c>
      <c r="CV836">
        <v>1</v>
      </c>
      <c r="CX836">
        <v>1</v>
      </c>
      <c r="CZ836">
        <v>3.4722222222222222E-5</v>
      </c>
      <c r="DA836">
        <v>3.4722222222222222E-5</v>
      </c>
      <c r="DB836">
        <v>0.21884259259259259</v>
      </c>
      <c r="DC836">
        <v>0.14000000000000001</v>
      </c>
      <c r="DD836">
        <v>110</v>
      </c>
      <c r="DE836">
        <v>188</v>
      </c>
      <c r="DF836">
        <v>20</v>
      </c>
      <c r="DG836">
        <v>2</v>
      </c>
      <c r="DH836">
        <v>33277</v>
      </c>
      <c r="DI836">
        <v>0.18179999999999999</v>
      </c>
      <c r="DQ836">
        <v>64</v>
      </c>
    </row>
    <row r="837" spans="95:122" x14ac:dyDescent="0.25">
      <c r="CQ837" t="s">
        <v>636</v>
      </c>
      <c r="CR837" t="s">
        <v>125</v>
      </c>
      <c r="CS837" t="s">
        <v>85</v>
      </c>
      <c r="CT837">
        <v>46058</v>
      </c>
      <c r="CU837">
        <v>1</v>
      </c>
      <c r="CV837">
        <v>1</v>
      </c>
      <c r="CX837">
        <v>1</v>
      </c>
      <c r="CZ837">
        <v>0</v>
      </c>
      <c r="DA837">
        <v>0</v>
      </c>
      <c r="DB837">
        <v>1.1574074074074075E-4</v>
      </c>
      <c r="DC837">
        <v>3.6921296296296298E-3</v>
      </c>
      <c r="DD837">
        <v>120</v>
      </c>
      <c r="DE837">
        <v>221</v>
      </c>
      <c r="DF837">
        <v>25</v>
      </c>
      <c r="DG837">
        <v>1.32</v>
      </c>
      <c r="DH837">
        <v>41416</v>
      </c>
      <c r="DI837">
        <v>0.20830000000000001</v>
      </c>
      <c r="DQ837">
        <v>64</v>
      </c>
    </row>
    <row r="838" spans="95:122" x14ac:dyDescent="0.25">
      <c r="CQ838" t="s">
        <v>636</v>
      </c>
      <c r="CR838" t="s">
        <v>125</v>
      </c>
      <c r="CS838" t="s">
        <v>85</v>
      </c>
      <c r="CT838">
        <v>46071</v>
      </c>
      <c r="CU838">
        <v>1</v>
      </c>
      <c r="CV838">
        <v>1</v>
      </c>
      <c r="CX838">
        <v>1</v>
      </c>
      <c r="CZ838">
        <v>6.9444444444444444E-5</v>
      </c>
      <c r="DA838">
        <v>6.9444444444444444E-5</v>
      </c>
      <c r="DB838">
        <v>0.22843749999999999</v>
      </c>
      <c r="DC838">
        <v>0.1131712962962963</v>
      </c>
      <c r="DD838">
        <v>127</v>
      </c>
      <c r="DE838">
        <v>236</v>
      </c>
      <c r="DF838">
        <v>15</v>
      </c>
      <c r="DG838" t="s">
        <v>857</v>
      </c>
      <c r="DH838">
        <v>26205</v>
      </c>
      <c r="DI838">
        <v>0.1181</v>
      </c>
      <c r="DQ838">
        <v>64</v>
      </c>
    </row>
    <row r="839" spans="95:122" x14ac:dyDescent="0.25">
      <c r="CQ839" t="s">
        <v>636</v>
      </c>
      <c r="CR839" t="s">
        <v>125</v>
      </c>
      <c r="CS839" t="s">
        <v>85</v>
      </c>
      <c r="CT839">
        <v>46077</v>
      </c>
      <c r="CU839">
        <v>1</v>
      </c>
      <c r="CV839">
        <v>1</v>
      </c>
      <c r="CX839">
        <v>1</v>
      </c>
      <c r="CZ839">
        <v>0</v>
      </c>
      <c r="DA839">
        <v>0</v>
      </c>
      <c r="DB839">
        <v>0.20776620370370372</v>
      </c>
      <c r="DC839">
        <v>0.14929398148148149</v>
      </c>
      <c r="DD839">
        <v>116</v>
      </c>
      <c r="DE839">
        <v>226</v>
      </c>
      <c r="DF839">
        <v>28</v>
      </c>
      <c r="DG839" t="s">
        <v>1127</v>
      </c>
      <c r="DH839">
        <v>35505</v>
      </c>
      <c r="DI839">
        <v>0.2414</v>
      </c>
      <c r="DQ839">
        <v>64</v>
      </c>
    </row>
    <row r="840" spans="95:122" x14ac:dyDescent="0.25">
      <c r="CQ840" t="s">
        <v>636</v>
      </c>
      <c r="CR840" t="s">
        <v>125</v>
      </c>
      <c r="CS840" t="s">
        <v>85</v>
      </c>
      <c r="CT840">
        <v>46079</v>
      </c>
      <c r="CU840">
        <v>1</v>
      </c>
      <c r="CV840">
        <v>1</v>
      </c>
      <c r="CX840">
        <v>1</v>
      </c>
      <c r="CZ840">
        <v>0</v>
      </c>
      <c r="DA840">
        <v>0</v>
      </c>
      <c r="DB840">
        <v>0.20429398148148148</v>
      </c>
      <c r="DC840">
        <v>0.14754629629629629</v>
      </c>
      <c r="DD840">
        <v>124</v>
      </c>
      <c r="DE840">
        <v>250</v>
      </c>
      <c r="DF840">
        <v>20</v>
      </c>
      <c r="DG840">
        <v>1.35</v>
      </c>
      <c r="DH840">
        <v>21163</v>
      </c>
      <c r="DI840">
        <v>0.1613</v>
      </c>
      <c r="DQ840">
        <v>64</v>
      </c>
    </row>
    <row r="841" spans="95:122" x14ac:dyDescent="0.25">
      <c r="CQ841" t="s">
        <v>636</v>
      </c>
      <c r="CR841" t="s">
        <v>125</v>
      </c>
      <c r="CS841" t="s">
        <v>61</v>
      </c>
      <c r="CT841">
        <v>46072</v>
      </c>
      <c r="CU841">
        <v>1</v>
      </c>
      <c r="CV841">
        <v>1</v>
      </c>
      <c r="CX841">
        <v>1</v>
      </c>
      <c r="CZ841">
        <v>6.9444444444444444E-5</v>
      </c>
      <c r="DA841">
        <v>6.9444444444444444E-5</v>
      </c>
      <c r="DB841">
        <v>0.20931712962962962</v>
      </c>
      <c r="DC841">
        <v>0.14804398148148148</v>
      </c>
      <c r="DD841">
        <v>119</v>
      </c>
      <c r="DE841">
        <v>275</v>
      </c>
      <c r="DF841">
        <v>26</v>
      </c>
      <c r="DG841" t="s">
        <v>779</v>
      </c>
      <c r="DH841">
        <v>31567</v>
      </c>
      <c r="DI841">
        <v>0.2185</v>
      </c>
      <c r="DQ841">
        <v>64</v>
      </c>
    </row>
    <row r="842" spans="95:122" x14ac:dyDescent="0.25">
      <c r="CQ842" t="s">
        <v>636</v>
      </c>
      <c r="CR842" t="s">
        <v>125</v>
      </c>
      <c r="CS842" t="s">
        <v>61</v>
      </c>
      <c r="CT842">
        <v>46073</v>
      </c>
      <c r="CU842">
        <v>1</v>
      </c>
      <c r="CV842">
        <v>1</v>
      </c>
      <c r="CX842">
        <v>1</v>
      </c>
      <c r="CZ842">
        <v>3.0092592592592595E-4</v>
      </c>
      <c r="DA842">
        <v>3.0092592592592595E-4</v>
      </c>
      <c r="DB842">
        <v>0.21811342592592592</v>
      </c>
      <c r="DC842">
        <v>0.11556712962962963</v>
      </c>
      <c r="DD842">
        <v>108</v>
      </c>
      <c r="DE842">
        <v>275</v>
      </c>
      <c r="DF842">
        <v>8</v>
      </c>
      <c r="DG842">
        <v>1.375</v>
      </c>
      <c r="DH842">
        <v>15202</v>
      </c>
      <c r="DI842">
        <v>7.4099999999999999E-2</v>
      </c>
      <c r="DQ842">
        <v>64</v>
      </c>
    </row>
    <row r="843" spans="95:122" x14ac:dyDescent="0.25">
      <c r="CQ843" t="s">
        <v>636</v>
      </c>
      <c r="CR843" t="s">
        <v>125</v>
      </c>
      <c r="CS843" t="s">
        <v>61</v>
      </c>
      <c r="CT843">
        <v>46077</v>
      </c>
      <c r="CU843">
        <v>1</v>
      </c>
      <c r="CV843">
        <v>1</v>
      </c>
      <c r="CX843">
        <v>1</v>
      </c>
      <c r="CZ843">
        <v>8.1018518518518516E-5</v>
      </c>
      <c r="DA843">
        <v>8.1018518518518516E-5</v>
      </c>
      <c r="DB843">
        <v>0.13696759259259259</v>
      </c>
      <c r="DC843">
        <v>0.20591435185185186</v>
      </c>
      <c r="DD843">
        <v>84</v>
      </c>
      <c r="DE843">
        <v>281</v>
      </c>
      <c r="DF843">
        <v>11</v>
      </c>
      <c r="DG843" t="s">
        <v>680</v>
      </c>
      <c r="DH843">
        <v>51990</v>
      </c>
      <c r="DI843">
        <v>0.13100000000000001</v>
      </c>
      <c r="DQ843">
        <v>64</v>
      </c>
    </row>
    <row r="844" spans="95:122" x14ac:dyDescent="0.25">
      <c r="CQ844" t="s">
        <v>636</v>
      </c>
      <c r="CR844" t="s">
        <v>125</v>
      </c>
      <c r="CS844" t="s">
        <v>61</v>
      </c>
      <c r="CT844">
        <v>46079</v>
      </c>
      <c r="CU844">
        <v>1</v>
      </c>
      <c r="CV844">
        <v>1</v>
      </c>
      <c r="CX844">
        <v>1</v>
      </c>
      <c r="CZ844">
        <v>2.8356481481481483E-3</v>
      </c>
      <c r="DA844">
        <v>2.8356481481481483E-3</v>
      </c>
      <c r="DB844">
        <v>0.2023726851851852</v>
      </c>
      <c r="DC844">
        <v>0.14407407407407408</v>
      </c>
      <c r="DD844">
        <v>82</v>
      </c>
      <c r="DE844">
        <v>236</v>
      </c>
      <c r="DF844">
        <v>15</v>
      </c>
      <c r="DG844" t="s">
        <v>674</v>
      </c>
      <c r="DH844">
        <v>66276</v>
      </c>
      <c r="DI844">
        <v>0.18290000000000001</v>
      </c>
      <c r="DQ844">
        <v>64</v>
      </c>
    </row>
    <row r="845" spans="95:122" x14ac:dyDescent="0.25">
      <c r="CQ845" t="s">
        <v>636</v>
      </c>
      <c r="CR845" t="s">
        <v>125</v>
      </c>
      <c r="CS845" t="s">
        <v>61</v>
      </c>
      <c r="CT845">
        <v>46080</v>
      </c>
      <c r="CU845">
        <v>1</v>
      </c>
      <c r="CV845">
        <v>1</v>
      </c>
      <c r="CX845">
        <v>1</v>
      </c>
      <c r="CZ845">
        <v>8.1018518518518516E-5</v>
      </c>
      <c r="DA845">
        <v>8.1018518518518516E-5</v>
      </c>
      <c r="DB845">
        <v>0.20109953703703703</v>
      </c>
      <c r="DC845">
        <v>0.18307870370370372</v>
      </c>
      <c r="DD845">
        <v>81</v>
      </c>
      <c r="DE845">
        <v>230</v>
      </c>
      <c r="DF845">
        <v>24</v>
      </c>
      <c r="DG845">
        <v>1.75</v>
      </c>
      <c r="DH845">
        <v>48780</v>
      </c>
      <c r="DI845">
        <v>0.29630000000000001</v>
      </c>
      <c r="DQ845">
        <v>64</v>
      </c>
    </row>
    <row r="846" spans="95:122" x14ac:dyDescent="0.25">
      <c r="CQ846" t="s">
        <v>636</v>
      </c>
      <c r="CR846" t="s">
        <v>125</v>
      </c>
      <c r="CS846" t="s">
        <v>12</v>
      </c>
      <c r="CT846">
        <v>46058</v>
      </c>
      <c r="CU846">
        <v>1</v>
      </c>
      <c r="CV846">
        <v>1</v>
      </c>
      <c r="CX846">
        <v>1</v>
      </c>
      <c r="CZ846">
        <v>1.3888888888888889E-4</v>
      </c>
      <c r="DA846">
        <v>1.3888888888888889E-4</v>
      </c>
      <c r="DB846">
        <v>5.1296296296296298E-2</v>
      </c>
      <c r="DC846">
        <v>9.6643518518518511E-3</v>
      </c>
      <c r="DD846">
        <v>58</v>
      </c>
      <c r="DE846">
        <v>162</v>
      </c>
      <c r="DF846">
        <v>9</v>
      </c>
      <c r="DG846" t="s">
        <v>674</v>
      </c>
      <c r="DH846">
        <v>38880</v>
      </c>
      <c r="DI846">
        <v>0.1552</v>
      </c>
      <c r="DQ846">
        <v>64</v>
      </c>
    </row>
    <row r="847" spans="95:122" x14ac:dyDescent="0.25">
      <c r="CQ847" t="s">
        <v>636</v>
      </c>
      <c r="CR847" t="s">
        <v>125</v>
      </c>
      <c r="CS847" t="s">
        <v>12</v>
      </c>
      <c r="CT847">
        <v>46066</v>
      </c>
      <c r="CU847">
        <v>1</v>
      </c>
      <c r="CV847">
        <v>1</v>
      </c>
      <c r="CX847">
        <v>1</v>
      </c>
      <c r="CZ847">
        <v>1.273148148148148E-4</v>
      </c>
      <c r="DA847">
        <v>1.273148148148148E-4</v>
      </c>
      <c r="DB847">
        <v>0.20152777777777778</v>
      </c>
      <c r="DC847">
        <v>0.11556712962962963</v>
      </c>
      <c r="DD847">
        <v>80</v>
      </c>
      <c r="DE847">
        <v>224</v>
      </c>
      <c r="DF847">
        <v>21</v>
      </c>
      <c r="DG847" t="s">
        <v>962</v>
      </c>
      <c r="DH847">
        <v>23476</v>
      </c>
      <c r="DI847">
        <v>0.26250000000000001</v>
      </c>
      <c r="DJ847">
        <v>1</v>
      </c>
      <c r="DK847">
        <v>4.7600000000000003E-2</v>
      </c>
      <c r="DL847">
        <v>730</v>
      </c>
      <c r="DM847">
        <v>730</v>
      </c>
      <c r="DQ847">
        <v>64</v>
      </c>
    </row>
    <row r="848" spans="95:122" x14ac:dyDescent="0.25">
      <c r="CQ848" t="s">
        <v>636</v>
      </c>
      <c r="CR848" t="s">
        <v>125</v>
      </c>
      <c r="CS848" t="s">
        <v>12</v>
      </c>
      <c r="CT848">
        <v>46071</v>
      </c>
      <c r="CU848">
        <v>1</v>
      </c>
      <c r="CV848">
        <v>1</v>
      </c>
      <c r="CX848">
        <v>1</v>
      </c>
      <c r="CZ848">
        <v>1.1574074074074075E-4</v>
      </c>
      <c r="DA848">
        <v>1.1574074074074075E-4</v>
      </c>
      <c r="DB848">
        <v>0.20836805555555554</v>
      </c>
      <c r="DC848">
        <v>0.12741898148148148</v>
      </c>
      <c r="DD848">
        <v>99</v>
      </c>
      <c r="DE848">
        <v>278</v>
      </c>
      <c r="DF848">
        <v>22</v>
      </c>
      <c r="DG848" t="s">
        <v>695</v>
      </c>
      <c r="DH848">
        <v>19324</v>
      </c>
      <c r="DI848">
        <v>0.22220000000000001</v>
      </c>
      <c r="DQ848">
        <v>64</v>
      </c>
    </row>
    <row r="849" spans="95:121" x14ac:dyDescent="0.25">
      <c r="CQ849" t="s">
        <v>636</v>
      </c>
      <c r="CR849" t="s">
        <v>125</v>
      </c>
      <c r="CS849" t="s">
        <v>12</v>
      </c>
      <c r="CT849">
        <v>46072</v>
      </c>
      <c r="CU849">
        <v>1</v>
      </c>
      <c r="CV849">
        <v>1</v>
      </c>
      <c r="CX849">
        <v>1</v>
      </c>
      <c r="CZ849">
        <v>1.7361111111111112E-4</v>
      </c>
      <c r="DA849">
        <v>1.7361111111111112E-4</v>
      </c>
      <c r="DB849">
        <v>0.19135416666666666</v>
      </c>
      <c r="DC849">
        <v>0.15008101851851852</v>
      </c>
      <c r="DD849">
        <v>78</v>
      </c>
      <c r="DE849">
        <v>203</v>
      </c>
      <c r="DF849">
        <v>18</v>
      </c>
      <c r="DG849" t="s">
        <v>726</v>
      </c>
      <c r="DH849">
        <v>31633</v>
      </c>
      <c r="DI849">
        <v>0.23080000000000001</v>
      </c>
      <c r="DQ849">
        <v>64</v>
      </c>
    </row>
    <row r="850" spans="95:121" x14ac:dyDescent="0.25">
      <c r="CQ850" t="s">
        <v>636</v>
      </c>
      <c r="CR850" t="s">
        <v>125</v>
      </c>
      <c r="CS850" t="s">
        <v>12</v>
      </c>
      <c r="CT850">
        <v>46079</v>
      </c>
      <c r="CU850">
        <v>1</v>
      </c>
      <c r="CV850">
        <v>1</v>
      </c>
      <c r="CX850">
        <v>1</v>
      </c>
      <c r="CZ850">
        <v>2.6620370370370372E-4</v>
      </c>
      <c r="DA850">
        <v>2.6620370370370372E-4</v>
      </c>
      <c r="DB850">
        <v>0.18160879629629631</v>
      </c>
      <c r="DC850">
        <v>0.1716550925925926</v>
      </c>
      <c r="DD850">
        <v>82</v>
      </c>
      <c r="DE850">
        <v>212</v>
      </c>
      <c r="DF850">
        <v>18</v>
      </c>
      <c r="DG850" t="s">
        <v>674</v>
      </c>
      <c r="DH850">
        <v>25302</v>
      </c>
      <c r="DI850">
        <v>0.2195</v>
      </c>
      <c r="DQ850">
        <v>64</v>
      </c>
    </row>
    <row r="851" spans="95:121" x14ac:dyDescent="0.25">
      <c r="CQ851" t="s">
        <v>636</v>
      </c>
      <c r="CR851" t="s">
        <v>125</v>
      </c>
      <c r="CS851" t="s">
        <v>122</v>
      </c>
      <c r="CT851">
        <v>46058</v>
      </c>
      <c r="CU851">
        <v>1</v>
      </c>
      <c r="CV851">
        <v>1</v>
      </c>
      <c r="CX851">
        <v>1</v>
      </c>
      <c r="CZ851">
        <v>0</v>
      </c>
      <c r="DA851">
        <v>0</v>
      </c>
      <c r="DB851">
        <v>5.3449074074074072E-2</v>
      </c>
      <c r="DC851">
        <v>1.5300925925925926E-2</v>
      </c>
      <c r="DD851">
        <v>55</v>
      </c>
      <c r="DE851">
        <v>167</v>
      </c>
      <c r="DF851">
        <v>12</v>
      </c>
      <c r="DG851">
        <v>1.75</v>
      </c>
      <c r="DH851">
        <v>52720</v>
      </c>
      <c r="DI851">
        <v>0.21820000000000001</v>
      </c>
      <c r="DQ851">
        <v>64</v>
      </c>
    </row>
    <row r="852" spans="95:121" x14ac:dyDescent="0.25">
      <c r="CQ852" t="s">
        <v>636</v>
      </c>
      <c r="CR852" t="s">
        <v>125</v>
      </c>
      <c r="CS852" t="s">
        <v>122</v>
      </c>
      <c r="CT852">
        <v>46069</v>
      </c>
      <c r="CU852">
        <v>1</v>
      </c>
      <c r="CV852">
        <v>1</v>
      </c>
      <c r="CX852">
        <v>1</v>
      </c>
      <c r="CZ852">
        <v>0</v>
      </c>
      <c r="DA852">
        <v>0</v>
      </c>
      <c r="DB852">
        <v>0.20425925925925925</v>
      </c>
      <c r="DC852">
        <v>0.12021990740740741</v>
      </c>
      <c r="DD852">
        <v>47</v>
      </c>
      <c r="DE852">
        <v>148</v>
      </c>
      <c r="DF852">
        <v>12</v>
      </c>
      <c r="DG852">
        <v>2</v>
      </c>
      <c r="DH852">
        <v>42315</v>
      </c>
      <c r="DI852">
        <v>0.25530000000000003</v>
      </c>
      <c r="DJ852">
        <v>1</v>
      </c>
      <c r="DK852">
        <v>8.3299999999999999E-2</v>
      </c>
      <c r="DL852">
        <v>1080</v>
      </c>
      <c r="DM852">
        <v>1080</v>
      </c>
      <c r="DQ852">
        <v>64</v>
      </c>
    </row>
    <row r="853" spans="95:121" x14ac:dyDescent="0.25">
      <c r="CQ853" t="s">
        <v>636</v>
      </c>
      <c r="CR853" t="s">
        <v>125</v>
      </c>
      <c r="CS853" t="s">
        <v>122</v>
      </c>
      <c r="CT853">
        <v>46071</v>
      </c>
      <c r="CU853">
        <v>1</v>
      </c>
      <c r="CV853">
        <v>1</v>
      </c>
      <c r="CX853">
        <v>1</v>
      </c>
      <c r="CZ853">
        <v>0</v>
      </c>
      <c r="DA853">
        <v>0</v>
      </c>
      <c r="DB853">
        <v>0.19721064814814815</v>
      </c>
      <c r="DC853">
        <v>0.13225694444444444</v>
      </c>
      <c r="DD853">
        <v>65</v>
      </c>
      <c r="DE853">
        <v>189</v>
      </c>
      <c r="DF853">
        <v>12</v>
      </c>
      <c r="DG853">
        <v>1.5</v>
      </c>
      <c r="DH853">
        <v>32689</v>
      </c>
      <c r="DI853">
        <v>0.18459999999999999</v>
      </c>
      <c r="DQ853">
        <v>64</v>
      </c>
    </row>
    <row r="854" spans="95:121" x14ac:dyDescent="0.25">
      <c r="CQ854" t="s">
        <v>636</v>
      </c>
      <c r="CR854" t="s">
        <v>125</v>
      </c>
      <c r="CS854" t="s">
        <v>122</v>
      </c>
      <c r="CT854">
        <v>46079</v>
      </c>
      <c r="CU854">
        <v>1</v>
      </c>
      <c r="CV854">
        <v>1</v>
      </c>
      <c r="CX854">
        <v>1</v>
      </c>
      <c r="CZ854">
        <v>0</v>
      </c>
      <c r="DA854">
        <v>0</v>
      </c>
      <c r="DB854">
        <v>0.19819444444444445</v>
      </c>
      <c r="DC854">
        <v>6.9988425925925926E-2</v>
      </c>
      <c r="DD854">
        <v>56</v>
      </c>
      <c r="DE854">
        <v>192</v>
      </c>
      <c r="DF854">
        <v>13</v>
      </c>
      <c r="DG854" t="s">
        <v>843</v>
      </c>
      <c r="DH854">
        <v>38017</v>
      </c>
      <c r="DI854">
        <v>0.2321</v>
      </c>
      <c r="DQ854">
        <v>64</v>
      </c>
    </row>
    <row r="855" spans="95:121" x14ac:dyDescent="0.25">
      <c r="CQ855" t="s">
        <v>636</v>
      </c>
      <c r="CR855" t="s">
        <v>125</v>
      </c>
      <c r="CS855" t="s">
        <v>75</v>
      </c>
      <c r="CT855">
        <v>46058</v>
      </c>
      <c r="CU855">
        <v>1</v>
      </c>
      <c r="CV855">
        <v>1</v>
      </c>
      <c r="CX855">
        <v>1</v>
      </c>
      <c r="CZ855">
        <v>4.6296296296296294E-5</v>
      </c>
      <c r="DA855">
        <v>4.6296296296296294E-5</v>
      </c>
      <c r="DB855">
        <v>0.1200925925925926</v>
      </c>
      <c r="DC855">
        <v>7.9398148148148145E-3</v>
      </c>
      <c r="DD855">
        <v>108</v>
      </c>
      <c r="DE855">
        <v>270</v>
      </c>
      <c r="DF855">
        <v>21</v>
      </c>
      <c r="DG855" t="s">
        <v>962</v>
      </c>
      <c r="DH855">
        <v>44690</v>
      </c>
      <c r="DI855">
        <v>0.19439999999999999</v>
      </c>
      <c r="DQ855">
        <v>64</v>
      </c>
    </row>
    <row r="856" spans="95:121" x14ac:dyDescent="0.25">
      <c r="CQ856" t="s">
        <v>636</v>
      </c>
      <c r="CR856" t="s">
        <v>125</v>
      </c>
      <c r="CS856" t="s">
        <v>75</v>
      </c>
      <c r="CT856">
        <v>46071</v>
      </c>
      <c r="CU856">
        <v>1</v>
      </c>
      <c r="CV856">
        <v>1</v>
      </c>
      <c r="CX856">
        <v>1</v>
      </c>
      <c r="CZ856">
        <v>6.9444444444444444E-5</v>
      </c>
      <c r="DA856">
        <v>6.9444444444444444E-5</v>
      </c>
      <c r="DB856">
        <v>0.16809027777777777</v>
      </c>
      <c r="DC856">
        <v>0.11798611111111111</v>
      </c>
      <c r="DD856">
        <v>74</v>
      </c>
      <c r="DE856">
        <v>160</v>
      </c>
      <c r="DF856">
        <v>7</v>
      </c>
      <c r="DG856" t="s">
        <v>679</v>
      </c>
      <c r="DH856">
        <v>26339</v>
      </c>
      <c r="DI856">
        <v>9.4600000000000004E-2</v>
      </c>
      <c r="DQ856">
        <v>64</v>
      </c>
    </row>
    <row r="857" spans="95:121" x14ac:dyDescent="0.25">
      <c r="CQ857" t="s">
        <v>636</v>
      </c>
      <c r="CR857" t="s">
        <v>125</v>
      </c>
      <c r="CS857" t="s">
        <v>75</v>
      </c>
      <c r="CT857">
        <v>46072</v>
      </c>
      <c r="CU857">
        <v>1</v>
      </c>
      <c r="CV857">
        <v>1</v>
      </c>
      <c r="CX857">
        <v>1</v>
      </c>
      <c r="CZ857">
        <v>1.273148148148148E-4</v>
      </c>
      <c r="DA857">
        <v>1.273148148148148E-4</v>
      </c>
      <c r="DB857">
        <v>0.22247685185185184</v>
      </c>
      <c r="DC857">
        <v>0.110625</v>
      </c>
      <c r="DD857">
        <v>114</v>
      </c>
      <c r="DE857">
        <v>212</v>
      </c>
      <c r="DF857">
        <v>13</v>
      </c>
      <c r="DG857" t="s">
        <v>787</v>
      </c>
      <c r="DH857">
        <v>24758</v>
      </c>
      <c r="DI857">
        <v>0.114</v>
      </c>
      <c r="DQ857">
        <v>64</v>
      </c>
    </row>
    <row r="858" spans="95:121" x14ac:dyDescent="0.25">
      <c r="CQ858" t="s">
        <v>636</v>
      </c>
      <c r="CR858" t="s">
        <v>125</v>
      </c>
      <c r="CS858" t="s">
        <v>75</v>
      </c>
      <c r="CT858">
        <v>46073</v>
      </c>
      <c r="CU858">
        <v>1</v>
      </c>
      <c r="CV858">
        <v>1</v>
      </c>
      <c r="CX858">
        <v>1</v>
      </c>
      <c r="CZ858">
        <v>1.0416666666666667E-4</v>
      </c>
      <c r="DA858">
        <v>1.0416666666666667E-4</v>
      </c>
      <c r="DB858">
        <v>0.21637731481481481</v>
      </c>
      <c r="DC858">
        <v>0.115</v>
      </c>
      <c r="DD858">
        <v>89</v>
      </c>
      <c r="DE858">
        <v>187</v>
      </c>
      <c r="DF858">
        <v>15</v>
      </c>
      <c r="DG858" t="s">
        <v>808</v>
      </c>
      <c r="DH858">
        <v>15447</v>
      </c>
      <c r="DI858">
        <v>0.16850000000000001</v>
      </c>
      <c r="DQ858">
        <v>64</v>
      </c>
    </row>
    <row r="859" spans="95:121" x14ac:dyDescent="0.25">
      <c r="CQ859" t="s">
        <v>636</v>
      </c>
      <c r="CR859" t="s">
        <v>125</v>
      </c>
      <c r="CS859" t="s">
        <v>75</v>
      </c>
      <c r="CT859">
        <v>46077</v>
      </c>
      <c r="CU859">
        <v>1</v>
      </c>
      <c r="CV859">
        <v>1</v>
      </c>
      <c r="CX859">
        <v>1</v>
      </c>
      <c r="CZ859">
        <v>1.1574074074074075E-4</v>
      </c>
      <c r="DA859">
        <v>1.1574074074074075E-4</v>
      </c>
      <c r="DB859">
        <v>0.20030092592592594</v>
      </c>
      <c r="DC859">
        <v>0.14004629629629631</v>
      </c>
      <c r="DD859">
        <v>101</v>
      </c>
      <c r="DE859">
        <v>184</v>
      </c>
      <c r="DF859">
        <v>11</v>
      </c>
      <c r="DG859" t="s">
        <v>680</v>
      </c>
      <c r="DH859">
        <v>27972</v>
      </c>
      <c r="DI859">
        <v>0.1089</v>
      </c>
      <c r="DQ859">
        <v>64</v>
      </c>
    </row>
    <row r="860" spans="95:121" x14ac:dyDescent="0.25">
      <c r="CQ860" t="s">
        <v>636</v>
      </c>
      <c r="CR860" t="s">
        <v>125</v>
      </c>
      <c r="CS860" t="s">
        <v>75</v>
      </c>
      <c r="CT860">
        <v>46079</v>
      </c>
      <c r="CU860">
        <v>1</v>
      </c>
      <c r="CV860">
        <v>1</v>
      </c>
      <c r="CX860">
        <v>1</v>
      </c>
      <c r="CZ860">
        <v>1.0416666666666667E-4</v>
      </c>
      <c r="DA860">
        <v>1.0416666666666667E-4</v>
      </c>
      <c r="DB860">
        <v>0.18883101851851852</v>
      </c>
      <c r="DC860">
        <v>0.14174768518518518</v>
      </c>
      <c r="DD860">
        <v>74</v>
      </c>
      <c r="DE860">
        <v>168</v>
      </c>
      <c r="DF860">
        <v>16</v>
      </c>
      <c r="DG860">
        <v>1.375</v>
      </c>
      <c r="DH860">
        <v>27766</v>
      </c>
      <c r="DI860">
        <v>0.2162</v>
      </c>
      <c r="DQ860">
        <v>64</v>
      </c>
    </row>
    <row r="861" spans="95:121" x14ac:dyDescent="0.25">
      <c r="CQ861" t="s">
        <v>636</v>
      </c>
      <c r="CR861" t="s">
        <v>125</v>
      </c>
      <c r="CS861" t="s">
        <v>206</v>
      </c>
      <c r="CT861">
        <v>46058</v>
      </c>
      <c r="CU861">
        <v>1</v>
      </c>
      <c r="CV861">
        <v>1</v>
      </c>
      <c r="CX861">
        <v>1</v>
      </c>
      <c r="CZ861">
        <v>3.4722222222222222E-5</v>
      </c>
      <c r="DA861">
        <v>3.4722222222222222E-5</v>
      </c>
      <c r="DB861">
        <v>7.586805555555555E-2</v>
      </c>
      <c r="DC861">
        <v>1.6516203703703703E-2</v>
      </c>
      <c r="DD861">
        <v>164</v>
      </c>
      <c r="DE861">
        <v>316</v>
      </c>
      <c r="DF861">
        <v>20</v>
      </c>
      <c r="DG861">
        <v>1.7</v>
      </c>
      <c r="DH861">
        <v>20386</v>
      </c>
      <c r="DI861">
        <v>0.122</v>
      </c>
      <c r="DQ861">
        <v>64</v>
      </c>
    </row>
    <row r="862" spans="95:121" x14ac:dyDescent="0.25">
      <c r="CQ862" t="s">
        <v>636</v>
      </c>
      <c r="CR862" t="s">
        <v>125</v>
      </c>
      <c r="CS862" t="s">
        <v>206</v>
      </c>
      <c r="CT862">
        <v>46071</v>
      </c>
      <c r="CU862">
        <v>1</v>
      </c>
      <c r="CV862">
        <v>1</v>
      </c>
      <c r="CX862">
        <v>1</v>
      </c>
      <c r="CZ862">
        <v>5.7870370370370373E-5</v>
      </c>
      <c r="DA862">
        <v>5.7870370370370373E-5</v>
      </c>
      <c r="DB862">
        <v>0.22739583333333332</v>
      </c>
      <c r="DC862">
        <v>0.12790509259259258</v>
      </c>
      <c r="DD862">
        <v>117</v>
      </c>
      <c r="DE862">
        <v>310</v>
      </c>
      <c r="DF862">
        <v>26</v>
      </c>
      <c r="DG862" t="s">
        <v>779</v>
      </c>
      <c r="DH862">
        <v>25915</v>
      </c>
      <c r="DI862">
        <v>0.22220000000000001</v>
      </c>
      <c r="DQ862">
        <v>64</v>
      </c>
    </row>
    <row r="863" spans="95:121" x14ac:dyDescent="0.25">
      <c r="CQ863" t="s">
        <v>636</v>
      </c>
      <c r="CR863" t="s">
        <v>125</v>
      </c>
      <c r="CS863" t="s">
        <v>206</v>
      </c>
      <c r="CT863">
        <v>46073</v>
      </c>
      <c r="CU863">
        <v>1</v>
      </c>
      <c r="CV863">
        <v>1</v>
      </c>
      <c r="CX863">
        <v>1</v>
      </c>
      <c r="CZ863">
        <v>8.1018518518518516E-5</v>
      </c>
      <c r="DA863">
        <v>8.1018518518518516E-5</v>
      </c>
      <c r="DB863">
        <v>0.21984953703703702</v>
      </c>
      <c r="DC863">
        <v>0.13493055555555555</v>
      </c>
      <c r="DD863">
        <v>147</v>
      </c>
      <c r="DE863">
        <v>303</v>
      </c>
      <c r="DF863">
        <v>23</v>
      </c>
      <c r="DG863" t="s">
        <v>849</v>
      </c>
      <c r="DH863">
        <v>55703</v>
      </c>
      <c r="DI863">
        <v>0.1565</v>
      </c>
      <c r="DQ863">
        <v>64</v>
      </c>
    </row>
    <row r="864" spans="95:121" x14ac:dyDescent="0.25">
      <c r="CQ864" t="s">
        <v>636</v>
      </c>
      <c r="CR864" t="s">
        <v>125</v>
      </c>
      <c r="CS864" t="s">
        <v>206</v>
      </c>
      <c r="CT864">
        <v>46079</v>
      </c>
      <c r="CU864">
        <v>1</v>
      </c>
      <c r="CV864">
        <v>1</v>
      </c>
      <c r="CX864">
        <v>1</v>
      </c>
      <c r="CZ864">
        <v>1.6203703703703703E-4</v>
      </c>
      <c r="DA864">
        <v>1.6203703703703703E-4</v>
      </c>
      <c r="DB864">
        <v>0.19423611111111111</v>
      </c>
      <c r="DC864">
        <v>0.15975694444444444</v>
      </c>
      <c r="DD864">
        <v>105</v>
      </c>
      <c r="DE864">
        <v>297</v>
      </c>
      <c r="DF864">
        <v>19</v>
      </c>
      <c r="DG864" t="s">
        <v>683</v>
      </c>
      <c r="DH864">
        <v>36926</v>
      </c>
      <c r="DI864">
        <v>0.18099999999999999</v>
      </c>
      <c r="DQ864">
        <v>64</v>
      </c>
    </row>
    <row r="865" spans="95:121" x14ac:dyDescent="0.25">
      <c r="CQ865" t="s">
        <v>636</v>
      </c>
      <c r="CR865" t="s">
        <v>125</v>
      </c>
      <c r="CS865" t="s">
        <v>206</v>
      </c>
      <c r="CT865">
        <v>46080</v>
      </c>
      <c r="CU865">
        <v>1</v>
      </c>
      <c r="CV865">
        <v>1</v>
      </c>
      <c r="CX865">
        <v>1</v>
      </c>
      <c r="CZ865">
        <v>5.7870370370370373E-5</v>
      </c>
      <c r="DA865">
        <v>5.7870370370370373E-5</v>
      </c>
      <c r="DB865">
        <v>0.24106481481481482</v>
      </c>
      <c r="DC865">
        <v>0.15056712962962962</v>
      </c>
      <c r="DD865">
        <v>116</v>
      </c>
      <c r="DE865">
        <v>317</v>
      </c>
      <c r="DF865">
        <v>24</v>
      </c>
      <c r="DG865" t="s">
        <v>811</v>
      </c>
      <c r="DH865">
        <v>20705</v>
      </c>
      <c r="DI865">
        <v>0.2069</v>
      </c>
      <c r="DQ865">
        <v>64</v>
      </c>
    </row>
    <row r="866" spans="95:121" x14ac:dyDescent="0.25">
      <c r="CQ866" t="s">
        <v>636</v>
      </c>
      <c r="CR866" t="s">
        <v>125</v>
      </c>
      <c r="CS866" t="s">
        <v>59</v>
      </c>
      <c r="CT866">
        <v>46062</v>
      </c>
      <c r="CU866">
        <v>1</v>
      </c>
      <c r="CV866">
        <v>1</v>
      </c>
      <c r="CX866">
        <v>1</v>
      </c>
      <c r="CZ866">
        <v>3.4722222222222222E-5</v>
      </c>
      <c r="DA866">
        <v>3.4722222222222222E-5</v>
      </c>
      <c r="DB866">
        <v>2.4918981481481483E-2</v>
      </c>
      <c r="DC866">
        <v>2.1655092592592594E-2</v>
      </c>
      <c r="DD866">
        <v>110</v>
      </c>
      <c r="DE866">
        <v>276</v>
      </c>
      <c r="DF866">
        <v>14</v>
      </c>
      <c r="DG866" t="s">
        <v>1018</v>
      </c>
      <c r="DH866">
        <v>75186</v>
      </c>
      <c r="DI866">
        <v>0.1273</v>
      </c>
      <c r="DJ866">
        <v>1</v>
      </c>
      <c r="DK866">
        <v>7.1400000000000005E-2</v>
      </c>
      <c r="DL866">
        <v>3000</v>
      </c>
      <c r="DM866">
        <v>3000</v>
      </c>
      <c r="DQ866">
        <v>64</v>
      </c>
    </row>
    <row r="867" spans="95:121" x14ac:dyDescent="0.25">
      <c r="CQ867" t="s">
        <v>636</v>
      </c>
      <c r="CR867" t="s">
        <v>125</v>
      </c>
      <c r="CS867" t="s">
        <v>59</v>
      </c>
      <c r="CT867">
        <v>46073</v>
      </c>
      <c r="CU867">
        <v>1</v>
      </c>
      <c r="CV867">
        <v>1</v>
      </c>
      <c r="CX867">
        <v>1</v>
      </c>
      <c r="CZ867">
        <v>0</v>
      </c>
      <c r="DA867">
        <v>0</v>
      </c>
      <c r="DB867">
        <v>0.19587962962962963</v>
      </c>
      <c r="DC867">
        <v>0.13690972222222222</v>
      </c>
      <c r="DD867">
        <v>127</v>
      </c>
      <c r="DE867">
        <v>246</v>
      </c>
      <c r="DF867">
        <v>17</v>
      </c>
      <c r="DG867" t="s">
        <v>670</v>
      </c>
      <c r="DH867">
        <v>43111</v>
      </c>
      <c r="DI867">
        <v>0.13389999999999999</v>
      </c>
      <c r="DQ867">
        <v>64</v>
      </c>
    </row>
    <row r="868" spans="95:121" x14ac:dyDescent="0.25">
      <c r="CQ868" t="s">
        <v>636</v>
      </c>
      <c r="CR868" t="s">
        <v>125</v>
      </c>
      <c r="CS868" t="s">
        <v>59</v>
      </c>
      <c r="CT868">
        <v>46077</v>
      </c>
      <c r="CU868">
        <v>1</v>
      </c>
      <c r="CV868">
        <v>1</v>
      </c>
      <c r="CX868">
        <v>1</v>
      </c>
      <c r="CZ868">
        <v>9.2592592592592588E-5</v>
      </c>
      <c r="DA868">
        <v>9.2592592592592588E-5</v>
      </c>
      <c r="DB868">
        <v>0.17993055555555557</v>
      </c>
      <c r="DC868">
        <v>0.1592824074074074</v>
      </c>
      <c r="DD868">
        <v>96</v>
      </c>
      <c r="DE868">
        <v>218</v>
      </c>
      <c r="DF868">
        <v>15</v>
      </c>
      <c r="DG868">
        <v>1.8</v>
      </c>
      <c r="DH868">
        <v>40312</v>
      </c>
      <c r="DI868">
        <v>0.15629999999999999</v>
      </c>
      <c r="DQ868">
        <v>64</v>
      </c>
    </row>
    <row r="869" spans="95:121" x14ac:dyDescent="0.25">
      <c r="CQ869" t="s">
        <v>636</v>
      </c>
      <c r="CR869" t="s">
        <v>125</v>
      </c>
      <c r="CS869" t="s">
        <v>59</v>
      </c>
      <c r="CT869">
        <v>46080</v>
      </c>
      <c r="CU869">
        <v>1</v>
      </c>
      <c r="CV869">
        <v>1</v>
      </c>
      <c r="CX869">
        <v>1</v>
      </c>
      <c r="CZ869">
        <v>1.1574074074074073E-5</v>
      </c>
      <c r="DA869">
        <v>1.1574074074074073E-5</v>
      </c>
      <c r="DB869">
        <v>0.21759259259259259</v>
      </c>
      <c r="DC869">
        <v>0.1595138888888889</v>
      </c>
      <c r="DD869">
        <v>160</v>
      </c>
      <c r="DE869">
        <v>331</v>
      </c>
      <c r="DF869">
        <v>15</v>
      </c>
      <c r="DG869">
        <v>2.4</v>
      </c>
      <c r="DH869">
        <v>42222</v>
      </c>
      <c r="DI869">
        <v>9.3799999999999994E-2</v>
      </c>
      <c r="DQ869">
        <v>64</v>
      </c>
    </row>
    <row r="870" spans="95:121" x14ac:dyDescent="0.25">
      <c r="CQ870" t="s">
        <v>636</v>
      </c>
      <c r="CR870" t="s">
        <v>125</v>
      </c>
      <c r="CS870" t="s">
        <v>10</v>
      </c>
      <c r="CT870">
        <v>46072</v>
      </c>
      <c r="CU870">
        <v>1</v>
      </c>
      <c r="CV870">
        <v>1</v>
      </c>
      <c r="CX870">
        <v>1</v>
      </c>
      <c r="CZ870">
        <v>8.1018518518518516E-5</v>
      </c>
      <c r="DA870">
        <v>8.1018518518518516E-5</v>
      </c>
      <c r="DB870">
        <v>0.21824074074074074</v>
      </c>
      <c r="DC870">
        <v>0.14697916666666666</v>
      </c>
      <c r="DD870">
        <v>149</v>
      </c>
      <c r="DE870">
        <v>228</v>
      </c>
      <c r="DF870">
        <v>13</v>
      </c>
      <c r="DG870">
        <v>2</v>
      </c>
      <c r="DH870">
        <v>56936</v>
      </c>
      <c r="DI870">
        <v>8.72E-2</v>
      </c>
      <c r="DQ870">
        <v>64</v>
      </c>
    </row>
    <row r="871" spans="95:121" x14ac:dyDescent="0.25">
      <c r="CQ871" t="s">
        <v>636</v>
      </c>
      <c r="CR871" t="s">
        <v>125</v>
      </c>
      <c r="CS871" t="s">
        <v>10</v>
      </c>
      <c r="CT871">
        <v>46080</v>
      </c>
      <c r="CU871">
        <v>1</v>
      </c>
      <c r="CV871">
        <v>1</v>
      </c>
      <c r="CX871">
        <v>1</v>
      </c>
      <c r="CZ871">
        <v>4.6296296296296294E-5</v>
      </c>
      <c r="DA871">
        <v>4.6296296296296294E-5</v>
      </c>
      <c r="DB871">
        <v>0.20226851851851851</v>
      </c>
      <c r="DC871">
        <v>0.19089120370370372</v>
      </c>
      <c r="DD871">
        <v>133</v>
      </c>
      <c r="DE871">
        <v>253</v>
      </c>
      <c r="DF871">
        <v>21</v>
      </c>
      <c r="DG871" t="s">
        <v>1009</v>
      </c>
      <c r="DH871">
        <v>61103</v>
      </c>
      <c r="DI871">
        <v>0.15790000000000001</v>
      </c>
      <c r="DJ871">
        <v>1</v>
      </c>
      <c r="DK871">
        <v>4.7600000000000003E-2</v>
      </c>
      <c r="DL871">
        <v>1000</v>
      </c>
      <c r="DM871">
        <v>1000</v>
      </c>
      <c r="DQ871">
        <v>64</v>
      </c>
    </row>
    <row r="872" spans="95:121" x14ac:dyDescent="0.25">
      <c r="CQ872" t="s">
        <v>636</v>
      </c>
      <c r="CR872" t="s">
        <v>2</v>
      </c>
      <c r="CS872" t="s">
        <v>15</v>
      </c>
      <c r="CT872">
        <v>46056</v>
      </c>
      <c r="CU872">
        <v>1</v>
      </c>
      <c r="CV872">
        <v>1</v>
      </c>
      <c r="CX872">
        <v>1</v>
      </c>
      <c r="CZ872">
        <v>0</v>
      </c>
      <c r="DA872">
        <v>0</v>
      </c>
      <c r="DB872">
        <v>3.9629629629629633E-2</v>
      </c>
      <c r="DC872">
        <v>2.3541666666666666E-2</v>
      </c>
      <c r="DD872">
        <v>112</v>
      </c>
      <c r="DE872">
        <v>154</v>
      </c>
      <c r="DF872">
        <v>38</v>
      </c>
      <c r="DG872" t="s">
        <v>721</v>
      </c>
      <c r="DH872">
        <v>22320</v>
      </c>
      <c r="DI872">
        <v>0.33929999999999999</v>
      </c>
      <c r="DJ872">
        <v>1</v>
      </c>
      <c r="DK872">
        <v>2.63E-2</v>
      </c>
      <c r="DL872">
        <v>367</v>
      </c>
      <c r="DM872">
        <v>367</v>
      </c>
      <c r="DQ872">
        <v>64</v>
      </c>
    </row>
    <row r="873" spans="95:121" x14ac:dyDescent="0.25">
      <c r="CQ873" t="s">
        <v>636</v>
      </c>
      <c r="CR873" t="s">
        <v>2</v>
      </c>
      <c r="CS873" t="s">
        <v>15</v>
      </c>
      <c r="CT873">
        <v>46058</v>
      </c>
      <c r="CU873">
        <v>1</v>
      </c>
      <c r="CV873">
        <v>1</v>
      </c>
      <c r="CX873">
        <v>1</v>
      </c>
      <c r="CZ873">
        <v>6.9444444444444444E-5</v>
      </c>
      <c r="DA873">
        <v>6.9444444444444444E-5</v>
      </c>
      <c r="DB873">
        <v>3.5300925925925923E-2</v>
      </c>
      <c r="DC873">
        <v>1.9953703703703703E-2</v>
      </c>
      <c r="DD873">
        <v>85</v>
      </c>
      <c r="DE873">
        <v>97</v>
      </c>
      <c r="DF873">
        <v>15</v>
      </c>
      <c r="DG873" t="s">
        <v>898</v>
      </c>
      <c r="DH873">
        <v>15840</v>
      </c>
      <c r="DI873">
        <v>0.17649999999999999</v>
      </c>
      <c r="DQ873">
        <v>64</v>
      </c>
    </row>
    <row r="874" spans="95:121" x14ac:dyDescent="0.25">
      <c r="CQ874" t="s">
        <v>636</v>
      </c>
      <c r="CR874" t="s">
        <v>2</v>
      </c>
      <c r="CS874" t="s">
        <v>42</v>
      </c>
      <c r="CT874">
        <v>46073</v>
      </c>
      <c r="CU874">
        <v>1</v>
      </c>
      <c r="CV874">
        <v>1</v>
      </c>
      <c r="CX874">
        <v>1</v>
      </c>
      <c r="CZ874">
        <v>1.5046296296296297E-4</v>
      </c>
      <c r="DA874">
        <v>1.5046296296296297E-4</v>
      </c>
      <c r="DB874">
        <v>0.18203703703703702</v>
      </c>
      <c r="DC874">
        <v>0.11703703703703704</v>
      </c>
      <c r="DD874">
        <v>80</v>
      </c>
      <c r="DE874">
        <v>128</v>
      </c>
      <c r="DF874">
        <v>26</v>
      </c>
      <c r="DG874" t="s">
        <v>779</v>
      </c>
      <c r="DH874">
        <v>31572</v>
      </c>
      <c r="DI874">
        <v>0.32500000000000001</v>
      </c>
      <c r="DQ874">
        <v>64</v>
      </c>
    </row>
    <row r="875" spans="95:121" x14ac:dyDescent="0.25">
      <c r="CQ875" t="s">
        <v>636</v>
      </c>
      <c r="CR875" t="s">
        <v>2</v>
      </c>
      <c r="CS875" t="s">
        <v>38</v>
      </c>
      <c r="CT875">
        <v>46058</v>
      </c>
      <c r="CU875">
        <v>1</v>
      </c>
      <c r="CV875">
        <v>1</v>
      </c>
      <c r="CX875">
        <v>1</v>
      </c>
      <c r="CZ875">
        <v>2.3148148148148147E-5</v>
      </c>
      <c r="DA875">
        <v>2.3148148148148147E-5</v>
      </c>
      <c r="DB875">
        <v>0.1096412037037037</v>
      </c>
      <c r="DC875">
        <v>2.2488425925925926E-2</v>
      </c>
      <c r="DD875">
        <v>126</v>
      </c>
      <c r="DE875">
        <v>159</v>
      </c>
      <c r="DF875">
        <v>29</v>
      </c>
      <c r="DG875" t="s">
        <v>967</v>
      </c>
      <c r="DH875">
        <v>25399</v>
      </c>
      <c r="DI875">
        <v>0.23019999999999999</v>
      </c>
      <c r="DQ875">
        <v>64</v>
      </c>
    </row>
    <row r="876" spans="95:121" x14ac:dyDescent="0.25">
      <c r="CQ876" t="s">
        <v>636</v>
      </c>
      <c r="CR876" t="s">
        <v>2</v>
      </c>
      <c r="CS876" t="s">
        <v>38</v>
      </c>
      <c r="CT876">
        <v>46073</v>
      </c>
      <c r="CU876">
        <v>1</v>
      </c>
      <c r="CV876">
        <v>1</v>
      </c>
      <c r="CX876">
        <v>1</v>
      </c>
      <c r="CZ876">
        <v>0</v>
      </c>
      <c r="DA876">
        <v>0</v>
      </c>
      <c r="DB876">
        <v>0.19402777777777777</v>
      </c>
      <c r="DC876">
        <v>0.12365740740740741</v>
      </c>
      <c r="DD876">
        <v>68</v>
      </c>
      <c r="DE876">
        <v>100</v>
      </c>
      <c r="DF876">
        <v>30</v>
      </c>
      <c r="DG876">
        <v>1.6</v>
      </c>
      <c r="DH876">
        <v>28574</v>
      </c>
      <c r="DI876">
        <v>0.44119999999999998</v>
      </c>
      <c r="DQ876">
        <v>64</v>
      </c>
    </row>
    <row r="877" spans="95:121" x14ac:dyDescent="0.25">
      <c r="CQ877" t="s">
        <v>636</v>
      </c>
      <c r="CR877" t="s">
        <v>2</v>
      </c>
      <c r="CS877" t="s">
        <v>76</v>
      </c>
      <c r="CT877">
        <v>46058</v>
      </c>
      <c r="CU877">
        <v>1</v>
      </c>
      <c r="CV877">
        <v>1</v>
      </c>
      <c r="CX877">
        <v>1</v>
      </c>
      <c r="CZ877">
        <v>2.3148148148148149E-4</v>
      </c>
      <c r="DA877">
        <v>2.3148148148148149E-4</v>
      </c>
      <c r="DB877">
        <v>0.17766203703703703</v>
      </c>
      <c r="DC877">
        <v>2.8784722222222222E-2</v>
      </c>
      <c r="DD877">
        <v>70</v>
      </c>
      <c r="DE877">
        <v>97</v>
      </c>
      <c r="DF877">
        <v>17</v>
      </c>
      <c r="DG877" t="s">
        <v>782</v>
      </c>
      <c r="DH877">
        <v>22181</v>
      </c>
      <c r="DI877">
        <v>0.2429</v>
      </c>
      <c r="DQ877">
        <v>64</v>
      </c>
    </row>
    <row r="878" spans="95:121" x14ac:dyDescent="0.25">
      <c r="CQ878" t="s">
        <v>636</v>
      </c>
      <c r="CR878" t="s">
        <v>2</v>
      </c>
      <c r="CS878" t="s">
        <v>76</v>
      </c>
      <c r="CT878">
        <v>46073</v>
      </c>
      <c r="CU878">
        <v>1</v>
      </c>
      <c r="CV878">
        <v>1</v>
      </c>
      <c r="CX878">
        <v>1</v>
      </c>
      <c r="CZ878">
        <v>0</v>
      </c>
      <c r="DA878">
        <v>0</v>
      </c>
      <c r="DB878">
        <v>0.17297453703703702</v>
      </c>
      <c r="DC878">
        <v>0.11874999999999999</v>
      </c>
      <c r="DD878">
        <v>82</v>
      </c>
      <c r="DE878">
        <v>109</v>
      </c>
      <c r="DF878">
        <v>12</v>
      </c>
      <c r="DG878">
        <v>1.5</v>
      </c>
      <c r="DH878">
        <v>21679</v>
      </c>
      <c r="DI878">
        <v>0.14630000000000001</v>
      </c>
      <c r="DQ878">
        <v>64</v>
      </c>
    </row>
    <row r="879" spans="95:121" x14ac:dyDescent="0.25">
      <c r="CQ879" t="s">
        <v>636</v>
      </c>
      <c r="CR879" t="s">
        <v>6</v>
      </c>
      <c r="CS879" t="s">
        <v>19</v>
      </c>
      <c r="CT879">
        <v>46056</v>
      </c>
      <c r="CU879">
        <v>1</v>
      </c>
      <c r="CV879">
        <v>1</v>
      </c>
      <c r="CX879">
        <v>1</v>
      </c>
      <c r="CZ879">
        <v>0</v>
      </c>
      <c r="DA879">
        <v>0</v>
      </c>
      <c r="DB879">
        <v>8.2870370370370372E-3</v>
      </c>
      <c r="DC879">
        <v>1.1886574074074074E-2</v>
      </c>
      <c r="DD879">
        <v>207</v>
      </c>
      <c r="DE879">
        <v>302</v>
      </c>
      <c r="DF879">
        <v>22</v>
      </c>
      <c r="DG879" t="s">
        <v>983</v>
      </c>
      <c r="DH879">
        <v>31576</v>
      </c>
      <c r="DI879">
        <v>0.10630000000000001</v>
      </c>
      <c r="DQ879">
        <v>64</v>
      </c>
    </row>
    <row r="880" spans="95:121" x14ac:dyDescent="0.25">
      <c r="CQ880" t="s">
        <v>636</v>
      </c>
      <c r="CR880" t="s">
        <v>6</v>
      </c>
      <c r="CS880" t="s">
        <v>19</v>
      </c>
      <c r="CT880">
        <v>46065</v>
      </c>
      <c r="CU880">
        <v>1</v>
      </c>
      <c r="CV880">
        <v>1</v>
      </c>
      <c r="CX880">
        <v>1</v>
      </c>
      <c r="CZ880">
        <v>0</v>
      </c>
      <c r="DA880">
        <v>0</v>
      </c>
      <c r="DB880">
        <v>2.3321759259259261E-2</v>
      </c>
      <c r="DC880">
        <v>2.0347222222222221E-2</v>
      </c>
      <c r="DD880">
        <v>201</v>
      </c>
      <c r="DE880">
        <v>287</v>
      </c>
      <c r="DF880">
        <v>25</v>
      </c>
      <c r="DG880">
        <v>1.64</v>
      </c>
      <c r="DH880">
        <v>31333</v>
      </c>
      <c r="DI880">
        <v>0.1244</v>
      </c>
      <c r="DQ880">
        <v>64</v>
      </c>
    </row>
    <row r="881" spans="95:122" x14ac:dyDescent="0.25">
      <c r="CQ881" t="s">
        <v>636</v>
      </c>
      <c r="CR881" t="s">
        <v>6</v>
      </c>
      <c r="CS881" t="s">
        <v>80</v>
      </c>
      <c r="CT881">
        <v>46055</v>
      </c>
      <c r="CU881">
        <v>1</v>
      </c>
      <c r="CV881">
        <v>1</v>
      </c>
      <c r="CX881">
        <v>1</v>
      </c>
      <c r="CZ881">
        <v>3.4722222222222222E-5</v>
      </c>
      <c r="DA881">
        <v>3.4722222222222222E-5</v>
      </c>
      <c r="DB881">
        <v>1.7627314814814814E-2</v>
      </c>
      <c r="DC881">
        <v>1.2847222222222223E-3</v>
      </c>
      <c r="DD881">
        <v>67</v>
      </c>
      <c r="DE881">
        <v>86</v>
      </c>
      <c r="DF881">
        <v>10</v>
      </c>
      <c r="DG881">
        <v>1.2</v>
      </c>
      <c r="DH881">
        <v>32545</v>
      </c>
      <c r="DI881">
        <v>0.14929999999999999</v>
      </c>
      <c r="DJ881">
        <v>1</v>
      </c>
      <c r="DK881">
        <v>0.1</v>
      </c>
      <c r="DL881">
        <v>400</v>
      </c>
      <c r="DM881">
        <v>400</v>
      </c>
      <c r="DN881">
        <v>400</v>
      </c>
      <c r="DO881">
        <v>1</v>
      </c>
      <c r="DQ881">
        <v>64</v>
      </c>
      <c r="DR881">
        <v>400</v>
      </c>
    </row>
    <row r="882" spans="95:122" x14ac:dyDescent="0.25">
      <c r="CQ882" t="s">
        <v>636</v>
      </c>
      <c r="CR882" t="s">
        <v>6</v>
      </c>
      <c r="CS882" t="s">
        <v>80</v>
      </c>
      <c r="CT882">
        <v>46080</v>
      </c>
      <c r="CU882">
        <v>1</v>
      </c>
      <c r="CV882">
        <v>1</v>
      </c>
      <c r="CX882">
        <v>1</v>
      </c>
      <c r="CZ882">
        <v>5.7870370370370373E-5</v>
      </c>
      <c r="DA882">
        <v>5.7870370370370373E-5</v>
      </c>
      <c r="DB882">
        <v>0.12211805555555555</v>
      </c>
      <c r="DC882">
        <v>0.23521990740740742</v>
      </c>
      <c r="DD882">
        <v>72</v>
      </c>
      <c r="DE882">
        <v>109</v>
      </c>
      <c r="DF882">
        <v>21</v>
      </c>
      <c r="DG882" t="s">
        <v>788</v>
      </c>
      <c r="DH882">
        <v>41521</v>
      </c>
      <c r="DI882">
        <v>0.29170000000000001</v>
      </c>
      <c r="DQ882">
        <v>64</v>
      </c>
    </row>
    <row r="883" spans="95:122" x14ac:dyDescent="0.25">
      <c r="CQ883" t="s">
        <v>636</v>
      </c>
      <c r="CR883" t="s">
        <v>6</v>
      </c>
      <c r="CS883" t="s">
        <v>81</v>
      </c>
      <c r="CT883">
        <v>46070</v>
      </c>
      <c r="CU883">
        <v>1</v>
      </c>
      <c r="CV883">
        <v>1</v>
      </c>
      <c r="CX883">
        <v>1</v>
      </c>
      <c r="CZ883">
        <v>0</v>
      </c>
      <c r="DA883">
        <v>0</v>
      </c>
      <c r="DB883">
        <v>0.21607638888888889</v>
      </c>
      <c r="DC883">
        <v>0.13493055555555555</v>
      </c>
      <c r="DD883">
        <v>76</v>
      </c>
      <c r="DE883">
        <v>130</v>
      </c>
      <c r="DF883">
        <v>10</v>
      </c>
      <c r="DG883">
        <v>2.1</v>
      </c>
      <c r="DH883">
        <v>29954</v>
      </c>
      <c r="DI883">
        <v>0.13159999999999999</v>
      </c>
      <c r="DQ883">
        <v>64</v>
      </c>
    </row>
    <row r="884" spans="95:122" x14ac:dyDescent="0.25">
      <c r="CQ884" t="s">
        <v>636</v>
      </c>
      <c r="CR884" t="s">
        <v>6</v>
      </c>
      <c r="CS884" t="s">
        <v>81</v>
      </c>
      <c r="CT884">
        <v>46080</v>
      </c>
      <c r="CU884">
        <v>1</v>
      </c>
      <c r="CV884">
        <v>1</v>
      </c>
      <c r="CX884">
        <v>1</v>
      </c>
      <c r="CZ884">
        <v>1.0416666666666667E-4</v>
      </c>
      <c r="DA884">
        <v>1.0416666666666667E-4</v>
      </c>
      <c r="DB884">
        <v>0.1789236111111111</v>
      </c>
      <c r="DC884">
        <v>0.19658564814814813</v>
      </c>
      <c r="DD884">
        <v>69</v>
      </c>
      <c r="DE884">
        <v>108</v>
      </c>
      <c r="DF884">
        <v>8</v>
      </c>
      <c r="DG884">
        <v>1.875</v>
      </c>
      <c r="DH884">
        <v>56801</v>
      </c>
      <c r="DI884">
        <v>0.1159</v>
      </c>
      <c r="DQ884">
        <v>64</v>
      </c>
    </row>
    <row r="885" spans="95:122" x14ac:dyDescent="0.25">
      <c r="CQ885" t="s">
        <v>636</v>
      </c>
      <c r="CR885" t="s">
        <v>6</v>
      </c>
      <c r="CS885" t="s">
        <v>105</v>
      </c>
      <c r="CT885">
        <v>46065</v>
      </c>
      <c r="CU885">
        <v>1</v>
      </c>
      <c r="CV885">
        <v>1</v>
      </c>
      <c r="CX885">
        <v>1</v>
      </c>
      <c r="CZ885">
        <v>9.2592592592592588E-5</v>
      </c>
      <c r="DA885">
        <v>9.2592592592592588E-5</v>
      </c>
      <c r="DB885">
        <v>5.9236111111111114E-2</v>
      </c>
      <c r="DC885">
        <v>2.7303240740740739E-2</v>
      </c>
      <c r="DD885">
        <v>100</v>
      </c>
      <c r="DE885">
        <v>202</v>
      </c>
      <c r="DF885">
        <v>18</v>
      </c>
      <c r="DG885" t="s">
        <v>674</v>
      </c>
      <c r="DH885">
        <v>38757</v>
      </c>
      <c r="DI885">
        <v>0.18</v>
      </c>
      <c r="DQ885">
        <v>64</v>
      </c>
    </row>
    <row r="886" spans="95:122" x14ac:dyDescent="0.25">
      <c r="CQ886" t="s">
        <v>636</v>
      </c>
      <c r="CR886" t="s">
        <v>6</v>
      </c>
      <c r="CS886" t="s">
        <v>105</v>
      </c>
      <c r="CT886">
        <v>46070</v>
      </c>
      <c r="CU886">
        <v>1</v>
      </c>
      <c r="CV886">
        <v>1</v>
      </c>
      <c r="CX886">
        <v>1</v>
      </c>
      <c r="CZ886">
        <v>8.1018518518518516E-5</v>
      </c>
      <c r="DA886">
        <v>8.1018518518518516E-5</v>
      </c>
      <c r="DB886">
        <v>0.1958101851851852</v>
      </c>
      <c r="DC886">
        <v>0.15032407407407408</v>
      </c>
      <c r="DD886">
        <v>94</v>
      </c>
      <c r="DE886">
        <v>201</v>
      </c>
      <c r="DF886">
        <v>15</v>
      </c>
      <c r="DG886" t="s">
        <v>898</v>
      </c>
      <c r="DH886">
        <v>19766</v>
      </c>
      <c r="DI886">
        <v>0.15959999999999999</v>
      </c>
      <c r="DQ886">
        <v>64</v>
      </c>
    </row>
    <row r="887" spans="95:122" x14ac:dyDescent="0.25">
      <c r="CQ887" t="s">
        <v>636</v>
      </c>
      <c r="CR887" t="s">
        <v>6</v>
      </c>
      <c r="CS887" t="s">
        <v>105</v>
      </c>
      <c r="CT887">
        <v>46077</v>
      </c>
      <c r="CU887">
        <v>1</v>
      </c>
      <c r="CV887">
        <v>1</v>
      </c>
      <c r="CX887">
        <v>1</v>
      </c>
      <c r="CZ887">
        <v>9.2592592592592588E-5</v>
      </c>
      <c r="DA887">
        <v>9.2592592592592588E-5</v>
      </c>
      <c r="DB887">
        <v>0.18635416666666665</v>
      </c>
      <c r="DC887">
        <v>0.16277777777777777</v>
      </c>
      <c r="DD887">
        <v>119</v>
      </c>
      <c r="DE887">
        <v>232</v>
      </c>
      <c r="DF887">
        <v>17</v>
      </c>
      <c r="DG887" t="s">
        <v>802</v>
      </c>
      <c r="DH887">
        <v>34631</v>
      </c>
      <c r="DI887">
        <v>0.1429</v>
      </c>
      <c r="DQ887">
        <v>64</v>
      </c>
    </row>
    <row r="888" spans="95:122" x14ac:dyDescent="0.25">
      <c r="CQ888" t="s">
        <v>636</v>
      </c>
      <c r="CR888" t="s">
        <v>6</v>
      </c>
      <c r="CS888" t="s">
        <v>26</v>
      </c>
      <c r="CT888">
        <v>46055</v>
      </c>
      <c r="CU888">
        <v>1</v>
      </c>
      <c r="CV888">
        <v>1</v>
      </c>
      <c r="CX888">
        <v>1</v>
      </c>
      <c r="CZ888">
        <v>4.6296296296296294E-5</v>
      </c>
      <c r="DA888">
        <v>4.6296296296296294E-5</v>
      </c>
      <c r="DB888">
        <v>2.8622685185185185E-2</v>
      </c>
      <c r="DC888">
        <v>1.6562500000000001E-2</v>
      </c>
      <c r="DD888">
        <v>105</v>
      </c>
      <c r="DE888">
        <v>172</v>
      </c>
      <c r="DF888">
        <v>26</v>
      </c>
      <c r="DG888" t="s">
        <v>1012</v>
      </c>
      <c r="DH888">
        <v>18212</v>
      </c>
      <c r="DI888">
        <v>0.24759999999999999</v>
      </c>
      <c r="DJ888">
        <v>4</v>
      </c>
      <c r="DK888">
        <v>0.15379999999999999</v>
      </c>
      <c r="DL888">
        <v>1233</v>
      </c>
      <c r="DM888">
        <v>308</v>
      </c>
      <c r="DN888">
        <v>733</v>
      </c>
      <c r="DO888">
        <v>0.59450000000000003</v>
      </c>
      <c r="DP888">
        <v>0.73009999999999997</v>
      </c>
      <c r="DQ888">
        <v>64</v>
      </c>
      <c r="DR888">
        <v>244</v>
      </c>
    </row>
    <row r="889" spans="95:122" x14ac:dyDescent="0.25">
      <c r="CQ889" t="s">
        <v>636</v>
      </c>
      <c r="CR889" t="s">
        <v>6</v>
      </c>
      <c r="CS889" t="s">
        <v>26</v>
      </c>
      <c r="CT889">
        <v>46056</v>
      </c>
      <c r="CU889">
        <v>1</v>
      </c>
      <c r="CV889">
        <v>1</v>
      </c>
      <c r="CX889">
        <v>1</v>
      </c>
      <c r="CZ889">
        <v>1.1574074074074075E-4</v>
      </c>
      <c r="DA889">
        <v>1.1574074074074075E-4</v>
      </c>
      <c r="DB889">
        <v>2.0706018518518519E-2</v>
      </c>
      <c r="DC889">
        <v>1.4305555555555556E-2</v>
      </c>
      <c r="DD889">
        <v>176</v>
      </c>
      <c r="DE889">
        <v>290</v>
      </c>
      <c r="DF889">
        <v>18</v>
      </c>
      <c r="DG889" t="s">
        <v>767</v>
      </c>
      <c r="DH889">
        <v>19373</v>
      </c>
      <c r="DI889">
        <v>0.1023</v>
      </c>
      <c r="DQ889">
        <v>64</v>
      </c>
    </row>
    <row r="890" spans="95:122" x14ac:dyDescent="0.25">
      <c r="CQ890" t="s">
        <v>636</v>
      </c>
      <c r="CR890" t="s">
        <v>6</v>
      </c>
      <c r="CS890" t="s">
        <v>26</v>
      </c>
      <c r="CT890">
        <v>46062</v>
      </c>
      <c r="CU890">
        <v>1</v>
      </c>
      <c r="CV890">
        <v>1</v>
      </c>
      <c r="CX890">
        <v>1</v>
      </c>
      <c r="CZ890">
        <v>1.1574074074074075E-4</v>
      </c>
      <c r="DA890">
        <v>1.1574074074074075E-4</v>
      </c>
      <c r="DB890">
        <v>6.1342592592592594E-3</v>
      </c>
      <c r="DC890">
        <v>1.0474537037037037E-2</v>
      </c>
      <c r="DD890">
        <v>163</v>
      </c>
      <c r="DE890">
        <v>246</v>
      </c>
      <c r="DF890">
        <v>10</v>
      </c>
      <c r="DG890">
        <v>1.2</v>
      </c>
      <c r="DH890">
        <v>12083</v>
      </c>
      <c r="DI890">
        <v>6.13E-2</v>
      </c>
      <c r="DJ890">
        <v>1</v>
      </c>
      <c r="DK890">
        <v>0.1</v>
      </c>
      <c r="DL890">
        <v>400</v>
      </c>
      <c r="DM890">
        <v>400</v>
      </c>
      <c r="DN890">
        <v>400</v>
      </c>
      <c r="DO890">
        <v>1</v>
      </c>
      <c r="DQ890">
        <v>64</v>
      </c>
      <c r="DR890">
        <v>400</v>
      </c>
    </row>
    <row r="891" spans="95:122" x14ac:dyDescent="0.25">
      <c r="CQ891" t="s">
        <v>636</v>
      </c>
      <c r="CR891" t="s">
        <v>6</v>
      </c>
      <c r="CS891" t="s">
        <v>26</v>
      </c>
      <c r="CT891">
        <v>46077</v>
      </c>
      <c r="CU891">
        <v>1</v>
      </c>
      <c r="CV891">
        <v>1</v>
      </c>
      <c r="CX891">
        <v>1</v>
      </c>
      <c r="CZ891">
        <v>1.273148148148148E-4</v>
      </c>
      <c r="DA891">
        <v>1.273148148148148E-4</v>
      </c>
      <c r="DB891">
        <v>0.23576388888888888</v>
      </c>
      <c r="DC891">
        <v>0.12939814814814815</v>
      </c>
      <c r="DD891">
        <v>152</v>
      </c>
      <c r="DE891">
        <v>256</v>
      </c>
      <c r="DF891">
        <v>18</v>
      </c>
      <c r="DG891" t="s">
        <v>718</v>
      </c>
      <c r="DH891">
        <v>17732</v>
      </c>
      <c r="DI891">
        <v>0.11840000000000001</v>
      </c>
      <c r="DQ891">
        <v>64</v>
      </c>
    </row>
    <row r="892" spans="95:122" x14ac:dyDescent="0.25">
      <c r="CQ892" t="s">
        <v>636</v>
      </c>
      <c r="CR892" t="s">
        <v>6</v>
      </c>
      <c r="CS892" t="s">
        <v>26</v>
      </c>
      <c r="CT892">
        <v>46080</v>
      </c>
      <c r="CU892">
        <v>1</v>
      </c>
      <c r="CV892">
        <v>1</v>
      </c>
      <c r="CX892">
        <v>1</v>
      </c>
      <c r="CZ892">
        <v>9.2592592592592588E-5</v>
      </c>
      <c r="DA892">
        <v>9.2592592592592588E-5</v>
      </c>
      <c r="DB892">
        <v>0.31479166666666669</v>
      </c>
      <c r="DC892">
        <v>5.3055555555555557E-2</v>
      </c>
      <c r="DD892">
        <v>116</v>
      </c>
      <c r="DE892">
        <v>211</v>
      </c>
      <c r="DF892">
        <v>28</v>
      </c>
      <c r="DG892" t="s">
        <v>730</v>
      </c>
      <c r="DH892">
        <v>37488</v>
      </c>
      <c r="DI892">
        <v>0.2414</v>
      </c>
      <c r="DQ892">
        <v>64</v>
      </c>
    </row>
    <row r="893" spans="95:122" x14ac:dyDescent="0.25">
      <c r="CQ893" t="s">
        <v>636</v>
      </c>
      <c r="CR893" t="s">
        <v>6</v>
      </c>
      <c r="CS893" t="s">
        <v>37</v>
      </c>
      <c r="CT893">
        <v>46065</v>
      </c>
      <c r="CU893">
        <v>1</v>
      </c>
      <c r="CV893">
        <v>1</v>
      </c>
      <c r="CX893">
        <v>1</v>
      </c>
      <c r="CZ893">
        <v>0</v>
      </c>
      <c r="DA893">
        <v>0</v>
      </c>
      <c r="DB893">
        <v>1.9016203703703705E-2</v>
      </c>
      <c r="DC893">
        <v>4.0740740740740737E-3</v>
      </c>
      <c r="DD893">
        <v>86</v>
      </c>
      <c r="DE893">
        <v>118</v>
      </c>
      <c r="DF893">
        <v>17</v>
      </c>
      <c r="DG893" t="s">
        <v>820</v>
      </c>
      <c r="DH893">
        <v>32513</v>
      </c>
      <c r="DI893">
        <v>0.19769999999999999</v>
      </c>
      <c r="DQ893">
        <v>64</v>
      </c>
    </row>
    <row r="894" spans="95:122" x14ac:dyDescent="0.25">
      <c r="CQ894" t="s">
        <v>636</v>
      </c>
      <c r="CR894" t="s">
        <v>6</v>
      </c>
      <c r="CS894" t="s">
        <v>37</v>
      </c>
      <c r="CT894">
        <v>46077</v>
      </c>
      <c r="CU894">
        <v>1</v>
      </c>
      <c r="CV894">
        <v>1</v>
      </c>
      <c r="CX894">
        <v>1</v>
      </c>
      <c r="CZ894">
        <v>4.6296296296296294E-5</v>
      </c>
      <c r="DA894">
        <v>4.6296296296296294E-5</v>
      </c>
      <c r="DB894">
        <v>6.3692129629629626E-2</v>
      </c>
      <c r="DC894">
        <v>0.24398148148148149</v>
      </c>
      <c r="DD894">
        <v>83</v>
      </c>
      <c r="DE894">
        <v>113</v>
      </c>
      <c r="DF894">
        <v>11</v>
      </c>
      <c r="DG894" t="s">
        <v>983</v>
      </c>
      <c r="DH894">
        <v>22355</v>
      </c>
      <c r="DI894">
        <v>0.13250000000000001</v>
      </c>
      <c r="DQ894">
        <v>64</v>
      </c>
    </row>
    <row r="895" spans="95:122" x14ac:dyDescent="0.25">
      <c r="CQ895" t="s">
        <v>636</v>
      </c>
      <c r="CR895" t="s">
        <v>6</v>
      </c>
      <c r="CS895" t="s">
        <v>35</v>
      </c>
      <c r="CT895">
        <v>46056</v>
      </c>
      <c r="CU895">
        <v>1</v>
      </c>
      <c r="CV895">
        <v>1</v>
      </c>
      <c r="CX895">
        <v>1</v>
      </c>
      <c r="CZ895">
        <v>1.7361111111111112E-4</v>
      </c>
      <c r="DA895">
        <v>1.7361111111111112E-4</v>
      </c>
      <c r="DB895">
        <v>3.2627314814814817E-2</v>
      </c>
      <c r="DC895">
        <v>2.5844907407407407E-2</v>
      </c>
      <c r="DD895">
        <v>76</v>
      </c>
      <c r="DE895">
        <v>176</v>
      </c>
      <c r="DF895">
        <v>12</v>
      </c>
      <c r="DG895">
        <v>1.5</v>
      </c>
      <c r="DH895">
        <v>65107</v>
      </c>
      <c r="DI895">
        <v>0.15790000000000001</v>
      </c>
      <c r="DQ895">
        <v>64</v>
      </c>
    </row>
    <row r="896" spans="95:122" x14ac:dyDescent="0.25">
      <c r="CQ896" t="s">
        <v>636</v>
      </c>
      <c r="CR896" t="s">
        <v>6</v>
      </c>
      <c r="CS896" t="s">
        <v>35</v>
      </c>
      <c r="CT896">
        <v>46070</v>
      </c>
      <c r="CU896">
        <v>1</v>
      </c>
      <c r="CV896">
        <v>1</v>
      </c>
      <c r="CX896">
        <v>1</v>
      </c>
      <c r="CZ896">
        <v>5.7870370370370373E-5</v>
      </c>
      <c r="DA896">
        <v>5.7870370370370373E-5</v>
      </c>
      <c r="DB896">
        <v>0.16541666666666666</v>
      </c>
      <c r="DC896">
        <v>0.1927662037037037</v>
      </c>
      <c r="DD896">
        <v>84</v>
      </c>
      <c r="DE896">
        <v>149</v>
      </c>
      <c r="DF896">
        <v>10</v>
      </c>
      <c r="DG896">
        <v>1</v>
      </c>
      <c r="DH896">
        <v>36549</v>
      </c>
      <c r="DI896">
        <v>0.11899999999999999</v>
      </c>
      <c r="DQ896">
        <v>64</v>
      </c>
    </row>
    <row r="897" spans="95:122" x14ac:dyDescent="0.25">
      <c r="CQ897" t="s">
        <v>636</v>
      </c>
      <c r="CR897" t="s">
        <v>6</v>
      </c>
      <c r="CS897" t="s">
        <v>50</v>
      </c>
      <c r="CT897">
        <v>46065</v>
      </c>
      <c r="CU897">
        <v>1</v>
      </c>
      <c r="CV897">
        <v>1</v>
      </c>
      <c r="CX897">
        <v>1</v>
      </c>
      <c r="CZ897">
        <v>2.3148148148148149E-4</v>
      </c>
      <c r="DA897">
        <v>2.3148148148148149E-4</v>
      </c>
      <c r="DB897">
        <v>1.2337962962962964E-2</v>
      </c>
      <c r="DC897">
        <v>1.1539351851851851E-2</v>
      </c>
      <c r="DD897">
        <v>118</v>
      </c>
      <c r="DE897">
        <v>198</v>
      </c>
      <c r="DF897">
        <v>16</v>
      </c>
      <c r="DG897">
        <v>1.625</v>
      </c>
      <c r="DH897">
        <v>15358</v>
      </c>
      <c r="DI897">
        <v>0.1356</v>
      </c>
      <c r="DQ897">
        <v>64</v>
      </c>
    </row>
    <row r="898" spans="95:122" x14ac:dyDescent="0.25">
      <c r="CQ898" t="s">
        <v>636</v>
      </c>
      <c r="CR898" t="s">
        <v>6</v>
      </c>
      <c r="CS898" t="s">
        <v>50</v>
      </c>
      <c r="CT898">
        <v>46070</v>
      </c>
      <c r="CU898">
        <v>1</v>
      </c>
      <c r="CV898">
        <v>1</v>
      </c>
      <c r="CX898">
        <v>1</v>
      </c>
      <c r="CZ898">
        <v>1.5046296296296297E-4</v>
      </c>
      <c r="DA898">
        <v>1.5046296296296297E-4</v>
      </c>
      <c r="DB898">
        <v>0.22473379629629631</v>
      </c>
      <c r="DC898">
        <v>0.11945601851851852</v>
      </c>
      <c r="DD898">
        <v>74</v>
      </c>
      <c r="DE898">
        <v>130</v>
      </c>
      <c r="DF898">
        <v>15</v>
      </c>
      <c r="DG898" t="s">
        <v>718</v>
      </c>
      <c r="DH898">
        <v>14376</v>
      </c>
      <c r="DI898">
        <v>0.20269999999999999</v>
      </c>
      <c r="DQ898">
        <v>64</v>
      </c>
    </row>
    <row r="899" spans="95:122" x14ac:dyDescent="0.25">
      <c r="CQ899" t="s">
        <v>636</v>
      </c>
      <c r="CR899" t="s">
        <v>6</v>
      </c>
      <c r="CS899" t="s">
        <v>50</v>
      </c>
      <c r="CT899">
        <v>46077</v>
      </c>
      <c r="CU899">
        <v>1</v>
      </c>
      <c r="CV899">
        <v>1</v>
      </c>
      <c r="CX899">
        <v>1</v>
      </c>
      <c r="CZ899">
        <v>2.7777777777777779E-3</v>
      </c>
      <c r="DA899">
        <v>2.7777777777777779E-3</v>
      </c>
      <c r="DB899">
        <v>0.17001157407407408</v>
      </c>
      <c r="DC899">
        <v>0.16896990740740742</v>
      </c>
      <c r="DD899">
        <v>79</v>
      </c>
      <c r="DE899">
        <v>138</v>
      </c>
      <c r="DF899">
        <v>10</v>
      </c>
      <c r="DG899">
        <v>1.6</v>
      </c>
      <c r="DH899">
        <v>28229</v>
      </c>
      <c r="DI899">
        <v>0.12659999999999999</v>
      </c>
      <c r="DQ899">
        <v>64</v>
      </c>
    </row>
    <row r="900" spans="95:122" x14ac:dyDescent="0.25">
      <c r="CQ900" t="s">
        <v>636</v>
      </c>
      <c r="CR900" t="s">
        <v>6</v>
      </c>
      <c r="CS900" t="s">
        <v>50</v>
      </c>
      <c r="CT900">
        <v>46080</v>
      </c>
      <c r="CU900">
        <v>1</v>
      </c>
      <c r="CV900">
        <v>1</v>
      </c>
      <c r="CX900">
        <v>1</v>
      </c>
      <c r="CZ900">
        <v>1.1574074074074075E-4</v>
      </c>
      <c r="DA900">
        <v>1.1574074074074075E-4</v>
      </c>
      <c r="DB900">
        <v>0.1907638888888889</v>
      </c>
      <c r="DC900">
        <v>0.17631944444444445</v>
      </c>
      <c r="DD900">
        <v>97</v>
      </c>
      <c r="DE900">
        <v>201</v>
      </c>
      <c r="DF900">
        <v>21</v>
      </c>
      <c r="DG900" t="s">
        <v>817</v>
      </c>
      <c r="DH900">
        <v>15286</v>
      </c>
      <c r="DI900">
        <v>0.2165</v>
      </c>
      <c r="DQ900">
        <v>64</v>
      </c>
    </row>
    <row r="901" spans="95:122" x14ac:dyDescent="0.25">
      <c r="CQ901" t="s">
        <v>636</v>
      </c>
      <c r="CR901" t="s">
        <v>6</v>
      </c>
      <c r="CS901" t="s">
        <v>97</v>
      </c>
      <c r="CT901">
        <v>46058</v>
      </c>
      <c r="CU901">
        <v>1</v>
      </c>
      <c r="CV901">
        <v>1</v>
      </c>
      <c r="CX901">
        <v>1</v>
      </c>
      <c r="CZ901">
        <v>0</v>
      </c>
      <c r="DA901">
        <v>0</v>
      </c>
      <c r="DB901">
        <v>4.1400462962962965E-2</v>
      </c>
      <c r="DC901">
        <v>2.2916666666666665E-2</v>
      </c>
      <c r="DD901">
        <v>106</v>
      </c>
      <c r="DE901">
        <v>190</v>
      </c>
      <c r="DF901">
        <v>18</v>
      </c>
      <c r="DG901" t="s">
        <v>703</v>
      </c>
      <c r="DH901">
        <v>37194</v>
      </c>
      <c r="DI901">
        <v>0.16980000000000001</v>
      </c>
      <c r="DJ901">
        <v>2</v>
      </c>
      <c r="DK901">
        <v>0.1111</v>
      </c>
      <c r="DL901">
        <v>787</v>
      </c>
      <c r="DM901">
        <v>393</v>
      </c>
      <c r="DN901">
        <v>37</v>
      </c>
      <c r="DO901">
        <v>4.6800000000000001E-2</v>
      </c>
      <c r="DP901">
        <v>4.9700000000000001E-2</v>
      </c>
      <c r="DQ901">
        <v>64</v>
      </c>
      <c r="DR901">
        <v>37</v>
      </c>
    </row>
    <row r="902" spans="95:122" x14ac:dyDescent="0.25">
      <c r="CQ902" t="s">
        <v>636</v>
      </c>
      <c r="CR902" t="s">
        <v>6</v>
      </c>
      <c r="CS902" t="s">
        <v>34</v>
      </c>
      <c r="CT902">
        <v>46056</v>
      </c>
      <c r="CU902">
        <v>1</v>
      </c>
      <c r="CV902">
        <v>1</v>
      </c>
      <c r="CX902">
        <v>1</v>
      </c>
      <c r="CZ902">
        <v>8.1018518518518516E-5</v>
      </c>
      <c r="DA902">
        <v>8.1018518518518516E-5</v>
      </c>
      <c r="DB902">
        <v>0.13221064814814815</v>
      </c>
      <c r="DC902">
        <v>7.037037037037037E-3</v>
      </c>
      <c r="DD902">
        <v>106</v>
      </c>
      <c r="DE902">
        <v>119</v>
      </c>
      <c r="DF902">
        <v>7</v>
      </c>
      <c r="DG902" t="s">
        <v>745</v>
      </c>
      <c r="DH902">
        <v>31990</v>
      </c>
      <c r="DI902">
        <v>6.6000000000000003E-2</v>
      </c>
      <c r="DQ902">
        <v>64</v>
      </c>
    </row>
    <row r="903" spans="95:122" x14ac:dyDescent="0.25">
      <c r="CQ903" t="s">
        <v>636</v>
      </c>
      <c r="CR903" t="s">
        <v>6</v>
      </c>
      <c r="CS903" t="s">
        <v>34</v>
      </c>
      <c r="CT903">
        <v>46058</v>
      </c>
      <c r="CU903">
        <v>1</v>
      </c>
      <c r="CV903">
        <v>1</v>
      </c>
      <c r="CW903">
        <v>1</v>
      </c>
      <c r="CZ903">
        <v>1.5370370370370371E-2</v>
      </c>
      <c r="DA903">
        <v>1.5370370370370371E-2</v>
      </c>
      <c r="DB903">
        <v>9.2905092592592595E-2</v>
      </c>
      <c r="DC903">
        <v>3.0023148148148149E-2</v>
      </c>
      <c r="DD903">
        <v>83</v>
      </c>
      <c r="DE903">
        <v>113</v>
      </c>
      <c r="DF903">
        <v>9</v>
      </c>
      <c r="DG903" t="s">
        <v>674</v>
      </c>
      <c r="DH903">
        <v>40235</v>
      </c>
      <c r="DI903">
        <v>0.1084</v>
      </c>
      <c r="DJ903">
        <v>2</v>
      </c>
      <c r="DK903">
        <v>0.22220000000000001</v>
      </c>
      <c r="DL903">
        <v>3650</v>
      </c>
      <c r="DM903">
        <v>1825</v>
      </c>
      <c r="DQ903">
        <v>64</v>
      </c>
    </row>
    <row r="904" spans="95:122" x14ac:dyDescent="0.25">
      <c r="CQ904" t="s">
        <v>636</v>
      </c>
      <c r="CR904" t="s">
        <v>6</v>
      </c>
      <c r="CS904" t="s">
        <v>34</v>
      </c>
      <c r="CT904">
        <v>46065</v>
      </c>
      <c r="CU904">
        <v>1</v>
      </c>
      <c r="CV904">
        <v>1</v>
      </c>
      <c r="CX904">
        <v>1</v>
      </c>
      <c r="CZ904">
        <v>1.0416666666666667E-4</v>
      </c>
      <c r="DA904">
        <v>1.0416666666666667E-4</v>
      </c>
      <c r="DB904">
        <v>1.1678240740740741E-2</v>
      </c>
      <c r="DC904">
        <v>2.4560185185185185E-2</v>
      </c>
      <c r="DD904">
        <v>177</v>
      </c>
      <c r="DE904">
        <v>192</v>
      </c>
      <c r="DF904">
        <v>9</v>
      </c>
      <c r="DG904" t="s">
        <v>749</v>
      </c>
      <c r="DH904">
        <v>31079</v>
      </c>
      <c r="DI904">
        <v>5.0799999999999998E-2</v>
      </c>
      <c r="DQ904">
        <v>64</v>
      </c>
    </row>
    <row r="905" spans="95:122" x14ac:dyDescent="0.25">
      <c r="CQ905" t="s">
        <v>636</v>
      </c>
      <c r="CR905" t="s">
        <v>6</v>
      </c>
      <c r="CS905" t="s">
        <v>34</v>
      </c>
      <c r="CT905">
        <v>46070</v>
      </c>
      <c r="CU905">
        <v>1</v>
      </c>
      <c r="CV905">
        <v>1</v>
      </c>
      <c r="CX905">
        <v>1</v>
      </c>
      <c r="CZ905">
        <v>3.4722222222222222E-5</v>
      </c>
      <c r="DA905">
        <v>3.4722222222222222E-5</v>
      </c>
      <c r="DB905">
        <v>0.21636574074074075</v>
      </c>
      <c r="DC905">
        <v>0.13185185185185186</v>
      </c>
      <c r="DD905">
        <v>129</v>
      </c>
      <c r="DE905">
        <v>142</v>
      </c>
      <c r="DF905">
        <v>17</v>
      </c>
      <c r="DG905" t="s">
        <v>844</v>
      </c>
      <c r="DH905">
        <v>22047</v>
      </c>
      <c r="DI905">
        <v>0.1318</v>
      </c>
      <c r="DQ905">
        <v>64</v>
      </c>
    </row>
    <row r="906" spans="95:122" x14ac:dyDescent="0.25">
      <c r="CQ906" t="s">
        <v>636</v>
      </c>
      <c r="CR906" t="s">
        <v>6</v>
      </c>
      <c r="CS906" t="s">
        <v>34</v>
      </c>
      <c r="CT906">
        <v>46077</v>
      </c>
      <c r="CU906">
        <v>1</v>
      </c>
      <c r="CV906">
        <v>1</v>
      </c>
      <c r="CX906">
        <v>1</v>
      </c>
      <c r="CZ906">
        <v>1.5046296296296297E-4</v>
      </c>
      <c r="DA906">
        <v>1.5046296296296297E-4</v>
      </c>
      <c r="DB906">
        <v>0.19545138888888888</v>
      </c>
      <c r="DC906">
        <v>0.15644675925925927</v>
      </c>
      <c r="DD906">
        <v>165</v>
      </c>
      <c r="DE906">
        <v>184</v>
      </c>
      <c r="DF906">
        <v>12</v>
      </c>
      <c r="DG906">
        <v>1.75</v>
      </c>
      <c r="DH906">
        <v>18529</v>
      </c>
      <c r="DI906">
        <v>7.2700000000000001E-2</v>
      </c>
      <c r="DQ906">
        <v>64</v>
      </c>
    </row>
    <row r="907" spans="95:122" x14ac:dyDescent="0.25">
      <c r="CQ907" t="s">
        <v>636</v>
      </c>
      <c r="CR907" t="s">
        <v>6</v>
      </c>
      <c r="CS907" t="s">
        <v>34</v>
      </c>
      <c r="CT907">
        <v>46080</v>
      </c>
      <c r="CU907">
        <v>1</v>
      </c>
      <c r="CV907">
        <v>1</v>
      </c>
      <c r="CX907">
        <v>1</v>
      </c>
      <c r="CZ907">
        <v>2.3148148148148147E-5</v>
      </c>
      <c r="DA907">
        <v>2.3148148148148147E-5</v>
      </c>
      <c r="DB907">
        <v>0.1796875</v>
      </c>
      <c r="DC907">
        <v>0.18100694444444446</v>
      </c>
      <c r="DD907">
        <v>153</v>
      </c>
      <c r="DE907">
        <v>179</v>
      </c>
      <c r="DF907">
        <v>15</v>
      </c>
      <c r="DG907">
        <v>1.6</v>
      </c>
      <c r="DH907">
        <v>13478</v>
      </c>
      <c r="DI907">
        <v>9.8000000000000004E-2</v>
      </c>
      <c r="DQ907">
        <v>64</v>
      </c>
    </row>
    <row r="908" spans="95:122" x14ac:dyDescent="0.25">
      <c r="CQ908" t="s">
        <v>636</v>
      </c>
      <c r="CR908" t="s">
        <v>3</v>
      </c>
      <c r="CS908" t="s">
        <v>377</v>
      </c>
      <c r="CT908">
        <v>46059</v>
      </c>
      <c r="CU908">
        <v>1</v>
      </c>
      <c r="CV908">
        <v>1</v>
      </c>
      <c r="CX908">
        <v>1</v>
      </c>
      <c r="CZ908">
        <v>0</v>
      </c>
      <c r="DA908">
        <v>0</v>
      </c>
      <c r="DB908">
        <v>9.8148148148148144E-3</v>
      </c>
      <c r="DC908">
        <v>1.3032407407407407E-2</v>
      </c>
      <c r="DD908">
        <v>76</v>
      </c>
      <c r="DE908">
        <v>128</v>
      </c>
      <c r="DF908">
        <v>14</v>
      </c>
      <c r="DG908" t="s">
        <v>986</v>
      </c>
      <c r="DH908">
        <v>27664</v>
      </c>
      <c r="DI908">
        <v>0.1842</v>
      </c>
      <c r="DJ908">
        <v>1</v>
      </c>
      <c r="DK908">
        <v>7.1400000000000005E-2</v>
      </c>
      <c r="DL908">
        <v>499</v>
      </c>
      <c r="DM908">
        <v>499</v>
      </c>
      <c r="DQ908">
        <v>64</v>
      </c>
    </row>
    <row r="909" spans="95:122" x14ac:dyDescent="0.25">
      <c r="CQ909" t="s">
        <v>636</v>
      </c>
      <c r="CR909" t="s">
        <v>3</v>
      </c>
      <c r="CS909" t="s">
        <v>377</v>
      </c>
      <c r="CT909">
        <v>46076</v>
      </c>
      <c r="CU909">
        <v>1</v>
      </c>
      <c r="CV909">
        <v>1</v>
      </c>
      <c r="CX909">
        <v>1</v>
      </c>
      <c r="CZ909">
        <v>3.1250000000000001E-4</v>
      </c>
      <c r="DA909">
        <v>3.1250000000000001E-4</v>
      </c>
      <c r="DB909">
        <v>0.15689814814814815</v>
      </c>
      <c r="DC909">
        <v>0.16896990740740742</v>
      </c>
      <c r="DD909">
        <v>76</v>
      </c>
      <c r="DE909">
        <v>184</v>
      </c>
      <c r="DF909">
        <v>19</v>
      </c>
      <c r="DG909" t="s">
        <v>836</v>
      </c>
      <c r="DH909">
        <v>30588</v>
      </c>
      <c r="DI909">
        <v>0.25</v>
      </c>
      <c r="DQ909">
        <v>64</v>
      </c>
    </row>
    <row r="910" spans="95:122" x14ac:dyDescent="0.25">
      <c r="CQ910" t="s">
        <v>636</v>
      </c>
      <c r="CR910" t="s">
        <v>3</v>
      </c>
      <c r="CS910" t="s">
        <v>377</v>
      </c>
      <c r="CT910">
        <v>46080</v>
      </c>
      <c r="CU910">
        <v>1</v>
      </c>
      <c r="CV910">
        <v>1</v>
      </c>
      <c r="CX910">
        <v>1</v>
      </c>
      <c r="CZ910">
        <v>1.5509259259259259E-3</v>
      </c>
      <c r="DA910">
        <v>1.5509259259259259E-3</v>
      </c>
      <c r="DB910">
        <v>0.1108912037037037</v>
      </c>
      <c r="DC910">
        <v>0.26853009259259258</v>
      </c>
      <c r="DD910">
        <v>78</v>
      </c>
      <c r="DE910">
        <v>169</v>
      </c>
      <c r="DF910">
        <v>19</v>
      </c>
      <c r="DG910" t="s">
        <v>921</v>
      </c>
      <c r="DH910">
        <v>27014</v>
      </c>
      <c r="DI910">
        <v>0.24360000000000001</v>
      </c>
      <c r="DQ910">
        <v>64</v>
      </c>
    </row>
    <row r="911" spans="95:122" x14ac:dyDescent="0.25">
      <c r="CQ911" t="s">
        <v>636</v>
      </c>
      <c r="CR911" t="s">
        <v>3</v>
      </c>
      <c r="CS911" t="s">
        <v>22</v>
      </c>
      <c r="CT911">
        <v>46059</v>
      </c>
      <c r="CU911">
        <v>1</v>
      </c>
      <c r="CV911">
        <v>1</v>
      </c>
      <c r="CX911">
        <v>1</v>
      </c>
      <c r="CZ911">
        <v>7.0601851851851847E-4</v>
      </c>
      <c r="DA911">
        <v>7.0601851851851847E-4</v>
      </c>
      <c r="DB911">
        <v>2.3171296296296297E-2</v>
      </c>
      <c r="DC911">
        <v>2.9259259259259259E-2</v>
      </c>
      <c r="DD911">
        <v>74</v>
      </c>
      <c r="DE911">
        <v>169</v>
      </c>
      <c r="DF911">
        <v>14</v>
      </c>
      <c r="DG911" t="s">
        <v>850</v>
      </c>
      <c r="DH911">
        <v>38394</v>
      </c>
      <c r="DI911">
        <v>0.18920000000000001</v>
      </c>
      <c r="DQ911">
        <v>64</v>
      </c>
    </row>
    <row r="912" spans="95:122" x14ac:dyDescent="0.25">
      <c r="CQ912" t="s">
        <v>636</v>
      </c>
      <c r="CR912" t="s">
        <v>3</v>
      </c>
      <c r="CS912" t="s">
        <v>22</v>
      </c>
      <c r="CT912">
        <v>46064</v>
      </c>
      <c r="CU912">
        <v>1</v>
      </c>
      <c r="CV912">
        <v>1</v>
      </c>
      <c r="CX912">
        <v>1</v>
      </c>
      <c r="CZ912">
        <v>0</v>
      </c>
      <c r="DA912">
        <v>0</v>
      </c>
      <c r="DB912">
        <v>3.1574074074074074E-2</v>
      </c>
      <c r="DC912">
        <v>3.2037037037037037E-2</v>
      </c>
      <c r="DD912">
        <v>61</v>
      </c>
      <c r="DE912">
        <v>142</v>
      </c>
      <c r="DF912">
        <v>9</v>
      </c>
      <c r="DG912" t="s">
        <v>674</v>
      </c>
      <c r="DH912">
        <v>42168</v>
      </c>
      <c r="DI912">
        <v>0.14749999999999999</v>
      </c>
      <c r="DQ912">
        <v>64</v>
      </c>
    </row>
    <row r="913" spans="95:122" x14ac:dyDescent="0.25">
      <c r="CQ913" t="s">
        <v>636</v>
      </c>
      <c r="CR913" t="s">
        <v>3</v>
      </c>
      <c r="CS913" t="s">
        <v>22</v>
      </c>
      <c r="CT913">
        <v>46069</v>
      </c>
      <c r="CU913">
        <v>1</v>
      </c>
      <c r="CV913">
        <v>1</v>
      </c>
      <c r="CX913">
        <v>1</v>
      </c>
      <c r="CZ913">
        <v>0</v>
      </c>
      <c r="DA913">
        <v>0</v>
      </c>
      <c r="DB913">
        <v>0.16023148148148147</v>
      </c>
      <c r="DC913">
        <v>0.19945601851851852</v>
      </c>
      <c r="DD913">
        <v>103</v>
      </c>
      <c r="DE913">
        <v>173</v>
      </c>
      <c r="DF913">
        <v>15</v>
      </c>
      <c r="DG913" t="s">
        <v>723</v>
      </c>
      <c r="DH913">
        <v>55434</v>
      </c>
      <c r="DI913">
        <v>0.14560000000000001</v>
      </c>
      <c r="DQ913">
        <v>64</v>
      </c>
    </row>
    <row r="914" spans="95:122" x14ac:dyDescent="0.25">
      <c r="CQ914" t="s">
        <v>636</v>
      </c>
      <c r="CR914" t="s">
        <v>3</v>
      </c>
      <c r="CS914" t="s">
        <v>22</v>
      </c>
      <c r="CT914">
        <v>46071</v>
      </c>
      <c r="CU914">
        <v>1</v>
      </c>
      <c r="CV914">
        <v>1</v>
      </c>
      <c r="CX914">
        <v>1</v>
      </c>
      <c r="CZ914">
        <v>0</v>
      </c>
      <c r="DA914">
        <v>0</v>
      </c>
      <c r="DB914">
        <v>0.1998263888888889</v>
      </c>
      <c r="DC914">
        <v>0.14229166666666668</v>
      </c>
      <c r="DD914">
        <v>78</v>
      </c>
      <c r="DE914">
        <v>179</v>
      </c>
      <c r="DF914">
        <v>14</v>
      </c>
      <c r="DG914" t="s">
        <v>850</v>
      </c>
      <c r="DH914">
        <v>51927</v>
      </c>
      <c r="DI914">
        <v>0.17949999999999999</v>
      </c>
      <c r="DJ914">
        <v>1</v>
      </c>
      <c r="DK914">
        <v>7.1400000000000005E-2</v>
      </c>
      <c r="DL914">
        <v>590</v>
      </c>
      <c r="DM914">
        <v>590</v>
      </c>
      <c r="DQ914">
        <v>64</v>
      </c>
    </row>
    <row r="915" spans="95:122" x14ac:dyDescent="0.25">
      <c r="CQ915" t="s">
        <v>636</v>
      </c>
      <c r="CR915" t="s">
        <v>3</v>
      </c>
      <c r="CS915" t="s">
        <v>22</v>
      </c>
      <c r="CT915">
        <v>46080</v>
      </c>
      <c r="CU915">
        <v>1</v>
      </c>
      <c r="CV915">
        <v>1</v>
      </c>
      <c r="CX915">
        <v>1</v>
      </c>
      <c r="CZ915">
        <v>0</v>
      </c>
      <c r="DA915">
        <v>0</v>
      </c>
      <c r="DB915">
        <v>0.15224537037037036</v>
      </c>
      <c r="DC915">
        <v>0.22862268518518519</v>
      </c>
      <c r="DD915">
        <v>67</v>
      </c>
      <c r="DE915">
        <v>176</v>
      </c>
      <c r="DF915">
        <v>23</v>
      </c>
      <c r="DG915" t="s">
        <v>797</v>
      </c>
      <c r="DH915">
        <v>33143</v>
      </c>
      <c r="DI915">
        <v>0.34329999999999999</v>
      </c>
      <c r="DQ915">
        <v>64</v>
      </c>
    </row>
    <row r="916" spans="95:122" x14ac:dyDescent="0.25">
      <c r="CQ916" t="s">
        <v>636</v>
      </c>
      <c r="CR916" t="s">
        <v>3</v>
      </c>
      <c r="CS916" t="s">
        <v>13</v>
      </c>
      <c r="CT916">
        <v>46057</v>
      </c>
      <c r="CU916">
        <v>1</v>
      </c>
      <c r="CV916">
        <v>1</v>
      </c>
      <c r="CX916">
        <v>1</v>
      </c>
      <c r="CZ916">
        <v>6.8287037037037036E-4</v>
      </c>
      <c r="DA916">
        <v>6.8287037037037036E-4</v>
      </c>
      <c r="DB916">
        <v>5.2037037037037034E-2</v>
      </c>
      <c r="DC916">
        <v>1.7106481481481483E-2</v>
      </c>
      <c r="DD916">
        <v>107</v>
      </c>
      <c r="DE916">
        <v>223</v>
      </c>
      <c r="DF916">
        <v>26</v>
      </c>
      <c r="DG916" t="s">
        <v>779</v>
      </c>
      <c r="DH916">
        <v>22287</v>
      </c>
      <c r="DI916">
        <v>0.24299999999999999</v>
      </c>
      <c r="DQ916">
        <v>64</v>
      </c>
    </row>
    <row r="917" spans="95:122" x14ac:dyDescent="0.25">
      <c r="CQ917" t="s">
        <v>636</v>
      </c>
      <c r="CR917" t="s">
        <v>3</v>
      </c>
      <c r="CS917" t="s">
        <v>13</v>
      </c>
      <c r="CT917">
        <v>46064</v>
      </c>
      <c r="CU917">
        <v>1</v>
      </c>
      <c r="CV917">
        <v>1</v>
      </c>
      <c r="CX917">
        <v>1</v>
      </c>
      <c r="CZ917">
        <v>0</v>
      </c>
      <c r="DA917">
        <v>0</v>
      </c>
      <c r="DB917">
        <v>1.9386574074074073E-2</v>
      </c>
      <c r="DC917">
        <v>1.3078703703703703E-3</v>
      </c>
      <c r="DD917">
        <v>85</v>
      </c>
      <c r="DE917">
        <v>193</v>
      </c>
      <c r="DF917">
        <v>23</v>
      </c>
      <c r="DG917" t="s">
        <v>849</v>
      </c>
      <c r="DH917">
        <v>30850</v>
      </c>
      <c r="DI917">
        <v>0.27060000000000001</v>
      </c>
      <c r="DQ917">
        <v>64</v>
      </c>
    </row>
    <row r="918" spans="95:122" x14ac:dyDescent="0.25">
      <c r="CQ918" t="s">
        <v>636</v>
      </c>
      <c r="CR918" t="s">
        <v>3</v>
      </c>
      <c r="CS918" t="s">
        <v>13</v>
      </c>
      <c r="CT918">
        <v>46069</v>
      </c>
      <c r="CU918">
        <v>1</v>
      </c>
      <c r="CV918">
        <v>1</v>
      </c>
      <c r="CX918">
        <v>1</v>
      </c>
      <c r="CZ918">
        <v>2.3148148148148147E-5</v>
      </c>
      <c r="DA918">
        <v>2.3148148148148147E-5</v>
      </c>
      <c r="DB918">
        <v>0.19914351851851853</v>
      </c>
      <c r="DC918">
        <v>0.12783564814814816</v>
      </c>
      <c r="DD918">
        <v>81</v>
      </c>
      <c r="DE918">
        <v>176</v>
      </c>
      <c r="DF918">
        <v>14</v>
      </c>
      <c r="DG918" t="s">
        <v>988</v>
      </c>
      <c r="DH918">
        <v>32888</v>
      </c>
      <c r="DI918">
        <v>0.17280000000000001</v>
      </c>
      <c r="DQ918">
        <v>64</v>
      </c>
    </row>
    <row r="919" spans="95:122" x14ac:dyDescent="0.25">
      <c r="CQ919" t="s">
        <v>636</v>
      </c>
      <c r="CR919" t="s">
        <v>3</v>
      </c>
      <c r="CS919" t="s">
        <v>32</v>
      </c>
      <c r="CT919">
        <v>46059</v>
      </c>
      <c r="CU919">
        <v>1</v>
      </c>
      <c r="CV919">
        <v>1</v>
      </c>
      <c r="CX919">
        <v>1</v>
      </c>
      <c r="CZ919">
        <v>8.1018518518518516E-5</v>
      </c>
      <c r="DA919">
        <v>8.1018518518518516E-5</v>
      </c>
      <c r="DB919">
        <v>3.0983796296296297E-2</v>
      </c>
      <c r="DC919">
        <v>8.6921296296296295E-3</v>
      </c>
      <c r="DD919">
        <v>104</v>
      </c>
      <c r="DE919">
        <v>230</v>
      </c>
      <c r="DF919">
        <v>23</v>
      </c>
      <c r="DG919" t="s">
        <v>895</v>
      </c>
      <c r="DH919">
        <v>32876</v>
      </c>
      <c r="DI919">
        <v>0.22120000000000001</v>
      </c>
      <c r="DQ919">
        <v>64</v>
      </c>
    </row>
    <row r="920" spans="95:122" x14ac:dyDescent="0.25">
      <c r="CQ920" t="s">
        <v>636</v>
      </c>
      <c r="CR920" t="s">
        <v>3</v>
      </c>
      <c r="CS920" t="s">
        <v>32</v>
      </c>
      <c r="CT920">
        <v>46076</v>
      </c>
      <c r="CU920">
        <v>1</v>
      </c>
      <c r="CV920">
        <v>1</v>
      </c>
      <c r="CX920">
        <v>1</v>
      </c>
      <c r="CZ920">
        <v>1.0416666666666667E-4</v>
      </c>
      <c r="DA920">
        <v>1.0416666666666667E-4</v>
      </c>
      <c r="DB920">
        <v>0.19354166666666667</v>
      </c>
      <c r="DC920">
        <v>0.15233796296296295</v>
      </c>
      <c r="DD920">
        <v>100</v>
      </c>
      <c r="DE920">
        <v>215</v>
      </c>
      <c r="DF920">
        <v>30</v>
      </c>
      <c r="DG920" t="s">
        <v>703</v>
      </c>
      <c r="DH920">
        <v>27859</v>
      </c>
      <c r="DI920">
        <v>0.3</v>
      </c>
      <c r="DQ920">
        <v>64</v>
      </c>
    </row>
    <row r="921" spans="95:122" x14ac:dyDescent="0.25">
      <c r="CQ921" t="s">
        <v>636</v>
      </c>
      <c r="CR921" t="s">
        <v>3</v>
      </c>
      <c r="CS921" t="s">
        <v>96</v>
      </c>
      <c r="CT921">
        <v>46081</v>
      </c>
      <c r="CU921">
        <v>1</v>
      </c>
      <c r="CV921">
        <v>1</v>
      </c>
      <c r="CX921">
        <v>1</v>
      </c>
      <c r="CZ921">
        <v>0</v>
      </c>
      <c r="DA921">
        <v>0</v>
      </c>
      <c r="DB921">
        <v>9.8344907407407409E-2</v>
      </c>
      <c r="DC921">
        <v>9.4745370370370369E-2</v>
      </c>
      <c r="DD921">
        <v>25</v>
      </c>
      <c r="DE921">
        <v>41</v>
      </c>
      <c r="DF921">
        <v>3</v>
      </c>
      <c r="DG921" t="s">
        <v>674</v>
      </c>
      <c r="DH921">
        <v>15274</v>
      </c>
      <c r="DI921">
        <v>0.12</v>
      </c>
      <c r="DQ921">
        <v>64</v>
      </c>
    </row>
    <row r="922" spans="95:122" x14ac:dyDescent="0.25">
      <c r="CQ922" t="s">
        <v>636</v>
      </c>
      <c r="CR922" t="s">
        <v>3</v>
      </c>
      <c r="CS922" t="s">
        <v>65</v>
      </c>
      <c r="CT922">
        <v>46057</v>
      </c>
      <c r="CU922">
        <v>1</v>
      </c>
      <c r="CV922">
        <v>1</v>
      </c>
      <c r="CX922">
        <v>1</v>
      </c>
      <c r="CZ922">
        <v>1.5046296296296297E-4</v>
      </c>
      <c r="DA922">
        <v>1.5046296296296297E-4</v>
      </c>
      <c r="DB922">
        <v>3.4166666666666665E-2</v>
      </c>
      <c r="DC922">
        <v>1.0393518518518519E-2</v>
      </c>
      <c r="DD922">
        <v>91</v>
      </c>
      <c r="DE922">
        <v>201</v>
      </c>
      <c r="DF922">
        <v>7</v>
      </c>
      <c r="DG922" t="s">
        <v>745</v>
      </c>
      <c r="DH922">
        <v>26386</v>
      </c>
      <c r="DI922">
        <v>7.6899999999999996E-2</v>
      </c>
      <c r="DQ922">
        <v>64</v>
      </c>
    </row>
    <row r="923" spans="95:122" x14ac:dyDescent="0.25">
      <c r="CQ923" t="s">
        <v>636</v>
      </c>
      <c r="CR923" t="s">
        <v>3</v>
      </c>
      <c r="CS923" t="s">
        <v>65</v>
      </c>
      <c r="CT923">
        <v>46059</v>
      </c>
      <c r="CU923">
        <v>1</v>
      </c>
      <c r="CV923">
        <v>1</v>
      </c>
      <c r="CX923">
        <v>1</v>
      </c>
      <c r="CZ923">
        <v>4.6296296296296294E-5</v>
      </c>
      <c r="DA923">
        <v>4.6296296296296294E-5</v>
      </c>
      <c r="DB923">
        <v>5.4571759259259257E-2</v>
      </c>
      <c r="DC923">
        <v>1.1990740740740741E-2</v>
      </c>
      <c r="DD923">
        <v>70</v>
      </c>
      <c r="DE923">
        <v>170</v>
      </c>
      <c r="DF923">
        <v>11</v>
      </c>
      <c r="DG923" t="s">
        <v>693</v>
      </c>
      <c r="DH923">
        <v>24460</v>
      </c>
      <c r="DI923">
        <v>0.15709999999999999</v>
      </c>
      <c r="DQ923">
        <v>64</v>
      </c>
    </row>
    <row r="924" spans="95:122" x14ac:dyDescent="0.25">
      <c r="CQ924" t="s">
        <v>636</v>
      </c>
      <c r="CR924" t="s">
        <v>3</v>
      </c>
      <c r="CS924" t="s">
        <v>65</v>
      </c>
      <c r="CT924">
        <v>46069</v>
      </c>
      <c r="CU924">
        <v>1</v>
      </c>
      <c r="CV924">
        <v>1</v>
      </c>
      <c r="CX924">
        <v>1</v>
      </c>
      <c r="CZ924">
        <v>8.1018518518518516E-5</v>
      </c>
      <c r="DA924">
        <v>8.1018518518518516E-5</v>
      </c>
      <c r="DB924">
        <v>0.1958449074074074</v>
      </c>
      <c r="DC924">
        <v>0.14866898148148147</v>
      </c>
      <c r="DD924">
        <v>84</v>
      </c>
      <c r="DE924">
        <v>182</v>
      </c>
      <c r="DF924">
        <v>12</v>
      </c>
      <c r="DG924" t="s">
        <v>781</v>
      </c>
      <c r="DH924">
        <v>34482</v>
      </c>
      <c r="DI924">
        <v>0.1429</v>
      </c>
      <c r="DJ924">
        <v>1</v>
      </c>
      <c r="DK924">
        <v>8.3299999999999999E-2</v>
      </c>
      <c r="DL924">
        <v>600</v>
      </c>
      <c r="DM924">
        <v>600</v>
      </c>
      <c r="DQ924">
        <v>64</v>
      </c>
    </row>
    <row r="925" spans="95:122" x14ac:dyDescent="0.25">
      <c r="CQ925" t="s">
        <v>636</v>
      </c>
      <c r="CR925" t="s">
        <v>3</v>
      </c>
      <c r="CS925" t="s">
        <v>23</v>
      </c>
      <c r="CT925">
        <v>46076</v>
      </c>
      <c r="CU925">
        <v>1</v>
      </c>
      <c r="CV925">
        <v>1</v>
      </c>
      <c r="CX925">
        <v>1</v>
      </c>
      <c r="CZ925">
        <v>0</v>
      </c>
      <c r="DA925">
        <v>0</v>
      </c>
      <c r="DB925">
        <v>0.17170138888888889</v>
      </c>
      <c r="DC925">
        <v>0.17378472222222222</v>
      </c>
      <c r="DD925">
        <v>110</v>
      </c>
      <c r="DE925">
        <v>237</v>
      </c>
      <c r="DF925">
        <v>26</v>
      </c>
      <c r="DG925" t="s">
        <v>805</v>
      </c>
      <c r="DH925">
        <v>30702</v>
      </c>
      <c r="DI925">
        <v>0.2364</v>
      </c>
      <c r="DJ925">
        <v>2</v>
      </c>
      <c r="DK925">
        <v>7.6899999999999996E-2</v>
      </c>
      <c r="DL925">
        <v>952</v>
      </c>
      <c r="DM925">
        <v>476</v>
      </c>
      <c r="DN925">
        <v>400</v>
      </c>
      <c r="DO925">
        <v>0.42020000000000002</v>
      </c>
      <c r="DQ925">
        <v>64</v>
      </c>
      <c r="DR925">
        <v>400</v>
      </c>
    </row>
    <row r="926" spans="95:122" x14ac:dyDescent="0.25">
      <c r="CQ926" t="s">
        <v>636</v>
      </c>
      <c r="CR926" t="s">
        <v>3</v>
      </c>
      <c r="CS926" t="s">
        <v>31</v>
      </c>
      <c r="CT926">
        <v>46058</v>
      </c>
      <c r="CU926">
        <v>1</v>
      </c>
      <c r="CV926">
        <v>1</v>
      </c>
      <c r="CX926">
        <v>1</v>
      </c>
      <c r="CZ926">
        <v>5.7870370370370373E-5</v>
      </c>
      <c r="DA926">
        <v>5.7870370370370373E-5</v>
      </c>
      <c r="DB926">
        <v>8.2523148148148151E-2</v>
      </c>
      <c r="DC926">
        <v>2.2337962962962962E-3</v>
      </c>
      <c r="DD926">
        <v>63</v>
      </c>
      <c r="DE926">
        <v>133</v>
      </c>
      <c r="DF926">
        <v>11</v>
      </c>
      <c r="DG926" t="s">
        <v>847</v>
      </c>
      <c r="DH926">
        <v>64707</v>
      </c>
      <c r="DI926">
        <v>0.17460000000000001</v>
      </c>
      <c r="DJ926">
        <v>1</v>
      </c>
      <c r="DK926">
        <v>9.0899999999999995E-2</v>
      </c>
      <c r="DL926">
        <v>550</v>
      </c>
      <c r="DM926">
        <v>550</v>
      </c>
      <c r="DQ926">
        <v>64</v>
      </c>
    </row>
    <row r="927" spans="95:122" x14ac:dyDescent="0.25">
      <c r="CQ927" t="s">
        <v>636</v>
      </c>
      <c r="CR927" t="s">
        <v>3</v>
      </c>
      <c r="CS927" t="s">
        <v>31</v>
      </c>
      <c r="CT927">
        <v>46059</v>
      </c>
      <c r="CU927">
        <v>1</v>
      </c>
      <c r="CV927">
        <v>1</v>
      </c>
      <c r="CX927">
        <v>1</v>
      </c>
      <c r="CZ927">
        <v>1.1574074074074075E-4</v>
      </c>
      <c r="DA927">
        <v>1.1574074074074075E-4</v>
      </c>
      <c r="DB927">
        <v>4.1087962962962962E-3</v>
      </c>
      <c r="DC927">
        <v>0</v>
      </c>
      <c r="DD927">
        <v>62</v>
      </c>
      <c r="DE927">
        <v>133</v>
      </c>
      <c r="DF927">
        <v>9</v>
      </c>
      <c r="DG927" t="s">
        <v>749</v>
      </c>
      <c r="DH927">
        <v>39991</v>
      </c>
      <c r="DI927">
        <v>0.1452</v>
      </c>
      <c r="DQ927">
        <v>64</v>
      </c>
    </row>
    <row r="928" spans="95:122" x14ac:dyDescent="0.25">
      <c r="CQ928" t="s">
        <v>636</v>
      </c>
      <c r="CR928" t="s">
        <v>3</v>
      </c>
      <c r="CS928" t="s">
        <v>31</v>
      </c>
      <c r="CT928">
        <v>46080</v>
      </c>
      <c r="CU928">
        <v>1</v>
      </c>
      <c r="CV928">
        <v>1</v>
      </c>
      <c r="CX928">
        <v>1</v>
      </c>
      <c r="CZ928">
        <v>2.5462962962962961E-4</v>
      </c>
      <c r="DA928">
        <v>2.5462962962962961E-4</v>
      </c>
      <c r="DB928">
        <v>0.1816898148148148</v>
      </c>
      <c r="DC928">
        <v>0.13868055555555556</v>
      </c>
      <c r="DD928">
        <v>88</v>
      </c>
      <c r="DE928">
        <v>194</v>
      </c>
      <c r="DF928">
        <v>16</v>
      </c>
      <c r="DG928">
        <v>2</v>
      </c>
      <c r="DH928">
        <v>21092</v>
      </c>
      <c r="DI928">
        <v>0.18179999999999999</v>
      </c>
      <c r="DQ928">
        <v>64</v>
      </c>
    </row>
    <row r="929" spans="95:122" x14ac:dyDescent="0.25">
      <c r="CQ929" t="s">
        <v>636</v>
      </c>
      <c r="CR929" t="s">
        <v>3</v>
      </c>
      <c r="CS929" t="s">
        <v>17</v>
      </c>
      <c r="CT929">
        <v>46057</v>
      </c>
      <c r="CU929">
        <v>1</v>
      </c>
      <c r="CV929">
        <v>1</v>
      </c>
      <c r="CX929">
        <v>1</v>
      </c>
      <c r="CZ929">
        <v>7.0601851851851847E-4</v>
      </c>
      <c r="DA929">
        <v>7.0601851851851847E-4</v>
      </c>
      <c r="DB929">
        <v>6.0972222222222219E-2</v>
      </c>
      <c r="DC929">
        <v>6.9560185185185185E-3</v>
      </c>
      <c r="DD929">
        <v>72</v>
      </c>
      <c r="DE929">
        <v>126</v>
      </c>
      <c r="DF929">
        <v>13</v>
      </c>
      <c r="DG929" t="s">
        <v>704</v>
      </c>
      <c r="DH929">
        <v>47198</v>
      </c>
      <c r="DI929">
        <v>0.18060000000000001</v>
      </c>
      <c r="DQ929">
        <v>64</v>
      </c>
    </row>
    <row r="930" spans="95:122" x14ac:dyDescent="0.25">
      <c r="CQ930" t="s">
        <v>636</v>
      </c>
      <c r="CR930" t="s">
        <v>3</v>
      </c>
      <c r="CS930" t="s">
        <v>17</v>
      </c>
      <c r="CT930">
        <v>46076</v>
      </c>
      <c r="CU930">
        <v>1</v>
      </c>
      <c r="CV930">
        <v>1</v>
      </c>
      <c r="CX930">
        <v>1</v>
      </c>
      <c r="CZ930">
        <v>1.6203703703703703E-4</v>
      </c>
      <c r="DA930">
        <v>1.6203703703703703E-4</v>
      </c>
      <c r="DB930">
        <v>0.18340277777777778</v>
      </c>
      <c r="DC930">
        <v>0.15562500000000001</v>
      </c>
      <c r="DD930">
        <v>77</v>
      </c>
      <c r="DE930">
        <v>150</v>
      </c>
      <c r="DF930">
        <v>17</v>
      </c>
      <c r="DG930" t="s">
        <v>670</v>
      </c>
      <c r="DH930">
        <v>33693</v>
      </c>
      <c r="DI930">
        <v>0.2208</v>
      </c>
      <c r="DQ930">
        <v>64</v>
      </c>
    </row>
    <row r="931" spans="95:122" x14ac:dyDescent="0.25">
      <c r="CQ931" t="s">
        <v>636</v>
      </c>
      <c r="CR931" t="s">
        <v>3</v>
      </c>
      <c r="CS931" t="s">
        <v>17</v>
      </c>
      <c r="CT931">
        <v>46080</v>
      </c>
      <c r="CU931">
        <v>1</v>
      </c>
      <c r="CV931">
        <v>1</v>
      </c>
      <c r="CX931">
        <v>1</v>
      </c>
      <c r="CZ931">
        <v>2.6620370370370372E-4</v>
      </c>
      <c r="DA931">
        <v>2.6620370370370372E-4</v>
      </c>
      <c r="DB931">
        <v>0.21126157407407409</v>
      </c>
      <c r="DC931">
        <v>0.14901620370370369</v>
      </c>
      <c r="DD931">
        <v>73</v>
      </c>
      <c r="DE931">
        <v>129</v>
      </c>
      <c r="DF931">
        <v>14</v>
      </c>
      <c r="DG931" t="s">
        <v>679</v>
      </c>
      <c r="DH931">
        <v>24801</v>
      </c>
      <c r="DI931">
        <v>0.1918</v>
      </c>
      <c r="DQ931">
        <v>64</v>
      </c>
    </row>
    <row r="932" spans="95:122" x14ac:dyDescent="0.25">
      <c r="CQ932" t="s">
        <v>636</v>
      </c>
      <c r="CR932" t="s">
        <v>3</v>
      </c>
      <c r="CS932" t="s">
        <v>17</v>
      </c>
      <c r="CT932">
        <v>46081</v>
      </c>
      <c r="CU932">
        <v>1</v>
      </c>
      <c r="CV932">
        <v>1</v>
      </c>
      <c r="CX932">
        <v>1</v>
      </c>
      <c r="CZ932">
        <v>3.4722222222222222E-5</v>
      </c>
      <c r="DA932">
        <v>3.4722222222222222E-5</v>
      </c>
      <c r="DB932">
        <v>0.1590625</v>
      </c>
      <c r="DC932">
        <v>3.2199074074074074E-2</v>
      </c>
      <c r="DD932">
        <v>18</v>
      </c>
      <c r="DE932">
        <v>26</v>
      </c>
      <c r="DF932">
        <v>8</v>
      </c>
      <c r="DG932">
        <v>1.875</v>
      </c>
      <c r="DH932">
        <v>23407</v>
      </c>
      <c r="DI932">
        <v>0.44440000000000002</v>
      </c>
      <c r="DQ932">
        <v>64</v>
      </c>
    </row>
    <row r="933" spans="95:122" x14ac:dyDescent="0.25">
      <c r="CQ933" t="s">
        <v>636</v>
      </c>
      <c r="CR933" t="s">
        <v>3</v>
      </c>
      <c r="CS933" t="s">
        <v>207</v>
      </c>
      <c r="CT933">
        <v>46057</v>
      </c>
      <c r="CU933">
        <v>1</v>
      </c>
      <c r="CV933">
        <v>1</v>
      </c>
      <c r="CX933">
        <v>1</v>
      </c>
      <c r="CZ933">
        <v>1.1574074074074073E-5</v>
      </c>
      <c r="DA933">
        <v>1.1574074074074073E-5</v>
      </c>
      <c r="DB933">
        <v>2.224537037037037E-2</v>
      </c>
      <c r="DC933">
        <v>3.7187499999999998E-2</v>
      </c>
      <c r="DD933">
        <v>204</v>
      </c>
      <c r="DE933">
        <v>300</v>
      </c>
      <c r="DF933">
        <v>30</v>
      </c>
      <c r="DG933" t="s">
        <v>723</v>
      </c>
      <c r="DH933">
        <v>27099</v>
      </c>
      <c r="DI933">
        <v>0.14710000000000001</v>
      </c>
      <c r="DQ933">
        <v>64</v>
      </c>
    </row>
    <row r="934" spans="95:122" x14ac:dyDescent="0.25">
      <c r="CQ934" t="s">
        <v>636</v>
      </c>
      <c r="CR934" t="s">
        <v>3</v>
      </c>
      <c r="CS934" t="s">
        <v>207</v>
      </c>
      <c r="CT934">
        <v>46058</v>
      </c>
      <c r="CU934">
        <v>1</v>
      </c>
      <c r="CV934">
        <v>1</v>
      </c>
      <c r="CX934">
        <v>1</v>
      </c>
      <c r="CZ934">
        <v>1.1574074074074073E-5</v>
      </c>
      <c r="DA934">
        <v>1.1574074074074073E-5</v>
      </c>
      <c r="DB934">
        <v>8.2511574074074071E-2</v>
      </c>
      <c r="DC934">
        <v>3.8634259259259257E-2</v>
      </c>
      <c r="DD934">
        <v>165</v>
      </c>
      <c r="DE934">
        <v>253</v>
      </c>
      <c r="DF934">
        <v>22</v>
      </c>
      <c r="DG934" t="s">
        <v>673</v>
      </c>
      <c r="DH934">
        <v>35199</v>
      </c>
      <c r="DI934">
        <v>0.1333</v>
      </c>
      <c r="DJ934">
        <v>1</v>
      </c>
      <c r="DK934">
        <v>4.5499999999999999E-2</v>
      </c>
      <c r="DL934">
        <v>950</v>
      </c>
      <c r="DM934">
        <v>950</v>
      </c>
      <c r="DN934">
        <v>950</v>
      </c>
      <c r="DO934">
        <v>1</v>
      </c>
      <c r="DQ934">
        <v>64</v>
      </c>
      <c r="DR934">
        <v>950</v>
      </c>
    </row>
    <row r="935" spans="95:122" x14ac:dyDescent="0.25">
      <c r="CQ935" t="s">
        <v>636</v>
      </c>
      <c r="CR935" t="s">
        <v>3</v>
      </c>
      <c r="CS935" t="s">
        <v>207</v>
      </c>
      <c r="CT935">
        <v>46059</v>
      </c>
      <c r="CU935">
        <v>1</v>
      </c>
      <c r="CV935">
        <v>1</v>
      </c>
      <c r="CX935">
        <v>1</v>
      </c>
      <c r="CZ935">
        <v>2.3148148148148147E-5</v>
      </c>
      <c r="DA935">
        <v>2.3148148148148147E-5</v>
      </c>
      <c r="DB935">
        <v>5.0706018518518518E-2</v>
      </c>
      <c r="DC935">
        <v>1.9722222222222221E-2</v>
      </c>
      <c r="DD935">
        <v>145</v>
      </c>
      <c r="DE935">
        <v>237</v>
      </c>
      <c r="DF935">
        <v>20</v>
      </c>
      <c r="DG935">
        <v>1.45</v>
      </c>
      <c r="DH935">
        <v>33660</v>
      </c>
      <c r="DI935">
        <v>0.13789999999999999</v>
      </c>
      <c r="DQ935">
        <v>64</v>
      </c>
    </row>
    <row r="936" spans="95:122" x14ac:dyDescent="0.25">
      <c r="CQ936" t="s">
        <v>636</v>
      </c>
      <c r="CR936" t="s">
        <v>3</v>
      </c>
      <c r="CS936" t="s">
        <v>207</v>
      </c>
      <c r="CT936">
        <v>46064</v>
      </c>
      <c r="CU936">
        <v>1</v>
      </c>
      <c r="CV936">
        <v>1</v>
      </c>
      <c r="CX936">
        <v>1</v>
      </c>
      <c r="CZ936">
        <v>1.1574074074074073E-5</v>
      </c>
      <c r="DA936">
        <v>1.1574074074074073E-5</v>
      </c>
      <c r="DB936">
        <v>4.9988425925925929E-2</v>
      </c>
      <c r="DC936">
        <v>8.8425925925925929E-3</v>
      </c>
      <c r="DD936">
        <v>185</v>
      </c>
      <c r="DE936">
        <v>337</v>
      </c>
      <c r="DF936">
        <v>23</v>
      </c>
      <c r="DG936" t="s">
        <v>975</v>
      </c>
      <c r="DH936">
        <v>51626</v>
      </c>
      <c r="DI936">
        <v>0.12429999999999999</v>
      </c>
      <c r="DQ936">
        <v>64</v>
      </c>
    </row>
    <row r="937" spans="95:122" x14ac:dyDescent="0.25">
      <c r="CQ937" t="s">
        <v>636</v>
      </c>
      <c r="CR937" t="s">
        <v>3</v>
      </c>
      <c r="CS937" t="s">
        <v>207</v>
      </c>
      <c r="CT937">
        <v>46069</v>
      </c>
      <c r="CU937">
        <v>1</v>
      </c>
      <c r="CV937">
        <v>1</v>
      </c>
      <c r="CX937">
        <v>1</v>
      </c>
      <c r="CZ937">
        <v>5.7870370370370373E-5</v>
      </c>
      <c r="DA937">
        <v>5.7870370370370373E-5</v>
      </c>
      <c r="DB937">
        <v>0.1950462962962963</v>
      </c>
      <c r="DC937">
        <v>0.120625</v>
      </c>
      <c r="DD937">
        <v>145</v>
      </c>
      <c r="DE937">
        <v>220</v>
      </c>
      <c r="DF937">
        <v>19</v>
      </c>
      <c r="DG937" t="s">
        <v>921</v>
      </c>
      <c r="DH937">
        <v>24523</v>
      </c>
      <c r="DI937">
        <v>0.13100000000000001</v>
      </c>
      <c r="DQ937">
        <v>64</v>
      </c>
    </row>
    <row r="938" spans="95:122" x14ac:dyDescent="0.25">
      <c r="CQ938" t="s">
        <v>636</v>
      </c>
      <c r="CR938" t="s">
        <v>3</v>
      </c>
      <c r="CS938" t="s">
        <v>207</v>
      </c>
      <c r="CT938">
        <v>46076</v>
      </c>
      <c r="CU938">
        <v>1</v>
      </c>
      <c r="CV938">
        <v>1</v>
      </c>
      <c r="CX938">
        <v>1</v>
      </c>
      <c r="CZ938">
        <v>6.9444444444444444E-5</v>
      </c>
      <c r="DA938">
        <v>6.9444444444444444E-5</v>
      </c>
      <c r="DB938">
        <v>0.19273148148148148</v>
      </c>
      <c r="DC938">
        <v>0.16285879629629629</v>
      </c>
      <c r="DD938">
        <v>162</v>
      </c>
      <c r="DE938">
        <v>254</v>
      </c>
      <c r="DF938">
        <v>23</v>
      </c>
      <c r="DG938" t="s">
        <v>954</v>
      </c>
      <c r="DH938">
        <v>39418</v>
      </c>
      <c r="DI938">
        <v>0.14199999999999999</v>
      </c>
      <c r="DQ938">
        <v>64</v>
      </c>
    </row>
    <row r="939" spans="95:122" x14ac:dyDescent="0.25">
      <c r="CQ939" t="s">
        <v>636</v>
      </c>
      <c r="CR939" t="s">
        <v>3</v>
      </c>
      <c r="CS939" t="s">
        <v>207</v>
      </c>
      <c r="CT939">
        <v>46081</v>
      </c>
      <c r="CU939">
        <v>1</v>
      </c>
      <c r="CV939">
        <v>1</v>
      </c>
      <c r="CX939">
        <v>1</v>
      </c>
      <c r="CZ939">
        <v>2.7777777777777778E-4</v>
      </c>
      <c r="DA939">
        <v>2.7777777777777778E-4</v>
      </c>
      <c r="DB939">
        <v>9.5428240740740744E-2</v>
      </c>
      <c r="DC939">
        <v>0.10324074074074074</v>
      </c>
      <c r="DD939">
        <v>77</v>
      </c>
      <c r="DE939">
        <v>97</v>
      </c>
      <c r="DF939">
        <v>14</v>
      </c>
      <c r="DG939" t="s">
        <v>988</v>
      </c>
      <c r="DH939">
        <v>32650</v>
      </c>
      <c r="DI939">
        <v>0.18179999999999999</v>
      </c>
      <c r="DQ939">
        <v>64</v>
      </c>
    </row>
    <row r="940" spans="95:122" x14ac:dyDescent="0.25">
      <c r="CQ940" t="s">
        <v>636</v>
      </c>
      <c r="CR940" t="s">
        <v>124</v>
      </c>
      <c r="CS940" t="s">
        <v>41</v>
      </c>
      <c r="CT940">
        <v>46058</v>
      </c>
      <c r="CU940">
        <v>1</v>
      </c>
      <c r="CV940">
        <v>1</v>
      </c>
      <c r="CZ940">
        <v>0</v>
      </c>
      <c r="DA940">
        <v>0</v>
      </c>
      <c r="DB940">
        <v>0</v>
      </c>
      <c r="DC940">
        <v>0</v>
      </c>
      <c r="DQ940">
        <v>62</v>
      </c>
    </row>
    <row r="941" spans="95:122" x14ac:dyDescent="0.25">
      <c r="CQ941" t="s">
        <v>636</v>
      </c>
      <c r="CR941" t="s">
        <v>124</v>
      </c>
      <c r="CS941" t="s">
        <v>41</v>
      </c>
      <c r="CT941">
        <v>46059</v>
      </c>
      <c r="CU941">
        <v>1</v>
      </c>
      <c r="CV941">
        <v>1</v>
      </c>
      <c r="CZ941">
        <v>0</v>
      </c>
      <c r="DA941">
        <v>0</v>
      </c>
      <c r="DB941">
        <v>0</v>
      </c>
      <c r="DC941">
        <v>0</v>
      </c>
      <c r="DQ941">
        <v>62</v>
      </c>
    </row>
    <row r="942" spans="95:122" x14ac:dyDescent="0.25">
      <c r="CQ942" t="s">
        <v>636</v>
      </c>
      <c r="CR942" t="s">
        <v>124</v>
      </c>
      <c r="CS942" t="s">
        <v>41</v>
      </c>
      <c r="CT942">
        <v>46080</v>
      </c>
      <c r="CU942">
        <v>1</v>
      </c>
      <c r="CV942">
        <v>1</v>
      </c>
      <c r="CZ942">
        <v>5.7870370370370373E-5</v>
      </c>
      <c r="DA942">
        <v>5.7870370370370373E-5</v>
      </c>
      <c r="DB942">
        <v>0.14162037037037037</v>
      </c>
      <c r="DC942">
        <v>0.24605324074074075</v>
      </c>
      <c r="DQ942">
        <v>62</v>
      </c>
    </row>
    <row r="943" spans="95:122" x14ac:dyDescent="0.25">
      <c r="CQ943" t="s">
        <v>636</v>
      </c>
      <c r="CR943" t="s">
        <v>124</v>
      </c>
      <c r="CS943" t="s">
        <v>41</v>
      </c>
      <c r="CT943">
        <v>46081</v>
      </c>
      <c r="CU943">
        <v>1</v>
      </c>
      <c r="CV943">
        <v>1</v>
      </c>
      <c r="CZ943">
        <v>5.7870370370370373E-5</v>
      </c>
      <c r="DA943">
        <v>5.7870370370370373E-5</v>
      </c>
      <c r="DB943">
        <v>7.6874999999999999E-2</v>
      </c>
      <c r="DC943">
        <v>0.11791666666666667</v>
      </c>
      <c r="DQ943">
        <v>62</v>
      </c>
    </row>
    <row r="944" spans="95:122" x14ac:dyDescent="0.25">
      <c r="CQ944" t="s">
        <v>636</v>
      </c>
      <c r="CR944" t="s">
        <v>124</v>
      </c>
      <c r="CS944" t="s">
        <v>40</v>
      </c>
      <c r="CT944">
        <v>46058</v>
      </c>
      <c r="CU944">
        <v>1</v>
      </c>
      <c r="CV944">
        <v>1</v>
      </c>
      <c r="CY944">
        <v>1</v>
      </c>
      <c r="CZ944">
        <v>0</v>
      </c>
      <c r="DA944">
        <v>0</v>
      </c>
      <c r="DB944">
        <v>0</v>
      </c>
      <c r="DC944">
        <v>0</v>
      </c>
      <c r="DQ944">
        <v>62</v>
      </c>
    </row>
    <row r="945" spans="95:122" x14ac:dyDescent="0.25">
      <c r="CQ945" t="s">
        <v>636</v>
      </c>
      <c r="CR945" t="s">
        <v>124</v>
      </c>
      <c r="CS945" t="s">
        <v>40</v>
      </c>
      <c r="CT945">
        <v>46059</v>
      </c>
      <c r="CU945">
        <v>1</v>
      </c>
      <c r="CV945">
        <v>1</v>
      </c>
      <c r="CY945">
        <v>1</v>
      </c>
      <c r="CZ945">
        <v>0</v>
      </c>
      <c r="DA945">
        <v>0</v>
      </c>
      <c r="DB945">
        <v>0</v>
      </c>
      <c r="DC945">
        <v>0</v>
      </c>
      <c r="DQ945">
        <v>62</v>
      </c>
    </row>
    <row r="946" spans="95:122" x14ac:dyDescent="0.25">
      <c r="CQ946" t="s">
        <v>636</v>
      </c>
      <c r="CR946" t="s">
        <v>124</v>
      </c>
      <c r="CS946" t="s">
        <v>495</v>
      </c>
      <c r="CT946">
        <v>46076</v>
      </c>
      <c r="CU946">
        <v>1</v>
      </c>
      <c r="CV946">
        <v>1</v>
      </c>
      <c r="CX946">
        <v>1</v>
      </c>
      <c r="CZ946">
        <v>0</v>
      </c>
      <c r="DA946">
        <v>0</v>
      </c>
      <c r="DB946">
        <v>0.16320601851851851</v>
      </c>
      <c r="DC946">
        <v>0.1915625</v>
      </c>
      <c r="DD946">
        <v>118</v>
      </c>
      <c r="DE946">
        <v>203</v>
      </c>
      <c r="DF946">
        <v>21</v>
      </c>
      <c r="DG946" t="s">
        <v>982</v>
      </c>
      <c r="DH946">
        <v>29026</v>
      </c>
      <c r="DI946">
        <v>0.17799999999999999</v>
      </c>
      <c r="DJ946">
        <v>2</v>
      </c>
      <c r="DK946">
        <v>9.5200000000000007E-2</v>
      </c>
      <c r="DL946">
        <v>450</v>
      </c>
      <c r="DM946">
        <v>225</v>
      </c>
      <c r="DN946">
        <v>200</v>
      </c>
      <c r="DO946">
        <v>0.44440000000000002</v>
      </c>
      <c r="DQ946">
        <v>62</v>
      </c>
      <c r="DR946">
        <v>200</v>
      </c>
    </row>
    <row r="947" spans="95:122" x14ac:dyDescent="0.25">
      <c r="CQ947" t="s">
        <v>636</v>
      </c>
      <c r="CR947" t="s">
        <v>124</v>
      </c>
      <c r="CS947" t="s">
        <v>495</v>
      </c>
      <c r="CT947">
        <v>46080</v>
      </c>
      <c r="CU947">
        <v>1</v>
      </c>
      <c r="CV947">
        <v>1</v>
      </c>
      <c r="CZ947">
        <v>3.5185185185185185E-3</v>
      </c>
      <c r="DA947">
        <v>3.5185185185185185E-3</v>
      </c>
      <c r="DB947">
        <v>9.8553240740740747E-2</v>
      </c>
      <c r="DC947">
        <v>0.28144675925925927</v>
      </c>
      <c r="DD947">
        <v>149</v>
      </c>
      <c r="DE947">
        <v>320</v>
      </c>
      <c r="DF947">
        <v>25</v>
      </c>
      <c r="DG947">
        <v>1.48</v>
      </c>
      <c r="DH947">
        <v>22335</v>
      </c>
      <c r="DI947">
        <v>0.1678</v>
      </c>
      <c r="DQ947">
        <v>62</v>
      </c>
    </row>
    <row r="948" spans="95:122" x14ac:dyDescent="0.25">
      <c r="CQ948" t="s">
        <v>636</v>
      </c>
      <c r="CR948" t="s">
        <v>124</v>
      </c>
      <c r="CS948" t="s">
        <v>51</v>
      </c>
      <c r="CT948">
        <v>46059</v>
      </c>
      <c r="CU948">
        <v>1</v>
      </c>
      <c r="CV948">
        <v>1</v>
      </c>
      <c r="CZ948">
        <v>3.9930555555555552E-3</v>
      </c>
      <c r="DA948">
        <v>3.9930555555555552E-3</v>
      </c>
      <c r="DB948">
        <v>9.015046296296296E-2</v>
      </c>
      <c r="DC948">
        <v>1.8402777777777777E-3</v>
      </c>
      <c r="DD948">
        <v>59</v>
      </c>
      <c r="DE948">
        <v>122</v>
      </c>
      <c r="DF948">
        <v>11</v>
      </c>
      <c r="DG948" t="s">
        <v>847</v>
      </c>
      <c r="DH948">
        <v>21608</v>
      </c>
      <c r="DI948">
        <v>0.18640000000000001</v>
      </c>
      <c r="DQ948">
        <v>62</v>
      </c>
    </row>
    <row r="949" spans="95:122" x14ac:dyDescent="0.25">
      <c r="CQ949" t="s">
        <v>636</v>
      </c>
      <c r="CR949" t="s">
        <v>124</v>
      </c>
      <c r="CS949" t="s">
        <v>549</v>
      </c>
      <c r="CT949">
        <v>46080</v>
      </c>
      <c r="CU949">
        <v>1</v>
      </c>
      <c r="CV949">
        <v>1</v>
      </c>
      <c r="CW949">
        <v>1</v>
      </c>
      <c r="CZ949">
        <v>7.1990740740740739E-3</v>
      </c>
      <c r="DA949">
        <v>7.1990740740740739E-3</v>
      </c>
      <c r="DB949">
        <v>0.12795138888888888</v>
      </c>
      <c r="DC949">
        <v>0.25319444444444444</v>
      </c>
      <c r="DD949">
        <v>189</v>
      </c>
      <c r="DE949">
        <v>314</v>
      </c>
      <c r="DF949">
        <v>47</v>
      </c>
      <c r="DG949" t="s">
        <v>1107</v>
      </c>
      <c r="DH949">
        <v>22395</v>
      </c>
      <c r="DI949">
        <v>0.2487</v>
      </c>
      <c r="DQ949">
        <v>62</v>
      </c>
    </row>
    <row r="950" spans="95:122" x14ac:dyDescent="0.25">
      <c r="CQ950" t="s">
        <v>636</v>
      </c>
      <c r="CR950" t="s">
        <v>124</v>
      </c>
      <c r="CS950" t="s">
        <v>77</v>
      </c>
      <c r="CT950">
        <v>46058</v>
      </c>
      <c r="CU950">
        <v>1</v>
      </c>
      <c r="CV950">
        <v>1</v>
      </c>
      <c r="CW950">
        <v>1</v>
      </c>
      <c r="CZ950">
        <v>5.324074074074074E-3</v>
      </c>
      <c r="DA950">
        <v>5.324074074074074E-3</v>
      </c>
      <c r="DB950">
        <v>4.9270833333333333E-2</v>
      </c>
      <c r="DC950">
        <v>5.0219907407407408E-2</v>
      </c>
      <c r="DD950">
        <v>88</v>
      </c>
      <c r="DE950">
        <v>161</v>
      </c>
      <c r="DF950">
        <v>29</v>
      </c>
      <c r="DG950" t="s">
        <v>738</v>
      </c>
      <c r="DH950">
        <v>11388</v>
      </c>
      <c r="DI950">
        <v>0.32950000000000002</v>
      </c>
      <c r="DQ950">
        <v>62</v>
      </c>
    </row>
    <row r="951" spans="95:122" x14ac:dyDescent="0.25">
      <c r="CQ951" t="s">
        <v>636</v>
      </c>
      <c r="CR951" t="s">
        <v>124</v>
      </c>
      <c r="CS951" t="s">
        <v>557</v>
      </c>
      <c r="CT951">
        <v>46081</v>
      </c>
      <c r="CU951">
        <v>1</v>
      </c>
      <c r="CV951">
        <v>1</v>
      </c>
      <c r="CW951">
        <v>1</v>
      </c>
      <c r="CZ951">
        <v>4.9421296296296297E-3</v>
      </c>
      <c r="DA951">
        <v>4.9421296296296297E-3</v>
      </c>
      <c r="DB951">
        <v>0.11506944444444445</v>
      </c>
      <c r="DC951">
        <v>7.3564814814814819E-2</v>
      </c>
      <c r="DD951">
        <v>87</v>
      </c>
      <c r="DE951">
        <v>111</v>
      </c>
      <c r="DF951">
        <v>16</v>
      </c>
      <c r="DG951">
        <v>2</v>
      </c>
      <c r="DH951">
        <v>23887</v>
      </c>
      <c r="DI951">
        <v>0.18390000000000001</v>
      </c>
      <c r="DQ951">
        <v>62</v>
      </c>
    </row>
    <row r="952" spans="95:122" x14ac:dyDescent="0.25">
      <c r="CQ952" t="s">
        <v>636</v>
      </c>
      <c r="CR952" t="s">
        <v>125</v>
      </c>
      <c r="CS952" t="s">
        <v>109</v>
      </c>
      <c r="CT952">
        <v>46064</v>
      </c>
      <c r="CU952">
        <v>1</v>
      </c>
      <c r="CV952">
        <v>1</v>
      </c>
      <c r="CX952">
        <v>1</v>
      </c>
      <c r="CZ952">
        <v>3.4722222222222222E-5</v>
      </c>
      <c r="DA952">
        <v>3.4722222222222222E-5</v>
      </c>
      <c r="DB952">
        <v>0</v>
      </c>
      <c r="DC952">
        <v>0</v>
      </c>
      <c r="DD952">
        <v>159</v>
      </c>
      <c r="DE952">
        <v>279</v>
      </c>
      <c r="DF952">
        <v>11</v>
      </c>
      <c r="DG952" t="s">
        <v>680</v>
      </c>
      <c r="DH952">
        <v>25115</v>
      </c>
      <c r="DI952">
        <v>6.9199999999999998E-2</v>
      </c>
      <c r="DJ952">
        <v>1</v>
      </c>
      <c r="DK952">
        <v>9.0899999999999995E-2</v>
      </c>
      <c r="DL952">
        <v>350</v>
      </c>
      <c r="DM952">
        <v>350</v>
      </c>
      <c r="DQ952">
        <v>62</v>
      </c>
    </row>
    <row r="953" spans="95:122" x14ac:dyDescent="0.25">
      <c r="CQ953" t="s">
        <v>636</v>
      </c>
      <c r="CR953" t="s">
        <v>2</v>
      </c>
      <c r="CS953" t="s">
        <v>68</v>
      </c>
      <c r="CT953">
        <v>46081</v>
      </c>
      <c r="CU953">
        <v>1</v>
      </c>
      <c r="CV953">
        <v>1</v>
      </c>
      <c r="CZ953">
        <v>2.8935185185185184E-4</v>
      </c>
      <c r="DA953">
        <v>2.8935185185185184E-4</v>
      </c>
      <c r="DB953">
        <v>0.11194444444444444</v>
      </c>
      <c r="DC953">
        <v>7.9502314814814817E-2</v>
      </c>
      <c r="DQ953">
        <v>62</v>
      </c>
    </row>
    <row r="954" spans="95:122" x14ac:dyDescent="0.25">
      <c r="CQ954" t="s">
        <v>636</v>
      </c>
      <c r="CR954" t="s">
        <v>2</v>
      </c>
      <c r="CS954" t="s">
        <v>29</v>
      </c>
      <c r="CT954">
        <v>46081</v>
      </c>
      <c r="CU954">
        <v>1</v>
      </c>
      <c r="CV954">
        <v>1</v>
      </c>
      <c r="CZ954">
        <v>4.1550925925925922E-3</v>
      </c>
      <c r="DA954">
        <v>4.1550925925925922E-3</v>
      </c>
      <c r="DB954">
        <v>8.1956018518518525E-2</v>
      </c>
      <c r="DC954">
        <v>9.8113425925925923E-2</v>
      </c>
      <c r="DD954">
        <v>30</v>
      </c>
      <c r="DE954">
        <v>56</v>
      </c>
      <c r="DF954">
        <v>16</v>
      </c>
      <c r="DG954">
        <v>1.6875</v>
      </c>
      <c r="DH954">
        <v>15502</v>
      </c>
      <c r="DI954">
        <v>0.5333</v>
      </c>
      <c r="DQ954">
        <v>62</v>
      </c>
    </row>
    <row r="955" spans="95:122" x14ac:dyDescent="0.25">
      <c r="CQ955" t="s">
        <v>636</v>
      </c>
      <c r="CR955" t="s">
        <v>6</v>
      </c>
      <c r="CS955" t="s">
        <v>37</v>
      </c>
      <c r="CT955">
        <v>46057</v>
      </c>
      <c r="CU955">
        <v>1</v>
      </c>
      <c r="CV955">
        <v>1</v>
      </c>
      <c r="CX955">
        <v>1</v>
      </c>
      <c r="CZ955">
        <v>2.3148148148148147E-5</v>
      </c>
      <c r="DA955">
        <v>2.3148148148148147E-5</v>
      </c>
      <c r="DB955">
        <v>8.7847222222222215E-2</v>
      </c>
      <c r="DC955">
        <v>2.210648148148148E-2</v>
      </c>
      <c r="DD955">
        <v>101</v>
      </c>
      <c r="DE955">
        <v>232</v>
      </c>
      <c r="DF955">
        <v>28</v>
      </c>
      <c r="DG955" t="s">
        <v>762</v>
      </c>
      <c r="DH955">
        <v>33476</v>
      </c>
      <c r="DI955">
        <v>0.2772</v>
      </c>
      <c r="DJ955">
        <v>2</v>
      </c>
      <c r="DK955">
        <v>7.1400000000000005E-2</v>
      </c>
      <c r="DL955">
        <v>1398</v>
      </c>
      <c r="DM955">
        <v>699</v>
      </c>
      <c r="DN955">
        <v>867</v>
      </c>
      <c r="DO955">
        <v>0.61980000000000002</v>
      </c>
      <c r="DP955">
        <v>0.76480000000000004</v>
      </c>
      <c r="DQ955">
        <v>62</v>
      </c>
      <c r="DR955">
        <v>867</v>
      </c>
    </row>
    <row r="956" spans="95:122" x14ac:dyDescent="0.25">
      <c r="CQ956" t="s">
        <v>636</v>
      </c>
      <c r="CR956" t="s">
        <v>6</v>
      </c>
      <c r="CS956" t="s">
        <v>34</v>
      </c>
      <c r="CT956">
        <v>46063</v>
      </c>
      <c r="CU956">
        <v>1</v>
      </c>
      <c r="CV956">
        <v>1</v>
      </c>
      <c r="CX956">
        <v>1</v>
      </c>
      <c r="CZ956">
        <v>2.3148148148148147E-5</v>
      </c>
      <c r="DA956">
        <v>2.3148148148148147E-5</v>
      </c>
      <c r="DB956">
        <v>7.4768518518518517E-3</v>
      </c>
      <c r="DC956">
        <v>1.2118055555555556E-2</v>
      </c>
      <c r="DD956">
        <v>183</v>
      </c>
      <c r="DE956">
        <v>208</v>
      </c>
      <c r="DF956">
        <v>14</v>
      </c>
      <c r="DG956" t="s">
        <v>803</v>
      </c>
      <c r="DH956">
        <v>15250</v>
      </c>
      <c r="DI956">
        <v>7.6499999999999999E-2</v>
      </c>
      <c r="DJ956">
        <v>1</v>
      </c>
      <c r="DK956">
        <v>7.1400000000000005E-2</v>
      </c>
      <c r="DL956">
        <v>360</v>
      </c>
      <c r="DM956">
        <v>360</v>
      </c>
      <c r="DQ956">
        <v>62</v>
      </c>
    </row>
    <row r="957" spans="95:122" x14ac:dyDescent="0.25">
      <c r="CQ957" t="s">
        <v>636</v>
      </c>
      <c r="CR957" t="s">
        <v>3</v>
      </c>
      <c r="CS957" t="s">
        <v>377</v>
      </c>
      <c r="CT957">
        <v>46073</v>
      </c>
      <c r="CU957">
        <v>1</v>
      </c>
      <c r="CV957">
        <v>1</v>
      </c>
      <c r="CW957">
        <v>1</v>
      </c>
      <c r="CZ957">
        <v>4.3055555555555555E-3</v>
      </c>
      <c r="DA957">
        <v>4.3055555555555555E-3</v>
      </c>
      <c r="DB957">
        <v>0.14479166666666668</v>
      </c>
      <c r="DC957">
        <v>0.19668981481481482</v>
      </c>
      <c r="DD957">
        <v>73</v>
      </c>
      <c r="DE957">
        <v>168</v>
      </c>
      <c r="DF957">
        <v>25</v>
      </c>
      <c r="DG957">
        <v>1.4</v>
      </c>
      <c r="DH957">
        <v>28264</v>
      </c>
      <c r="DI957">
        <v>0.34250000000000003</v>
      </c>
      <c r="DJ957">
        <v>1</v>
      </c>
      <c r="DK957">
        <v>0.04</v>
      </c>
      <c r="DL957">
        <v>1000</v>
      </c>
      <c r="DM957">
        <v>1000</v>
      </c>
      <c r="DQ957">
        <v>62</v>
      </c>
    </row>
    <row r="958" spans="95:122" x14ac:dyDescent="0.25">
      <c r="CQ958" t="s">
        <v>636</v>
      </c>
      <c r="CR958" t="s">
        <v>3</v>
      </c>
      <c r="CS958" t="s">
        <v>96</v>
      </c>
      <c r="CT958">
        <v>46055</v>
      </c>
      <c r="CU958">
        <v>1</v>
      </c>
      <c r="CV958">
        <v>1</v>
      </c>
      <c r="CW958">
        <v>1</v>
      </c>
      <c r="CZ958">
        <v>7.0486111111111114E-3</v>
      </c>
      <c r="DA958">
        <v>7.0486111111111114E-3</v>
      </c>
      <c r="DB958">
        <v>3.366898148148148E-2</v>
      </c>
      <c r="DC958">
        <v>1.9976851851851853E-2</v>
      </c>
      <c r="DD958">
        <v>46</v>
      </c>
      <c r="DE958">
        <v>107</v>
      </c>
      <c r="DF958">
        <v>18</v>
      </c>
      <c r="DG958" t="s">
        <v>697</v>
      </c>
      <c r="DH958">
        <v>20966</v>
      </c>
      <c r="DI958">
        <v>0.39129999999999998</v>
      </c>
      <c r="DJ958">
        <v>8</v>
      </c>
      <c r="DK958">
        <v>0.44440000000000002</v>
      </c>
      <c r="DL958">
        <v>5671</v>
      </c>
      <c r="DM958">
        <v>709</v>
      </c>
      <c r="DN958">
        <v>2908</v>
      </c>
      <c r="DO958">
        <v>0.51280000000000003</v>
      </c>
      <c r="DQ958">
        <v>62</v>
      </c>
      <c r="DR958">
        <v>582</v>
      </c>
    </row>
    <row r="959" spans="95:122" x14ac:dyDescent="0.25">
      <c r="CQ959" t="s">
        <v>636</v>
      </c>
      <c r="CR959" t="s">
        <v>124</v>
      </c>
      <c r="CS959" t="s">
        <v>58</v>
      </c>
      <c r="CT959">
        <v>46066</v>
      </c>
      <c r="CU959">
        <v>1</v>
      </c>
      <c r="CV959">
        <v>1</v>
      </c>
      <c r="CX959">
        <v>1</v>
      </c>
      <c r="CZ959">
        <v>2.3148148148148147E-5</v>
      </c>
      <c r="DA959">
        <v>2.3148148148148147E-5</v>
      </c>
      <c r="DB959">
        <v>0.26864583333333331</v>
      </c>
      <c r="DC959">
        <v>0.13399305555555555</v>
      </c>
      <c r="DD959">
        <v>134</v>
      </c>
      <c r="DE959">
        <v>287</v>
      </c>
      <c r="DF959">
        <v>42</v>
      </c>
      <c r="DG959" t="s">
        <v>907</v>
      </c>
      <c r="DH959">
        <v>14459</v>
      </c>
      <c r="DI959">
        <v>0.31340000000000001</v>
      </c>
      <c r="DJ959">
        <v>1</v>
      </c>
      <c r="DK959">
        <v>2.3800000000000002E-2</v>
      </c>
      <c r="DL959">
        <v>760</v>
      </c>
      <c r="DM959">
        <v>760</v>
      </c>
      <c r="DQ959">
        <v>60</v>
      </c>
    </row>
    <row r="960" spans="95:122" x14ac:dyDescent="0.25">
      <c r="CQ960" t="s">
        <v>636</v>
      </c>
      <c r="CR960" t="s">
        <v>124</v>
      </c>
      <c r="CS960" t="s">
        <v>58</v>
      </c>
      <c r="CT960">
        <v>46070</v>
      </c>
      <c r="CU960">
        <v>1</v>
      </c>
      <c r="CV960">
        <v>1</v>
      </c>
      <c r="CY960">
        <v>1</v>
      </c>
      <c r="CZ960">
        <v>0</v>
      </c>
      <c r="DA960">
        <v>0</v>
      </c>
      <c r="DB960">
        <v>0</v>
      </c>
      <c r="DC960">
        <v>0</v>
      </c>
      <c r="DQ960">
        <v>60</v>
      </c>
    </row>
    <row r="961" spans="95:122" x14ac:dyDescent="0.25">
      <c r="CQ961" t="s">
        <v>636</v>
      </c>
      <c r="CR961" t="s">
        <v>124</v>
      </c>
      <c r="CS961" t="s">
        <v>41</v>
      </c>
      <c r="CT961">
        <v>46070</v>
      </c>
      <c r="CU961">
        <v>1</v>
      </c>
      <c r="CV961">
        <v>1</v>
      </c>
      <c r="CZ961">
        <v>0</v>
      </c>
      <c r="DA961">
        <v>0</v>
      </c>
      <c r="DB961">
        <v>0</v>
      </c>
      <c r="DC961">
        <v>0</v>
      </c>
      <c r="DQ961">
        <v>60</v>
      </c>
    </row>
    <row r="962" spans="95:122" x14ac:dyDescent="0.25">
      <c r="CQ962" t="s">
        <v>636</v>
      </c>
      <c r="CR962" t="s">
        <v>124</v>
      </c>
      <c r="CS962" t="s">
        <v>40</v>
      </c>
      <c r="CT962">
        <v>46057</v>
      </c>
      <c r="CU962">
        <v>1</v>
      </c>
      <c r="CV962">
        <v>1</v>
      </c>
      <c r="CX962">
        <v>1</v>
      </c>
      <c r="CZ962">
        <v>1.1921296296296296E-3</v>
      </c>
      <c r="DA962">
        <v>1.1921296296296296E-3</v>
      </c>
      <c r="DB962">
        <v>9.7083333333333327E-2</v>
      </c>
      <c r="DC962">
        <v>4.0902777777777781E-2</v>
      </c>
      <c r="DD962">
        <v>118</v>
      </c>
      <c r="DE962">
        <v>203</v>
      </c>
      <c r="DF962">
        <v>34</v>
      </c>
      <c r="DG962" t="s">
        <v>997</v>
      </c>
      <c r="DH962">
        <v>8615</v>
      </c>
      <c r="DI962">
        <v>0.28810000000000002</v>
      </c>
      <c r="DQ962">
        <v>60</v>
      </c>
    </row>
    <row r="963" spans="95:122" x14ac:dyDescent="0.25">
      <c r="CQ963" t="s">
        <v>636</v>
      </c>
      <c r="CR963" t="s">
        <v>124</v>
      </c>
      <c r="CS963" t="s">
        <v>73</v>
      </c>
      <c r="CT963">
        <v>46057</v>
      </c>
      <c r="CU963">
        <v>1</v>
      </c>
      <c r="CV963">
        <v>1</v>
      </c>
      <c r="CX963">
        <v>1</v>
      </c>
      <c r="CZ963">
        <v>1.0416666666666667E-4</v>
      </c>
      <c r="DA963">
        <v>1.0416666666666667E-4</v>
      </c>
      <c r="DB963">
        <v>3.0011574074074072E-2</v>
      </c>
      <c r="DC963">
        <v>1.5173611111111112E-2</v>
      </c>
      <c r="DD963">
        <v>123</v>
      </c>
      <c r="DE963">
        <v>171</v>
      </c>
      <c r="DF963">
        <v>10</v>
      </c>
      <c r="DG963">
        <v>1.3</v>
      </c>
      <c r="DH963">
        <v>8951</v>
      </c>
      <c r="DI963">
        <v>8.1299999999999997E-2</v>
      </c>
      <c r="DQ963">
        <v>60</v>
      </c>
    </row>
    <row r="964" spans="95:122" x14ac:dyDescent="0.25">
      <c r="CQ964" t="s">
        <v>636</v>
      </c>
      <c r="CR964" t="s">
        <v>124</v>
      </c>
      <c r="CS964" t="s">
        <v>48</v>
      </c>
      <c r="CT964">
        <v>46057</v>
      </c>
      <c r="CU964">
        <v>1</v>
      </c>
      <c r="CV964">
        <v>1</v>
      </c>
      <c r="CX964">
        <v>1</v>
      </c>
      <c r="CZ964">
        <v>3.4722222222222222E-5</v>
      </c>
      <c r="DA964">
        <v>3.4722222222222222E-5</v>
      </c>
      <c r="DB964">
        <v>6.7627314814814821E-2</v>
      </c>
      <c r="DC964">
        <v>4.1122685185185186E-2</v>
      </c>
      <c r="DD964">
        <v>118</v>
      </c>
      <c r="DE964">
        <v>177</v>
      </c>
      <c r="DF964">
        <v>34</v>
      </c>
      <c r="DG964" t="s">
        <v>966</v>
      </c>
      <c r="DH964">
        <v>8806</v>
      </c>
      <c r="DI964">
        <v>0.28810000000000002</v>
      </c>
      <c r="DQ964">
        <v>60</v>
      </c>
    </row>
    <row r="965" spans="95:122" x14ac:dyDescent="0.25">
      <c r="CQ965" t="s">
        <v>636</v>
      </c>
      <c r="CR965" t="s">
        <v>125</v>
      </c>
      <c r="CS965" t="s">
        <v>18</v>
      </c>
      <c r="CT965">
        <v>46055</v>
      </c>
      <c r="CU965">
        <v>1</v>
      </c>
      <c r="CV965">
        <v>1</v>
      </c>
      <c r="CX965">
        <v>1</v>
      </c>
      <c r="CZ965">
        <v>0</v>
      </c>
      <c r="DA965">
        <v>0</v>
      </c>
      <c r="DB965">
        <v>6.2152777777777779E-2</v>
      </c>
      <c r="DC965">
        <v>4.8726851851851855E-2</v>
      </c>
      <c r="DD965">
        <v>136</v>
      </c>
      <c r="DE965">
        <v>289</v>
      </c>
      <c r="DF965">
        <v>27</v>
      </c>
      <c r="DG965" t="s">
        <v>697</v>
      </c>
      <c r="DH965">
        <v>25702</v>
      </c>
      <c r="DI965">
        <v>0.19850000000000001</v>
      </c>
      <c r="DJ965">
        <v>5</v>
      </c>
      <c r="DK965">
        <v>0.1852</v>
      </c>
      <c r="DL965">
        <v>8405</v>
      </c>
      <c r="DM965">
        <v>1681</v>
      </c>
      <c r="DN965">
        <v>6905</v>
      </c>
      <c r="DO965">
        <v>0.82150000000000001</v>
      </c>
      <c r="DQ965">
        <v>60</v>
      </c>
      <c r="DR965">
        <v>1726</v>
      </c>
    </row>
    <row r="966" spans="95:122" x14ac:dyDescent="0.25">
      <c r="CQ966" t="s">
        <v>636</v>
      </c>
      <c r="CR966" t="s">
        <v>125</v>
      </c>
      <c r="CS966" t="s">
        <v>18</v>
      </c>
      <c r="CT966">
        <v>46076</v>
      </c>
      <c r="CU966">
        <v>1</v>
      </c>
      <c r="CV966">
        <v>1</v>
      </c>
      <c r="CX966">
        <v>1</v>
      </c>
      <c r="CZ966">
        <v>2.199074074074074E-4</v>
      </c>
      <c r="DA966">
        <v>2.199074074074074E-4</v>
      </c>
      <c r="DB966">
        <v>0.20224537037037038</v>
      </c>
      <c r="DC966">
        <v>0.13543981481481482</v>
      </c>
      <c r="DD966">
        <v>167</v>
      </c>
      <c r="DE966">
        <v>289</v>
      </c>
      <c r="DF966">
        <v>23</v>
      </c>
      <c r="DG966" t="s">
        <v>1128</v>
      </c>
      <c r="DH966">
        <v>32179</v>
      </c>
      <c r="DI966">
        <v>0.13769999999999999</v>
      </c>
      <c r="DQ966">
        <v>60</v>
      </c>
    </row>
    <row r="967" spans="95:122" x14ac:dyDescent="0.25">
      <c r="CQ967" t="s">
        <v>636</v>
      </c>
      <c r="CR967" t="s">
        <v>125</v>
      </c>
      <c r="CS967" t="s">
        <v>85</v>
      </c>
      <c r="CT967">
        <v>46076</v>
      </c>
      <c r="CU967">
        <v>1</v>
      </c>
      <c r="CV967">
        <v>1</v>
      </c>
      <c r="CX967">
        <v>1</v>
      </c>
      <c r="CZ967">
        <v>2.3726851851851851E-3</v>
      </c>
      <c r="DA967">
        <v>2.3726851851851851E-3</v>
      </c>
      <c r="DB967">
        <v>0.18854166666666666</v>
      </c>
      <c r="DC967">
        <v>0.13136574074074073</v>
      </c>
      <c r="DD967">
        <v>108</v>
      </c>
      <c r="DE967">
        <v>202</v>
      </c>
      <c r="DF967">
        <v>21</v>
      </c>
      <c r="DG967" t="s">
        <v>1009</v>
      </c>
      <c r="DH967">
        <v>51769</v>
      </c>
      <c r="DI967">
        <v>0.19439999999999999</v>
      </c>
      <c r="DQ967">
        <v>60</v>
      </c>
    </row>
    <row r="968" spans="95:122" x14ac:dyDescent="0.25">
      <c r="CQ968" t="s">
        <v>636</v>
      </c>
      <c r="CR968" t="s">
        <v>125</v>
      </c>
      <c r="CS968" t="s">
        <v>72</v>
      </c>
      <c r="CT968">
        <v>46078</v>
      </c>
      <c r="CU968">
        <v>1</v>
      </c>
      <c r="CV968">
        <v>1</v>
      </c>
      <c r="CZ968">
        <v>0</v>
      </c>
      <c r="DA968">
        <v>0</v>
      </c>
      <c r="DB968">
        <v>0</v>
      </c>
      <c r="DC968">
        <v>0</v>
      </c>
      <c r="DQ968">
        <v>60</v>
      </c>
    </row>
    <row r="969" spans="95:122" x14ac:dyDescent="0.25">
      <c r="CQ969" t="s">
        <v>636</v>
      </c>
      <c r="CR969" t="s">
        <v>125</v>
      </c>
      <c r="CS969" t="s">
        <v>12</v>
      </c>
      <c r="CT969">
        <v>46076</v>
      </c>
      <c r="CU969">
        <v>1</v>
      </c>
      <c r="CV969">
        <v>1</v>
      </c>
      <c r="CX969">
        <v>1</v>
      </c>
      <c r="CZ969">
        <v>1.0416666666666667E-4</v>
      </c>
      <c r="DA969">
        <v>1.0416666666666667E-4</v>
      </c>
      <c r="DB969">
        <v>0.18167824074074074</v>
      </c>
      <c r="DC969">
        <v>0.12527777777777777</v>
      </c>
      <c r="DD969">
        <v>91</v>
      </c>
      <c r="DE969">
        <v>228</v>
      </c>
      <c r="DF969">
        <v>25</v>
      </c>
      <c r="DG969">
        <v>1.64</v>
      </c>
      <c r="DH969">
        <v>27671</v>
      </c>
      <c r="DI969">
        <v>0.2747</v>
      </c>
      <c r="DQ969">
        <v>60</v>
      </c>
    </row>
    <row r="970" spans="95:122" x14ac:dyDescent="0.25">
      <c r="CQ970" t="s">
        <v>636</v>
      </c>
      <c r="CR970" t="s">
        <v>125</v>
      </c>
      <c r="CS970" t="s">
        <v>122</v>
      </c>
      <c r="CT970">
        <v>46055</v>
      </c>
      <c r="CU970">
        <v>1</v>
      </c>
      <c r="CV970">
        <v>1</v>
      </c>
      <c r="CX970">
        <v>1</v>
      </c>
      <c r="CZ970">
        <v>0</v>
      </c>
      <c r="DA970">
        <v>0</v>
      </c>
      <c r="DB970">
        <v>3.9479166666666669E-2</v>
      </c>
      <c r="DC970">
        <v>6.099537037037037E-3</v>
      </c>
      <c r="DD970">
        <v>40</v>
      </c>
      <c r="DE970">
        <v>149</v>
      </c>
      <c r="DF970">
        <v>15</v>
      </c>
      <c r="DG970" t="s">
        <v>742</v>
      </c>
      <c r="DH970">
        <v>37540</v>
      </c>
      <c r="DI970">
        <v>0.375</v>
      </c>
      <c r="DJ970">
        <v>4</v>
      </c>
      <c r="DK970">
        <v>0.26669999999999999</v>
      </c>
      <c r="DL970">
        <v>32630</v>
      </c>
      <c r="DM970">
        <v>8158</v>
      </c>
      <c r="DN970">
        <v>14130</v>
      </c>
      <c r="DO970">
        <v>0.433</v>
      </c>
      <c r="DP970">
        <v>0.1288</v>
      </c>
      <c r="DQ970">
        <v>60</v>
      </c>
      <c r="DR970">
        <v>4710</v>
      </c>
    </row>
    <row r="971" spans="95:122" x14ac:dyDescent="0.25">
      <c r="CQ971" t="s">
        <v>636</v>
      </c>
      <c r="CR971" t="s">
        <v>125</v>
      </c>
      <c r="CS971" t="s">
        <v>122</v>
      </c>
      <c r="CT971">
        <v>46078</v>
      </c>
      <c r="CU971">
        <v>1</v>
      </c>
      <c r="CV971">
        <v>1</v>
      </c>
      <c r="CW971">
        <v>1</v>
      </c>
      <c r="CZ971">
        <v>3.7546296296296293E-2</v>
      </c>
      <c r="DA971">
        <v>3.7546296296296293E-2</v>
      </c>
      <c r="DB971">
        <v>0.15559027777777779</v>
      </c>
      <c r="DC971">
        <v>0.15177083333333333</v>
      </c>
      <c r="DD971">
        <v>48</v>
      </c>
      <c r="DE971">
        <v>171</v>
      </c>
      <c r="DF971">
        <v>16</v>
      </c>
      <c r="DG971">
        <v>1.4375</v>
      </c>
      <c r="DH971">
        <v>41903</v>
      </c>
      <c r="DI971">
        <v>0.33329999999999999</v>
      </c>
      <c r="DQ971">
        <v>60</v>
      </c>
    </row>
    <row r="972" spans="95:122" x14ac:dyDescent="0.25">
      <c r="CQ972" t="s">
        <v>636</v>
      </c>
      <c r="CR972" t="s">
        <v>125</v>
      </c>
      <c r="CS972" t="s">
        <v>206</v>
      </c>
      <c r="CT972">
        <v>46055</v>
      </c>
      <c r="CU972">
        <v>1</v>
      </c>
      <c r="CV972">
        <v>1</v>
      </c>
      <c r="CX972">
        <v>1</v>
      </c>
      <c r="CZ972">
        <v>3.4722222222222222E-5</v>
      </c>
      <c r="DA972">
        <v>3.4722222222222222E-5</v>
      </c>
      <c r="DB972">
        <v>7.5243055555555549E-2</v>
      </c>
      <c r="DC972">
        <v>2.5624999999999998E-2</v>
      </c>
      <c r="DD972">
        <v>177</v>
      </c>
      <c r="DE972">
        <v>323</v>
      </c>
      <c r="DF972">
        <v>42</v>
      </c>
      <c r="DG972" t="s">
        <v>850</v>
      </c>
      <c r="DH972">
        <v>35074</v>
      </c>
      <c r="DI972">
        <v>0.23730000000000001</v>
      </c>
      <c r="DJ972">
        <v>2</v>
      </c>
      <c r="DK972">
        <v>4.7600000000000003E-2</v>
      </c>
      <c r="DL972">
        <v>1309</v>
      </c>
      <c r="DM972">
        <v>655</v>
      </c>
      <c r="DN972">
        <v>1309</v>
      </c>
      <c r="DO972">
        <v>1</v>
      </c>
      <c r="DQ972">
        <v>60</v>
      </c>
      <c r="DR972">
        <v>655</v>
      </c>
    </row>
    <row r="973" spans="95:122" x14ac:dyDescent="0.25">
      <c r="CQ973" t="s">
        <v>636</v>
      </c>
      <c r="CR973" t="s">
        <v>125</v>
      </c>
      <c r="CS973" t="s">
        <v>206</v>
      </c>
      <c r="CT973">
        <v>46076</v>
      </c>
      <c r="CU973">
        <v>1</v>
      </c>
      <c r="CV973">
        <v>1</v>
      </c>
      <c r="CX973">
        <v>1</v>
      </c>
      <c r="CZ973">
        <v>5.7870370370370373E-5</v>
      </c>
      <c r="DA973">
        <v>5.7870370370370373E-5</v>
      </c>
      <c r="DB973">
        <v>0.19995370370370372</v>
      </c>
      <c r="DC973">
        <v>0.15384259259259259</v>
      </c>
      <c r="DD973">
        <v>143</v>
      </c>
      <c r="DE973">
        <v>280</v>
      </c>
      <c r="DF973">
        <v>37</v>
      </c>
      <c r="DG973" t="s">
        <v>995</v>
      </c>
      <c r="DH973">
        <v>24252</v>
      </c>
      <c r="DI973">
        <v>0.25869999999999999</v>
      </c>
      <c r="DQ973">
        <v>60</v>
      </c>
    </row>
    <row r="974" spans="95:122" x14ac:dyDescent="0.25">
      <c r="CQ974" t="s">
        <v>636</v>
      </c>
      <c r="CR974" t="s">
        <v>2</v>
      </c>
      <c r="CS974" t="s">
        <v>15</v>
      </c>
      <c r="CT974">
        <v>46057</v>
      </c>
      <c r="CU974">
        <v>1</v>
      </c>
      <c r="CV974">
        <v>1</v>
      </c>
      <c r="CX974">
        <v>1</v>
      </c>
      <c r="CZ974">
        <v>1.0416666666666667E-4</v>
      </c>
      <c r="DA974">
        <v>1.0416666666666667E-4</v>
      </c>
      <c r="DB974">
        <v>3.7870370370370374E-2</v>
      </c>
      <c r="DC974">
        <v>3.2384259259259258E-2</v>
      </c>
      <c r="DD974">
        <v>91</v>
      </c>
      <c r="DE974">
        <v>120</v>
      </c>
      <c r="DF974">
        <v>27</v>
      </c>
      <c r="DG974" t="s">
        <v>1088</v>
      </c>
      <c r="DH974">
        <v>22467</v>
      </c>
      <c r="DI974">
        <v>0.29670000000000002</v>
      </c>
      <c r="DJ974">
        <v>1</v>
      </c>
      <c r="DK974">
        <v>3.6999999999999998E-2</v>
      </c>
      <c r="DL974">
        <v>7000</v>
      </c>
      <c r="DM974">
        <v>7000</v>
      </c>
      <c r="DQ974">
        <v>60</v>
      </c>
    </row>
    <row r="975" spans="95:122" x14ac:dyDescent="0.25">
      <c r="CQ975" t="s">
        <v>636</v>
      </c>
      <c r="CR975" t="s">
        <v>2</v>
      </c>
      <c r="CS975" t="s">
        <v>15</v>
      </c>
      <c r="CT975">
        <v>46063</v>
      </c>
      <c r="CU975">
        <v>1</v>
      </c>
      <c r="CV975">
        <v>1</v>
      </c>
      <c r="CW975">
        <v>1</v>
      </c>
      <c r="CZ975">
        <v>1.545138888888889E-2</v>
      </c>
      <c r="DA975">
        <v>1.545138888888889E-2</v>
      </c>
      <c r="DB975">
        <v>9.0162037037037034E-3</v>
      </c>
      <c r="DC975">
        <v>2.4733796296296295E-2</v>
      </c>
      <c r="DD975">
        <v>151</v>
      </c>
      <c r="DE975">
        <v>190</v>
      </c>
      <c r="DF975">
        <v>48</v>
      </c>
      <c r="DG975" t="s">
        <v>1129</v>
      </c>
      <c r="DH975">
        <v>12634</v>
      </c>
      <c r="DI975">
        <v>0.31790000000000002</v>
      </c>
      <c r="DQ975">
        <v>60</v>
      </c>
    </row>
    <row r="976" spans="95:122" x14ac:dyDescent="0.25">
      <c r="CQ976" t="s">
        <v>636</v>
      </c>
      <c r="CR976" t="s">
        <v>2</v>
      </c>
      <c r="CS976" t="s">
        <v>15</v>
      </c>
      <c r="CT976">
        <v>46069</v>
      </c>
      <c r="CU976">
        <v>1</v>
      </c>
      <c r="CV976">
        <v>1</v>
      </c>
      <c r="CX976">
        <v>1</v>
      </c>
      <c r="CZ976">
        <v>1.6203703703703703E-4</v>
      </c>
      <c r="DA976">
        <v>1.6203703703703703E-4</v>
      </c>
      <c r="DB976">
        <v>0.18990740740740741</v>
      </c>
      <c r="DC976">
        <v>0.1482175925925926</v>
      </c>
      <c r="DD976">
        <v>121</v>
      </c>
      <c r="DE976">
        <v>144</v>
      </c>
      <c r="DF976">
        <v>18</v>
      </c>
      <c r="DG976" t="s">
        <v>755</v>
      </c>
      <c r="DH976">
        <v>15847</v>
      </c>
      <c r="DI976">
        <v>0.14879999999999999</v>
      </c>
      <c r="DQ976">
        <v>60</v>
      </c>
    </row>
    <row r="977" spans="95:121" x14ac:dyDescent="0.25">
      <c r="CQ977" t="s">
        <v>636</v>
      </c>
      <c r="CR977" t="s">
        <v>2</v>
      </c>
      <c r="CS977" t="s">
        <v>15</v>
      </c>
      <c r="CT977">
        <v>46076</v>
      </c>
      <c r="CU977">
        <v>1</v>
      </c>
      <c r="CV977">
        <v>1</v>
      </c>
      <c r="CX977">
        <v>1</v>
      </c>
      <c r="CZ977">
        <v>0</v>
      </c>
      <c r="DA977">
        <v>0</v>
      </c>
      <c r="DB977">
        <v>0.14969907407407407</v>
      </c>
      <c r="DC977">
        <v>0.18859953703703702</v>
      </c>
      <c r="DD977">
        <v>61</v>
      </c>
      <c r="DE977">
        <v>83</v>
      </c>
      <c r="DF977">
        <v>15</v>
      </c>
      <c r="DG977" t="s">
        <v>739</v>
      </c>
      <c r="DH977">
        <v>12762</v>
      </c>
      <c r="DI977">
        <v>0.24590000000000001</v>
      </c>
      <c r="DQ977">
        <v>60</v>
      </c>
    </row>
    <row r="978" spans="95:121" x14ac:dyDescent="0.25">
      <c r="CQ978" t="s">
        <v>636</v>
      </c>
      <c r="CR978" t="s">
        <v>2</v>
      </c>
      <c r="CS978" t="s">
        <v>68</v>
      </c>
      <c r="CT978">
        <v>46063</v>
      </c>
      <c r="CU978">
        <v>1</v>
      </c>
      <c r="CV978">
        <v>1</v>
      </c>
      <c r="CZ978">
        <v>0</v>
      </c>
      <c r="DA978">
        <v>0</v>
      </c>
      <c r="DB978">
        <v>0</v>
      </c>
      <c r="DC978">
        <v>0</v>
      </c>
      <c r="DQ978">
        <v>60</v>
      </c>
    </row>
    <row r="979" spans="95:121" x14ac:dyDescent="0.25">
      <c r="CQ979" t="s">
        <v>636</v>
      </c>
      <c r="CR979" t="s">
        <v>2</v>
      </c>
      <c r="CS979" t="s">
        <v>25</v>
      </c>
      <c r="CT979">
        <v>46063</v>
      </c>
      <c r="CU979">
        <v>1</v>
      </c>
      <c r="CV979">
        <v>1</v>
      </c>
      <c r="CW979">
        <v>1</v>
      </c>
      <c r="CZ979">
        <v>7.6504629629629631E-3</v>
      </c>
      <c r="DA979">
        <v>7.6504629629629631E-3</v>
      </c>
      <c r="DB979">
        <v>4.0428240740740744E-2</v>
      </c>
      <c r="DC979">
        <v>5.5775462962962964E-2</v>
      </c>
      <c r="DD979">
        <v>92</v>
      </c>
      <c r="DE979">
        <v>176</v>
      </c>
      <c r="DF979">
        <v>41</v>
      </c>
      <c r="DG979" t="s">
        <v>813</v>
      </c>
      <c r="DH979">
        <v>25309</v>
      </c>
      <c r="DI979">
        <v>0.44569999999999999</v>
      </c>
      <c r="DQ979">
        <v>60</v>
      </c>
    </row>
    <row r="980" spans="95:121" x14ac:dyDescent="0.25">
      <c r="CQ980" t="s">
        <v>636</v>
      </c>
      <c r="CR980" t="s">
        <v>2</v>
      </c>
      <c r="CS980" t="s">
        <v>38</v>
      </c>
      <c r="CT980">
        <v>46069</v>
      </c>
      <c r="CU980">
        <v>1</v>
      </c>
      <c r="CV980">
        <v>1</v>
      </c>
      <c r="CX980">
        <v>1</v>
      </c>
      <c r="CZ980">
        <v>1.5393518518518519E-3</v>
      </c>
      <c r="DA980">
        <v>1.5393518518518519E-3</v>
      </c>
      <c r="DB980">
        <v>0.2146875</v>
      </c>
      <c r="DC980">
        <v>0.12021990740740741</v>
      </c>
      <c r="DD980">
        <v>98</v>
      </c>
      <c r="DE980">
        <v>123</v>
      </c>
      <c r="DF980">
        <v>30</v>
      </c>
      <c r="DG980" t="s">
        <v>723</v>
      </c>
      <c r="DH980">
        <v>17420</v>
      </c>
      <c r="DI980">
        <v>0.30609999999999998</v>
      </c>
      <c r="DQ980">
        <v>60</v>
      </c>
    </row>
    <row r="981" spans="95:121" x14ac:dyDescent="0.25">
      <c r="CQ981" t="s">
        <v>636</v>
      </c>
      <c r="CR981" t="s">
        <v>2</v>
      </c>
      <c r="CS981" t="s">
        <v>76</v>
      </c>
      <c r="CT981">
        <v>46069</v>
      </c>
      <c r="CU981">
        <v>1</v>
      </c>
      <c r="CV981">
        <v>1</v>
      </c>
      <c r="CX981">
        <v>1</v>
      </c>
      <c r="CZ981">
        <v>8.1018518518518516E-5</v>
      </c>
      <c r="DA981">
        <v>8.1018518518518516E-5</v>
      </c>
      <c r="DB981">
        <v>0.22969907407407408</v>
      </c>
      <c r="DC981">
        <v>9.4212962962962957E-2</v>
      </c>
      <c r="DD981">
        <v>79</v>
      </c>
      <c r="DE981">
        <v>111</v>
      </c>
      <c r="DF981">
        <v>17</v>
      </c>
      <c r="DG981" t="s">
        <v>670</v>
      </c>
      <c r="DH981">
        <v>16676</v>
      </c>
      <c r="DI981">
        <v>0.2152</v>
      </c>
      <c r="DQ981">
        <v>60</v>
      </c>
    </row>
    <row r="982" spans="95:121" x14ac:dyDescent="0.25">
      <c r="CQ982" t="s">
        <v>636</v>
      </c>
      <c r="CR982" t="s">
        <v>6</v>
      </c>
      <c r="CS982" t="s">
        <v>80</v>
      </c>
      <c r="CT982">
        <v>46064</v>
      </c>
      <c r="CU982">
        <v>1</v>
      </c>
      <c r="CV982">
        <v>1</v>
      </c>
      <c r="CW982">
        <v>1</v>
      </c>
      <c r="CZ982">
        <v>2.2118055555555554E-2</v>
      </c>
      <c r="DA982">
        <v>2.2118055555555554E-2</v>
      </c>
      <c r="DB982">
        <v>6.6516203703703702E-2</v>
      </c>
      <c r="DC982">
        <v>1.7337962962962961E-2</v>
      </c>
      <c r="DD982">
        <v>96</v>
      </c>
      <c r="DE982">
        <v>120</v>
      </c>
      <c r="DF982">
        <v>13</v>
      </c>
      <c r="DG982" t="s">
        <v>711</v>
      </c>
      <c r="DH982">
        <v>31276</v>
      </c>
      <c r="DI982">
        <v>0.13539999999999999</v>
      </c>
      <c r="DQ982">
        <v>60</v>
      </c>
    </row>
    <row r="983" spans="95:121" x14ac:dyDescent="0.25">
      <c r="CQ983" t="s">
        <v>636</v>
      </c>
      <c r="CR983" t="s">
        <v>6</v>
      </c>
      <c r="CS983" t="s">
        <v>105</v>
      </c>
      <c r="CT983">
        <v>46076</v>
      </c>
      <c r="CU983">
        <v>1</v>
      </c>
      <c r="CV983">
        <v>1</v>
      </c>
      <c r="CX983">
        <v>1</v>
      </c>
      <c r="CZ983">
        <v>3.4722222222222222E-5</v>
      </c>
      <c r="DA983">
        <v>3.4722222222222222E-5</v>
      </c>
      <c r="DB983">
        <v>0.1955324074074074</v>
      </c>
      <c r="DC983">
        <v>0.14243055555555556</v>
      </c>
      <c r="DD983">
        <v>99</v>
      </c>
      <c r="DE983">
        <v>200</v>
      </c>
      <c r="DF983">
        <v>26</v>
      </c>
      <c r="DG983" t="s">
        <v>757</v>
      </c>
      <c r="DH983">
        <v>20028</v>
      </c>
      <c r="DI983">
        <v>0.2626</v>
      </c>
      <c r="DJ983">
        <v>1</v>
      </c>
      <c r="DK983">
        <v>3.85E-2</v>
      </c>
      <c r="DL983">
        <v>2034</v>
      </c>
      <c r="DM983">
        <v>2034</v>
      </c>
      <c r="DQ983">
        <v>60</v>
      </c>
    </row>
    <row r="984" spans="95:121" x14ac:dyDescent="0.25">
      <c r="CQ984" t="s">
        <v>636</v>
      </c>
      <c r="CR984" t="s">
        <v>6</v>
      </c>
      <c r="CS984" t="s">
        <v>105</v>
      </c>
      <c r="CT984">
        <v>46079</v>
      </c>
      <c r="CU984">
        <v>1</v>
      </c>
      <c r="CV984">
        <v>1</v>
      </c>
      <c r="CW984">
        <v>1</v>
      </c>
      <c r="CZ984">
        <v>2.1469907407407406E-2</v>
      </c>
      <c r="DA984">
        <v>2.1469907407407406E-2</v>
      </c>
      <c r="DB984">
        <v>0.1567476851851852</v>
      </c>
      <c r="DC984">
        <v>0.16957175925925927</v>
      </c>
      <c r="DD984">
        <v>93</v>
      </c>
      <c r="DE984">
        <v>203</v>
      </c>
      <c r="DF984">
        <v>16</v>
      </c>
      <c r="DG984">
        <v>2</v>
      </c>
      <c r="DH984">
        <v>31332</v>
      </c>
      <c r="DI984">
        <v>0.17199999999999999</v>
      </c>
      <c r="DQ984">
        <v>60</v>
      </c>
    </row>
    <row r="985" spans="95:121" x14ac:dyDescent="0.25">
      <c r="CQ985" t="s">
        <v>636</v>
      </c>
      <c r="CR985" t="s">
        <v>6</v>
      </c>
      <c r="CS985" t="s">
        <v>105</v>
      </c>
      <c r="CT985">
        <v>46081</v>
      </c>
      <c r="CU985">
        <v>1</v>
      </c>
      <c r="CV985">
        <v>1</v>
      </c>
      <c r="CW985">
        <v>1</v>
      </c>
      <c r="CZ985">
        <v>4.7569444444444447E-3</v>
      </c>
      <c r="DA985">
        <v>4.7569444444444447E-3</v>
      </c>
      <c r="DB985">
        <v>0.12511574074074075</v>
      </c>
      <c r="DC985">
        <v>6.3726851851851854E-2</v>
      </c>
      <c r="DD985">
        <v>36</v>
      </c>
      <c r="DE985">
        <v>64</v>
      </c>
      <c r="DF985">
        <v>11</v>
      </c>
      <c r="DG985" t="s">
        <v>695</v>
      </c>
      <c r="DH985">
        <v>44638</v>
      </c>
      <c r="DI985">
        <v>0.30559999999999998</v>
      </c>
      <c r="DQ985">
        <v>60</v>
      </c>
    </row>
    <row r="986" spans="95:121" x14ac:dyDescent="0.25">
      <c r="CQ986" t="s">
        <v>636</v>
      </c>
      <c r="CR986" t="s">
        <v>6</v>
      </c>
      <c r="CS986" t="s">
        <v>11</v>
      </c>
      <c r="CT986">
        <v>46064</v>
      </c>
      <c r="CU986">
        <v>1</v>
      </c>
      <c r="CV986">
        <v>1</v>
      </c>
      <c r="CZ986">
        <v>0</v>
      </c>
      <c r="DA986">
        <v>0</v>
      </c>
      <c r="DB986">
        <v>0</v>
      </c>
      <c r="DC986">
        <v>0</v>
      </c>
      <c r="DQ986">
        <v>60</v>
      </c>
    </row>
    <row r="987" spans="95:121" x14ac:dyDescent="0.25">
      <c r="CQ987" t="s">
        <v>636</v>
      </c>
      <c r="CR987" t="s">
        <v>6</v>
      </c>
      <c r="CS987" t="s">
        <v>11</v>
      </c>
      <c r="CT987">
        <v>46066</v>
      </c>
      <c r="CU987">
        <v>1</v>
      </c>
      <c r="CV987">
        <v>1</v>
      </c>
      <c r="CZ987">
        <v>0</v>
      </c>
      <c r="DA987">
        <v>0</v>
      </c>
      <c r="DB987">
        <v>0</v>
      </c>
      <c r="DC987">
        <v>0</v>
      </c>
      <c r="DQ987">
        <v>60</v>
      </c>
    </row>
    <row r="988" spans="95:121" x14ac:dyDescent="0.25">
      <c r="CQ988" t="s">
        <v>636</v>
      </c>
      <c r="CR988" t="s">
        <v>6</v>
      </c>
      <c r="CS988" t="s">
        <v>11</v>
      </c>
      <c r="CT988">
        <v>46079</v>
      </c>
      <c r="CU988">
        <v>1</v>
      </c>
      <c r="CV988">
        <v>1</v>
      </c>
      <c r="CZ988">
        <v>1.0416666666666667E-4</v>
      </c>
      <c r="DA988">
        <v>1.0416666666666667E-4</v>
      </c>
      <c r="DB988">
        <v>0.17827546296296296</v>
      </c>
      <c r="DC988">
        <v>0.19354166666666667</v>
      </c>
      <c r="DQ988">
        <v>60</v>
      </c>
    </row>
    <row r="989" spans="95:121" x14ac:dyDescent="0.25">
      <c r="CQ989" t="s">
        <v>636</v>
      </c>
      <c r="CR989" t="s">
        <v>6</v>
      </c>
      <c r="CS989" t="s">
        <v>11</v>
      </c>
      <c r="CT989">
        <v>46081</v>
      </c>
      <c r="CU989">
        <v>1</v>
      </c>
      <c r="CV989">
        <v>1</v>
      </c>
      <c r="CZ989">
        <v>1.0416666666666667E-4</v>
      </c>
      <c r="DA989">
        <v>1.0416666666666667E-4</v>
      </c>
      <c r="DB989">
        <v>0.145625</v>
      </c>
      <c r="DC989">
        <v>5.1041666666666666E-2</v>
      </c>
      <c r="DQ989">
        <v>60</v>
      </c>
    </row>
    <row r="990" spans="95:121" x14ac:dyDescent="0.25">
      <c r="CQ990" t="s">
        <v>636</v>
      </c>
      <c r="CR990" t="s">
        <v>3</v>
      </c>
      <c r="CS990" t="s">
        <v>377</v>
      </c>
      <c r="CT990">
        <v>46065</v>
      </c>
      <c r="CU990">
        <v>1</v>
      </c>
      <c r="CV990">
        <v>1</v>
      </c>
      <c r="CW990">
        <v>1</v>
      </c>
      <c r="CZ990">
        <v>5.4513888888888893E-3</v>
      </c>
      <c r="DA990">
        <v>5.4513888888888893E-3</v>
      </c>
      <c r="DB990">
        <v>1.074074074074074E-2</v>
      </c>
      <c r="DC990">
        <v>7.060185185185185E-3</v>
      </c>
      <c r="DD990">
        <v>148</v>
      </c>
      <c r="DE990">
        <v>203</v>
      </c>
      <c r="DF990">
        <v>25</v>
      </c>
      <c r="DG990">
        <v>1.48</v>
      </c>
      <c r="DH990">
        <v>28082</v>
      </c>
      <c r="DI990">
        <v>0.16889999999999999</v>
      </c>
      <c r="DJ990">
        <v>1</v>
      </c>
      <c r="DK990">
        <v>0.04</v>
      </c>
      <c r="DL990">
        <v>253</v>
      </c>
      <c r="DM990">
        <v>253</v>
      </c>
      <c r="DQ990">
        <v>60</v>
      </c>
    </row>
    <row r="991" spans="95:121" x14ac:dyDescent="0.25">
      <c r="CQ991" t="s">
        <v>636</v>
      </c>
      <c r="CR991" t="s">
        <v>3</v>
      </c>
      <c r="CS991" t="s">
        <v>22</v>
      </c>
      <c r="CT991">
        <v>46062</v>
      </c>
      <c r="CU991">
        <v>1</v>
      </c>
      <c r="CV991">
        <v>1</v>
      </c>
      <c r="CW991">
        <v>1</v>
      </c>
      <c r="CZ991">
        <v>0.19850694444444444</v>
      </c>
      <c r="DA991">
        <v>0.19850694444444444</v>
      </c>
      <c r="DB991">
        <v>3.5451388888888886E-2</v>
      </c>
      <c r="DC991">
        <v>2.1712962962962962E-2</v>
      </c>
      <c r="DD991">
        <v>38</v>
      </c>
      <c r="DE991">
        <v>104</v>
      </c>
      <c r="DF991">
        <v>7</v>
      </c>
      <c r="DG991" t="s">
        <v>803</v>
      </c>
      <c r="DH991">
        <v>17057</v>
      </c>
      <c r="DI991">
        <v>0.1842</v>
      </c>
      <c r="DQ991">
        <v>60</v>
      </c>
    </row>
    <row r="992" spans="95:121" x14ac:dyDescent="0.25">
      <c r="CQ992" t="s">
        <v>636</v>
      </c>
      <c r="CR992" t="s">
        <v>3</v>
      </c>
      <c r="CS992" t="s">
        <v>24</v>
      </c>
      <c r="CT992">
        <v>46062</v>
      </c>
      <c r="CU992">
        <v>1</v>
      </c>
      <c r="CV992">
        <v>1</v>
      </c>
      <c r="CZ992">
        <v>0</v>
      </c>
      <c r="DA992">
        <v>0</v>
      </c>
      <c r="DB992">
        <v>0</v>
      </c>
      <c r="DC992">
        <v>0</v>
      </c>
      <c r="DQ992">
        <v>60</v>
      </c>
    </row>
    <row r="993" spans="95:121" x14ac:dyDescent="0.25">
      <c r="CQ993" t="s">
        <v>636</v>
      </c>
      <c r="CR993" t="s">
        <v>3</v>
      </c>
      <c r="CS993" t="s">
        <v>24</v>
      </c>
      <c r="CT993">
        <v>46069</v>
      </c>
      <c r="CU993">
        <v>1</v>
      </c>
      <c r="CV993">
        <v>1</v>
      </c>
      <c r="CZ993">
        <v>0</v>
      </c>
      <c r="DA993">
        <v>0</v>
      </c>
      <c r="DB993">
        <v>0</v>
      </c>
      <c r="DC993">
        <v>0</v>
      </c>
      <c r="DQ993">
        <v>60</v>
      </c>
    </row>
    <row r="994" spans="95:121" x14ac:dyDescent="0.25">
      <c r="CQ994" t="s">
        <v>636</v>
      </c>
      <c r="CR994" t="s">
        <v>3</v>
      </c>
      <c r="CS994" t="s">
        <v>24</v>
      </c>
      <c r="CT994">
        <v>46072</v>
      </c>
      <c r="CU994">
        <v>1</v>
      </c>
      <c r="CV994">
        <v>1</v>
      </c>
      <c r="CZ994">
        <v>0</v>
      </c>
      <c r="DA994">
        <v>0</v>
      </c>
      <c r="DB994">
        <v>0</v>
      </c>
      <c r="DC994">
        <v>0</v>
      </c>
      <c r="DQ994">
        <v>60</v>
      </c>
    </row>
    <row r="995" spans="95:121" x14ac:dyDescent="0.25">
      <c r="CQ995" t="s">
        <v>636</v>
      </c>
      <c r="CR995" t="s">
        <v>3</v>
      </c>
      <c r="CS995" t="s">
        <v>24</v>
      </c>
      <c r="CT995">
        <v>46073</v>
      </c>
      <c r="CU995">
        <v>1</v>
      </c>
      <c r="CV995">
        <v>1</v>
      </c>
      <c r="CZ995">
        <v>0</v>
      </c>
      <c r="DA995">
        <v>0</v>
      </c>
      <c r="DB995">
        <v>0</v>
      </c>
      <c r="DC995">
        <v>0</v>
      </c>
      <c r="DQ995">
        <v>60</v>
      </c>
    </row>
    <row r="996" spans="95:121" x14ac:dyDescent="0.25">
      <c r="CQ996" t="s">
        <v>636</v>
      </c>
      <c r="CR996" t="s">
        <v>3</v>
      </c>
      <c r="CS996" t="s">
        <v>24</v>
      </c>
      <c r="CT996">
        <v>46078</v>
      </c>
      <c r="CU996">
        <v>1</v>
      </c>
      <c r="CV996">
        <v>1</v>
      </c>
      <c r="CZ996">
        <v>0</v>
      </c>
      <c r="DA996">
        <v>0</v>
      </c>
      <c r="DB996">
        <v>0</v>
      </c>
      <c r="DC996">
        <v>0</v>
      </c>
      <c r="DQ996">
        <v>60</v>
      </c>
    </row>
    <row r="997" spans="95:121" x14ac:dyDescent="0.25">
      <c r="CQ997" t="s">
        <v>636</v>
      </c>
      <c r="CR997" t="s">
        <v>3</v>
      </c>
      <c r="CS997" t="s">
        <v>32</v>
      </c>
      <c r="CT997">
        <v>46065</v>
      </c>
      <c r="CU997">
        <v>1</v>
      </c>
      <c r="CV997">
        <v>1</v>
      </c>
      <c r="CX997">
        <v>1</v>
      </c>
      <c r="CZ997">
        <v>1.273148148148148E-4</v>
      </c>
      <c r="DA997">
        <v>1.273148148148148E-4</v>
      </c>
      <c r="DB997">
        <v>4.3518518518518515E-3</v>
      </c>
      <c r="DC997">
        <v>5.8449074074074072E-3</v>
      </c>
      <c r="DD997">
        <v>100</v>
      </c>
      <c r="DE997">
        <v>224</v>
      </c>
      <c r="DF997">
        <v>21</v>
      </c>
      <c r="DG997" t="s">
        <v>679</v>
      </c>
      <c r="DH997">
        <v>38279</v>
      </c>
      <c r="DI997">
        <v>0.21</v>
      </c>
      <c r="DQ997">
        <v>60</v>
      </c>
    </row>
    <row r="998" spans="95:121" x14ac:dyDescent="0.25">
      <c r="CQ998" t="s">
        <v>636</v>
      </c>
      <c r="CR998" t="s">
        <v>3</v>
      </c>
      <c r="CS998" t="s">
        <v>65</v>
      </c>
      <c r="CT998">
        <v>46065</v>
      </c>
      <c r="CU998">
        <v>1</v>
      </c>
      <c r="CV998">
        <v>1</v>
      </c>
      <c r="CX998">
        <v>1</v>
      </c>
      <c r="CZ998">
        <v>1.1574074074074073E-5</v>
      </c>
      <c r="DA998">
        <v>1.1574074074074073E-5</v>
      </c>
      <c r="DB998">
        <v>1.273148148148148E-4</v>
      </c>
      <c r="DC998">
        <v>8.1018518518518516E-4</v>
      </c>
      <c r="DD998">
        <v>76</v>
      </c>
      <c r="DE998">
        <v>179</v>
      </c>
      <c r="DF998">
        <v>14</v>
      </c>
      <c r="DG998" t="s">
        <v>986</v>
      </c>
      <c r="DH998">
        <v>34603</v>
      </c>
      <c r="DI998">
        <v>0.1842</v>
      </c>
      <c r="DQ998">
        <v>60</v>
      </c>
    </row>
    <row r="999" spans="95:121" x14ac:dyDescent="0.25">
      <c r="CQ999" t="s">
        <v>636</v>
      </c>
      <c r="CR999" t="s">
        <v>3</v>
      </c>
      <c r="CS999" t="s">
        <v>31</v>
      </c>
      <c r="CT999">
        <v>46065</v>
      </c>
      <c r="CU999">
        <v>1</v>
      </c>
      <c r="CV999">
        <v>1</v>
      </c>
      <c r="CX999">
        <v>1</v>
      </c>
      <c r="CZ999">
        <v>6.9444444444444444E-5</v>
      </c>
      <c r="DA999">
        <v>6.9444444444444444E-5</v>
      </c>
      <c r="DB999">
        <v>1.4085648148148147E-2</v>
      </c>
      <c r="DC999">
        <v>0</v>
      </c>
      <c r="DD999">
        <v>122</v>
      </c>
      <c r="DE999">
        <v>248</v>
      </c>
      <c r="DF999">
        <v>16</v>
      </c>
      <c r="DG999">
        <v>1.75</v>
      </c>
      <c r="DH999">
        <v>33739</v>
      </c>
      <c r="DI999">
        <v>0.13109999999999999</v>
      </c>
      <c r="DQ999">
        <v>60</v>
      </c>
    </row>
    <row r="1000" spans="95:121" x14ac:dyDescent="0.25">
      <c r="CQ1000" t="s">
        <v>636</v>
      </c>
      <c r="CR1000" t="s">
        <v>3</v>
      </c>
      <c r="CS1000" t="s">
        <v>17</v>
      </c>
      <c r="CT1000">
        <v>46069</v>
      </c>
      <c r="CU1000">
        <v>1</v>
      </c>
      <c r="CV1000">
        <v>1</v>
      </c>
      <c r="CW1000">
        <v>1</v>
      </c>
      <c r="CZ1000">
        <v>7.3495370370370372E-3</v>
      </c>
      <c r="DA1000">
        <v>7.3495370370370372E-3</v>
      </c>
      <c r="DB1000">
        <v>0.18059027777777778</v>
      </c>
      <c r="DC1000">
        <v>0.14072916666666666</v>
      </c>
      <c r="DD1000">
        <v>89</v>
      </c>
      <c r="DE1000">
        <v>192</v>
      </c>
      <c r="DF1000">
        <v>18</v>
      </c>
      <c r="DG1000" t="s">
        <v>697</v>
      </c>
      <c r="DH1000">
        <v>39906</v>
      </c>
      <c r="DI1000">
        <v>0.20219999999999999</v>
      </c>
      <c r="DQ1000">
        <v>60</v>
      </c>
    </row>
    <row r="1001" spans="95:121" x14ac:dyDescent="0.25">
      <c r="CQ1001" t="s">
        <v>636</v>
      </c>
      <c r="CR1001" t="s">
        <v>124</v>
      </c>
      <c r="CS1001" t="s">
        <v>41</v>
      </c>
      <c r="CT1001">
        <v>46063</v>
      </c>
      <c r="CU1001">
        <v>1</v>
      </c>
      <c r="CV1001">
        <v>1</v>
      </c>
      <c r="CZ1001">
        <v>0</v>
      </c>
      <c r="DA1001">
        <v>0</v>
      </c>
      <c r="DB1001">
        <v>0</v>
      </c>
      <c r="DC1001">
        <v>0</v>
      </c>
      <c r="DQ1001">
        <v>58</v>
      </c>
    </row>
    <row r="1002" spans="95:121" x14ac:dyDescent="0.25">
      <c r="CQ1002" t="s">
        <v>636</v>
      </c>
      <c r="CR1002" t="s">
        <v>124</v>
      </c>
      <c r="CS1002" t="s">
        <v>41</v>
      </c>
      <c r="CT1002">
        <v>46064</v>
      </c>
      <c r="CU1002">
        <v>1</v>
      </c>
      <c r="CV1002">
        <v>1</v>
      </c>
      <c r="CZ1002">
        <v>0</v>
      </c>
      <c r="DA1002">
        <v>0</v>
      </c>
      <c r="DB1002">
        <v>0</v>
      </c>
      <c r="DC1002">
        <v>0</v>
      </c>
      <c r="DQ1002">
        <v>58</v>
      </c>
    </row>
    <row r="1003" spans="95:121" x14ac:dyDescent="0.25">
      <c r="CQ1003" t="s">
        <v>636</v>
      </c>
      <c r="CR1003" t="s">
        <v>124</v>
      </c>
      <c r="CS1003" t="s">
        <v>41</v>
      </c>
      <c r="CT1003">
        <v>46071</v>
      </c>
      <c r="CU1003">
        <v>1</v>
      </c>
      <c r="CV1003">
        <v>1</v>
      </c>
      <c r="CZ1003">
        <v>0</v>
      </c>
      <c r="DA1003">
        <v>0</v>
      </c>
      <c r="DB1003">
        <v>0</v>
      </c>
      <c r="DC1003">
        <v>0</v>
      </c>
      <c r="DQ1003">
        <v>58</v>
      </c>
    </row>
    <row r="1004" spans="95:121" x14ac:dyDescent="0.25">
      <c r="CQ1004" t="s">
        <v>636</v>
      </c>
      <c r="CR1004" t="s">
        <v>124</v>
      </c>
      <c r="CS1004" t="s">
        <v>41</v>
      </c>
      <c r="CT1004">
        <v>46078</v>
      </c>
      <c r="CU1004">
        <v>1</v>
      </c>
      <c r="CV1004">
        <v>1</v>
      </c>
      <c r="CZ1004">
        <v>0</v>
      </c>
      <c r="DA1004">
        <v>0</v>
      </c>
      <c r="DB1004">
        <v>0</v>
      </c>
      <c r="DC1004">
        <v>0</v>
      </c>
      <c r="DQ1004">
        <v>58</v>
      </c>
    </row>
    <row r="1005" spans="95:121" x14ac:dyDescent="0.25">
      <c r="CQ1005" t="s">
        <v>636</v>
      </c>
      <c r="CR1005" t="s">
        <v>124</v>
      </c>
      <c r="CS1005" t="s">
        <v>41</v>
      </c>
      <c r="CT1005">
        <v>46079</v>
      </c>
      <c r="CU1005">
        <v>1</v>
      </c>
      <c r="CV1005">
        <v>1</v>
      </c>
      <c r="CZ1005">
        <v>6.9444444444444444E-5</v>
      </c>
      <c r="DA1005">
        <v>6.9444444444444444E-5</v>
      </c>
      <c r="DB1005">
        <v>0.13028935185185186</v>
      </c>
      <c r="DC1005">
        <v>0.22334490740740739</v>
      </c>
      <c r="DQ1005">
        <v>58</v>
      </c>
    </row>
    <row r="1006" spans="95:121" x14ac:dyDescent="0.25">
      <c r="CQ1006" t="s">
        <v>636</v>
      </c>
      <c r="CR1006" t="s">
        <v>124</v>
      </c>
      <c r="CS1006" t="s">
        <v>549</v>
      </c>
      <c r="CT1006">
        <v>46071</v>
      </c>
      <c r="CU1006">
        <v>1</v>
      </c>
      <c r="CV1006">
        <v>1</v>
      </c>
      <c r="CY1006">
        <v>1</v>
      </c>
      <c r="CZ1006">
        <v>0</v>
      </c>
      <c r="DA1006">
        <v>0</v>
      </c>
      <c r="DB1006">
        <v>0</v>
      </c>
      <c r="DC1006">
        <v>0</v>
      </c>
      <c r="DQ1006">
        <v>58</v>
      </c>
    </row>
    <row r="1007" spans="95:121" x14ac:dyDescent="0.25">
      <c r="CQ1007" t="s">
        <v>636</v>
      </c>
      <c r="CR1007" t="s">
        <v>124</v>
      </c>
      <c r="CS1007" t="s">
        <v>549</v>
      </c>
      <c r="CT1007">
        <v>46079</v>
      </c>
      <c r="CU1007">
        <v>1</v>
      </c>
      <c r="CV1007">
        <v>1</v>
      </c>
      <c r="CW1007">
        <v>1</v>
      </c>
      <c r="CZ1007">
        <v>7.3148148148148148E-3</v>
      </c>
      <c r="DA1007">
        <v>7.3148148148148148E-3</v>
      </c>
      <c r="DB1007">
        <v>0.12133101851851852</v>
      </c>
      <c r="DC1007">
        <v>0.21741898148148148</v>
      </c>
      <c r="DD1007">
        <v>199</v>
      </c>
      <c r="DE1007">
        <v>267</v>
      </c>
      <c r="DF1007">
        <v>26</v>
      </c>
      <c r="DG1007" t="s">
        <v>711</v>
      </c>
      <c r="DH1007">
        <v>23301</v>
      </c>
      <c r="DI1007">
        <v>0.13070000000000001</v>
      </c>
      <c r="DQ1007">
        <v>58</v>
      </c>
    </row>
    <row r="1008" spans="95:121" x14ac:dyDescent="0.25">
      <c r="CQ1008" t="s">
        <v>636</v>
      </c>
      <c r="CR1008" t="s">
        <v>124</v>
      </c>
      <c r="CS1008" t="s">
        <v>557</v>
      </c>
      <c r="CT1008">
        <v>46078</v>
      </c>
      <c r="CU1008">
        <v>1</v>
      </c>
      <c r="CV1008">
        <v>1</v>
      </c>
      <c r="CW1008">
        <v>1</v>
      </c>
      <c r="CZ1008">
        <v>0.22287037037037036</v>
      </c>
      <c r="DA1008">
        <v>0.22287037037037036</v>
      </c>
      <c r="DB1008">
        <v>7.6574074074074072E-2</v>
      </c>
      <c r="DC1008">
        <v>7.0358796296296294E-2</v>
      </c>
      <c r="DD1008">
        <v>55</v>
      </c>
      <c r="DE1008">
        <v>62</v>
      </c>
      <c r="DF1008">
        <v>8</v>
      </c>
      <c r="DG1008">
        <v>1.25</v>
      </c>
      <c r="DH1008">
        <v>29872</v>
      </c>
      <c r="DI1008">
        <v>0.14549999999999999</v>
      </c>
      <c r="DQ1008">
        <v>58</v>
      </c>
    </row>
    <row r="1009" spans="95:122" x14ac:dyDescent="0.25">
      <c r="CQ1009" t="s">
        <v>636</v>
      </c>
      <c r="CR1009" t="s">
        <v>124</v>
      </c>
      <c r="CS1009" t="s">
        <v>557</v>
      </c>
      <c r="CT1009">
        <v>46079</v>
      </c>
      <c r="CU1009">
        <v>1</v>
      </c>
      <c r="CV1009">
        <v>1</v>
      </c>
      <c r="CW1009">
        <v>1</v>
      </c>
      <c r="CZ1009">
        <v>5.1736111111111115E-3</v>
      </c>
      <c r="DA1009">
        <v>5.1736111111111115E-3</v>
      </c>
      <c r="DB1009">
        <v>0.17158564814814814</v>
      </c>
      <c r="DC1009">
        <v>0.17093749999999999</v>
      </c>
      <c r="DD1009">
        <v>160</v>
      </c>
      <c r="DE1009">
        <v>181</v>
      </c>
      <c r="DF1009">
        <v>20</v>
      </c>
      <c r="DG1009">
        <v>1.3</v>
      </c>
      <c r="DH1009">
        <v>16087</v>
      </c>
      <c r="DI1009">
        <v>0.125</v>
      </c>
      <c r="DQ1009">
        <v>58</v>
      </c>
    </row>
    <row r="1010" spans="95:122" x14ac:dyDescent="0.25">
      <c r="CQ1010" t="s">
        <v>636</v>
      </c>
      <c r="CR1010" t="s">
        <v>125</v>
      </c>
      <c r="CS1010" t="s">
        <v>109</v>
      </c>
      <c r="CT1010">
        <v>46056</v>
      </c>
      <c r="CU1010">
        <v>1</v>
      </c>
      <c r="CV1010">
        <v>1</v>
      </c>
      <c r="CX1010">
        <v>1</v>
      </c>
      <c r="CZ1010">
        <v>2.0833333333333335E-4</v>
      </c>
      <c r="DA1010">
        <v>2.0833333333333335E-4</v>
      </c>
      <c r="DB1010">
        <v>3.0590277777777779E-2</v>
      </c>
      <c r="DC1010">
        <v>1.5393518518518518E-2</v>
      </c>
      <c r="DD1010">
        <v>108</v>
      </c>
      <c r="DE1010">
        <v>183</v>
      </c>
      <c r="DF1010">
        <v>16</v>
      </c>
      <c r="DG1010">
        <v>1.25</v>
      </c>
      <c r="DH1010">
        <v>46395</v>
      </c>
      <c r="DI1010">
        <v>0.14810000000000001</v>
      </c>
      <c r="DJ1010">
        <v>1</v>
      </c>
      <c r="DK1010">
        <v>6.25E-2</v>
      </c>
      <c r="DL1010">
        <v>1000</v>
      </c>
      <c r="DM1010">
        <v>1000</v>
      </c>
      <c r="DQ1010">
        <v>58</v>
      </c>
    </row>
    <row r="1011" spans="95:122" x14ac:dyDescent="0.25">
      <c r="CQ1011" t="s">
        <v>636</v>
      </c>
      <c r="CR1011" t="s">
        <v>125</v>
      </c>
      <c r="CS1011" t="s">
        <v>10</v>
      </c>
      <c r="CT1011">
        <v>46055</v>
      </c>
      <c r="CU1011">
        <v>1</v>
      </c>
      <c r="CV1011">
        <v>1</v>
      </c>
      <c r="CX1011">
        <v>1</v>
      </c>
      <c r="CZ1011">
        <v>8.1018518518518516E-5</v>
      </c>
      <c r="DA1011">
        <v>8.1018518518518516E-5</v>
      </c>
      <c r="DB1011">
        <v>5.347222222222222E-3</v>
      </c>
      <c r="DC1011">
        <v>7.5231481481481477E-3</v>
      </c>
      <c r="DD1011">
        <v>115</v>
      </c>
      <c r="DE1011">
        <v>189</v>
      </c>
      <c r="DF1011">
        <v>21</v>
      </c>
      <c r="DG1011" t="s">
        <v>850</v>
      </c>
      <c r="DH1011">
        <v>19626</v>
      </c>
      <c r="DI1011">
        <v>0.18260000000000001</v>
      </c>
      <c r="DJ1011">
        <v>6</v>
      </c>
      <c r="DK1011">
        <v>0.28570000000000001</v>
      </c>
      <c r="DL1011">
        <v>3048</v>
      </c>
      <c r="DM1011">
        <v>508</v>
      </c>
      <c r="DN1011">
        <v>2348</v>
      </c>
      <c r="DO1011">
        <v>0.77029999999999998</v>
      </c>
      <c r="DP1011">
        <v>0.1439</v>
      </c>
      <c r="DQ1011">
        <v>58</v>
      </c>
      <c r="DR1011">
        <v>470</v>
      </c>
    </row>
    <row r="1012" spans="95:122" x14ac:dyDescent="0.25">
      <c r="CQ1012" t="s">
        <v>636</v>
      </c>
      <c r="CR1012" t="s">
        <v>125</v>
      </c>
      <c r="CS1012" t="s">
        <v>10</v>
      </c>
      <c r="CT1012">
        <v>46064</v>
      </c>
      <c r="CU1012">
        <v>1</v>
      </c>
      <c r="CV1012">
        <v>1</v>
      </c>
      <c r="CX1012">
        <v>1</v>
      </c>
      <c r="CZ1012">
        <v>3.4722222222222222E-5</v>
      </c>
      <c r="DA1012">
        <v>3.4722222222222222E-5</v>
      </c>
      <c r="DB1012">
        <v>3.0613425925925926E-2</v>
      </c>
      <c r="DC1012">
        <v>1.6481481481481482E-2</v>
      </c>
      <c r="DD1012">
        <v>162</v>
      </c>
      <c r="DE1012">
        <v>273</v>
      </c>
      <c r="DF1012">
        <v>19</v>
      </c>
      <c r="DG1012" t="s">
        <v>836</v>
      </c>
      <c r="DH1012">
        <v>27345</v>
      </c>
      <c r="DI1012">
        <v>0.1173</v>
      </c>
      <c r="DJ1012">
        <v>1</v>
      </c>
      <c r="DK1012">
        <v>5.2600000000000001E-2</v>
      </c>
      <c r="DL1012">
        <v>1500</v>
      </c>
      <c r="DM1012">
        <v>1500</v>
      </c>
      <c r="DQ1012">
        <v>58</v>
      </c>
    </row>
    <row r="1013" spans="95:122" x14ac:dyDescent="0.25">
      <c r="CQ1013" t="s">
        <v>636</v>
      </c>
      <c r="CR1013" t="s">
        <v>2</v>
      </c>
      <c r="CS1013" t="s">
        <v>68</v>
      </c>
      <c r="CT1013">
        <v>46073</v>
      </c>
      <c r="CU1013">
        <v>1</v>
      </c>
      <c r="CV1013">
        <v>1</v>
      </c>
      <c r="CZ1013">
        <v>0</v>
      </c>
      <c r="DA1013">
        <v>0</v>
      </c>
      <c r="DB1013">
        <v>0</v>
      </c>
      <c r="DC1013">
        <v>0</v>
      </c>
      <c r="DQ1013">
        <v>58</v>
      </c>
    </row>
    <row r="1014" spans="95:122" x14ac:dyDescent="0.25">
      <c r="CQ1014" t="s">
        <v>636</v>
      </c>
      <c r="CR1014" t="s">
        <v>2</v>
      </c>
      <c r="CS1014" t="s">
        <v>29</v>
      </c>
      <c r="CT1014">
        <v>46055</v>
      </c>
      <c r="CU1014">
        <v>1</v>
      </c>
      <c r="CV1014">
        <v>1</v>
      </c>
      <c r="CX1014">
        <v>1</v>
      </c>
      <c r="CZ1014">
        <v>2.1643518518518518E-3</v>
      </c>
      <c r="DA1014">
        <v>2.1643518518518518E-3</v>
      </c>
      <c r="DB1014">
        <v>7.840277777777778E-2</v>
      </c>
      <c r="DC1014">
        <v>6.2581018518518522E-2</v>
      </c>
      <c r="DD1014">
        <v>65</v>
      </c>
      <c r="DE1014">
        <v>151</v>
      </c>
      <c r="DF1014">
        <v>32</v>
      </c>
      <c r="DG1014">
        <v>1.90625</v>
      </c>
      <c r="DH1014">
        <v>14949</v>
      </c>
      <c r="DI1014">
        <v>0.49230000000000002</v>
      </c>
      <c r="DJ1014">
        <v>16</v>
      </c>
      <c r="DK1014">
        <v>0.5</v>
      </c>
      <c r="DL1014">
        <v>12387</v>
      </c>
      <c r="DM1014">
        <v>774</v>
      </c>
      <c r="DN1014">
        <v>10120</v>
      </c>
      <c r="DO1014">
        <v>0.81699999999999995</v>
      </c>
      <c r="DP1014">
        <v>5.8099999999999999E-2</v>
      </c>
      <c r="DQ1014">
        <v>58</v>
      </c>
      <c r="DR1014">
        <v>723</v>
      </c>
    </row>
    <row r="1015" spans="95:122" x14ac:dyDescent="0.25">
      <c r="CQ1015" t="s">
        <v>636</v>
      </c>
      <c r="CR1015" t="s">
        <v>2</v>
      </c>
      <c r="CS1015" t="s">
        <v>29</v>
      </c>
      <c r="CT1015">
        <v>46070</v>
      </c>
      <c r="CU1015">
        <v>1</v>
      </c>
      <c r="CV1015">
        <v>1</v>
      </c>
      <c r="CX1015">
        <v>1</v>
      </c>
      <c r="CZ1015">
        <v>1.2847222222222223E-3</v>
      </c>
      <c r="DA1015">
        <v>1.2847222222222223E-3</v>
      </c>
      <c r="DB1015">
        <v>0.21736111111111112</v>
      </c>
      <c r="DC1015">
        <v>0.11394675925925926</v>
      </c>
      <c r="DD1015">
        <v>48</v>
      </c>
      <c r="DE1015">
        <v>116</v>
      </c>
      <c r="DF1015">
        <v>22</v>
      </c>
      <c r="DG1015">
        <v>2</v>
      </c>
      <c r="DH1015">
        <v>14554</v>
      </c>
      <c r="DI1015">
        <v>0.45829999999999999</v>
      </c>
      <c r="DJ1015">
        <v>3</v>
      </c>
      <c r="DK1015">
        <v>0.13639999999999999</v>
      </c>
      <c r="DL1015">
        <v>1300</v>
      </c>
      <c r="DM1015">
        <v>433</v>
      </c>
      <c r="DN1015">
        <v>750</v>
      </c>
      <c r="DO1015">
        <v>0.57689999999999997</v>
      </c>
      <c r="DQ1015">
        <v>58</v>
      </c>
      <c r="DR1015">
        <v>750</v>
      </c>
    </row>
    <row r="1016" spans="95:122" x14ac:dyDescent="0.25">
      <c r="CQ1016" t="s">
        <v>636</v>
      </c>
      <c r="CR1016" t="s">
        <v>2</v>
      </c>
      <c r="CS1016" t="s">
        <v>25</v>
      </c>
      <c r="CT1016">
        <v>46073</v>
      </c>
      <c r="CU1016">
        <v>1</v>
      </c>
      <c r="CV1016">
        <v>1</v>
      </c>
      <c r="CW1016">
        <v>1</v>
      </c>
      <c r="CZ1016">
        <v>4.1226851851851855E-2</v>
      </c>
      <c r="DA1016">
        <v>4.1226851851851855E-2</v>
      </c>
      <c r="DB1016">
        <v>0.14628472222222222</v>
      </c>
      <c r="DC1016">
        <v>0.12337962962962963</v>
      </c>
      <c r="DD1016">
        <v>53</v>
      </c>
      <c r="DE1016">
        <v>105</v>
      </c>
      <c r="DF1016">
        <v>19</v>
      </c>
      <c r="DG1016" t="s">
        <v>791</v>
      </c>
      <c r="DH1016">
        <v>21055</v>
      </c>
      <c r="DI1016">
        <v>0.35849999999999999</v>
      </c>
      <c r="DQ1016">
        <v>58</v>
      </c>
    </row>
    <row r="1017" spans="95:122" x14ac:dyDescent="0.25">
      <c r="CQ1017" t="s">
        <v>636</v>
      </c>
      <c r="CR1017" t="s">
        <v>3</v>
      </c>
      <c r="CS1017" t="s">
        <v>377</v>
      </c>
      <c r="CT1017">
        <v>46057</v>
      </c>
      <c r="CU1017">
        <v>1</v>
      </c>
      <c r="CV1017">
        <v>1</v>
      </c>
      <c r="CW1017">
        <v>1</v>
      </c>
      <c r="CZ1017">
        <v>1.1493055555555555E-2</v>
      </c>
      <c r="DA1017">
        <v>1.1493055555555555E-2</v>
      </c>
      <c r="DB1017">
        <v>7.3402777777777775E-2</v>
      </c>
      <c r="DC1017">
        <v>4.1793981481481481E-2</v>
      </c>
      <c r="DD1017">
        <v>85</v>
      </c>
      <c r="DE1017">
        <v>165</v>
      </c>
      <c r="DF1017">
        <v>27</v>
      </c>
      <c r="DG1017" t="s">
        <v>697</v>
      </c>
      <c r="DH1017">
        <v>24554</v>
      </c>
      <c r="DI1017">
        <v>0.31759999999999999</v>
      </c>
      <c r="DQ1017">
        <v>58</v>
      </c>
    </row>
    <row r="1018" spans="95:122" x14ac:dyDescent="0.25">
      <c r="CQ1018" t="s">
        <v>636</v>
      </c>
      <c r="CR1018" t="s">
        <v>3</v>
      </c>
      <c r="CS1018" t="s">
        <v>24</v>
      </c>
      <c r="CT1018">
        <v>46057</v>
      </c>
      <c r="CU1018">
        <v>1</v>
      </c>
      <c r="CV1018">
        <v>1</v>
      </c>
      <c r="CZ1018">
        <v>0</v>
      </c>
      <c r="DA1018">
        <v>0</v>
      </c>
      <c r="DB1018">
        <v>0</v>
      </c>
      <c r="DC1018">
        <v>0</v>
      </c>
      <c r="DQ1018">
        <v>58</v>
      </c>
    </row>
    <row r="1019" spans="95:122" x14ac:dyDescent="0.25">
      <c r="CQ1019" t="s">
        <v>636</v>
      </c>
      <c r="CR1019" t="s">
        <v>3</v>
      </c>
      <c r="CS1019" t="s">
        <v>24</v>
      </c>
      <c r="CT1019">
        <v>46081</v>
      </c>
      <c r="CU1019">
        <v>1</v>
      </c>
      <c r="CV1019">
        <v>1</v>
      </c>
      <c r="CZ1019">
        <v>2.6620370370370372E-4</v>
      </c>
      <c r="DA1019">
        <v>2.6620370370370372E-4</v>
      </c>
      <c r="DB1019">
        <v>0.13428240740740741</v>
      </c>
      <c r="DC1019">
        <v>5.1736111111111108E-2</v>
      </c>
      <c r="DQ1019">
        <v>58</v>
      </c>
    </row>
    <row r="1020" spans="95:122" x14ac:dyDescent="0.25">
      <c r="CQ1020" t="s">
        <v>636</v>
      </c>
      <c r="CR1020" t="s">
        <v>3</v>
      </c>
      <c r="CS1020" t="s">
        <v>13</v>
      </c>
      <c r="CT1020">
        <v>46081</v>
      </c>
      <c r="CU1020">
        <v>1</v>
      </c>
      <c r="CV1020">
        <v>1</v>
      </c>
      <c r="CW1020">
        <v>1</v>
      </c>
      <c r="CZ1020">
        <v>5.185185185185185E-3</v>
      </c>
      <c r="DA1020">
        <v>5.185185185185185E-3</v>
      </c>
      <c r="DB1020">
        <v>9.6354166666666671E-2</v>
      </c>
      <c r="DC1020">
        <v>8.879629629629629E-2</v>
      </c>
      <c r="DD1020">
        <v>23</v>
      </c>
      <c r="DE1020">
        <v>41</v>
      </c>
      <c r="DF1020">
        <v>8</v>
      </c>
      <c r="DG1020">
        <v>1.75</v>
      </c>
      <c r="DH1020">
        <v>47559</v>
      </c>
      <c r="DI1020">
        <v>0.3478</v>
      </c>
      <c r="DQ1020">
        <v>58</v>
      </c>
    </row>
    <row r="1021" spans="95:122" x14ac:dyDescent="0.25">
      <c r="CQ1021" t="s">
        <v>636</v>
      </c>
      <c r="CR1021" t="s">
        <v>3</v>
      </c>
      <c r="CS1021" t="s">
        <v>23</v>
      </c>
      <c r="CT1021">
        <v>46057</v>
      </c>
      <c r="CU1021">
        <v>1</v>
      </c>
      <c r="CV1021">
        <v>1</v>
      </c>
      <c r="CZ1021">
        <v>6.134259259259259E-4</v>
      </c>
      <c r="DA1021">
        <v>6.134259259259259E-4</v>
      </c>
      <c r="DB1021">
        <v>1.4444444444444444E-2</v>
      </c>
      <c r="DC1021">
        <v>5.8564814814814816E-3</v>
      </c>
      <c r="DD1021">
        <v>79</v>
      </c>
      <c r="DE1021">
        <v>147</v>
      </c>
      <c r="DF1021">
        <v>13</v>
      </c>
      <c r="DG1021" t="s">
        <v>727</v>
      </c>
      <c r="DH1021">
        <v>43065</v>
      </c>
      <c r="DI1021">
        <v>0.1646</v>
      </c>
      <c r="DQ1021">
        <v>58</v>
      </c>
    </row>
    <row r="1022" spans="95:122" x14ac:dyDescent="0.25">
      <c r="CQ1022" t="s">
        <v>636</v>
      </c>
      <c r="CR1022" t="s">
        <v>124</v>
      </c>
      <c r="CS1022" t="s">
        <v>549</v>
      </c>
      <c r="CT1022">
        <v>46066</v>
      </c>
      <c r="CU1022">
        <v>1</v>
      </c>
      <c r="CV1022">
        <v>1</v>
      </c>
      <c r="CX1022">
        <v>1</v>
      </c>
      <c r="CZ1022">
        <v>1.1689814814814816E-3</v>
      </c>
      <c r="DA1022">
        <v>1.1689814814814816E-3</v>
      </c>
      <c r="DB1022">
        <v>0.23178240740740741</v>
      </c>
      <c r="DC1022">
        <v>0.1237037037037037</v>
      </c>
      <c r="DD1022">
        <v>170</v>
      </c>
      <c r="DE1022">
        <v>246</v>
      </c>
      <c r="DF1022">
        <v>32</v>
      </c>
      <c r="DG1022">
        <v>1.46875</v>
      </c>
      <c r="DH1022">
        <v>7964</v>
      </c>
      <c r="DI1022">
        <v>0.18820000000000001</v>
      </c>
      <c r="DQ1022">
        <v>56</v>
      </c>
    </row>
    <row r="1023" spans="95:122" x14ac:dyDescent="0.25">
      <c r="CQ1023" t="s">
        <v>636</v>
      </c>
      <c r="CR1023" t="s">
        <v>124</v>
      </c>
      <c r="CS1023" t="s">
        <v>544</v>
      </c>
      <c r="CT1023">
        <v>46066</v>
      </c>
      <c r="CU1023">
        <v>1</v>
      </c>
      <c r="CV1023">
        <v>1</v>
      </c>
      <c r="CX1023">
        <v>1</v>
      </c>
      <c r="CZ1023">
        <v>2.5462962962962961E-4</v>
      </c>
      <c r="DA1023">
        <v>2.5462962962962961E-4</v>
      </c>
      <c r="DB1023">
        <v>0.23337962962962963</v>
      </c>
      <c r="DC1023">
        <v>0.18733796296296296</v>
      </c>
      <c r="DD1023">
        <v>113</v>
      </c>
      <c r="DE1023">
        <v>199</v>
      </c>
      <c r="DF1023">
        <v>27</v>
      </c>
      <c r="DG1023" t="s">
        <v>1088</v>
      </c>
      <c r="DH1023">
        <v>21129</v>
      </c>
      <c r="DI1023">
        <v>0.2389</v>
      </c>
      <c r="DQ1023">
        <v>56</v>
      </c>
    </row>
    <row r="1024" spans="95:122" x14ac:dyDescent="0.25">
      <c r="CQ1024" t="s">
        <v>636</v>
      </c>
      <c r="CR1024" t="s">
        <v>125</v>
      </c>
      <c r="CS1024" t="s">
        <v>18</v>
      </c>
      <c r="CT1024">
        <v>46080</v>
      </c>
      <c r="CU1024">
        <v>1</v>
      </c>
      <c r="CV1024">
        <v>1</v>
      </c>
      <c r="CW1024">
        <v>1</v>
      </c>
      <c r="CZ1024">
        <v>0.16975694444444445</v>
      </c>
      <c r="DA1024">
        <v>0.16975694444444445</v>
      </c>
      <c r="DB1024">
        <v>0.12496527777777777</v>
      </c>
      <c r="DC1024">
        <v>6.5902777777777782E-2</v>
      </c>
      <c r="DD1024">
        <v>103</v>
      </c>
      <c r="DE1024">
        <v>180</v>
      </c>
      <c r="DF1024">
        <v>19</v>
      </c>
      <c r="DG1024" t="s">
        <v>691</v>
      </c>
      <c r="DH1024">
        <v>22612</v>
      </c>
      <c r="DI1024">
        <v>0.1845</v>
      </c>
      <c r="DQ1024">
        <v>56</v>
      </c>
    </row>
    <row r="1025" spans="95:121" x14ac:dyDescent="0.25">
      <c r="CQ1025" t="s">
        <v>636</v>
      </c>
      <c r="CR1025" t="s">
        <v>125</v>
      </c>
      <c r="CS1025" t="s">
        <v>109</v>
      </c>
      <c r="CT1025">
        <v>46062</v>
      </c>
      <c r="CU1025">
        <v>1</v>
      </c>
      <c r="CV1025">
        <v>1</v>
      </c>
      <c r="CX1025">
        <v>1</v>
      </c>
      <c r="CZ1025">
        <v>1.8518518518518518E-4</v>
      </c>
      <c r="DA1025">
        <v>1.8518518518518518E-4</v>
      </c>
      <c r="DB1025">
        <v>2.8807870370370369E-2</v>
      </c>
      <c r="DC1025">
        <v>0</v>
      </c>
      <c r="DD1025">
        <v>114</v>
      </c>
      <c r="DE1025">
        <v>202</v>
      </c>
      <c r="DF1025">
        <v>14</v>
      </c>
      <c r="DG1025" t="s">
        <v>850</v>
      </c>
      <c r="DH1025">
        <v>24219</v>
      </c>
      <c r="DI1025">
        <v>0.12280000000000001</v>
      </c>
      <c r="DQ1025">
        <v>56</v>
      </c>
    </row>
    <row r="1026" spans="95:121" x14ac:dyDescent="0.25">
      <c r="CQ1026" t="s">
        <v>636</v>
      </c>
      <c r="CR1026" t="s">
        <v>125</v>
      </c>
      <c r="CS1026" t="s">
        <v>60</v>
      </c>
      <c r="CT1026">
        <v>46066</v>
      </c>
      <c r="CU1026">
        <v>1</v>
      </c>
      <c r="CV1026">
        <v>1</v>
      </c>
      <c r="CX1026">
        <v>1</v>
      </c>
      <c r="CZ1026">
        <v>2.3148148148148147E-5</v>
      </c>
      <c r="DA1026">
        <v>2.3148148148148147E-5</v>
      </c>
      <c r="DB1026">
        <v>0.17032407407407407</v>
      </c>
      <c r="DC1026">
        <v>6.7337962962962961E-2</v>
      </c>
      <c r="DD1026">
        <v>111</v>
      </c>
      <c r="DE1026">
        <v>149</v>
      </c>
      <c r="DF1026">
        <v>8</v>
      </c>
      <c r="DG1026">
        <v>2.625</v>
      </c>
      <c r="DH1026">
        <v>22929</v>
      </c>
      <c r="DI1026">
        <v>7.2099999999999997E-2</v>
      </c>
      <c r="DQ1026">
        <v>56</v>
      </c>
    </row>
    <row r="1027" spans="95:121" x14ac:dyDescent="0.25">
      <c r="CQ1027" t="s">
        <v>636</v>
      </c>
      <c r="CR1027" t="s">
        <v>125</v>
      </c>
      <c r="CS1027" t="s">
        <v>85</v>
      </c>
      <c r="CT1027">
        <v>46066</v>
      </c>
      <c r="CU1027">
        <v>1</v>
      </c>
      <c r="CV1027">
        <v>1</v>
      </c>
      <c r="CX1027">
        <v>1</v>
      </c>
      <c r="CZ1027">
        <v>0</v>
      </c>
      <c r="DA1027">
        <v>0</v>
      </c>
      <c r="DB1027">
        <v>0.15418981481481481</v>
      </c>
      <c r="DC1027">
        <v>0.13039351851851852</v>
      </c>
      <c r="DD1027">
        <v>114</v>
      </c>
      <c r="DE1027">
        <v>246</v>
      </c>
      <c r="DF1027">
        <v>14</v>
      </c>
      <c r="DG1027" t="s">
        <v>730</v>
      </c>
      <c r="DH1027">
        <v>39883</v>
      </c>
      <c r="DI1027">
        <v>0.12280000000000001</v>
      </c>
      <c r="DQ1027">
        <v>56</v>
      </c>
    </row>
    <row r="1028" spans="95:121" x14ac:dyDescent="0.25">
      <c r="CQ1028" t="s">
        <v>636</v>
      </c>
      <c r="CR1028" t="s">
        <v>125</v>
      </c>
      <c r="CS1028" t="s">
        <v>61</v>
      </c>
      <c r="CT1028">
        <v>46058</v>
      </c>
      <c r="CU1028">
        <v>1</v>
      </c>
      <c r="CV1028">
        <v>1</v>
      </c>
      <c r="CW1028">
        <v>1</v>
      </c>
      <c r="CZ1028">
        <v>1.1168981481481481E-2</v>
      </c>
      <c r="DA1028">
        <v>1.1168981481481481E-2</v>
      </c>
      <c r="DB1028">
        <v>1.3032407407407407E-2</v>
      </c>
      <c r="DC1028">
        <v>1.8159722222222223E-2</v>
      </c>
      <c r="DD1028">
        <v>108</v>
      </c>
      <c r="DE1028">
        <v>267</v>
      </c>
      <c r="DF1028">
        <v>13</v>
      </c>
      <c r="DG1028" t="s">
        <v>727</v>
      </c>
      <c r="DH1028">
        <v>61849</v>
      </c>
      <c r="DI1028">
        <v>0.12039999999999999</v>
      </c>
      <c r="DQ1028">
        <v>56</v>
      </c>
    </row>
    <row r="1029" spans="95:121" x14ac:dyDescent="0.25">
      <c r="CQ1029" t="s">
        <v>636</v>
      </c>
      <c r="CR1029" t="s">
        <v>125</v>
      </c>
      <c r="CS1029" t="s">
        <v>72</v>
      </c>
      <c r="CT1029">
        <v>46058</v>
      </c>
      <c r="CU1029">
        <v>1</v>
      </c>
      <c r="CV1029">
        <v>1</v>
      </c>
      <c r="CZ1029">
        <v>0</v>
      </c>
      <c r="DA1029">
        <v>0</v>
      </c>
      <c r="DB1029">
        <v>0</v>
      </c>
      <c r="DC1029">
        <v>0</v>
      </c>
      <c r="DQ1029">
        <v>56</v>
      </c>
    </row>
    <row r="1030" spans="95:121" x14ac:dyDescent="0.25">
      <c r="CQ1030" t="s">
        <v>636</v>
      </c>
      <c r="CR1030" t="s">
        <v>125</v>
      </c>
      <c r="CS1030" t="s">
        <v>72</v>
      </c>
      <c r="CT1030">
        <v>46071</v>
      </c>
      <c r="CU1030">
        <v>1</v>
      </c>
      <c r="CV1030">
        <v>1</v>
      </c>
      <c r="CZ1030">
        <v>0</v>
      </c>
      <c r="DA1030">
        <v>0</v>
      </c>
      <c r="DB1030">
        <v>0</v>
      </c>
      <c r="DC1030">
        <v>0</v>
      </c>
      <c r="DQ1030">
        <v>56</v>
      </c>
    </row>
    <row r="1031" spans="95:121" x14ac:dyDescent="0.25">
      <c r="CQ1031" t="s">
        <v>636</v>
      </c>
      <c r="CR1031" t="s">
        <v>125</v>
      </c>
      <c r="CS1031" t="s">
        <v>72</v>
      </c>
      <c r="CT1031">
        <v>46072</v>
      </c>
      <c r="CU1031">
        <v>1</v>
      </c>
      <c r="CV1031">
        <v>1</v>
      </c>
      <c r="CZ1031">
        <v>0</v>
      </c>
      <c r="DA1031">
        <v>0</v>
      </c>
      <c r="DB1031">
        <v>0</v>
      </c>
      <c r="DC1031">
        <v>0</v>
      </c>
      <c r="DQ1031">
        <v>56</v>
      </c>
    </row>
    <row r="1032" spans="95:121" x14ac:dyDescent="0.25">
      <c r="CQ1032" t="s">
        <v>636</v>
      </c>
      <c r="CR1032" t="s">
        <v>125</v>
      </c>
      <c r="CS1032" t="s">
        <v>72</v>
      </c>
      <c r="CT1032">
        <v>46073</v>
      </c>
      <c r="CU1032">
        <v>1</v>
      </c>
      <c r="CV1032">
        <v>1</v>
      </c>
      <c r="CZ1032">
        <v>0</v>
      </c>
      <c r="DA1032">
        <v>0</v>
      </c>
      <c r="DB1032">
        <v>0</v>
      </c>
      <c r="DC1032">
        <v>0</v>
      </c>
      <c r="DQ1032">
        <v>56</v>
      </c>
    </row>
    <row r="1033" spans="95:121" x14ac:dyDescent="0.25">
      <c r="CQ1033" t="s">
        <v>636</v>
      </c>
      <c r="CR1033" t="s">
        <v>125</v>
      </c>
      <c r="CS1033" t="s">
        <v>72</v>
      </c>
      <c r="CT1033">
        <v>46077</v>
      </c>
      <c r="CU1033">
        <v>1</v>
      </c>
      <c r="CV1033">
        <v>1</v>
      </c>
      <c r="CZ1033">
        <v>0</v>
      </c>
      <c r="DA1033">
        <v>0</v>
      </c>
      <c r="DB1033">
        <v>0</v>
      </c>
      <c r="DC1033">
        <v>0</v>
      </c>
      <c r="DQ1033">
        <v>56</v>
      </c>
    </row>
    <row r="1034" spans="95:121" x14ac:dyDescent="0.25">
      <c r="CQ1034" t="s">
        <v>636</v>
      </c>
      <c r="CR1034" t="s">
        <v>125</v>
      </c>
      <c r="CS1034" t="s">
        <v>72</v>
      </c>
      <c r="CT1034">
        <v>46079</v>
      </c>
      <c r="CU1034">
        <v>1</v>
      </c>
      <c r="CV1034">
        <v>1</v>
      </c>
      <c r="CZ1034">
        <v>1.1574074074074075E-4</v>
      </c>
      <c r="DA1034">
        <v>1.1574074074074075E-4</v>
      </c>
      <c r="DB1034">
        <v>0.1666087962962963</v>
      </c>
      <c r="DC1034">
        <v>0.17686342592592594</v>
      </c>
      <c r="DQ1034">
        <v>56</v>
      </c>
    </row>
    <row r="1035" spans="95:121" x14ac:dyDescent="0.25">
      <c r="CQ1035" t="s">
        <v>636</v>
      </c>
      <c r="CR1035" t="s">
        <v>125</v>
      </c>
      <c r="CS1035" t="s">
        <v>72</v>
      </c>
      <c r="CT1035">
        <v>46080</v>
      </c>
      <c r="CU1035">
        <v>1</v>
      </c>
      <c r="CV1035">
        <v>1</v>
      </c>
      <c r="CZ1035">
        <v>4.6296296296296294E-5</v>
      </c>
      <c r="DA1035">
        <v>4.6296296296296294E-5</v>
      </c>
      <c r="DB1035">
        <v>0.20226851851851851</v>
      </c>
      <c r="DC1035">
        <v>0.19089120370370372</v>
      </c>
      <c r="DQ1035">
        <v>56</v>
      </c>
    </row>
    <row r="1036" spans="95:121" x14ac:dyDescent="0.25">
      <c r="CQ1036" t="s">
        <v>636</v>
      </c>
      <c r="CR1036" t="s">
        <v>125</v>
      </c>
      <c r="CS1036" t="s">
        <v>122</v>
      </c>
      <c r="CT1036">
        <v>46066</v>
      </c>
      <c r="CU1036">
        <v>1</v>
      </c>
      <c r="CV1036">
        <v>1</v>
      </c>
      <c r="CX1036">
        <v>1</v>
      </c>
      <c r="CZ1036">
        <v>0</v>
      </c>
      <c r="DA1036">
        <v>0</v>
      </c>
      <c r="DB1036">
        <v>0.23593749999999999</v>
      </c>
      <c r="DC1036">
        <v>0.17541666666666667</v>
      </c>
      <c r="DD1036">
        <v>51</v>
      </c>
      <c r="DE1036">
        <v>164</v>
      </c>
      <c r="DF1036">
        <v>11</v>
      </c>
      <c r="DG1036" t="s">
        <v>847</v>
      </c>
      <c r="DH1036">
        <v>64257</v>
      </c>
      <c r="DI1036">
        <v>0.2157</v>
      </c>
      <c r="DQ1036">
        <v>56</v>
      </c>
    </row>
    <row r="1037" spans="95:121" x14ac:dyDescent="0.25">
      <c r="CQ1037" t="s">
        <v>636</v>
      </c>
      <c r="CR1037" t="s">
        <v>125</v>
      </c>
      <c r="CS1037" t="s">
        <v>122</v>
      </c>
      <c r="CT1037">
        <v>46073</v>
      </c>
      <c r="CU1037">
        <v>1</v>
      </c>
      <c r="CV1037">
        <v>1</v>
      </c>
      <c r="CW1037">
        <v>1</v>
      </c>
      <c r="CZ1037">
        <v>4.7453703703703703E-3</v>
      </c>
      <c r="DA1037">
        <v>4.7453703703703703E-3</v>
      </c>
      <c r="DB1037">
        <v>0.17600694444444445</v>
      </c>
      <c r="DC1037">
        <v>0.14574074074074075</v>
      </c>
      <c r="DD1037">
        <v>64</v>
      </c>
      <c r="DE1037">
        <v>183</v>
      </c>
      <c r="DF1037">
        <v>10</v>
      </c>
      <c r="DG1037">
        <v>1.1000000000000001</v>
      </c>
      <c r="DH1037">
        <v>40267</v>
      </c>
      <c r="DI1037">
        <v>0.15629999999999999</v>
      </c>
      <c r="DQ1037">
        <v>56</v>
      </c>
    </row>
    <row r="1038" spans="95:121" x14ac:dyDescent="0.25">
      <c r="CQ1038" t="s">
        <v>636</v>
      </c>
      <c r="CR1038" t="s">
        <v>125</v>
      </c>
      <c r="CS1038" t="s">
        <v>75</v>
      </c>
      <c r="CT1038">
        <v>46062</v>
      </c>
      <c r="CU1038">
        <v>1</v>
      </c>
      <c r="CV1038">
        <v>1</v>
      </c>
      <c r="CX1038">
        <v>1</v>
      </c>
      <c r="CZ1038">
        <v>2.8935185185185184E-4</v>
      </c>
      <c r="DA1038">
        <v>2.8935185185185184E-4</v>
      </c>
      <c r="DB1038">
        <v>5.3495370370370374E-2</v>
      </c>
      <c r="DC1038">
        <v>1.4236111111111112E-3</v>
      </c>
      <c r="DD1038">
        <v>67</v>
      </c>
      <c r="DE1038">
        <v>210</v>
      </c>
      <c r="DF1038">
        <v>9</v>
      </c>
      <c r="DG1038" t="s">
        <v>726</v>
      </c>
      <c r="DH1038">
        <v>21217</v>
      </c>
      <c r="DI1038">
        <v>0.1343</v>
      </c>
      <c r="DQ1038">
        <v>56</v>
      </c>
    </row>
    <row r="1039" spans="95:121" x14ac:dyDescent="0.25">
      <c r="CQ1039" t="s">
        <v>636</v>
      </c>
      <c r="CR1039" t="s">
        <v>125</v>
      </c>
      <c r="CS1039" t="s">
        <v>206</v>
      </c>
      <c r="CT1039">
        <v>46062</v>
      </c>
      <c r="CU1039">
        <v>1</v>
      </c>
      <c r="CV1039">
        <v>1</v>
      </c>
      <c r="CX1039">
        <v>1</v>
      </c>
      <c r="CZ1039">
        <v>1.1574074074074073E-5</v>
      </c>
      <c r="DA1039">
        <v>1.1574074074074073E-5</v>
      </c>
      <c r="DB1039">
        <v>7.3148148148148148E-3</v>
      </c>
      <c r="DC1039">
        <v>1.6087962962962963E-3</v>
      </c>
      <c r="DD1039">
        <v>157</v>
      </c>
      <c r="DE1039">
        <v>286</v>
      </c>
      <c r="DF1039">
        <v>18</v>
      </c>
      <c r="DG1039" t="s">
        <v>767</v>
      </c>
      <c r="DH1039">
        <v>45183</v>
      </c>
      <c r="DI1039">
        <v>0.11459999999999999</v>
      </c>
      <c r="DQ1039">
        <v>56</v>
      </c>
    </row>
    <row r="1040" spans="95:121" x14ac:dyDescent="0.25">
      <c r="CQ1040" t="s">
        <v>636</v>
      </c>
      <c r="CR1040" t="s">
        <v>125</v>
      </c>
      <c r="CS1040" t="s">
        <v>10</v>
      </c>
      <c r="CT1040">
        <v>46062</v>
      </c>
      <c r="CU1040">
        <v>1</v>
      </c>
      <c r="CV1040">
        <v>1</v>
      </c>
      <c r="CX1040">
        <v>1</v>
      </c>
      <c r="CZ1040">
        <v>5.7870370370370373E-5</v>
      </c>
      <c r="DA1040">
        <v>5.7870370370370373E-5</v>
      </c>
      <c r="DB1040">
        <v>6.5740740740740742E-3</v>
      </c>
      <c r="DC1040">
        <v>1.3043981481481481E-2</v>
      </c>
      <c r="DD1040">
        <v>118</v>
      </c>
      <c r="DE1040">
        <v>237</v>
      </c>
      <c r="DF1040">
        <v>15</v>
      </c>
      <c r="DG1040">
        <v>1.2</v>
      </c>
      <c r="DH1040">
        <v>44245</v>
      </c>
      <c r="DI1040">
        <v>0.12709999999999999</v>
      </c>
      <c r="DQ1040">
        <v>56</v>
      </c>
    </row>
    <row r="1041" spans="95:122" x14ac:dyDescent="0.25">
      <c r="CQ1041" t="s">
        <v>636</v>
      </c>
      <c r="CR1041" t="s">
        <v>125</v>
      </c>
      <c r="CS1041" t="s">
        <v>10</v>
      </c>
      <c r="CT1041">
        <v>46066</v>
      </c>
      <c r="CU1041">
        <v>1</v>
      </c>
      <c r="CV1041">
        <v>1</v>
      </c>
      <c r="CX1041">
        <v>1</v>
      </c>
      <c r="CZ1041">
        <v>9.2592592592592588E-5</v>
      </c>
      <c r="DA1041">
        <v>9.2592592592592588E-5</v>
      </c>
      <c r="DB1041">
        <v>0.12238425925925926</v>
      </c>
      <c r="DC1041">
        <v>9.6203703703703708E-2</v>
      </c>
      <c r="DD1041">
        <v>164</v>
      </c>
      <c r="DE1041">
        <v>261</v>
      </c>
      <c r="DF1041">
        <v>27</v>
      </c>
      <c r="DG1041" t="s">
        <v>674</v>
      </c>
      <c r="DH1041">
        <v>41163</v>
      </c>
      <c r="DI1041">
        <v>0.1646</v>
      </c>
      <c r="DQ1041">
        <v>56</v>
      </c>
    </row>
    <row r="1042" spans="95:122" x14ac:dyDescent="0.25">
      <c r="CQ1042" t="s">
        <v>636</v>
      </c>
      <c r="CR1042" t="s">
        <v>2</v>
      </c>
      <c r="CS1042" t="s">
        <v>15</v>
      </c>
      <c r="CT1042">
        <v>46062</v>
      </c>
      <c r="CU1042">
        <v>1</v>
      </c>
      <c r="CV1042">
        <v>1</v>
      </c>
      <c r="CX1042">
        <v>1</v>
      </c>
      <c r="CZ1042">
        <v>2.3148148148148147E-5</v>
      </c>
      <c r="DA1042">
        <v>2.3148148148148147E-5</v>
      </c>
      <c r="DB1042">
        <v>3.9525462962962964E-2</v>
      </c>
      <c r="DC1042">
        <v>1.3217592592592593E-2</v>
      </c>
      <c r="DD1042">
        <v>72</v>
      </c>
      <c r="DE1042">
        <v>84</v>
      </c>
      <c r="DF1042">
        <v>7</v>
      </c>
      <c r="DG1042" t="s">
        <v>745</v>
      </c>
      <c r="DH1042">
        <v>20193</v>
      </c>
      <c r="DI1042">
        <v>9.7199999999999995E-2</v>
      </c>
      <c r="DQ1042">
        <v>56</v>
      </c>
    </row>
    <row r="1043" spans="95:122" x14ac:dyDescent="0.25">
      <c r="CQ1043" t="s">
        <v>636</v>
      </c>
      <c r="CR1043" t="s">
        <v>2</v>
      </c>
      <c r="CS1043" t="s">
        <v>42</v>
      </c>
      <c r="CT1043">
        <v>46056</v>
      </c>
      <c r="CU1043">
        <v>1</v>
      </c>
      <c r="CV1043">
        <v>1</v>
      </c>
      <c r="CX1043">
        <v>1</v>
      </c>
      <c r="CZ1043">
        <v>9.837962962962962E-4</v>
      </c>
      <c r="DA1043">
        <v>9.837962962962962E-4</v>
      </c>
      <c r="DB1043">
        <v>2.074074074074074E-2</v>
      </c>
      <c r="DC1043">
        <v>1.7696759259259259E-2</v>
      </c>
      <c r="DD1043">
        <v>118</v>
      </c>
      <c r="DE1043">
        <v>214</v>
      </c>
      <c r="DF1043">
        <v>36</v>
      </c>
      <c r="DG1043" t="s">
        <v>703</v>
      </c>
      <c r="DH1043">
        <v>13382</v>
      </c>
      <c r="DI1043">
        <v>0.30509999999999998</v>
      </c>
      <c r="DQ1043">
        <v>56</v>
      </c>
    </row>
    <row r="1044" spans="95:122" x14ac:dyDescent="0.25">
      <c r="CQ1044" t="s">
        <v>636</v>
      </c>
      <c r="CR1044" t="s">
        <v>2</v>
      </c>
      <c r="CS1044" t="s">
        <v>68</v>
      </c>
      <c r="CT1044">
        <v>46058</v>
      </c>
      <c r="CU1044">
        <v>1</v>
      </c>
      <c r="CV1044">
        <v>1</v>
      </c>
      <c r="CZ1044">
        <v>0</v>
      </c>
      <c r="DA1044">
        <v>0</v>
      </c>
      <c r="DB1044">
        <v>0</v>
      </c>
      <c r="DC1044">
        <v>0</v>
      </c>
      <c r="DQ1044">
        <v>56</v>
      </c>
    </row>
    <row r="1045" spans="95:122" x14ac:dyDescent="0.25">
      <c r="CQ1045" t="s">
        <v>636</v>
      </c>
      <c r="CR1045" t="s">
        <v>2</v>
      </c>
      <c r="CS1045" t="s">
        <v>29</v>
      </c>
      <c r="CT1045">
        <v>46056</v>
      </c>
      <c r="CU1045">
        <v>1</v>
      </c>
      <c r="CV1045">
        <v>1</v>
      </c>
      <c r="CX1045">
        <v>1</v>
      </c>
      <c r="CZ1045">
        <v>1.5625000000000001E-3</v>
      </c>
      <c r="DA1045">
        <v>1.5625000000000001E-3</v>
      </c>
      <c r="DB1045">
        <v>3.5567129629629629E-2</v>
      </c>
      <c r="DC1045">
        <v>3.9814814814814817E-2</v>
      </c>
      <c r="DD1045">
        <v>79</v>
      </c>
      <c r="DE1045">
        <v>132</v>
      </c>
      <c r="DF1045">
        <v>30</v>
      </c>
      <c r="DG1045" t="s">
        <v>739</v>
      </c>
      <c r="DH1045">
        <v>19520</v>
      </c>
      <c r="DI1045">
        <v>0.37969999999999998</v>
      </c>
      <c r="DQ1045">
        <v>56</v>
      </c>
    </row>
    <row r="1046" spans="95:122" x14ac:dyDescent="0.25">
      <c r="CQ1046" t="s">
        <v>636</v>
      </c>
      <c r="CR1046" t="s">
        <v>2</v>
      </c>
      <c r="CS1046" t="s">
        <v>25</v>
      </c>
      <c r="CT1046">
        <v>46055</v>
      </c>
      <c r="CU1046">
        <v>1</v>
      </c>
      <c r="CV1046">
        <v>1</v>
      </c>
      <c r="CW1046">
        <v>1</v>
      </c>
      <c r="CZ1046">
        <v>4.2939814814814811E-3</v>
      </c>
      <c r="DA1046">
        <v>4.2939814814814811E-3</v>
      </c>
      <c r="DB1046">
        <v>1.9004629629629628E-2</v>
      </c>
      <c r="DC1046">
        <v>1.6944444444444446E-2</v>
      </c>
      <c r="DD1046">
        <v>58</v>
      </c>
      <c r="DE1046">
        <v>130</v>
      </c>
      <c r="DF1046">
        <v>29</v>
      </c>
      <c r="DG1046" t="s">
        <v>981</v>
      </c>
      <c r="DH1046">
        <v>23990</v>
      </c>
      <c r="DI1046">
        <v>0.5</v>
      </c>
      <c r="DJ1046">
        <v>1</v>
      </c>
      <c r="DK1046">
        <v>3.4500000000000003E-2</v>
      </c>
      <c r="DL1046">
        <v>1650</v>
      </c>
      <c r="DM1046">
        <v>1650</v>
      </c>
      <c r="DN1046">
        <v>1650</v>
      </c>
      <c r="DO1046">
        <v>1</v>
      </c>
      <c r="DQ1046">
        <v>56</v>
      </c>
      <c r="DR1046">
        <v>1650</v>
      </c>
    </row>
    <row r="1047" spans="95:122" x14ac:dyDescent="0.25">
      <c r="CQ1047" t="s">
        <v>636</v>
      </c>
      <c r="CR1047" t="s">
        <v>2</v>
      </c>
      <c r="CS1047" t="s">
        <v>25</v>
      </c>
      <c r="CT1047">
        <v>46058</v>
      </c>
      <c r="CU1047">
        <v>1</v>
      </c>
      <c r="CV1047">
        <v>1</v>
      </c>
      <c r="CW1047">
        <v>1</v>
      </c>
      <c r="CZ1047">
        <v>2.6064814814814815E-2</v>
      </c>
      <c r="DA1047">
        <v>2.6064814814814815E-2</v>
      </c>
      <c r="DB1047">
        <v>0.11583333333333333</v>
      </c>
      <c r="DC1047">
        <v>1.9155092592592592E-2</v>
      </c>
      <c r="DD1047">
        <v>72</v>
      </c>
      <c r="DE1047">
        <v>135</v>
      </c>
      <c r="DF1047">
        <v>17</v>
      </c>
      <c r="DG1047" t="s">
        <v>891</v>
      </c>
      <c r="DH1047">
        <v>32125</v>
      </c>
      <c r="DI1047">
        <v>0.2361</v>
      </c>
      <c r="DQ1047">
        <v>56</v>
      </c>
    </row>
    <row r="1048" spans="95:122" x14ac:dyDescent="0.25">
      <c r="CQ1048" t="s">
        <v>636</v>
      </c>
      <c r="CR1048" t="s">
        <v>2</v>
      </c>
      <c r="CS1048" t="s">
        <v>38</v>
      </c>
      <c r="CT1048">
        <v>46059</v>
      </c>
      <c r="CU1048">
        <v>1</v>
      </c>
      <c r="CV1048">
        <v>1</v>
      </c>
      <c r="CX1048">
        <v>1</v>
      </c>
      <c r="CZ1048">
        <v>6.7129629629629625E-4</v>
      </c>
      <c r="DA1048">
        <v>6.7129629629629625E-4</v>
      </c>
      <c r="DB1048">
        <v>1.7141203703703704E-2</v>
      </c>
      <c r="DC1048">
        <v>4.4606481481481483E-2</v>
      </c>
      <c r="DD1048">
        <v>101</v>
      </c>
      <c r="DE1048">
        <v>137</v>
      </c>
      <c r="DF1048">
        <v>26</v>
      </c>
      <c r="DG1048" t="s">
        <v>743</v>
      </c>
      <c r="DH1048">
        <v>25573</v>
      </c>
      <c r="DI1048">
        <v>0.25740000000000002</v>
      </c>
      <c r="DJ1048">
        <v>2</v>
      </c>
      <c r="DK1048">
        <v>7.6899999999999996E-2</v>
      </c>
      <c r="DL1048">
        <v>505</v>
      </c>
      <c r="DM1048">
        <v>253</v>
      </c>
      <c r="DQ1048">
        <v>56</v>
      </c>
    </row>
    <row r="1049" spans="95:122" x14ac:dyDescent="0.25">
      <c r="CQ1049" t="s">
        <v>636</v>
      </c>
      <c r="CR1049" t="s">
        <v>2</v>
      </c>
      <c r="CS1049" t="s">
        <v>79</v>
      </c>
      <c r="CT1049">
        <v>46062</v>
      </c>
      <c r="CU1049">
        <v>1</v>
      </c>
      <c r="CV1049">
        <v>1</v>
      </c>
      <c r="CX1049">
        <v>1</v>
      </c>
      <c r="CZ1049">
        <v>4.6296296296296294E-5</v>
      </c>
      <c r="DA1049">
        <v>4.6296296296296294E-5</v>
      </c>
      <c r="DB1049">
        <v>2.8668981481481483E-2</v>
      </c>
      <c r="DC1049">
        <v>3.4722222222222222E-5</v>
      </c>
      <c r="DD1049">
        <v>74</v>
      </c>
      <c r="DE1049">
        <v>135</v>
      </c>
      <c r="DF1049">
        <v>18</v>
      </c>
      <c r="DG1049" t="s">
        <v>783</v>
      </c>
      <c r="DH1049">
        <v>41247</v>
      </c>
      <c r="DI1049">
        <v>0.2432</v>
      </c>
      <c r="DQ1049">
        <v>56</v>
      </c>
    </row>
    <row r="1050" spans="95:122" x14ac:dyDescent="0.25">
      <c r="CQ1050" t="s">
        <v>636</v>
      </c>
      <c r="CR1050" t="s">
        <v>6</v>
      </c>
      <c r="CS1050" t="s">
        <v>80</v>
      </c>
      <c r="CT1050">
        <v>46063</v>
      </c>
      <c r="CU1050">
        <v>1</v>
      </c>
      <c r="CV1050">
        <v>1</v>
      </c>
      <c r="CX1050">
        <v>1</v>
      </c>
      <c r="CZ1050">
        <v>1.0416666666666667E-4</v>
      </c>
      <c r="DA1050">
        <v>1.0416666666666667E-4</v>
      </c>
      <c r="DB1050">
        <v>3.605324074074074E-2</v>
      </c>
      <c r="DC1050">
        <v>1.9467592592592592E-2</v>
      </c>
      <c r="DD1050">
        <v>109</v>
      </c>
      <c r="DE1050">
        <v>159</v>
      </c>
      <c r="DF1050">
        <v>24</v>
      </c>
      <c r="DG1050" t="s">
        <v>736</v>
      </c>
      <c r="DH1050">
        <v>13995</v>
      </c>
      <c r="DI1050">
        <v>0.22020000000000001</v>
      </c>
      <c r="DQ1050">
        <v>56</v>
      </c>
    </row>
    <row r="1051" spans="95:122" x14ac:dyDescent="0.25">
      <c r="CQ1051" t="s">
        <v>636</v>
      </c>
      <c r="CR1051" t="s">
        <v>6</v>
      </c>
      <c r="CS1051" t="s">
        <v>105</v>
      </c>
      <c r="CT1051">
        <v>46056</v>
      </c>
      <c r="CU1051">
        <v>1</v>
      </c>
      <c r="CV1051">
        <v>1</v>
      </c>
      <c r="CW1051">
        <v>1</v>
      </c>
      <c r="CZ1051">
        <v>5.9143518518518521E-3</v>
      </c>
      <c r="DA1051">
        <v>5.9143518518518521E-3</v>
      </c>
      <c r="DB1051">
        <v>3.2569444444444443E-2</v>
      </c>
      <c r="DC1051">
        <v>2.9930555555555554E-2</v>
      </c>
      <c r="DD1051">
        <v>92</v>
      </c>
      <c r="DE1051">
        <v>208</v>
      </c>
      <c r="DF1051">
        <v>22</v>
      </c>
      <c r="DG1051" t="s">
        <v>847</v>
      </c>
      <c r="DH1051">
        <v>20139</v>
      </c>
      <c r="DI1051">
        <v>0.23910000000000001</v>
      </c>
      <c r="DQ1051">
        <v>56</v>
      </c>
    </row>
    <row r="1052" spans="95:122" x14ac:dyDescent="0.25">
      <c r="CQ1052" t="s">
        <v>636</v>
      </c>
      <c r="CR1052" t="s">
        <v>6</v>
      </c>
      <c r="CS1052" t="s">
        <v>105</v>
      </c>
      <c r="CT1052">
        <v>46063</v>
      </c>
      <c r="CU1052">
        <v>1</v>
      </c>
      <c r="CV1052">
        <v>1</v>
      </c>
      <c r="CX1052">
        <v>1</v>
      </c>
      <c r="CZ1052">
        <v>4.6296296296296294E-5</v>
      </c>
      <c r="DA1052">
        <v>4.6296296296296294E-5</v>
      </c>
      <c r="DB1052">
        <v>3.5104166666666665E-2</v>
      </c>
      <c r="DC1052">
        <v>2.6261574074074073E-2</v>
      </c>
      <c r="DD1052">
        <v>112</v>
      </c>
      <c r="DE1052">
        <v>223</v>
      </c>
      <c r="DF1052">
        <v>34</v>
      </c>
      <c r="DG1052" t="s">
        <v>1130</v>
      </c>
      <c r="DH1052">
        <v>25562</v>
      </c>
      <c r="DI1052">
        <v>0.30359999999999998</v>
      </c>
      <c r="DQ1052">
        <v>56</v>
      </c>
    </row>
    <row r="1053" spans="95:122" x14ac:dyDescent="0.25">
      <c r="CQ1053" t="s">
        <v>636</v>
      </c>
      <c r="CR1053" t="s">
        <v>6</v>
      </c>
      <c r="CS1053" t="s">
        <v>26</v>
      </c>
      <c r="CT1053">
        <v>46063</v>
      </c>
      <c r="CU1053">
        <v>1</v>
      </c>
      <c r="CV1053">
        <v>1</v>
      </c>
      <c r="CX1053">
        <v>1</v>
      </c>
      <c r="CZ1053">
        <v>6.9444444444444444E-5</v>
      </c>
      <c r="DA1053">
        <v>6.9444444444444444E-5</v>
      </c>
      <c r="DB1053">
        <v>2.2604166666666668E-2</v>
      </c>
      <c r="DC1053">
        <v>2.6284722222222223E-2</v>
      </c>
      <c r="DD1053">
        <v>188</v>
      </c>
      <c r="DE1053">
        <v>303</v>
      </c>
      <c r="DF1053">
        <v>26</v>
      </c>
      <c r="DG1053" t="s">
        <v>708</v>
      </c>
      <c r="DH1053">
        <v>10699</v>
      </c>
      <c r="DI1053">
        <v>0.13830000000000001</v>
      </c>
      <c r="DQ1053">
        <v>56</v>
      </c>
    </row>
    <row r="1054" spans="95:122" x14ac:dyDescent="0.25">
      <c r="CQ1054" t="s">
        <v>636</v>
      </c>
      <c r="CR1054" t="s">
        <v>6</v>
      </c>
      <c r="CS1054" t="s">
        <v>11</v>
      </c>
      <c r="CT1054">
        <v>46056</v>
      </c>
      <c r="CU1054">
        <v>1</v>
      </c>
      <c r="CV1054">
        <v>1</v>
      </c>
      <c r="CZ1054">
        <v>0</v>
      </c>
      <c r="DA1054">
        <v>0</v>
      </c>
      <c r="DB1054">
        <v>0</v>
      </c>
      <c r="DC1054">
        <v>0</v>
      </c>
      <c r="DQ1054">
        <v>56</v>
      </c>
    </row>
    <row r="1055" spans="95:122" x14ac:dyDescent="0.25">
      <c r="CQ1055" t="s">
        <v>636</v>
      </c>
      <c r="CR1055" t="s">
        <v>6</v>
      </c>
      <c r="CS1055" t="s">
        <v>11</v>
      </c>
      <c r="CT1055">
        <v>46065</v>
      </c>
      <c r="CU1055">
        <v>1</v>
      </c>
      <c r="CV1055">
        <v>1</v>
      </c>
      <c r="CZ1055">
        <v>0</v>
      </c>
      <c r="DA1055">
        <v>0</v>
      </c>
      <c r="DB1055">
        <v>0</v>
      </c>
      <c r="DC1055">
        <v>0</v>
      </c>
      <c r="DQ1055">
        <v>56</v>
      </c>
    </row>
    <row r="1056" spans="95:122" x14ac:dyDescent="0.25">
      <c r="CQ1056" t="s">
        <v>636</v>
      </c>
      <c r="CR1056" t="s">
        <v>6</v>
      </c>
      <c r="CS1056" t="s">
        <v>11</v>
      </c>
      <c r="CT1056">
        <v>46070</v>
      </c>
      <c r="CU1056">
        <v>1</v>
      </c>
      <c r="CV1056">
        <v>1</v>
      </c>
      <c r="CZ1056">
        <v>0</v>
      </c>
      <c r="DA1056">
        <v>0</v>
      </c>
      <c r="DB1056">
        <v>0</v>
      </c>
      <c r="DC1056">
        <v>0</v>
      </c>
      <c r="DQ1056">
        <v>56</v>
      </c>
    </row>
    <row r="1057" spans="95:122" x14ac:dyDescent="0.25">
      <c r="CQ1057" t="s">
        <v>636</v>
      </c>
      <c r="CR1057" t="s">
        <v>6</v>
      </c>
      <c r="CS1057" t="s">
        <v>11</v>
      </c>
      <c r="CT1057">
        <v>46077</v>
      </c>
      <c r="CU1057">
        <v>1</v>
      </c>
      <c r="CV1057">
        <v>1</v>
      </c>
      <c r="CZ1057">
        <v>0</v>
      </c>
      <c r="DA1057">
        <v>0</v>
      </c>
      <c r="DB1057">
        <v>0</v>
      </c>
      <c r="DC1057">
        <v>0</v>
      </c>
      <c r="DQ1057">
        <v>56</v>
      </c>
    </row>
    <row r="1058" spans="95:122" x14ac:dyDescent="0.25">
      <c r="CQ1058" t="s">
        <v>636</v>
      </c>
      <c r="CR1058" t="s">
        <v>6</v>
      </c>
      <c r="CS1058" t="s">
        <v>11</v>
      </c>
      <c r="CT1058">
        <v>46080</v>
      </c>
      <c r="CU1058">
        <v>1</v>
      </c>
      <c r="CV1058">
        <v>1</v>
      </c>
      <c r="CZ1058">
        <v>9.2592592592592588E-5</v>
      </c>
      <c r="DA1058">
        <v>9.2592592592592588E-5</v>
      </c>
      <c r="DB1058">
        <v>0.31479166666666669</v>
      </c>
      <c r="DC1058">
        <v>5.3055555555555557E-2</v>
      </c>
      <c r="DQ1058">
        <v>56</v>
      </c>
    </row>
    <row r="1059" spans="95:122" x14ac:dyDescent="0.25">
      <c r="CQ1059" t="s">
        <v>636</v>
      </c>
      <c r="CR1059" t="s">
        <v>3</v>
      </c>
      <c r="CS1059" t="s">
        <v>377</v>
      </c>
      <c r="CT1059">
        <v>46064</v>
      </c>
      <c r="CU1059">
        <v>1</v>
      </c>
      <c r="CV1059">
        <v>1</v>
      </c>
      <c r="CW1059">
        <v>1</v>
      </c>
      <c r="CZ1059">
        <v>2.2141203703703705E-2</v>
      </c>
      <c r="DA1059">
        <v>2.2141203703703705E-2</v>
      </c>
      <c r="DB1059">
        <v>8.1018518518518516E-5</v>
      </c>
      <c r="DC1059">
        <v>4.4560185185185189E-3</v>
      </c>
      <c r="DD1059">
        <v>94</v>
      </c>
      <c r="DE1059">
        <v>143</v>
      </c>
      <c r="DF1059">
        <v>23</v>
      </c>
      <c r="DG1059" t="s">
        <v>1108</v>
      </c>
      <c r="DH1059">
        <v>29928</v>
      </c>
      <c r="DI1059">
        <v>0.2447</v>
      </c>
      <c r="DQ1059">
        <v>56</v>
      </c>
    </row>
    <row r="1060" spans="95:122" x14ac:dyDescent="0.25">
      <c r="CQ1060" t="s">
        <v>636</v>
      </c>
      <c r="CR1060" t="s">
        <v>3</v>
      </c>
      <c r="CS1060" t="s">
        <v>377</v>
      </c>
      <c r="CT1060">
        <v>46071</v>
      </c>
      <c r="CU1060">
        <v>1</v>
      </c>
      <c r="CV1060">
        <v>1</v>
      </c>
      <c r="CX1060">
        <v>1</v>
      </c>
      <c r="CZ1060">
        <v>0</v>
      </c>
      <c r="DA1060">
        <v>0</v>
      </c>
      <c r="DB1060">
        <v>0.17819444444444443</v>
      </c>
      <c r="DC1060">
        <v>0.18994212962962964</v>
      </c>
      <c r="DD1060">
        <v>93</v>
      </c>
      <c r="DE1060">
        <v>166</v>
      </c>
      <c r="DF1060">
        <v>23</v>
      </c>
      <c r="DG1060" t="s">
        <v>1118</v>
      </c>
      <c r="DH1060">
        <v>43867</v>
      </c>
      <c r="DI1060">
        <v>0.24729999999999999</v>
      </c>
      <c r="DQ1060">
        <v>56</v>
      </c>
    </row>
    <row r="1061" spans="95:122" x14ac:dyDescent="0.25">
      <c r="CQ1061" t="s">
        <v>636</v>
      </c>
      <c r="CR1061" t="s">
        <v>3</v>
      </c>
      <c r="CS1061" t="s">
        <v>24</v>
      </c>
      <c r="CT1061">
        <v>46059</v>
      </c>
      <c r="CU1061">
        <v>1</v>
      </c>
      <c r="CV1061">
        <v>1</v>
      </c>
      <c r="CZ1061">
        <v>0</v>
      </c>
      <c r="DA1061">
        <v>0</v>
      </c>
      <c r="DB1061">
        <v>0</v>
      </c>
      <c r="DC1061">
        <v>0</v>
      </c>
      <c r="DQ1061">
        <v>56</v>
      </c>
    </row>
    <row r="1062" spans="95:122" x14ac:dyDescent="0.25">
      <c r="CQ1062" t="s">
        <v>636</v>
      </c>
      <c r="CR1062" t="s">
        <v>3</v>
      </c>
      <c r="CS1062" t="s">
        <v>24</v>
      </c>
      <c r="CT1062">
        <v>46064</v>
      </c>
      <c r="CU1062">
        <v>1</v>
      </c>
      <c r="CV1062">
        <v>1</v>
      </c>
      <c r="CZ1062">
        <v>0</v>
      </c>
      <c r="DA1062">
        <v>0</v>
      </c>
      <c r="DB1062">
        <v>0</v>
      </c>
      <c r="DC1062">
        <v>0</v>
      </c>
      <c r="DQ1062">
        <v>56</v>
      </c>
    </row>
    <row r="1063" spans="95:122" x14ac:dyDescent="0.25">
      <c r="CQ1063" t="s">
        <v>636</v>
      </c>
      <c r="CR1063" t="s">
        <v>3</v>
      </c>
      <c r="CS1063" t="s">
        <v>24</v>
      </c>
      <c r="CT1063">
        <v>46076</v>
      </c>
      <c r="CU1063">
        <v>1</v>
      </c>
      <c r="CV1063">
        <v>1</v>
      </c>
      <c r="CZ1063">
        <v>0</v>
      </c>
      <c r="DA1063">
        <v>0</v>
      </c>
      <c r="DB1063">
        <v>0</v>
      </c>
      <c r="DC1063">
        <v>0</v>
      </c>
      <c r="DQ1063">
        <v>56</v>
      </c>
    </row>
    <row r="1064" spans="95:122" x14ac:dyDescent="0.25">
      <c r="CQ1064" t="s">
        <v>636</v>
      </c>
      <c r="CR1064" t="s">
        <v>3</v>
      </c>
      <c r="CS1064" t="s">
        <v>24</v>
      </c>
      <c r="CT1064">
        <v>46080</v>
      </c>
      <c r="CU1064">
        <v>1</v>
      </c>
      <c r="CV1064">
        <v>1</v>
      </c>
      <c r="CZ1064">
        <v>2.5462962962962961E-4</v>
      </c>
      <c r="DA1064">
        <v>2.5462962962962961E-4</v>
      </c>
      <c r="DB1064">
        <v>0.24212962962962964</v>
      </c>
      <c r="DC1064">
        <v>0.13868055555555556</v>
      </c>
      <c r="DQ1064">
        <v>56</v>
      </c>
    </row>
    <row r="1065" spans="95:122" x14ac:dyDescent="0.25">
      <c r="CQ1065" t="s">
        <v>636</v>
      </c>
      <c r="CR1065" t="s">
        <v>3</v>
      </c>
      <c r="CS1065" t="s">
        <v>96</v>
      </c>
      <c r="CT1065">
        <v>46071</v>
      </c>
      <c r="CU1065">
        <v>1</v>
      </c>
      <c r="CV1065">
        <v>1</v>
      </c>
      <c r="CX1065">
        <v>1</v>
      </c>
      <c r="CZ1065">
        <v>0</v>
      </c>
      <c r="DA1065">
        <v>0</v>
      </c>
      <c r="DB1065">
        <v>0.19965277777777779</v>
      </c>
      <c r="DC1065">
        <v>0.1716550925925926</v>
      </c>
      <c r="DD1065">
        <v>61</v>
      </c>
      <c r="DE1065">
        <v>137</v>
      </c>
      <c r="DF1065">
        <v>5</v>
      </c>
      <c r="DG1065">
        <v>1.4</v>
      </c>
      <c r="DH1065">
        <v>16190</v>
      </c>
      <c r="DI1065">
        <v>8.2000000000000003E-2</v>
      </c>
      <c r="DQ1065">
        <v>56</v>
      </c>
    </row>
    <row r="1066" spans="95:122" x14ac:dyDescent="0.25">
      <c r="CQ1066" t="s">
        <v>636</v>
      </c>
      <c r="CR1066" t="s">
        <v>3</v>
      </c>
      <c r="CS1066" t="s">
        <v>17</v>
      </c>
      <c r="CT1066">
        <v>46071</v>
      </c>
      <c r="CU1066">
        <v>1</v>
      </c>
      <c r="CV1066">
        <v>1</v>
      </c>
      <c r="CX1066">
        <v>1</v>
      </c>
      <c r="CZ1066">
        <v>6.9444444444444444E-5</v>
      </c>
      <c r="DA1066">
        <v>6.9444444444444444E-5</v>
      </c>
      <c r="DB1066">
        <v>0.19407407407407407</v>
      </c>
      <c r="DC1066">
        <v>0.13662037037037036</v>
      </c>
      <c r="DD1066">
        <v>72</v>
      </c>
      <c r="DE1066">
        <v>151</v>
      </c>
      <c r="DF1066">
        <v>12</v>
      </c>
      <c r="DG1066">
        <v>1.75</v>
      </c>
      <c r="DH1066">
        <v>41450</v>
      </c>
      <c r="DI1066">
        <v>0.16669999999999999</v>
      </c>
      <c r="DQ1066">
        <v>56</v>
      </c>
    </row>
    <row r="1067" spans="95:122" x14ac:dyDescent="0.25">
      <c r="CQ1067" t="s">
        <v>636</v>
      </c>
      <c r="CR1067" t="s">
        <v>3</v>
      </c>
      <c r="CS1067" t="s">
        <v>207</v>
      </c>
      <c r="CT1067">
        <v>46055</v>
      </c>
      <c r="CU1067">
        <v>1</v>
      </c>
      <c r="CV1067">
        <v>1</v>
      </c>
      <c r="CX1067">
        <v>1</v>
      </c>
      <c r="CZ1067">
        <v>1.1574074074074073E-5</v>
      </c>
      <c r="DA1067">
        <v>1.1574074074074073E-5</v>
      </c>
      <c r="DB1067">
        <v>3.6631944444444446E-2</v>
      </c>
      <c r="DC1067">
        <v>1.3495370370370371E-2</v>
      </c>
      <c r="DD1067">
        <v>72</v>
      </c>
      <c r="DE1067">
        <v>137</v>
      </c>
      <c r="DF1067">
        <v>20</v>
      </c>
      <c r="DG1067">
        <v>1.55</v>
      </c>
      <c r="DH1067">
        <v>26127</v>
      </c>
      <c r="DI1067">
        <v>0.27779999999999999</v>
      </c>
      <c r="DJ1067">
        <v>1</v>
      </c>
      <c r="DK1067">
        <v>0.05</v>
      </c>
      <c r="DL1067">
        <v>22400</v>
      </c>
      <c r="DM1067">
        <v>22400</v>
      </c>
      <c r="DQ1067">
        <v>56</v>
      </c>
    </row>
    <row r="1068" spans="95:122" x14ac:dyDescent="0.25">
      <c r="CQ1068" t="s">
        <v>636</v>
      </c>
      <c r="CR1068" t="s">
        <v>124</v>
      </c>
      <c r="CS1068" t="s">
        <v>41</v>
      </c>
      <c r="CT1068">
        <v>46057</v>
      </c>
      <c r="CU1068">
        <v>1</v>
      </c>
      <c r="CV1068">
        <v>1</v>
      </c>
      <c r="CZ1068">
        <v>0</v>
      </c>
      <c r="DA1068">
        <v>0</v>
      </c>
      <c r="DB1068">
        <v>0</v>
      </c>
      <c r="DC1068">
        <v>0</v>
      </c>
      <c r="DQ1068">
        <v>54</v>
      </c>
    </row>
    <row r="1069" spans="95:122" x14ac:dyDescent="0.25">
      <c r="CQ1069" t="s">
        <v>636</v>
      </c>
      <c r="CR1069" t="s">
        <v>124</v>
      </c>
      <c r="CS1069" t="s">
        <v>497</v>
      </c>
      <c r="CT1069">
        <v>46055</v>
      </c>
      <c r="CU1069">
        <v>1</v>
      </c>
      <c r="CV1069">
        <v>1</v>
      </c>
      <c r="CX1069">
        <v>1</v>
      </c>
      <c r="CZ1069">
        <v>6.9444444444444444E-5</v>
      </c>
      <c r="DA1069">
        <v>6.9444444444444444E-5</v>
      </c>
      <c r="DB1069">
        <v>8.4398148148148153E-2</v>
      </c>
      <c r="DC1069">
        <v>4.3356481481481482E-2</v>
      </c>
      <c r="DD1069">
        <v>47</v>
      </c>
      <c r="DE1069">
        <v>53</v>
      </c>
      <c r="DF1069">
        <v>10</v>
      </c>
      <c r="DG1069">
        <v>1.5</v>
      </c>
      <c r="DH1069">
        <v>2414</v>
      </c>
      <c r="DI1069">
        <v>0.21279999999999999</v>
      </c>
      <c r="DQ1069">
        <v>54</v>
      </c>
    </row>
    <row r="1070" spans="95:122" x14ac:dyDescent="0.25">
      <c r="CQ1070" t="s">
        <v>636</v>
      </c>
      <c r="CR1070" t="s">
        <v>125</v>
      </c>
      <c r="CS1070" t="s">
        <v>12</v>
      </c>
      <c r="CT1070">
        <v>46055</v>
      </c>
      <c r="CU1070">
        <v>1</v>
      </c>
      <c r="CV1070">
        <v>1</v>
      </c>
      <c r="CX1070">
        <v>1</v>
      </c>
      <c r="CZ1070">
        <v>4.6296296296296294E-5</v>
      </c>
      <c r="DA1070">
        <v>4.6296296296296294E-5</v>
      </c>
      <c r="DB1070">
        <v>7.3842592592592599E-2</v>
      </c>
      <c r="DC1070">
        <v>3.6863425925925924E-2</v>
      </c>
      <c r="DD1070">
        <v>80</v>
      </c>
      <c r="DE1070">
        <v>255</v>
      </c>
      <c r="DF1070">
        <v>30</v>
      </c>
      <c r="DG1070">
        <v>1.5</v>
      </c>
      <c r="DH1070">
        <v>31488</v>
      </c>
      <c r="DI1070">
        <v>0.375</v>
      </c>
      <c r="DJ1070">
        <v>4</v>
      </c>
      <c r="DK1070">
        <v>0.1333</v>
      </c>
      <c r="DL1070">
        <v>3759</v>
      </c>
      <c r="DM1070">
        <v>940</v>
      </c>
      <c r="DN1070">
        <v>2790</v>
      </c>
      <c r="DO1070">
        <v>0.74219999999999997</v>
      </c>
      <c r="DQ1070">
        <v>54</v>
      </c>
      <c r="DR1070">
        <v>1395</v>
      </c>
    </row>
    <row r="1071" spans="95:122" x14ac:dyDescent="0.25">
      <c r="CQ1071" t="s">
        <v>636</v>
      </c>
      <c r="CR1071" t="s">
        <v>2</v>
      </c>
      <c r="CS1071" t="s">
        <v>68</v>
      </c>
      <c r="CT1071">
        <v>46076</v>
      </c>
      <c r="CU1071">
        <v>1</v>
      </c>
      <c r="CV1071">
        <v>1</v>
      </c>
      <c r="CZ1071">
        <v>0</v>
      </c>
      <c r="DA1071">
        <v>0</v>
      </c>
      <c r="DB1071">
        <v>0</v>
      </c>
      <c r="DC1071">
        <v>0</v>
      </c>
      <c r="DQ1071">
        <v>54</v>
      </c>
    </row>
    <row r="1072" spans="95:122" x14ac:dyDescent="0.25">
      <c r="CQ1072" t="s">
        <v>636</v>
      </c>
      <c r="CR1072" t="s">
        <v>2</v>
      </c>
      <c r="CS1072" t="s">
        <v>25</v>
      </c>
      <c r="CT1072">
        <v>46076</v>
      </c>
      <c r="CU1072">
        <v>1</v>
      </c>
      <c r="CV1072">
        <v>1</v>
      </c>
      <c r="CW1072">
        <v>1</v>
      </c>
      <c r="CZ1072">
        <v>5.9490740740740745E-3</v>
      </c>
      <c r="DA1072">
        <v>5.9490740740740745E-3</v>
      </c>
      <c r="DB1072">
        <v>0.19150462962962964</v>
      </c>
      <c r="DC1072">
        <v>0.13575231481481481</v>
      </c>
      <c r="DD1072">
        <v>71</v>
      </c>
      <c r="DE1072">
        <v>149</v>
      </c>
      <c r="DF1072">
        <v>22</v>
      </c>
      <c r="DG1072" t="s">
        <v>873</v>
      </c>
      <c r="DH1072">
        <v>13855</v>
      </c>
      <c r="DI1072">
        <v>0.30990000000000001</v>
      </c>
      <c r="DQ1072">
        <v>54</v>
      </c>
    </row>
    <row r="1073" spans="95:122" x14ac:dyDescent="0.25">
      <c r="CQ1073" t="s">
        <v>636</v>
      </c>
      <c r="CR1073" t="s">
        <v>2</v>
      </c>
      <c r="CS1073" t="s">
        <v>76</v>
      </c>
      <c r="CT1073">
        <v>46076</v>
      </c>
      <c r="CU1073">
        <v>1</v>
      </c>
      <c r="CV1073">
        <v>1</v>
      </c>
      <c r="CW1073">
        <v>1</v>
      </c>
      <c r="CZ1073">
        <v>6.2106481481481485E-2</v>
      </c>
      <c r="DA1073">
        <v>6.2106481481481485E-2</v>
      </c>
      <c r="DB1073">
        <v>0.13835648148148147</v>
      </c>
      <c r="DC1073">
        <v>0.15211805555555555</v>
      </c>
      <c r="DD1073">
        <v>93</v>
      </c>
      <c r="DE1073">
        <v>117</v>
      </c>
      <c r="DF1073">
        <v>19</v>
      </c>
      <c r="DG1073" t="s">
        <v>950</v>
      </c>
      <c r="DH1073">
        <v>27809</v>
      </c>
      <c r="DI1073">
        <v>0.20430000000000001</v>
      </c>
      <c r="DQ1073">
        <v>54</v>
      </c>
    </row>
    <row r="1074" spans="95:122" x14ac:dyDescent="0.25">
      <c r="CQ1074" t="s">
        <v>636</v>
      </c>
      <c r="CR1074" t="s">
        <v>125</v>
      </c>
      <c r="CS1074" t="s">
        <v>109</v>
      </c>
      <c r="CT1074">
        <v>46057</v>
      </c>
      <c r="CU1074">
        <v>1</v>
      </c>
      <c r="CV1074">
        <v>1</v>
      </c>
      <c r="CX1074">
        <v>1</v>
      </c>
      <c r="CZ1074">
        <v>2.8935185185185184E-4</v>
      </c>
      <c r="DA1074">
        <v>2.8935185185185184E-4</v>
      </c>
      <c r="DB1074">
        <v>8.6342592592592599E-3</v>
      </c>
      <c r="DC1074">
        <v>1.8298611111111113E-2</v>
      </c>
      <c r="DD1074">
        <v>140</v>
      </c>
      <c r="DE1074">
        <v>238</v>
      </c>
      <c r="DF1074">
        <v>18</v>
      </c>
      <c r="DG1074">
        <v>1.5</v>
      </c>
      <c r="DH1074">
        <v>32873</v>
      </c>
      <c r="DI1074">
        <v>0.12859999999999999</v>
      </c>
      <c r="DJ1074">
        <v>1</v>
      </c>
      <c r="DK1074">
        <v>5.5599999999999997E-2</v>
      </c>
      <c r="DL1074">
        <v>230</v>
      </c>
      <c r="DM1074">
        <v>230</v>
      </c>
      <c r="DQ1074">
        <v>52</v>
      </c>
    </row>
    <row r="1075" spans="95:122" x14ac:dyDescent="0.25">
      <c r="CQ1075" t="s">
        <v>636</v>
      </c>
      <c r="CR1075" t="s">
        <v>125</v>
      </c>
      <c r="CS1075" t="s">
        <v>72</v>
      </c>
      <c r="CT1075">
        <v>46076</v>
      </c>
      <c r="CU1075">
        <v>1</v>
      </c>
      <c r="CV1075">
        <v>1</v>
      </c>
      <c r="CZ1075">
        <v>0</v>
      </c>
      <c r="DA1075">
        <v>0</v>
      </c>
      <c r="DB1075">
        <v>0</v>
      </c>
      <c r="DC1075">
        <v>0</v>
      </c>
      <c r="DQ1075">
        <v>52</v>
      </c>
    </row>
    <row r="1076" spans="95:122" x14ac:dyDescent="0.25">
      <c r="CQ1076" t="s">
        <v>636</v>
      </c>
      <c r="CR1076" t="s">
        <v>2</v>
      </c>
      <c r="CS1076" t="s">
        <v>42</v>
      </c>
      <c r="CT1076">
        <v>46055</v>
      </c>
      <c r="CU1076">
        <v>1</v>
      </c>
      <c r="CV1076">
        <v>1</v>
      </c>
      <c r="CW1076">
        <v>1</v>
      </c>
      <c r="CZ1076">
        <v>5.2430555555555555E-3</v>
      </c>
      <c r="DA1076">
        <v>5.2430555555555555E-3</v>
      </c>
      <c r="DB1076">
        <v>3.6041666666666666E-2</v>
      </c>
      <c r="DC1076">
        <v>6.6898148148148151E-3</v>
      </c>
      <c r="DD1076">
        <v>81</v>
      </c>
      <c r="DE1076">
        <v>178</v>
      </c>
      <c r="DF1076">
        <v>33</v>
      </c>
      <c r="DG1076" t="s">
        <v>1131</v>
      </c>
      <c r="DH1076">
        <v>16881</v>
      </c>
      <c r="DI1076">
        <v>0.40739999999999998</v>
      </c>
      <c r="DJ1076">
        <v>5</v>
      </c>
      <c r="DK1076">
        <v>0.1515</v>
      </c>
      <c r="DL1076">
        <v>3277</v>
      </c>
      <c r="DM1076">
        <v>655</v>
      </c>
      <c r="DN1076">
        <v>2452</v>
      </c>
      <c r="DO1076">
        <v>0.74819999999999998</v>
      </c>
      <c r="DP1076">
        <v>0.72970000000000002</v>
      </c>
      <c r="DQ1076">
        <v>52</v>
      </c>
      <c r="DR1076">
        <v>613</v>
      </c>
    </row>
    <row r="1077" spans="95:122" x14ac:dyDescent="0.25">
      <c r="CQ1077" t="s">
        <v>636</v>
      </c>
      <c r="CR1077" t="s">
        <v>2</v>
      </c>
      <c r="CS1077" t="s">
        <v>68</v>
      </c>
      <c r="CT1077">
        <v>46069</v>
      </c>
      <c r="CU1077">
        <v>1</v>
      </c>
      <c r="CV1077">
        <v>1</v>
      </c>
      <c r="CZ1077">
        <v>0</v>
      </c>
      <c r="DA1077">
        <v>0</v>
      </c>
      <c r="DB1077">
        <v>0</v>
      </c>
      <c r="DC1077">
        <v>0</v>
      </c>
      <c r="DQ1077">
        <v>52</v>
      </c>
    </row>
    <row r="1078" spans="95:122" x14ac:dyDescent="0.25">
      <c r="CQ1078" t="s">
        <v>636</v>
      </c>
      <c r="CR1078" t="s">
        <v>3</v>
      </c>
      <c r="CS1078" t="s">
        <v>24</v>
      </c>
      <c r="CT1078">
        <v>46065</v>
      </c>
      <c r="CU1078">
        <v>1</v>
      </c>
      <c r="CV1078">
        <v>1</v>
      </c>
      <c r="CZ1078">
        <v>0</v>
      </c>
      <c r="DA1078">
        <v>0</v>
      </c>
      <c r="DB1078">
        <v>0</v>
      </c>
      <c r="DC1078">
        <v>0</v>
      </c>
      <c r="DQ1078">
        <v>52</v>
      </c>
    </row>
    <row r="1079" spans="95:122" x14ac:dyDescent="0.25">
      <c r="CQ1079" t="s">
        <v>636</v>
      </c>
      <c r="CR1079" t="s">
        <v>124</v>
      </c>
      <c r="CS1079" t="s">
        <v>41</v>
      </c>
      <c r="CT1079">
        <v>46066</v>
      </c>
      <c r="CU1079">
        <v>1</v>
      </c>
      <c r="CV1079">
        <v>1</v>
      </c>
      <c r="CZ1079">
        <v>0</v>
      </c>
      <c r="DA1079">
        <v>0</v>
      </c>
      <c r="DB1079">
        <v>0</v>
      </c>
      <c r="DC1079">
        <v>0</v>
      </c>
      <c r="DQ1079">
        <v>50</v>
      </c>
    </row>
    <row r="1080" spans="95:122" x14ac:dyDescent="0.25">
      <c r="CQ1080" t="s">
        <v>636</v>
      </c>
      <c r="CR1080" t="s">
        <v>124</v>
      </c>
      <c r="CS1080" t="s">
        <v>549</v>
      </c>
      <c r="CT1080">
        <v>46076</v>
      </c>
      <c r="CU1080">
        <v>1</v>
      </c>
      <c r="CV1080">
        <v>1</v>
      </c>
      <c r="CX1080">
        <v>1</v>
      </c>
      <c r="CZ1080">
        <v>0</v>
      </c>
      <c r="DA1080">
        <v>0</v>
      </c>
      <c r="DB1080">
        <v>0.19453703703703704</v>
      </c>
      <c r="DC1080">
        <v>0.15722222222222224</v>
      </c>
      <c r="DD1080">
        <v>169</v>
      </c>
      <c r="DE1080">
        <v>235</v>
      </c>
      <c r="DF1080">
        <v>21</v>
      </c>
      <c r="DG1080" t="s">
        <v>845</v>
      </c>
      <c r="DH1080">
        <v>27314</v>
      </c>
      <c r="DI1080">
        <v>0.12429999999999999</v>
      </c>
      <c r="DQ1080">
        <v>50</v>
      </c>
    </row>
    <row r="1081" spans="95:122" x14ac:dyDescent="0.25">
      <c r="CQ1081" t="s">
        <v>636</v>
      </c>
      <c r="CR1081" t="s">
        <v>125</v>
      </c>
      <c r="CS1081" t="s">
        <v>85</v>
      </c>
      <c r="CT1081">
        <v>46057</v>
      </c>
      <c r="CU1081">
        <v>1</v>
      </c>
      <c r="CV1081">
        <v>1</v>
      </c>
      <c r="CX1081">
        <v>1</v>
      </c>
      <c r="CZ1081">
        <v>0</v>
      </c>
      <c r="DA1081">
        <v>0</v>
      </c>
      <c r="DB1081">
        <v>1.7928240740740741E-2</v>
      </c>
      <c r="DC1081">
        <v>2.8194444444444446E-2</v>
      </c>
      <c r="DD1081">
        <v>105</v>
      </c>
      <c r="DE1081">
        <v>185</v>
      </c>
      <c r="DF1081">
        <v>19</v>
      </c>
      <c r="DG1081" t="s">
        <v>987</v>
      </c>
      <c r="DH1081">
        <v>35781</v>
      </c>
      <c r="DI1081">
        <v>0.18099999999999999</v>
      </c>
      <c r="DJ1081">
        <v>1</v>
      </c>
      <c r="DK1081">
        <v>5.2600000000000001E-2</v>
      </c>
      <c r="DL1081">
        <v>70</v>
      </c>
      <c r="DM1081">
        <v>70</v>
      </c>
      <c r="DQ1081">
        <v>50</v>
      </c>
    </row>
    <row r="1082" spans="95:122" x14ac:dyDescent="0.25">
      <c r="CQ1082" t="s">
        <v>636</v>
      </c>
      <c r="CR1082" t="s">
        <v>125</v>
      </c>
      <c r="CS1082" t="s">
        <v>61</v>
      </c>
      <c r="CT1082">
        <v>46056</v>
      </c>
      <c r="CU1082">
        <v>1</v>
      </c>
      <c r="CV1082">
        <v>1</v>
      </c>
      <c r="CX1082">
        <v>1</v>
      </c>
      <c r="CZ1082">
        <v>2.7777777777777778E-4</v>
      </c>
      <c r="DA1082">
        <v>2.7777777777777778E-4</v>
      </c>
      <c r="DB1082">
        <v>4.6655092592592595E-2</v>
      </c>
      <c r="DC1082">
        <v>1.0844907407407407E-2</v>
      </c>
      <c r="DD1082">
        <v>69</v>
      </c>
      <c r="DE1082">
        <v>173</v>
      </c>
      <c r="DF1082">
        <v>16</v>
      </c>
      <c r="DG1082">
        <v>1.8125</v>
      </c>
      <c r="DH1082">
        <v>42346</v>
      </c>
      <c r="DI1082">
        <v>0.2319</v>
      </c>
      <c r="DQ1082">
        <v>50</v>
      </c>
    </row>
    <row r="1083" spans="95:122" x14ac:dyDescent="0.25">
      <c r="CQ1083" t="s">
        <v>636</v>
      </c>
      <c r="CR1083" t="s">
        <v>125</v>
      </c>
      <c r="CS1083" t="s">
        <v>61</v>
      </c>
      <c r="CT1083">
        <v>46065</v>
      </c>
      <c r="CU1083">
        <v>1</v>
      </c>
      <c r="CV1083">
        <v>1</v>
      </c>
      <c r="CX1083">
        <v>1</v>
      </c>
      <c r="CZ1083">
        <v>3.4722222222222222E-5</v>
      </c>
      <c r="DA1083">
        <v>3.4722222222222222E-5</v>
      </c>
      <c r="DB1083">
        <v>2.2777777777777779E-2</v>
      </c>
      <c r="DC1083">
        <v>8.7615740740740744E-3</v>
      </c>
      <c r="DD1083">
        <v>122</v>
      </c>
      <c r="DE1083">
        <v>337</v>
      </c>
      <c r="DF1083">
        <v>11</v>
      </c>
      <c r="DG1083" t="s">
        <v>847</v>
      </c>
      <c r="DH1083">
        <v>20387</v>
      </c>
      <c r="DI1083">
        <v>9.0200000000000002E-2</v>
      </c>
      <c r="DQ1083">
        <v>50</v>
      </c>
    </row>
    <row r="1084" spans="95:122" x14ac:dyDescent="0.25">
      <c r="CQ1084" t="s">
        <v>636</v>
      </c>
      <c r="CR1084" t="s">
        <v>125</v>
      </c>
      <c r="CS1084" t="s">
        <v>75</v>
      </c>
      <c r="CT1084">
        <v>46056</v>
      </c>
      <c r="CU1084">
        <v>1</v>
      </c>
      <c r="CV1084">
        <v>1</v>
      </c>
      <c r="CX1084">
        <v>1</v>
      </c>
      <c r="CZ1084">
        <v>9.2592592592592588E-5</v>
      </c>
      <c r="DA1084">
        <v>9.2592592592592588E-5</v>
      </c>
      <c r="DB1084">
        <v>0.15991898148148148</v>
      </c>
      <c r="DC1084">
        <v>9.0277777777777769E-3</v>
      </c>
      <c r="DD1084">
        <v>89</v>
      </c>
      <c r="DE1084">
        <v>216</v>
      </c>
      <c r="DF1084">
        <v>13</v>
      </c>
      <c r="DG1084" t="s">
        <v>787</v>
      </c>
      <c r="DH1084">
        <v>18741</v>
      </c>
      <c r="DI1084">
        <v>0.14610000000000001</v>
      </c>
      <c r="DQ1084">
        <v>50</v>
      </c>
    </row>
    <row r="1085" spans="95:122" x14ac:dyDescent="0.25">
      <c r="CQ1085" t="s">
        <v>636</v>
      </c>
      <c r="CR1085" t="s">
        <v>125</v>
      </c>
      <c r="CS1085" t="s">
        <v>75</v>
      </c>
      <c r="CT1085">
        <v>46069</v>
      </c>
      <c r="CU1085">
        <v>1</v>
      </c>
      <c r="CV1085">
        <v>1</v>
      </c>
      <c r="CX1085">
        <v>1</v>
      </c>
      <c r="CZ1085">
        <v>1.273148148148148E-4</v>
      </c>
      <c r="DA1085">
        <v>1.273148148148148E-4</v>
      </c>
      <c r="DB1085">
        <v>0.21682870370370369</v>
      </c>
      <c r="DC1085">
        <v>0.11261574074074074</v>
      </c>
      <c r="DD1085">
        <v>99</v>
      </c>
      <c r="DE1085">
        <v>182</v>
      </c>
      <c r="DF1085">
        <v>13</v>
      </c>
      <c r="DG1085" t="s">
        <v>704</v>
      </c>
      <c r="DH1085">
        <v>37543</v>
      </c>
      <c r="DI1085">
        <v>0.1313</v>
      </c>
      <c r="DQ1085">
        <v>50</v>
      </c>
    </row>
    <row r="1086" spans="95:122" x14ac:dyDescent="0.25">
      <c r="CQ1086" t="s">
        <v>636</v>
      </c>
      <c r="CR1086" t="s">
        <v>125</v>
      </c>
      <c r="CS1086" t="s">
        <v>206</v>
      </c>
      <c r="CT1086">
        <v>46065</v>
      </c>
      <c r="CU1086">
        <v>1</v>
      </c>
      <c r="CV1086">
        <v>1</v>
      </c>
      <c r="CX1086">
        <v>1</v>
      </c>
      <c r="CZ1086">
        <v>3.4722222222222222E-5</v>
      </c>
      <c r="DA1086">
        <v>3.4722222222222222E-5</v>
      </c>
      <c r="DB1086">
        <v>1.9247685185185184E-2</v>
      </c>
      <c r="DC1086">
        <v>3.7291666666666667E-2</v>
      </c>
      <c r="DD1086">
        <v>202</v>
      </c>
      <c r="DE1086">
        <v>367</v>
      </c>
      <c r="DF1086">
        <v>32</v>
      </c>
      <c r="DG1086">
        <v>1.6875</v>
      </c>
      <c r="DH1086">
        <v>44903</v>
      </c>
      <c r="DI1086">
        <v>0.15840000000000001</v>
      </c>
      <c r="DQ1086">
        <v>50</v>
      </c>
    </row>
    <row r="1087" spans="95:122" x14ac:dyDescent="0.25">
      <c r="CQ1087" t="s">
        <v>636</v>
      </c>
      <c r="CR1087" t="s">
        <v>125</v>
      </c>
      <c r="CS1087" t="s">
        <v>206</v>
      </c>
      <c r="CT1087">
        <v>46069</v>
      </c>
      <c r="CU1087">
        <v>1</v>
      </c>
      <c r="CV1087">
        <v>1</v>
      </c>
      <c r="CX1087">
        <v>1</v>
      </c>
      <c r="CZ1087">
        <v>4.6296296296296294E-5</v>
      </c>
      <c r="DA1087">
        <v>4.6296296296296294E-5</v>
      </c>
      <c r="DB1087">
        <v>0.23166666666666666</v>
      </c>
      <c r="DC1087">
        <v>0.14333333333333334</v>
      </c>
      <c r="DD1087">
        <v>147</v>
      </c>
      <c r="DE1087">
        <v>353</v>
      </c>
      <c r="DF1087">
        <v>22</v>
      </c>
      <c r="DG1087" t="s">
        <v>740</v>
      </c>
      <c r="DH1087">
        <v>40194</v>
      </c>
      <c r="DI1087">
        <v>0.1497</v>
      </c>
      <c r="DQ1087">
        <v>50</v>
      </c>
    </row>
    <row r="1088" spans="95:122" x14ac:dyDescent="0.25">
      <c r="CQ1088" t="s">
        <v>636</v>
      </c>
      <c r="CR1088" t="s">
        <v>125</v>
      </c>
      <c r="CS1088" t="s">
        <v>59</v>
      </c>
      <c r="CT1088">
        <v>46065</v>
      </c>
      <c r="CU1088">
        <v>1</v>
      </c>
      <c r="CV1088">
        <v>1</v>
      </c>
      <c r="CX1088">
        <v>1</v>
      </c>
      <c r="CZ1088">
        <v>4.6296296296296294E-5</v>
      </c>
      <c r="DA1088">
        <v>4.6296296296296294E-5</v>
      </c>
      <c r="DB1088">
        <v>3.8657407407407404E-2</v>
      </c>
      <c r="DC1088">
        <v>4.3831018518518519E-2</v>
      </c>
      <c r="DD1088">
        <v>228</v>
      </c>
      <c r="DE1088">
        <v>371</v>
      </c>
      <c r="DF1088">
        <v>18</v>
      </c>
      <c r="DG1088" t="s">
        <v>726</v>
      </c>
      <c r="DH1088">
        <v>35813</v>
      </c>
      <c r="DI1088">
        <v>7.8899999999999998E-2</v>
      </c>
      <c r="DQ1088">
        <v>50</v>
      </c>
    </row>
    <row r="1089" spans="95:121" x14ac:dyDescent="0.25">
      <c r="CQ1089" t="s">
        <v>636</v>
      </c>
      <c r="CR1089" t="s">
        <v>125</v>
      </c>
      <c r="CS1089" t="s">
        <v>10</v>
      </c>
      <c r="CT1089">
        <v>46056</v>
      </c>
      <c r="CU1089">
        <v>1</v>
      </c>
      <c r="CV1089">
        <v>1</v>
      </c>
      <c r="CX1089">
        <v>1</v>
      </c>
      <c r="CZ1089">
        <v>5.7870370370370373E-5</v>
      </c>
      <c r="DA1089">
        <v>5.7870370370370373E-5</v>
      </c>
      <c r="DB1089">
        <v>0.14730324074074075</v>
      </c>
      <c r="DC1089">
        <v>1.3888888888888888E-2</v>
      </c>
      <c r="DD1089">
        <v>103</v>
      </c>
      <c r="DE1089">
        <v>155</v>
      </c>
      <c r="DF1089">
        <v>19</v>
      </c>
      <c r="DG1089" t="s">
        <v>682</v>
      </c>
      <c r="DH1089">
        <v>50877</v>
      </c>
      <c r="DI1089">
        <v>0.1845</v>
      </c>
      <c r="DQ1089">
        <v>50</v>
      </c>
    </row>
    <row r="1090" spans="95:121" x14ac:dyDescent="0.25">
      <c r="CQ1090" t="s">
        <v>636</v>
      </c>
      <c r="CR1090" t="s">
        <v>2</v>
      </c>
      <c r="CS1090" t="s">
        <v>29</v>
      </c>
      <c r="CT1090">
        <v>46065</v>
      </c>
      <c r="CU1090">
        <v>1</v>
      </c>
      <c r="CV1090">
        <v>1</v>
      </c>
      <c r="CX1090">
        <v>1</v>
      </c>
      <c r="CZ1090">
        <v>0</v>
      </c>
      <c r="DA1090">
        <v>0</v>
      </c>
      <c r="DB1090">
        <v>1.9664351851851853E-2</v>
      </c>
      <c r="DC1090">
        <v>2.1898148148148149E-2</v>
      </c>
      <c r="DD1090">
        <v>82</v>
      </c>
      <c r="DE1090">
        <v>158</v>
      </c>
      <c r="DF1090">
        <v>41</v>
      </c>
      <c r="DG1090" t="s">
        <v>813</v>
      </c>
      <c r="DH1090">
        <v>20866</v>
      </c>
      <c r="DI1090">
        <v>0.5</v>
      </c>
      <c r="DQ1090">
        <v>50</v>
      </c>
    </row>
    <row r="1091" spans="95:121" x14ac:dyDescent="0.25">
      <c r="CQ1091" t="s">
        <v>636</v>
      </c>
      <c r="CR1091" t="s">
        <v>2</v>
      </c>
      <c r="CS1091" t="s">
        <v>25</v>
      </c>
      <c r="CT1091">
        <v>46059</v>
      </c>
      <c r="CU1091">
        <v>1</v>
      </c>
      <c r="CV1091">
        <v>1</v>
      </c>
      <c r="CX1091">
        <v>1</v>
      </c>
      <c r="CZ1091">
        <v>0</v>
      </c>
      <c r="DA1091">
        <v>0</v>
      </c>
      <c r="DB1091">
        <v>7.048611111111111E-2</v>
      </c>
      <c r="DC1091">
        <v>2.6481481481481481E-2</v>
      </c>
      <c r="DD1091">
        <v>77</v>
      </c>
      <c r="DE1091">
        <v>143</v>
      </c>
      <c r="DF1091">
        <v>23</v>
      </c>
      <c r="DG1091" t="s">
        <v>954</v>
      </c>
      <c r="DH1091">
        <v>25184</v>
      </c>
      <c r="DI1091">
        <v>0.29870000000000002</v>
      </c>
      <c r="DQ1091">
        <v>50</v>
      </c>
    </row>
    <row r="1092" spans="95:121" x14ac:dyDescent="0.25">
      <c r="CQ1092" t="s">
        <v>636</v>
      </c>
      <c r="CR1092" t="s">
        <v>2</v>
      </c>
      <c r="CS1092" t="s">
        <v>25</v>
      </c>
      <c r="CT1092">
        <v>46077</v>
      </c>
      <c r="CU1092">
        <v>1</v>
      </c>
      <c r="CV1092">
        <v>1</v>
      </c>
      <c r="CW1092">
        <v>1</v>
      </c>
      <c r="CZ1092">
        <v>8.2175925925925923E-3</v>
      </c>
      <c r="DA1092">
        <v>8.2175925925925923E-3</v>
      </c>
      <c r="DB1092">
        <v>0.15530092592592593</v>
      </c>
      <c r="DC1092">
        <v>0.14987268518518518</v>
      </c>
      <c r="DD1092">
        <v>53</v>
      </c>
      <c r="DE1092">
        <v>105</v>
      </c>
      <c r="DF1092">
        <v>20</v>
      </c>
      <c r="DG1092">
        <v>2</v>
      </c>
      <c r="DH1092">
        <v>24039</v>
      </c>
      <c r="DI1092">
        <v>0.37740000000000001</v>
      </c>
      <c r="DJ1092">
        <v>1</v>
      </c>
      <c r="DK1092">
        <v>0.05</v>
      </c>
      <c r="DL1092">
        <v>5000</v>
      </c>
      <c r="DM1092">
        <v>5000</v>
      </c>
      <c r="DQ1092">
        <v>50</v>
      </c>
    </row>
    <row r="1093" spans="95:121" x14ac:dyDescent="0.25">
      <c r="CQ1093" t="s">
        <v>636</v>
      </c>
      <c r="CR1093" t="s">
        <v>2</v>
      </c>
      <c r="CS1093" t="s">
        <v>76</v>
      </c>
      <c r="CT1093">
        <v>46065</v>
      </c>
      <c r="CU1093">
        <v>1</v>
      </c>
      <c r="CV1093">
        <v>1</v>
      </c>
      <c r="CX1093">
        <v>1</v>
      </c>
      <c r="CZ1093">
        <v>0</v>
      </c>
      <c r="DA1093">
        <v>0</v>
      </c>
      <c r="DB1093">
        <v>3.4652777777777775E-2</v>
      </c>
      <c r="DC1093">
        <v>1.3425925925925926E-2</v>
      </c>
      <c r="DD1093">
        <v>101</v>
      </c>
      <c r="DE1093">
        <v>143</v>
      </c>
      <c r="DF1093">
        <v>24</v>
      </c>
      <c r="DG1093" t="s">
        <v>703</v>
      </c>
      <c r="DH1093">
        <v>13061</v>
      </c>
      <c r="DI1093">
        <v>0.23760000000000001</v>
      </c>
      <c r="DQ1093">
        <v>50</v>
      </c>
    </row>
    <row r="1094" spans="95:121" x14ac:dyDescent="0.25">
      <c r="CQ1094" t="s">
        <v>636</v>
      </c>
      <c r="CR1094" t="s">
        <v>6</v>
      </c>
      <c r="CS1094" t="s">
        <v>19</v>
      </c>
      <c r="CT1094">
        <v>46058</v>
      </c>
      <c r="CU1094">
        <v>1</v>
      </c>
      <c r="CV1094">
        <v>1</v>
      </c>
      <c r="CX1094">
        <v>1</v>
      </c>
      <c r="CZ1094">
        <v>1.8518518518518518E-4</v>
      </c>
      <c r="DA1094">
        <v>1.8518518518518518E-4</v>
      </c>
      <c r="DB1094">
        <v>1.699074074074074E-2</v>
      </c>
      <c r="DC1094">
        <v>2.1643518518518517E-2</v>
      </c>
      <c r="DD1094">
        <v>151</v>
      </c>
      <c r="DE1094">
        <v>250</v>
      </c>
      <c r="DF1094">
        <v>20</v>
      </c>
      <c r="DG1094">
        <v>1.45</v>
      </c>
      <c r="DH1094">
        <v>28626</v>
      </c>
      <c r="DI1094">
        <v>0.13250000000000001</v>
      </c>
      <c r="DQ1094">
        <v>50</v>
      </c>
    </row>
    <row r="1095" spans="95:121" x14ac:dyDescent="0.25">
      <c r="CQ1095" t="s">
        <v>636</v>
      </c>
      <c r="CR1095" t="s">
        <v>6</v>
      </c>
      <c r="CS1095" t="s">
        <v>19</v>
      </c>
      <c r="CT1095">
        <v>46059</v>
      </c>
      <c r="CU1095">
        <v>1</v>
      </c>
      <c r="CV1095">
        <v>1</v>
      </c>
      <c r="CX1095">
        <v>1</v>
      </c>
      <c r="CZ1095">
        <v>1.9675925925925926E-4</v>
      </c>
      <c r="DA1095">
        <v>1.9675925925925926E-4</v>
      </c>
      <c r="DB1095">
        <v>2.1261574074074075E-2</v>
      </c>
      <c r="DC1095">
        <v>3.0902777777777777E-3</v>
      </c>
      <c r="DD1095">
        <v>169</v>
      </c>
      <c r="DE1095">
        <v>233</v>
      </c>
      <c r="DF1095">
        <v>31</v>
      </c>
      <c r="DG1095" t="s">
        <v>1019</v>
      </c>
      <c r="DH1095">
        <v>35347</v>
      </c>
      <c r="DI1095">
        <v>0.18340000000000001</v>
      </c>
      <c r="DQ1095">
        <v>50</v>
      </c>
    </row>
    <row r="1096" spans="95:121" x14ac:dyDescent="0.25">
      <c r="CQ1096" t="s">
        <v>636</v>
      </c>
      <c r="CR1096" t="s">
        <v>6</v>
      </c>
      <c r="CS1096" t="s">
        <v>80</v>
      </c>
      <c r="CT1096">
        <v>46058</v>
      </c>
      <c r="CU1096">
        <v>1</v>
      </c>
      <c r="CV1096">
        <v>1</v>
      </c>
      <c r="CX1096">
        <v>1</v>
      </c>
      <c r="CZ1096">
        <v>5.7870370370370373E-5</v>
      </c>
      <c r="DA1096">
        <v>5.7870370370370373E-5</v>
      </c>
      <c r="DB1096">
        <v>2.0069444444444445E-2</v>
      </c>
      <c r="DC1096">
        <v>1.9351851851851853E-2</v>
      </c>
      <c r="DD1096">
        <v>68</v>
      </c>
      <c r="DE1096">
        <v>106</v>
      </c>
      <c r="DF1096">
        <v>12</v>
      </c>
      <c r="DG1096">
        <v>1.75</v>
      </c>
      <c r="DH1096">
        <v>36702</v>
      </c>
      <c r="DI1096">
        <v>0.17649999999999999</v>
      </c>
      <c r="DQ1096">
        <v>50</v>
      </c>
    </row>
    <row r="1097" spans="95:121" x14ac:dyDescent="0.25">
      <c r="CQ1097" t="s">
        <v>636</v>
      </c>
      <c r="CR1097" t="s">
        <v>6</v>
      </c>
      <c r="CS1097" t="s">
        <v>80</v>
      </c>
      <c r="CT1097">
        <v>46071</v>
      </c>
      <c r="CU1097">
        <v>1</v>
      </c>
      <c r="CV1097">
        <v>1</v>
      </c>
      <c r="CX1097">
        <v>1</v>
      </c>
      <c r="CZ1097">
        <v>1.3888888888888889E-4</v>
      </c>
      <c r="DA1097">
        <v>1.3888888888888889E-4</v>
      </c>
      <c r="DB1097">
        <v>0.17174768518518518</v>
      </c>
      <c r="DC1097">
        <v>0.17108796296296297</v>
      </c>
      <c r="DD1097">
        <v>112</v>
      </c>
      <c r="DE1097">
        <v>150</v>
      </c>
      <c r="DF1097">
        <v>11</v>
      </c>
      <c r="DG1097" t="s">
        <v>852</v>
      </c>
      <c r="DH1097">
        <v>10725</v>
      </c>
      <c r="DI1097">
        <v>9.8199999999999996E-2</v>
      </c>
      <c r="DQ1097">
        <v>50</v>
      </c>
    </row>
    <row r="1098" spans="95:121" x14ac:dyDescent="0.25">
      <c r="CQ1098" t="s">
        <v>636</v>
      </c>
      <c r="CR1098" t="s">
        <v>6</v>
      </c>
      <c r="CS1098" t="s">
        <v>81</v>
      </c>
      <c r="CT1098">
        <v>46072</v>
      </c>
      <c r="CU1098">
        <v>1</v>
      </c>
      <c r="CV1098">
        <v>1</v>
      </c>
      <c r="CX1098">
        <v>1</v>
      </c>
      <c r="CZ1098">
        <v>0</v>
      </c>
      <c r="DA1098">
        <v>0</v>
      </c>
      <c r="DB1098">
        <v>0.21611111111111111</v>
      </c>
      <c r="DC1098">
        <v>0.11677083333333334</v>
      </c>
      <c r="DD1098">
        <v>91</v>
      </c>
      <c r="DE1098">
        <v>158</v>
      </c>
      <c r="DF1098">
        <v>9</v>
      </c>
      <c r="DG1098" t="s">
        <v>749</v>
      </c>
      <c r="DH1098">
        <v>46925</v>
      </c>
      <c r="DI1098">
        <v>9.8900000000000002E-2</v>
      </c>
      <c r="DQ1098">
        <v>50</v>
      </c>
    </row>
    <row r="1099" spans="95:121" x14ac:dyDescent="0.25">
      <c r="CQ1099" t="s">
        <v>636</v>
      </c>
      <c r="CR1099" t="s">
        <v>6</v>
      </c>
      <c r="CS1099" t="s">
        <v>105</v>
      </c>
      <c r="CT1099">
        <v>46071</v>
      </c>
      <c r="CU1099">
        <v>1</v>
      </c>
      <c r="CV1099">
        <v>1</v>
      </c>
      <c r="CX1099">
        <v>1</v>
      </c>
      <c r="CZ1099">
        <v>3.4722222222222224E-4</v>
      </c>
      <c r="DA1099">
        <v>3.4722222222222224E-4</v>
      </c>
      <c r="DB1099">
        <v>0.16347222222222221</v>
      </c>
      <c r="DC1099">
        <v>0.15555555555555556</v>
      </c>
      <c r="DD1099">
        <v>113</v>
      </c>
      <c r="DE1099">
        <v>223</v>
      </c>
      <c r="DF1099">
        <v>21</v>
      </c>
      <c r="DG1099" t="s">
        <v>679</v>
      </c>
      <c r="DH1099">
        <v>22701</v>
      </c>
      <c r="DI1099">
        <v>0.18579999999999999</v>
      </c>
      <c r="DQ1099">
        <v>50</v>
      </c>
    </row>
    <row r="1100" spans="95:121" x14ac:dyDescent="0.25">
      <c r="CQ1100" t="s">
        <v>636</v>
      </c>
      <c r="CR1100" t="s">
        <v>6</v>
      </c>
      <c r="CS1100" t="s">
        <v>105</v>
      </c>
      <c r="CT1100">
        <v>46072</v>
      </c>
      <c r="CU1100">
        <v>1</v>
      </c>
      <c r="CV1100">
        <v>1</v>
      </c>
      <c r="CX1100">
        <v>1</v>
      </c>
      <c r="CZ1100">
        <v>6.8287037037037036E-4</v>
      </c>
      <c r="DA1100">
        <v>6.8287037037037036E-4</v>
      </c>
      <c r="DB1100">
        <v>0.1701388888888889</v>
      </c>
      <c r="DC1100">
        <v>0.15212962962962964</v>
      </c>
      <c r="DD1100">
        <v>120</v>
      </c>
      <c r="DE1100">
        <v>242</v>
      </c>
      <c r="DF1100">
        <v>22</v>
      </c>
      <c r="DG1100" t="s">
        <v>695</v>
      </c>
      <c r="DH1100">
        <v>32610</v>
      </c>
      <c r="DI1100">
        <v>0.18329999999999999</v>
      </c>
      <c r="DQ1100">
        <v>50</v>
      </c>
    </row>
    <row r="1101" spans="95:121" x14ac:dyDescent="0.25">
      <c r="CQ1101" t="s">
        <v>636</v>
      </c>
      <c r="CR1101" t="s">
        <v>6</v>
      </c>
      <c r="CS1101" t="s">
        <v>26</v>
      </c>
      <c r="CT1101">
        <v>46058</v>
      </c>
      <c r="CU1101">
        <v>1</v>
      </c>
      <c r="CV1101">
        <v>1</v>
      </c>
      <c r="CX1101">
        <v>1</v>
      </c>
      <c r="CZ1101">
        <v>1.1574074074074075E-4</v>
      </c>
      <c r="DA1101">
        <v>1.1574074074074075E-4</v>
      </c>
      <c r="DB1101">
        <v>5.4583333333333331E-2</v>
      </c>
      <c r="DC1101">
        <v>1.4502314814814815E-2</v>
      </c>
      <c r="DD1101">
        <v>153</v>
      </c>
      <c r="DE1101">
        <v>266</v>
      </c>
      <c r="DF1101">
        <v>16</v>
      </c>
      <c r="DG1101">
        <v>1.375</v>
      </c>
      <c r="DH1101">
        <v>13334</v>
      </c>
      <c r="DI1101">
        <v>0.1046</v>
      </c>
      <c r="DQ1101">
        <v>50</v>
      </c>
    </row>
    <row r="1102" spans="95:121" x14ac:dyDescent="0.25">
      <c r="CQ1102" t="s">
        <v>636</v>
      </c>
      <c r="CR1102" t="s">
        <v>6</v>
      </c>
      <c r="CS1102" t="s">
        <v>26</v>
      </c>
      <c r="CT1102">
        <v>46071</v>
      </c>
      <c r="CU1102">
        <v>1</v>
      </c>
      <c r="CV1102">
        <v>1</v>
      </c>
      <c r="CX1102">
        <v>1</v>
      </c>
      <c r="CZ1102">
        <v>1.6203703703703703E-4</v>
      </c>
      <c r="DA1102">
        <v>1.6203703703703703E-4</v>
      </c>
      <c r="DB1102">
        <v>0.25414351851851852</v>
      </c>
      <c r="DC1102">
        <v>8.7175925925925921E-2</v>
      </c>
      <c r="DD1102">
        <v>156</v>
      </c>
      <c r="DE1102">
        <v>264</v>
      </c>
      <c r="DF1102">
        <v>18</v>
      </c>
      <c r="DG1102" t="s">
        <v>718</v>
      </c>
      <c r="DH1102">
        <v>19650</v>
      </c>
      <c r="DI1102">
        <v>0.1154</v>
      </c>
      <c r="DQ1102">
        <v>50</v>
      </c>
    </row>
    <row r="1103" spans="95:121" x14ac:dyDescent="0.25">
      <c r="CQ1103" t="s">
        <v>636</v>
      </c>
      <c r="CR1103" t="s">
        <v>6</v>
      </c>
      <c r="CS1103" t="s">
        <v>26</v>
      </c>
      <c r="CT1103">
        <v>46072</v>
      </c>
      <c r="CU1103">
        <v>1</v>
      </c>
      <c r="CV1103">
        <v>1</v>
      </c>
      <c r="CX1103">
        <v>1</v>
      </c>
      <c r="CZ1103">
        <v>9.2592592592592588E-5</v>
      </c>
      <c r="DA1103">
        <v>9.2592592592592588E-5</v>
      </c>
      <c r="DB1103">
        <v>0.22181712962962963</v>
      </c>
      <c r="DC1103">
        <v>0.11402777777777778</v>
      </c>
      <c r="DD1103">
        <v>156</v>
      </c>
      <c r="DE1103">
        <v>247</v>
      </c>
      <c r="DF1103">
        <v>16</v>
      </c>
      <c r="DG1103">
        <v>1.375</v>
      </c>
      <c r="DH1103">
        <v>36955</v>
      </c>
      <c r="DI1103">
        <v>0.1026</v>
      </c>
      <c r="DQ1103">
        <v>50</v>
      </c>
    </row>
    <row r="1104" spans="95:121" x14ac:dyDescent="0.25">
      <c r="CQ1104" t="s">
        <v>636</v>
      </c>
      <c r="CR1104" t="s">
        <v>6</v>
      </c>
      <c r="CS1104" t="s">
        <v>50</v>
      </c>
      <c r="CT1104">
        <v>46059</v>
      </c>
      <c r="CU1104">
        <v>1</v>
      </c>
      <c r="CV1104">
        <v>1</v>
      </c>
      <c r="CX1104">
        <v>1</v>
      </c>
      <c r="CZ1104">
        <v>9.2592592592592588E-5</v>
      </c>
      <c r="DA1104">
        <v>9.2592592592592588E-5</v>
      </c>
      <c r="DB1104">
        <v>2.8043981481481482E-2</v>
      </c>
      <c r="DC1104">
        <v>4.0150462962962964E-2</v>
      </c>
      <c r="DD1104">
        <v>99</v>
      </c>
      <c r="DE1104">
        <v>166</v>
      </c>
      <c r="DF1104">
        <v>17</v>
      </c>
      <c r="DG1104" t="s">
        <v>890</v>
      </c>
      <c r="DH1104">
        <v>24038</v>
      </c>
      <c r="DI1104">
        <v>0.17169999999999999</v>
      </c>
      <c r="DQ1104">
        <v>50</v>
      </c>
    </row>
    <row r="1105" spans="95:122" x14ac:dyDescent="0.25">
      <c r="CQ1105" t="s">
        <v>636</v>
      </c>
      <c r="CR1105" t="s">
        <v>6</v>
      </c>
      <c r="CS1105" t="s">
        <v>50</v>
      </c>
      <c r="CT1105">
        <v>46072</v>
      </c>
      <c r="CU1105">
        <v>1</v>
      </c>
      <c r="CV1105">
        <v>1</v>
      </c>
      <c r="CX1105">
        <v>1</v>
      </c>
      <c r="CZ1105">
        <v>8.1018518518518516E-5</v>
      </c>
      <c r="DA1105">
        <v>8.1018518518518516E-5</v>
      </c>
      <c r="DB1105">
        <v>0.17203703703703704</v>
      </c>
      <c r="DC1105">
        <v>0.16078703703703703</v>
      </c>
      <c r="DD1105">
        <v>101</v>
      </c>
      <c r="DE1105">
        <v>205</v>
      </c>
      <c r="DF1105">
        <v>20</v>
      </c>
      <c r="DG1105">
        <v>1.65</v>
      </c>
      <c r="DH1105">
        <v>29572</v>
      </c>
      <c r="DI1105">
        <v>0.19800000000000001</v>
      </c>
      <c r="DQ1105">
        <v>50</v>
      </c>
    </row>
    <row r="1106" spans="95:122" x14ac:dyDescent="0.25">
      <c r="CQ1106" t="s">
        <v>636</v>
      </c>
      <c r="CR1106" t="s">
        <v>6</v>
      </c>
      <c r="CS1106" t="s">
        <v>50</v>
      </c>
      <c r="CT1106">
        <v>46076</v>
      </c>
      <c r="CU1106">
        <v>1</v>
      </c>
      <c r="CV1106">
        <v>1</v>
      </c>
      <c r="CX1106">
        <v>1</v>
      </c>
      <c r="CZ1106">
        <v>1.1574074074074075E-4</v>
      </c>
      <c r="DA1106">
        <v>1.1574074074074075E-4</v>
      </c>
      <c r="DB1106">
        <v>0.1784375</v>
      </c>
      <c r="DC1106">
        <v>0.18608796296296296</v>
      </c>
      <c r="DD1106">
        <v>113</v>
      </c>
      <c r="DE1106">
        <v>215</v>
      </c>
      <c r="DF1106">
        <v>30</v>
      </c>
      <c r="DG1106" t="s">
        <v>1054</v>
      </c>
      <c r="DH1106">
        <v>24567</v>
      </c>
      <c r="DI1106">
        <v>0.26550000000000001</v>
      </c>
      <c r="DJ1106">
        <v>1</v>
      </c>
      <c r="DK1106">
        <v>3.3300000000000003E-2</v>
      </c>
      <c r="DL1106">
        <v>250</v>
      </c>
      <c r="DM1106">
        <v>250</v>
      </c>
      <c r="DQ1106">
        <v>50</v>
      </c>
    </row>
    <row r="1107" spans="95:122" x14ac:dyDescent="0.25">
      <c r="CQ1107" t="s">
        <v>636</v>
      </c>
      <c r="CR1107" t="s">
        <v>6</v>
      </c>
      <c r="CS1107" t="s">
        <v>97</v>
      </c>
      <c r="CT1107">
        <v>46059</v>
      </c>
      <c r="CU1107">
        <v>1</v>
      </c>
      <c r="CV1107">
        <v>1</v>
      </c>
      <c r="CX1107">
        <v>1</v>
      </c>
      <c r="CZ1107">
        <v>1.1574074074074073E-5</v>
      </c>
      <c r="DA1107">
        <v>1.1574074074074073E-5</v>
      </c>
      <c r="DB1107">
        <v>9.0104166666666666E-2</v>
      </c>
      <c r="DC1107">
        <v>1.2395833333333333E-2</v>
      </c>
      <c r="DD1107">
        <v>101</v>
      </c>
      <c r="DE1107">
        <v>163</v>
      </c>
      <c r="DF1107">
        <v>20</v>
      </c>
      <c r="DG1107">
        <v>1.6</v>
      </c>
      <c r="DH1107">
        <v>42909</v>
      </c>
      <c r="DI1107">
        <v>0.19800000000000001</v>
      </c>
      <c r="DQ1107">
        <v>50</v>
      </c>
    </row>
    <row r="1108" spans="95:122" x14ac:dyDescent="0.25">
      <c r="CQ1108" t="s">
        <v>636</v>
      </c>
      <c r="CR1108" t="s">
        <v>6</v>
      </c>
      <c r="CS1108" t="s">
        <v>34</v>
      </c>
      <c r="CT1108">
        <v>46071</v>
      </c>
      <c r="CU1108">
        <v>1</v>
      </c>
      <c r="CV1108">
        <v>1</v>
      </c>
      <c r="CX1108">
        <v>1</v>
      </c>
      <c r="CZ1108">
        <v>8.1018518518518516E-5</v>
      </c>
      <c r="DA1108">
        <v>8.1018518518518516E-5</v>
      </c>
      <c r="DB1108">
        <v>0.14180555555555555</v>
      </c>
      <c r="DC1108">
        <v>0.1463888888888889</v>
      </c>
      <c r="DD1108">
        <v>129</v>
      </c>
      <c r="DE1108">
        <v>152</v>
      </c>
      <c r="DF1108">
        <v>8</v>
      </c>
      <c r="DG1108">
        <v>1.625</v>
      </c>
      <c r="DH1108">
        <v>15725</v>
      </c>
      <c r="DI1108">
        <v>6.2E-2</v>
      </c>
      <c r="DQ1108">
        <v>50</v>
      </c>
    </row>
    <row r="1109" spans="95:122" x14ac:dyDescent="0.25">
      <c r="CQ1109" t="s">
        <v>636</v>
      </c>
      <c r="CR1109" t="s">
        <v>6</v>
      </c>
      <c r="CS1109" t="s">
        <v>78</v>
      </c>
      <c r="CT1109">
        <v>46078</v>
      </c>
      <c r="CU1109">
        <v>1</v>
      </c>
      <c r="CV1109">
        <v>1</v>
      </c>
      <c r="CZ1109">
        <v>3.0092592592592595E-4</v>
      </c>
      <c r="DA1109">
        <v>3.0092592592592595E-4</v>
      </c>
      <c r="DB1109">
        <v>0.10837962962962963</v>
      </c>
      <c r="DC1109">
        <v>0.14848379629629629</v>
      </c>
      <c r="DD1109">
        <v>91</v>
      </c>
      <c r="DE1109">
        <v>169</v>
      </c>
      <c r="DF1109">
        <v>21</v>
      </c>
      <c r="DG1109" t="s">
        <v>679</v>
      </c>
      <c r="DH1109">
        <v>16472</v>
      </c>
      <c r="DI1109">
        <v>0.23080000000000001</v>
      </c>
      <c r="DJ1109">
        <v>2</v>
      </c>
      <c r="DK1109">
        <v>9.5200000000000007E-2</v>
      </c>
      <c r="DL1109">
        <v>840</v>
      </c>
      <c r="DM1109">
        <v>420</v>
      </c>
      <c r="DN1109">
        <v>310</v>
      </c>
      <c r="DO1109">
        <v>0.36899999999999999</v>
      </c>
      <c r="DP1109">
        <v>0.31630000000000003</v>
      </c>
      <c r="DQ1109">
        <v>50</v>
      </c>
      <c r="DR1109">
        <v>310</v>
      </c>
    </row>
    <row r="1110" spans="95:122" x14ac:dyDescent="0.25">
      <c r="CQ1110" t="s">
        <v>636</v>
      </c>
      <c r="CR1110" t="s">
        <v>3</v>
      </c>
      <c r="CS1110" t="s">
        <v>377</v>
      </c>
      <c r="CT1110">
        <v>46077</v>
      </c>
      <c r="CU1110">
        <v>1</v>
      </c>
      <c r="CV1110">
        <v>1</v>
      </c>
      <c r="CX1110">
        <v>1</v>
      </c>
      <c r="CZ1110">
        <v>3.4722222222222224E-4</v>
      </c>
      <c r="DA1110">
        <v>3.4722222222222224E-4</v>
      </c>
      <c r="DB1110">
        <v>0.11673611111111111</v>
      </c>
      <c r="DC1110">
        <v>0.21607638888888889</v>
      </c>
      <c r="DD1110">
        <v>88</v>
      </c>
      <c r="DE1110">
        <v>179</v>
      </c>
      <c r="DF1110">
        <v>26</v>
      </c>
      <c r="DG1110" t="s">
        <v>1012</v>
      </c>
      <c r="DH1110">
        <v>22224</v>
      </c>
      <c r="DI1110">
        <v>0.29549999999999998</v>
      </c>
      <c r="DQ1110">
        <v>50</v>
      </c>
    </row>
    <row r="1111" spans="95:122" x14ac:dyDescent="0.25">
      <c r="CQ1111" t="s">
        <v>636</v>
      </c>
      <c r="CR1111" t="s">
        <v>3</v>
      </c>
      <c r="CS1111" t="s">
        <v>65</v>
      </c>
      <c r="CT1111">
        <v>46077</v>
      </c>
      <c r="CU1111">
        <v>1</v>
      </c>
      <c r="CV1111">
        <v>1</v>
      </c>
      <c r="CX1111">
        <v>1</v>
      </c>
      <c r="CZ1111">
        <v>1.8518518518518518E-4</v>
      </c>
      <c r="DA1111">
        <v>1.8518518518518518E-4</v>
      </c>
      <c r="DB1111">
        <v>0.1966087962962963</v>
      </c>
      <c r="DC1111">
        <v>0.15640046296296295</v>
      </c>
      <c r="DD1111">
        <v>78</v>
      </c>
      <c r="DE1111">
        <v>174</v>
      </c>
      <c r="DF1111">
        <v>19</v>
      </c>
      <c r="DG1111" t="s">
        <v>1132</v>
      </c>
      <c r="DH1111">
        <v>19400</v>
      </c>
      <c r="DI1111">
        <v>0.24360000000000001</v>
      </c>
      <c r="DQ1111">
        <v>50</v>
      </c>
    </row>
    <row r="1112" spans="95:122" x14ac:dyDescent="0.25">
      <c r="CQ1112" t="s">
        <v>636</v>
      </c>
      <c r="CR1112" t="s">
        <v>3</v>
      </c>
      <c r="CS1112" t="s">
        <v>33</v>
      </c>
      <c r="CT1112">
        <v>46055</v>
      </c>
      <c r="CU1112">
        <v>1</v>
      </c>
      <c r="CV1112">
        <v>1</v>
      </c>
      <c r="CX1112">
        <v>1</v>
      </c>
      <c r="CZ1112">
        <v>2.0486111111111113E-3</v>
      </c>
      <c r="DA1112">
        <v>2.0486111111111113E-3</v>
      </c>
      <c r="DB1112">
        <v>3.8854166666666669E-2</v>
      </c>
      <c r="DC1112">
        <v>1.1041666666666667E-2</v>
      </c>
      <c r="DD1112">
        <v>66</v>
      </c>
      <c r="DE1112">
        <v>103</v>
      </c>
      <c r="DF1112">
        <v>19</v>
      </c>
      <c r="DG1112" t="s">
        <v>1034</v>
      </c>
      <c r="DH1112">
        <v>30263</v>
      </c>
      <c r="DI1112">
        <v>0.28789999999999999</v>
      </c>
      <c r="DJ1112">
        <v>2</v>
      </c>
      <c r="DK1112">
        <v>0.1053</v>
      </c>
      <c r="DL1112">
        <v>582</v>
      </c>
      <c r="DM1112">
        <v>291</v>
      </c>
      <c r="DQ1112">
        <v>50</v>
      </c>
    </row>
    <row r="1113" spans="95:122" x14ac:dyDescent="0.25">
      <c r="CQ1113" t="s">
        <v>636</v>
      </c>
      <c r="CR1113" t="s">
        <v>3</v>
      </c>
      <c r="CS1113" t="s">
        <v>31</v>
      </c>
      <c r="CT1113">
        <v>46077</v>
      </c>
      <c r="CU1113">
        <v>1</v>
      </c>
      <c r="CV1113">
        <v>1</v>
      </c>
      <c r="CX1113">
        <v>1</v>
      </c>
      <c r="CZ1113">
        <v>3.0092592592592595E-4</v>
      </c>
      <c r="DA1113">
        <v>3.0092592592592595E-4</v>
      </c>
      <c r="DB1113">
        <v>0.19442129629629629</v>
      </c>
      <c r="DC1113">
        <v>0.1320486111111111</v>
      </c>
      <c r="DD1113">
        <v>88</v>
      </c>
      <c r="DE1113">
        <v>156</v>
      </c>
      <c r="DF1113">
        <v>10</v>
      </c>
      <c r="DG1113">
        <v>1.6</v>
      </c>
      <c r="DH1113">
        <v>30912</v>
      </c>
      <c r="DI1113">
        <v>0.11360000000000001</v>
      </c>
      <c r="DQ1113">
        <v>50</v>
      </c>
    </row>
    <row r="1114" spans="95:122" x14ac:dyDescent="0.25">
      <c r="CQ1114" t="s">
        <v>636</v>
      </c>
      <c r="CR1114" t="s">
        <v>124</v>
      </c>
      <c r="CS1114" t="s">
        <v>41</v>
      </c>
      <c r="CT1114">
        <v>46055</v>
      </c>
      <c r="CU1114">
        <v>1</v>
      </c>
      <c r="CV1114">
        <v>1</v>
      </c>
      <c r="CZ1114">
        <v>0</v>
      </c>
      <c r="DA1114">
        <v>0</v>
      </c>
      <c r="DB1114">
        <v>0</v>
      </c>
      <c r="DC1114">
        <v>0</v>
      </c>
      <c r="DD1114">
        <v>5</v>
      </c>
      <c r="DE1114">
        <v>6</v>
      </c>
      <c r="DF1114">
        <v>5</v>
      </c>
      <c r="DG1114">
        <v>1.2</v>
      </c>
      <c r="DH1114">
        <v>11082</v>
      </c>
      <c r="DI1114">
        <v>1</v>
      </c>
      <c r="DQ1114">
        <v>48</v>
      </c>
    </row>
    <row r="1115" spans="95:122" x14ac:dyDescent="0.25">
      <c r="CQ1115" t="s">
        <v>636</v>
      </c>
      <c r="CR1115" t="s">
        <v>124</v>
      </c>
      <c r="CS1115" t="s">
        <v>40</v>
      </c>
      <c r="CT1115">
        <v>46055</v>
      </c>
      <c r="CU1115">
        <v>1</v>
      </c>
      <c r="CV1115">
        <v>1</v>
      </c>
      <c r="CY1115">
        <v>1</v>
      </c>
      <c r="CZ1115">
        <v>0</v>
      </c>
      <c r="DA1115">
        <v>0</v>
      </c>
      <c r="DB1115">
        <v>0</v>
      </c>
      <c r="DC1115">
        <v>0</v>
      </c>
      <c r="DQ1115">
        <v>48</v>
      </c>
    </row>
    <row r="1116" spans="95:122" x14ac:dyDescent="0.25">
      <c r="CQ1116" t="s">
        <v>636</v>
      </c>
      <c r="CR1116" t="s">
        <v>124</v>
      </c>
      <c r="CS1116" t="s">
        <v>544</v>
      </c>
      <c r="CT1116">
        <v>46055</v>
      </c>
      <c r="CU1116">
        <v>1</v>
      </c>
      <c r="CV1116">
        <v>1</v>
      </c>
      <c r="CW1116">
        <v>1</v>
      </c>
      <c r="CZ1116">
        <v>0.29841435185185183</v>
      </c>
      <c r="DA1116">
        <v>0.29841435185185183</v>
      </c>
      <c r="DB1116">
        <v>1.5381944444444445E-2</v>
      </c>
      <c r="DC1116">
        <v>1.607638888888889E-2</v>
      </c>
      <c r="DD1116">
        <v>19</v>
      </c>
      <c r="DE1116">
        <v>35</v>
      </c>
      <c r="DF1116">
        <v>8</v>
      </c>
      <c r="DG1116">
        <v>1.875</v>
      </c>
      <c r="DH1116">
        <v>2764</v>
      </c>
      <c r="DI1116">
        <v>0.42109999999999997</v>
      </c>
      <c r="DQ1116">
        <v>48</v>
      </c>
    </row>
    <row r="1117" spans="95:122" x14ac:dyDescent="0.25">
      <c r="CQ1117" t="s">
        <v>636</v>
      </c>
      <c r="CR1117" t="s">
        <v>125</v>
      </c>
      <c r="CS1117" t="s">
        <v>18</v>
      </c>
      <c r="CT1117">
        <v>46064</v>
      </c>
      <c r="CU1117">
        <v>1</v>
      </c>
      <c r="CV1117">
        <v>1</v>
      </c>
      <c r="CX1117">
        <v>1</v>
      </c>
      <c r="CZ1117">
        <v>0</v>
      </c>
      <c r="DA1117">
        <v>0</v>
      </c>
      <c r="DB1117">
        <v>5.0694444444444441E-3</v>
      </c>
      <c r="DC1117">
        <v>1.0520833333333333E-2</v>
      </c>
      <c r="DD1117">
        <v>166</v>
      </c>
      <c r="DE1117">
        <v>335</v>
      </c>
      <c r="DF1117">
        <v>17</v>
      </c>
      <c r="DG1117" t="s">
        <v>820</v>
      </c>
      <c r="DH1117">
        <v>15535</v>
      </c>
      <c r="DI1117">
        <v>0.1024</v>
      </c>
      <c r="DQ1117">
        <v>48</v>
      </c>
    </row>
    <row r="1118" spans="95:122" x14ac:dyDescent="0.25">
      <c r="CQ1118" t="s">
        <v>636</v>
      </c>
      <c r="CR1118" t="s">
        <v>125</v>
      </c>
      <c r="CS1118" t="s">
        <v>85</v>
      </c>
      <c r="CT1118">
        <v>46064</v>
      </c>
      <c r="CU1118">
        <v>1</v>
      </c>
      <c r="CV1118">
        <v>1</v>
      </c>
      <c r="CX1118">
        <v>1</v>
      </c>
      <c r="CZ1118">
        <v>0</v>
      </c>
      <c r="DA1118">
        <v>0</v>
      </c>
      <c r="DB1118">
        <v>0</v>
      </c>
      <c r="DC1118">
        <v>1.0416666666666667E-4</v>
      </c>
      <c r="DD1118">
        <v>113</v>
      </c>
      <c r="DE1118">
        <v>220</v>
      </c>
      <c r="DF1118">
        <v>19</v>
      </c>
      <c r="DG1118" t="s">
        <v>936</v>
      </c>
      <c r="DH1118">
        <v>26895</v>
      </c>
      <c r="DI1118">
        <v>0.1681</v>
      </c>
      <c r="DQ1118">
        <v>48</v>
      </c>
    </row>
    <row r="1119" spans="95:122" x14ac:dyDescent="0.25">
      <c r="CQ1119" t="s">
        <v>636</v>
      </c>
      <c r="CR1119" t="s">
        <v>125</v>
      </c>
      <c r="CS1119" t="s">
        <v>72</v>
      </c>
      <c r="CT1119">
        <v>46062</v>
      </c>
      <c r="CU1119">
        <v>1</v>
      </c>
      <c r="CV1119">
        <v>1</v>
      </c>
      <c r="CZ1119">
        <v>0</v>
      </c>
      <c r="DA1119">
        <v>0</v>
      </c>
      <c r="DB1119">
        <v>0</v>
      </c>
      <c r="DC1119">
        <v>0</v>
      </c>
      <c r="DQ1119">
        <v>48</v>
      </c>
    </row>
    <row r="1120" spans="95:122" x14ac:dyDescent="0.25">
      <c r="CQ1120" t="s">
        <v>636</v>
      </c>
      <c r="CR1120" t="s">
        <v>125</v>
      </c>
      <c r="CS1120" t="s">
        <v>72</v>
      </c>
      <c r="CT1120">
        <v>46066</v>
      </c>
      <c r="CU1120">
        <v>1</v>
      </c>
      <c r="CV1120">
        <v>1</v>
      </c>
      <c r="CZ1120">
        <v>0</v>
      </c>
      <c r="DA1120">
        <v>0</v>
      </c>
      <c r="DB1120">
        <v>0</v>
      </c>
      <c r="DC1120">
        <v>0</v>
      </c>
      <c r="DQ1120">
        <v>48</v>
      </c>
    </row>
    <row r="1121" spans="95:122" x14ac:dyDescent="0.25">
      <c r="CQ1121" t="s">
        <v>636</v>
      </c>
      <c r="CR1121" t="s">
        <v>2</v>
      </c>
      <c r="CS1121" t="s">
        <v>68</v>
      </c>
      <c r="CT1121">
        <v>46056</v>
      </c>
      <c r="CU1121">
        <v>1</v>
      </c>
      <c r="CV1121">
        <v>1</v>
      </c>
      <c r="CZ1121">
        <v>0</v>
      </c>
      <c r="DA1121">
        <v>0</v>
      </c>
      <c r="DB1121">
        <v>0</v>
      </c>
      <c r="DC1121">
        <v>0</v>
      </c>
      <c r="DQ1121">
        <v>48</v>
      </c>
    </row>
    <row r="1122" spans="95:122" x14ac:dyDescent="0.25">
      <c r="CQ1122" t="s">
        <v>636</v>
      </c>
      <c r="CR1122" t="s">
        <v>2</v>
      </c>
      <c r="CS1122" t="s">
        <v>68</v>
      </c>
      <c r="CT1122">
        <v>46062</v>
      </c>
      <c r="CU1122">
        <v>1</v>
      </c>
      <c r="CV1122">
        <v>1</v>
      </c>
      <c r="CZ1122">
        <v>0</v>
      </c>
      <c r="DA1122">
        <v>0</v>
      </c>
      <c r="DB1122">
        <v>0</v>
      </c>
      <c r="DC1122">
        <v>0</v>
      </c>
      <c r="DQ1122">
        <v>48</v>
      </c>
    </row>
    <row r="1123" spans="95:122" x14ac:dyDescent="0.25">
      <c r="CQ1123" t="s">
        <v>636</v>
      </c>
      <c r="CR1123" t="s">
        <v>2</v>
      </c>
      <c r="CS1123" t="s">
        <v>76</v>
      </c>
      <c r="CT1123">
        <v>46062</v>
      </c>
      <c r="CU1123">
        <v>1</v>
      </c>
      <c r="CV1123">
        <v>1</v>
      </c>
      <c r="CW1123">
        <v>1</v>
      </c>
      <c r="CZ1123">
        <v>7.9282407407407409E-3</v>
      </c>
      <c r="DA1123">
        <v>7.9282407407407409E-3</v>
      </c>
      <c r="DB1123">
        <v>1.3171296296296296E-2</v>
      </c>
      <c r="DC1123">
        <v>1.4317129629629629E-2</v>
      </c>
      <c r="DD1123">
        <v>42</v>
      </c>
      <c r="DE1123">
        <v>63</v>
      </c>
      <c r="DF1123">
        <v>9</v>
      </c>
      <c r="DG1123" t="s">
        <v>697</v>
      </c>
      <c r="DH1123">
        <v>28994</v>
      </c>
      <c r="DI1123">
        <v>0.21429999999999999</v>
      </c>
      <c r="DQ1123">
        <v>48</v>
      </c>
    </row>
    <row r="1124" spans="95:122" x14ac:dyDescent="0.25">
      <c r="CQ1124" t="s">
        <v>636</v>
      </c>
      <c r="CR1124" t="s">
        <v>6</v>
      </c>
      <c r="CS1124" t="s">
        <v>37</v>
      </c>
      <c r="CT1124">
        <v>46055</v>
      </c>
      <c r="CU1124">
        <v>1</v>
      </c>
      <c r="CV1124">
        <v>1</v>
      </c>
      <c r="CX1124">
        <v>1</v>
      </c>
      <c r="CZ1124">
        <v>3.4722222222222222E-5</v>
      </c>
      <c r="DA1124">
        <v>3.4722222222222222E-5</v>
      </c>
      <c r="DB1124">
        <v>3.4363425925925929E-2</v>
      </c>
      <c r="DC1124">
        <v>3.1122685185185184E-2</v>
      </c>
      <c r="DD1124">
        <v>64</v>
      </c>
      <c r="DE1124">
        <v>95</v>
      </c>
      <c r="DF1124">
        <v>12</v>
      </c>
      <c r="DG1124" t="s">
        <v>1022</v>
      </c>
      <c r="DH1124">
        <v>8813</v>
      </c>
      <c r="DI1124">
        <v>0.1875</v>
      </c>
      <c r="DJ1124">
        <v>2</v>
      </c>
      <c r="DK1124">
        <v>0.16669999999999999</v>
      </c>
      <c r="DL1124">
        <v>415</v>
      </c>
      <c r="DM1124">
        <v>208</v>
      </c>
      <c r="DN1124">
        <v>123</v>
      </c>
      <c r="DO1124">
        <v>0.2964</v>
      </c>
      <c r="DP1124">
        <v>0.37590000000000001</v>
      </c>
      <c r="DQ1124">
        <v>48</v>
      </c>
      <c r="DR1124">
        <v>123</v>
      </c>
    </row>
    <row r="1125" spans="95:122" x14ac:dyDescent="0.25">
      <c r="CQ1125" t="s">
        <v>636</v>
      </c>
      <c r="CR1125" t="s">
        <v>6</v>
      </c>
      <c r="CS1125" t="s">
        <v>11</v>
      </c>
      <c r="CT1125">
        <v>46063</v>
      </c>
      <c r="CU1125">
        <v>1</v>
      </c>
      <c r="CV1125">
        <v>1</v>
      </c>
      <c r="CZ1125">
        <v>0</v>
      </c>
      <c r="DA1125">
        <v>0</v>
      </c>
      <c r="DB1125">
        <v>0</v>
      </c>
      <c r="DC1125">
        <v>0</v>
      </c>
      <c r="DQ1125">
        <v>48</v>
      </c>
    </row>
    <row r="1126" spans="95:122" x14ac:dyDescent="0.25">
      <c r="CQ1126" t="s">
        <v>636</v>
      </c>
      <c r="CR1126" t="s">
        <v>3</v>
      </c>
      <c r="CS1126" t="s">
        <v>24</v>
      </c>
      <c r="CT1126">
        <v>46071</v>
      </c>
      <c r="CU1126">
        <v>1</v>
      </c>
      <c r="CV1126">
        <v>1</v>
      </c>
      <c r="CZ1126">
        <v>0</v>
      </c>
      <c r="DA1126">
        <v>0</v>
      </c>
      <c r="DB1126">
        <v>0</v>
      </c>
      <c r="DC1126">
        <v>0</v>
      </c>
      <c r="DQ1126">
        <v>48</v>
      </c>
    </row>
    <row r="1127" spans="95:122" x14ac:dyDescent="0.25">
      <c r="CQ1127" t="s">
        <v>636</v>
      </c>
      <c r="CR1127" t="s">
        <v>125</v>
      </c>
      <c r="CS1127" t="s">
        <v>85</v>
      </c>
      <c r="CT1127">
        <v>46059</v>
      </c>
      <c r="CU1127">
        <v>1</v>
      </c>
      <c r="CV1127">
        <v>1</v>
      </c>
      <c r="CX1127">
        <v>1</v>
      </c>
      <c r="CZ1127">
        <v>0</v>
      </c>
      <c r="DA1127">
        <v>0</v>
      </c>
      <c r="DB1127">
        <v>0</v>
      </c>
      <c r="DC1127">
        <v>1.3888888888888889E-4</v>
      </c>
      <c r="DD1127">
        <v>109</v>
      </c>
      <c r="DE1127">
        <v>203</v>
      </c>
      <c r="DF1127">
        <v>15</v>
      </c>
      <c r="DG1127">
        <v>1.2</v>
      </c>
      <c r="DH1127">
        <v>46284</v>
      </c>
      <c r="DI1127">
        <v>0.1376</v>
      </c>
      <c r="DQ1127">
        <v>46</v>
      </c>
    </row>
    <row r="1128" spans="95:122" x14ac:dyDescent="0.25">
      <c r="CQ1128" t="s">
        <v>636</v>
      </c>
      <c r="CR1128" t="s">
        <v>125</v>
      </c>
      <c r="CS1128" t="s">
        <v>206</v>
      </c>
      <c r="CT1128">
        <v>46059</v>
      </c>
      <c r="CU1128">
        <v>1</v>
      </c>
      <c r="CV1128">
        <v>1</v>
      </c>
      <c r="CX1128">
        <v>1</v>
      </c>
      <c r="CZ1128">
        <v>3.4722222222222222E-5</v>
      </c>
      <c r="DA1128">
        <v>3.4722222222222222E-5</v>
      </c>
      <c r="DB1128">
        <v>5.7175925925925929E-2</v>
      </c>
      <c r="DC1128">
        <v>2.2164351851851852E-2</v>
      </c>
      <c r="DD1128">
        <v>164</v>
      </c>
      <c r="DE1128">
        <v>307</v>
      </c>
      <c r="DF1128">
        <v>25</v>
      </c>
      <c r="DG1128">
        <v>1.36</v>
      </c>
      <c r="DH1128">
        <v>21062</v>
      </c>
      <c r="DI1128">
        <v>0.15240000000000001</v>
      </c>
      <c r="DQ1128">
        <v>46</v>
      </c>
    </row>
    <row r="1129" spans="95:122" x14ac:dyDescent="0.25">
      <c r="CQ1129" t="s">
        <v>636</v>
      </c>
      <c r="CR1129" t="s">
        <v>2</v>
      </c>
      <c r="CS1129" t="s">
        <v>42</v>
      </c>
      <c r="CT1129">
        <v>46077</v>
      </c>
      <c r="CU1129">
        <v>1</v>
      </c>
      <c r="CV1129">
        <v>1</v>
      </c>
      <c r="CX1129">
        <v>1</v>
      </c>
      <c r="CZ1129">
        <v>2.5462962962962961E-4</v>
      </c>
      <c r="DA1129">
        <v>2.5462962962962961E-4</v>
      </c>
      <c r="DB1129">
        <v>0.18429398148148149</v>
      </c>
      <c r="DC1129">
        <v>0.14030092592592591</v>
      </c>
      <c r="DD1129">
        <v>60</v>
      </c>
      <c r="DE1129">
        <v>130</v>
      </c>
      <c r="DF1129">
        <v>26</v>
      </c>
      <c r="DG1129" t="s">
        <v>937</v>
      </c>
      <c r="DH1129">
        <v>26120</v>
      </c>
      <c r="DI1129">
        <v>0.43330000000000002</v>
      </c>
      <c r="DQ1129">
        <v>46</v>
      </c>
    </row>
    <row r="1130" spans="95:122" x14ac:dyDescent="0.25">
      <c r="CQ1130" t="s">
        <v>636</v>
      </c>
      <c r="CR1130" t="s">
        <v>2</v>
      </c>
      <c r="CS1130" t="s">
        <v>25</v>
      </c>
      <c r="CT1130">
        <v>46070</v>
      </c>
      <c r="CU1130">
        <v>1</v>
      </c>
      <c r="CV1130">
        <v>1</v>
      </c>
      <c r="CX1130">
        <v>1</v>
      </c>
      <c r="CZ1130">
        <v>2.4537037037037036E-3</v>
      </c>
      <c r="DA1130">
        <v>2.4537037037037036E-3</v>
      </c>
      <c r="DB1130">
        <v>0.20256944444444444</v>
      </c>
      <c r="DC1130">
        <v>0.12519675925925927</v>
      </c>
      <c r="DD1130">
        <v>76</v>
      </c>
      <c r="DE1130">
        <v>127</v>
      </c>
      <c r="DF1130">
        <v>25</v>
      </c>
      <c r="DG1130">
        <v>1.6</v>
      </c>
      <c r="DH1130">
        <v>11951</v>
      </c>
      <c r="DI1130">
        <v>0.32890000000000003</v>
      </c>
      <c r="DQ1130">
        <v>46</v>
      </c>
    </row>
    <row r="1131" spans="95:122" x14ac:dyDescent="0.25">
      <c r="CQ1131" t="s">
        <v>636</v>
      </c>
      <c r="CR1131" t="s">
        <v>2</v>
      </c>
      <c r="CS1131" t="s">
        <v>79</v>
      </c>
      <c r="CT1131">
        <v>46070</v>
      </c>
      <c r="CU1131">
        <v>1</v>
      </c>
      <c r="CV1131">
        <v>1</v>
      </c>
      <c r="CX1131">
        <v>1</v>
      </c>
      <c r="CZ1131">
        <v>6.9444444444444444E-5</v>
      </c>
      <c r="DA1131">
        <v>6.9444444444444444E-5</v>
      </c>
      <c r="DB1131">
        <v>0.2427199074074074</v>
      </c>
      <c r="DC1131">
        <v>8.8715277777777782E-2</v>
      </c>
      <c r="DD1131">
        <v>63</v>
      </c>
      <c r="DE1131">
        <v>160</v>
      </c>
      <c r="DF1131">
        <v>20</v>
      </c>
      <c r="DG1131">
        <v>1.7</v>
      </c>
      <c r="DH1131">
        <v>34933</v>
      </c>
      <c r="DI1131">
        <v>0.3175</v>
      </c>
      <c r="DQ1131">
        <v>46</v>
      </c>
    </row>
    <row r="1132" spans="95:122" x14ac:dyDescent="0.25">
      <c r="CQ1132" t="s">
        <v>636</v>
      </c>
      <c r="CR1132" t="s">
        <v>2</v>
      </c>
      <c r="CS1132" t="s">
        <v>79</v>
      </c>
      <c r="CT1132">
        <v>46080</v>
      </c>
      <c r="CU1132">
        <v>1</v>
      </c>
      <c r="CV1132">
        <v>1</v>
      </c>
      <c r="CX1132">
        <v>1</v>
      </c>
      <c r="CZ1132">
        <v>3.4722222222222224E-4</v>
      </c>
      <c r="DA1132">
        <v>3.4722222222222224E-4</v>
      </c>
      <c r="DB1132">
        <v>0.22612268518518519</v>
      </c>
      <c r="DC1132">
        <v>0.16854166666666667</v>
      </c>
      <c r="DD1132">
        <v>65</v>
      </c>
      <c r="DE1132">
        <v>153</v>
      </c>
      <c r="DF1132">
        <v>31</v>
      </c>
      <c r="DG1132" t="s">
        <v>750</v>
      </c>
      <c r="DH1132">
        <v>25961</v>
      </c>
      <c r="DI1132">
        <v>0.47689999999999999</v>
      </c>
      <c r="DQ1132">
        <v>46</v>
      </c>
    </row>
    <row r="1133" spans="95:122" x14ac:dyDescent="0.25">
      <c r="CQ1133" t="s">
        <v>636</v>
      </c>
      <c r="CR1133" t="s">
        <v>2</v>
      </c>
      <c r="CS1133" t="s">
        <v>76</v>
      </c>
      <c r="CT1133">
        <v>46077</v>
      </c>
      <c r="CU1133">
        <v>1</v>
      </c>
      <c r="CV1133">
        <v>1</v>
      </c>
      <c r="CX1133">
        <v>1</v>
      </c>
      <c r="CZ1133">
        <v>0</v>
      </c>
      <c r="DA1133">
        <v>0</v>
      </c>
      <c r="DB1133">
        <v>0.1925462962962963</v>
      </c>
      <c r="DC1133">
        <v>0.11997685185185185</v>
      </c>
      <c r="DD1133">
        <v>94</v>
      </c>
      <c r="DE1133">
        <v>128</v>
      </c>
      <c r="DF1133">
        <v>19</v>
      </c>
      <c r="DG1133" t="s">
        <v>721</v>
      </c>
      <c r="DH1133">
        <v>16964</v>
      </c>
      <c r="DI1133">
        <v>0.2021</v>
      </c>
      <c r="DQ1133">
        <v>46</v>
      </c>
    </row>
    <row r="1134" spans="95:122" x14ac:dyDescent="0.25">
      <c r="CQ1134" t="s">
        <v>636</v>
      </c>
      <c r="CR1134" t="s">
        <v>2</v>
      </c>
      <c r="CS1134" t="s">
        <v>76</v>
      </c>
      <c r="CT1134">
        <v>46080</v>
      </c>
      <c r="CU1134">
        <v>1</v>
      </c>
      <c r="CV1134">
        <v>1</v>
      </c>
      <c r="CX1134">
        <v>1</v>
      </c>
      <c r="CZ1134">
        <v>0</v>
      </c>
      <c r="DA1134">
        <v>0</v>
      </c>
      <c r="DB1134">
        <v>0.25900462962962961</v>
      </c>
      <c r="DC1134">
        <v>0.11486111111111111</v>
      </c>
      <c r="DD1134">
        <v>79</v>
      </c>
      <c r="DE1134">
        <v>111</v>
      </c>
      <c r="DF1134">
        <v>19</v>
      </c>
      <c r="DG1134" t="s">
        <v>691</v>
      </c>
      <c r="DH1134">
        <v>32038</v>
      </c>
      <c r="DI1134">
        <v>0.24049999999999999</v>
      </c>
      <c r="DQ1134">
        <v>46</v>
      </c>
    </row>
    <row r="1135" spans="95:122" x14ac:dyDescent="0.25">
      <c r="CQ1135" t="s">
        <v>636</v>
      </c>
      <c r="CR1135" t="s">
        <v>6</v>
      </c>
      <c r="CS1135" t="s">
        <v>80</v>
      </c>
      <c r="CT1135">
        <v>46069</v>
      </c>
      <c r="CU1135">
        <v>1</v>
      </c>
      <c r="CV1135">
        <v>1</v>
      </c>
      <c r="CX1135">
        <v>1</v>
      </c>
      <c r="CZ1135">
        <v>1.273148148148148E-4</v>
      </c>
      <c r="DA1135">
        <v>1.273148148148148E-4</v>
      </c>
      <c r="DB1135">
        <v>0.24520833333333333</v>
      </c>
      <c r="DC1135">
        <v>0.10361111111111111</v>
      </c>
      <c r="DD1135">
        <v>86</v>
      </c>
      <c r="DE1135">
        <v>117</v>
      </c>
      <c r="DF1135">
        <v>8</v>
      </c>
      <c r="DG1135">
        <v>1.75</v>
      </c>
      <c r="DH1135">
        <v>33682</v>
      </c>
      <c r="DI1135">
        <v>9.2999999999999999E-2</v>
      </c>
      <c r="DQ1135">
        <v>46</v>
      </c>
    </row>
    <row r="1136" spans="95:122" x14ac:dyDescent="0.25">
      <c r="CQ1136" t="s">
        <v>636</v>
      </c>
      <c r="CR1136" t="s">
        <v>6</v>
      </c>
      <c r="CS1136" t="s">
        <v>50</v>
      </c>
      <c r="CT1136">
        <v>46062</v>
      </c>
      <c r="CU1136">
        <v>1</v>
      </c>
      <c r="CV1136">
        <v>1</v>
      </c>
      <c r="CX1136">
        <v>1</v>
      </c>
      <c r="CZ1136">
        <v>9.2592592592592588E-5</v>
      </c>
      <c r="DA1136">
        <v>9.2592592592592588E-5</v>
      </c>
      <c r="DB1136">
        <v>1.8078703703703704E-2</v>
      </c>
      <c r="DC1136">
        <v>3.0231481481481481E-2</v>
      </c>
      <c r="DD1136">
        <v>79</v>
      </c>
      <c r="DE1136">
        <v>134</v>
      </c>
      <c r="DF1136">
        <v>9</v>
      </c>
      <c r="DG1136" t="s">
        <v>718</v>
      </c>
      <c r="DH1136">
        <v>24899</v>
      </c>
      <c r="DI1136">
        <v>0.1139</v>
      </c>
      <c r="DJ1136">
        <v>1</v>
      </c>
      <c r="DK1136">
        <v>0.1111</v>
      </c>
      <c r="DL1136">
        <v>340</v>
      </c>
      <c r="DM1136">
        <v>340</v>
      </c>
      <c r="DQ1136">
        <v>46</v>
      </c>
    </row>
    <row r="1137" spans="95:121" x14ac:dyDescent="0.25">
      <c r="CQ1137" t="s">
        <v>636</v>
      </c>
      <c r="CR1137" t="s">
        <v>6</v>
      </c>
      <c r="CS1137" t="s">
        <v>34</v>
      </c>
      <c r="CT1137">
        <v>46069</v>
      </c>
      <c r="CU1137">
        <v>1</v>
      </c>
      <c r="CV1137">
        <v>1</v>
      </c>
      <c r="CX1137">
        <v>1</v>
      </c>
      <c r="CZ1137">
        <v>3.1250000000000001E-4</v>
      </c>
      <c r="DA1137">
        <v>3.1250000000000001E-4</v>
      </c>
      <c r="DB1137">
        <v>0.22268518518518518</v>
      </c>
      <c r="DC1137">
        <v>0.13627314814814814</v>
      </c>
      <c r="DD1137">
        <v>139</v>
      </c>
      <c r="DE1137">
        <v>168</v>
      </c>
      <c r="DF1137">
        <v>20</v>
      </c>
      <c r="DG1137">
        <v>1.65</v>
      </c>
      <c r="DH1137">
        <v>14049</v>
      </c>
      <c r="DI1137">
        <v>0.1439</v>
      </c>
      <c r="DQ1137">
        <v>46</v>
      </c>
    </row>
    <row r="1138" spans="95:121" x14ac:dyDescent="0.25">
      <c r="CQ1138" t="s">
        <v>636</v>
      </c>
      <c r="CR1138" t="s">
        <v>3</v>
      </c>
      <c r="CS1138" t="s">
        <v>13</v>
      </c>
      <c r="CT1138">
        <v>46079</v>
      </c>
      <c r="CU1138">
        <v>1</v>
      </c>
      <c r="CV1138">
        <v>1</v>
      </c>
      <c r="CX1138">
        <v>1</v>
      </c>
      <c r="CZ1138">
        <v>1.3888888888888889E-4</v>
      </c>
      <c r="DA1138">
        <v>1.3888888888888889E-4</v>
      </c>
      <c r="DB1138">
        <v>0.20091435185185186</v>
      </c>
      <c r="DC1138">
        <v>0.13961805555555556</v>
      </c>
      <c r="DD1138">
        <v>82</v>
      </c>
      <c r="DE1138">
        <v>182</v>
      </c>
      <c r="DF1138">
        <v>14</v>
      </c>
      <c r="DG1138" t="s">
        <v>762</v>
      </c>
      <c r="DH1138">
        <v>46382</v>
      </c>
      <c r="DI1138">
        <v>0.17069999999999999</v>
      </c>
      <c r="DQ1138">
        <v>46</v>
      </c>
    </row>
    <row r="1139" spans="95:121" x14ac:dyDescent="0.25">
      <c r="CQ1139" t="s">
        <v>636</v>
      </c>
      <c r="CR1139" t="s">
        <v>3</v>
      </c>
      <c r="CS1139" t="s">
        <v>17</v>
      </c>
      <c r="CT1139">
        <v>46079</v>
      </c>
      <c r="CU1139">
        <v>1</v>
      </c>
      <c r="CV1139">
        <v>1</v>
      </c>
      <c r="CX1139">
        <v>1</v>
      </c>
      <c r="CZ1139">
        <v>3.1250000000000001E-4</v>
      </c>
      <c r="DA1139">
        <v>3.1250000000000001E-4</v>
      </c>
      <c r="DB1139">
        <v>0.17927083333333332</v>
      </c>
      <c r="DC1139">
        <v>0.13512731481481483</v>
      </c>
      <c r="DD1139">
        <v>70</v>
      </c>
      <c r="DE1139">
        <v>142</v>
      </c>
      <c r="DF1139">
        <v>17</v>
      </c>
      <c r="DG1139" t="s">
        <v>839</v>
      </c>
      <c r="DH1139">
        <v>39877</v>
      </c>
      <c r="DI1139">
        <v>0.2429</v>
      </c>
      <c r="DQ1139">
        <v>46</v>
      </c>
    </row>
    <row r="1140" spans="95:121" x14ac:dyDescent="0.25">
      <c r="CQ1140" t="s">
        <v>636</v>
      </c>
      <c r="CR1140" t="s">
        <v>124</v>
      </c>
      <c r="CS1140" t="s">
        <v>41</v>
      </c>
      <c r="CT1140">
        <v>46076</v>
      </c>
      <c r="CU1140">
        <v>1</v>
      </c>
      <c r="CV1140">
        <v>1</v>
      </c>
      <c r="CZ1140">
        <v>0</v>
      </c>
      <c r="DA1140">
        <v>0</v>
      </c>
      <c r="DB1140">
        <v>0</v>
      </c>
      <c r="DC1140">
        <v>0</v>
      </c>
      <c r="DQ1140">
        <v>44</v>
      </c>
    </row>
    <row r="1141" spans="95:121" x14ac:dyDescent="0.25">
      <c r="CQ1141" t="s">
        <v>636</v>
      </c>
      <c r="CR1141" t="s">
        <v>124</v>
      </c>
      <c r="CS1141" t="s">
        <v>544</v>
      </c>
      <c r="CT1141">
        <v>46076</v>
      </c>
      <c r="CU1141">
        <v>1</v>
      </c>
      <c r="CV1141">
        <v>1</v>
      </c>
      <c r="CY1141">
        <v>1</v>
      </c>
      <c r="CZ1141">
        <v>0</v>
      </c>
      <c r="DA1141">
        <v>0</v>
      </c>
      <c r="DB1141">
        <v>0</v>
      </c>
      <c r="DC1141">
        <v>0</v>
      </c>
      <c r="DQ1141">
        <v>44</v>
      </c>
    </row>
    <row r="1142" spans="95:121" x14ac:dyDescent="0.25">
      <c r="CQ1142" t="s">
        <v>636</v>
      </c>
      <c r="CR1142" t="s">
        <v>124</v>
      </c>
      <c r="CS1142" t="s">
        <v>557</v>
      </c>
      <c r="CT1142">
        <v>46076</v>
      </c>
      <c r="CU1142">
        <v>1</v>
      </c>
      <c r="CV1142">
        <v>1</v>
      </c>
      <c r="CY1142">
        <v>1</v>
      </c>
      <c r="CZ1142">
        <v>0</v>
      </c>
      <c r="DA1142">
        <v>0</v>
      </c>
      <c r="DB1142">
        <v>0</v>
      </c>
      <c r="DC1142">
        <v>0</v>
      </c>
      <c r="DQ1142">
        <v>44</v>
      </c>
    </row>
    <row r="1143" spans="95:121" x14ac:dyDescent="0.25">
      <c r="CQ1143" t="s">
        <v>636</v>
      </c>
      <c r="CR1143" t="s">
        <v>2</v>
      </c>
      <c r="CS1143" t="s">
        <v>68</v>
      </c>
      <c r="CT1143">
        <v>46059</v>
      </c>
      <c r="CU1143">
        <v>1</v>
      </c>
      <c r="CV1143">
        <v>1</v>
      </c>
      <c r="CZ1143">
        <v>0</v>
      </c>
      <c r="DA1143">
        <v>0</v>
      </c>
      <c r="DB1143">
        <v>0</v>
      </c>
      <c r="DC1143">
        <v>0</v>
      </c>
      <c r="DQ1143">
        <v>44</v>
      </c>
    </row>
    <row r="1144" spans="95:121" x14ac:dyDescent="0.25">
      <c r="CQ1144" t="s">
        <v>636</v>
      </c>
      <c r="CR1144" t="s">
        <v>2</v>
      </c>
      <c r="CS1144" t="s">
        <v>76</v>
      </c>
      <c r="CT1144">
        <v>46059</v>
      </c>
      <c r="CU1144">
        <v>1</v>
      </c>
      <c r="CV1144">
        <v>1</v>
      </c>
      <c r="CW1144">
        <v>1</v>
      </c>
      <c r="CZ1144">
        <v>1.0150462962962964E-2</v>
      </c>
      <c r="DA1144">
        <v>1.0150462962962964E-2</v>
      </c>
      <c r="DB1144">
        <v>0.11223379629629629</v>
      </c>
      <c r="DC1144">
        <v>2.5173611111111112E-2</v>
      </c>
      <c r="DD1144">
        <v>69</v>
      </c>
      <c r="DE1144">
        <v>90</v>
      </c>
      <c r="DF1144">
        <v>17</v>
      </c>
      <c r="DG1144" t="s">
        <v>891</v>
      </c>
      <c r="DH1144">
        <v>32975</v>
      </c>
      <c r="DI1144">
        <v>0.24640000000000001</v>
      </c>
      <c r="DQ1144">
        <v>44</v>
      </c>
    </row>
    <row r="1145" spans="95:121" x14ac:dyDescent="0.25">
      <c r="CQ1145" t="s">
        <v>636</v>
      </c>
      <c r="CR1145" t="s">
        <v>6</v>
      </c>
      <c r="CS1145" t="s">
        <v>11</v>
      </c>
      <c r="CT1145">
        <v>46059</v>
      </c>
      <c r="CU1145">
        <v>1</v>
      </c>
      <c r="CV1145">
        <v>1</v>
      </c>
      <c r="CZ1145">
        <v>0</v>
      </c>
      <c r="DA1145">
        <v>0</v>
      </c>
      <c r="DB1145">
        <v>0</v>
      </c>
      <c r="DC1145">
        <v>0</v>
      </c>
      <c r="DQ1145">
        <v>44</v>
      </c>
    </row>
    <row r="1146" spans="95:121" x14ac:dyDescent="0.25">
      <c r="CQ1146" t="s">
        <v>636</v>
      </c>
      <c r="CR1146" t="s">
        <v>3</v>
      </c>
      <c r="CS1146" t="s">
        <v>24</v>
      </c>
      <c r="CT1146">
        <v>46077</v>
      </c>
      <c r="CU1146">
        <v>1</v>
      </c>
      <c r="CV1146">
        <v>1</v>
      </c>
      <c r="CZ1146">
        <v>0</v>
      </c>
      <c r="DA1146">
        <v>0</v>
      </c>
      <c r="DB1146">
        <v>0</v>
      </c>
      <c r="DC1146">
        <v>0</v>
      </c>
      <c r="DQ1146">
        <v>44</v>
      </c>
    </row>
    <row r="1147" spans="95:121" x14ac:dyDescent="0.25">
      <c r="CQ1147" t="s">
        <v>636</v>
      </c>
      <c r="CR1147" t="s">
        <v>125</v>
      </c>
      <c r="CS1147" t="s">
        <v>60</v>
      </c>
      <c r="CT1147">
        <v>46069</v>
      </c>
      <c r="CU1147">
        <v>1</v>
      </c>
      <c r="CV1147">
        <v>1</v>
      </c>
      <c r="CZ1147">
        <v>3.4722222222222222E-5</v>
      </c>
      <c r="DA1147">
        <v>3.4722222222222222E-5</v>
      </c>
      <c r="DB1147">
        <v>3.9004629629629632E-2</v>
      </c>
      <c r="DC1147">
        <v>0</v>
      </c>
      <c r="DD1147">
        <v>6</v>
      </c>
      <c r="DE1147">
        <v>7</v>
      </c>
      <c r="DF1147">
        <v>4</v>
      </c>
      <c r="DG1147">
        <v>1.25</v>
      </c>
      <c r="DH1147">
        <v>28233</v>
      </c>
      <c r="DI1147">
        <v>0.66669999999999996</v>
      </c>
      <c r="DQ1147">
        <v>42</v>
      </c>
    </row>
    <row r="1148" spans="95:121" x14ac:dyDescent="0.25">
      <c r="CQ1148" t="s">
        <v>636</v>
      </c>
      <c r="CR1148" t="s">
        <v>125</v>
      </c>
      <c r="CS1148" t="s">
        <v>72</v>
      </c>
      <c r="CT1148">
        <v>46056</v>
      </c>
      <c r="CU1148">
        <v>1</v>
      </c>
      <c r="CV1148">
        <v>1</v>
      </c>
      <c r="CZ1148">
        <v>0</v>
      </c>
      <c r="DA1148">
        <v>0</v>
      </c>
      <c r="DB1148">
        <v>0</v>
      </c>
      <c r="DC1148">
        <v>0</v>
      </c>
      <c r="DQ1148">
        <v>42</v>
      </c>
    </row>
    <row r="1149" spans="95:121" x14ac:dyDescent="0.25">
      <c r="CQ1149" t="s">
        <v>636</v>
      </c>
      <c r="CR1149" t="s">
        <v>125</v>
      </c>
      <c r="CS1149" t="s">
        <v>72</v>
      </c>
      <c r="CT1149">
        <v>46065</v>
      </c>
      <c r="CU1149">
        <v>1</v>
      </c>
      <c r="CV1149">
        <v>1</v>
      </c>
      <c r="CZ1149">
        <v>0</v>
      </c>
      <c r="DA1149">
        <v>0</v>
      </c>
      <c r="DB1149">
        <v>0</v>
      </c>
      <c r="DC1149">
        <v>0</v>
      </c>
      <c r="DQ1149">
        <v>42</v>
      </c>
    </row>
    <row r="1150" spans="95:121" x14ac:dyDescent="0.25">
      <c r="CQ1150" t="s">
        <v>636</v>
      </c>
      <c r="CR1150" t="s">
        <v>125</v>
      </c>
      <c r="CS1150" t="s">
        <v>72</v>
      </c>
      <c r="CT1150">
        <v>46069</v>
      </c>
      <c r="CU1150">
        <v>1</v>
      </c>
      <c r="CV1150">
        <v>1</v>
      </c>
      <c r="CZ1150">
        <v>0</v>
      </c>
      <c r="DA1150">
        <v>0</v>
      </c>
      <c r="DB1150">
        <v>0</v>
      </c>
      <c r="DC1150">
        <v>0</v>
      </c>
      <c r="DQ1150">
        <v>42</v>
      </c>
    </row>
    <row r="1151" spans="95:121" x14ac:dyDescent="0.25">
      <c r="CQ1151" t="s">
        <v>636</v>
      </c>
      <c r="CR1151" t="s">
        <v>2</v>
      </c>
      <c r="CS1151" t="s">
        <v>68</v>
      </c>
      <c r="CT1151">
        <v>46065</v>
      </c>
      <c r="CU1151">
        <v>1</v>
      </c>
      <c r="CV1151">
        <v>1</v>
      </c>
      <c r="CZ1151">
        <v>0</v>
      </c>
      <c r="DA1151">
        <v>0</v>
      </c>
      <c r="DB1151">
        <v>0</v>
      </c>
      <c r="DC1151">
        <v>0</v>
      </c>
      <c r="DQ1151">
        <v>42</v>
      </c>
    </row>
    <row r="1152" spans="95:121" x14ac:dyDescent="0.25">
      <c r="CQ1152" t="s">
        <v>636</v>
      </c>
      <c r="CR1152" t="s">
        <v>6</v>
      </c>
      <c r="CS1152" t="s">
        <v>80</v>
      </c>
      <c r="CT1152">
        <v>46076</v>
      </c>
      <c r="CU1152">
        <v>1</v>
      </c>
      <c r="CV1152">
        <v>1</v>
      </c>
      <c r="CX1152">
        <v>1</v>
      </c>
      <c r="CZ1152">
        <v>9.2592592592592588E-5</v>
      </c>
      <c r="DA1152">
        <v>9.2592592592592588E-5</v>
      </c>
      <c r="DB1152">
        <v>0.17962962962962964</v>
      </c>
      <c r="DC1152">
        <v>0.16322916666666668</v>
      </c>
      <c r="DD1152">
        <v>125</v>
      </c>
      <c r="DE1152">
        <v>169</v>
      </c>
      <c r="DF1152">
        <v>16</v>
      </c>
      <c r="DG1152">
        <v>1.75</v>
      </c>
      <c r="DH1152">
        <v>32626</v>
      </c>
      <c r="DI1152">
        <v>0.128</v>
      </c>
      <c r="DQ1152">
        <v>42</v>
      </c>
    </row>
    <row r="1153" spans="95:122" x14ac:dyDescent="0.25">
      <c r="CQ1153" t="s">
        <v>636</v>
      </c>
      <c r="CR1153" t="s">
        <v>6</v>
      </c>
      <c r="CS1153" t="s">
        <v>35</v>
      </c>
      <c r="CT1153">
        <v>46055</v>
      </c>
      <c r="CU1153">
        <v>1</v>
      </c>
      <c r="CV1153">
        <v>1</v>
      </c>
      <c r="CX1153">
        <v>1</v>
      </c>
      <c r="CZ1153">
        <v>4.6296296296296294E-5</v>
      </c>
      <c r="DA1153">
        <v>4.6296296296296294E-5</v>
      </c>
      <c r="DB1153">
        <v>2.9733796296296296E-2</v>
      </c>
      <c r="DC1153">
        <v>3.4699074074074077E-2</v>
      </c>
      <c r="DD1153">
        <v>74</v>
      </c>
      <c r="DE1153">
        <v>120</v>
      </c>
      <c r="DF1153">
        <v>22</v>
      </c>
      <c r="DG1153" t="s">
        <v>681</v>
      </c>
      <c r="DH1153">
        <v>9369</v>
      </c>
      <c r="DI1153">
        <v>0.29730000000000001</v>
      </c>
      <c r="DJ1153">
        <v>3</v>
      </c>
      <c r="DK1153">
        <v>0.13639999999999999</v>
      </c>
      <c r="DL1153">
        <v>698</v>
      </c>
      <c r="DM1153">
        <v>233</v>
      </c>
      <c r="DN1153">
        <v>250</v>
      </c>
      <c r="DO1153">
        <v>0.35799999999999998</v>
      </c>
      <c r="DQ1153">
        <v>42</v>
      </c>
      <c r="DR1153">
        <v>250</v>
      </c>
    </row>
    <row r="1154" spans="95:122" x14ac:dyDescent="0.25">
      <c r="CQ1154" t="s">
        <v>636</v>
      </c>
      <c r="CR1154" t="s">
        <v>6</v>
      </c>
      <c r="CS1154" t="s">
        <v>11</v>
      </c>
      <c r="CT1154">
        <v>46058</v>
      </c>
      <c r="CU1154">
        <v>1</v>
      </c>
      <c r="CV1154">
        <v>1</v>
      </c>
      <c r="CZ1154">
        <v>0</v>
      </c>
      <c r="DA1154">
        <v>0</v>
      </c>
      <c r="DB1154">
        <v>0</v>
      </c>
      <c r="DC1154">
        <v>0</v>
      </c>
      <c r="DQ1154">
        <v>42</v>
      </c>
    </row>
    <row r="1155" spans="95:122" x14ac:dyDescent="0.25">
      <c r="CQ1155" t="s">
        <v>636</v>
      </c>
      <c r="CR1155" t="s">
        <v>6</v>
      </c>
      <c r="CS1155" t="s">
        <v>11</v>
      </c>
      <c r="CT1155">
        <v>46071</v>
      </c>
      <c r="CU1155">
        <v>1</v>
      </c>
      <c r="CV1155">
        <v>1</v>
      </c>
      <c r="CZ1155">
        <v>0</v>
      </c>
      <c r="DA1155">
        <v>0</v>
      </c>
      <c r="DB1155">
        <v>0</v>
      </c>
      <c r="DC1155">
        <v>0</v>
      </c>
      <c r="DQ1155">
        <v>42</v>
      </c>
    </row>
    <row r="1156" spans="95:122" x14ac:dyDescent="0.25">
      <c r="CQ1156" t="s">
        <v>636</v>
      </c>
      <c r="CR1156" t="s">
        <v>6</v>
      </c>
      <c r="CS1156" t="s">
        <v>11</v>
      </c>
      <c r="CT1156">
        <v>46072</v>
      </c>
      <c r="CU1156">
        <v>1</v>
      </c>
      <c r="CV1156">
        <v>1</v>
      </c>
      <c r="CZ1156">
        <v>0</v>
      </c>
      <c r="DA1156">
        <v>0</v>
      </c>
      <c r="DB1156">
        <v>0</v>
      </c>
      <c r="DC1156">
        <v>0</v>
      </c>
      <c r="DQ1156">
        <v>42</v>
      </c>
    </row>
    <row r="1157" spans="95:122" x14ac:dyDescent="0.25">
      <c r="CQ1157" t="s">
        <v>636</v>
      </c>
      <c r="CR1157" t="s">
        <v>3</v>
      </c>
      <c r="CS1157" t="s">
        <v>377</v>
      </c>
      <c r="CT1157">
        <v>46055</v>
      </c>
      <c r="CU1157">
        <v>1</v>
      </c>
      <c r="CV1157">
        <v>1</v>
      </c>
      <c r="CX1157">
        <v>1</v>
      </c>
      <c r="CZ1157">
        <v>7.9861111111111116E-4</v>
      </c>
      <c r="DA1157">
        <v>7.9861111111111116E-4</v>
      </c>
      <c r="DB1157">
        <v>6.7905092592592586E-2</v>
      </c>
      <c r="DC1157">
        <v>3.5474537037037034E-2</v>
      </c>
      <c r="DD1157">
        <v>62</v>
      </c>
      <c r="DE1157">
        <v>90</v>
      </c>
      <c r="DF1157">
        <v>33</v>
      </c>
      <c r="DG1157" t="s">
        <v>1013</v>
      </c>
      <c r="DH1157">
        <v>35868</v>
      </c>
      <c r="DI1157">
        <v>0.5323</v>
      </c>
      <c r="DQ1157">
        <v>42</v>
      </c>
    </row>
    <row r="1158" spans="95:122" x14ac:dyDescent="0.25">
      <c r="CQ1158" t="s">
        <v>636</v>
      </c>
      <c r="CR1158" t="s">
        <v>3</v>
      </c>
      <c r="CS1158" t="s">
        <v>22</v>
      </c>
      <c r="CT1158">
        <v>46055</v>
      </c>
      <c r="CU1158">
        <v>1</v>
      </c>
      <c r="CV1158">
        <v>1</v>
      </c>
      <c r="CX1158">
        <v>1</v>
      </c>
      <c r="CZ1158">
        <v>5.7870370370370373E-5</v>
      </c>
      <c r="DA1158">
        <v>5.7870370370370373E-5</v>
      </c>
      <c r="DB1158">
        <v>2.0416666666666666E-2</v>
      </c>
      <c r="DC1158">
        <v>3.8645833333333331E-2</v>
      </c>
      <c r="DD1158">
        <v>43</v>
      </c>
      <c r="DE1158">
        <v>83</v>
      </c>
      <c r="DF1158">
        <v>11</v>
      </c>
      <c r="DG1158" t="s">
        <v>983</v>
      </c>
      <c r="DH1158">
        <v>40218</v>
      </c>
      <c r="DI1158">
        <v>0.25580000000000003</v>
      </c>
      <c r="DQ1158">
        <v>42</v>
      </c>
    </row>
    <row r="1159" spans="95:122" x14ac:dyDescent="0.25">
      <c r="CQ1159" t="s">
        <v>636</v>
      </c>
      <c r="CR1159" t="s">
        <v>125</v>
      </c>
      <c r="CS1159" t="s">
        <v>72</v>
      </c>
      <c r="CT1159">
        <v>46064</v>
      </c>
      <c r="CU1159">
        <v>1</v>
      </c>
      <c r="CV1159">
        <v>1</v>
      </c>
      <c r="CZ1159">
        <v>0</v>
      </c>
      <c r="DA1159">
        <v>0</v>
      </c>
      <c r="DB1159">
        <v>0</v>
      </c>
      <c r="DC1159">
        <v>0</v>
      </c>
      <c r="DQ1159">
        <v>40</v>
      </c>
    </row>
    <row r="1160" spans="95:122" x14ac:dyDescent="0.25">
      <c r="CQ1160" t="s">
        <v>636</v>
      </c>
      <c r="CR1160" t="s">
        <v>2</v>
      </c>
      <c r="CS1160" t="s">
        <v>68</v>
      </c>
      <c r="CT1160">
        <v>46057</v>
      </c>
      <c r="CU1160">
        <v>1</v>
      </c>
      <c r="CV1160">
        <v>1</v>
      </c>
      <c r="CZ1160">
        <v>0</v>
      </c>
      <c r="DA1160">
        <v>0</v>
      </c>
      <c r="DB1160">
        <v>0</v>
      </c>
      <c r="DC1160">
        <v>0</v>
      </c>
      <c r="DQ1160">
        <v>40</v>
      </c>
    </row>
    <row r="1161" spans="95:122" x14ac:dyDescent="0.25">
      <c r="CQ1161" t="s">
        <v>636</v>
      </c>
      <c r="CR1161" t="s">
        <v>2</v>
      </c>
      <c r="CS1161" t="s">
        <v>68</v>
      </c>
      <c r="CT1161">
        <v>46080</v>
      </c>
      <c r="CU1161">
        <v>1</v>
      </c>
      <c r="CV1161">
        <v>1</v>
      </c>
      <c r="CZ1161">
        <v>8.1134259259259267E-3</v>
      </c>
      <c r="DA1161">
        <v>8.1134259259259267E-3</v>
      </c>
      <c r="DB1161">
        <v>0.17475694444444445</v>
      </c>
      <c r="DC1161">
        <v>0.19258101851851853</v>
      </c>
      <c r="DQ1161">
        <v>40</v>
      </c>
    </row>
    <row r="1162" spans="95:122" x14ac:dyDescent="0.25">
      <c r="CQ1162" t="s">
        <v>636</v>
      </c>
      <c r="CR1162" t="s">
        <v>2</v>
      </c>
      <c r="CS1162" t="s">
        <v>25</v>
      </c>
      <c r="CT1162">
        <v>46080</v>
      </c>
      <c r="CU1162">
        <v>1</v>
      </c>
      <c r="CV1162">
        <v>1</v>
      </c>
      <c r="CW1162">
        <v>1</v>
      </c>
      <c r="CZ1162">
        <v>1.6203703703703703E-2</v>
      </c>
      <c r="DA1162">
        <v>1.6203703703703703E-2</v>
      </c>
      <c r="DB1162">
        <v>0.17983796296296295</v>
      </c>
      <c r="DC1162">
        <v>0.16973379629629629</v>
      </c>
      <c r="DD1162">
        <v>54</v>
      </c>
      <c r="DE1162">
        <v>116</v>
      </c>
      <c r="DF1162">
        <v>17</v>
      </c>
      <c r="DG1162" t="s">
        <v>772</v>
      </c>
      <c r="DH1162">
        <v>47538</v>
      </c>
      <c r="DI1162">
        <v>0.31480000000000002</v>
      </c>
      <c r="DQ1162">
        <v>40</v>
      </c>
    </row>
    <row r="1163" spans="95:122" x14ac:dyDescent="0.25">
      <c r="CQ1163" t="s">
        <v>636</v>
      </c>
      <c r="CR1163" t="s">
        <v>2</v>
      </c>
      <c r="CS1163" t="s">
        <v>76</v>
      </c>
      <c r="CT1163">
        <v>46057</v>
      </c>
      <c r="CU1163">
        <v>1</v>
      </c>
      <c r="CV1163">
        <v>1</v>
      </c>
      <c r="CW1163">
        <v>1</v>
      </c>
      <c r="CZ1163">
        <v>3.516203703703704E-2</v>
      </c>
      <c r="DA1163">
        <v>3.516203703703704E-2</v>
      </c>
      <c r="DB1163">
        <v>5.1620370370370372E-2</v>
      </c>
      <c r="DC1163">
        <v>2.4166666666666666E-2</v>
      </c>
      <c r="DD1163">
        <v>51</v>
      </c>
      <c r="DE1163">
        <v>74</v>
      </c>
      <c r="DF1163">
        <v>16</v>
      </c>
      <c r="DG1163">
        <v>1.8125</v>
      </c>
      <c r="DH1163">
        <v>9033</v>
      </c>
      <c r="DI1163">
        <v>0.31369999999999998</v>
      </c>
      <c r="DQ1163">
        <v>40</v>
      </c>
    </row>
    <row r="1164" spans="95:122" x14ac:dyDescent="0.25">
      <c r="CQ1164" t="s">
        <v>636</v>
      </c>
      <c r="CR1164" t="s">
        <v>125</v>
      </c>
      <c r="CS1164" t="s">
        <v>72</v>
      </c>
      <c r="CT1164">
        <v>46059</v>
      </c>
      <c r="CU1164">
        <v>1</v>
      </c>
      <c r="CV1164">
        <v>1</v>
      </c>
      <c r="CZ1164">
        <v>0</v>
      </c>
      <c r="DA1164">
        <v>0</v>
      </c>
      <c r="DB1164">
        <v>0</v>
      </c>
      <c r="DC1164">
        <v>0</v>
      </c>
      <c r="DQ1164">
        <v>38</v>
      </c>
    </row>
    <row r="1165" spans="95:122" x14ac:dyDescent="0.25">
      <c r="CQ1165" t="s">
        <v>636</v>
      </c>
      <c r="CR1165" t="s">
        <v>125</v>
      </c>
      <c r="CS1165" t="s">
        <v>12</v>
      </c>
      <c r="CT1165">
        <v>46057</v>
      </c>
      <c r="CU1165">
        <v>1</v>
      </c>
      <c r="CV1165">
        <v>1</v>
      </c>
      <c r="CX1165">
        <v>1</v>
      </c>
      <c r="CZ1165">
        <v>2.199074074074074E-4</v>
      </c>
      <c r="DA1165">
        <v>2.199074074074074E-4</v>
      </c>
      <c r="DB1165">
        <v>0.12173611111111111</v>
      </c>
      <c r="DC1165">
        <v>4.8113425925925928E-2</v>
      </c>
      <c r="DD1165">
        <v>139</v>
      </c>
      <c r="DE1165">
        <v>409</v>
      </c>
      <c r="DF1165">
        <v>40</v>
      </c>
      <c r="DG1165">
        <v>1.5</v>
      </c>
      <c r="DH1165">
        <v>15433</v>
      </c>
      <c r="DI1165">
        <v>0.2878</v>
      </c>
      <c r="DQ1165">
        <v>38</v>
      </c>
    </row>
    <row r="1166" spans="95:122" x14ac:dyDescent="0.25">
      <c r="CQ1166" t="s">
        <v>636</v>
      </c>
      <c r="CR1166" t="s">
        <v>125</v>
      </c>
      <c r="CS1166" t="s">
        <v>12</v>
      </c>
      <c r="CT1166">
        <v>46059</v>
      </c>
      <c r="CU1166">
        <v>1</v>
      </c>
      <c r="CV1166">
        <v>1</v>
      </c>
      <c r="CY1166">
        <v>1</v>
      </c>
      <c r="CZ1166">
        <v>0</v>
      </c>
      <c r="DA1166">
        <v>0</v>
      </c>
      <c r="DB1166">
        <v>0</v>
      </c>
      <c r="DC1166">
        <v>0</v>
      </c>
      <c r="DQ1166">
        <v>38</v>
      </c>
    </row>
    <row r="1167" spans="95:122" x14ac:dyDescent="0.25">
      <c r="CQ1167" t="s">
        <v>636</v>
      </c>
      <c r="CR1167" t="s">
        <v>2</v>
      </c>
      <c r="CS1167" t="s">
        <v>15</v>
      </c>
      <c r="CT1167">
        <v>46055</v>
      </c>
      <c r="CU1167">
        <v>1</v>
      </c>
      <c r="CV1167">
        <v>1</v>
      </c>
      <c r="CX1167">
        <v>1</v>
      </c>
      <c r="CZ1167">
        <v>1.0416666666666667E-4</v>
      </c>
      <c r="DA1167">
        <v>1.0416666666666667E-4</v>
      </c>
      <c r="DB1167">
        <v>4.7071759259259258E-2</v>
      </c>
      <c r="DC1167">
        <v>2.4826388888888887E-2</v>
      </c>
      <c r="DD1167">
        <v>48</v>
      </c>
      <c r="DE1167">
        <v>67</v>
      </c>
      <c r="DF1167">
        <v>17</v>
      </c>
      <c r="DG1167" t="s">
        <v>821</v>
      </c>
      <c r="DH1167">
        <v>13072</v>
      </c>
      <c r="DI1167">
        <v>0.35420000000000001</v>
      </c>
      <c r="DJ1167">
        <v>2</v>
      </c>
      <c r="DK1167">
        <v>0.1176</v>
      </c>
      <c r="DL1167">
        <v>480</v>
      </c>
      <c r="DM1167">
        <v>240</v>
      </c>
      <c r="DQ1167">
        <v>38</v>
      </c>
    </row>
    <row r="1168" spans="95:122" x14ac:dyDescent="0.25">
      <c r="CQ1168" t="s">
        <v>636</v>
      </c>
      <c r="CR1168" t="s">
        <v>2</v>
      </c>
      <c r="CS1168" t="s">
        <v>68</v>
      </c>
      <c r="CT1168">
        <v>46070</v>
      </c>
      <c r="CU1168">
        <v>1</v>
      </c>
      <c r="CV1168">
        <v>1</v>
      </c>
      <c r="CZ1168">
        <v>0</v>
      </c>
      <c r="DA1168">
        <v>0</v>
      </c>
      <c r="DB1168">
        <v>0</v>
      </c>
      <c r="DC1168">
        <v>0</v>
      </c>
      <c r="DQ1168">
        <v>38</v>
      </c>
    </row>
    <row r="1169" spans="95:121" x14ac:dyDescent="0.25">
      <c r="CQ1169" t="s">
        <v>636</v>
      </c>
      <c r="CR1169" t="s">
        <v>2</v>
      </c>
      <c r="CS1169" t="s">
        <v>68</v>
      </c>
      <c r="CT1169">
        <v>46077</v>
      </c>
      <c r="CU1169">
        <v>1</v>
      </c>
      <c r="CV1169">
        <v>1</v>
      </c>
      <c r="CZ1169">
        <v>0</v>
      </c>
      <c r="DA1169">
        <v>0</v>
      </c>
      <c r="DB1169">
        <v>0</v>
      </c>
      <c r="DC1169">
        <v>0</v>
      </c>
      <c r="DQ1169">
        <v>38</v>
      </c>
    </row>
    <row r="1170" spans="95:121" x14ac:dyDescent="0.25">
      <c r="CQ1170" t="s">
        <v>636</v>
      </c>
      <c r="CR1170" t="s">
        <v>6</v>
      </c>
      <c r="CS1170" t="s">
        <v>105</v>
      </c>
      <c r="CT1170">
        <v>46069</v>
      </c>
      <c r="CU1170">
        <v>1</v>
      </c>
      <c r="CV1170">
        <v>1</v>
      </c>
      <c r="CW1170">
        <v>1</v>
      </c>
      <c r="CZ1170">
        <v>9.9884259259259266E-3</v>
      </c>
      <c r="DA1170">
        <v>9.9884259259259266E-3</v>
      </c>
      <c r="DB1170">
        <v>0.22622685185185185</v>
      </c>
      <c r="DC1170">
        <v>0.11840277777777777</v>
      </c>
      <c r="DD1170">
        <v>87</v>
      </c>
      <c r="DE1170">
        <v>189</v>
      </c>
      <c r="DF1170">
        <v>20</v>
      </c>
      <c r="DG1170">
        <v>1.95</v>
      </c>
      <c r="DH1170">
        <v>24688</v>
      </c>
      <c r="DI1170">
        <v>0.22989999999999999</v>
      </c>
      <c r="DQ1170">
        <v>38</v>
      </c>
    </row>
    <row r="1171" spans="95:121" x14ac:dyDescent="0.25">
      <c r="CQ1171" t="s">
        <v>636</v>
      </c>
      <c r="CR1171" t="s">
        <v>6</v>
      </c>
      <c r="CS1171" t="s">
        <v>11</v>
      </c>
      <c r="CT1171">
        <v>46069</v>
      </c>
      <c r="CU1171">
        <v>1</v>
      </c>
      <c r="CV1171">
        <v>1</v>
      </c>
      <c r="CZ1171">
        <v>0</v>
      </c>
      <c r="DA1171">
        <v>0</v>
      </c>
      <c r="DB1171">
        <v>0</v>
      </c>
      <c r="DC1171">
        <v>0</v>
      </c>
      <c r="DQ1171">
        <v>38</v>
      </c>
    </row>
    <row r="1172" spans="95:121" x14ac:dyDescent="0.25">
      <c r="CQ1172" t="s">
        <v>636</v>
      </c>
      <c r="CR1172" t="s">
        <v>3</v>
      </c>
      <c r="CS1172" t="s">
        <v>377</v>
      </c>
      <c r="CT1172">
        <v>46079</v>
      </c>
      <c r="CU1172">
        <v>1</v>
      </c>
      <c r="CV1172">
        <v>1</v>
      </c>
      <c r="CW1172">
        <v>1</v>
      </c>
      <c r="CZ1172">
        <v>6.5972222222222222E-3</v>
      </c>
      <c r="DA1172">
        <v>6.5972222222222222E-3</v>
      </c>
      <c r="DB1172">
        <v>0.13251157407407407</v>
      </c>
      <c r="DC1172">
        <v>0.21708333333333332</v>
      </c>
      <c r="DD1172">
        <v>91</v>
      </c>
      <c r="DE1172">
        <v>184</v>
      </c>
      <c r="DF1172">
        <v>33</v>
      </c>
      <c r="DG1172" t="s">
        <v>847</v>
      </c>
      <c r="DH1172">
        <v>25575</v>
      </c>
      <c r="DI1172">
        <v>0.36259999999999998</v>
      </c>
      <c r="DQ1172">
        <v>38</v>
      </c>
    </row>
    <row r="1173" spans="95:121" x14ac:dyDescent="0.25">
      <c r="CQ1173" t="s">
        <v>636</v>
      </c>
      <c r="CR1173" t="s">
        <v>3</v>
      </c>
      <c r="CS1173" t="s">
        <v>24</v>
      </c>
      <c r="CT1173">
        <v>46079</v>
      </c>
      <c r="CU1173">
        <v>1</v>
      </c>
      <c r="CV1173">
        <v>1</v>
      </c>
      <c r="CZ1173">
        <v>3.3564814814814812E-4</v>
      </c>
      <c r="DA1173">
        <v>3.3564814814814812E-4</v>
      </c>
      <c r="DB1173">
        <v>0.2046412037037037</v>
      </c>
      <c r="DC1173">
        <v>0.14421296296296296</v>
      </c>
      <c r="DQ1173">
        <v>38</v>
      </c>
    </row>
    <row r="1174" spans="95:121" x14ac:dyDescent="0.25">
      <c r="CQ1174" t="s">
        <v>636</v>
      </c>
      <c r="CR1174" t="s">
        <v>6</v>
      </c>
      <c r="CS1174" t="s">
        <v>37</v>
      </c>
      <c r="CT1174">
        <v>46076</v>
      </c>
      <c r="CU1174">
        <v>1</v>
      </c>
      <c r="CV1174">
        <v>1</v>
      </c>
      <c r="CY1174">
        <v>1</v>
      </c>
      <c r="CZ1174">
        <v>0</v>
      </c>
      <c r="DA1174">
        <v>0</v>
      </c>
      <c r="DB1174">
        <v>0</v>
      </c>
      <c r="DC1174">
        <v>0</v>
      </c>
      <c r="DQ1174">
        <v>34</v>
      </c>
    </row>
    <row r="1175" spans="95:121" x14ac:dyDescent="0.25">
      <c r="CQ1175" t="s">
        <v>636</v>
      </c>
      <c r="CR1175" t="s">
        <v>6</v>
      </c>
      <c r="CS1175" t="s">
        <v>11</v>
      </c>
      <c r="CT1175">
        <v>46076</v>
      </c>
      <c r="CU1175">
        <v>1</v>
      </c>
      <c r="CV1175">
        <v>1</v>
      </c>
      <c r="CZ1175">
        <v>0</v>
      </c>
      <c r="DA1175">
        <v>0</v>
      </c>
      <c r="DB1175">
        <v>0</v>
      </c>
      <c r="DC1175">
        <v>0</v>
      </c>
      <c r="DQ1175">
        <v>34</v>
      </c>
    </row>
    <row r="1176" spans="95:121" x14ac:dyDescent="0.25">
      <c r="CQ1176" t="s">
        <v>636</v>
      </c>
      <c r="CR1176" t="s">
        <v>3</v>
      </c>
      <c r="CS1176" t="s">
        <v>24</v>
      </c>
      <c r="CT1176">
        <v>46055</v>
      </c>
      <c r="CU1176">
        <v>1</v>
      </c>
      <c r="CV1176">
        <v>1</v>
      </c>
      <c r="CZ1176">
        <v>0</v>
      </c>
      <c r="DA1176">
        <v>0</v>
      </c>
      <c r="DB1176">
        <v>0</v>
      </c>
      <c r="DC1176">
        <v>0</v>
      </c>
      <c r="DQ1176">
        <v>34</v>
      </c>
    </row>
    <row r="1177" spans="95:121" x14ac:dyDescent="0.25">
      <c r="CQ1177" t="s">
        <v>636</v>
      </c>
      <c r="CR1177" t="s">
        <v>6</v>
      </c>
      <c r="CS1177" t="s">
        <v>80</v>
      </c>
      <c r="CT1177">
        <v>46062</v>
      </c>
      <c r="CU1177">
        <v>1</v>
      </c>
      <c r="CV1177">
        <v>1</v>
      </c>
      <c r="CX1177">
        <v>1</v>
      </c>
      <c r="CZ1177">
        <v>2.3148148148148147E-5</v>
      </c>
      <c r="DA1177">
        <v>2.3148148148148147E-5</v>
      </c>
      <c r="DB1177">
        <v>1.6331018518518519E-2</v>
      </c>
      <c r="DC1177">
        <v>1.1921296296296296E-3</v>
      </c>
      <c r="DD1177">
        <v>104</v>
      </c>
      <c r="DE1177">
        <v>117</v>
      </c>
      <c r="DF1177">
        <v>5</v>
      </c>
      <c r="DG1177">
        <v>1.6</v>
      </c>
      <c r="DH1177">
        <v>63289</v>
      </c>
      <c r="DI1177">
        <v>4.8099999999999997E-2</v>
      </c>
      <c r="DQ1177">
        <v>32</v>
      </c>
    </row>
    <row r="1178" spans="95:121" x14ac:dyDescent="0.25">
      <c r="CQ1178" t="s">
        <v>636</v>
      </c>
      <c r="CR1178" t="s">
        <v>6</v>
      </c>
      <c r="CS1178" t="s">
        <v>80</v>
      </c>
      <c r="CT1178">
        <v>46073</v>
      </c>
      <c r="CU1178">
        <v>1</v>
      </c>
      <c r="CV1178">
        <v>1</v>
      </c>
      <c r="CX1178">
        <v>1</v>
      </c>
      <c r="CZ1178">
        <v>1.0416666666666667E-4</v>
      </c>
      <c r="DA1178">
        <v>1.0416666666666667E-4</v>
      </c>
      <c r="DB1178">
        <v>0.16988425925925926</v>
      </c>
      <c r="DC1178">
        <v>0.14362268518518517</v>
      </c>
      <c r="DD1178">
        <v>80</v>
      </c>
      <c r="DE1178">
        <v>122</v>
      </c>
      <c r="DF1178">
        <v>18</v>
      </c>
      <c r="DG1178" t="s">
        <v>978</v>
      </c>
      <c r="DH1178">
        <v>47082</v>
      </c>
      <c r="DI1178">
        <v>0.22500000000000001</v>
      </c>
      <c r="DQ1178">
        <v>32</v>
      </c>
    </row>
    <row r="1179" spans="95:121" x14ac:dyDescent="0.25">
      <c r="CQ1179" t="s">
        <v>636</v>
      </c>
      <c r="CR1179" t="s">
        <v>6</v>
      </c>
      <c r="CS1179" t="s">
        <v>81</v>
      </c>
      <c r="CT1179">
        <v>46073</v>
      </c>
      <c r="CU1179">
        <v>1</v>
      </c>
      <c r="CV1179">
        <v>1</v>
      </c>
      <c r="CX1179">
        <v>1</v>
      </c>
      <c r="CZ1179">
        <v>5.7870370370370373E-5</v>
      </c>
      <c r="DA1179">
        <v>5.7870370370370373E-5</v>
      </c>
      <c r="DB1179">
        <v>0.20793981481481483</v>
      </c>
      <c r="DC1179">
        <v>0.13039351851851852</v>
      </c>
      <c r="DD1179">
        <v>98</v>
      </c>
      <c r="DE1179">
        <v>169</v>
      </c>
      <c r="DF1179">
        <v>11</v>
      </c>
      <c r="DG1179">
        <v>2</v>
      </c>
      <c r="DH1179">
        <v>46464</v>
      </c>
      <c r="DI1179">
        <v>0.11219999999999999</v>
      </c>
      <c r="DQ1179">
        <v>32</v>
      </c>
    </row>
    <row r="1180" spans="95:121" x14ac:dyDescent="0.25">
      <c r="CQ1180" t="s">
        <v>636</v>
      </c>
      <c r="CR1180" t="s">
        <v>125</v>
      </c>
      <c r="CS1180" t="s">
        <v>72</v>
      </c>
      <c r="CT1180">
        <v>46057</v>
      </c>
      <c r="CU1180">
        <v>1</v>
      </c>
      <c r="CV1180">
        <v>1</v>
      </c>
      <c r="CZ1180">
        <v>0</v>
      </c>
      <c r="DA1180">
        <v>0</v>
      </c>
      <c r="DB1180">
        <v>0</v>
      </c>
      <c r="DC1180">
        <v>0</v>
      </c>
      <c r="DQ1180">
        <v>30</v>
      </c>
    </row>
    <row r="1181" spans="95:121" x14ac:dyDescent="0.25">
      <c r="CQ1181" t="s">
        <v>636</v>
      </c>
      <c r="CR1181" t="s">
        <v>3</v>
      </c>
      <c r="CS1181" t="s">
        <v>24</v>
      </c>
      <c r="CT1181">
        <v>46058</v>
      </c>
      <c r="CU1181">
        <v>1</v>
      </c>
      <c r="CV1181">
        <v>1</v>
      </c>
      <c r="CZ1181">
        <v>0</v>
      </c>
      <c r="DA1181">
        <v>0</v>
      </c>
      <c r="DB1181">
        <v>0</v>
      </c>
      <c r="DC1181">
        <v>0</v>
      </c>
      <c r="DQ1181">
        <v>30</v>
      </c>
    </row>
    <row r="1182" spans="95:121" x14ac:dyDescent="0.25">
      <c r="CQ1182" t="s">
        <v>636</v>
      </c>
      <c r="CR1182" t="s">
        <v>3</v>
      </c>
      <c r="CS1182" t="s">
        <v>96</v>
      </c>
      <c r="CT1182">
        <v>46058</v>
      </c>
      <c r="CU1182">
        <v>1</v>
      </c>
      <c r="CV1182">
        <v>1</v>
      </c>
      <c r="CW1182">
        <v>1</v>
      </c>
      <c r="CZ1182">
        <v>1.4930555555555556E-2</v>
      </c>
      <c r="DA1182">
        <v>1.4930555555555556E-2</v>
      </c>
      <c r="DB1182">
        <v>3.1331018518518522E-2</v>
      </c>
      <c r="DC1182">
        <v>1.8252314814814815E-2</v>
      </c>
      <c r="DD1182">
        <v>77</v>
      </c>
      <c r="DE1182">
        <v>182</v>
      </c>
      <c r="DF1182">
        <v>4</v>
      </c>
      <c r="DG1182">
        <v>2</v>
      </c>
      <c r="DH1182">
        <v>36273</v>
      </c>
      <c r="DI1182">
        <v>5.1900000000000002E-2</v>
      </c>
      <c r="DQ1182">
        <v>30</v>
      </c>
    </row>
    <row r="1183" spans="95:121" x14ac:dyDescent="0.25">
      <c r="CQ1183" t="s">
        <v>636</v>
      </c>
      <c r="CR1183" t="s">
        <v>125</v>
      </c>
      <c r="CS1183" t="s">
        <v>72</v>
      </c>
      <c r="CT1183">
        <v>46055</v>
      </c>
      <c r="CU1183">
        <v>1</v>
      </c>
      <c r="CV1183">
        <v>1</v>
      </c>
      <c r="CZ1183">
        <v>0</v>
      </c>
      <c r="DA1183">
        <v>0</v>
      </c>
      <c r="DB1183">
        <v>0</v>
      </c>
      <c r="DC1183">
        <v>0</v>
      </c>
      <c r="DQ1183">
        <v>28</v>
      </c>
    </row>
    <row r="1184" spans="95:121" x14ac:dyDescent="0.25">
      <c r="CQ1184" t="s">
        <v>636</v>
      </c>
      <c r="CR1184" t="s">
        <v>6</v>
      </c>
      <c r="CS1184" t="s">
        <v>80</v>
      </c>
      <c r="CT1184">
        <v>46078</v>
      </c>
      <c r="CU1184">
        <v>1</v>
      </c>
      <c r="CV1184">
        <v>1</v>
      </c>
      <c r="CX1184">
        <v>1</v>
      </c>
      <c r="CZ1184">
        <v>1.3888888888888889E-4</v>
      </c>
      <c r="DA1184">
        <v>1.3888888888888889E-4</v>
      </c>
      <c r="DB1184">
        <v>0.12965277777777778</v>
      </c>
      <c r="DC1184">
        <v>0.20077546296296298</v>
      </c>
      <c r="DD1184">
        <v>89</v>
      </c>
      <c r="DE1184">
        <v>120</v>
      </c>
      <c r="DF1184">
        <v>12</v>
      </c>
      <c r="DG1184">
        <v>2.5</v>
      </c>
      <c r="DH1184">
        <v>45420</v>
      </c>
      <c r="DI1184">
        <v>0.1348</v>
      </c>
      <c r="DQ1184">
        <v>28</v>
      </c>
    </row>
    <row r="1185" spans="95:121" x14ac:dyDescent="0.25">
      <c r="CQ1185" t="s">
        <v>636</v>
      </c>
      <c r="CR1185" t="s">
        <v>6</v>
      </c>
      <c r="CS1185" t="s">
        <v>105</v>
      </c>
      <c r="CT1185">
        <v>46078</v>
      </c>
      <c r="CU1185">
        <v>1</v>
      </c>
      <c r="CV1185">
        <v>1</v>
      </c>
      <c r="CX1185">
        <v>1</v>
      </c>
      <c r="CZ1185">
        <v>1.0416666666666667E-4</v>
      </c>
      <c r="DA1185">
        <v>1.0416666666666667E-4</v>
      </c>
      <c r="DB1185">
        <v>0.18008101851851852</v>
      </c>
      <c r="DC1185">
        <v>0.14575231481481482</v>
      </c>
      <c r="DD1185">
        <v>86</v>
      </c>
      <c r="DE1185">
        <v>172</v>
      </c>
      <c r="DF1185">
        <v>21</v>
      </c>
      <c r="DG1185" t="s">
        <v>752</v>
      </c>
      <c r="DH1185">
        <v>21385</v>
      </c>
      <c r="DI1185">
        <v>0.2442</v>
      </c>
      <c r="DQ1185">
        <v>28</v>
      </c>
    </row>
    <row r="1186" spans="95:121" x14ac:dyDescent="0.25">
      <c r="CQ1186" t="s">
        <v>636</v>
      </c>
      <c r="CR1186" t="s">
        <v>6</v>
      </c>
      <c r="CS1186" t="s">
        <v>50</v>
      </c>
      <c r="CT1186">
        <v>46057</v>
      </c>
      <c r="CU1186">
        <v>1</v>
      </c>
      <c r="CV1186">
        <v>1</v>
      </c>
      <c r="CX1186">
        <v>1</v>
      </c>
      <c r="CZ1186">
        <v>9.2592592592592588E-5</v>
      </c>
      <c r="DA1186">
        <v>9.2592592592592588E-5</v>
      </c>
      <c r="DB1186">
        <v>3.7245370370370373E-2</v>
      </c>
      <c r="DC1186">
        <v>4.43287037037037E-3</v>
      </c>
      <c r="DD1186">
        <v>154</v>
      </c>
      <c r="DE1186">
        <v>275</v>
      </c>
      <c r="DF1186">
        <v>15</v>
      </c>
      <c r="DG1186">
        <v>1.6</v>
      </c>
      <c r="DH1186">
        <v>26969</v>
      </c>
      <c r="DI1186">
        <v>9.74E-2</v>
      </c>
      <c r="DQ1186">
        <v>28</v>
      </c>
    </row>
    <row r="1187" spans="95:121" x14ac:dyDescent="0.25">
      <c r="CQ1187" t="s">
        <v>636</v>
      </c>
      <c r="CR1187" t="s">
        <v>6</v>
      </c>
      <c r="CS1187" t="s">
        <v>11</v>
      </c>
      <c r="CT1187">
        <v>46055</v>
      </c>
      <c r="CU1187">
        <v>1</v>
      </c>
      <c r="CV1187">
        <v>1</v>
      </c>
      <c r="CZ1187">
        <v>0</v>
      </c>
      <c r="DA1187">
        <v>0</v>
      </c>
      <c r="DB1187">
        <v>0</v>
      </c>
      <c r="DC1187">
        <v>0</v>
      </c>
      <c r="DQ1187">
        <v>28</v>
      </c>
    </row>
    <row r="1188" spans="95:121" x14ac:dyDescent="0.25">
      <c r="CQ1188" t="s">
        <v>636</v>
      </c>
      <c r="CR1188" t="s">
        <v>2</v>
      </c>
      <c r="CS1188" t="s">
        <v>68</v>
      </c>
      <c r="CT1188">
        <v>46055</v>
      </c>
      <c r="CU1188">
        <v>1</v>
      </c>
      <c r="CV1188">
        <v>1</v>
      </c>
      <c r="CZ1188">
        <v>0</v>
      </c>
      <c r="DA1188">
        <v>0</v>
      </c>
      <c r="DB1188">
        <v>0</v>
      </c>
      <c r="DC1188">
        <v>0</v>
      </c>
      <c r="DQ1188">
        <v>26</v>
      </c>
    </row>
    <row r="1189" spans="95:121" x14ac:dyDescent="0.25">
      <c r="CQ1189" t="s">
        <v>636</v>
      </c>
      <c r="CR1189" t="s">
        <v>6</v>
      </c>
      <c r="CS1189" t="s">
        <v>11</v>
      </c>
      <c r="CT1189">
        <v>46062</v>
      </c>
      <c r="CU1189">
        <v>1</v>
      </c>
      <c r="CV1189">
        <v>1</v>
      </c>
      <c r="CZ1189">
        <v>0</v>
      </c>
      <c r="DA1189">
        <v>0</v>
      </c>
      <c r="DB1189">
        <v>0</v>
      </c>
      <c r="DC1189">
        <v>0</v>
      </c>
      <c r="DQ1189">
        <v>24</v>
      </c>
    </row>
    <row r="1190" spans="95:121" x14ac:dyDescent="0.25">
      <c r="CQ1190" t="s">
        <v>636</v>
      </c>
      <c r="CR1190" t="s">
        <v>6</v>
      </c>
      <c r="CS1190" t="s">
        <v>11</v>
      </c>
      <c r="CT1190">
        <v>46073</v>
      </c>
      <c r="CU1190">
        <v>1</v>
      </c>
      <c r="CV1190">
        <v>1</v>
      </c>
      <c r="CZ1190">
        <v>0</v>
      </c>
      <c r="DA1190">
        <v>0</v>
      </c>
      <c r="DB1190">
        <v>0</v>
      </c>
      <c r="DC1190">
        <v>0</v>
      </c>
      <c r="DQ1190">
        <v>24</v>
      </c>
    </row>
    <row r="1191" spans="95:121" x14ac:dyDescent="0.25">
      <c r="CQ1191" t="s">
        <v>636</v>
      </c>
      <c r="CR1191" t="s">
        <v>6</v>
      </c>
      <c r="CS1191" t="s">
        <v>81</v>
      </c>
      <c r="CT1191">
        <v>46057</v>
      </c>
      <c r="CU1191">
        <v>1</v>
      </c>
      <c r="CV1191">
        <v>1</v>
      </c>
      <c r="CW1191">
        <v>1</v>
      </c>
      <c r="CZ1191">
        <v>6.9675925925925929E-3</v>
      </c>
      <c r="DA1191">
        <v>6.9675925925925929E-3</v>
      </c>
      <c r="DB1191">
        <v>4.732638888888889E-2</v>
      </c>
      <c r="DC1191">
        <v>1.0578703703703703E-2</v>
      </c>
      <c r="DD1191">
        <v>129</v>
      </c>
      <c r="DE1191">
        <v>224</v>
      </c>
      <c r="DF1191">
        <v>14</v>
      </c>
      <c r="DG1191">
        <v>2</v>
      </c>
      <c r="DH1191">
        <v>27024</v>
      </c>
      <c r="DI1191">
        <v>0.1085</v>
      </c>
      <c r="DQ1191">
        <v>20</v>
      </c>
    </row>
    <row r="1192" spans="95:121" x14ac:dyDescent="0.25">
      <c r="CQ1192" t="s">
        <v>636</v>
      </c>
      <c r="CR1192" t="s">
        <v>6</v>
      </c>
      <c r="CS1192" t="s">
        <v>11</v>
      </c>
      <c r="CT1192">
        <v>46057</v>
      </c>
      <c r="CU1192">
        <v>1</v>
      </c>
      <c r="CV1192">
        <v>1</v>
      </c>
      <c r="CZ1192">
        <v>0</v>
      </c>
      <c r="DA1192">
        <v>0</v>
      </c>
      <c r="DB1192">
        <v>0</v>
      </c>
      <c r="DC1192">
        <v>0</v>
      </c>
      <c r="DQ1192">
        <v>20</v>
      </c>
    </row>
    <row r="1193" spans="95:121" x14ac:dyDescent="0.25">
      <c r="CQ1193" t="s">
        <v>636</v>
      </c>
      <c r="CR1193" t="s">
        <v>6</v>
      </c>
      <c r="CS1193" t="s">
        <v>11</v>
      </c>
      <c r="CT1193">
        <v>46078</v>
      </c>
      <c r="CU1193">
        <v>1</v>
      </c>
      <c r="CV1193">
        <v>1</v>
      </c>
      <c r="CZ1193">
        <v>0</v>
      </c>
      <c r="DA1193">
        <v>0</v>
      </c>
      <c r="DB1193">
        <v>0</v>
      </c>
      <c r="DC1193">
        <v>0</v>
      </c>
      <c r="DQ1193">
        <v>20</v>
      </c>
    </row>
  </sheetData>
  <conditionalFormatting sqref="E3:E58">
    <cfRule type="containsText" dxfId="12" priority="1" operator="containsText" text="kenneth">
      <formula>NOT(ISERROR(SEARCH("kenneth",E3)))</formula>
    </cfRule>
  </conditionalFormatting>
  <conditionalFormatting sqref="R9:R59">
    <cfRule type="duplicateValues" dxfId="11" priority="2"/>
  </conditionalFormatting>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E16D4-2A75-4B1C-8124-02DCD2CF0CB7}">
  <dimension ref="A1:DN1197"/>
  <sheetViews>
    <sheetView topLeftCell="A2" zoomScale="70" zoomScaleNormal="70" workbookViewId="0">
      <selection activeCell="N8" sqref="N8"/>
    </sheetView>
  </sheetViews>
  <sheetFormatPr baseColWidth="10" defaultRowHeight="15" x14ac:dyDescent="0.25"/>
  <cols>
    <col min="7" max="7" width="14.42578125" bestFit="1" customWidth="1"/>
    <col min="86" max="86" width="17.7109375" bestFit="1" customWidth="1"/>
    <col min="87" max="87" width="12" bestFit="1" customWidth="1"/>
    <col min="88" max="88" width="11.5703125" bestFit="1" customWidth="1"/>
    <col min="89" max="89" width="11" bestFit="1" customWidth="1"/>
    <col min="90" max="90" width="10.7109375" bestFit="1" customWidth="1"/>
    <col min="91" max="91" width="15.140625" customWidth="1"/>
    <col min="92" max="92" width="16.5703125" customWidth="1"/>
    <col min="93" max="93" width="14.140625" customWidth="1"/>
    <col min="94" max="94" width="15.85546875" customWidth="1"/>
    <col min="95" max="95" width="30" customWidth="1"/>
    <col min="96" max="96" width="19" customWidth="1"/>
    <col min="97" max="97" width="19.42578125" customWidth="1"/>
    <col min="98" max="98" width="24.28515625" customWidth="1"/>
    <col min="99" max="99" width="16.5703125" customWidth="1"/>
    <col min="100" max="100" width="41.28515625" customWidth="1"/>
    <col min="101" max="101" width="28.140625" customWidth="1"/>
    <col min="102" max="102" width="25.7109375" customWidth="1"/>
    <col min="103" max="103" width="27.5703125" customWidth="1"/>
    <col min="104" max="104" width="32.85546875" customWidth="1"/>
    <col min="105" max="105" width="20.140625" customWidth="1"/>
    <col min="106" max="106" width="20.42578125" customWidth="1"/>
    <col min="107" max="107" width="25.7109375" customWidth="1"/>
    <col min="108" max="108" width="20.85546875" customWidth="1"/>
    <col min="109" max="109" width="26.7109375" customWidth="1"/>
    <col min="110" max="110" width="13.7109375" customWidth="1"/>
    <col min="111" max="111" width="15.5703125" customWidth="1"/>
    <col min="112" max="112" width="20.5703125" customWidth="1"/>
    <col min="113" max="113" width="21.28515625" customWidth="1"/>
    <col min="114" max="114" width="19.85546875" customWidth="1"/>
    <col min="115" max="115" width="22.85546875" customWidth="1"/>
    <col min="116" max="116" width="23.85546875" customWidth="1"/>
    <col min="117" max="117" width="15.5703125" customWidth="1"/>
    <col min="118" max="118" width="22.28515625" customWidth="1"/>
  </cols>
  <sheetData>
    <row r="1" spans="1:118" x14ac:dyDescent="0.25">
      <c r="A1" s="34"/>
      <c r="B1" s="34"/>
      <c r="C1" s="35"/>
      <c r="D1" s="35"/>
      <c r="E1" s="35"/>
      <c r="J1" s="55"/>
      <c r="K1" s="55"/>
      <c r="L1" s="55"/>
      <c r="N1" s="5"/>
    </row>
    <row r="2" spans="1:118"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118" ht="26.25" x14ac:dyDescent="0.4">
      <c r="A3" s="61" t="str" cm="1">
        <f t="array" ref="A3">IFERROR(VLOOKUP(D1_MARZO_202655[[#This Row],[ASESOR_CRR]],_xlfn._xlws.FILTER(PLANTILLA[[ASESOR]:[FECHA DE CESE]],PLANTILLA[FECHA]=_xlfn.CONCAT($M$3,"_",_xlfn.IFS($N$3="ENERO","1",$N$3="FEBRERO","2",$N$3="MARZO","3",$N$3="ABRIL","4",$N$3="MAYO","5",$N$3="JUNIO","6",$N$3="JULIO","7",$N$3="AGOSTO","8",$N$3="SETIEMBRE","9",$N$3="OCTUBRE","10",$N$3="NOVIEMBRE","11",$N$3="DICIEMBRE","12"))),3,0),"")</f>
        <v>LEONOR</v>
      </c>
      <c r="B3" s="61" t="str" cm="1">
        <f t="array" ref="B3">TRIM(IFERROR(_xlfn.IFS(D1_MARZO_202655[[#This Row],[ASESOR]]="ELVIS GUERRA","ELVIS GUERRERA",D1_MARZO_202655[[#This Row],[ASESOR]]="GENESIS VICUÑA","GENESIS VICUNA",D1_MARZO_202655[[#This Row],[ASESOR]]="JENY QUIÑONES","JENY QUINONES",D1_MARZO_202655[[#This Row],[ASESOR]]="NICOLE CAURURO","NICOLE CAURURO"),D1_MARZO_202655[[#This Row],[ASESOR]]))</f>
        <v>ALEJANDRA QUISPE</v>
      </c>
      <c r="C3" s="61" cm="1">
        <f t="array" ref="C3">_xlfn.XLOOKUP(1,(TablaMeta[CONCAT]=$M$3&amp;$N$3&amp;D1_MARZO_202655[[#This Row],[SUPER]])*(TablaMeta[SEGG]=D1_MARZO_202655[[#This Row],[SEGMENTO]]),TablaMeta[Meta_Asesor])</f>
        <v>35000</v>
      </c>
      <c r="D3" s="62"/>
      <c r="E3" s="62" t="str">
        <f>D1_MARZO_202655[[#This Row],[SUPER]]</f>
        <v>LEONOR</v>
      </c>
      <c r="F3" s="61" t="s">
        <v>58</v>
      </c>
      <c r="G3" s="78"/>
      <c r="H3" s="61" cm="1">
        <f t="array" ref="H3">IFERROR(VLOOKUP(D1_MARZO_202655[[#This Row],[ASESOR_CRR]],_xlfn._xlws.FILTER(PLANTILLA[[ASESOR]:[FECHA DE CESE]],PLANTILLA[FECHA]=_xlfn.CONCAT($M$3,"_",_xlfn.IFS($N$3="ENERO","1",$N$3="FEBRERO","2",$N$3="MARZO","3",$N$3="ABRIL","4",$N$3="MAYO","5",$N$3="JUNIO","6",$N$3="JULIO","7",$N$3="AGOSTO","8",$N$3="SETIEMBRE","9",$N$3="OCTUBRE","10",$N$3="NOVIEMBRE","11",$N$3="DICIEMBRE","12"))),2,0),"")</f>
        <v>72519113</v>
      </c>
      <c r="I3" s="63" cm="1">
        <f t="array" ref="I3">IFERROR(VLOOKUP(D1_MARZO_202655[[#This Row],[ASESOR_CRR]],_xlfn._xlws.FILTER(PLANTILLA[[ASESOR]:[FECHA DE CESE]],PLANTILLA[FECHA]=_xlfn.CONCAT($M$3,"_",_xlfn.IFS($N$3="ENERO","1",$N$3="FEBRERO","2",$N$3="MARZO","3",$N$3="ABRIL","4",$N$3="MAYO","5",$N$3="JUNIO","6",$N$3="JULIO","7",$N$3="AGOSTO","8",$N$3="SETIEMBRE","9",$N$3="OCTUBRE","10",$N$3="NOVIEMBRE","11",$N$3="DICIEMBRE","12"))),6,0),"")</f>
        <v>43119</v>
      </c>
      <c r="J3" s="63" t="str" cm="1">
        <f t="array" ref="J3">IFERROR(VLOOKUP(D1_MARZO_202655[[#This Row],[ASESOR_CRR]],_xlfn._xlws.FILTER(PLANTILLA[[ASESOR]:[FECHA DE CESE]],PLANTILLA[FECHA]=_xlfn.CONCAT($M$3,"_",_xlfn.IFS($N$3="ENERO","1",$N$3="FEBRERO","2",$N$3="MARZO","3",$N$3="ABRIL","4",$N$3="MAYO","5",$N$3="JUNIO","6",$N$3="JULIO","7",$N$3="AGOSTO","8",$N$3="SETIEMBRE","9",$N$3="OCTUBRE","10",$N$3="NOVIEMBRE","11",$N$3="DICIEMBRE","12"))),4,0),"")</f>
        <v>VACACIONES</v>
      </c>
      <c r="K3" s="63" t="str" cm="1">
        <f t="array" ref="K3">IFERROR(VLOOKUP(D1_MARZO_202655[[#This Row],[ASESOR_CRR]],_xlfn._xlws.FILTER(PLANTILLA[[ASESOR]:[FECHA DE CESE]],PLANTILLA[FECHA]=_xlfn.CONCAT($M$3,"_",_xlfn.IFS($N$3="ENERO","1",$N$3="FEBRERO","2",$N$3="MARZO","3",$N$3="ABRIL","4",$N$3="MAYO","5",$N$3="JUNIO","6",$N$3="JULIO","7",$N$3="AGOSTO","8",$N$3="SETIEMBRE","9",$N$3="OCTUBRE","10",$N$3="NOVIEMBRE","11",$N$3="DICIEMBRE","12"))),8,0),"")</f>
        <v>S2-3-4 BANCO</v>
      </c>
      <c r="L3" s="55"/>
      <c r="M3" s="33">
        <v>2026</v>
      </c>
      <c r="N3" s="33" t="s">
        <v>141</v>
      </c>
      <c r="O3" s="33">
        <v>22</v>
      </c>
    </row>
    <row r="4" spans="1:118" x14ac:dyDescent="0.25">
      <c r="A4" s="61" t="str" cm="1">
        <f t="array" ref="A4">IFERROR(VLOOKUP(D1_MARZO_202655[[#This Row],[ASESOR_CRR]],_xlfn._xlws.FILTER(PLANTILLA[[ASESOR]:[FECHA DE CESE]],PLANTILLA[FECHA]=_xlfn.CONCAT($M$3,"_",_xlfn.IFS($N$3="ENERO","1",$N$3="FEBRERO","2",$N$3="MARZO","3",$N$3="ABRIL","4",$N$3="MAYO","5",$N$3="JUNIO","6",$N$3="JULIO","7",$N$3="AGOSTO","8",$N$3="SETIEMBRE","9",$N$3="OCTUBRE","10",$N$3="NOVIEMBRE","11",$N$3="DICIEMBRE","12"))),3,0),"")</f>
        <v>KENNETH</v>
      </c>
      <c r="B4" s="61" t="str" cm="1">
        <f t="array" ref="B4">TRIM(IFERROR(_xlfn.IFS(D1_MARZO_202655[[#This Row],[ASESOR]]="ELVIS GUERRA","ELVIS GUERRERA",D1_MARZO_202655[[#This Row],[ASESOR]]="GENESIS VICUÑA","GENESIS VICUNA",D1_MARZO_202655[[#This Row],[ASESOR]]="JENY QUIÑONES","JENY QUINONES",D1_MARZO_202655[[#This Row],[ASESOR]]="NICOLE CAURURO","NICOLE CAURURO"),D1_MARZO_202655[[#This Row],[ASESOR]]))</f>
        <v>JENY LAZARO</v>
      </c>
      <c r="C4" s="61" cm="1">
        <f t="array" ref="C4">_xlfn.XLOOKUP(1,(TablaMeta[CONCAT]=$M$3&amp;$N$3&amp;D1_MARZO_202655[[#This Row],[SUPER]])*(TablaMeta[SEGG]=D1_MARZO_202655[[#This Row],[SEGMENTO]]),TablaMeta[Meta_Asesor])</f>
        <v>30500</v>
      </c>
      <c r="D4" s="62"/>
      <c r="E4" s="62" t="str">
        <f>D1_MARZO_202655[[#This Row],[SUPER]]</f>
        <v>KENNETH</v>
      </c>
      <c r="F4" s="61" t="s">
        <v>26</v>
      </c>
      <c r="G4" s="78"/>
      <c r="H4" s="61" cm="1">
        <f t="array" ref="H4">IFERROR(VLOOKUP(D1_MARZO_202655[[#This Row],[ASESOR_CRR]],_xlfn._xlws.FILTER(PLANTILLA[[ASESOR]:[FECHA DE CESE]],PLANTILLA[FECHA]=_xlfn.CONCAT($M$3,"_",_xlfn.IFS($N$3="ENERO","1",$N$3="FEBRERO","2",$N$3="MARZO","3",$N$3="ABRIL","4",$N$3="MAYO","5",$N$3="JUNIO","6",$N$3="JULIO","7",$N$3="AGOSTO","8",$N$3="SETIEMBRE","9",$N$3="OCTUBRE","10",$N$3="NOVIEMBRE","11",$N$3="DICIEMBRE","12"))),2,0),"")</f>
        <v>41005089</v>
      </c>
      <c r="I4" s="63" cm="1">
        <f t="array" ref="I4">IFERROR(VLOOKUP(D1_MARZO_202655[[#This Row],[ASESOR_CRR]],_xlfn._xlws.FILTER(PLANTILLA[[ASESOR]:[FECHA DE CESE]],PLANTILLA[FECHA]=_xlfn.CONCAT($M$3,"_",_xlfn.IFS($N$3="ENERO","1",$N$3="FEBRERO","2",$N$3="MARZO","3",$N$3="ABRIL","4",$N$3="MAYO","5",$N$3="JUNIO","6",$N$3="JULIO","7",$N$3="AGOSTO","8",$N$3="SETIEMBRE","9",$N$3="OCTUBRE","10",$N$3="NOVIEMBRE","11",$N$3="DICIEMBRE","12"))),6,0),"")</f>
        <v>44257</v>
      </c>
      <c r="J4" s="63" t="str" cm="1">
        <f t="array" ref="J4">IFERROR(VLOOKUP(D1_MARZO_202655[[#This Row],[ASESOR_CRR]],_xlfn._xlws.FILTER(PLANTILLA[[ASESOR]:[FECHA DE CESE]],PLANTILLA[FECHA]=_xlfn.CONCAT($M$3,"_",_xlfn.IFS($N$3="ENERO","1",$N$3="FEBRERO","2",$N$3="MARZO","3",$N$3="ABRIL","4",$N$3="MAYO","5",$N$3="JUNIO","6",$N$3="JULIO","7",$N$3="AGOSTO","8",$N$3="SETIEMBRE","9",$N$3="OCTUBRE","10",$N$3="NOVIEMBRE","11",$N$3="DICIEMBRE","12"))),4,0),"")</f>
        <v>VACACIONES</v>
      </c>
      <c r="K4" s="63" t="str" cm="1">
        <f t="array" ref="K4">IFERROR(VLOOKUP(D1_MARZO_202655[[#This Row],[ASESOR_CRR]],_xlfn._xlws.FILTER(PLANTILLA[[ASESOR]:[FECHA DE CESE]],PLANTILLA[FECHA]=_xlfn.CONCAT($M$3,"_",_xlfn.IFS($N$3="ENERO","1",$N$3="FEBRERO","2",$N$3="MARZO","3",$N$3="ABRIL","4",$N$3="MAYO","5",$N$3="JUNIO","6",$N$3="JULIO","7",$N$3="AGOSTO","8",$N$3="SETIEMBRE","9",$N$3="OCTUBRE","10",$N$3="NOVIEMBRE","11",$N$3="DICIEMBRE","12"))),8,0),"")</f>
        <v>S0 - IBK</v>
      </c>
      <c r="L4" s="55"/>
      <c r="N4" s="5"/>
      <c r="S4" s="45"/>
    </row>
    <row r="5" spans="1:118" x14ac:dyDescent="0.25">
      <c r="A5" s="61" t="str" cm="1">
        <f t="array" ref="A5">IFERROR(VLOOKUP(D1_MARZO_202655[[#This Row],[ASESOR_CRR]],_xlfn._xlws.FILTER(PLANTILLA[[ASESOR]:[FECHA DE CESE]],PLANTILLA[FECHA]=_xlfn.CONCAT($M$3,"_",_xlfn.IFS($N$3="ENERO","1",$N$3="FEBRERO","2",$N$3="MARZO","3",$N$3="ABRIL","4",$N$3="MAYO","5",$N$3="JUNIO","6",$N$3="JULIO","7",$N$3="AGOSTO","8",$N$3="SETIEMBRE","9",$N$3="OCTUBRE","10",$N$3="NOVIEMBRE","11",$N$3="DICIEMBRE","12"))),3,0),"")</f>
        <v>JOHAN</v>
      </c>
      <c r="B5" s="61" t="str" cm="1">
        <f t="array" ref="B5">TRIM(IFERROR(_xlfn.IFS(D1_MARZO_202655[[#This Row],[ASESOR]]="ELVIS GUERRA","ELVIS GUERRERA",D1_MARZO_202655[[#This Row],[ASESOR]]="GENESIS VICUÑA","GENESIS VICUNA",D1_MARZO_202655[[#This Row],[ASESOR]]="JENY QUIÑONES","JENY QUINONES",D1_MARZO_202655[[#This Row],[ASESOR]]="NICOLE CAURURO","NICOLE CAURURO"),D1_MARZO_202655[[#This Row],[ASESOR]]))</f>
        <v>VERONICA TASAYCO</v>
      </c>
      <c r="C5" s="61" cm="1">
        <f t="array" ref="C5">_xlfn.XLOOKUP(1,(TablaMeta[CONCAT]=$M$3&amp;$N$3&amp;D1_MARZO_202655[[#This Row],[SUPER]])*(TablaMeta[SEGG]=D1_MARZO_202655[[#This Row],[SEGMENTO]]),TablaMeta[Meta_Asesor])</f>
        <v>56000</v>
      </c>
      <c r="D5" s="62"/>
      <c r="E5" s="62" t="str">
        <f>D1_MARZO_202655[[#This Row],[SUPER]]</f>
        <v>JOHAN</v>
      </c>
      <c r="F5" s="61" t="s">
        <v>10</v>
      </c>
      <c r="G5" s="78"/>
      <c r="H5" s="61" cm="1">
        <f t="array" ref="H5">IFERROR(VLOOKUP(D1_MARZO_202655[[#This Row],[ASESOR_CRR]],_xlfn._xlws.FILTER(PLANTILLA[[ASESOR]:[FECHA DE CESE]],PLANTILLA[FECHA]=_xlfn.CONCAT($M$3,"_",_xlfn.IFS($N$3="ENERO","1",$N$3="FEBRERO","2",$N$3="MARZO","3",$N$3="ABRIL","4",$N$3="MAYO","5",$N$3="JUNIO","6",$N$3="JULIO","7",$N$3="AGOSTO","8",$N$3="SETIEMBRE","9",$N$3="OCTUBRE","10",$N$3="NOVIEMBRE","11",$N$3="DICIEMBRE","12"))),2,0),"")</f>
        <v>40980108</v>
      </c>
      <c r="I5" s="63" cm="1">
        <f t="array" ref="I5">IFERROR(VLOOKUP(D1_MARZO_202655[[#This Row],[ASESOR_CRR]],_xlfn._xlws.FILTER(PLANTILLA[[ASESOR]:[FECHA DE CESE]],PLANTILLA[FECHA]=_xlfn.CONCAT($M$3,"_",_xlfn.IFS($N$3="ENERO","1",$N$3="FEBRERO","2",$N$3="MARZO","3",$N$3="ABRIL","4",$N$3="MAYO","5",$N$3="JUNIO","6",$N$3="JULIO","7",$N$3="AGOSTO","8",$N$3="SETIEMBRE","9",$N$3="OCTUBRE","10",$N$3="NOVIEMBRE","11",$N$3="DICIEMBRE","12"))),6,0),"")</f>
        <v>44704</v>
      </c>
      <c r="J5" s="63" t="str" cm="1">
        <f t="array" ref="J5">IFERROR(VLOOKUP(D1_MARZO_202655[[#This Row],[ASESOR_CRR]],_xlfn._xlws.FILTER(PLANTILLA[[ASESOR]:[FECHA DE CESE]],PLANTILLA[FECHA]=_xlfn.CONCAT($M$3,"_",_xlfn.IFS($N$3="ENERO","1",$N$3="FEBRERO","2",$N$3="MARZO","3",$N$3="ABRIL","4",$N$3="MAYO","5",$N$3="JUNIO","6",$N$3="JULIO","7",$N$3="AGOSTO","8",$N$3="SETIEMBRE","9",$N$3="OCTUBRE","10",$N$3="NOVIEMBRE","11",$N$3="DICIEMBRE","12"))),4,0),"")</f>
        <v>VACACIONES</v>
      </c>
      <c r="K5" s="63" t="str" cm="1">
        <f t="array" ref="K5">IFERROR(VLOOKUP(D1_MARZO_202655[[#This Row],[ASESOR_CRR]],_xlfn._xlws.FILTER(PLANTILLA[[ASESOR]:[FECHA DE CESE]],PLANTILLA[FECHA]=_xlfn.CONCAT($M$3,"_",_xlfn.IFS($N$3="ENERO","1",$N$3="FEBRERO","2",$N$3="MARZO","3",$N$3="ABRIL","4",$N$3="MAYO","5",$N$3="JUNIO","6",$N$3="JULIO","7",$N$3="AGOSTO","8",$N$3="SETIEMBRE","9",$N$3="OCTUBRE","10",$N$3="NOVIEMBRE","11",$N$3="DICIEMBRE","12"))),8,0),"")</f>
        <v>S1</v>
      </c>
      <c r="L5" s="55"/>
      <c r="N5" s="5"/>
      <c r="S5" s="45"/>
      <c r="BV5" s="45"/>
    </row>
    <row r="6" spans="1:118" x14ac:dyDescent="0.25">
      <c r="A6" s="65" t="str" cm="1">
        <f t="array" ref="A6">IFERROR(VLOOKUP(D1_MARZO_202655[[#This Row],[ASESOR_CRR]],_xlfn._xlws.FILTER(PLANTILLA[[ASESOR]:[FECHA DE CESE]],PLANTILLA[FECHA]=_xlfn.CONCAT($M$3,"_",_xlfn.IFS($N$3="ENERO","1",$N$3="FEBRERO","2",$N$3="MARZO","3",$N$3="ABRIL","4",$N$3="MAYO","5",$N$3="JUNIO","6",$N$3="JULIO","7",$N$3="AGOSTO","8",$N$3="SETIEMBRE","9",$N$3="OCTUBRE","10",$N$3="NOVIEMBRE","11",$N$3="DICIEMBRE","12"))),3,0),"")</f>
        <v>JORGE</v>
      </c>
      <c r="B6" s="65" t="str" cm="1">
        <f t="array" ref="B6">TRIM(IFERROR(_xlfn.IFS(D1_MARZO_202655[[#This Row],[ASESOR]]="ELVIS GUERRA","ELVIS GUERRERA",D1_MARZO_202655[[#This Row],[ASESOR]]="GENESIS VICUÑA","GENESIS VICUNA",D1_MARZO_202655[[#This Row],[ASESOR]]="JENY QUIÑONES","JENY QUINONES",D1_MARZO_202655[[#This Row],[ASESOR]]="NICOLE CAURURO","NICOLE CAURURO"),D1_MARZO_202655[[#This Row],[ASESOR]]))</f>
        <v>HAROLD FLORES</v>
      </c>
      <c r="C6" s="61" cm="1">
        <f t="array" ref="C6">_xlfn.XLOOKUP(1,(TablaMeta[CONCAT]=$M$3&amp;$N$3&amp;D1_MARZO_202655[[#This Row],[SUPER]])*(TablaMeta[SEGG]=D1_MARZO_202655[[#This Row],[SEGMENTO]]),TablaMeta[Meta_Asesor])</f>
        <v>56000</v>
      </c>
      <c r="D6" s="62"/>
      <c r="E6" s="66" t="str">
        <f>D1_MARZO_202655[[#This Row],[SUPER]]</f>
        <v>JORGE</v>
      </c>
      <c r="F6" s="65" t="s">
        <v>42</v>
      </c>
      <c r="G6" s="72"/>
      <c r="H6" s="65" cm="1">
        <f t="array" ref="H6">IFERROR(VLOOKUP(D1_MARZO_202655[[#This Row],[ASESOR_CRR]],_xlfn._xlws.FILTER(PLANTILLA[[ASESOR]:[FECHA DE CESE]],PLANTILLA[FECHA]=_xlfn.CONCAT($M$3,"_",_xlfn.IFS($N$3="ENERO","1",$N$3="FEBRERO","2",$N$3="MARZO","3",$N$3="ABRIL","4",$N$3="MAYO","5",$N$3="JUNIO","6",$N$3="JULIO","7",$N$3="AGOSTO","8",$N$3="SETIEMBRE","9",$N$3="OCTUBRE","10",$N$3="NOVIEMBRE","11",$N$3="DICIEMBRE","12"))),2,0),"")</f>
        <v>73725129</v>
      </c>
      <c r="I6" s="67" cm="1">
        <f t="array" ref="I6">IFERROR(VLOOKUP(D1_MARZO_202655[[#This Row],[ASESOR_CRR]],_xlfn._xlws.FILTER(PLANTILLA[[ASESOR]:[FECHA DE CESE]],PLANTILLA[FECHA]=_xlfn.CONCAT($M$3,"_",_xlfn.IFS($N$3="ENERO","1",$N$3="FEBRERO","2",$N$3="MARZO","3",$N$3="ABRIL","4",$N$3="MAYO","5",$N$3="JUNIO","6",$N$3="JULIO","7",$N$3="AGOSTO","8",$N$3="SETIEMBRE","9",$N$3="OCTUBRE","10",$N$3="NOVIEMBRE","11",$N$3="DICIEMBRE","12"))),6,0),"")</f>
        <v>45398</v>
      </c>
      <c r="J6" s="67" t="str" cm="1">
        <f t="array" ref="J6">IFERROR(VLOOKUP(D1_MARZO_202655[[#This Row],[ASESOR_CRR]],_xlfn._xlws.FILTER(PLANTILLA[[ASESOR]:[FECHA DE CESE]],PLANTILLA[FECHA]=_xlfn.CONCAT($M$3,"_",_xlfn.IFS($N$3="ENERO","1",$N$3="FEBRERO","2",$N$3="MARZO","3",$N$3="ABRIL","4",$N$3="MAYO","5",$N$3="JUNIO","6",$N$3="JULIO","7",$N$3="AGOSTO","8",$N$3="SETIEMBRE","9",$N$3="OCTUBRE","10",$N$3="NOVIEMBRE","11",$N$3="DICIEMBRE","12"))),4,0),"")</f>
        <v>VACACIONES</v>
      </c>
      <c r="K6" s="67" t="str" cm="1">
        <f t="array" ref="K6">IFERROR(VLOOKUP(D1_MARZO_202655[[#This Row],[ASESOR_CRR]],_xlfn._xlws.FILTER(PLANTILLA[[ASESOR]:[FECHA DE CESE]],PLANTILLA[FECHA]=_xlfn.CONCAT($M$3,"_",_xlfn.IFS($N$3="ENERO","1",$N$3="FEBRERO","2",$N$3="MARZO","3",$N$3="ABRIL","4",$N$3="MAYO","5",$N$3="JUNIO","6",$N$3="JULIO","7",$N$3="AGOSTO","8",$N$3="SETIEMBRE","9",$N$3="OCTUBRE","10",$N$3="NOVIEMBRE","11",$N$3="DICIEMBRE","12"))),8,0),"")</f>
        <v>S1</v>
      </c>
      <c r="L6" s="55"/>
      <c r="N6" s="5"/>
      <c r="S6" s="45"/>
    </row>
    <row r="7" spans="1:118" x14ac:dyDescent="0.25">
      <c r="A7" s="34" t="str" cm="1">
        <f t="array" ref="A7">IFERROR(VLOOKUP(D1_MARZO_202655[[#This Row],[ASESOR_CRR]],_xlfn._xlws.FILTER(PLANTILLA[[ASESOR]:[FECHA DE CESE]],PLANTILLA[FECHA]=_xlfn.CONCAT($M$3,"_",_xlfn.IFS($N$3="ENERO","1",$N$3="FEBRERO","2",$N$3="MARZO","3",$N$3="ABRIL","4",$N$3="MAYO","5",$N$3="JUNIO","6",$N$3="JULIO","7",$N$3="AGOSTO","8",$N$3="SETIEMBRE","9",$N$3="OCTUBRE","10",$N$3="NOVIEMBRE","11",$N$3="DICIEMBRE","12"))),3,0),"")</f>
        <v>KENNETH</v>
      </c>
      <c r="B7" s="34" t="str" cm="1">
        <f t="array" ref="B7">TRIM(IFERROR(_xlfn.IFS(D1_MARZO_202655[[#This Row],[ASESOR]]="ELVIS GUERRA","ELVIS GUERRERA",D1_MARZO_202655[[#This Row],[ASESOR]]="GENESIS VICUÑA","GENESIS VICUNA",D1_MARZO_202655[[#This Row],[ASESOR]]="JENY QUIÑONES","JENY QUINONES",D1_MARZO_202655[[#This Row],[ASESOR]]="NICOLE CAURURO","NICOLE CAURURO"),D1_MARZO_202655[[#This Row],[ASESOR]]))</f>
        <v>NOEMI CHUQUILIN</v>
      </c>
      <c r="C7" s="34" cm="1">
        <f t="array" ref="C7">_xlfn.XLOOKUP(1,(TablaMeta[CONCAT]=$M$3&amp;$N$3&amp;D1_MARZO_202655[[#This Row],[SUPER]])*(TablaMeta[SEGG]=D1_MARZO_202655[[#This Row],[SEGMENTO]]),TablaMeta[Meta_Asesor])</f>
        <v>86000</v>
      </c>
      <c r="D7" s="35">
        <f>IF(D1_MARZO_202655[[#This Row],[RECUPERO]]="VACACIONES","VACACIONES",IFERROR(D1_MARZO_202655[[#This Row],[RECUPERO]]/D1_MARZO_202655[[#This Row],[META]],""))</f>
        <v>1.2169767441860466</v>
      </c>
      <c r="E7" s="35" t="str">
        <f>D1_MARZO_202655[[#This Row],[SUPER]]</f>
        <v>KENNETH</v>
      </c>
      <c r="F7" s="34" t="s">
        <v>97</v>
      </c>
      <c r="G7" s="36">
        <v>104660</v>
      </c>
      <c r="H7" s="34" cm="1">
        <f t="array" ref="H7">IFERROR(VLOOKUP(D1_MARZO_202655[[#This Row],[ASESOR_CRR]],_xlfn._xlws.FILTER(PLANTILLA[[ASESOR]:[FECHA DE CESE]],PLANTILLA[FECHA]=_xlfn.CONCAT($M$3,"_",_xlfn.IFS($N$3="ENERO","1",$N$3="FEBRERO","2",$N$3="MARZO","3",$N$3="ABRIL","4",$N$3="MAYO","5",$N$3="JUNIO","6",$N$3="JULIO","7",$N$3="AGOSTO","8",$N$3="SETIEMBRE","9",$N$3="OCTUBRE","10",$N$3="NOVIEMBRE","11",$N$3="DICIEMBRE","12"))),2,0),"")</f>
        <v>74602206</v>
      </c>
      <c r="I7" s="60" cm="1">
        <f t="array" ref="I7">IFERROR(VLOOKUP(D1_MARZO_202655[[#This Row],[ASESOR_CRR]],_xlfn._xlws.FILTER(PLANTILLA[[ASESOR]:[FECHA DE CESE]],PLANTILLA[FECHA]=_xlfn.CONCAT($M$3,"_",_xlfn.IFS($N$3="ENERO","1",$N$3="FEBRERO","2",$N$3="MARZO","3",$N$3="ABRIL","4",$N$3="MAYO","5",$N$3="JUNIO","6",$N$3="JULIO","7",$N$3="AGOSTO","8",$N$3="SETIEMBRE","9",$N$3="OCTUBRE","10",$N$3="NOVIEMBRE","11",$N$3="DICIEMBRE","12"))),6,0),"")</f>
        <v>45884</v>
      </c>
      <c r="J7" s="60" t="str" cm="1">
        <f t="array" ref="J7">IFERROR(VLOOKUP(D1_MARZO_202655[[#This Row],[ASESOR_CRR]],_xlfn._xlws.FILTER(PLANTILLA[[ASESOR]:[FECHA DE CESE]],PLANTILLA[FECHA]=_xlfn.CONCAT($M$3,"_",_xlfn.IFS($N$3="ENERO","1",$N$3="FEBRERO","2",$N$3="MARZO","3",$N$3="ABRIL","4",$N$3="MAYO","5",$N$3="JUNIO","6",$N$3="JULIO","7",$N$3="AGOSTO","8",$N$3="SETIEMBRE","9",$N$3="OCTUBRE","10",$N$3="NOVIEMBRE","11",$N$3="DICIEMBRE","12"))),4,0),"")</f>
        <v>CALL</v>
      </c>
      <c r="K7" s="60" t="str" cm="1">
        <f t="array" ref="K7">IFERROR(VLOOKUP(D1_MARZO_202655[[#This Row],[ASESOR_CRR]],_xlfn._xlws.FILTER(PLANTILLA[[ASESOR]:[FECHA DE CESE]],PLANTILLA[FECHA]=_xlfn.CONCAT($M$3,"_",_xlfn.IFS($N$3="ENERO","1",$N$3="FEBRERO","2",$N$3="MARZO","3",$N$3="ABRIL","4",$N$3="MAYO","5",$N$3="JUNIO","6",$N$3="JULIO","7",$N$3="AGOSTO","8",$N$3="SETIEMBRE","9",$N$3="OCTUBRE","10",$N$3="NOVIEMBRE","11",$N$3="DICIEMBRE","12"))),8,0),"")</f>
        <v>S0 - BBVA</v>
      </c>
      <c r="L7" s="55"/>
      <c r="M7" s="1"/>
      <c r="N7" s="5"/>
      <c r="CH7" t="s">
        <v>626</v>
      </c>
      <c r="CI7" t="s">
        <v>176</v>
      </c>
      <c r="CJ7" t="s">
        <v>139</v>
      </c>
      <c r="CK7" t="s">
        <v>140</v>
      </c>
      <c r="CL7" t="s">
        <v>141</v>
      </c>
    </row>
    <row r="8" spans="1:118" ht="15.75" thickBot="1" x14ac:dyDescent="0.3">
      <c r="A8" s="34" t="str" cm="1">
        <f t="array" ref="A8">IFERROR(VLOOKUP(D1_MARZO_202655[[#This Row],[ASESOR_CRR]],_xlfn._xlws.FILTER(PLANTILLA[[ASESOR]:[FECHA DE CESE]],PLANTILLA[FECHA]=_xlfn.CONCAT($M$3,"_",_xlfn.IFS($N$3="ENERO","1",$N$3="FEBRERO","2",$N$3="MARZO","3",$N$3="ABRIL","4",$N$3="MAYO","5",$N$3="JUNIO","6",$N$3="JULIO","7",$N$3="AGOSTO","8",$N$3="SETIEMBRE","9",$N$3="OCTUBRE","10",$N$3="NOVIEMBRE","11",$N$3="DICIEMBRE","12"))),3,0),"")</f>
        <v>KENNETH</v>
      </c>
      <c r="B8" s="34" t="str" cm="1">
        <f t="array" ref="B8">TRIM(IFERROR(_xlfn.IFS(D1_MARZO_202655[[#This Row],[ASESOR]]="ELVIS GUERRA","ELVIS GUERRERA",D1_MARZO_202655[[#This Row],[ASESOR]]="GENESIS VICUÑA","GENESIS VICUNA",D1_MARZO_202655[[#This Row],[ASESOR]]="JENY QUIÑONES","JENY QUINONES",D1_MARZO_202655[[#This Row],[ASESOR]]="NICOLE CAURURO","NICOLE CAURURO"),D1_MARZO_202655[[#This Row],[ASESOR]]))</f>
        <v>JUAN LOZA</v>
      </c>
      <c r="C8" s="34" cm="1">
        <f t="array" ref="C8">_xlfn.XLOOKUP(1,(TablaMeta[CONCAT]=$M$3&amp;$N$3&amp;D1_MARZO_202655[[#This Row],[SUPER]])*(TablaMeta[SEGG]=D1_MARZO_202655[[#This Row],[SEGMENTO]]),TablaMeta[Meta_Asesor])</f>
        <v>86000</v>
      </c>
      <c r="D8" s="35">
        <f>IF(D1_MARZO_202655[[#This Row],[RECUPERO]]="VACACIONES","VACACIONES",IFERROR(D1_MARZO_202655[[#This Row],[RECUPERO]]/D1_MARZO_202655[[#This Row],[META]],""))</f>
        <v>0.58436046511627904</v>
      </c>
      <c r="E8" s="35" t="str">
        <f>D1_MARZO_202655[[#This Row],[SUPER]]</f>
        <v>KENNETH</v>
      </c>
      <c r="F8" s="34" t="s">
        <v>35</v>
      </c>
      <c r="G8" s="36">
        <v>50255</v>
      </c>
      <c r="H8" s="34" cm="1">
        <f t="array" ref="H8">IFERROR(VLOOKUP(D1_MARZO_202655[[#This Row],[ASESOR_CRR]],_xlfn._xlws.FILTER(PLANTILLA[[ASESOR]:[FECHA DE CESE]],PLANTILLA[FECHA]=_xlfn.CONCAT($M$3,"_",_xlfn.IFS($N$3="ENERO","1",$N$3="FEBRERO","2",$N$3="MARZO","3",$N$3="ABRIL","4",$N$3="MAYO","5",$N$3="JUNIO","6",$N$3="JULIO","7",$N$3="AGOSTO","8",$N$3="SETIEMBRE","9",$N$3="OCTUBRE","10",$N$3="NOVIEMBRE","11",$N$3="DICIEMBRE","12"))),2,0),"")</f>
        <v>10491198</v>
      </c>
      <c r="I8" s="60" cm="1">
        <f t="array" ref="I8">IFERROR(VLOOKUP(D1_MARZO_202655[[#This Row],[ASESOR_CRR]],_xlfn._xlws.FILTER(PLANTILLA[[ASESOR]:[FECHA DE CESE]],PLANTILLA[FECHA]=_xlfn.CONCAT($M$3,"_",_xlfn.IFS($N$3="ENERO","1",$N$3="FEBRERO","2",$N$3="MARZO","3",$N$3="ABRIL","4",$N$3="MAYO","5",$N$3="JUNIO","6",$N$3="JULIO","7",$N$3="AGOSTO","8",$N$3="SETIEMBRE","9",$N$3="OCTUBRE","10",$N$3="NOVIEMBRE","11",$N$3="DICIEMBRE","12"))),6,0),"")</f>
        <v>44746</v>
      </c>
      <c r="J8" s="60" t="str" cm="1">
        <f t="array" ref="J8">IFERROR(VLOOKUP(D1_MARZO_202655[[#This Row],[ASESOR_CRR]],_xlfn._xlws.FILTER(PLANTILLA[[ASESOR]:[FECHA DE CESE]],PLANTILLA[FECHA]=_xlfn.CONCAT($M$3,"_",_xlfn.IFS($N$3="ENERO","1",$N$3="FEBRERO","2",$N$3="MARZO","3",$N$3="ABRIL","4",$N$3="MAYO","5",$N$3="JUNIO","6",$N$3="JULIO","7",$N$3="AGOSTO","8",$N$3="SETIEMBRE","9",$N$3="OCTUBRE","10",$N$3="NOVIEMBRE","11",$N$3="DICIEMBRE","12"))),4,0),"")</f>
        <v>CALL</v>
      </c>
      <c r="K8" s="60" t="str" cm="1">
        <f t="array" ref="K8">IFERROR(VLOOKUP(D1_MARZO_202655[[#This Row],[ASESOR_CRR]],_xlfn._xlws.FILTER(PLANTILLA[[ASESOR]:[FECHA DE CESE]],PLANTILLA[FECHA]=_xlfn.CONCAT($M$3,"_",_xlfn.IFS($N$3="ENERO","1",$N$3="FEBRERO","2",$N$3="MARZO","3",$N$3="ABRIL","4",$N$3="MAYO","5",$N$3="JUNIO","6",$N$3="JULIO","7",$N$3="AGOSTO","8",$N$3="SETIEMBRE","9",$N$3="OCTUBRE","10",$N$3="NOVIEMBRE","11",$N$3="DICIEMBRE","12"))),8,0),"")</f>
        <v>S0 - BBVA</v>
      </c>
      <c r="L8" s="55"/>
      <c r="M8" s="38" t="s">
        <v>87</v>
      </c>
      <c r="N8" s="15" t="s">
        <v>1133</v>
      </c>
      <c r="O8" s="14" t="s">
        <v>133</v>
      </c>
      <c r="P8" s="14" t="s">
        <v>95</v>
      </c>
      <c r="Q8" s="14" t="s">
        <v>90</v>
      </c>
      <c r="R8" s="13" t="s">
        <v>88</v>
      </c>
      <c r="S8" t="s">
        <v>533</v>
      </c>
      <c r="T8" t="s">
        <v>503</v>
      </c>
      <c r="U8" t="s">
        <v>525</v>
      </c>
      <c r="V8" t="s">
        <v>529</v>
      </c>
      <c r="W8" t="s">
        <v>504</v>
      </c>
      <c r="X8" t="s">
        <v>505</v>
      </c>
      <c r="Y8" t="s">
        <v>506</v>
      </c>
      <c r="Z8" t="s">
        <v>508</v>
      </c>
      <c r="AA8" t="s">
        <v>526</v>
      </c>
      <c r="AB8" t="s">
        <v>530</v>
      </c>
      <c r="AC8" t="s">
        <v>509</v>
      </c>
      <c r="AD8" t="s">
        <v>510</v>
      </c>
      <c r="AE8" t="s">
        <v>511</v>
      </c>
      <c r="AF8" t="s">
        <v>512</v>
      </c>
      <c r="AG8" t="s">
        <v>513</v>
      </c>
      <c r="AH8" t="s">
        <v>527</v>
      </c>
      <c r="AI8" t="s">
        <v>531</v>
      </c>
      <c r="AJ8" t="s">
        <v>514</v>
      </c>
      <c r="AK8" t="s">
        <v>515</v>
      </c>
      <c r="AL8" t="s">
        <v>516</v>
      </c>
      <c r="AM8" t="s">
        <v>517</v>
      </c>
      <c r="AN8" t="s">
        <v>518</v>
      </c>
      <c r="AO8" t="s">
        <v>528</v>
      </c>
      <c r="AP8" t="s">
        <v>532</v>
      </c>
      <c r="AQ8" t="s">
        <v>519</v>
      </c>
      <c r="AR8" t="s">
        <v>520</v>
      </c>
      <c r="AS8" t="s">
        <v>521</v>
      </c>
      <c r="AT8" t="s">
        <v>522</v>
      </c>
      <c r="AU8" t="s">
        <v>523</v>
      </c>
      <c r="AV8" s="14" t="s">
        <v>502</v>
      </c>
      <c r="AX8" s="18" t="s">
        <v>135</v>
      </c>
      <c r="AY8" s="18" t="s">
        <v>137</v>
      </c>
      <c r="AZ8" s="18" t="s">
        <v>138</v>
      </c>
      <c r="BA8" s="19" t="s">
        <v>94</v>
      </c>
      <c r="BB8" s="19" t="s">
        <v>533</v>
      </c>
      <c r="BC8" s="19" t="s">
        <v>503</v>
      </c>
      <c r="BD8" s="19" t="s">
        <v>525</v>
      </c>
      <c r="BE8" s="19" t="s">
        <v>529</v>
      </c>
      <c r="BF8" s="19" t="s">
        <v>504</v>
      </c>
      <c r="BG8" s="19" t="s">
        <v>505</v>
      </c>
      <c r="BH8" s="19" t="s">
        <v>506</v>
      </c>
      <c r="BI8" s="19" t="s">
        <v>508</v>
      </c>
      <c r="BJ8" s="19" t="s">
        <v>526</v>
      </c>
      <c r="BK8" s="19" t="s">
        <v>530</v>
      </c>
      <c r="BL8" s="19" t="s">
        <v>509</v>
      </c>
      <c r="BM8" s="19" t="s">
        <v>510</v>
      </c>
      <c r="BN8" s="19" t="s">
        <v>511</v>
      </c>
      <c r="BO8" s="19" t="s">
        <v>512</v>
      </c>
      <c r="BP8" s="19" t="s">
        <v>513</v>
      </c>
      <c r="BQ8" s="19" t="s">
        <v>527</v>
      </c>
      <c r="BR8" s="19" t="s">
        <v>531</v>
      </c>
      <c r="BS8" s="19" t="s">
        <v>514</v>
      </c>
      <c r="BT8" s="19" t="s">
        <v>515</v>
      </c>
      <c r="BU8" s="19" t="s">
        <v>516</v>
      </c>
      <c r="BV8" s="19" t="s">
        <v>517</v>
      </c>
      <c r="BW8" s="19" t="s">
        <v>518</v>
      </c>
      <c r="BX8" s="19" t="s">
        <v>528</v>
      </c>
      <c r="BY8" s="19" t="s">
        <v>532</v>
      </c>
      <c r="BZ8" s="19" t="s">
        <v>519</v>
      </c>
      <c r="CA8" s="19" t="s">
        <v>520</v>
      </c>
      <c r="CB8" s="19" t="s">
        <v>521</v>
      </c>
      <c r="CC8" s="19" t="s">
        <v>522</v>
      </c>
      <c r="CD8" s="19" t="s">
        <v>523</v>
      </c>
      <c r="CE8" s="18" t="s">
        <v>134</v>
      </c>
      <c r="CG8" s="73" t="s">
        <v>627</v>
      </c>
      <c r="CH8" s="73" t="s">
        <v>533</v>
      </c>
      <c r="CI8" s="73" t="s">
        <v>503</v>
      </c>
      <c r="CJ8" s="73" t="s">
        <v>525</v>
      </c>
      <c r="CK8" s="73" t="s">
        <v>529</v>
      </c>
      <c r="CM8" s="85" t="s">
        <v>639</v>
      </c>
      <c r="CN8" s="84" t="s">
        <v>640</v>
      </c>
      <c r="CO8" s="84" t="s">
        <v>641</v>
      </c>
      <c r="CP8" s="84" t="s">
        <v>642</v>
      </c>
      <c r="CQ8" s="84" t="s">
        <v>643</v>
      </c>
      <c r="CR8" s="84" t="s">
        <v>668</v>
      </c>
      <c r="CS8" s="84" t="s">
        <v>644</v>
      </c>
      <c r="CT8" s="84" t="s">
        <v>645</v>
      </c>
      <c r="CU8" s="84" t="s">
        <v>646</v>
      </c>
      <c r="CV8" s="84" t="s">
        <v>647</v>
      </c>
      <c r="CW8" s="84" t="s">
        <v>648</v>
      </c>
      <c r="CX8" s="84" t="s">
        <v>649</v>
      </c>
      <c r="CY8" s="84" t="s">
        <v>650</v>
      </c>
      <c r="CZ8" s="84" t="s">
        <v>651</v>
      </c>
      <c r="DA8" s="84" t="s">
        <v>652</v>
      </c>
      <c r="DB8" s="84" t="s">
        <v>653</v>
      </c>
      <c r="DC8" s="84" t="s">
        <v>654</v>
      </c>
      <c r="DD8" s="84" t="s">
        <v>655</v>
      </c>
      <c r="DE8" s="84" t="s">
        <v>656</v>
      </c>
      <c r="DF8" s="84" t="s">
        <v>657</v>
      </c>
      <c r="DG8" s="84" t="s">
        <v>658</v>
      </c>
      <c r="DH8" s="84" t="s">
        <v>669</v>
      </c>
      <c r="DI8" s="84" t="s">
        <v>659</v>
      </c>
      <c r="DJ8" s="84" t="s">
        <v>660</v>
      </c>
      <c r="DK8" s="84" t="s">
        <v>662</v>
      </c>
      <c r="DL8" s="84" t="s">
        <v>663</v>
      </c>
      <c r="DM8" s="84" t="s">
        <v>664</v>
      </c>
      <c r="DN8" s="86" t="s">
        <v>661</v>
      </c>
    </row>
    <row r="9" spans="1:118" x14ac:dyDescent="0.25">
      <c r="A9" s="34" t="str" cm="1">
        <f t="array" ref="A9">IFERROR(VLOOKUP(D1_MARZO_202655[[#This Row],[ASESOR_CRR]],_xlfn._xlws.FILTER(PLANTILLA[[ASESOR]:[FECHA DE CESE]],PLANTILLA[FECHA]=_xlfn.CONCAT($M$3,"_",_xlfn.IFS($N$3="ENERO","1",$N$3="FEBRERO","2",$N$3="MARZO","3",$N$3="ABRIL","4",$N$3="MAYO","5",$N$3="JUNIO","6",$N$3="JULIO","7",$N$3="AGOSTO","8",$N$3="SETIEMBRE","9",$N$3="OCTUBRE","10",$N$3="NOVIEMBRE","11",$N$3="DICIEMBRE","12"))),3,0),"")</f>
        <v>KENNETH</v>
      </c>
      <c r="B9" s="34" t="str" cm="1">
        <f t="array" ref="B9">TRIM(IFERROR(_xlfn.IFS(D1_MARZO_202655[[#This Row],[ASESOR]]="ELVIS GUERRA","ELVIS GUERRERA",D1_MARZO_202655[[#This Row],[ASESOR]]="GENESIS VICUÑA","GENESIS VICUNA",D1_MARZO_202655[[#This Row],[ASESOR]]="JENY QUIÑONES","JENY QUINONES",D1_MARZO_202655[[#This Row],[ASESOR]]="NICOLE CAURURO","NICOLE CAURURO"),D1_MARZO_202655[[#This Row],[ASESOR]]))</f>
        <v>JIMENA MEDINA</v>
      </c>
      <c r="C9" s="34" cm="1">
        <f t="array" ref="C9">_xlfn.XLOOKUP(1,(TablaMeta[CONCAT]=$M$3&amp;$N$3&amp;D1_MARZO_202655[[#This Row],[SUPER]])*(TablaMeta[SEGG]=D1_MARZO_202655[[#This Row],[SEGMENTO]]),TablaMeta[Meta_Asesor])</f>
        <v>86000</v>
      </c>
      <c r="D9" s="35">
        <f>IF(D1_MARZO_202655[[#This Row],[RECUPERO]]="VACACIONES","VACACIONES",IFERROR(D1_MARZO_202655[[#This Row],[RECUPERO]]/D1_MARZO_202655[[#This Row],[META]],""))</f>
        <v>0.40381976744186049</v>
      </c>
      <c r="E9" s="35" t="str">
        <f>D1_MARZO_202655[[#This Row],[SUPER]]</f>
        <v>KENNETH</v>
      </c>
      <c r="F9" s="34" t="s">
        <v>37</v>
      </c>
      <c r="G9" s="36">
        <v>34728.5</v>
      </c>
      <c r="H9" s="34" cm="1">
        <f t="array" ref="H9">IFERROR(VLOOKUP(D1_MARZO_202655[[#This Row],[ASESOR_CRR]],_xlfn._xlws.FILTER(PLANTILLA[[ASESOR]:[FECHA DE CESE]],PLANTILLA[FECHA]=_xlfn.CONCAT($M$3,"_",_xlfn.IFS($N$3="ENERO","1",$N$3="FEBRERO","2",$N$3="MARZO","3",$N$3="ABRIL","4",$N$3="MAYO","5",$N$3="JUNIO","6",$N$3="JULIO","7",$N$3="AGOSTO","8",$N$3="SETIEMBRE","9",$N$3="OCTUBRE","10",$N$3="NOVIEMBRE","11",$N$3="DICIEMBRE","12"))),2,0),"")</f>
        <v>70988976</v>
      </c>
      <c r="I9" s="60" cm="1">
        <f t="array" ref="I9">IFERROR(VLOOKUP(D1_MARZO_202655[[#This Row],[ASESOR_CRR]],_xlfn._xlws.FILTER(PLANTILLA[[ASESOR]:[FECHA DE CESE]],PLANTILLA[FECHA]=_xlfn.CONCAT($M$3,"_",_xlfn.IFS($N$3="ENERO","1",$N$3="FEBRERO","2",$N$3="MARZO","3",$N$3="ABRIL","4",$N$3="MAYO","5",$N$3="JUNIO","6",$N$3="JULIO","7",$N$3="AGOSTO","8",$N$3="SETIEMBRE","9",$N$3="OCTUBRE","10",$N$3="NOVIEMBRE","11",$N$3="DICIEMBRE","12"))),6,0),"")</f>
        <v>45112</v>
      </c>
      <c r="J9" s="60" t="str" cm="1">
        <f t="array" ref="J9">IFERROR(VLOOKUP(D1_MARZO_202655[[#This Row],[ASESOR_CRR]],_xlfn._xlws.FILTER(PLANTILLA[[ASESOR]:[FECHA DE CESE]],PLANTILLA[FECHA]=_xlfn.CONCAT($M$3,"_",_xlfn.IFS($N$3="ENERO","1",$N$3="FEBRERO","2",$N$3="MARZO","3",$N$3="ABRIL","4",$N$3="MAYO","5",$N$3="JUNIO","6",$N$3="JULIO","7",$N$3="AGOSTO","8",$N$3="SETIEMBRE","9",$N$3="OCTUBRE","10",$N$3="NOVIEMBRE","11",$N$3="DICIEMBRE","12"))),4,0),"")</f>
        <v>CALL</v>
      </c>
      <c r="K9" s="60" t="str" cm="1">
        <f t="array" ref="K9">IFERROR(VLOOKUP(D1_MARZO_202655[[#This Row],[ASESOR_CRR]],_xlfn._xlws.FILTER(PLANTILLA[[ASESOR]:[FECHA DE CESE]],PLANTILLA[FECHA]=_xlfn.CONCAT($M$3,"_",_xlfn.IFS($N$3="ENERO","1",$N$3="FEBRERO","2",$N$3="MARZO","3",$N$3="ABRIL","4",$N$3="MAYO","5",$N$3="JUNIO","6",$N$3="JULIO","7",$N$3="AGOSTO","8",$N$3="SETIEMBRE","9",$N$3="OCTUBRE","10",$N$3="NOVIEMBRE","11",$N$3="DICIEMBRE","12"))),8,0),"")</f>
        <v>S0 - BBVA</v>
      </c>
      <c r="L9" s="55"/>
      <c r="M9" s="5">
        <f>DATA_MARZO_202651[[#This Row],[RECUPERO]]/DATA_MARZO_202651[[#This Row],[META]]</f>
        <v>0.70901785714285714</v>
      </c>
      <c r="N9" s="5">
        <f>6-ROUNDUP(_xlfn.RANK.EQ(DATA_MARZO_202651[[#This Row],[AL_AC]],DATA_MARZO_202651[AL_AC],0)/(COUNTA(DATA_MARZO_202651[AL_AC])/5),0)</f>
        <v>2</v>
      </c>
      <c r="O9" s="54" t="str">
        <f>IFERROR(VLOOKUP(DATA_MARZO_202651[[#This Row],[ASER_]],$B:$G,4,0),"")</f>
        <v>JOHAN</v>
      </c>
      <c r="P9" s="6">
        <f>SUM(DATA_MARZO_202651[[#This Row],[1]:[30]])</f>
        <v>39705</v>
      </c>
      <c r="Q9" s="6">
        <f>VLOOKUP(DATA_MARZO_202651[[#This Row],[ASER_]],D1_MARZO_202655[[ASESOR_CRR]:[META]],2,0)</f>
        <v>56000</v>
      </c>
      <c r="R9" t="s">
        <v>18</v>
      </c>
      <c r="W9">
        <v>4900</v>
      </c>
      <c r="AA9">
        <v>8000</v>
      </c>
      <c r="AD9">
        <v>2000</v>
      </c>
      <c r="AK9">
        <v>16600</v>
      </c>
      <c r="AN9">
        <v>3000</v>
      </c>
      <c r="AO9">
        <v>4000</v>
      </c>
      <c r="AU9">
        <v>1205</v>
      </c>
      <c r="AV9" s="54" t="str" cm="1">
        <f t="array" ref="AV9">IFERROR(VLOOKUP(DATA_MARZO_202651[[#This Row],[ASER_]],_xlfn._xlws.FILTER(PLANTILLA[[ASESOR]:[FECHA DE CESE]],PLANTILLA[FECHA]=_xlfn.CONCAT($M$3,"_",_xlfn.IFS($N$3="ENERO","1",$N$3="FEBRERO","2",$N$3="MARZO","3",$N$3="ABRIL","4",$N$3="MAYO","5",$N$3="JUNIO","6",$N$3="JULIO","7",$N$3="AGOSTO","8",$N$3="SETIEMBRE","9",$N$3="OCTUBRE","10",$N$3="NOVIEMBRE","11",$N$3="DICIEMBRE","12"))),8,0),"")</f>
        <v>S1</v>
      </c>
      <c r="AX9" s="10">
        <f>SUMIFS(TablaMeta[Meta_Equipo],TablaMeta[CONCAT],$M$3&amp;$N$3&amp;DITE_MARZO_202656[[#This Row],[SUPER]])</f>
        <v>504401</v>
      </c>
      <c r="AY9" s="10">
        <f>MAX(DITE_MARZO_202656[[#This Row],[SUPER]:[CARTERA]])</f>
        <v>648361.04</v>
      </c>
      <c r="AZ9" s="16">
        <f>IFERROR(DITE_MARZO_202656[[#This Row],[RECUPERO SUPERVISOR]]/DITE_MARZO_202656[[#This Row],[META SUPER]],"")</f>
        <v>1.285407919492626</v>
      </c>
      <c r="BA9" s="10" t="s">
        <v>3</v>
      </c>
      <c r="BB9" s="46">
        <v>1000</v>
      </c>
      <c r="BC9" s="46">
        <v>7083.4</v>
      </c>
      <c r="BD9" s="46">
        <v>34238.26</v>
      </c>
      <c r="BE9" s="46">
        <v>75348.420000000013</v>
      </c>
      <c r="BF9" s="46">
        <v>124259.78000000001</v>
      </c>
      <c r="BG9" s="46">
        <v>138813.78000000003</v>
      </c>
      <c r="BH9" s="46">
        <v>138813.78000000003</v>
      </c>
      <c r="BI9" s="46">
        <v>207416.18000000002</v>
      </c>
      <c r="BJ9" s="46">
        <v>217809.18000000002</v>
      </c>
      <c r="BK9" s="46">
        <v>229975.18000000002</v>
      </c>
      <c r="BL9" s="46">
        <v>268950.18000000005</v>
      </c>
      <c r="BM9" s="46">
        <v>279415.94000000006</v>
      </c>
      <c r="BN9" s="46">
        <v>281625.94000000006</v>
      </c>
      <c r="BO9" s="46">
        <v>281625.94000000006</v>
      </c>
      <c r="BP9" s="46">
        <v>306678.94000000006</v>
      </c>
      <c r="BQ9" s="46">
        <v>345244.04000000004</v>
      </c>
      <c r="BR9" s="46">
        <v>386284.04000000004</v>
      </c>
      <c r="BS9" s="46">
        <v>404004.04000000004</v>
      </c>
      <c r="BT9" s="46">
        <v>428939.04000000004</v>
      </c>
      <c r="BU9" s="46">
        <v>433321.04000000004</v>
      </c>
      <c r="BV9" s="46">
        <v>434291.04000000004</v>
      </c>
      <c r="BW9" s="46">
        <v>454911.04000000004</v>
      </c>
      <c r="BX9" s="46">
        <v>468206.04000000004</v>
      </c>
      <c r="BY9" s="46">
        <v>512071.04000000004</v>
      </c>
      <c r="BZ9" s="46">
        <v>536986.04</v>
      </c>
      <c r="CA9" s="46">
        <v>563806.04</v>
      </c>
      <c r="CB9" s="46">
        <v>569876.04</v>
      </c>
      <c r="CC9" s="46">
        <v>572876.04</v>
      </c>
      <c r="CD9" s="79">
        <v>648361.04</v>
      </c>
      <c r="CE9" s="80" t="str">
        <f>VLOOKUP($M$3&amp;$N$3&amp;DITE_MARZO_202656[[#This Row],[SUPER]],TablaMeta[],7,0)</f>
        <v>S0 - IBK</v>
      </c>
      <c r="CG9" t="s">
        <v>3</v>
      </c>
      <c r="CH9" t="s">
        <v>2</v>
      </c>
      <c r="CI9" t="s">
        <v>2</v>
      </c>
      <c r="CJ9" t="s">
        <v>2</v>
      </c>
      <c r="CK9" t="s">
        <v>3</v>
      </c>
      <c r="CM9" t="s">
        <v>636</v>
      </c>
      <c r="CN9" t="s">
        <v>125</v>
      </c>
      <c r="CO9" t="s">
        <v>18</v>
      </c>
      <c r="CP9">
        <v>46104</v>
      </c>
      <c r="CQ9">
        <v>1</v>
      </c>
      <c r="CR9">
        <v>1</v>
      </c>
      <c r="CT9">
        <v>1</v>
      </c>
      <c r="CV9">
        <v>8.1018518518518516E-5</v>
      </c>
      <c r="CW9">
        <v>8.1018518518518516E-5</v>
      </c>
      <c r="CX9">
        <v>0.19483796296296296</v>
      </c>
      <c r="CY9">
        <v>0.15429398148148149</v>
      </c>
      <c r="CZ9">
        <v>138</v>
      </c>
      <c r="DA9">
        <v>289</v>
      </c>
      <c r="DB9">
        <v>12</v>
      </c>
      <c r="DC9" t="s">
        <v>712</v>
      </c>
      <c r="DD9">
        <v>51736</v>
      </c>
      <c r="DE9">
        <v>8.6999999999999994E-2</v>
      </c>
      <c r="DF9">
        <v>1</v>
      </c>
      <c r="DG9">
        <v>8.3299999999999999E-2</v>
      </c>
      <c r="DH9">
        <v>3000</v>
      </c>
      <c r="DI9">
        <v>3000</v>
      </c>
      <c r="DJ9">
        <v>3000</v>
      </c>
      <c r="DK9">
        <v>1</v>
      </c>
      <c r="DL9">
        <v>0.12189999999999999</v>
      </c>
      <c r="DM9">
        <v>100</v>
      </c>
      <c r="DN9">
        <v>3000</v>
      </c>
    </row>
    <row r="10" spans="1:118" x14ac:dyDescent="0.25">
      <c r="A10" s="34" t="str" cm="1">
        <f t="array" ref="A10">IFERROR(VLOOKUP(D1_MARZO_202655[[#This Row],[ASESOR_CRR]],_xlfn._xlws.FILTER(PLANTILLA[[ASESOR]:[FECHA DE CESE]],PLANTILLA[FECHA]=_xlfn.CONCAT($M$3,"_",_xlfn.IFS($N$3="ENERO","1",$N$3="FEBRERO","2",$N$3="MARZO","3",$N$3="ABRIL","4",$N$3="MAYO","5",$N$3="JUNIO","6",$N$3="JULIO","7",$N$3="AGOSTO","8",$N$3="SETIEMBRE","9",$N$3="OCTUBRE","10",$N$3="NOVIEMBRE","11",$N$3="DICIEMBRE","12"))),3,0),"")</f>
        <v>KENNETH</v>
      </c>
      <c r="B10" s="34" t="str" cm="1">
        <f t="array" ref="B10">TRIM(IFERROR(_xlfn.IFS(D1_MARZO_202655[[#This Row],[ASESOR]]="ELVIS GUERRA","ELVIS GUERRERA",D1_MARZO_202655[[#This Row],[ASESOR]]="GENESIS VICUÑA","GENESIS VICUNA",D1_MARZO_202655[[#This Row],[ASESOR]]="JENY QUIÑONES","JENY QUINONES",D1_MARZO_202655[[#This Row],[ASESOR]]="NICOLE CAURURO","NICOLE CAURURO"),D1_MARZO_202655[[#This Row],[ASESOR]]))</f>
        <v>STWUAR MACURI</v>
      </c>
      <c r="C10" s="34" cm="1">
        <f t="array" ref="C10">_xlfn.XLOOKUP(1,(TablaMeta[CONCAT]=$M$3&amp;$N$3&amp;D1_MARZO_202655[[#This Row],[SUPER]])*(TablaMeta[SEGG]=D1_MARZO_202655[[#This Row],[SEGMENTO]]),TablaMeta[Meta_Asesor])</f>
        <v>30500</v>
      </c>
      <c r="D10" s="35">
        <f>IF(D1_MARZO_202655[[#This Row],[RECUPERO]]="VACACIONES","VACACIONES",IFERROR(D1_MARZO_202655[[#This Row],[RECUPERO]]/D1_MARZO_202655[[#This Row],[META]],""))</f>
        <v>1.8985245901639345</v>
      </c>
      <c r="E10" s="35" t="str">
        <f>D1_MARZO_202655[[#This Row],[SUPER]]</f>
        <v>KENNETH</v>
      </c>
      <c r="F10" s="34" t="s">
        <v>34</v>
      </c>
      <c r="G10" s="36">
        <v>57905</v>
      </c>
      <c r="H10" s="34" cm="1">
        <f t="array" ref="H10">IFERROR(VLOOKUP(D1_MARZO_202655[[#This Row],[ASESOR_CRR]],_xlfn._xlws.FILTER(PLANTILLA[[ASESOR]:[FECHA DE CESE]],PLANTILLA[FECHA]=_xlfn.CONCAT($M$3,"_",_xlfn.IFS($N$3="ENERO","1",$N$3="FEBRERO","2",$N$3="MARZO","3",$N$3="ABRIL","4",$N$3="MAYO","5",$N$3="JUNIO","6",$N$3="JULIO","7",$N$3="AGOSTO","8",$N$3="SETIEMBRE","9",$N$3="OCTUBRE","10",$N$3="NOVIEMBRE","11",$N$3="DICIEMBRE","12"))),2,0),"")</f>
        <v>76824571</v>
      </c>
      <c r="I10" s="60" cm="1">
        <f t="array" ref="I10">IFERROR(VLOOKUP(D1_MARZO_202655[[#This Row],[ASESOR_CRR]],_xlfn._xlws.FILTER(PLANTILLA[[ASESOR]:[FECHA DE CESE]],PLANTILLA[FECHA]=_xlfn.CONCAT($M$3,"_",_xlfn.IFS($N$3="ENERO","1",$N$3="FEBRERO","2",$N$3="MARZO","3",$N$3="ABRIL","4",$N$3="MAYO","5",$N$3="JUNIO","6",$N$3="JULIO","7",$N$3="AGOSTO","8",$N$3="SETIEMBRE","9",$N$3="OCTUBRE","10",$N$3="NOVIEMBRE","11",$N$3="DICIEMBRE","12"))),6,0),"")</f>
        <v>45173</v>
      </c>
      <c r="J10" s="60" t="str" cm="1">
        <f t="array" ref="J10">IFERROR(VLOOKUP(D1_MARZO_202655[[#This Row],[ASESOR_CRR]],_xlfn._xlws.FILTER(PLANTILLA[[ASESOR]:[FECHA DE CESE]],PLANTILLA[FECHA]=_xlfn.CONCAT($M$3,"_",_xlfn.IFS($N$3="ENERO","1",$N$3="FEBRERO","2",$N$3="MARZO","3",$N$3="ABRIL","4",$N$3="MAYO","5",$N$3="JUNIO","6",$N$3="JULIO","7",$N$3="AGOSTO","8",$N$3="SETIEMBRE","9",$N$3="OCTUBRE","10",$N$3="NOVIEMBRE","11",$N$3="DICIEMBRE","12"))),4,0),"")</f>
        <v>CALL</v>
      </c>
      <c r="K10" s="60" t="str" cm="1">
        <f t="array" ref="K10">IFERROR(VLOOKUP(D1_MARZO_202655[[#This Row],[ASESOR_CRR]],_xlfn._xlws.FILTER(PLANTILLA[[ASESOR]:[FECHA DE CESE]],PLANTILLA[FECHA]=_xlfn.CONCAT($M$3,"_",_xlfn.IFS($N$3="ENERO","1",$N$3="FEBRERO","2",$N$3="MARZO","3",$N$3="ABRIL","4",$N$3="MAYO","5",$N$3="JUNIO","6",$N$3="JULIO","7",$N$3="AGOSTO","8",$N$3="SETIEMBRE","9",$N$3="OCTUBRE","10",$N$3="NOVIEMBRE","11",$N$3="DICIEMBRE","12"))),8,0),"")</f>
        <v>S0 - IBK</v>
      </c>
      <c r="L10" s="55"/>
      <c r="M10" s="5">
        <f>DATA_MARZO_202651[[#This Row],[RECUPERO]]/DATA_MARZO_202651[[#This Row],[META]]</f>
        <v>0.28767857142857145</v>
      </c>
      <c r="N10" s="5">
        <f>6-ROUNDUP(_xlfn.RANK.EQ(DATA_MARZO_202651[[#This Row],[AL_AC]],DATA_MARZO_202651[AL_AC],0)/(COUNTA(DATA_MARZO_202651[AL_AC])/5),0)</f>
        <v>1</v>
      </c>
      <c r="O10" s="54" t="str">
        <f>IFERROR(VLOOKUP(DATA_MARZO_202651[[#This Row],[ASER_]],$B:$G,4,0),"")</f>
        <v>JOHAN</v>
      </c>
      <c r="P10" s="6">
        <f>SUM(DATA_MARZO_202651[[#This Row],[1]:[30]])</f>
        <v>16110</v>
      </c>
      <c r="Q10" s="6">
        <f>VLOOKUP(DATA_MARZO_202651[[#This Row],[ASER_]],D1_MARZO_202655[[ASESOR_CRR]:[META]],2,0)</f>
        <v>56000</v>
      </c>
      <c r="R10" t="s">
        <v>109</v>
      </c>
      <c r="U10">
        <v>1000</v>
      </c>
      <c r="AA10">
        <v>610</v>
      </c>
      <c r="AG10">
        <v>375</v>
      </c>
      <c r="AH10">
        <v>8000</v>
      </c>
      <c r="AK10">
        <v>1400</v>
      </c>
      <c r="AP10">
        <v>375</v>
      </c>
      <c r="AQ10">
        <v>850</v>
      </c>
      <c r="AU10">
        <v>3500</v>
      </c>
      <c r="AV10" s="54" t="str" cm="1">
        <f t="array" ref="AV10">IFERROR(VLOOKUP(DATA_MARZO_202651[[#This Row],[ASER_]],_xlfn._xlws.FILTER(PLANTILLA[[ASESOR]:[FECHA DE CESE]],PLANTILLA[FECHA]=_xlfn.CONCAT($M$3,"_",_xlfn.IFS($N$3="ENERO","1",$N$3="FEBRERO","2",$N$3="MARZO","3",$N$3="ABRIL","4",$N$3="MAYO","5",$N$3="JUNIO","6",$N$3="JULIO","7",$N$3="AGOSTO","8",$N$3="SETIEMBRE","9",$N$3="OCTUBRE","10",$N$3="NOVIEMBRE","11",$N$3="DICIEMBRE","12"))),8,0),"")</f>
        <v>S1</v>
      </c>
      <c r="AX10" s="11">
        <f>SUMIFS(TablaMeta[Meta_Equipo],TablaMeta[CONCAT],$M$3&amp;$N$3&amp;DITE_MARZO_202656[[#This Row],[SUPER]])</f>
        <v>466781</v>
      </c>
      <c r="AY10" s="11">
        <f>MAX(DITE_MARZO_202656[[#This Row],[SUPER]:[CARTERA]])</f>
        <v>435619.15</v>
      </c>
      <c r="AZ10" s="17">
        <f>IFERROR(DITE_MARZO_202656[[#This Row],[RECUPERO SUPERVISOR]]/DITE_MARZO_202656[[#This Row],[META SUPER]],"")</f>
        <v>0.93324096310689597</v>
      </c>
      <c r="BA10" s="11" t="s">
        <v>6</v>
      </c>
      <c r="BB10" s="46">
        <v>266.5</v>
      </c>
      <c r="BC10" s="46">
        <v>2575.5</v>
      </c>
      <c r="BD10" s="46">
        <v>9375.5</v>
      </c>
      <c r="BE10" s="46">
        <v>14215.5</v>
      </c>
      <c r="BF10" s="46">
        <v>31878</v>
      </c>
      <c r="BG10" s="46">
        <v>43119</v>
      </c>
      <c r="BH10" s="46">
        <v>46619</v>
      </c>
      <c r="BI10" s="46">
        <v>65147</v>
      </c>
      <c r="BJ10" s="46">
        <v>83118</v>
      </c>
      <c r="BK10" s="46">
        <v>103268</v>
      </c>
      <c r="BL10" s="46">
        <v>118199</v>
      </c>
      <c r="BM10" s="46">
        <v>136879</v>
      </c>
      <c r="BN10" s="46">
        <v>137854</v>
      </c>
      <c r="BO10" s="46">
        <v>137854</v>
      </c>
      <c r="BP10" s="46">
        <v>152387</v>
      </c>
      <c r="BQ10" s="46">
        <v>191907</v>
      </c>
      <c r="BR10" s="46">
        <v>216647</v>
      </c>
      <c r="BS10" s="46">
        <v>231249.15</v>
      </c>
      <c r="BT10" s="46">
        <v>259081.15</v>
      </c>
      <c r="BU10" s="46">
        <v>259531.15</v>
      </c>
      <c r="BV10" s="46">
        <v>259531.15</v>
      </c>
      <c r="BW10" s="46">
        <v>275761.15000000002</v>
      </c>
      <c r="BX10" s="46">
        <v>290061.15000000002</v>
      </c>
      <c r="BY10" s="46">
        <v>311806.15000000002</v>
      </c>
      <c r="BZ10" s="46">
        <v>334506.15000000002</v>
      </c>
      <c r="CA10" s="46">
        <v>383255.15</v>
      </c>
      <c r="CB10" s="46">
        <v>383255.15</v>
      </c>
      <c r="CC10" s="46">
        <v>383255.15</v>
      </c>
      <c r="CD10" s="81">
        <v>435619.15</v>
      </c>
      <c r="CE10" s="11" t="str">
        <f>VLOOKUP($M$3&amp;$N$3&amp;DITE_MARZO_202656[[#This Row],[SUPER]],TablaMeta[],7,0)</f>
        <v>S0 - IBK</v>
      </c>
      <c r="CG10" t="s">
        <v>6</v>
      </c>
      <c r="CH10" t="s">
        <v>6</v>
      </c>
      <c r="CI10" t="s">
        <v>6</v>
      </c>
      <c r="CJ10" t="s">
        <v>6</v>
      </c>
      <c r="CK10" t="s">
        <v>6</v>
      </c>
      <c r="CM10" t="s">
        <v>636</v>
      </c>
      <c r="CN10" t="s">
        <v>125</v>
      </c>
      <c r="CO10" t="s">
        <v>18</v>
      </c>
      <c r="CP10">
        <v>46105</v>
      </c>
      <c r="CQ10">
        <v>1</v>
      </c>
      <c r="CR10">
        <v>1</v>
      </c>
      <c r="CT10">
        <v>1</v>
      </c>
      <c r="CV10">
        <v>1.0416666666666667E-4</v>
      </c>
      <c r="CW10">
        <v>1.0416666666666667E-4</v>
      </c>
      <c r="CX10">
        <v>0.18417824074074074</v>
      </c>
      <c r="CY10">
        <v>0.15876157407407407</v>
      </c>
      <c r="CZ10">
        <v>107</v>
      </c>
      <c r="DA10">
        <v>218</v>
      </c>
      <c r="DB10">
        <v>17</v>
      </c>
      <c r="DC10" t="s">
        <v>844</v>
      </c>
      <c r="DD10">
        <v>19055</v>
      </c>
      <c r="DE10">
        <v>0.15890000000000001</v>
      </c>
      <c r="DF10">
        <v>1</v>
      </c>
      <c r="DG10">
        <v>5.8799999999999998E-2</v>
      </c>
      <c r="DH10">
        <v>4000</v>
      </c>
      <c r="DI10">
        <v>4000</v>
      </c>
      <c r="DJ10">
        <v>4000</v>
      </c>
      <c r="DK10">
        <v>1</v>
      </c>
      <c r="DL10">
        <v>0.18720000000000001</v>
      </c>
      <c r="DM10">
        <v>100</v>
      </c>
      <c r="DN10">
        <v>4000</v>
      </c>
    </row>
    <row r="11" spans="1:118" x14ac:dyDescent="0.25">
      <c r="A11" s="34" t="str" cm="1">
        <f t="array" ref="A11">IFERROR(VLOOKUP(D1_MARZO_202655[[#This Row],[ASESOR_CRR]],_xlfn._xlws.FILTER(PLANTILLA[[ASESOR]:[FECHA DE CESE]],PLANTILLA[FECHA]=_xlfn.CONCAT($M$3,"_",_xlfn.IFS($N$3="ENERO","1",$N$3="FEBRERO","2",$N$3="MARZO","3",$N$3="ABRIL","4",$N$3="MAYO","5",$N$3="JUNIO","6",$N$3="JULIO","7",$N$3="AGOSTO","8",$N$3="SETIEMBRE","9",$N$3="OCTUBRE","10",$N$3="NOVIEMBRE","11",$N$3="DICIEMBRE","12"))),3,0),"")</f>
        <v>KENNETH</v>
      </c>
      <c r="B11" s="34" t="str" cm="1">
        <f t="array" ref="B11">TRIM(IFERROR(_xlfn.IFS(D1_MARZO_202655[[#This Row],[ASESOR]]="ELVIS GUERRA","ELVIS GUERRERA",D1_MARZO_202655[[#This Row],[ASESOR]]="GENESIS VICUÑA","GENESIS VICUNA",D1_MARZO_202655[[#This Row],[ASESOR]]="JENY QUIÑONES","JENY QUINONES",D1_MARZO_202655[[#This Row],[ASESOR]]="NICOLE CAURURO","NICOLE CAURURO"),D1_MARZO_202655[[#This Row],[ASESOR]]))</f>
        <v>CARMEN PUMA</v>
      </c>
      <c r="C11" s="34" cm="1">
        <f t="array" ref="C11">_xlfn.XLOOKUP(1,(TablaMeta[CONCAT]=$M$3&amp;$N$3&amp;D1_MARZO_202655[[#This Row],[SUPER]])*(TablaMeta[SEGG]=D1_MARZO_202655[[#This Row],[SEGMENTO]]),TablaMeta[Meta_Asesor])</f>
        <v>30500</v>
      </c>
      <c r="D11" s="35">
        <f>IF(D1_MARZO_202655[[#This Row],[RECUPERO]]="VACACIONES","VACACIONES",IFERROR(D1_MARZO_202655[[#This Row],[RECUPERO]]/D1_MARZO_202655[[#This Row],[META]],""))</f>
        <v>1.5744639344262295</v>
      </c>
      <c r="E11" s="35" t="str">
        <f>D1_MARZO_202655[[#This Row],[SUPER]]</f>
        <v>KENNETH</v>
      </c>
      <c r="F11" t="s">
        <v>19</v>
      </c>
      <c r="G11" s="36">
        <v>48021.15</v>
      </c>
      <c r="H11" cm="1">
        <f t="array" ref="H11">IFERROR(VLOOKUP(D1_MARZO_202655[[#This Row],[ASESOR_CRR]],_xlfn._xlws.FILTER(PLANTILLA[[ASESOR]:[FECHA DE CESE]],PLANTILLA[FECHA]=_xlfn.CONCAT($M$3,"_",_xlfn.IFS($N$3="ENERO","1",$N$3="FEBRERO","2",$N$3="MARZO","3",$N$3="ABRIL","4",$N$3="MAYO","5",$N$3="JUNIO","6",$N$3="JULIO","7",$N$3="AGOSTO","8",$N$3="SETIEMBRE","9",$N$3="OCTUBRE","10",$N$3="NOVIEMBRE","11",$N$3="DICIEMBRE","12"))),2,0),"")</f>
        <v>76656128</v>
      </c>
      <c r="I11" s="55" cm="1">
        <f t="array" ref="I11">IFERROR(VLOOKUP(D1_MARZO_202655[[#This Row],[ASESOR_CRR]],_xlfn._xlws.FILTER(PLANTILLA[[ASESOR]:[FECHA DE CESE]],PLANTILLA[FECHA]=_xlfn.CONCAT($M$3,"_",_xlfn.IFS($N$3="ENERO","1",$N$3="FEBRERO","2",$N$3="MARZO","3",$N$3="ABRIL","4",$N$3="MAYO","5",$N$3="JUNIO","6",$N$3="JULIO","7",$N$3="AGOSTO","8",$N$3="SETIEMBRE","9",$N$3="OCTUBRE","10",$N$3="NOVIEMBRE","11",$N$3="DICIEMBRE","12"))),6,0),"")</f>
        <v>44671</v>
      </c>
      <c r="J11" s="55" t="str" cm="1">
        <f t="array" ref="J11">IFERROR(VLOOKUP(D1_MARZO_202655[[#This Row],[ASESOR_CRR]],_xlfn._xlws.FILTER(PLANTILLA[[ASESOR]:[FECHA DE CESE]],PLANTILLA[FECHA]=_xlfn.CONCAT($M$3,"_",_xlfn.IFS($N$3="ENERO","1",$N$3="FEBRERO","2",$N$3="MARZO","3",$N$3="ABRIL","4",$N$3="MAYO","5",$N$3="JUNIO","6",$N$3="JULIO","7",$N$3="AGOSTO","8",$N$3="SETIEMBRE","9",$N$3="OCTUBRE","10",$N$3="NOVIEMBRE","11",$N$3="DICIEMBRE","12"))),4,0),"")</f>
        <v>CALL</v>
      </c>
      <c r="K11" s="60" t="str" cm="1">
        <f t="array" ref="K11">IFERROR(VLOOKUP(D1_MARZO_202655[[#This Row],[ASESOR_CRR]],_xlfn._xlws.FILTER(PLANTILLA[[ASESOR]:[FECHA DE CESE]],PLANTILLA[FECHA]=_xlfn.CONCAT($M$3,"_",_xlfn.IFS($N$3="ENERO","1",$N$3="FEBRERO","2",$N$3="MARZO","3",$N$3="ABRIL","4",$N$3="MAYO","5",$N$3="JUNIO","6",$N$3="JULIO","7",$N$3="AGOSTO","8",$N$3="SETIEMBRE","9",$N$3="OCTUBRE","10",$N$3="NOVIEMBRE","11",$N$3="DICIEMBRE","12"))),8,0),"")</f>
        <v>S0 - IBK</v>
      </c>
      <c r="L11" s="55"/>
      <c r="M11" s="5">
        <f>DATA_MARZO_202651[[#This Row],[RECUPERO]]/DATA_MARZO_202651[[#This Row],[META]]</f>
        <v>1.1518928571428571</v>
      </c>
      <c r="N11" s="5">
        <f>6-ROUNDUP(_xlfn.RANK.EQ(DATA_MARZO_202651[[#This Row],[AL_AC]],DATA_MARZO_202651[AL_AC],0)/(COUNTA(DATA_MARZO_202651[AL_AC])/5),0)</f>
        <v>4</v>
      </c>
      <c r="O11" s="54" t="str">
        <f>IFERROR(VLOOKUP(DATA_MARZO_202651[[#This Row],[ASER_]],$B:$G,4,0),"")</f>
        <v>JOHAN</v>
      </c>
      <c r="P11" s="6">
        <f>SUM(DATA_MARZO_202651[[#This Row],[1]:[30]])</f>
        <v>64506</v>
      </c>
      <c r="Q11" s="6">
        <f>VLOOKUP(DATA_MARZO_202651[[#This Row],[ASER_]],D1_MARZO_202655[[ASESOR_CRR]:[META]],2,0)</f>
        <v>56000</v>
      </c>
      <c r="R11" t="s">
        <v>60</v>
      </c>
      <c r="T11">
        <v>1377</v>
      </c>
      <c r="U11">
        <v>1370</v>
      </c>
      <c r="W11">
        <v>1900</v>
      </c>
      <c r="X11">
        <v>3200</v>
      </c>
      <c r="AA11">
        <v>3600</v>
      </c>
      <c r="AD11">
        <v>3300</v>
      </c>
      <c r="AH11">
        <v>7400</v>
      </c>
      <c r="AI11">
        <v>4800</v>
      </c>
      <c r="AK11">
        <v>21426</v>
      </c>
      <c r="AP11">
        <v>700</v>
      </c>
      <c r="AR11">
        <v>3230</v>
      </c>
      <c r="AU11">
        <v>12203</v>
      </c>
      <c r="AV11" s="54" t="str" cm="1">
        <f t="array" ref="AV11">IFERROR(VLOOKUP(DATA_MARZO_202651[[#This Row],[ASER_]],_xlfn._xlws.FILTER(PLANTILLA[[ASESOR]:[FECHA DE CESE]],PLANTILLA[FECHA]=_xlfn.CONCAT($M$3,"_",_xlfn.IFS($N$3="ENERO","1",$N$3="FEBRERO","2",$N$3="MARZO","3",$N$3="ABRIL","4",$N$3="MAYO","5",$N$3="JUNIO","6",$N$3="JULIO","7",$N$3="AGOSTO","8",$N$3="SETIEMBRE","9",$N$3="OCTUBRE","10",$N$3="NOVIEMBRE","11",$N$3="DICIEMBRE","12"))),8,0),"")</f>
        <v>S1</v>
      </c>
      <c r="AX11" s="10">
        <f>SUMIFS(TablaMeta[Meta_Equipo],TablaMeta[CONCAT],$M$3&amp;$N$3&amp;DITE_MARZO_202656[[#This Row],[SUPER]])</f>
        <v>609835</v>
      </c>
      <c r="AY11" s="10">
        <f>MAX(DITE_MARZO_202656[[#This Row],[SUPER]:[CARTERA]])</f>
        <v>363661.5</v>
      </c>
      <c r="AZ11" s="16">
        <f>IFERROR(DITE_MARZO_202656[[#This Row],[RECUPERO SUPERVISOR]]/DITE_MARZO_202656[[#This Row],[META SUPER]],"")</f>
        <v>0.59632769519624163</v>
      </c>
      <c r="BA11" s="10" t="s">
        <v>2</v>
      </c>
      <c r="BB11" s="46">
        <v>420</v>
      </c>
      <c r="BC11" s="46">
        <v>5117</v>
      </c>
      <c r="BD11" s="46">
        <v>25322</v>
      </c>
      <c r="BE11" s="46">
        <v>44871</v>
      </c>
      <c r="BF11" s="46">
        <v>71154</v>
      </c>
      <c r="BG11" s="46">
        <v>77719</v>
      </c>
      <c r="BH11" s="46">
        <v>77719</v>
      </c>
      <c r="BI11" s="46">
        <v>92750.65</v>
      </c>
      <c r="BJ11" s="46">
        <v>104376.65</v>
      </c>
      <c r="BK11" s="46">
        <v>115076.65</v>
      </c>
      <c r="BL11" s="46">
        <v>120835</v>
      </c>
      <c r="BM11" s="46">
        <v>124345</v>
      </c>
      <c r="BN11" s="46">
        <v>143501</v>
      </c>
      <c r="BO11" s="46">
        <v>145001</v>
      </c>
      <c r="BP11" s="46">
        <v>167221</v>
      </c>
      <c r="BQ11" s="46">
        <v>198921</v>
      </c>
      <c r="BR11" s="46">
        <v>222021</v>
      </c>
      <c r="BS11" s="46">
        <v>236418.5</v>
      </c>
      <c r="BT11" s="46">
        <v>246493.5</v>
      </c>
      <c r="BU11" s="46">
        <v>247093.5</v>
      </c>
      <c r="BV11" s="46">
        <v>247093.5</v>
      </c>
      <c r="BW11" s="46">
        <v>273696.5</v>
      </c>
      <c r="BX11" s="46">
        <v>299776.5</v>
      </c>
      <c r="BY11" s="46">
        <v>311216.5</v>
      </c>
      <c r="BZ11" s="46">
        <v>319766.5</v>
      </c>
      <c r="CA11" s="46">
        <v>335724.5</v>
      </c>
      <c r="CB11" s="46">
        <v>336704.5</v>
      </c>
      <c r="CC11" s="46">
        <v>336704.5</v>
      </c>
      <c r="CD11" s="81">
        <v>363661.5</v>
      </c>
      <c r="CE11" s="11" t="str">
        <f>VLOOKUP($M$3&amp;$N$3&amp;DITE_MARZO_202656[[#This Row],[SUPER]],TablaMeta[],7,0)</f>
        <v>S1</v>
      </c>
      <c r="CG11" t="s">
        <v>2</v>
      </c>
      <c r="CH11" t="s">
        <v>3</v>
      </c>
      <c r="CI11" t="s">
        <v>3</v>
      </c>
      <c r="CJ11" t="s">
        <v>3</v>
      </c>
      <c r="CK11" t="s">
        <v>2</v>
      </c>
      <c r="CM11" t="s">
        <v>636</v>
      </c>
      <c r="CN11" t="s">
        <v>125</v>
      </c>
      <c r="CO11" t="s">
        <v>60</v>
      </c>
      <c r="CP11">
        <v>46091</v>
      </c>
      <c r="CQ11">
        <v>1</v>
      </c>
      <c r="CR11">
        <v>1</v>
      </c>
      <c r="CT11">
        <v>1</v>
      </c>
      <c r="CV11">
        <v>2.3148148148148147E-5</v>
      </c>
      <c r="CW11">
        <v>2.3148148148148147E-5</v>
      </c>
      <c r="CX11">
        <v>0.30212962962962964</v>
      </c>
      <c r="CY11">
        <v>9.6967592592592591E-2</v>
      </c>
      <c r="CZ11">
        <v>82</v>
      </c>
      <c r="DA11">
        <v>131</v>
      </c>
      <c r="DB11">
        <v>7</v>
      </c>
      <c r="DC11" t="s">
        <v>684</v>
      </c>
      <c r="DD11">
        <v>44603</v>
      </c>
      <c r="DE11">
        <v>8.5400000000000004E-2</v>
      </c>
      <c r="DF11">
        <v>2</v>
      </c>
      <c r="DG11">
        <v>0.28570000000000001</v>
      </c>
      <c r="DH11">
        <v>5900</v>
      </c>
      <c r="DI11">
        <v>2950</v>
      </c>
      <c r="DJ11">
        <v>5900</v>
      </c>
      <c r="DK11">
        <v>1</v>
      </c>
      <c r="DL11">
        <v>0.1845</v>
      </c>
      <c r="DM11">
        <v>100</v>
      </c>
      <c r="DN11">
        <v>2950</v>
      </c>
    </row>
    <row r="12" spans="1:118" x14ac:dyDescent="0.25">
      <c r="A12" s="34" t="str" cm="1">
        <f t="array" ref="A12">IFERROR(VLOOKUP(D1_MARZO_202655[[#This Row],[ASESOR_CRR]],_xlfn._xlws.FILTER(PLANTILLA[[ASESOR]:[FECHA DE CESE]],PLANTILLA[FECHA]=_xlfn.CONCAT($M$3,"_",_xlfn.IFS($N$3="ENERO","1",$N$3="FEBRERO","2",$N$3="MARZO","3",$N$3="ABRIL","4",$N$3="MAYO","5",$N$3="JUNIO","6",$N$3="JULIO","7",$N$3="AGOSTO","8",$N$3="SETIEMBRE","9",$N$3="OCTUBRE","10",$N$3="NOVIEMBRE","11",$N$3="DICIEMBRE","12"))),3,0),"")</f>
        <v>KENNETH</v>
      </c>
      <c r="B12" s="34" t="str" cm="1">
        <f t="array" ref="B12">TRIM(IFERROR(_xlfn.IFS(D1_MARZO_202655[[#This Row],[ASESOR]]="ELVIS GUERRA","ELVIS GUERRERA",D1_MARZO_202655[[#This Row],[ASESOR]]="GENESIS VICUÑA","GENESIS VICUNA",D1_MARZO_202655[[#This Row],[ASESOR]]="JENY QUIÑONES","JENY QUINONES",D1_MARZO_202655[[#This Row],[ASESOR]]="NICOLE CAURURO","NICOLE CAURURO"),D1_MARZO_202655[[#This Row],[ASESOR]]))</f>
        <v>KIARA CANEPA</v>
      </c>
      <c r="C12" s="34" cm="1">
        <f t="array" ref="C12">_xlfn.XLOOKUP(1,(TablaMeta[CONCAT]=$M$3&amp;$N$3&amp;D1_MARZO_202655[[#This Row],[SUPER]])*(TablaMeta[SEGG]=D1_MARZO_202655[[#This Row],[SEGMENTO]]),TablaMeta[Meta_Asesor])</f>
        <v>30500</v>
      </c>
      <c r="D12" s="35">
        <f>IF(D1_MARZO_202655[[#This Row],[RECUPERO]]="VACACIONES","VACACIONES",IFERROR(D1_MARZO_202655[[#This Row],[RECUPERO]]/D1_MARZO_202655[[#This Row],[META]],""))</f>
        <v>1.1982295081967214</v>
      </c>
      <c r="E12" s="35" t="str">
        <f>D1_MARZO_202655[[#This Row],[SUPER]]</f>
        <v>KENNETH</v>
      </c>
      <c r="F12" t="s">
        <v>50</v>
      </c>
      <c r="G12" s="36">
        <v>36546</v>
      </c>
      <c r="H12" cm="1">
        <f t="array" ref="H12">IFERROR(VLOOKUP(D1_MARZO_202655[[#This Row],[ASESOR_CRR]],_xlfn._xlws.FILTER(PLANTILLA[[ASESOR]:[FECHA DE CESE]],PLANTILLA[FECHA]=_xlfn.CONCAT($M$3,"_",_xlfn.IFS($N$3="ENERO","1",$N$3="FEBRERO","2",$N$3="MARZO","3",$N$3="ABRIL","4",$N$3="MAYO","5",$N$3="JUNIO","6",$N$3="JULIO","7",$N$3="AGOSTO","8",$N$3="SETIEMBRE","9",$N$3="OCTUBRE","10",$N$3="NOVIEMBRE","11",$N$3="DICIEMBRE","12"))),2,0),"")</f>
        <v>72733809</v>
      </c>
      <c r="I12" s="55" cm="1">
        <f t="array" ref="I12">IFERROR(VLOOKUP(D1_MARZO_202655[[#This Row],[ASESOR_CRR]],_xlfn._xlws.FILTER(PLANTILLA[[ASESOR]:[FECHA DE CESE]],PLANTILLA[FECHA]=_xlfn.CONCAT($M$3,"_",_xlfn.IFS($N$3="ENERO","1",$N$3="FEBRERO","2",$N$3="MARZO","3",$N$3="ABRIL","4",$N$3="MAYO","5",$N$3="JUNIO","6",$N$3="JULIO","7",$N$3="AGOSTO","8",$N$3="SETIEMBRE","9",$N$3="OCTUBRE","10",$N$3="NOVIEMBRE","11",$N$3="DICIEMBRE","12"))),6,0),"")</f>
        <v>45789</v>
      </c>
      <c r="J12" s="55" t="str" cm="1">
        <f t="array" ref="J12">IFERROR(VLOOKUP(D1_MARZO_202655[[#This Row],[ASESOR_CRR]],_xlfn._xlws.FILTER(PLANTILLA[[ASESOR]:[FECHA DE CESE]],PLANTILLA[FECHA]=_xlfn.CONCAT($M$3,"_",_xlfn.IFS($N$3="ENERO","1",$N$3="FEBRERO","2",$N$3="MARZO","3",$N$3="ABRIL","4",$N$3="MAYO","5",$N$3="JUNIO","6",$N$3="JULIO","7",$N$3="AGOSTO","8",$N$3="SETIEMBRE","9",$N$3="OCTUBRE","10",$N$3="NOVIEMBRE","11",$N$3="DICIEMBRE","12"))),4,0),"")</f>
        <v>CALL</v>
      </c>
      <c r="K12" s="55" t="str" cm="1">
        <f t="array" ref="K12">IFERROR(VLOOKUP(D1_MARZO_202655[[#This Row],[ASESOR_CRR]],_xlfn._xlws.FILTER(PLANTILLA[[ASESOR]:[FECHA DE CESE]],PLANTILLA[FECHA]=_xlfn.CONCAT($M$3,"_",_xlfn.IFS($N$3="ENERO","1",$N$3="FEBRERO","2",$N$3="MARZO","3",$N$3="ABRIL","4",$N$3="MAYO","5",$N$3="JUNIO","6",$N$3="JULIO","7",$N$3="AGOSTO","8",$N$3="SETIEMBRE","9",$N$3="OCTUBRE","10",$N$3="NOVIEMBRE","11",$N$3="DICIEMBRE","12"))),8,0),"")</f>
        <v>S0 - IBK</v>
      </c>
      <c r="L12" s="55"/>
      <c r="M12" s="5">
        <f>DATA_MARZO_202651[[#This Row],[RECUPERO]]/DATA_MARZO_202651[[#This Row],[META]]</f>
        <v>0.74501785714285718</v>
      </c>
      <c r="N12" s="5">
        <f>6-ROUNDUP(_xlfn.RANK.EQ(DATA_MARZO_202651[[#This Row],[AL_AC]],DATA_MARZO_202651[AL_AC],0)/(COUNTA(DATA_MARZO_202651[AL_AC])/5),0)</f>
        <v>3</v>
      </c>
      <c r="O12" s="54" t="str">
        <f>IFERROR(VLOOKUP(DATA_MARZO_202651[[#This Row],[ASER_]],$B:$G,4,0),"")</f>
        <v>JORGE</v>
      </c>
      <c r="P12" s="6">
        <f>SUM(DATA_MARZO_202651[[#This Row],[1]:[30]])</f>
        <v>41721</v>
      </c>
      <c r="Q12" s="6">
        <f>VLOOKUP(DATA_MARZO_202651[[#This Row],[ASER_]],D1_MARZO_202655[[ASESOR_CRR]:[META]],2,0)</f>
        <v>56000</v>
      </c>
      <c r="R12" t="s">
        <v>15</v>
      </c>
      <c r="T12">
        <v>3000</v>
      </c>
      <c r="U12">
        <v>6000</v>
      </c>
      <c r="Z12">
        <v>720</v>
      </c>
      <c r="AD12">
        <v>500</v>
      </c>
      <c r="AG12">
        <v>15600</v>
      </c>
      <c r="AJ12">
        <v>325</v>
      </c>
      <c r="AN12">
        <v>5500</v>
      </c>
      <c r="AQ12">
        <v>500</v>
      </c>
      <c r="AU12">
        <v>9576</v>
      </c>
      <c r="AV12" s="54" t="str" cm="1">
        <f t="array" ref="AV12">IFERROR(VLOOKUP(DATA_MARZO_202651[[#This Row],[ASER_]],_xlfn._xlws.FILTER(PLANTILLA[[ASESOR]:[FECHA DE CESE]],PLANTILLA[FECHA]=_xlfn.CONCAT($M$3,"_",_xlfn.IFS($N$3="ENERO","1",$N$3="FEBRERO","2",$N$3="MARZO","3",$N$3="ABRIL","4",$N$3="MAYO","5",$N$3="JUNIO","6",$N$3="JULIO","7",$N$3="AGOSTO","8",$N$3="SETIEMBRE","9",$N$3="OCTUBRE","10",$N$3="NOVIEMBRE","11",$N$3="DICIEMBRE","12"))),8,0),"")</f>
        <v>S1</v>
      </c>
      <c r="AX12" s="11">
        <f>SUMIFS(TablaMeta[Meta_Equipo],TablaMeta[CONCAT],$M$3&amp;$N$3&amp;DITE_MARZO_202656[[#This Row],[SUPER]])</f>
        <v>609835</v>
      </c>
      <c r="AY12" s="11">
        <f>MAX(DITE_MARZO_202656[[#This Row],[SUPER]:[CARTERA]])</f>
        <v>433610.3</v>
      </c>
      <c r="AZ12" s="17">
        <f>IFERROR(DITE_MARZO_202656[[#This Row],[RECUPERO SUPERVISOR]]/DITE_MARZO_202656[[#This Row],[META SUPER]],"")</f>
        <v>0.71102888486229876</v>
      </c>
      <c r="BA12" s="11" t="s">
        <v>125</v>
      </c>
      <c r="BB12" s="46">
        <v>800</v>
      </c>
      <c r="BC12" s="46">
        <v>21427</v>
      </c>
      <c r="BD12" s="46">
        <v>29925</v>
      </c>
      <c r="BE12" s="46">
        <v>35725</v>
      </c>
      <c r="BF12" s="46">
        <v>44375</v>
      </c>
      <c r="BG12" s="46">
        <v>58175</v>
      </c>
      <c r="BH12" s="46">
        <v>58175</v>
      </c>
      <c r="BI12" s="46">
        <v>70125</v>
      </c>
      <c r="BJ12" s="46">
        <v>88135</v>
      </c>
      <c r="BK12" s="46">
        <v>96335</v>
      </c>
      <c r="BL12" s="46">
        <v>113550</v>
      </c>
      <c r="BM12" s="46">
        <v>133850</v>
      </c>
      <c r="BN12" s="46">
        <v>133850</v>
      </c>
      <c r="BO12" s="46">
        <v>133850</v>
      </c>
      <c r="BP12" s="46">
        <v>172225</v>
      </c>
      <c r="BQ12" s="46">
        <v>200043</v>
      </c>
      <c r="BR12" s="46">
        <v>238040</v>
      </c>
      <c r="BS12" s="46">
        <v>247100.3</v>
      </c>
      <c r="BT12" s="46">
        <v>299445.3</v>
      </c>
      <c r="BU12" s="46">
        <v>320545.3</v>
      </c>
      <c r="BV12" s="46">
        <v>320545.3</v>
      </c>
      <c r="BW12" s="46">
        <v>338765.3</v>
      </c>
      <c r="BX12" s="46">
        <v>356374.3</v>
      </c>
      <c r="BY12" s="46">
        <v>361499.3</v>
      </c>
      <c r="BZ12" s="46">
        <v>369779.3</v>
      </c>
      <c r="CA12" s="46">
        <v>403570.3</v>
      </c>
      <c r="CB12" s="46">
        <v>403970.3</v>
      </c>
      <c r="CC12" s="46">
        <v>403970.3</v>
      </c>
      <c r="CD12" s="81">
        <v>433610.3</v>
      </c>
      <c r="CE12" s="11" t="str">
        <f>VLOOKUP($M$3&amp;$N$3&amp;DITE_MARZO_202656[[#This Row],[SUPER]],TablaMeta[],7,0)</f>
        <v>S1</v>
      </c>
      <c r="CG12" t="s">
        <v>125</v>
      </c>
      <c r="CH12" t="s">
        <v>4</v>
      </c>
      <c r="CI12" t="s">
        <v>4</v>
      </c>
      <c r="CJ12" t="s">
        <v>125</v>
      </c>
      <c r="CK12" t="s">
        <v>125</v>
      </c>
      <c r="CM12" t="s">
        <v>636</v>
      </c>
      <c r="CN12" t="s">
        <v>125</v>
      </c>
      <c r="CO12" t="s">
        <v>60</v>
      </c>
      <c r="CP12">
        <v>46111</v>
      </c>
      <c r="CQ12">
        <v>1</v>
      </c>
      <c r="CR12">
        <v>1</v>
      </c>
      <c r="CT12">
        <v>1</v>
      </c>
      <c r="CV12">
        <v>8.1018518518518516E-5</v>
      </c>
      <c r="CW12">
        <v>8.1018518518518516E-5</v>
      </c>
      <c r="CX12">
        <v>0.21391203703703704</v>
      </c>
      <c r="CY12">
        <v>0.15292824074074074</v>
      </c>
      <c r="CZ12">
        <v>102</v>
      </c>
      <c r="DA12">
        <v>138</v>
      </c>
      <c r="DB12">
        <v>16</v>
      </c>
      <c r="DC12">
        <v>2</v>
      </c>
      <c r="DD12">
        <v>21713</v>
      </c>
      <c r="DE12">
        <v>0.15690000000000001</v>
      </c>
      <c r="DF12">
        <v>2</v>
      </c>
      <c r="DG12">
        <v>0.125</v>
      </c>
      <c r="DH12">
        <v>10917</v>
      </c>
      <c r="DI12">
        <v>5459</v>
      </c>
      <c r="DJ12">
        <v>10917</v>
      </c>
      <c r="DK12">
        <v>1</v>
      </c>
      <c r="DL12">
        <v>0.1313</v>
      </c>
      <c r="DM12">
        <v>100</v>
      </c>
      <c r="DN12">
        <v>5459</v>
      </c>
    </row>
    <row r="13" spans="1:118" x14ac:dyDescent="0.25">
      <c r="A13" s="34" t="str" cm="1">
        <f t="array" ref="A13">IFERROR(VLOOKUP(D1_MARZO_202655[[#This Row],[ASESOR_CRR]],_xlfn._xlws.FILTER(PLANTILLA[[ASESOR]:[FECHA DE CESE]],PLANTILLA[FECHA]=_xlfn.CONCAT($M$3,"_",_xlfn.IFS($N$3="ENERO","1",$N$3="FEBRERO","2",$N$3="MARZO","3",$N$3="ABRIL","4",$N$3="MAYO","5",$N$3="JUNIO","6",$N$3="JULIO","7",$N$3="AGOSTO","8",$N$3="SETIEMBRE","9",$N$3="OCTUBRE","10",$N$3="NOVIEMBRE","11",$N$3="DICIEMBRE","12"))),3,0),"")</f>
        <v>KENNETH</v>
      </c>
      <c r="B13" s="34" t="str" cm="1">
        <f t="array" ref="B13">TRIM(IFERROR(_xlfn.IFS(D1_MARZO_202655[[#This Row],[ASESOR]]="ELVIS GUERRA","ELVIS GUERRERA",D1_MARZO_202655[[#This Row],[ASESOR]]="GENESIS VICUÑA","GENESIS VICUNA",D1_MARZO_202655[[#This Row],[ASESOR]]="JENY QUIÑONES","JENY QUINONES",D1_MARZO_202655[[#This Row],[ASESOR]]="NICOLE CAURURO","NICOLE CAURURO"),D1_MARZO_202655[[#This Row],[ASESOR]]))</f>
        <v>MILAGROS QUIO</v>
      </c>
      <c r="C13" s="34" cm="1">
        <f t="array" ref="C13">_xlfn.XLOOKUP(1,(TablaMeta[CONCAT]=$M$3&amp;$N$3&amp;D1_MARZO_202655[[#This Row],[SUPER]])*(TablaMeta[SEGG]=D1_MARZO_202655[[#This Row],[SEGMENTO]]),TablaMeta[Meta_Asesor])</f>
        <v>30500</v>
      </c>
      <c r="D13" s="35">
        <f>IF(D1_MARZO_202655[[#This Row],[RECUPERO]]="VACACIONES","VACACIONES",IFERROR(D1_MARZO_202655[[#This Row],[RECUPERO]]/D1_MARZO_202655[[#This Row],[META]],""))</f>
        <v>0.81859016393442618</v>
      </c>
      <c r="E13" s="35" t="str">
        <f>D1_MARZO_202655[[#This Row],[SUPER]]</f>
        <v>KENNETH</v>
      </c>
      <c r="F13" t="s">
        <v>11</v>
      </c>
      <c r="G13" s="36">
        <v>24967</v>
      </c>
      <c r="H13" cm="1">
        <f t="array" ref="H13">IFERROR(VLOOKUP(D1_MARZO_202655[[#This Row],[ASESOR_CRR]],_xlfn._xlws.FILTER(PLANTILLA[[ASESOR]:[FECHA DE CESE]],PLANTILLA[FECHA]=_xlfn.CONCAT($M$3,"_",_xlfn.IFS($N$3="ENERO","1",$N$3="FEBRERO","2",$N$3="MARZO","3",$N$3="ABRIL","4",$N$3="MAYO","5",$N$3="JUNIO","6",$N$3="JULIO","7",$N$3="AGOSTO","8",$N$3="SETIEMBRE","9",$N$3="OCTUBRE","10",$N$3="NOVIEMBRE","11",$N$3="DICIEMBRE","12"))),2,0),"")</f>
        <v>45139159</v>
      </c>
      <c r="I13" s="55" cm="1">
        <f t="array" ref="I13">IFERROR(VLOOKUP(D1_MARZO_202655[[#This Row],[ASESOR_CRR]],_xlfn._xlws.FILTER(PLANTILLA[[ASESOR]:[FECHA DE CESE]],PLANTILLA[FECHA]=_xlfn.CONCAT($M$3,"_",_xlfn.IFS($N$3="ENERO","1",$N$3="FEBRERO","2",$N$3="MARZO","3",$N$3="ABRIL","4",$N$3="MAYO","5",$N$3="JUNIO","6",$N$3="JULIO","7",$N$3="AGOSTO","8",$N$3="SETIEMBRE","9",$N$3="OCTUBRE","10",$N$3="NOVIEMBRE","11",$N$3="DICIEMBRE","12"))),6,0),"")</f>
        <v>45369</v>
      </c>
      <c r="J13" s="55" t="str" cm="1">
        <f t="array" ref="J13">IFERROR(VLOOKUP(D1_MARZO_202655[[#This Row],[ASESOR_CRR]],_xlfn._xlws.FILTER(PLANTILLA[[ASESOR]:[FECHA DE CESE]],PLANTILLA[FECHA]=_xlfn.CONCAT($M$3,"_",_xlfn.IFS($N$3="ENERO","1",$N$3="FEBRERO","2",$N$3="MARZO","3",$N$3="ABRIL","4",$N$3="MAYO","5",$N$3="JUNIO","6",$N$3="JULIO","7",$N$3="AGOSTO","8",$N$3="SETIEMBRE","9",$N$3="OCTUBRE","10",$N$3="NOVIEMBRE","11",$N$3="DICIEMBRE","12"))),4,0),"")</f>
        <v>CALL</v>
      </c>
      <c r="K13" s="55" t="str" cm="1">
        <f t="array" ref="K13">IFERROR(VLOOKUP(D1_MARZO_202655[[#This Row],[ASESOR_CRR]],_xlfn._xlws.FILTER(PLANTILLA[[ASESOR]:[FECHA DE CESE]],PLANTILLA[FECHA]=_xlfn.CONCAT($M$3,"_",_xlfn.IFS($N$3="ENERO","1",$N$3="FEBRERO","2",$N$3="MARZO","3",$N$3="ABRIL","4",$N$3="MAYO","5",$N$3="JUNIO","6",$N$3="JULIO","7",$N$3="AGOSTO","8",$N$3="SETIEMBRE","9",$N$3="OCTUBRE","10",$N$3="NOVIEMBRE","11",$N$3="DICIEMBRE","12"))),8,0),"")</f>
        <v>S0 - IBK</v>
      </c>
      <c r="L13" s="55"/>
      <c r="M13" s="5">
        <f>DATA_MARZO_202651[[#This Row],[RECUPERO]]/DATA_MARZO_202651[[#This Row],[META]]</f>
        <v>0.27919642857142857</v>
      </c>
      <c r="N13" s="5">
        <f>6-ROUNDUP(_xlfn.RANK.EQ(DATA_MARZO_202651[[#This Row],[AL_AC]],DATA_MARZO_202651[AL_AC],0)/(COUNTA(DATA_MARZO_202651[AL_AC])/5),0)</f>
        <v>1</v>
      </c>
      <c r="O13" s="54" t="str">
        <f>IFERROR(VLOOKUP(DATA_MARZO_202651[[#This Row],[ASER_]],$B:$G,4,0),"")</f>
        <v>JOHAN</v>
      </c>
      <c r="P13" s="6">
        <f>SUM(DATA_MARZO_202651[[#This Row],[1]:[30]])</f>
        <v>15635</v>
      </c>
      <c r="Q13" s="6">
        <f>VLOOKUP(DATA_MARZO_202651[[#This Row],[ASER_]],D1_MARZO_202655[[ASESOR_CRR]:[META]],2,0)</f>
        <v>56000</v>
      </c>
      <c r="R13" t="s">
        <v>85</v>
      </c>
      <c r="S13" s="47"/>
      <c r="T13">
        <v>4000</v>
      </c>
      <c r="W13">
        <v>315</v>
      </c>
      <c r="X13">
        <v>1000</v>
      </c>
      <c r="Z13">
        <v>1150</v>
      </c>
      <c r="AI13">
        <v>320</v>
      </c>
      <c r="AO13">
        <v>8500</v>
      </c>
      <c r="AP13">
        <v>350</v>
      </c>
      <c r="AV13" s="54" t="str" cm="1">
        <f t="array" ref="AV13">IFERROR(VLOOKUP(DATA_MARZO_202651[[#This Row],[ASER_]],_xlfn._xlws.FILTER(PLANTILLA[[ASESOR]:[FECHA DE CESE]],PLANTILLA[FECHA]=_xlfn.CONCAT($M$3,"_",_xlfn.IFS($N$3="ENERO","1",$N$3="FEBRERO","2",$N$3="MARZO","3",$N$3="ABRIL","4",$N$3="MAYO","5",$N$3="JUNIO","6",$N$3="JULIO","7",$N$3="AGOSTO","8",$N$3="SETIEMBRE","9",$N$3="OCTUBRE","10",$N$3="NOVIEMBRE","11",$N$3="DICIEMBRE","12"))),8,0),"")</f>
        <v>S1</v>
      </c>
      <c r="AX13" s="10">
        <f>SUMIFS(TablaMeta[Meta_Equipo],TablaMeta[CONCAT],$M$3&amp;$N$3&amp;DITE_MARZO_202656[[#This Row],[SUPER]])</f>
        <v>268288</v>
      </c>
      <c r="AY13" s="10">
        <f>MAX(DITE_MARZO_202656[[#This Row],[SUPER]:[CARTERA]])</f>
        <v>214089.56</v>
      </c>
      <c r="AZ13" s="16">
        <f>IFERROR(DITE_MARZO_202656[[#This Row],[RECUPERO SUPERVISOR]]/DITE_MARZO_202656[[#This Row],[META SUPER]],"")</f>
        <v>0.7979841066316794</v>
      </c>
      <c r="BA13" s="10" t="s">
        <v>7</v>
      </c>
      <c r="BB13" s="46">
        <v>1000</v>
      </c>
      <c r="BC13" s="46">
        <v>6050</v>
      </c>
      <c r="BD13" s="46">
        <v>10906</v>
      </c>
      <c r="BE13" s="46">
        <v>13917</v>
      </c>
      <c r="BF13" s="46">
        <v>20773</v>
      </c>
      <c r="BG13" s="46">
        <v>29361</v>
      </c>
      <c r="BH13" s="46">
        <v>29361</v>
      </c>
      <c r="BI13" s="46">
        <v>49937</v>
      </c>
      <c r="BJ13" s="46">
        <v>61486</v>
      </c>
      <c r="BK13" s="45">
        <v>67086</v>
      </c>
      <c r="BL13" s="46">
        <v>77586</v>
      </c>
      <c r="BM13" s="46">
        <v>84536</v>
      </c>
      <c r="BN13" s="46">
        <v>84536</v>
      </c>
      <c r="BO13" s="46">
        <v>84736</v>
      </c>
      <c r="BP13" s="45">
        <v>94066</v>
      </c>
      <c r="BQ13" s="46">
        <v>108827</v>
      </c>
      <c r="BR13" s="46">
        <v>117644.13</v>
      </c>
      <c r="BS13" s="46">
        <v>131468.13</v>
      </c>
      <c r="BT13" s="45">
        <v>142278.13</v>
      </c>
      <c r="BU13" s="46">
        <v>142278.13</v>
      </c>
      <c r="BV13" s="46">
        <v>142278.13</v>
      </c>
      <c r="BW13" s="46">
        <v>145430.13</v>
      </c>
      <c r="BX13" s="46">
        <v>155524.56</v>
      </c>
      <c r="BY13" s="46">
        <v>165124.56</v>
      </c>
      <c r="BZ13" s="46">
        <v>171974.56</v>
      </c>
      <c r="CA13" s="46">
        <v>192264.56</v>
      </c>
      <c r="CB13" s="46">
        <v>193564.56</v>
      </c>
      <c r="CC13" s="46">
        <v>194164.56</v>
      </c>
      <c r="CD13" s="46">
        <v>214089.56</v>
      </c>
      <c r="CE13" s="82" t="str">
        <f>VLOOKUP($M$3&amp;$N$3&amp;DITE_MARZO_202656[[#This Row],[SUPER]],TablaMeta[],7,0)</f>
        <v>S2-3-4 BANCO</v>
      </c>
      <c r="CG13" t="s">
        <v>7</v>
      </c>
      <c r="CH13" t="s">
        <v>7</v>
      </c>
      <c r="CI13" t="s">
        <v>125</v>
      </c>
      <c r="CJ13" t="s">
        <v>124</v>
      </c>
      <c r="CK13" t="s">
        <v>7</v>
      </c>
      <c r="CM13" t="s">
        <v>636</v>
      </c>
      <c r="CN13" t="s">
        <v>125</v>
      </c>
      <c r="CO13" t="s">
        <v>12</v>
      </c>
      <c r="CP13">
        <v>46085</v>
      </c>
      <c r="CQ13">
        <v>1</v>
      </c>
      <c r="CR13">
        <v>1</v>
      </c>
      <c r="CT13">
        <v>1</v>
      </c>
      <c r="CV13">
        <v>9.2592592592592588E-5</v>
      </c>
      <c r="CW13">
        <v>9.2592592592592588E-5</v>
      </c>
      <c r="CX13">
        <v>0.26056712962962963</v>
      </c>
      <c r="CY13">
        <v>8.3599537037037042E-2</v>
      </c>
      <c r="CZ13">
        <v>84</v>
      </c>
      <c r="DA13">
        <v>213</v>
      </c>
      <c r="DB13">
        <v>18</v>
      </c>
      <c r="DC13" t="s">
        <v>726</v>
      </c>
      <c r="DD13">
        <v>30597</v>
      </c>
      <c r="DE13">
        <v>0.21429999999999999</v>
      </c>
      <c r="DF13">
        <v>1</v>
      </c>
      <c r="DG13">
        <v>5.5599999999999997E-2</v>
      </c>
      <c r="DH13">
        <v>3800</v>
      </c>
      <c r="DI13">
        <v>3800</v>
      </c>
      <c r="DJ13">
        <v>3800</v>
      </c>
      <c r="DK13">
        <v>1</v>
      </c>
      <c r="DL13">
        <v>0.23580000000000001</v>
      </c>
      <c r="DM13">
        <v>100</v>
      </c>
      <c r="DN13">
        <v>3800</v>
      </c>
    </row>
    <row r="14" spans="1:118" x14ac:dyDescent="0.25">
      <c r="A14" s="34" t="str" cm="1">
        <f t="array" ref="A14">IFERROR(VLOOKUP(D1_MARZO_202655[[#This Row],[ASESOR_CRR]],_xlfn._xlws.FILTER(PLANTILLA[[ASESOR]:[FECHA DE CESE]],PLANTILLA[FECHA]=_xlfn.CONCAT($M$3,"_",_xlfn.IFS($N$3="ENERO","1",$N$3="FEBRERO","2",$N$3="MARZO","3",$N$3="ABRIL","4",$N$3="MAYO","5",$N$3="JUNIO","6",$N$3="JULIO","7",$N$3="AGOSTO","8",$N$3="SETIEMBRE","9",$N$3="OCTUBRE","10",$N$3="NOVIEMBRE","11",$N$3="DICIEMBRE","12"))),3,0),"")</f>
        <v>KENNETH</v>
      </c>
      <c r="B14" s="34" t="str" cm="1">
        <f t="array" ref="B14">TRIM(IFERROR(_xlfn.IFS(D1_MARZO_202655[[#This Row],[ASESOR]]="ELVIS GUERRA","ELVIS GUERRERA",D1_MARZO_202655[[#This Row],[ASESOR]]="GENESIS VICUÑA","GENESIS VICUNA",D1_MARZO_202655[[#This Row],[ASESOR]]="JENY QUIÑONES","JENY QUINONES",D1_MARZO_202655[[#This Row],[ASESOR]]="NICOLE CAURURO","NICOLE CAURURO"),D1_MARZO_202655[[#This Row],[ASESOR]]))</f>
        <v>FRANK PACORA</v>
      </c>
      <c r="C14" s="34" cm="1">
        <f t="array" ref="C14">_xlfn.XLOOKUP(1,(TablaMeta[CONCAT]=$M$3&amp;$N$3&amp;D1_MARZO_202655[[#This Row],[SUPER]])*(TablaMeta[SEGG]=D1_MARZO_202655[[#This Row],[SEGMENTO]]),TablaMeta[Meta_Asesor])</f>
        <v>30500</v>
      </c>
      <c r="D14" s="35">
        <f>IF(D1_MARZO_202655[[#This Row],[RECUPERO]]="VACACIONES","VACACIONES",IFERROR(D1_MARZO_202655[[#This Row],[RECUPERO]]/D1_MARZO_202655[[#This Row],[META]],""))</f>
        <v>0.71762295081967209</v>
      </c>
      <c r="E14" s="35" t="str">
        <f>D1_MARZO_202655[[#This Row],[SUPER]]</f>
        <v>KENNETH</v>
      </c>
      <c r="F14" t="s">
        <v>105</v>
      </c>
      <c r="G14" s="36">
        <v>21887.5</v>
      </c>
      <c r="H14" cm="1">
        <f t="array" ref="H14">IFERROR(VLOOKUP(D1_MARZO_202655[[#This Row],[ASESOR_CRR]],_xlfn._xlws.FILTER(PLANTILLA[[ASESOR]:[FECHA DE CESE]],PLANTILLA[FECHA]=_xlfn.CONCAT($M$3,"_",_xlfn.IFS($N$3="ENERO","1",$N$3="FEBRERO","2",$N$3="MARZO","3",$N$3="ABRIL","4",$N$3="MAYO","5",$N$3="JUNIO","6",$N$3="JULIO","7",$N$3="AGOSTO","8",$N$3="SETIEMBRE","9",$N$3="OCTUBRE","10",$N$3="NOVIEMBRE","11",$N$3="DICIEMBRE","12"))),2,0),"")</f>
        <v>48344037</v>
      </c>
      <c r="I14" s="55" cm="1">
        <f t="array" ref="I14">IFERROR(VLOOKUP(D1_MARZO_202655[[#This Row],[ASESOR_CRR]],_xlfn._xlws.FILTER(PLANTILLA[[ASESOR]:[FECHA DE CESE]],PLANTILLA[FECHA]=_xlfn.CONCAT($M$3,"_",_xlfn.IFS($N$3="ENERO","1",$N$3="FEBRERO","2",$N$3="MARZO","3",$N$3="ABRIL","4",$N$3="MAYO","5",$N$3="JUNIO","6",$N$3="JULIO","7",$N$3="AGOSTO","8",$N$3="SETIEMBRE","9",$N$3="OCTUBRE","10",$N$3="NOVIEMBRE","11",$N$3="DICIEMBRE","12"))),6,0),"")</f>
        <v>46027</v>
      </c>
      <c r="J14" s="55" t="str" cm="1">
        <f t="array" ref="J14">IFERROR(VLOOKUP(D1_MARZO_202655[[#This Row],[ASESOR_CRR]],_xlfn._xlws.FILTER(PLANTILLA[[ASESOR]:[FECHA DE CESE]],PLANTILLA[FECHA]=_xlfn.CONCAT($M$3,"_",_xlfn.IFS($N$3="ENERO","1",$N$3="FEBRERO","2",$N$3="MARZO","3",$N$3="ABRIL","4",$N$3="MAYO","5",$N$3="JUNIO","6",$N$3="JULIO","7",$N$3="AGOSTO","8",$N$3="SETIEMBRE","9",$N$3="OCTUBRE","10",$N$3="NOVIEMBRE","11",$N$3="DICIEMBRE","12"))),4,0),"")</f>
        <v>CALL</v>
      </c>
      <c r="K14" s="55" t="str" cm="1">
        <f t="array" ref="K14">IFERROR(VLOOKUP(D1_MARZO_202655[[#This Row],[ASESOR_CRR]],_xlfn._xlws.FILTER(PLANTILLA[[ASESOR]:[FECHA DE CESE]],PLANTILLA[FECHA]=_xlfn.CONCAT($M$3,"_",_xlfn.IFS($N$3="ENERO","1",$N$3="FEBRERO","2",$N$3="MARZO","3",$N$3="ABRIL","4",$N$3="MAYO","5",$N$3="JUNIO","6",$N$3="JULIO","7",$N$3="AGOSTO","8",$N$3="SETIEMBRE","9",$N$3="OCTUBRE","10",$N$3="NOVIEMBRE","11",$N$3="DICIEMBRE","12"))),8,0),"")</f>
        <v>S0 - IBK</v>
      </c>
      <c r="L14" s="55"/>
      <c r="M14" s="5">
        <f>DATA_MARZO_202651[[#This Row],[RECUPERO]]/DATA_MARZO_202651[[#This Row],[META]]</f>
        <v>0.94738461538461538</v>
      </c>
      <c r="N14" s="5">
        <f>6-ROUNDUP(_xlfn.RANK.EQ(DATA_MARZO_202651[[#This Row],[AL_AC]],DATA_MARZO_202651[AL_AC],0)/(COUNTA(DATA_MARZO_202651[AL_AC])/5),0)</f>
        <v>4</v>
      </c>
      <c r="O14" s="54" t="str">
        <f>IFERROR(VLOOKUP(DATA_MARZO_202651[[#This Row],[ASER_]],$B:$G,4,0),"")</f>
        <v>SANDY</v>
      </c>
      <c r="P14" s="6">
        <f>SUM(DATA_MARZO_202651[[#This Row],[1]:[30]])</f>
        <v>30790</v>
      </c>
      <c r="Q14" s="6">
        <f>VLOOKUP(DATA_MARZO_202651[[#This Row],[ASER_]],D1_MARZO_202655[[ASESOR_CRR]:[META]],2,0)</f>
        <v>32500</v>
      </c>
      <c r="R14" t="s">
        <v>174</v>
      </c>
      <c r="S14" s="47"/>
      <c r="W14">
        <v>200</v>
      </c>
      <c r="Z14">
        <v>350</v>
      </c>
      <c r="AA14">
        <v>4000</v>
      </c>
      <c r="AB14">
        <v>110</v>
      </c>
      <c r="AC14">
        <v>380</v>
      </c>
      <c r="AD14">
        <v>200</v>
      </c>
      <c r="AG14">
        <v>5000</v>
      </c>
      <c r="AH14">
        <v>6800</v>
      </c>
      <c r="AJ14">
        <v>250</v>
      </c>
      <c r="AK14">
        <v>3200</v>
      </c>
      <c r="AP14">
        <v>1200</v>
      </c>
      <c r="AR14">
        <v>100</v>
      </c>
      <c r="AS14">
        <v>3500</v>
      </c>
      <c r="AU14">
        <v>5500</v>
      </c>
      <c r="AV14" s="54" t="str" cm="1">
        <f t="array" ref="AV14">IFERROR(VLOOKUP(DATA_MARZO_202651[[#This Row],[ASER_]],_xlfn._xlws.FILTER(PLANTILLA[[ASESOR]:[FECHA DE CESE]],PLANTILLA[FECHA]=_xlfn.CONCAT($M$3,"_",_xlfn.IFS($N$3="ENERO","1",$N$3="FEBRERO","2",$N$3="MARZO","3",$N$3="ABRIL","4",$N$3="MAYO","5",$N$3="JUNIO","6",$N$3="JULIO","7",$N$3="AGOSTO","8",$N$3="SETIEMBRE","9",$N$3="OCTUBRE","10",$N$3="NOVIEMBRE","11",$N$3="DICIEMBRE","12"))),8,0),"")</f>
        <v>S0 - IBK</v>
      </c>
      <c r="CM14" t="s">
        <v>636</v>
      </c>
      <c r="CN14" t="s">
        <v>125</v>
      </c>
      <c r="CO14" t="s">
        <v>12</v>
      </c>
      <c r="CP14">
        <v>46092</v>
      </c>
      <c r="CQ14">
        <v>1</v>
      </c>
      <c r="CR14">
        <v>1</v>
      </c>
      <c r="CT14">
        <v>1</v>
      </c>
      <c r="CV14">
        <v>1.7361111111111112E-4</v>
      </c>
      <c r="CW14">
        <v>1.7361111111111112E-4</v>
      </c>
      <c r="CX14">
        <v>0.21903935185185186</v>
      </c>
      <c r="CY14">
        <v>0.11547453703703704</v>
      </c>
      <c r="CZ14">
        <v>64</v>
      </c>
      <c r="DA14">
        <v>183</v>
      </c>
      <c r="DB14">
        <v>15</v>
      </c>
      <c r="DC14" t="s">
        <v>674</v>
      </c>
      <c r="DD14">
        <v>23072</v>
      </c>
      <c r="DE14">
        <v>0.2344</v>
      </c>
      <c r="DF14">
        <v>2</v>
      </c>
      <c r="DG14">
        <v>0.1333</v>
      </c>
      <c r="DH14">
        <v>1728</v>
      </c>
      <c r="DI14">
        <v>864</v>
      </c>
      <c r="DJ14">
        <v>1728</v>
      </c>
      <c r="DK14">
        <v>1</v>
      </c>
      <c r="DL14">
        <v>0.19159999999999999</v>
      </c>
      <c r="DM14">
        <v>100</v>
      </c>
      <c r="DN14">
        <v>864</v>
      </c>
    </row>
    <row r="15" spans="1:118" x14ac:dyDescent="0.25">
      <c r="A15" s="34" t="str" cm="1">
        <f t="array" ref="A15">IFERROR(VLOOKUP(D1_MARZO_202655[[#This Row],[ASESOR_CRR]],_xlfn._xlws.FILTER(PLANTILLA[[ASESOR]:[FECHA DE CESE]],PLANTILLA[FECHA]=_xlfn.CONCAT($M$3,"_",_xlfn.IFS($N$3="ENERO","1",$N$3="FEBRERO","2",$N$3="MARZO","3",$N$3="ABRIL","4",$N$3="MAYO","5",$N$3="JUNIO","6",$N$3="JULIO","7",$N$3="AGOSTO","8",$N$3="SETIEMBRE","9",$N$3="OCTUBRE","10",$N$3="NOVIEMBRE","11",$N$3="DICIEMBRE","12"))),3,0),"")</f>
        <v>KENNETH</v>
      </c>
      <c r="B15" s="34" t="str" cm="1">
        <f t="array" ref="B15">TRIM(IFERROR(_xlfn.IFS(D1_MARZO_202655[[#This Row],[ASESOR]]="ELVIS GUERRA","ELVIS GUERRERA",D1_MARZO_202655[[#This Row],[ASESOR]]="GENESIS VICUÑA","GENESIS VICUNA",D1_MARZO_202655[[#This Row],[ASESOR]]="JENY QUIÑONES","JENY QUINONES",D1_MARZO_202655[[#This Row],[ASESOR]]="NICOLE CAURURO","NICOLE CAURURO"),D1_MARZO_202655[[#This Row],[ASESOR]]))</f>
        <v>DAVID SANCHEZ</v>
      </c>
      <c r="C15" s="34" cm="1">
        <f t="array" ref="C15">_xlfn.XLOOKUP(1,(TablaMeta[CONCAT]=$M$3&amp;$N$3&amp;D1_MARZO_202655[[#This Row],[SUPER]])*(TablaMeta[SEGG]=D1_MARZO_202655[[#This Row],[SEGMENTO]]),TablaMeta[Meta_Asesor])</f>
        <v>30500</v>
      </c>
      <c r="D15" s="35">
        <f>IF(D1_MARZO_202655[[#This Row],[RECUPERO]]="VACACIONES","VACACIONES",IFERROR(D1_MARZO_202655[[#This Row],[RECUPERO]]/D1_MARZO_202655[[#This Row],[META]],""))</f>
        <v>0.75075409836065576</v>
      </c>
      <c r="E15" s="35" t="str">
        <f>D1_MARZO_202655[[#This Row],[SUPER]]</f>
        <v>KENNETH</v>
      </c>
      <c r="F15" t="s">
        <v>81</v>
      </c>
      <c r="G15" s="36">
        <v>22898</v>
      </c>
      <c r="H15" cm="1">
        <f t="array" ref="H15">IFERROR(VLOOKUP(D1_MARZO_202655[[#This Row],[ASESOR_CRR]],_xlfn._xlws.FILTER(PLANTILLA[[ASESOR]:[FECHA DE CESE]],PLANTILLA[FECHA]=_xlfn.CONCAT($M$3,"_",_xlfn.IFS($N$3="ENERO","1",$N$3="FEBRERO","2",$N$3="MARZO","3",$N$3="ABRIL","4",$N$3="MAYO","5",$N$3="JUNIO","6",$N$3="JULIO","7",$N$3="AGOSTO","8",$N$3="SETIEMBRE","9",$N$3="OCTUBRE","10",$N$3="NOVIEMBRE","11",$N$3="DICIEMBRE","12"))),2,0),"")</f>
        <v>72716299</v>
      </c>
      <c r="I15" s="55" cm="1">
        <f t="array" ref="I15">IFERROR(VLOOKUP(D1_MARZO_202655[[#This Row],[ASESOR_CRR]],_xlfn._xlws.FILTER(PLANTILLA[[ASESOR]:[FECHA DE CESE]],PLANTILLA[FECHA]=_xlfn.CONCAT($M$3,"_",_xlfn.IFS($N$3="ENERO","1",$N$3="FEBRERO","2",$N$3="MARZO","3",$N$3="ABRIL","4",$N$3="MAYO","5",$N$3="JUNIO","6",$N$3="JULIO","7",$N$3="AGOSTO","8",$N$3="SETIEMBRE","9",$N$3="OCTUBRE","10",$N$3="NOVIEMBRE","11",$N$3="DICIEMBRE","12"))),6,0),"")</f>
        <v>45511</v>
      </c>
      <c r="J15" s="55" t="str" cm="1">
        <f t="array" ref="J15">IFERROR(VLOOKUP(D1_MARZO_202655[[#This Row],[ASESOR_CRR]],_xlfn._xlws.FILTER(PLANTILLA[[ASESOR]:[FECHA DE CESE]],PLANTILLA[FECHA]=_xlfn.CONCAT($M$3,"_",_xlfn.IFS($N$3="ENERO","1",$N$3="FEBRERO","2",$N$3="MARZO","3",$N$3="ABRIL","4",$N$3="MAYO","5",$N$3="JUNIO","6",$N$3="JULIO","7",$N$3="AGOSTO","8",$N$3="SETIEMBRE","9",$N$3="OCTUBRE","10",$N$3="NOVIEMBRE","11",$N$3="DICIEMBRE","12"))),4,0),"")</f>
        <v>CALL</v>
      </c>
      <c r="K15" s="55" t="str" cm="1">
        <f t="array" ref="K15">IFERROR(VLOOKUP(D1_MARZO_202655[[#This Row],[ASESOR_CRR]],_xlfn._xlws.FILTER(PLANTILLA[[ASESOR]:[FECHA DE CESE]],PLANTILLA[FECHA]=_xlfn.CONCAT($M$3,"_",_xlfn.IFS($N$3="ENERO","1",$N$3="FEBRERO","2",$N$3="MARZO","3",$N$3="ABRIL","4",$N$3="MAYO","5",$N$3="JUNIO","6",$N$3="JULIO","7",$N$3="AGOSTO","8",$N$3="SETIEMBRE","9",$N$3="OCTUBRE","10",$N$3="NOVIEMBRE","11",$N$3="DICIEMBRE","12"))),8,0),"")</f>
        <v>S0 - IBK</v>
      </c>
      <c r="L15" s="55"/>
      <c r="M15" s="5">
        <f>DATA_MARZO_202651[[#This Row],[RECUPERO]]/DATA_MARZO_202651[[#This Row],[META]]</f>
        <v>1.5744639344262295</v>
      </c>
      <c r="N15" s="5">
        <f>6-ROUNDUP(_xlfn.RANK.EQ(DATA_MARZO_202651[[#This Row],[AL_AC]],DATA_MARZO_202651[AL_AC],0)/(COUNTA(DATA_MARZO_202651[AL_AC])/5),0)</f>
        <v>5</v>
      </c>
      <c r="O15" s="54" t="str">
        <f>IFERROR(VLOOKUP(DATA_MARZO_202651[[#This Row],[ASER_]],$B:$G,4,0),"")</f>
        <v>KENNETH</v>
      </c>
      <c r="P15" s="6">
        <f>SUM(DATA_MARZO_202651[[#This Row],[1]:[30]])</f>
        <v>48021.15</v>
      </c>
      <c r="Q15" s="6">
        <f>VLOOKUP(DATA_MARZO_202651[[#This Row],[ASER_]],D1_MARZO_202655[[ASESOR_CRR]:[META]],2,0)</f>
        <v>30500</v>
      </c>
      <c r="R15" t="s">
        <v>19</v>
      </c>
      <c r="S15" s="47"/>
      <c r="W15">
        <v>200</v>
      </c>
      <c r="AB15">
        <v>1000</v>
      </c>
      <c r="AC15">
        <v>4000</v>
      </c>
      <c r="AD15">
        <v>10000</v>
      </c>
      <c r="AE15">
        <v>400</v>
      </c>
      <c r="AH15">
        <v>3800</v>
      </c>
      <c r="AJ15">
        <v>3000.15</v>
      </c>
      <c r="AK15">
        <v>1875</v>
      </c>
      <c r="AN15">
        <v>2500</v>
      </c>
      <c r="AO15">
        <v>380</v>
      </c>
      <c r="AP15">
        <v>9500</v>
      </c>
      <c r="AQ15">
        <v>4300</v>
      </c>
      <c r="AU15">
        <v>7066</v>
      </c>
      <c r="AV15" s="54" t="str" cm="1">
        <f t="array" ref="AV15">IFERROR(VLOOKUP(DATA_MARZO_202651[[#This Row],[ASER_]],_xlfn._xlws.FILTER(PLANTILLA[[ASESOR]:[FECHA DE CESE]],PLANTILLA[FECHA]=_xlfn.CONCAT($M$3,"_",_xlfn.IFS($N$3="ENERO","1",$N$3="FEBRERO","2",$N$3="MARZO","3",$N$3="ABRIL","4",$N$3="MAYO","5",$N$3="JUNIO","6",$N$3="JULIO","7",$N$3="AGOSTO","8",$N$3="SETIEMBRE","9",$N$3="OCTUBRE","10",$N$3="NOVIEMBRE","11",$N$3="DICIEMBRE","12"))),8,0),"")</f>
        <v>S0 - IBK</v>
      </c>
      <c r="BN15" s="45"/>
      <c r="BP15" s="45"/>
      <c r="BQ15" s="45"/>
      <c r="BS15" s="45"/>
      <c r="CM15" t="s">
        <v>636</v>
      </c>
      <c r="CN15" t="s">
        <v>125</v>
      </c>
      <c r="CO15" t="s">
        <v>59</v>
      </c>
      <c r="CP15">
        <v>46085</v>
      </c>
      <c r="CQ15">
        <v>1</v>
      </c>
      <c r="CR15">
        <v>1</v>
      </c>
      <c r="CT15">
        <v>1</v>
      </c>
      <c r="CV15">
        <v>1.0416666666666667E-4</v>
      </c>
      <c r="CW15">
        <v>1.0416666666666667E-4</v>
      </c>
      <c r="CX15">
        <v>0.26650462962962962</v>
      </c>
      <c r="CY15">
        <v>8.5474537037037043E-2</v>
      </c>
      <c r="CZ15">
        <v>169</v>
      </c>
      <c r="DA15">
        <v>269</v>
      </c>
      <c r="DB15">
        <v>14</v>
      </c>
      <c r="DC15" t="s">
        <v>796</v>
      </c>
      <c r="DD15">
        <v>25437</v>
      </c>
      <c r="DE15">
        <v>8.2799999999999999E-2</v>
      </c>
      <c r="DF15">
        <v>1</v>
      </c>
      <c r="DG15">
        <v>7.1400000000000005E-2</v>
      </c>
      <c r="DH15">
        <v>14000</v>
      </c>
      <c r="DI15">
        <v>14000</v>
      </c>
      <c r="DJ15">
        <v>14000</v>
      </c>
      <c r="DK15">
        <v>1</v>
      </c>
      <c r="DL15">
        <v>0.1099</v>
      </c>
      <c r="DM15">
        <v>100</v>
      </c>
      <c r="DN15">
        <v>14000</v>
      </c>
    </row>
    <row r="16" spans="1:118" x14ac:dyDescent="0.25">
      <c r="A16" s="34" t="str" cm="1">
        <f t="array" ref="A16">IFERROR(VLOOKUP(D1_MARZO_202655[[#This Row],[ASESOR_CRR]],_xlfn._xlws.FILTER(PLANTILLA[[ASESOR]:[FECHA DE CESE]],PLANTILLA[FECHA]=_xlfn.CONCAT($M$3,"_",_xlfn.IFS($N$3="ENERO","1",$N$3="FEBRERO","2",$N$3="MARZO","3",$N$3="ABRIL","4",$N$3="MAYO","5",$N$3="JUNIO","6",$N$3="JULIO","7",$N$3="AGOSTO","8",$N$3="SETIEMBRE","9",$N$3="OCTUBRE","10",$N$3="NOVIEMBRE","11",$N$3="DICIEMBRE","12"))),3,0),"")</f>
        <v>KENNETH</v>
      </c>
      <c r="B16" s="34" t="str" cm="1">
        <f t="array" ref="B16">TRIM(IFERROR(_xlfn.IFS(D1_MARZO_202655[[#This Row],[ASESOR]]="ELVIS GUERRA","ELVIS GUERRERA",D1_MARZO_202655[[#This Row],[ASESOR]]="GENESIS VICUÑA","GENESIS VICUNA",D1_MARZO_202655[[#This Row],[ASESOR]]="JENY QUIÑONES","JENY QUINONES",D1_MARZO_202655[[#This Row],[ASESOR]]="NICOLE CAURURO","NICOLE CAURURO"),D1_MARZO_202655[[#This Row],[ASESOR]]))</f>
        <v>DANIEL ZAPATA</v>
      </c>
      <c r="C16" s="34" cm="1">
        <f t="array" ref="C16">_xlfn.XLOOKUP(1,(TablaMeta[CONCAT]=$M$3&amp;$N$3&amp;D1_MARZO_202655[[#This Row],[SUPER]])*(TablaMeta[SEGG]=D1_MARZO_202655[[#This Row],[SEGMENTO]]),TablaMeta[Meta_Asesor])</f>
        <v>30500</v>
      </c>
      <c r="D16" s="35">
        <f>IF(D1_MARZO_202655[[#This Row],[RECUPERO]]="VACACIONES","VACACIONES",IFERROR(D1_MARZO_202655[[#This Row],[RECUPERO]]/D1_MARZO_202655[[#This Row],[META]],""))</f>
        <v>0.76544262295081966</v>
      </c>
      <c r="E16" s="35" t="str">
        <f>D1_MARZO_202655[[#This Row],[SUPER]]</f>
        <v>KENNETH</v>
      </c>
      <c r="F16" t="s">
        <v>80</v>
      </c>
      <c r="G16" s="36">
        <v>23346</v>
      </c>
      <c r="H16" cm="1">
        <f t="array" ref="H16">IFERROR(VLOOKUP(D1_MARZO_202655[[#This Row],[ASESOR_CRR]],_xlfn._xlws.FILTER(PLANTILLA[[ASESOR]:[FECHA DE CESE]],PLANTILLA[FECHA]=_xlfn.CONCAT($M$3,"_",_xlfn.IFS($N$3="ENERO","1",$N$3="FEBRERO","2",$N$3="MARZO","3",$N$3="ABRIL","4",$N$3="MAYO","5",$N$3="JUNIO","6",$N$3="JULIO","7",$N$3="AGOSTO","8",$N$3="SETIEMBRE","9",$N$3="OCTUBRE","10",$N$3="NOVIEMBRE","11",$N$3="DICIEMBRE","12"))),2,0),"")</f>
        <v>45084594</v>
      </c>
      <c r="I16" s="55" cm="1">
        <f t="array" ref="I16">IFERROR(VLOOKUP(D1_MARZO_202655[[#This Row],[ASESOR_CRR]],_xlfn._xlws.FILTER(PLANTILLA[[ASESOR]:[FECHA DE CESE]],PLANTILLA[FECHA]=_xlfn.CONCAT($M$3,"_",_xlfn.IFS($N$3="ENERO","1",$N$3="FEBRERO","2",$N$3="MARZO","3",$N$3="ABRIL","4",$N$3="MAYO","5",$N$3="JUNIO","6",$N$3="JULIO","7",$N$3="AGOSTO","8",$N$3="SETIEMBRE","9",$N$3="OCTUBRE","10",$N$3="NOVIEMBRE","11",$N$3="DICIEMBRE","12"))),6,0),"")</f>
        <v>45281</v>
      </c>
      <c r="J16" s="55" t="str" cm="1">
        <f t="array" ref="J16">IFERROR(VLOOKUP(D1_MARZO_202655[[#This Row],[ASESOR_CRR]],_xlfn._xlws.FILTER(PLANTILLA[[ASESOR]:[FECHA DE CESE]],PLANTILLA[FECHA]=_xlfn.CONCAT($M$3,"_",_xlfn.IFS($N$3="ENERO","1",$N$3="FEBRERO","2",$N$3="MARZO","3",$N$3="ABRIL","4",$N$3="MAYO","5",$N$3="JUNIO","6",$N$3="JULIO","7",$N$3="AGOSTO","8",$N$3="SETIEMBRE","9",$N$3="OCTUBRE","10",$N$3="NOVIEMBRE","11",$N$3="DICIEMBRE","12"))),4,0),"")</f>
        <v>CALL</v>
      </c>
      <c r="K16" s="55" t="str" cm="1">
        <f t="array" ref="K16">IFERROR(VLOOKUP(D1_MARZO_202655[[#This Row],[ASESOR_CRR]],_xlfn._xlws.FILTER(PLANTILLA[[ASESOR]:[FECHA DE CESE]],PLANTILLA[FECHA]=_xlfn.CONCAT($M$3,"_",_xlfn.IFS($N$3="ENERO","1",$N$3="FEBRERO","2",$N$3="MARZO","3",$N$3="ABRIL","4",$N$3="MAYO","5",$N$3="JUNIO","6",$N$3="JULIO","7",$N$3="AGOSTO","8",$N$3="SETIEMBRE","9",$N$3="OCTUBRE","10",$N$3="NOVIEMBRE","11",$N$3="DICIEMBRE","12"))),8,0),"")</f>
        <v>S0 - IBK</v>
      </c>
      <c r="L16" s="55"/>
      <c r="M16" s="5">
        <f>DATA_MARZO_202651[[#This Row],[RECUPERO]]/DATA_MARZO_202651[[#This Row],[META]]</f>
        <v>0.53443750000000001</v>
      </c>
      <c r="N16" s="5">
        <f>6-ROUNDUP(_xlfn.RANK.EQ(DATA_MARZO_202651[[#This Row],[AL_AC]],DATA_MARZO_202651[AL_AC],0)/(COUNTA(DATA_MARZO_202651[AL_AC])/5),0)</f>
        <v>2</v>
      </c>
      <c r="O16" s="54" t="str">
        <f>IFERROR(VLOOKUP(DATA_MARZO_202651[[#This Row],[ASER_]],$B:$G,4,0),"")</f>
        <v>LEONOR</v>
      </c>
      <c r="P16" s="6">
        <f>SUM(DATA_MARZO_202651[[#This Row],[1]:[30]])</f>
        <v>8551</v>
      </c>
      <c r="Q16" s="6">
        <f>VLOOKUP(DATA_MARZO_202651[[#This Row],[ASER_]],D1_MARZO_202655[[ASESOR_CRR]:[META]],2,0)</f>
        <v>16000</v>
      </c>
      <c r="R16" t="s">
        <v>41</v>
      </c>
      <c r="U16">
        <v>1386</v>
      </c>
      <c r="X16">
        <v>458</v>
      </c>
      <c r="Z16">
        <v>2000</v>
      </c>
      <c r="AB16">
        <v>857</v>
      </c>
      <c r="AC16">
        <v>500</v>
      </c>
      <c r="AN16">
        <v>250</v>
      </c>
      <c r="AO16">
        <v>200</v>
      </c>
      <c r="AP16">
        <v>2000</v>
      </c>
      <c r="AS16">
        <v>300</v>
      </c>
      <c r="AU16">
        <v>600</v>
      </c>
      <c r="AV16" s="54" t="str" cm="1">
        <f t="array" ref="AV16">IFERROR(VLOOKUP(DATA_MARZO_202651[[#This Row],[ASER_]],_xlfn._xlws.FILTER(PLANTILLA[[ASESOR]:[FECHA DE CESE]],PLANTILLA[FECHA]=_xlfn.CONCAT($M$3,"_",_xlfn.IFS($N$3="ENERO","1",$N$3="FEBRERO","2",$N$3="MARZO","3",$N$3="ABRIL","4",$N$3="MAYO","5",$N$3="JUNIO","6",$N$3="JULIO","7",$N$3="AGOSTO","8",$N$3="SETIEMBRE","9",$N$3="OCTUBRE","10",$N$3="NOVIEMBRE","11",$N$3="DICIEMBRE","12"))),8,0),"")</f>
        <v>S2-3-4 MIX</v>
      </c>
      <c r="BN16" s="45"/>
      <c r="BO16" s="45"/>
      <c r="BP16" s="45"/>
      <c r="BQ16" s="45"/>
      <c r="BS16" s="45"/>
      <c r="BT16" s="45"/>
      <c r="BU16" s="45"/>
      <c r="CD16" s="45"/>
      <c r="CM16" t="s">
        <v>636</v>
      </c>
      <c r="CN16" t="s">
        <v>125</v>
      </c>
      <c r="CO16" t="s">
        <v>59</v>
      </c>
      <c r="CP16">
        <v>46104</v>
      </c>
      <c r="CQ16">
        <v>1</v>
      </c>
      <c r="CR16">
        <v>1</v>
      </c>
      <c r="CT16">
        <v>1</v>
      </c>
      <c r="CV16">
        <v>1.273148148148148E-4</v>
      </c>
      <c r="CW16">
        <v>1.273148148148148E-4</v>
      </c>
      <c r="CX16">
        <v>0.28059027777777779</v>
      </c>
      <c r="CY16">
        <v>5.9317129629629629E-2</v>
      </c>
      <c r="CZ16">
        <v>185</v>
      </c>
      <c r="DA16">
        <v>323</v>
      </c>
      <c r="DB16">
        <v>25</v>
      </c>
      <c r="DC16">
        <v>2.16</v>
      </c>
      <c r="DD16">
        <v>43033</v>
      </c>
      <c r="DE16">
        <v>0.1351</v>
      </c>
      <c r="DF16">
        <v>4</v>
      </c>
      <c r="DG16">
        <v>0.16</v>
      </c>
      <c r="DH16">
        <v>6070</v>
      </c>
      <c r="DI16">
        <v>1518</v>
      </c>
      <c r="DJ16">
        <v>6070</v>
      </c>
      <c r="DK16">
        <v>1</v>
      </c>
      <c r="DL16">
        <v>0.13220000000000001</v>
      </c>
      <c r="DM16">
        <v>100</v>
      </c>
      <c r="DN16">
        <v>1518</v>
      </c>
    </row>
    <row r="17" spans="1:118" x14ac:dyDescent="0.25">
      <c r="A17" s="34" t="str" cm="1">
        <f t="array" ref="A17">IFERROR(VLOOKUP(D1_MARZO_202655[[#This Row],[ASESOR_CRR]],_xlfn._xlws.FILTER(PLANTILLA[[ASESOR]:[FECHA DE CESE]],PLANTILLA[FECHA]=_xlfn.CONCAT($M$3,"_",_xlfn.IFS($N$3="ENERO","1",$N$3="FEBRERO","2",$N$3="MARZO","3",$N$3="ABRIL","4",$N$3="MAYO","5",$N$3="JUNIO","6",$N$3="JULIO","7",$N$3="AGOSTO","8",$N$3="SETIEMBRE","9",$N$3="OCTUBRE","10",$N$3="NOVIEMBRE","11",$N$3="DICIEMBRE","12"))),3,0),"")</f>
        <v>SANDY</v>
      </c>
      <c r="B17" s="34" t="str" cm="1">
        <f t="array" ref="B17">TRIM(IFERROR(_xlfn.IFS(D1_MARZO_202655[[#This Row],[ASESOR]]="ELVIS GUERRA","ELVIS GUERRERA",D1_MARZO_202655[[#This Row],[ASESOR]]="GENESIS VICUÑA","GENESIS VICUNA",D1_MARZO_202655[[#This Row],[ASESOR]]="JENY QUIÑONES","JENY QUINONES",D1_MARZO_202655[[#This Row],[ASESOR]]="NICOLE CAURURO","NICOLE CAURURO"),D1_MARZO_202655[[#This Row],[ASESOR]]))</f>
        <v>NATALIA MARIN</v>
      </c>
      <c r="C17" s="34" cm="1">
        <f t="array" ref="C17">_xlfn.XLOOKUP(1,(TablaMeta[CONCAT]=$M$3&amp;$N$3&amp;D1_MARZO_202655[[#This Row],[SUPER]])*(TablaMeta[SEGG]=D1_MARZO_202655[[#This Row],[SEGMENTO]]),TablaMeta[Meta_Asesor])</f>
        <v>32500</v>
      </c>
      <c r="D17" s="35">
        <f>IF(D1_MARZO_202655[[#This Row],[RECUPERO]]="VACACIONES","VACACIONES",IFERROR(D1_MARZO_202655[[#This Row],[RECUPERO]]/D1_MARZO_202655[[#This Row],[META]],""))</f>
        <v>3.4666153846153844</v>
      </c>
      <c r="E17" s="35" t="str">
        <f>D1_MARZO_202655[[#This Row],[SUPER]]</f>
        <v>SANDY</v>
      </c>
      <c r="F17" t="s">
        <v>79</v>
      </c>
      <c r="G17" s="36">
        <v>112665</v>
      </c>
      <c r="H17" cm="1">
        <f t="array" ref="H17">IFERROR(VLOOKUP(D1_MARZO_202655[[#This Row],[ASESOR_CRR]],_xlfn._xlws.FILTER(PLANTILLA[[ASESOR]:[FECHA DE CESE]],PLANTILLA[FECHA]=_xlfn.CONCAT($M$3,"_",_xlfn.IFS($N$3="ENERO","1",$N$3="FEBRERO","2",$N$3="MARZO","3",$N$3="ABRIL","4",$N$3="MAYO","5",$N$3="JUNIO","6",$N$3="JULIO","7",$N$3="AGOSTO","8",$N$3="SETIEMBRE","9",$N$3="OCTUBRE","10",$N$3="NOVIEMBRE","11",$N$3="DICIEMBRE","12"))),2,0),"")</f>
        <v>71262377</v>
      </c>
      <c r="I17" s="55" cm="1">
        <f t="array" ref="I17">IFERROR(VLOOKUP(D1_MARZO_202655[[#This Row],[ASESOR_CRR]],_xlfn._xlws.FILTER(PLANTILLA[[ASESOR]:[FECHA DE CESE]],PLANTILLA[FECHA]=_xlfn.CONCAT($M$3,"_",_xlfn.IFS($N$3="ENERO","1",$N$3="FEBRERO","2",$N$3="MARZO","3",$N$3="ABRIL","4",$N$3="MAYO","5",$N$3="JUNIO","6",$N$3="JULIO","7",$N$3="AGOSTO","8",$N$3="SETIEMBRE","9",$N$3="OCTUBRE","10",$N$3="NOVIEMBRE","11",$N$3="DICIEMBRE","12"))),6,0),"")</f>
        <v>45145</v>
      </c>
      <c r="J17" s="55" t="str" cm="1">
        <f t="array" ref="J17">IFERROR(VLOOKUP(D1_MARZO_202655[[#This Row],[ASESOR_CRR]],_xlfn._xlws.FILTER(PLANTILLA[[ASESOR]:[FECHA DE CESE]],PLANTILLA[FECHA]=_xlfn.CONCAT($M$3,"_",_xlfn.IFS($N$3="ENERO","1",$N$3="FEBRERO","2",$N$3="MARZO","3",$N$3="ABRIL","4",$N$3="MAYO","5",$N$3="JUNIO","6",$N$3="JULIO","7",$N$3="AGOSTO","8",$N$3="SETIEMBRE","9",$N$3="OCTUBRE","10",$N$3="NOVIEMBRE","11",$N$3="DICIEMBRE","12"))),4,0),"")</f>
        <v>CALL</v>
      </c>
      <c r="K17" s="55" t="str" cm="1">
        <f t="array" ref="K17">IFERROR(VLOOKUP(D1_MARZO_202655[[#This Row],[ASESOR_CRR]],_xlfn._xlws.FILTER(PLANTILLA[[ASESOR]:[FECHA DE CESE]],PLANTILLA[FECHA]=_xlfn.CONCAT($M$3,"_",_xlfn.IFS($N$3="ENERO","1",$N$3="FEBRERO","2",$N$3="MARZO","3",$N$3="ABRIL","4",$N$3="MAYO","5",$N$3="JUNIO","6",$N$3="JULIO","7",$N$3="AGOSTO","8",$N$3="SETIEMBRE","9",$N$3="OCTUBRE","10",$N$3="NOVIEMBRE","11",$N$3="DICIEMBRE","12"))),8,0),"")</f>
        <v>S0 - IBK</v>
      </c>
      <c r="L17" s="55"/>
      <c r="M17" s="5">
        <f>DATA_MARZO_202651[[#This Row],[RECUPERO]]/DATA_MARZO_202651[[#This Row],[META]]</f>
        <v>1.2330892857142857</v>
      </c>
      <c r="N17" s="5">
        <f>6-ROUNDUP(_xlfn.RANK.EQ(DATA_MARZO_202651[[#This Row],[AL_AC]],DATA_MARZO_202651[AL_AC],0)/(COUNTA(DATA_MARZO_202651[AL_AC])/5),0)</f>
        <v>5</v>
      </c>
      <c r="O17" s="54" t="str">
        <f>IFERROR(VLOOKUP(DATA_MARZO_202651[[#This Row],[ASER_]],$B:$G,4,0),"")</f>
        <v>JOHAN</v>
      </c>
      <c r="P17" s="6">
        <f>SUM(DATA_MARZO_202651[[#This Row],[1]:[30]])</f>
        <v>69053</v>
      </c>
      <c r="Q17" s="6">
        <f>VLOOKUP(DATA_MARZO_202651[[#This Row],[ASER_]],D1_MARZO_202655[[ASESOR_CRR]:[META]],2,0)</f>
        <v>56000</v>
      </c>
      <c r="R17" t="s">
        <v>61</v>
      </c>
      <c r="S17" s="45">
        <v>800</v>
      </c>
      <c r="T17">
        <v>5750</v>
      </c>
      <c r="U17">
        <v>438</v>
      </c>
      <c r="W17">
        <v>1065</v>
      </c>
      <c r="Z17">
        <v>600</v>
      </c>
      <c r="AA17">
        <v>5800</v>
      </c>
      <c r="AB17">
        <v>1900</v>
      </c>
      <c r="AC17">
        <v>3500</v>
      </c>
      <c r="AD17">
        <v>2000</v>
      </c>
      <c r="AI17">
        <v>18200</v>
      </c>
      <c r="AJ17">
        <v>700</v>
      </c>
      <c r="AK17">
        <v>2500</v>
      </c>
      <c r="AL17">
        <v>20000</v>
      </c>
      <c r="AR17">
        <v>5000</v>
      </c>
      <c r="AS17">
        <v>400</v>
      </c>
      <c r="AU17">
        <v>400</v>
      </c>
      <c r="AV17" s="54" t="str" cm="1">
        <f t="array" ref="AV17">IFERROR(VLOOKUP(DATA_MARZO_202651[[#This Row],[ASER_]],_xlfn._xlws.FILTER(PLANTILLA[[ASESOR]:[FECHA DE CESE]],PLANTILLA[FECHA]=_xlfn.CONCAT($M$3,"_",_xlfn.IFS($N$3="ENERO","1",$N$3="FEBRERO","2",$N$3="MARZO","3",$N$3="ABRIL","4",$N$3="MAYO","5",$N$3="JUNIO","6",$N$3="JULIO","7",$N$3="AGOSTO","8",$N$3="SETIEMBRE","9",$N$3="OCTUBRE","10",$N$3="NOVIEMBRE","11",$N$3="DICIEMBRE","12"))),8,0),"")</f>
        <v>S1</v>
      </c>
      <c r="BM17" s="45"/>
      <c r="BO17" s="45"/>
      <c r="BP17" s="47"/>
      <c r="BQ17" s="47"/>
      <c r="BS17" s="47"/>
      <c r="BT17" s="45"/>
      <c r="BU17" s="45"/>
      <c r="BW17" s="45"/>
      <c r="CB17" s="45"/>
      <c r="CC17" s="45"/>
      <c r="CD17" s="45"/>
      <c r="CM17" t="s">
        <v>636</v>
      </c>
      <c r="CN17" t="s">
        <v>2</v>
      </c>
      <c r="CO17" t="s">
        <v>13</v>
      </c>
      <c r="CP17">
        <v>46098</v>
      </c>
      <c r="CQ17">
        <v>1</v>
      </c>
      <c r="CR17">
        <v>1</v>
      </c>
      <c r="CT17">
        <v>1</v>
      </c>
      <c r="CV17">
        <v>6.9444444444444444E-5</v>
      </c>
      <c r="CW17">
        <v>6.9444444444444444E-5</v>
      </c>
      <c r="CX17">
        <v>0.20041666666666666</v>
      </c>
      <c r="CY17">
        <v>0.11394675925925926</v>
      </c>
      <c r="CZ17">
        <v>66</v>
      </c>
      <c r="DA17">
        <v>151</v>
      </c>
      <c r="DB17">
        <v>22</v>
      </c>
      <c r="DC17" t="s">
        <v>852</v>
      </c>
      <c r="DD17">
        <v>34749</v>
      </c>
      <c r="DE17">
        <v>0.33329999999999999</v>
      </c>
      <c r="DF17">
        <v>2</v>
      </c>
      <c r="DG17">
        <v>9.0899999999999995E-2</v>
      </c>
      <c r="DH17">
        <v>8800</v>
      </c>
      <c r="DI17">
        <v>4400</v>
      </c>
      <c r="DJ17">
        <v>8800</v>
      </c>
      <c r="DK17">
        <v>1</v>
      </c>
      <c r="DL17">
        <v>0.1231</v>
      </c>
      <c r="DM17">
        <v>100</v>
      </c>
      <c r="DN17">
        <v>4400</v>
      </c>
    </row>
    <row r="18" spans="1:118" x14ac:dyDescent="0.25">
      <c r="A18" s="34" t="str" cm="1">
        <f t="array" ref="A18">IFERROR(VLOOKUP(D1_MARZO_202655[[#This Row],[ASESOR_CRR]],_xlfn._xlws.FILTER(PLANTILLA[[ASESOR]:[FECHA DE CESE]],PLANTILLA[FECHA]=_xlfn.CONCAT($M$3,"_",_xlfn.IFS($N$3="ENERO","1",$N$3="FEBRERO","2",$N$3="MARZO","3",$N$3="ABRIL","4",$N$3="MAYO","5",$N$3="JUNIO","6",$N$3="JULIO","7",$N$3="AGOSTO","8",$N$3="SETIEMBRE","9",$N$3="OCTUBRE","10",$N$3="NOVIEMBRE","11",$N$3="DICIEMBRE","12"))),3,0),"")</f>
        <v>SANDY</v>
      </c>
      <c r="B18" s="34" t="str" cm="1">
        <f t="array" ref="B18">TRIM(IFERROR(_xlfn.IFS(D1_MARZO_202655[[#This Row],[ASESOR]]="ELVIS GUERRA","ELVIS GUERRERA",D1_MARZO_202655[[#This Row],[ASESOR]]="GENESIS VICUÑA","GENESIS VICUNA",D1_MARZO_202655[[#This Row],[ASESOR]]="JENY QUIÑONES","JENY QUINONES",D1_MARZO_202655[[#This Row],[ASESOR]]="NICOLE CAURURO","NICOLE CAURURO"),D1_MARZO_202655[[#This Row],[ASESOR]]))</f>
        <v>GIANNINA AGUILAR</v>
      </c>
      <c r="C18" s="34" cm="1">
        <f t="array" ref="C18">_xlfn.XLOOKUP(1,(TablaMeta[CONCAT]=$M$3&amp;$N$3&amp;D1_MARZO_202655[[#This Row],[SUPER]])*(TablaMeta[SEGG]=D1_MARZO_202655[[#This Row],[SEGMENTO]]),TablaMeta[Meta_Asesor])</f>
        <v>32500</v>
      </c>
      <c r="D18" s="35">
        <f>IF(D1_MARZO_202655[[#This Row],[RECUPERO]]="VACACIONES","VACACIONES",IFERROR(D1_MARZO_202655[[#This Row],[RECUPERO]]/D1_MARZO_202655[[#This Row],[META]],""))</f>
        <v>1.9063692307692308</v>
      </c>
      <c r="E18" s="35" t="str">
        <f>D1_MARZO_202655[[#This Row],[SUPER]]</f>
        <v>SANDY</v>
      </c>
      <c r="F18" t="s">
        <v>32</v>
      </c>
      <c r="G18" s="36">
        <v>61957</v>
      </c>
      <c r="H18" cm="1">
        <f t="array" ref="H18">IFERROR(VLOOKUP(D1_MARZO_202655[[#This Row],[ASESOR_CRR]],_xlfn._xlws.FILTER(PLANTILLA[[ASESOR]:[FECHA DE CESE]],PLANTILLA[FECHA]=_xlfn.CONCAT($M$3,"_",_xlfn.IFS($N$3="ENERO","1",$N$3="FEBRERO","2",$N$3="MARZO","3",$N$3="ABRIL","4",$N$3="MAYO","5",$N$3="JUNIO","6",$N$3="JULIO","7",$N$3="AGOSTO","8",$N$3="SETIEMBRE","9",$N$3="OCTUBRE","10",$N$3="NOVIEMBRE","11",$N$3="DICIEMBRE","12"))),2,0),"")</f>
        <v>48584670</v>
      </c>
      <c r="I18" s="55" cm="1">
        <f t="array" ref="I18">IFERROR(VLOOKUP(D1_MARZO_202655[[#This Row],[ASESOR_CRR]],_xlfn._xlws.FILTER(PLANTILLA[[ASESOR]:[FECHA DE CESE]],PLANTILLA[FECHA]=_xlfn.CONCAT($M$3,"_",_xlfn.IFS($N$3="ENERO","1",$N$3="FEBRERO","2",$N$3="MARZO","3",$N$3="ABRIL","4",$N$3="MAYO","5",$N$3="JUNIO","6",$N$3="JULIO","7",$N$3="AGOSTO","8",$N$3="SETIEMBRE","9",$N$3="OCTUBRE","10",$N$3="NOVIEMBRE","11",$N$3="DICIEMBRE","12"))),6,0),"")</f>
        <v>45526</v>
      </c>
      <c r="J18" s="55" t="str" cm="1">
        <f t="array" ref="J18">IFERROR(VLOOKUP(D1_MARZO_202655[[#This Row],[ASESOR_CRR]],_xlfn._xlws.FILTER(PLANTILLA[[ASESOR]:[FECHA DE CESE]],PLANTILLA[FECHA]=_xlfn.CONCAT($M$3,"_",_xlfn.IFS($N$3="ENERO","1",$N$3="FEBRERO","2",$N$3="MARZO","3",$N$3="ABRIL","4",$N$3="MAYO","5",$N$3="JUNIO","6",$N$3="JULIO","7",$N$3="AGOSTO","8",$N$3="SETIEMBRE","9",$N$3="OCTUBRE","10",$N$3="NOVIEMBRE","11",$N$3="DICIEMBRE","12"))),4,0),"")</f>
        <v>CALL</v>
      </c>
      <c r="K18" s="55" t="str" cm="1">
        <f t="array" ref="K18">IFERROR(VLOOKUP(D1_MARZO_202655[[#This Row],[ASESOR_CRR]],_xlfn._xlws.FILTER(PLANTILLA[[ASESOR]:[FECHA DE CESE]],PLANTILLA[FECHA]=_xlfn.CONCAT($M$3,"_",_xlfn.IFS($N$3="ENERO","1",$N$3="FEBRERO","2",$N$3="MARZO","3",$N$3="ABRIL","4",$N$3="MAYO","5",$N$3="JUNIO","6",$N$3="JULIO","7",$N$3="AGOSTO","8",$N$3="SETIEMBRE","9",$N$3="OCTUBRE","10",$N$3="NOVIEMBRE","11",$N$3="DICIEMBRE","12"))),8,0),"")</f>
        <v>S0 - IBK</v>
      </c>
      <c r="L18" s="55"/>
      <c r="M18" s="5">
        <f>DATA_MARZO_202651[[#This Row],[RECUPERO]]/DATA_MARZO_202651[[#This Row],[META]]</f>
        <v>0.76544262295081966</v>
      </c>
      <c r="N18" s="5">
        <f>6-ROUNDUP(_xlfn.RANK.EQ(DATA_MARZO_202651[[#This Row],[AL_AC]],DATA_MARZO_202651[AL_AC],0)/(COUNTA(DATA_MARZO_202651[AL_AC])/5),0)</f>
        <v>3</v>
      </c>
      <c r="O18" s="54" t="str">
        <f>IFERROR(VLOOKUP(DATA_MARZO_202651[[#This Row],[ASER_]],$B:$G,4,0),"")</f>
        <v>KENNETH</v>
      </c>
      <c r="P18" s="6">
        <f>SUM(DATA_MARZO_202651[[#This Row],[1]:[30]])</f>
        <v>23346</v>
      </c>
      <c r="Q18" s="6">
        <f>VLOOKUP(DATA_MARZO_202651[[#This Row],[ASER_]],D1_MARZO_202655[[ASESOR_CRR]:[META]],2,0)</f>
        <v>30500</v>
      </c>
      <c r="R18" t="s">
        <v>80</v>
      </c>
      <c r="U18">
        <v>1000</v>
      </c>
      <c r="W18">
        <v>860</v>
      </c>
      <c r="X18">
        <v>5000</v>
      </c>
      <c r="Z18">
        <v>550</v>
      </c>
      <c r="AA18">
        <v>5000</v>
      </c>
      <c r="AD18">
        <v>4000</v>
      </c>
      <c r="AG18">
        <v>400</v>
      </c>
      <c r="AI18">
        <v>550</v>
      </c>
      <c r="AJ18">
        <v>232</v>
      </c>
      <c r="AK18">
        <v>700</v>
      </c>
      <c r="AN18">
        <v>2500</v>
      </c>
      <c r="AP18">
        <v>1000</v>
      </c>
      <c r="AR18">
        <v>654</v>
      </c>
      <c r="AU18">
        <v>900</v>
      </c>
      <c r="AV18" s="54" t="str" cm="1">
        <f t="array" ref="AV18">IFERROR(VLOOKUP(DATA_MARZO_202651[[#This Row],[ASER_]],_xlfn._xlws.FILTER(PLANTILLA[[ASESOR]:[FECHA DE CESE]],PLANTILLA[FECHA]=_xlfn.CONCAT($M$3,"_",_xlfn.IFS($N$3="ENERO","1",$N$3="FEBRERO","2",$N$3="MARZO","3",$N$3="ABRIL","4",$N$3="MAYO","5",$N$3="JUNIO","6",$N$3="JULIO","7",$N$3="AGOSTO","8",$N$3="SETIEMBRE","9",$N$3="OCTUBRE","10",$N$3="NOVIEMBRE","11",$N$3="DICIEMBRE","12"))),8,0),"")</f>
        <v>S0 - IBK</v>
      </c>
      <c r="BB18" s="45"/>
      <c r="BC18" s="45"/>
      <c r="BD18" s="45"/>
      <c r="BE18" s="45"/>
      <c r="BF18" s="45"/>
      <c r="BG18" s="45"/>
      <c r="BH18" s="45"/>
      <c r="BI18" s="45"/>
      <c r="BO18" s="47"/>
      <c r="BP18" s="45"/>
      <c r="BQ18" s="45"/>
      <c r="BS18" s="45"/>
      <c r="BT18" s="47"/>
      <c r="BU18" s="47"/>
      <c r="BW18" s="45"/>
      <c r="BX18" s="45"/>
      <c r="CB18" s="45"/>
      <c r="CC18" s="45"/>
      <c r="CD18" s="47"/>
      <c r="CM18" t="s">
        <v>636</v>
      </c>
      <c r="CN18" t="s">
        <v>2</v>
      </c>
      <c r="CO18" t="s">
        <v>13</v>
      </c>
      <c r="CP18">
        <v>46106</v>
      </c>
      <c r="CQ18">
        <v>1</v>
      </c>
      <c r="CR18">
        <v>1</v>
      </c>
      <c r="CT18">
        <v>1</v>
      </c>
      <c r="CV18">
        <v>1.7361111111111112E-4</v>
      </c>
      <c r="CW18">
        <v>1.7361111111111112E-4</v>
      </c>
      <c r="CX18">
        <v>9.1550925925925924E-2</v>
      </c>
      <c r="CY18">
        <v>0.19019675925925925</v>
      </c>
      <c r="CZ18">
        <v>68</v>
      </c>
      <c r="DA18">
        <v>134</v>
      </c>
      <c r="DB18">
        <v>11</v>
      </c>
      <c r="DC18" t="s">
        <v>786</v>
      </c>
      <c r="DD18">
        <v>40284</v>
      </c>
      <c r="DE18">
        <v>0.1618</v>
      </c>
      <c r="DF18">
        <v>2</v>
      </c>
      <c r="DG18">
        <v>0.18179999999999999</v>
      </c>
      <c r="DH18">
        <v>9500</v>
      </c>
      <c r="DI18">
        <v>4750</v>
      </c>
      <c r="DJ18">
        <v>9500</v>
      </c>
      <c r="DK18">
        <v>1</v>
      </c>
      <c r="DL18">
        <v>0.1072</v>
      </c>
      <c r="DM18">
        <v>100</v>
      </c>
      <c r="DN18">
        <v>4750</v>
      </c>
    </row>
    <row r="19" spans="1:118" x14ac:dyDescent="0.25">
      <c r="A19" s="34" t="str" cm="1">
        <f t="array" ref="A19">IFERROR(VLOOKUP(D1_MARZO_202655[[#This Row],[ASESOR_CRR]],_xlfn._xlws.FILTER(PLANTILLA[[ASESOR]:[FECHA DE CESE]],PLANTILLA[FECHA]=_xlfn.CONCAT($M$3,"_",_xlfn.IFS($N$3="ENERO","1",$N$3="FEBRERO","2",$N$3="MARZO","3",$N$3="ABRIL","4",$N$3="MAYO","5",$N$3="JUNIO","6",$N$3="JULIO","7",$N$3="AGOSTO","8",$N$3="SETIEMBRE","9",$N$3="OCTUBRE","10",$N$3="NOVIEMBRE","11",$N$3="DICIEMBRE","12"))),3,0),"")</f>
        <v>SANDY</v>
      </c>
      <c r="B19" s="34" t="str" cm="1">
        <f t="array" ref="B19">TRIM(IFERROR(_xlfn.IFS(D1_MARZO_202655[[#This Row],[ASESOR]]="ELVIS GUERRA","ELVIS GUERRERA",D1_MARZO_202655[[#This Row],[ASESOR]]="GENESIS VICUÑA","GENESIS VICUNA",D1_MARZO_202655[[#This Row],[ASESOR]]="JENY QUIÑONES","JENY QUINONES",D1_MARZO_202655[[#This Row],[ASESOR]]="NICOLE CAURURO","NICOLE CAURURO"),D1_MARZO_202655[[#This Row],[ASESOR]]))</f>
        <v>LUIS VALLADARES</v>
      </c>
      <c r="C19" s="34" cm="1">
        <f t="array" ref="C19">_xlfn.XLOOKUP(1,(TablaMeta[CONCAT]=$M$3&amp;$N$3&amp;D1_MARZO_202655[[#This Row],[SUPER]])*(TablaMeta[SEGG]=D1_MARZO_202655[[#This Row],[SEGMENTO]]),TablaMeta[Meta_Asesor])</f>
        <v>32500</v>
      </c>
      <c r="D19" s="35">
        <f>IF(D1_MARZO_202655[[#This Row],[RECUPERO]]="VACACIONES","VACACIONES",IFERROR(D1_MARZO_202655[[#This Row],[RECUPERO]]/D1_MARZO_202655[[#This Row],[META]],""))</f>
        <v>1.4896738461538461</v>
      </c>
      <c r="E19" s="35" t="str">
        <f>D1_MARZO_202655[[#This Row],[SUPER]]</f>
        <v>SANDY</v>
      </c>
      <c r="F19" t="s">
        <v>29</v>
      </c>
      <c r="G19" s="36">
        <v>48414.400000000001</v>
      </c>
      <c r="H19" cm="1">
        <f t="array" ref="H19">IFERROR(VLOOKUP(D1_MARZO_202655[[#This Row],[ASESOR_CRR]],_xlfn._xlws.FILTER(PLANTILLA[[ASESOR]:[FECHA DE CESE]],PLANTILLA[FECHA]=_xlfn.CONCAT($M$3,"_",_xlfn.IFS($N$3="ENERO","1",$N$3="FEBRERO","2",$N$3="MARZO","3",$N$3="ABRIL","4",$N$3="MAYO","5",$N$3="JUNIO","6",$N$3="JULIO","7",$N$3="AGOSTO","8",$N$3="SETIEMBRE","9",$N$3="OCTUBRE","10",$N$3="NOVIEMBRE","11",$N$3="DICIEMBRE","12"))),2,0),"")</f>
        <v>72758956</v>
      </c>
      <c r="I19" s="55" cm="1">
        <f t="array" ref="I19">IFERROR(VLOOKUP(D1_MARZO_202655[[#This Row],[ASESOR_CRR]],_xlfn._xlws.FILTER(PLANTILLA[[ASESOR]:[FECHA DE CESE]],PLANTILLA[FECHA]=_xlfn.CONCAT($M$3,"_",_xlfn.IFS($N$3="ENERO","1",$N$3="FEBRERO","2",$N$3="MARZO","3",$N$3="ABRIL","4",$N$3="MAYO","5",$N$3="JUNIO","6",$N$3="JULIO","7",$N$3="AGOSTO","8",$N$3="SETIEMBRE","9",$N$3="OCTUBRE","10",$N$3="NOVIEMBRE","11",$N$3="DICIEMBRE","12"))),6,0),"")</f>
        <v>44685</v>
      </c>
      <c r="J19" s="55" t="str" cm="1">
        <f t="array" ref="J19">IFERROR(VLOOKUP(D1_MARZO_202655[[#This Row],[ASESOR_CRR]],_xlfn._xlws.FILTER(PLANTILLA[[ASESOR]:[FECHA DE CESE]],PLANTILLA[FECHA]=_xlfn.CONCAT($M$3,"_",_xlfn.IFS($N$3="ENERO","1",$N$3="FEBRERO","2",$N$3="MARZO","3",$N$3="ABRIL","4",$N$3="MAYO","5",$N$3="JUNIO","6",$N$3="JULIO","7",$N$3="AGOSTO","8",$N$3="SETIEMBRE","9",$N$3="OCTUBRE","10",$N$3="NOVIEMBRE","11",$N$3="DICIEMBRE","12"))),4,0),"")</f>
        <v>CALL</v>
      </c>
      <c r="K19" s="55" t="str" cm="1">
        <f t="array" ref="K19">IFERROR(VLOOKUP(D1_MARZO_202655[[#This Row],[ASESOR_CRR]],_xlfn._xlws.FILTER(PLANTILLA[[ASESOR]:[FECHA DE CESE]],PLANTILLA[FECHA]=_xlfn.CONCAT($M$3,"_",_xlfn.IFS($N$3="ENERO","1",$N$3="FEBRERO","2",$N$3="MARZO","3",$N$3="ABRIL","4",$N$3="MAYO","5",$N$3="JUNIO","6",$N$3="JULIO","7",$N$3="AGOSTO","8",$N$3="SETIEMBRE","9",$N$3="OCTUBRE","10",$N$3="NOVIEMBRE","11",$N$3="DICIEMBRE","12"))),8,0),"")</f>
        <v>S0 - IBK</v>
      </c>
      <c r="L19" s="55"/>
      <c r="M19" s="5">
        <f>DATA_MARZO_202651[[#This Row],[RECUPERO]]/DATA_MARZO_202651[[#This Row],[META]]</f>
        <v>0.75075409836065576</v>
      </c>
      <c r="N19" s="5">
        <f>6-ROUNDUP(_xlfn.RANK.EQ(DATA_MARZO_202651[[#This Row],[AL_AC]],DATA_MARZO_202651[AL_AC],0)/(COUNTA(DATA_MARZO_202651[AL_AC])/5),0)</f>
        <v>3</v>
      </c>
      <c r="O19" s="54" t="str">
        <f>IFERROR(VLOOKUP(DATA_MARZO_202651[[#This Row],[ASER_]],$B:$G,4,0),"")</f>
        <v>KENNETH</v>
      </c>
      <c r="P19" s="6">
        <f>SUM(DATA_MARZO_202651[[#This Row],[1]:[30]])</f>
        <v>22898</v>
      </c>
      <c r="Q19" s="6">
        <f>VLOOKUP(DATA_MARZO_202651[[#This Row],[ASER_]],D1_MARZO_202655[[ASESOR_CRR]:[META]],2,0)</f>
        <v>30500</v>
      </c>
      <c r="R19" t="s">
        <v>81</v>
      </c>
      <c r="T19">
        <v>509</v>
      </c>
      <c r="V19">
        <v>345</v>
      </c>
      <c r="W19">
        <v>1100</v>
      </c>
      <c r="X19">
        <v>3650</v>
      </c>
      <c r="AB19">
        <v>2200</v>
      </c>
      <c r="AC19">
        <v>526</v>
      </c>
      <c r="AD19">
        <v>180</v>
      </c>
      <c r="AH19">
        <v>210</v>
      </c>
      <c r="AI19">
        <v>645</v>
      </c>
      <c r="AJ19">
        <v>100</v>
      </c>
      <c r="AK19">
        <v>200</v>
      </c>
      <c r="AO19">
        <v>4500</v>
      </c>
      <c r="AP19">
        <v>2000</v>
      </c>
      <c r="AR19">
        <v>1035</v>
      </c>
      <c r="AU19">
        <v>5698</v>
      </c>
      <c r="AV19" s="54" t="str" cm="1">
        <f t="array" ref="AV19">IFERROR(VLOOKUP(DATA_MARZO_202651[[#This Row],[ASER_]],_xlfn._xlws.FILTER(PLANTILLA[[ASESOR]:[FECHA DE CESE]],PLANTILLA[FECHA]=_xlfn.CONCAT($M$3,"_",_xlfn.IFS($N$3="ENERO","1",$N$3="FEBRERO","2",$N$3="MARZO","3",$N$3="ABRIL","4",$N$3="MAYO","5",$N$3="JUNIO","6",$N$3="JULIO","7",$N$3="AGOSTO","8",$N$3="SETIEMBRE","9",$N$3="OCTUBRE","10",$N$3="NOVIEMBRE","11",$N$3="DICIEMBRE","12"))),8,0),"")</f>
        <v>S0 - IBK</v>
      </c>
      <c r="BB19" s="45"/>
      <c r="BC19" s="45"/>
      <c r="BD19" s="45"/>
      <c r="BE19" s="45"/>
      <c r="BF19" s="45"/>
      <c r="BG19" s="45"/>
      <c r="BH19" s="45"/>
      <c r="BI19" s="45"/>
      <c r="BO19" s="47"/>
      <c r="BP19" s="45"/>
      <c r="BQ19" s="45"/>
      <c r="BS19" s="45"/>
      <c r="BT19" s="47"/>
      <c r="BU19" s="47"/>
      <c r="BW19" s="45"/>
      <c r="BX19" s="45"/>
      <c r="CB19" s="47"/>
      <c r="CC19" s="47"/>
      <c r="CD19" s="47"/>
      <c r="CM19" t="s">
        <v>636</v>
      </c>
      <c r="CN19" t="s">
        <v>2</v>
      </c>
      <c r="CO19" t="s">
        <v>23</v>
      </c>
      <c r="CP19">
        <v>46092</v>
      </c>
      <c r="CQ19">
        <v>1</v>
      </c>
      <c r="CR19">
        <v>1</v>
      </c>
      <c r="CT19">
        <v>1</v>
      </c>
      <c r="CV19">
        <v>1.273148148148148E-4</v>
      </c>
      <c r="CW19">
        <v>1.273148148148148E-4</v>
      </c>
      <c r="CX19">
        <v>0.24403935185185185</v>
      </c>
      <c r="CY19">
        <v>8.7939814814814818E-2</v>
      </c>
      <c r="CZ19">
        <v>52</v>
      </c>
      <c r="DA19">
        <v>100</v>
      </c>
      <c r="DB19">
        <v>17</v>
      </c>
      <c r="DC19" t="s">
        <v>744</v>
      </c>
      <c r="DD19">
        <v>28453</v>
      </c>
      <c r="DE19">
        <v>0.32690000000000002</v>
      </c>
      <c r="DF19">
        <v>1</v>
      </c>
      <c r="DG19">
        <v>5.8799999999999998E-2</v>
      </c>
      <c r="DH19">
        <v>800</v>
      </c>
      <c r="DI19">
        <v>800</v>
      </c>
      <c r="DJ19">
        <v>800</v>
      </c>
      <c r="DK19">
        <v>1</v>
      </c>
      <c r="DL19">
        <v>0.20519999999999999</v>
      </c>
      <c r="DM19">
        <v>100</v>
      </c>
      <c r="DN19">
        <v>800</v>
      </c>
    </row>
    <row r="20" spans="1:118" x14ac:dyDescent="0.25">
      <c r="A20" s="34" t="str" cm="1">
        <f t="array" ref="A20">IFERROR(VLOOKUP(D1_MARZO_202655[[#This Row],[ASESOR_CRR]],_xlfn._xlws.FILTER(PLANTILLA[[ASESOR]:[FECHA DE CESE]],PLANTILLA[FECHA]=_xlfn.CONCAT($M$3,"_",_xlfn.IFS($N$3="ENERO","1",$N$3="FEBRERO","2",$N$3="MARZO","3",$N$3="ABRIL","4",$N$3="MAYO","5",$N$3="JUNIO","6",$N$3="JULIO","7",$N$3="AGOSTO","8",$N$3="SETIEMBRE","9",$N$3="OCTUBRE","10",$N$3="NOVIEMBRE","11",$N$3="DICIEMBRE","12"))),3,0),"")</f>
        <v>SANDY</v>
      </c>
      <c r="B20" s="34" t="str" cm="1">
        <f t="array" ref="B20">TRIM(IFERROR(_xlfn.IFS(D1_MARZO_202655[[#This Row],[ASESOR]]="ELVIS GUERRA","ELVIS GUERRERA",D1_MARZO_202655[[#This Row],[ASESOR]]="GENESIS VICUÑA","GENESIS VICUNA",D1_MARZO_202655[[#This Row],[ASESOR]]="JENY QUIÑONES","JENY QUINONES",D1_MARZO_202655[[#This Row],[ASESOR]]="NICOLE CAURURO","NICOLE CAURURO"),D1_MARZO_202655[[#This Row],[ASESOR]]))</f>
        <v>LUCERO JORDAN</v>
      </c>
      <c r="C20" s="34" cm="1">
        <f t="array" ref="C20">_xlfn.XLOOKUP(1,(TablaMeta[CONCAT]=$M$3&amp;$N$3&amp;D1_MARZO_202655[[#This Row],[SUPER]])*(TablaMeta[SEGG]=D1_MARZO_202655[[#This Row],[SEGMENTO]]),TablaMeta[Meta_Asesor])</f>
        <v>32500</v>
      </c>
      <c r="D20" s="35">
        <f>IF(D1_MARZO_202655[[#This Row],[RECUPERO]]="VACACIONES","VACACIONES",IFERROR(D1_MARZO_202655[[#This Row],[RECUPERO]]/D1_MARZO_202655[[#This Row],[META]],""))</f>
        <v>1.4471187692307692</v>
      </c>
      <c r="E20" s="35" t="str">
        <f>D1_MARZO_202655[[#This Row],[SUPER]]</f>
        <v>SANDY</v>
      </c>
      <c r="F20" t="s">
        <v>68</v>
      </c>
      <c r="G20" s="36">
        <v>47031.360000000001</v>
      </c>
      <c r="H20" cm="1">
        <f t="array" ref="H20">IFERROR(VLOOKUP(D1_MARZO_202655[[#This Row],[ASESOR_CRR]],_xlfn._xlws.FILTER(PLANTILLA[[ASESOR]:[FECHA DE CESE]],PLANTILLA[FECHA]=_xlfn.CONCAT($M$3,"_",_xlfn.IFS($N$3="ENERO","1",$N$3="FEBRERO","2",$N$3="MARZO","3",$N$3="ABRIL","4",$N$3="MAYO","5",$N$3="JUNIO","6",$N$3="JULIO","7",$N$3="AGOSTO","8",$N$3="SETIEMBRE","9",$N$3="OCTUBRE","10",$N$3="NOVIEMBRE","11",$N$3="DICIEMBRE","12"))),2,0),"")</f>
        <v>73257316</v>
      </c>
      <c r="I20" s="55" cm="1">
        <f t="array" ref="I20">IFERROR(VLOOKUP(D1_MARZO_202655[[#This Row],[ASESOR_CRR]],_xlfn._xlws.FILTER(PLANTILLA[[ASESOR]:[FECHA DE CESE]],PLANTILLA[FECHA]=_xlfn.CONCAT($M$3,"_",_xlfn.IFS($N$3="ENERO","1",$N$3="FEBRERO","2",$N$3="MARZO","3",$N$3="ABRIL","4",$N$3="MAYO","5",$N$3="JUNIO","6",$N$3="JULIO","7",$N$3="AGOSTO","8",$N$3="SETIEMBRE","9",$N$3="OCTUBRE","10",$N$3="NOVIEMBRE","11",$N$3="DICIEMBRE","12"))),6,0),"")</f>
        <v>45363</v>
      </c>
      <c r="J20" s="55" t="str" cm="1">
        <f t="array" ref="J20">IFERROR(VLOOKUP(D1_MARZO_202655[[#This Row],[ASESOR_CRR]],_xlfn._xlws.FILTER(PLANTILLA[[ASESOR]:[FECHA DE CESE]],PLANTILLA[FECHA]=_xlfn.CONCAT($M$3,"_",_xlfn.IFS($N$3="ENERO","1",$N$3="FEBRERO","2",$N$3="MARZO","3",$N$3="ABRIL","4",$N$3="MAYO","5",$N$3="JUNIO","6",$N$3="JULIO","7",$N$3="AGOSTO","8",$N$3="SETIEMBRE","9",$N$3="OCTUBRE","10",$N$3="NOVIEMBRE","11",$N$3="DICIEMBRE","12"))),4,0),"")</f>
        <v>CALL</v>
      </c>
      <c r="K20" s="55" t="str" cm="1">
        <f t="array" ref="K20">IFERROR(VLOOKUP(D1_MARZO_202655[[#This Row],[ASESOR_CRR]],_xlfn._xlws.FILTER(PLANTILLA[[ASESOR]:[FECHA DE CESE]],PLANTILLA[FECHA]=_xlfn.CONCAT($M$3,"_",_xlfn.IFS($N$3="ENERO","1",$N$3="FEBRERO","2",$N$3="MARZO","3",$N$3="ABRIL","4",$N$3="MAYO","5",$N$3="JUNIO","6",$N$3="JULIO","7",$N$3="AGOSTO","8",$N$3="SETIEMBRE","9",$N$3="OCTUBRE","10",$N$3="NOVIEMBRE","11",$N$3="DICIEMBRE","12"))),8,0),"")</f>
        <v>S0 - IBK</v>
      </c>
      <c r="L20" s="55"/>
      <c r="M20" s="5">
        <f>DATA_MARZO_202651[[#This Row],[RECUPERO]]/DATA_MARZO_202651[[#This Row],[META]]</f>
        <v>0.43576785714285715</v>
      </c>
      <c r="N20" s="5">
        <f>6-ROUNDUP(_xlfn.RANK.EQ(DATA_MARZO_202651[[#This Row],[AL_AC]],DATA_MARZO_202651[AL_AC],0)/(COUNTA(DATA_MARZO_202651[AL_AC])/5),0)</f>
        <v>1</v>
      </c>
      <c r="O20" s="54" t="str">
        <f>IFERROR(VLOOKUP(DATA_MARZO_202651[[#This Row],[ASER_]],$B:$G,4,0),"")</f>
        <v>JORGE</v>
      </c>
      <c r="P20" s="6">
        <f>SUM(DATA_MARZO_202651[[#This Row],[1]:[30]])</f>
        <v>24403</v>
      </c>
      <c r="Q20" s="6">
        <f>VLOOKUP(DATA_MARZO_202651[[#This Row],[ASER_]],D1_MARZO_202655[[ASESOR_CRR]:[META]],2,0)</f>
        <v>56000</v>
      </c>
      <c r="R20" t="s">
        <v>377</v>
      </c>
      <c r="V20">
        <v>3049</v>
      </c>
      <c r="X20">
        <v>600</v>
      </c>
      <c r="AA20">
        <v>600</v>
      </c>
      <c r="AC20">
        <v>4000</v>
      </c>
      <c r="AD20">
        <v>2300</v>
      </c>
      <c r="AG20">
        <v>220</v>
      </c>
      <c r="AI20">
        <v>6700</v>
      </c>
      <c r="AK20">
        <v>3500</v>
      </c>
      <c r="AQ20">
        <v>2000</v>
      </c>
      <c r="AR20">
        <v>1434</v>
      </c>
      <c r="AV20" s="54" t="str" cm="1">
        <f t="array" ref="AV20">IFERROR(VLOOKUP(DATA_MARZO_202651[[#This Row],[ASER_]],_xlfn._xlws.FILTER(PLANTILLA[[ASESOR]:[FECHA DE CESE]],PLANTILLA[FECHA]=_xlfn.CONCAT($M$3,"_",_xlfn.IFS($N$3="ENERO","1",$N$3="FEBRERO","2",$N$3="MARZO","3",$N$3="ABRIL","4",$N$3="MAYO","5",$N$3="JUNIO","6",$N$3="JULIO","7",$N$3="AGOSTO","8",$N$3="SETIEMBRE","9",$N$3="OCTUBRE","10",$N$3="NOVIEMBRE","11",$N$3="DICIEMBRE","12"))),8,0),"")</f>
        <v>S1</v>
      </c>
      <c r="BB20" s="47"/>
      <c r="BC20" s="47"/>
      <c r="BD20" s="47"/>
      <c r="BE20" s="47"/>
      <c r="BF20" s="47"/>
      <c r="BG20" s="47"/>
      <c r="BH20" s="47"/>
      <c r="BI20" s="47"/>
      <c r="BO20" s="45"/>
      <c r="BU20" s="45"/>
      <c r="BW20" s="45"/>
      <c r="BX20" s="47"/>
      <c r="CA20" s="45"/>
      <c r="CB20" s="47"/>
      <c r="CC20" s="47"/>
      <c r="CD20" s="45"/>
      <c r="CM20" t="s">
        <v>636</v>
      </c>
      <c r="CN20" t="s">
        <v>2</v>
      </c>
      <c r="CO20" t="s">
        <v>23</v>
      </c>
      <c r="CP20">
        <v>46100</v>
      </c>
      <c r="CQ20">
        <v>1</v>
      </c>
      <c r="CR20">
        <v>1</v>
      </c>
      <c r="CT20">
        <v>1</v>
      </c>
      <c r="CV20">
        <v>1.6203703703703703E-4</v>
      </c>
      <c r="CW20">
        <v>1.6203703703703703E-4</v>
      </c>
      <c r="CX20">
        <v>0.2011226851851852</v>
      </c>
      <c r="CY20">
        <v>0.14033564814814814</v>
      </c>
      <c r="CZ20">
        <v>68</v>
      </c>
      <c r="DA20">
        <v>140</v>
      </c>
      <c r="DB20">
        <v>14</v>
      </c>
      <c r="DC20" t="s">
        <v>729</v>
      </c>
      <c r="DD20">
        <v>30298</v>
      </c>
      <c r="DE20">
        <v>0.2059</v>
      </c>
      <c r="DF20">
        <v>2</v>
      </c>
      <c r="DG20">
        <v>0.1429</v>
      </c>
      <c r="DH20">
        <v>6600</v>
      </c>
      <c r="DI20">
        <v>3300</v>
      </c>
      <c r="DJ20">
        <v>6600</v>
      </c>
      <c r="DK20">
        <v>1</v>
      </c>
      <c r="DL20">
        <v>0.1394</v>
      </c>
      <c r="DM20">
        <v>100</v>
      </c>
      <c r="DN20">
        <v>3300</v>
      </c>
    </row>
    <row r="21" spans="1:118" x14ac:dyDescent="0.25">
      <c r="A21" s="34" t="str" cm="1">
        <f t="array" ref="A21">IFERROR(VLOOKUP(D1_MARZO_202655[[#This Row],[ASESOR_CRR]],_xlfn._xlws.FILTER(PLANTILLA[[ASESOR]:[FECHA DE CESE]],PLANTILLA[FECHA]=_xlfn.CONCAT($M$3,"_",_xlfn.IFS($N$3="ENERO","1",$N$3="FEBRERO","2",$N$3="MARZO","3",$N$3="ABRIL","4",$N$3="MAYO","5",$N$3="JUNIO","6",$N$3="JULIO","7",$N$3="AGOSTO","8",$N$3="SETIEMBRE","9",$N$3="OCTUBRE","10",$N$3="NOVIEMBRE","11",$N$3="DICIEMBRE","12"))),3,0),"")</f>
        <v>SANDY</v>
      </c>
      <c r="B21" s="34" t="str" cm="1">
        <f t="array" ref="B21">TRIM(IFERROR(_xlfn.IFS(D1_MARZO_202655[[#This Row],[ASESOR]]="ELVIS GUERRA","ELVIS GUERRERA",D1_MARZO_202655[[#This Row],[ASESOR]]="GENESIS VICUÑA","GENESIS VICUNA",D1_MARZO_202655[[#This Row],[ASESOR]]="JENY QUIÑONES","JENY QUINONES",D1_MARZO_202655[[#This Row],[ASESOR]]="NICOLE CAURURO","NICOLE CAURURO"),D1_MARZO_202655[[#This Row],[ASESOR]]))</f>
        <v>JESSICA MELGAREJO</v>
      </c>
      <c r="C21" s="34" cm="1">
        <f t="array" ref="C21">_xlfn.XLOOKUP(1,(TablaMeta[CONCAT]=$M$3&amp;$N$3&amp;D1_MARZO_202655[[#This Row],[SUPER]])*(TablaMeta[SEGG]=D1_MARZO_202655[[#This Row],[SEGMENTO]]),TablaMeta[Meta_Asesor])</f>
        <v>32500</v>
      </c>
      <c r="D21" s="35">
        <f>IF(D1_MARZO_202655[[#This Row],[RECUPERO]]="VACACIONES","VACACIONES",IFERROR(D1_MARZO_202655[[#This Row],[RECUPERO]]/D1_MARZO_202655[[#This Row],[META]],""))</f>
        <v>1.1995384615384614</v>
      </c>
      <c r="E21" s="35" t="str">
        <f>D1_MARZO_202655[[#This Row],[SUPER]]</f>
        <v>SANDY</v>
      </c>
      <c r="F21" t="s">
        <v>96</v>
      </c>
      <c r="G21" s="36">
        <v>38985</v>
      </c>
      <c r="H21" cm="1">
        <f t="array" ref="H21">IFERROR(VLOOKUP(D1_MARZO_202655[[#This Row],[ASESOR_CRR]],_xlfn._xlws.FILTER(PLANTILLA[[ASESOR]:[FECHA DE CESE]],PLANTILLA[FECHA]=_xlfn.CONCAT($M$3,"_",_xlfn.IFS($N$3="ENERO","1",$N$3="FEBRERO","2",$N$3="MARZO","3",$N$3="ABRIL","4",$N$3="MAYO","5",$N$3="JUNIO","6",$N$3="JULIO","7",$N$3="AGOSTO","8",$N$3="SETIEMBRE","9",$N$3="OCTUBRE","10",$N$3="NOVIEMBRE","11",$N$3="DICIEMBRE","12"))),2,0),"")</f>
        <v>46793103</v>
      </c>
      <c r="I21" s="55" cm="1">
        <f t="array" ref="I21">IFERROR(VLOOKUP(D1_MARZO_202655[[#This Row],[ASESOR_CRR]],_xlfn._xlws.FILTER(PLANTILLA[[ASESOR]:[FECHA DE CESE]],PLANTILLA[FECHA]=_xlfn.CONCAT($M$3,"_",_xlfn.IFS($N$3="ENERO","1",$N$3="FEBRERO","2",$N$3="MARZO","3",$N$3="ABRIL","4",$N$3="MAYO","5",$N$3="JUNIO","6",$N$3="JULIO","7",$N$3="AGOSTO","8",$N$3="SETIEMBRE","9",$N$3="OCTUBRE","10",$N$3="NOVIEMBRE","11",$N$3="DICIEMBRE","12"))),6,0),"")</f>
        <v>45882</v>
      </c>
      <c r="J21" s="55" t="str" cm="1">
        <f t="array" ref="J21">IFERROR(VLOOKUP(D1_MARZO_202655[[#This Row],[ASESOR_CRR]],_xlfn._xlws.FILTER(PLANTILLA[[ASESOR]:[FECHA DE CESE]],PLANTILLA[FECHA]=_xlfn.CONCAT($M$3,"_",_xlfn.IFS($N$3="ENERO","1",$N$3="FEBRERO","2",$N$3="MARZO","3",$N$3="ABRIL","4",$N$3="MAYO","5",$N$3="JUNIO","6",$N$3="JULIO","7",$N$3="AGOSTO","8",$N$3="SETIEMBRE","9",$N$3="OCTUBRE","10",$N$3="NOVIEMBRE","11",$N$3="DICIEMBRE","12"))),4,0),"")</f>
        <v>CALL</v>
      </c>
      <c r="K21" s="55" t="str" cm="1">
        <f t="array" ref="K21">IFERROR(VLOOKUP(D1_MARZO_202655[[#This Row],[ASESOR_CRR]],_xlfn._xlws.FILTER(PLANTILLA[[ASESOR]:[FECHA DE CESE]],PLANTILLA[FECHA]=_xlfn.CONCAT($M$3,"_",_xlfn.IFS($N$3="ENERO","1",$N$3="FEBRERO","2",$N$3="MARZO","3",$N$3="ABRIL","4",$N$3="MAYO","5",$N$3="JUNIO","6",$N$3="JULIO","7",$N$3="AGOSTO","8",$N$3="SETIEMBRE","9",$N$3="OCTUBRE","10",$N$3="NOVIEMBRE","11",$N$3="DICIEMBRE","12"))),8,0),"")</f>
        <v>S0 - IBK</v>
      </c>
      <c r="L21" s="55"/>
      <c r="M21" s="5">
        <f>DATA_MARZO_202651[[#This Row],[RECUPERO]]/DATA_MARZO_202651[[#This Row],[META]]</f>
        <v>1.1184375</v>
      </c>
      <c r="N21" s="5">
        <f>6-ROUNDUP(_xlfn.RANK.EQ(DATA_MARZO_202651[[#This Row],[AL_AC]],DATA_MARZO_202651[AL_AC],0)/(COUNTA(DATA_MARZO_202651[AL_AC])/5),0)</f>
        <v>4</v>
      </c>
      <c r="O21" s="54" t="str">
        <f>IFERROR(VLOOKUP(DATA_MARZO_202651[[#This Row],[ASER_]],$B:$G,4,0),"")</f>
        <v>LEONOR</v>
      </c>
      <c r="P21" s="6">
        <f>SUM(DATA_MARZO_202651[[#This Row],[1]:[30]])</f>
        <v>17895</v>
      </c>
      <c r="Q21" s="6">
        <f>VLOOKUP(DATA_MARZO_202651[[#This Row],[ASER_]],D1_MARZO_202655[[ASESOR_CRR]:[META]],2,0)</f>
        <v>16000</v>
      </c>
      <c r="R21" t="s">
        <v>495</v>
      </c>
      <c r="T21">
        <v>4700</v>
      </c>
      <c r="V21">
        <v>661</v>
      </c>
      <c r="W21">
        <v>1511</v>
      </c>
      <c r="X21">
        <v>500</v>
      </c>
      <c r="AA21">
        <v>750</v>
      </c>
      <c r="AB21">
        <v>1903</v>
      </c>
      <c r="AD21">
        <v>300</v>
      </c>
      <c r="AF21">
        <v>200</v>
      </c>
      <c r="AG21">
        <v>680</v>
      </c>
      <c r="AH21">
        <v>300</v>
      </c>
      <c r="AK21">
        <v>350</v>
      </c>
      <c r="AN21">
        <v>400</v>
      </c>
      <c r="AP21">
        <v>200</v>
      </c>
      <c r="AQ21">
        <v>1715</v>
      </c>
      <c r="AR21">
        <v>3170</v>
      </c>
      <c r="AU21">
        <v>555</v>
      </c>
      <c r="AV21" s="54" t="str" cm="1">
        <f t="array" ref="AV21">IFERROR(VLOOKUP(DATA_MARZO_202651[[#This Row],[ASER_]],_xlfn._xlws.FILTER(PLANTILLA[[ASESOR]:[FECHA DE CESE]],PLANTILLA[FECHA]=_xlfn.CONCAT($M$3,"_",_xlfn.IFS($N$3="ENERO","1",$N$3="FEBRERO","2",$N$3="MARZO","3",$N$3="ABRIL","4",$N$3="MAYO","5",$N$3="JUNIO","6",$N$3="JULIO","7",$N$3="AGOSTO","8",$N$3="SETIEMBRE","9",$N$3="OCTUBRE","10",$N$3="NOVIEMBRE","11",$N$3="DICIEMBRE","12"))),8,0),"")</f>
        <v>S2-3-4 MIX</v>
      </c>
      <c r="BB21" s="47"/>
      <c r="BC21" s="47"/>
      <c r="BD21" s="47"/>
      <c r="BE21" s="47"/>
      <c r="BF21" s="47"/>
      <c r="BG21" s="47"/>
      <c r="BH21" s="47"/>
      <c r="BI21" s="47"/>
      <c r="BW21" s="45"/>
      <c r="BX21" s="47"/>
      <c r="CA21" s="45"/>
      <c r="CB21" s="45"/>
      <c r="CC21" s="45"/>
      <c r="CM21" t="s">
        <v>636</v>
      </c>
      <c r="CN21" t="s">
        <v>2</v>
      </c>
      <c r="CO21" t="s">
        <v>25</v>
      </c>
      <c r="CP21">
        <v>46108</v>
      </c>
      <c r="CQ21">
        <v>1</v>
      </c>
      <c r="CR21">
        <v>1</v>
      </c>
      <c r="CT21">
        <v>1</v>
      </c>
      <c r="CV21">
        <v>5.7870370370370373E-5</v>
      </c>
      <c r="CW21">
        <v>5.7870370370370373E-5</v>
      </c>
      <c r="CX21">
        <v>0.15633101851851852</v>
      </c>
      <c r="CY21">
        <v>0.20005787037037037</v>
      </c>
      <c r="CZ21">
        <v>47</v>
      </c>
      <c r="DA21">
        <v>92</v>
      </c>
      <c r="DB21">
        <v>12</v>
      </c>
      <c r="DC21">
        <v>2</v>
      </c>
      <c r="DD21">
        <v>42022</v>
      </c>
      <c r="DE21">
        <v>0.25530000000000003</v>
      </c>
      <c r="DF21">
        <v>1</v>
      </c>
      <c r="DG21">
        <v>8.3299999999999999E-2</v>
      </c>
      <c r="DH21">
        <v>6880</v>
      </c>
      <c r="DI21">
        <v>6880</v>
      </c>
      <c r="DJ21">
        <v>6880</v>
      </c>
      <c r="DK21">
        <v>1</v>
      </c>
      <c r="DL21">
        <v>0.18440000000000001</v>
      </c>
      <c r="DM21">
        <v>100</v>
      </c>
      <c r="DN21">
        <v>6880</v>
      </c>
    </row>
    <row r="22" spans="1:118" x14ac:dyDescent="0.25">
      <c r="A22" s="34" t="str" cm="1">
        <f t="array" ref="A22">IFERROR(VLOOKUP(D1_MARZO_202655[[#This Row],[ASESOR_CRR]],_xlfn._xlws.FILTER(PLANTILLA[[ASESOR]:[FECHA DE CESE]],PLANTILLA[FECHA]=_xlfn.CONCAT($M$3,"_",_xlfn.IFS($N$3="ENERO","1",$N$3="FEBRERO","2",$N$3="MARZO","3",$N$3="ABRIL","4",$N$3="MAYO","5",$N$3="JUNIO","6",$N$3="JULIO","7",$N$3="AGOSTO","8",$N$3="SETIEMBRE","9",$N$3="OCTUBRE","10",$N$3="NOVIEMBRE","11",$N$3="DICIEMBRE","12"))),3,0),"")</f>
        <v>SANDY</v>
      </c>
      <c r="B22" s="34" t="str" cm="1">
        <f t="array" ref="B22">TRIM(IFERROR(_xlfn.IFS(D1_MARZO_202655[[#This Row],[ASESOR]]="ELVIS GUERRA","ELVIS GUERRERA",D1_MARZO_202655[[#This Row],[ASESOR]]="GENESIS VICUÑA","GENESIS VICUNA",D1_MARZO_202655[[#This Row],[ASESOR]]="JENY QUIÑONES","JENY QUINONES",D1_MARZO_202655[[#This Row],[ASESOR]]="NICOLE CAURURO","NICOLE CAURURO"),D1_MARZO_202655[[#This Row],[ASESOR]]))</f>
        <v>CARLA VALENCIA</v>
      </c>
      <c r="C22" s="34" cm="1">
        <f t="array" ref="C22">_xlfn.XLOOKUP(1,(TablaMeta[CONCAT]=$M$3&amp;$N$3&amp;D1_MARZO_202655[[#This Row],[SUPER]])*(TablaMeta[SEGG]=D1_MARZO_202655[[#This Row],[SEGMENTO]]),TablaMeta[Meta_Asesor])</f>
        <v>32500</v>
      </c>
      <c r="D22" s="35">
        <f>IF(D1_MARZO_202655[[#This Row],[RECUPERO]]="VACACIONES","VACACIONES",IFERROR(D1_MARZO_202655[[#This Row],[RECUPERO]]/D1_MARZO_202655[[#This Row],[META]],""))</f>
        <v>0.94738461538461538</v>
      </c>
      <c r="E22" s="35" t="str">
        <f>D1_MARZO_202655[[#This Row],[SUPER]]</f>
        <v>SANDY</v>
      </c>
      <c r="F22" t="s">
        <v>174</v>
      </c>
      <c r="G22" s="36">
        <v>30790</v>
      </c>
      <c r="H22" cm="1">
        <f t="array" ref="H22">IFERROR(VLOOKUP(D1_MARZO_202655[[#This Row],[ASESOR_CRR]],_xlfn._xlws.FILTER(PLANTILLA[[ASESOR]:[FECHA DE CESE]],PLANTILLA[FECHA]=_xlfn.CONCAT($M$3,"_",_xlfn.IFS($N$3="ENERO","1",$N$3="FEBRERO","2",$N$3="MARZO","3",$N$3="ABRIL","4",$N$3="MAYO","5",$N$3="JUNIO","6",$N$3="JULIO","7",$N$3="AGOSTO","8",$N$3="SETIEMBRE","9",$N$3="OCTUBRE","10",$N$3="NOVIEMBRE","11",$N$3="DICIEMBRE","12"))),2,0),"")</f>
        <v>46994661</v>
      </c>
      <c r="I22" s="55" cm="1">
        <f t="array" ref="I22">IFERROR(VLOOKUP(D1_MARZO_202655[[#This Row],[ASESOR_CRR]],_xlfn._xlws.FILTER(PLANTILLA[[ASESOR]:[FECHA DE CESE]],PLANTILLA[FECHA]=_xlfn.CONCAT($M$3,"_",_xlfn.IFS($N$3="ENERO","1",$N$3="FEBRERO","2",$N$3="MARZO","3",$N$3="ABRIL","4",$N$3="MAYO","5",$N$3="JUNIO","6",$N$3="JULIO","7",$N$3="AGOSTO","8",$N$3="SETIEMBRE","9",$N$3="OCTUBRE","10",$N$3="NOVIEMBRE","11",$N$3="DICIEMBRE","12"))),6,0),"")</f>
        <v>45992</v>
      </c>
      <c r="J22" s="55" t="str" cm="1">
        <f t="array" ref="J22">IFERROR(VLOOKUP(D1_MARZO_202655[[#This Row],[ASESOR_CRR]],_xlfn._xlws.FILTER(PLANTILLA[[ASESOR]:[FECHA DE CESE]],PLANTILLA[FECHA]=_xlfn.CONCAT($M$3,"_",_xlfn.IFS($N$3="ENERO","1",$N$3="FEBRERO","2",$N$3="MARZO","3",$N$3="ABRIL","4",$N$3="MAYO","5",$N$3="JUNIO","6",$N$3="JULIO","7",$N$3="AGOSTO","8",$N$3="SETIEMBRE","9",$N$3="OCTUBRE","10",$N$3="NOVIEMBRE","11",$N$3="DICIEMBRE","12"))),4,0),"")</f>
        <v>CALL</v>
      </c>
      <c r="K22" s="55" t="str" cm="1">
        <f t="array" ref="K22">IFERROR(VLOOKUP(D1_MARZO_202655[[#This Row],[ASESOR_CRR]],_xlfn._xlws.FILTER(PLANTILLA[[ASESOR]:[FECHA DE CESE]],PLANTILLA[FECHA]=_xlfn.CONCAT($M$3,"_",_xlfn.IFS($N$3="ENERO","1",$N$3="FEBRERO","2",$N$3="MARZO","3",$N$3="ABRIL","4",$N$3="MAYO","5",$N$3="JUNIO","6",$N$3="JULIO","7",$N$3="AGOSTO","8",$N$3="SETIEMBRE","9",$N$3="OCTUBRE","10",$N$3="NOVIEMBRE","11",$N$3="DICIEMBRE","12"))),8,0),"")</f>
        <v>S0 - IBK</v>
      </c>
      <c r="L22" s="55"/>
      <c r="M22" s="5">
        <f>DATA_MARZO_202651[[#This Row],[RECUPERO]]/DATA_MARZO_202651[[#This Row],[META]]</f>
        <v>0.67121964285714286</v>
      </c>
      <c r="N22" s="5">
        <f>6-ROUNDUP(_xlfn.RANK.EQ(DATA_MARZO_202651[[#This Row],[AL_AC]],DATA_MARZO_202651[AL_AC],0)/(COUNTA(DATA_MARZO_202651[AL_AC])/5),0)</f>
        <v>2</v>
      </c>
      <c r="O22" s="54" t="str">
        <f>IFERROR(VLOOKUP(DATA_MARZO_202651[[#This Row],[ASER_]],$B:$G,4,0),"")</f>
        <v>JOHAN</v>
      </c>
      <c r="P22" s="6">
        <f>SUM(DATA_MARZO_202651[[#This Row],[1]:[30]])</f>
        <v>37588.300000000003</v>
      </c>
      <c r="Q22" s="6">
        <f>VLOOKUP(DATA_MARZO_202651[[#This Row],[ASER_]],D1_MARZO_202655[[ASESOR_CRR]:[META]],2,0)</f>
        <v>56000</v>
      </c>
      <c r="R22" t="s">
        <v>72</v>
      </c>
      <c r="U22">
        <v>3000</v>
      </c>
      <c r="V22">
        <v>1000</v>
      </c>
      <c r="AB22">
        <v>300</v>
      </c>
      <c r="AC22">
        <v>2600</v>
      </c>
      <c r="AD22">
        <v>1000</v>
      </c>
      <c r="AG22">
        <v>12000</v>
      </c>
      <c r="AH22">
        <v>5000</v>
      </c>
      <c r="AJ22">
        <v>6000.3</v>
      </c>
      <c r="AO22">
        <v>2688</v>
      </c>
      <c r="AQ22">
        <v>3000</v>
      </c>
      <c r="AR22">
        <v>1000</v>
      </c>
      <c r="AV22" s="54" t="str" cm="1">
        <f t="array" ref="AV22">IFERROR(VLOOKUP(DATA_MARZO_202651[[#This Row],[ASER_]],_xlfn._xlws.FILTER(PLANTILLA[[ASESOR]:[FECHA DE CESE]],PLANTILLA[FECHA]=_xlfn.CONCAT($M$3,"_",_xlfn.IFS($N$3="ENERO","1",$N$3="FEBRERO","2",$N$3="MARZO","3",$N$3="ABRIL","4",$N$3="MAYO","5",$N$3="JUNIO","6",$N$3="JULIO","7",$N$3="AGOSTO","8",$N$3="SETIEMBRE","9",$N$3="OCTUBRE","10",$N$3="NOVIEMBRE","11",$N$3="DICIEMBRE","12"))),8,0),"")</f>
        <v>S1</v>
      </c>
      <c r="BB22" s="45"/>
      <c r="BC22" s="45"/>
      <c r="BD22" s="45"/>
      <c r="BE22" s="45"/>
      <c r="BF22" s="45"/>
      <c r="BG22" s="45"/>
      <c r="BH22" s="45"/>
      <c r="BI22" s="45"/>
      <c r="BW22" s="47"/>
      <c r="BX22" s="45"/>
      <c r="CA22" s="45"/>
      <c r="CM22" t="s">
        <v>636</v>
      </c>
      <c r="CN22" t="s">
        <v>6</v>
      </c>
      <c r="CO22" t="s">
        <v>50</v>
      </c>
      <c r="CP22">
        <v>46090</v>
      </c>
      <c r="CQ22">
        <v>1</v>
      </c>
      <c r="CR22">
        <v>1</v>
      </c>
      <c r="CT22">
        <v>1</v>
      </c>
      <c r="CV22">
        <v>4.3981481481481481E-4</v>
      </c>
      <c r="CW22">
        <v>4.3981481481481481E-4</v>
      </c>
      <c r="CX22">
        <v>0.17355324074074074</v>
      </c>
      <c r="CY22">
        <v>0.1489699074074074</v>
      </c>
      <c r="CZ22">
        <v>70</v>
      </c>
      <c r="DA22">
        <v>157</v>
      </c>
      <c r="DB22">
        <v>12</v>
      </c>
      <c r="DC22">
        <v>2.5</v>
      </c>
      <c r="DD22">
        <v>24305</v>
      </c>
      <c r="DE22">
        <v>0.1714</v>
      </c>
      <c r="DF22">
        <v>4</v>
      </c>
      <c r="DG22">
        <v>0.33329999999999999</v>
      </c>
      <c r="DH22">
        <v>8301</v>
      </c>
      <c r="DI22">
        <v>2075</v>
      </c>
      <c r="DJ22">
        <v>8301</v>
      </c>
      <c r="DK22">
        <v>1</v>
      </c>
      <c r="DL22">
        <v>0.32440000000000002</v>
      </c>
      <c r="DM22">
        <v>100</v>
      </c>
      <c r="DN22">
        <v>2075</v>
      </c>
    </row>
    <row r="23" spans="1:118" x14ac:dyDescent="0.25">
      <c r="A23" s="34" t="str" cm="1">
        <f t="array" ref="A23">IFERROR(VLOOKUP(D1_MARZO_202655[[#This Row],[ASESOR_CRR]],_xlfn._xlws.FILTER(PLANTILLA[[ASESOR]:[FECHA DE CESE]],PLANTILLA[FECHA]=_xlfn.CONCAT($M$3,"_",_xlfn.IFS($N$3="ENERO","1",$N$3="FEBRERO","2",$N$3="MARZO","3",$N$3="ABRIL","4",$N$3="MAYO","5",$N$3="JUNIO","6",$N$3="JULIO","7",$N$3="AGOSTO","8",$N$3="SETIEMBRE","9",$N$3="OCTUBRE","10",$N$3="NOVIEMBRE","11",$N$3="DICIEMBRE","12"))),3,0),"")</f>
        <v>SANDY</v>
      </c>
      <c r="B23" s="34" t="str" cm="1">
        <f t="array" ref="B23">TRIM(IFERROR(_xlfn.IFS(D1_MARZO_202655[[#This Row],[ASESOR]]="ELVIS GUERRA","ELVIS GUERRERA",D1_MARZO_202655[[#This Row],[ASESOR]]="GENESIS VICUÑA","GENESIS VICUNA",D1_MARZO_202655[[#This Row],[ASESOR]]="JENY QUIÑONES","JENY QUINONES",D1_MARZO_202655[[#This Row],[ASESOR]]="NICOLE CAURURO","NICOLE CAURURO"),D1_MARZO_202655[[#This Row],[ASESOR]]))</f>
        <v>GENESIS PALACIOS</v>
      </c>
      <c r="C23" s="34" cm="1">
        <f t="array" ref="C23">_xlfn.XLOOKUP(1,(TablaMeta[CONCAT]=$M$3&amp;$N$3&amp;D1_MARZO_202655[[#This Row],[SUPER]])*(TablaMeta[SEGG]=D1_MARZO_202655[[#This Row],[SEGMENTO]]),TablaMeta[Meta_Asesor])</f>
        <v>32500</v>
      </c>
      <c r="D23" s="35">
        <f>IF(D1_MARZO_202655[[#This Row],[RECUPERO]]="VACACIONES","VACACIONES",IFERROR(D1_MARZO_202655[[#This Row],[RECUPERO]]/D1_MARZO_202655[[#This Row],[META]],""))</f>
        <v>0.73713846153846152</v>
      </c>
      <c r="E23" s="35" t="str">
        <f>D1_MARZO_202655[[#This Row],[SUPER]]</f>
        <v>SANDY</v>
      </c>
      <c r="F23" t="s">
        <v>493</v>
      </c>
      <c r="G23" s="36">
        <v>23957</v>
      </c>
      <c r="H23" cm="1">
        <f t="array" ref="H23">IFERROR(VLOOKUP(D1_MARZO_202655[[#This Row],[ASESOR_CRR]],_xlfn._xlws.FILTER(PLANTILLA[[ASESOR]:[FECHA DE CESE]],PLANTILLA[FECHA]=_xlfn.CONCAT($M$3,"_",_xlfn.IFS($N$3="ENERO","1",$N$3="FEBRERO","2",$N$3="MARZO","3",$N$3="ABRIL","4",$N$3="MAYO","5",$N$3="JUNIO","6",$N$3="JULIO","7",$N$3="AGOSTO","8",$N$3="SETIEMBRE","9",$N$3="OCTUBRE","10",$N$3="NOVIEMBRE","11",$N$3="DICIEMBRE","12"))),2,0),"")</f>
        <v>75026229</v>
      </c>
      <c r="I23" s="55" cm="1">
        <f t="array" ref="I23">IFERROR(VLOOKUP(D1_MARZO_202655[[#This Row],[ASESOR_CRR]],_xlfn._xlws.FILTER(PLANTILLA[[ASESOR]:[FECHA DE CESE]],PLANTILLA[FECHA]=_xlfn.CONCAT($M$3,"_",_xlfn.IFS($N$3="ENERO","1",$N$3="FEBRERO","2",$N$3="MARZO","3",$N$3="ABRIL","4",$N$3="MAYO","5",$N$3="JUNIO","6",$N$3="JULIO","7",$N$3="AGOSTO","8",$N$3="SETIEMBRE","9",$N$3="OCTUBRE","10",$N$3="NOVIEMBRE","11",$N$3="DICIEMBRE","12"))),6,0),"")</f>
        <v>46052</v>
      </c>
      <c r="J23" s="55" t="str" cm="1">
        <f t="array" ref="J23">IFERROR(VLOOKUP(D1_MARZO_202655[[#This Row],[ASESOR_CRR]],_xlfn._xlws.FILTER(PLANTILLA[[ASESOR]:[FECHA DE CESE]],PLANTILLA[FECHA]=_xlfn.CONCAT($M$3,"_",_xlfn.IFS($N$3="ENERO","1",$N$3="FEBRERO","2",$N$3="MARZO","3",$N$3="ABRIL","4",$N$3="MAYO","5",$N$3="JUNIO","6",$N$3="JULIO","7",$N$3="AGOSTO","8",$N$3="SETIEMBRE","9",$N$3="OCTUBRE","10",$N$3="NOVIEMBRE","11",$N$3="DICIEMBRE","12"))),4,0),"")</f>
        <v>CALL</v>
      </c>
      <c r="K23" s="55" t="str" cm="1">
        <f t="array" ref="K23">IFERROR(VLOOKUP(D1_MARZO_202655[[#This Row],[ASESOR_CRR]],_xlfn._xlws.FILTER(PLANTILLA[[ASESOR]:[FECHA DE CESE]],PLANTILLA[FECHA]=_xlfn.CONCAT($M$3,"_",_xlfn.IFS($N$3="ENERO","1",$N$3="FEBRERO","2",$N$3="MARZO","3",$N$3="ABRIL","4",$N$3="MAYO","5",$N$3="JUNIO","6",$N$3="JULIO","7",$N$3="AGOSTO","8",$N$3="SETIEMBRE","9",$N$3="OCTUBRE","10",$N$3="NOVIEMBRE","11",$N$3="DICIEMBRE","12"))),8,0),"")</f>
        <v>S0 - IBK</v>
      </c>
      <c r="L23" s="55"/>
      <c r="M23" s="5">
        <f>DATA_MARZO_202651[[#This Row],[RECUPERO]]/DATA_MARZO_202651[[#This Row],[META]]</f>
        <v>1.0848214285714286</v>
      </c>
      <c r="N23" s="5">
        <f>6-ROUNDUP(_xlfn.RANK.EQ(DATA_MARZO_202651[[#This Row],[AL_AC]],DATA_MARZO_202651[AL_AC],0)/(COUNTA(DATA_MARZO_202651[AL_AC])/5),0)</f>
        <v>4</v>
      </c>
      <c r="O23" s="54" t="str">
        <f>IFERROR(VLOOKUP(DATA_MARZO_202651[[#This Row],[ASER_]],$B:$G,4,0),"")</f>
        <v>JORGE</v>
      </c>
      <c r="P23" s="6">
        <f>SUM(DATA_MARZO_202651[[#This Row],[1]:[30]])</f>
        <v>60750</v>
      </c>
      <c r="Q23" s="6">
        <f>VLOOKUP(DATA_MARZO_202651[[#This Row],[ASER_]],D1_MARZO_202655[[ASESOR_CRR]:[META]],2,0)</f>
        <v>56000</v>
      </c>
      <c r="R23" t="s">
        <v>22</v>
      </c>
      <c r="U23">
        <v>12500</v>
      </c>
      <c r="W23">
        <v>3400</v>
      </c>
      <c r="X23">
        <v>4750</v>
      </c>
      <c r="Z23">
        <v>1000</v>
      </c>
      <c r="AA23">
        <v>1000</v>
      </c>
      <c r="AE23">
        <v>9000</v>
      </c>
      <c r="AH23">
        <v>20000</v>
      </c>
      <c r="AN23">
        <v>1000</v>
      </c>
      <c r="AO23">
        <v>5080</v>
      </c>
      <c r="AQ23">
        <v>1800</v>
      </c>
      <c r="AU23">
        <v>1220</v>
      </c>
      <c r="AV23" s="54" t="str" cm="1">
        <f t="array" ref="AV23">IFERROR(VLOOKUP(DATA_MARZO_202651[[#This Row],[ASER_]],_xlfn._xlws.FILTER(PLANTILLA[[ASESOR]:[FECHA DE CESE]],PLANTILLA[FECHA]=_xlfn.CONCAT($M$3,"_",_xlfn.IFS($N$3="ENERO","1",$N$3="FEBRERO","2",$N$3="MARZO","3",$N$3="ABRIL","4",$N$3="MAYO","5",$N$3="JUNIO","6",$N$3="JULIO","7",$N$3="AGOSTO","8",$N$3="SETIEMBRE","9",$N$3="OCTUBRE","10",$N$3="NOVIEMBRE","11",$N$3="DICIEMBRE","12"))),8,0),"")</f>
        <v>S1</v>
      </c>
      <c r="BW23" s="45"/>
      <c r="CM23" t="s">
        <v>636</v>
      </c>
      <c r="CN23" t="s">
        <v>6</v>
      </c>
      <c r="CO23" t="s">
        <v>34</v>
      </c>
      <c r="CP23">
        <v>46092</v>
      </c>
      <c r="CQ23">
        <v>1</v>
      </c>
      <c r="CR23">
        <v>1</v>
      </c>
      <c r="CT23">
        <v>1</v>
      </c>
      <c r="CV23">
        <v>9.2592592592592588E-5</v>
      </c>
      <c r="CW23">
        <v>9.2592592592592588E-5</v>
      </c>
      <c r="CX23">
        <v>0.24417824074074074</v>
      </c>
      <c r="CY23">
        <v>0.10943287037037037</v>
      </c>
      <c r="CZ23">
        <v>140</v>
      </c>
      <c r="DA23">
        <v>175</v>
      </c>
      <c r="DB23">
        <v>10</v>
      </c>
      <c r="DC23">
        <v>1.9</v>
      </c>
      <c r="DD23">
        <v>36125</v>
      </c>
      <c r="DE23">
        <v>7.1400000000000005E-2</v>
      </c>
      <c r="DF23">
        <v>2</v>
      </c>
      <c r="DG23">
        <v>0.2</v>
      </c>
      <c r="DH23">
        <v>14200</v>
      </c>
      <c r="DI23">
        <v>7100</v>
      </c>
      <c r="DJ23">
        <v>14200</v>
      </c>
      <c r="DK23">
        <v>1</v>
      </c>
      <c r="DL23">
        <v>0.18010000000000001</v>
      </c>
      <c r="DM23">
        <v>100</v>
      </c>
      <c r="DN23">
        <v>7100</v>
      </c>
    </row>
    <row r="24" spans="1:118" x14ac:dyDescent="0.25">
      <c r="A24" s="34" t="str" cm="1">
        <f t="array" ref="A24">IFERROR(VLOOKUP(D1_MARZO_202655[[#This Row],[ASESOR_CRR]],_xlfn._xlws.FILTER(PLANTILLA[[ASESOR]:[FECHA DE CESE]],PLANTILLA[FECHA]=_xlfn.CONCAT($M$3,"_",_xlfn.IFS($N$3="ENERO","1",$N$3="FEBRERO","2",$N$3="MARZO","3",$N$3="ABRIL","4",$N$3="MAYO","5",$N$3="JUNIO","6",$N$3="JULIO","7",$N$3="AGOSTO","8",$N$3="SETIEMBRE","9",$N$3="OCTUBRE","10",$N$3="NOVIEMBRE","11",$N$3="DICIEMBRE","12"))),3,0),"")</f>
        <v>SANDY</v>
      </c>
      <c r="B24" s="34" t="str" cm="1">
        <f t="array" ref="B24">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MARIA HUARCAYA</v>
      </c>
      <c r="C24" s="34" cm="1">
        <f t="array" ref="C24">_xlfn.XLOOKUP(1,(TablaMeta[CONCAT]=$M$3&amp;$N$3&amp;D1_MARZO_202655[[#This Row],[SUPER]])*(TablaMeta[SEGG]=D1_MARZO_202655[[#This Row],[SEGMENTO]]),TablaMeta[Meta_Asesor])</f>
        <v>94000</v>
      </c>
      <c r="D24" s="35">
        <f>IF(D1_MARZO_202655[[#This Row],[RECUPERO]]="VACACIONES","VACACIONES",IFERROR(D1_MARZO_202655[[#This Row],[RECUPERO]]/D1_MARZO_202655[[#This Row],[META]],""))</f>
        <v>1.1767236170212767</v>
      </c>
      <c r="E24" s="35" t="str">
        <f>D1_MARZO_202655[[#This Row],[SUPER]]</f>
        <v>SANDY</v>
      </c>
      <c r="F24" t="s">
        <v>38</v>
      </c>
      <c r="G24" s="36">
        <v>110612.02</v>
      </c>
      <c r="H24" cm="1">
        <f t="array" ref="H24">IFERROR(VLOOKUP(D1_MARZO_202655[[#This Row],[ASESOR_CRR]],_xlfn._xlws.FILTER(PLANTILLA[[ASESOR]:[FECHA DE CESE]],PLANTILLA[FECHA]=_xlfn.CONCAT($M$3,"_",_xlfn.IFS($N$3="ENERO","1",$N$3="FEBRERO","2",$N$3="MARZO","3",$N$3="ABRIL","4",$N$3="MAYO","5",$N$3="JUNIO","6",$N$3="JULIO","7",$N$3="AGOSTO","8",$N$3="SETIEMBRE","9",$N$3="OCTUBRE","10",$N$3="NOVIEMBRE","11",$N$3="DICIEMBRE","12"))),2,0),"")</f>
        <v>47411966</v>
      </c>
      <c r="I24" s="55" cm="1">
        <f t="array" ref="I24">IFERROR(VLOOKUP(D1_MARZO_202655[[#This Row],[ASESOR_CRR]],_xlfn._xlws.FILTER(PLANTILLA[[ASESOR]:[FECHA DE CESE]],PLANTILLA[FECHA]=_xlfn.CONCAT($M$3,"_",_xlfn.IFS($N$3="ENERO","1",$N$3="FEBRERO","2",$N$3="MARZO","3",$N$3="ABRIL","4",$N$3="MAYO","5",$N$3="JUNIO","6",$N$3="JULIO","7",$N$3="AGOSTO","8",$N$3="SETIEMBRE","9",$N$3="OCTUBRE","10",$N$3="NOVIEMBRE","11",$N$3="DICIEMBRE","12"))),6,0),"")</f>
        <v>45800</v>
      </c>
      <c r="J24" s="55" t="str" cm="1">
        <f t="array" ref="J24">IFERROR(VLOOKUP(D1_MARZO_202655[[#This Row],[ASESOR_CRR]],_xlfn._xlws.FILTER(PLANTILLA[[ASESOR]:[FECHA DE CESE]],PLANTILLA[FECHA]=_xlfn.CONCAT($M$3,"_",_xlfn.IFS($N$3="ENERO","1",$N$3="FEBRERO","2",$N$3="MARZO","3",$N$3="ABRIL","4",$N$3="MAYO","5",$N$3="JUNIO","6",$N$3="JULIO","7",$N$3="AGOSTO","8",$N$3="SETIEMBRE","9",$N$3="OCTUBRE","10",$N$3="NOVIEMBRE","11",$N$3="DICIEMBRE","12"))),4,0),"")</f>
        <v>CALL</v>
      </c>
      <c r="K24" s="55" t="str" cm="1">
        <f t="array" ref="K24">IFERROR(VLOOKUP(D1_MARZO_202655[[#This Row],[ASESOR_CRR]],_xlfn._xlws.FILTER(PLANTILLA[[ASESOR]:[FECHA DE CESE]],PLANTILLA[FECHA]=_xlfn.CONCAT($M$3,"_",_xlfn.IFS($N$3="ENERO","1",$N$3="FEBRERO","2",$N$3="MARZO","3",$N$3="ABRIL","4",$N$3="MAYO","5",$N$3="JUNIO","6",$N$3="JULIO","7",$N$3="AGOSTO","8",$N$3="SETIEMBRE","9",$N$3="OCTUBRE","10",$N$3="NOVIEMBRE","11",$N$3="DICIEMBRE","12"))),8,0),"")</f>
        <v>S0 - BBVA</v>
      </c>
      <c r="L24" s="55"/>
      <c r="M24" s="5">
        <f>DATA_MARZO_202651[[#This Row],[RECUPERO]]/DATA_MARZO_202651[[#This Row],[META]]</f>
        <v>0.61566071428571434</v>
      </c>
      <c r="N24" s="5">
        <f>6-ROUNDUP(_xlfn.RANK.EQ(DATA_MARZO_202651[[#This Row],[AL_AC]],DATA_MARZO_202651[AL_AC],0)/(COUNTA(DATA_MARZO_202651[AL_AC])/5),0)</f>
        <v>2</v>
      </c>
      <c r="O24" s="54" t="str">
        <f>IFERROR(VLOOKUP(DATA_MARZO_202651[[#This Row],[ASER_]],$B:$G,4,0),"")</f>
        <v>JORGE</v>
      </c>
      <c r="P24" s="6">
        <f>SUM(DATA_MARZO_202651[[#This Row],[1]:[30]])</f>
        <v>34477</v>
      </c>
      <c r="Q24" s="6">
        <f>VLOOKUP(DATA_MARZO_202651[[#This Row],[ASER_]],D1_MARZO_202655[[ASESOR_CRR]:[META]],2,0)</f>
        <v>56000</v>
      </c>
      <c r="R24" t="s">
        <v>24</v>
      </c>
      <c r="S24" s="45"/>
      <c r="T24">
        <v>361</v>
      </c>
      <c r="U24">
        <v>300</v>
      </c>
      <c r="W24">
        <v>400</v>
      </c>
      <c r="X24">
        <v>265</v>
      </c>
      <c r="Z24">
        <v>2000</v>
      </c>
      <c r="AA24">
        <v>4200</v>
      </c>
      <c r="AD24">
        <v>210</v>
      </c>
      <c r="AG24">
        <v>4000</v>
      </c>
      <c r="AH24">
        <v>1500</v>
      </c>
      <c r="AI24">
        <v>600</v>
      </c>
      <c r="AJ24">
        <v>5780</v>
      </c>
      <c r="AK24">
        <v>150</v>
      </c>
      <c r="AN24">
        <v>4700</v>
      </c>
      <c r="AO24">
        <v>7500</v>
      </c>
      <c r="AP24">
        <v>600</v>
      </c>
      <c r="AR24">
        <v>600</v>
      </c>
      <c r="AU24">
        <v>1311</v>
      </c>
      <c r="AV24" s="54" t="str" cm="1">
        <f t="array" ref="AV24">IFERROR(VLOOKUP(DATA_MARZO_202651[[#This Row],[ASER_]],_xlfn._xlws.FILTER(PLANTILLA[[ASESOR]:[FECHA DE CESE]],PLANTILLA[FECHA]=_xlfn.CONCAT($M$3,"_",_xlfn.IFS($N$3="ENERO","1",$N$3="FEBRERO","2",$N$3="MARZO","3",$N$3="ABRIL","4",$N$3="MAYO","5",$N$3="JUNIO","6",$N$3="JULIO","7",$N$3="AGOSTO","8",$N$3="SETIEMBRE","9",$N$3="OCTUBRE","10",$N$3="NOVIEMBRE","11",$N$3="DICIEMBRE","12"))),8,0),"")</f>
        <v>S1</v>
      </c>
      <c r="CA24" s="45"/>
      <c r="CM24" t="s">
        <v>636</v>
      </c>
      <c r="CN24" t="s">
        <v>6</v>
      </c>
      <c r="CO24" t="s">
        <v>34</v>
      </c>
      <c r="CP24">
        <v>46093</v>
      </c>
      <c r="CQ24">
        <v>1</v>
      </c>
      <c r="CR24">
        <v>1</v>
      </c>
      <c r="CT24">
        <v>1</v>
      </c>
      <c r="CV24">
        <v>2.5462962962962961E-4</v>
      </c>
      <c r="CW24">
        <v>2.5462962962962961E-4</v>
      </c>
      <c r="CX24">
        <v>0.22320601851851851</v>
      </c>
      <c r="CY24">
        <v>0.13106481481481483</v>
      </c>
      <c r="CZ24">
        <v>155</v>
      </c>
      <c r="DA24">
        <v>191</v>
      </c>
      <c r="DB24">
        <v>10</v>
      </c>
      <c r="DC24">
        <v>1.8</v>
      </c>
      <c r="DD24">
        <v>32095</v>
      </c>
      <c r="DE24">
        <v>6.4500000000000002E-2</v>
      </c>
      <c r="DF24">
        <v>2</v>
      </c>
      <c r="DG24">
        <v>0.2</v>
      </c>
      <c r="DH24">
        <v>26650</v>
      </c>
      <c r="DI24">
        <v>13325</v>
      </c>
      <c r="DJ24">
        <v>26650</v>
      </c>
      <c r="DK24">
        <v>1</v>
      </c>
      <c r="DL24">
        <v>0.32219999999999999</v>
      </c>
      <c r="DM24">
        <v>100</v>
      </c>
      <c r="DN24">
        <v>13325</v>
      </c>
    </row>
    <row r="25" spans="1:118" x14ac:dyDescent="0.25">
      <c r="A25" s="34" t="str" cm="1">
        <f t="array" ref="A25">IFERROR(VLOOKUP(D1_MARZO_202655[[#This Row],[ASESOR_CRR]],_xlfn._xlws.FILTER(PLANTILLA[[ASESOR]:[FECHA DE CESE]],PLANTILLA[FECHA]=_xlfn.CONCAT($M$3,"_",_xlfn.IFS($N$3="ENERO","1",$N$3="FEBRERO","2",$N$3="MARZO","3",$N$3="ABRIL","4",$N$3="MAYO","5",$N$3="JUNIO","6",$N$3="JULIO","7",$N$3="AGOSTO","8",$N$3="SETIEMBRE","9",$N$3="OCTUBRE","10",$N$3="NOVIEMBRE","11",$N$3="DICIEMBRE","12"))),3,0),"")</f>
        <v>SANDY</v>
      </c>
      <c r="B25" s="34" t="str" cm="1">
        <f t="array" ref="B25">TRIM(IFERROR(_xlfn.IFS(D1_MARZO_202655[[#This Row],[ASESOR]]="ELVIS GUERRA","ELVIS GUERRERA",D1_MARZO_202655[[#This Row],[ASESOR]]="GENESIS VICUÑA","GENESIS VICUNA",D1_MARZO_202655[[#This Row],[ASESOR]]="JENY QUIÑONES","JENY QUINONES",D1_MARZO_202655[[#This Row],[ASESOR]]="NICOLE CAURURO","NICOLE CAURURO"),D1_MARZO_202655[[#This Row],[ASESOR]]))</f>
        <v>VICTOR RAMIREZ</v>
      </c>
      <c r="C25" s="34" cm="1">
        <f t="array" ref="C25">_xlfn.XLOOKUP(1,(TablaMeta[CONCAT]=$M$3&amp;$N$3&amp;D1_MARZO_202655[[#This Row],[SUPER]])*(TablaMeta[SEGG]=D1_MARZO_202655[[#This Row],[SEGMENTO]]),TablaMeta[Meta_Asesor])</f>
        <v>94000</v>
      </c>
      <c r="D25" s="35">
        <f>IF(D1_MARZO_202655[[#This Row],[RECUPERO]]="VACACIONES","VACACIONES",IFERROR(D1_MARZO_202655[[#This Row],[RECUPERO]]/D1_MARZO_202655[[#This Row],[META]],""))</f>
        <v>1.0562570212765958</v>
      </c>
      <c r="E25" s="35" t="str">
        <f>D1_MARZO_202655[[#This Row],[SUPER]]</f>
        <v>SANDY</v>
      </c>
      <c r="F25" t="s">
        <v>76</v>
      </c>
      <c r="G25" s="36">
        <v>99288.16</v>
      </c>
      <c r="H25" cm="1">
        <f t="array" ref="H25">IFERROR(VLOOKUP(D1_MARZO_202655[[#This Row],[ASESOR_CRR]],_xlfn._xlws.FILTER(PLANTILLA[[ASESOR]:[FECHA DE CESE]],PLANTILLA[FECHA]=_xlfn.CONCAT($M$3,"_",_xlfn.IFS($N$3="ENERO","1",$N$3="FEBRERO","2",$N$3="MARZO","3",$N$3="ABRIL","4",$N$3="MAYO","5",$N$3="JUNIO","6",$N$3="JULIO","7",$N$3="AGOSTO","8",$N$3="SETIEMBRE","9",$N$3="OCTUBRE","10",$N$3="NOVIEMBRE","11",$N$3="DICIEMBRE","12"))),2,0),"")</f>
        <v>60914051</v>
      </c>
      <c r="I25" s="55" cm="1">
        <f t="array" ref="I25">IFERROR(VLOOKUP(D1_MARZO_202655[[#This Row],[ASESOR_CRR]],_xlfn._xlws.FILTER(PLANTILLA[[ASESOR]:[FECHA DE CESE]],PLANTILLA[FECHA]=_xlfn.CONCAT($M$3,"_",_xlfn.IFS($N$3="ENERO","1",$N$3="FEBRERO","2",$N$3="MARZO","3",$N$3="ABRIL","4",$N$3="MAYO","5",$N$3="JUNIO","6",$N$3="JULIO","7",$N$3="AGOSTO","8",$N$3="SETIEMBRE","9",$N$3="OCTUBRE","10",$N$3="NOVIEMBRE","11",$N$3="DICIEMBRE","12"))),6,0),"")</f>
        <v>44817</v>
      </c>
      <c r="J25" s="55" t="str" cm="1">
        <f t="array" ref="J25">IFERROR(VLOOKUP(D1_MARZO_202655[[#This Row],[ASESOR_CRR]],_xlfn._xlws.FILTER(PLANTILLA[[ASESOR]:[FECHA DE CESE]],PLANTILLA[FECHA]=_xlfn.CONCAT($M$3,"_",_xlfn.IFS($N$3="ENERO","1",$N$3="FEBRERO","2",$N$3="MARZO","3",$N$3="ABRIL","4",$N$3="MAYO","5",$N$3="JUNIO","6",$N$3="JULIO","7",$N$3="AGOSTO","8",$N$3="SETIEMBRE","9",$N$3="OCTUBRE","10",$N$3="NOVIEMBRE","11",$N$3="DICIEMBRE","12"))),4,0),"")</f>
        <v>CALL</v>
      </c>
      <c r="K25" s="55" t="str" cm="1">
        <f t="array" ref="K25">IFERROR(VLOOKUP(D1_MARZO_202655[[#This Row],[ASESOR_CRR]],_xlfn._xlws.FILTER(PLANTILLA[[ASESOR]:[FECHA DE CESE]],PLANTILLA[FECHA]=_xlfn.CONCAT($M$3,"_",_xlfn.IFS($N$3="ENERO","1",$N$3="FEBRERO","2",$N$3="MARZO","3",$N$3="ABRIL","4",$N$3="MAYO","5",$N$3="JUNIO","6",$N$3="JULIO","7",$N$3="AGOSTO","8",$N$3="SETIEMBRE","9",$N$3="OCTUBRE","10",$N$3="NOVIEMBRE","11",$N$3="DICIEMBRE","12"))),8,0),"")</f>
        <v>S0 - BBVA</v>
      </c>
      <c r="L25" s="55"/>
      <c r="M25" s="5">
        <f>DATA_MARZO_202651[[#This Row],[RECUPERO]]/DATA_MARZO_202651[[#This Row],[META]]</f>
        <v>0.71762295081967209</v>
      </c>
      <c r="N25" s="5">
        <f>6-ROUNDUP(_xlfn.RANK.EQ(DATA_MARZO_202651[[#This Row],[AL_AC]],DATA_MARZO_202651[AL_AC],0)/(COUNTA(DATA_MARZO_202651[AL_AC])/5),0)</f>
        <v>2</v>
      </c>
      <c r="O25" s="54" t="str">
        <f>IFERROR(VLOOKUP(DATA_MARZO_202651[[#This Row],[ASER_]],$B:$G,4,0),"")</f>
        <v>KENNETH</v>
      </c>
      <c r="P25" s="6">
        <f>SUM(DATA_MARZO_202651[[#This Row],[1]:[30]])</f>
        <v>21887.5</v>
      </c>
      <c r="Q25" s="6">
        <f>VLOOKUP(DATA_MARZO_202651[[#This Row],[ASER_]],D1_MARZO_202655[[ASESOR_CRR]:[META]],2,0)</f>
        <v>30500</v>
      </c>
      <c r="R25" t="s">
        <v>105</v>
      </c>
      <c r="S25" s="45"/>
      <c r="V25">
        <v>1200</v>
      </c>
      <c r="W25">
        <v>252.5</v>
      </c>
      <c r="AC25">
        <v>605</v>
      </c>
      <c r="AD25">
        <v>550</v>
      </c>
      <c r="AG25">
        <v>420</v>
      </c>
      <c r="AI25">
        <v>6500</v>
      </c>
      <c r="AK25">
        <v>1000</v>
      </c>
      <c r="AN25">
        <v>2600</v>
      </c>
      <c r="AU25">
        <v>8760</v>
      </c>
      <c r="AV25" s="54" t="str" cm="1">
        <f t="array" ref="AV25">IFERROR(VLOOKUP(DATA_MARZO_202651[[#This Row],[ASER_]],_xlfn._xlws.FILTER(PLANTILLA[[ASESOR]:[FECHA DE CESE]],PLANTILLA[FECHA]=_xlfn.CONCAT($M$3,"_",_xlfn.IFS($N$3="ENERO","1",$N$3="FEBRERO","2",$N$3="MARZO","3",$N$3="ABRIL","4",$N$3="MAYO","5",$N$3="JUNIO","6",$N$3="JULIO","7",$N$3="AGOSTO","8",$N$3="SETIEMBRE","9",$N$3="OCTUBRE","10",$N$3="NOVIEMBRE","11",$N$3="DICIEMBRE","12"))),8,0),"")</f>
        <v>S0 - IBK</v>
      </c>
      <c r="CM25" t="s">
        <v>636</v>
      </c>
      <c r="CN25" t="s">
        <v>7</v>
      </c>
      <c r="CO25" t="s">
        <v>41</v>
      </c>
      <c r="CP25">
        <v>46099</v>
      </c>
      <c r="CQ25">
        <v>1</v>
      </c>
      <c r="CR25">
        <v>1</v>
      </c>
      <c r="CT25">
        <v>1</v>
      </c>
      <c r="CV25">
        <v>5.0925925925925921E-4</v>
      </c>
      <c r="CW25">
        <v>5.0925925925925921E-4</v>
      </c>
      <c r="CX25">
        <v>0.17061342592592593</v>
      </c>
      <c r="CY25">
        <v>0.17248842592592592</v>
      </c>
      <c r="CZ25">
        <v>74</v>
      </c>
      <c r="DA25">
        <v>176</v>
      </c>
      <c r="DB25">
        <v>19</v>
      </c>
      <c r="DC25" t="s">
        <v>725</v>
      </c>
      <c r="DD25">
        <v>12270</v>
      </c>
      <c r="DE25">
        <v>0.25679999999999997</v>
      </c>
      <c r="DF25">
        <v>1</v>
      </c>
      <c r="DG25">
        <v>5.2600000000000001E-2</v>
      </c>
      <c r="DH25">
        <v>900</v>
      </c>
      <c r="DI25">
        <v>900</v>
      </c>
      <c r="DM25">
        <v>100</v>
      </c>
    </row>
    <row r="26" spans="1:118" x14ac:dyDescent="0.25">
      <c r="A26" s="34" t="str" cm="1">
        <f t="array" ref="A26">IFERROR(VLOOKUP(D1_MARZO_202655[[#This Row],[ASESOR_CRR]],_xlfn._xlws.FILTER(PLANTILLA[[ASESOR]:[FECHA DE CESE]],PLANTILLA[FECHA]=_xlfn.CONCAT($M$3,"_",_xlfn.IFS($N$3="ENERO","1",$N$3="FEBRERO","2",$N$3="MARZO","3",$N$3="ABRIL","4",$N$3="MAYO","5",$N$3="JUNIO","6",$N$3="JULIO","7",$N$3="AGOSTO","8",$N$3="SETIEMBRE","9",$N$3="OCTUBRE","10",$N$3="NOVIEMBRE","11",$N$3="DICIEMBRE","12"))),3,0),"")</f>
        <v>SANDY</v>
      </c>
      <c r="B26" s="34" t="str" cm="1">
        <f t="array" ref="B26">TRIM(IFERROR(_xlfn.IFS(D1_MARZO_202655[[#This Row],[ASESOR]]="ELVIS GUERRA","ELVIS GUERRERA",D1_MARZO_202655[[#This Row],[ASESOR]]="GENESIS VICUÑA","GENESIS VICUNA",D1_MARZO_202655[[#This Row],[ASESOR]]="JENY QUIÑONES","JENY QUINONES",D1_MARZO_202655[[#This Row],[ASESOR]]="NICOLE CAURURO","NICOLE CAURURO"),D1_MARZO_202655[[#This Row],[ASESOR]]))</f>
        <v>URSULA CENTENO</v>
      </c>
      <c r="C26" s="34" cm="1">
        <f t="array" ref="C26">_xlfn.XLOOKUP(1,(TablaMeta[CONCAT]=$M$3&amp;$N$3&amp;D1_MARZO_202655[[#This Row],[SUPER]])*(TablaMeta[SEGG]=D1_MARZO_202655[[#This Row],[SEGMENTO]]),TablaMeta[Meta_Asesor])</f>
        <v>94000</v>
      </c>
      <c r="D26" s="35">
        <f>IF(D1_MARZO_202655[[#This Row],[RECUPERO]]="VACACIONES","VACACIONES",IFERROR(D1_MARZO_202655[[#This Row],[RECUPERO]]/D1_MARZO_202655[[#This Row],[META]],""))</f>
        <v>0.78362872340425538</v>
      </c>
      <c r="E26" s="35" t="str">
        <f>D1_MARZO_202655[[#This Row],[SUPER]]</f>
        <v>SANDY</v>
      </c>
      <c r="F26" t="s">
        <v>78</v>
      </c>
      <c r="G26" s="36">
        <v>73661.100000000006</v>
      </c>
      <c r="H26" cm="1">
        <f t="array" ref="H26">IFERROR(VLOOKUP(D1_MARZO_202655[[#This Row],[ASESOR_CRR]],_xlfn._xlws.FILTER(PLANTILLA[[ASESOR]:[FECHA DE CESE]],PLANTILLA[FECHA]=_xlfn.CONCAT($M$3,"_",_xlfn.IFS($N$3="ENERO","1",$N$3="FEBRERO","2",$N$3="MARZO","3",$N$3="ABRIL","4",$N$3="MAYO","5",$N$3="JUNIO","6",$N$3="JULIO","7",$N$3="AGOSTO","8",$N$3="SETIEMBRE","9",$N$3="OCTUBRE","10",$N$3="NOVIEMBRE","11",$N$3="DICIEMBRE","12"))),2,0),"")</f>
        <v>10706451</v>
      </c>
      <c r="I26" s="55" cm="1">
        <f t="array" ref="I26">IFERROR(VLOOKUP(D1_MARZO_202655[[#This Row],[ASESOR_CRR]],_xlfn._xlws.FILTER(PLANTILLA[[ASESOR]:[FECHA DE CESE]],PLANTILLA[FECHA]=_xlfn.CONCAT($M$3,"_",_xlfn.IFS($N$3="ENERO","1",$N$3="FEBRERO","2",$N$3="MARZO","3",$N$3="ABRIL","4",$N$3="MAYO","5",$N$3="JUNIO","6",$N$3="JULIO","7",$N$3="AGOSTO","8",$N$3="SETIEMBRE","9",$N$3="OCTUBRE","10",$N$3="NOVIEMBRE","11",$N$3="DICIEMBRE","12"))),6,0),"")</f>
        <v>44943</v>
      </c>
      <c r="J26" s="55" t="str" cm="1">
        <f t="array" ref="J26">IFERROR(VLOOKUP(D1_MARZO_202655[[#This Row],[ASESOR_CRR]],_xlfn._xlws.FILTER(PLANTILLA[[ASESOR]:[FECHA DE CESE]],PLANTILLA[FECHA]=_xlfn.CONCAT($M$3,"_",_xlfn.IFS($N$3="ENERO","1",$N$3="FEBRERO","2",$N$3="MARZO","3",$N$3="ABRIL","4",$N$3="MAYO","5",$N$3="JUNIO","6",$N$3="JULIO","7",$N$3="AGOSTO","8",$N$3="SETIEMBRE","9",$N$3="OCTUBRE","10",$N$3="NOVIEMBRE","11",$N$3="DICIEMBRE","12"))),4,0),"")</f>
        <v>CALL</v>
      </c>
      <c r="K26" s="55" t="str" cm="1">
        <f t="array" ref="K26">IFERROR(VLOOKUP(D1_MARZO_202655[[#This Row],[ASESOR_CRR]],_xlfn._xlws.FILTER(PLANTILLA[[ASESOR]:[FECHA DE CESE]],PLANTILLA[FECHA]=_xlfn.CONCAT($M$3,"_",_xlfn.IFS($N$3="ENERO","1",$N$3="FEBRERO","2",$N$3="MARZO","3",$N$3="ABRIL","4",$N$3="MAYO","5",$N$3="JUNIO","6",$N$3="JULIO","7",$N$3="AGOSTO","8",$N$3="SETIEMBRE","9",$N$3="OCTUBRE","10",$N$3="NOVIEMBRE","11",$N$3="DICIEMBRE","12"))),8,0),"")</f>
        <v>S0 - BBVA</v>
      </c>
      <c r="L26" s="55"/>
      <c r="M26" s="5">
        <f>DATA_MARZO_202651[[#This Row],[RECUPERO]]/DATA_MARZO_202651[[#This Row],[META]]</f>
        <v>0.73713846153846152</v>
      </c>
      <c r="N26" s="5">
        <f>6-ROUNDUP(_xlfn.RANK.EQ(DATA_MARZO_202651[[#This Row],[AL_AC]],DATA_MARZO_202651[AL_AC],0)/(COUNTA(DATA_MARZO_202651[AL_AC])/5),0)</f>
        <v>3</v>
      </c>
      <c r="O26" s="54" t="str">
        <f>IFERROR(VLOOKUP(DATA_MARZO_202651[[#This Row],[ASER_]],$B:$G,4,0),"")</f>
        <v>SANDY</v>
      </c>
      <c r="P26" s="6">
        <f>SUM(DATA_MARZO_202651[[#This Row],[1]:[30]])</f>
        <v>23957</v>
      </c>
      <c r="Q26" s="6">
        <f>VLOOKUP(DATA_MARZO_202651[[#This Row],[ASER_]],D1_MARZO_202655[[ASESOR_CRR]:[META]],2,0)</f>
        <v>32500</v>
      </c>
      <c r="R26" t="s">
        <v>493</v>
      </c>
      <c r="V26">
        <v>10300</v>
      </c>
      <c r="AA26">
        <v>900</v>
      </c>
      <c r="AB26">
        <v>2000</v>
      </c>
      <c r="AH26">
        <v>1000</v>
      </c>
      <c r="AJ26">
        <v>300</v>
      </c>
      <c r="AK26">
        <v>500</v>
      </c>
      <c r="AP26">
        <v>400</v>
      </c>
      <c r="AQ26">
        <v>597</v>
      </c>
      <c r="AR26">
        <v>5390</v>
      </c>
      <c r="AS26">
        <v>2570</v>
      </c>
      <c r="AV26" s="54" t="str" cm="1">
        <f t="array" ref="AV26">IFERROR(VLOOKUP(DATA_MARZO_202651[[#This Row],[ASER_]],_xlfn._xlws.FILTER(PLANTILLA[[ASESOR]:[FECHA DE CESE]],PLANTILLA[FECHA]=_xlfn.CONCAT($M$3,"_",_xlfn.IFS($N$3="ENERO","1",$N$3="FEBRERO","2",$N$3="MARZO","3",$N$3="ABRIL","4",$N$3="MAYO","5",$N$3="JUNIO","6",$N$3="JULIO","7",$N$3="AGOSTO","8",$N$3="SETIEMBRE","9",$N$3="OCTUBRE","10",$N$3="NOVIEMBRE","11",$N$3="DICIEMBRE","12"))),8,0),"")</f>
        <v>S0 - IBK</v>
      </c>
      <c r="CM26" t="s">
        <v>636</v>
      </c>
      <c r="CN26" t="s">
        <v>7</v>
      </c>
      <c r="CO26" t="s">
        <v>51</v>
      </c>
      <c r="CP26">
        <v>46097</v>
      </c>
      <c r="CQ26">
        <v>1</v>
      </c>
      <c r="CR26">
        <v>1</v>
      </c>
      <c r="CT26">
        <v>1</v>
      </c>
      <c r="CV26">
        <v>6.3657407407407413E-4</v>
      </c>
      <c r="CW26">
        <v>6.3657407407407413E-4</v>
      </c>
      <c r="CX26">
        <v>0.28072916666666664</v>
      </c>
      <c r="CY26">
        <v>0.10505787037037037</v>
      </c>
      <c r="CZ26">
        <v>65</v>
      </c>
      <c r="DA26">
        <v>142</v>
      </c>
      <c r="DB26">
        <v>18</v>
      </c>
      <c r="DC26" t="s">
        <v>749</v>
      </c>
      <c r="DD26">
        <v>13213</v>
      </c>
      <c r="DE26">
        <v>0.27689999999999998</v>
      </c>
      <c r="DF26">
        <v>2</v>
      </c>
      <c r="DG26">
        <v>0.1111</v>
      </c>
      <c r="DH26">
        <v>4700</v>
      </c>
      <c r="DI26">
        <v>2350</v>
      </c>
      <c r="DJ26">
        <v>4500</v>
      </c>
      <c r="DK26">
        <v>0.95740000000000003</v>
      </c>
      <c r="DL26">
        <v>0.1109</v>
      </c>
      <c r="DM26">
        <v>100</v>
      </c>
      <c r="DN26">
        <v>4500</v>
      </c>
    </row>
    <row r="27" spans="1:118" x14ac:dyDescent="0.25">
      <c r="A27" s="34" t="str" cm="1">
        <f t="array" ref="A27">IFERROR(VLOOKUP(D1_MARZO_202655[[#This Row],[ASESOR_CRR]],_xlfn._xlws.FILTER(PLANTILLA[[ASESOR]:[FECHA DE CESE]],PLANTILLA[FECHA]=_xlfn.CONCAT($M$3,"_",_xlfn.IFS($N$3="ENERO","1",$N$3="FEBRERO","2",$N$3="MARZO","3",$N$3="ABRIL","4",$N$3="MAYO","5",$N$3="JUNIO","6",$N$3="JULIO","7",$N$3="AGOSTO","8",$N$3="SETIEMBRE","9",$N$3="OCTUBRE","10",$N$3="NOVIEMBRE","11",$N$3="DICIEMBRE","12"))),3,0),"")</f>
        <v>LEONOR</v>
      </c>
      <c r="B27" s="34" t="str" cm="1">
        <f t="array" ref="B27">TRIM(IFERROR(_xlfn.IFS(D1_MARZO_202655[[#This Row],[ASESOR]]="ELVIS GUERRA","ELVIS GUERRERA",D1_MARZO_202655[[#This Row],[ASESOR]]="GENESIS VICUÑA","GENESIS VICUNA",D1_MARZO_202655[[#This Row],[ASESOR]]="JENY QUIÑONES","JENY QUINONES",D1_MARZO_202655[[#This Row],[ASESOR]]="NICOLE CAURURO","NICOLE CAURURO"),D1_MARZO_202655[[#This Row],[ASESOR]]))</f>
        <v>ERIKA PANTA</v>
      </c>
      <c r="C27" s="34" cm="1">
        <f t="array" ref="C27">_xlfn.XLOOKUP(1,(TablaMeta[CONCAT]=$M$3&amp;$N$3&amp;D1_MARZO_202655[[#This Row],[SUPER]])*(TablaMeta[SEGG]=D1_MARZO_202655[[#This Row],[SEGMENTO]]),TablaMeta[Meta_Asesor])</f>
        <v>16000</v>
      </c>
      <c r="D27" s="35">
        <f>IF(D1_MARZO_202655[[#This Row],[RECUPERO]]="VACACIONES","VACACIONES",IFERROR(D1_MARZO_202655[[#This Row],[RECUPERO]]/D1_MARZO_202655[[#This Row],[META]],""))</f>
        <v>1.1184375</v>
      </c>
      <c r="E27" s="35" t="str">
        <f>D1_MARZO_202655[[#This Row],[SUPER]]</f>
        <v>LEONOR</v>
      </c>
      <c r="F27" t="s">
        <v>495</v>
      </c>
      <c r="G27" s="36">
        <v>17895</v>
      </c>
      <c r="H27" cm="1">
        <f t="array" ref="H27">IFERROR(VLOOKUP(D1_MARZO_202655[[#This Row],[ASESOR_CRR]],_xlfn._xlws.FILTER(PLANTILLA[[ASESOR]:[FECHA DE CESE]],PLANTILLA[FECHA]=_xlfn.CONCAT($M$3,"_",_xlfn.IFS($N$3="ENERO","1",$N$3="FEBRERO","2",$N$3="MARZO","3",$N$3="ABRIL","4",$N$3="MAYO","5",$N$3="JUNIO","6",$N$3="JULIO","7",$N$3="AGOSTO","8",$N$3="SETIEMBRE","9",$N$3="OCTUBRE","10",$N$3="NOVIEMBRE","11",$N$3="DICIEMBRE","12"))),2,0),"")</f>
        <v>62792399</v>
      </c>
      <c r="I27" s="55" cm="1">
        <f t="array" ref="I27">IFERROR(VLOOKUP(D1_MARZO_202655[[#This Row],[ASESOR_CRR]],_xlfn._xlws.FILTER(PLANTILLA[[ASESOR]:[FECHA DE CESE]],PLANTILLA[FECHA]=_xlfn.CONCAT($M$3,"_",_xlfn.IFS($N$3="ENERO","1",$N$3="FEBRERO","2",$N$3="MARZO","3",$N$3="ABRIL","4",$N$3="MAYO","5",$N$3="JUNIO","6",$N$3="JULIO","7",$N$3="AGOSTO","8",$N$3="SETIEMBRE","9",$N$3="OCTUBRE","10",$N$3="NOVIEMBRE","11",$N$3="DICIEMBRE","12"))),6,0),"")</f>
        <v>46052</v>
      </c>
      <c r="J27" s="55" t="str" cm="1">
        <f t="array" ref="J27">IFERROR(VLOOKUP(D1_MARZO_202655[[#This Row],[ASESOR_CRR]],_xlfn._xlws.FILTER(PLANTILLA[[ASESOR]:[FECHA DE CESE]],PLANTILLA[FECHA]=_xlfn.CONCAT($M$3,"_",_xlfn.IFS($N$3="ENERO","1",$N$3="FEBRERO","2",$N$3="MARZO","3",$N$3="ABRIL","4",$N$3="MAYO","5",$N$3="JUNIO","6",$N$3="JULIO","7",$N$3="AGOSTO","8",$N$3="SETIEMBRE","9",$N$3="OCTUBRE","10",$N$3="NOVIEMBRE","11",$N$3="DICIEMBRE","12"))),4,0),"")</f>
        <v>CALL</v>
      </c>
      <c r="K27" s="55" t="str" cm="1">
        <f t="array" ref="K27">IFERROR(VLOOKUP(D1_MARZO_202655[[#This Row],[ASESOR_CRR]],_xlfn._xlws.FILTER(PLANTILLA[[ASESOR]:[FECHA DE CESE]],PLANTILLA[FECHA]=_xlfn.CONCAT($M$3,"_",_xlfn.IFS($N$3="ENERO","1",$N$3="FEBRERO","2",$N$3="MARZO","3",$N$3="ABRIL","4",$N$3="MAYO","5",$N$3="JUNIO","6",$N$3="JULIO","7",$N$3="AGOSTO","8",$N$3="SETIEMBRE","9",$N$3="OCTUBRE","10",$N$3="NOVIEMBRE","11",$N$3="DICIEMBRE","12"))),8,0),"")</f>
        <v>S2-3-4 MIX</v>
      </c>
      <c r="L27" s="55"/>
      <c r="M27" s="5">
        <f>DATA_MARZO_202651[[#This Row],[RECUPERO]]/DATA_MARZO_202651[[#This Row],[META]]</f>
        <v>0.51210714285714287</v>
      </c>
      <c r="N27" s="5">
        <f>6-ROUNDUP(_xlfn.RANK.EQ(DATA_MARZO_202651[[#This Row],[AL_AC]],DATA_MARZO_202651[AL_AC],0)/(COUNTA(DATA_MARZO_202651[AL_AC])/5),0)</f>
        <v>2</v>
      </c>
      <c r="O27" s="54" t="str">
        <f>IFERROR(VLOOKUP(DATA_MARZO_202651[[#This Row],[ASER_]],$B:$G,4,0),"")</f>
        <v>JOHAN</v>
      </c>
      <c r="P27" s="6">
        <f>SUM(DATA_MARZO_202651[[#This Row],[1]:[30]])</f>
        <v>28678</v>
      </c>
      <c r="Q27" s="6">
        <f>VLOOKUP(DATA_MARZO_202651[[#This Row],[ASER_]],D1_MARZO_202655[[ASESOR_CRR]:[META]],2,0)</f>
        <v>56000</v>
      </c>
      <c r="R27" t="s">
        <v>12</v>
      </c>
      <c r="V27">
        <v>3800</v>
      </c>
      <c r="X27">
        <v>3500</v>
      </c>
      <c r="AB27">
        <v>1500</v>
      </c>
      <c r="AG27">
        <v>3000</v>
      </c>
      <c r="AH27">
        <v>3078</v>
      </c>
      <c r="AI27">
        <v>1850</v>
      </c>
      <c r="AJ27">
        <v>500</v>
      </c>
      <c r="AK27">
        <v>350</v>
      </c>
      <c r="AP27">
        <v>3500</v>
      </c>
      <c r="AQ27">
        <v>2500</v>
      </c>
      <c r="AR27">
        <v>2500</v>
      </c>
      <c r="AU27">
        <v>2600</v>
      </c>
      <c r="AV27" s="54" t="str" cm="1">
        <f t="array" ref="AV27">IFERROR(VLOOKUP(DATA_MARZO_202651[[#This Row],[ASER_]],_xlfn._xlws.FILTER(PLANTILLA[[ASESOR]:[FECHA DE CESE]],PLANTILLA[FECHA]=_xlfn.CONCAT($M$3,"_",_xlfn.IFS($N$3="ENERO","1",$N$3="FEBRERO","2",$N$3="MARZO","3",$N$3="ABRIL","4",$N$3="MAYO","5",$N$3="JUNIO","6",$N$3="JULIO","7",$N$3="AGOSTO","8",$N$3="SETIEMBRE","9",$N$3="OCTUBRE","10",$N$3="NOVIEMBRE","11",$N$3="DICIEMBRE","12"))),8,0),"")</f>
        <v>S1</v>
      </c>
      <c r="CM27" t="s">
        <v>636</v>
      </c>
      <c r="CN27" t="s">
        <v>7</v>
      </c>
      <c r="CO27" t="s">
        <v>51</v>
      </c>
      <c r="CP27">
        <v>46105</v>
      </c>
      <c r="CQ27">
        <v>1</v>
      </c>
      <c r="CR27">
        <v>1</v>
      </c>
      <c r="CT27">
        <v>1</v>
      </c>
      <c r="CV27">
        <v>0</v>
      </c>
      <c r="CW27">
        <v>0</v>
      </c>
      <c r="CX27">
        <v>0.24043981481481483</v>
      </c>
      <c r="CY27">
        <v>0.144375</v>
      </c>
      <c r="CZ27">
        <v>137</v>
      </c>
      <c r="DA27">
        <v>236</v>
      </c>
      <c r="DB27">
        <v>24</v>
      </c>
      <c r="DC27">
        <v>1.625</v>
      </c>
      <c r="DD27">
        <v>25696</v>
      </c>
      <c r="DE27">
        <v>0.17519999999999999</v>
      </c>
      <c r="DF27">
        <v>2</v>
      </c>
      <c r="DG27">
        <v>8.3299999999999999E-2</v>
      </c>
      <c r="DH27">
        <v>3100</v>
      </c>
      <c r="DI27">
        <v>1550</v>
      </c>
      <c r="DJ27">
        <v>3100</v>
      </c>
      <c r="DK27">
        <v>1</v>
      </c>
      <c r="DL27">
        <v>0.2366</v>
      </c>
      <c r="DM27">
        <v>100</v>
      </c>
      <c r="DN27">
        <v>1550</v>
      </c>
    </row>
    <row r="28" spans="1:118" x14ac:dyDescent="0.25">
      <c r="A28" s="34" t="str" cm="1">
        <f t="array" ref="A28">IFERROR(VLOOKUP(D1_MARZO_202655[[#This Row],[ASESOR_CRR]],_xlfn._xlws.FILTER(PLANTILLA[[ASESOR]:[FECHA DE CESE]],PLANTILLA[FECHA]=_xlfn.CONCAT($M$3,"_",_xlfn.IFS($N$3="ENERO","1",$N$3="FEBRERO","2",$N$3="MARZO","3",$N$3="ABRIL","4",$N$3="MAYO","5",$N$3="JUNIO","6",$N$3="JULIO","7",$N$3="AGOSTO","8",$N$3="SETIEMBRE","9",$N$3="OCTUBRE","10",$N$3="NOVIEMBRE","11",$N$3="DICIEMBRE","12"))),3,0),"")</f>
        <v>LEONOR</v>
      </c>
      <c r="B28" s="34" t="str" cm="1">
        <f t="array" ref="B28">TRIM(IFERROR(_xlfn.IFS(D1_MARZO_202655[[#This Row],[ASESOR]]="ELVIS GUERRA","ELVIS GUERRERA",D1_MARZO_202655[[#This Row],[ASESOR]]="GENESIS VICUÑA","GENESIS VICUNA",D1_MARZO_202655[[#This Row],[ASESOR]]="JENY QUIÑONES","JENY QUINONES",D1_MARZO_202655[[#This Row],[ASESOR]]="NICOLE CAURURO","NICOLE CAURURO"),D1_MARZO_202655[[#This Row],[ASESOR]]))</f>
        <v>JOSELIN MONTALVO</v>
      </c>
      <c r="C28" s="34" cm="1">
        <f t="array" ref="C28">_xlfn.XLOOKUP(1,(TablaMeta[CONCAT]=$M$3&amp;$N$3&amp;D1_MARZO_202655[[#This Row],[SUPER]])*(TablaMeta[SEGG]=D1_MARZO_202655[[#This Row],[SEGMENTO]]),TablaMeta[Meta_Asesor])</f>
        <v>16000</v>
      </c>
      <c r="D28" s="35">
        <f>IF(D1_MARZO_202655[[#This Row],[RECUPERO]]="VACACIONES","VACACIONES",IFERROR(D1_MARZO_202655[[#This Row],[RECUPERO]]/D1_MARZO_202655[[#This Row],[META]],""))</f>
        <v>0.65249999999999997</v>
      </c>
      <c r="E28" s="35" t="str">
        <f>D1_MARZO_202655[[#This Row],[SUPER]]</f>
        <v>LEONOR</v>
      </c>
      <c r="F28" t="s">
        <v>549</v>
      </c>
      <c r="G28" s="36">
        <v>10440</v>
      </c>
      <c r="H28" cm="1">
        <f t="array" ref="H28">IFERROR(VLOOKUP(D1_MARZO_202655[[#This Row],[ASESOR_CRR]],_xlfn._xlws.FILTER(PLANTILLA[[ASESOR]:[FECHA DE CESE]],PLANTILLA[FECHA]=_xlfn.CONCAT($M$3,"_",_xlfn.IFS($N$3="ENERO","1",$N$3="FEBRERO","2",$N$3="MARZO","3",$N$3="ABRIL","4",$N$3="MAYO","5",$N$3="JUNIO","6",$N$3="JULIO","7",$N$3="AGOSTO","8",$N$3="SETIEMBRE","9",$N$3="OCTUBRE","10",$N$3="NOVIEMBRE","11",$N$3="DICIEMBRE","12"))),2,0),"")</f>
        <v>73233992</v>
      </c>
      <c r="I28" s="55" cm="1">
        <f t="array" ref="I28">IFERROR(VLOOKUP(D1_MARZO_202655[[#This Row],[ASESOR_CRR]],_xlfn._xlws.FILTER(PLANTILLA[[ASESOR]:[FECHA DE CESE]],PLANTILLA[FECHA]=_xlfn.CONCAT($M$3,"_",_xlfn.IFS($N$3="ENERO","1",$N$3="FEBRERO","2",$N$3="MARZO","3",$N$3="ABRIL","4",$N$3="MAYO","5",$N$3="JUNIO","6",$N$3="JULIO","7",$N$3="AGOSTO","8",$N$3="SETIEMBRE","9",$N$3="OCTUBRE","10",$N$3="NOVIEMBRE","11",$N$3="DICIEMBRE","12"))),6,0),"")</f>
        <v>46065</v>
      </c>
      <c r="J28" s="55" t="str" cm="1">
        <f t="array" ref="J28">IFERROR(VLOOKUP(D1_MARZO_202655[[#This Row],[ASESOR_CRR]],_xlfn._xlws.FILTER(PLANTILLA[[ASESOR]:[FECHA DE CESE]],PLANTILLA[FECHA]=_xlfn.CONCAT($M$3,"_",_xlfn.IFS($N$3="ENERO","1",$N$3="FEBRERO","2",$N$3="MARZO","3",$N$3="ABRIL","4",$N$3="MAYO","5",$N$3="JUNIO","6",$N$3="JULIO","7",$N$3="AGOSTO","8",$N$3="SETIEMBRE","9",$N$3="OCTUBRE","10",$N$3="NOVIEMBRE","11",$N$3="DICIEMBRE","12"))),4,0),"")</f>
        <v>CALL</v>
      </c>
      <c r="K28" s="55" t="str" cm="1">
        <f t="array" ref="K28">IFERROR(VLOOKUP(D1_MARZO_202655[[#This Row],[ASESOR_CRR]],_xlfn._xlws.FILTER(PLANTILLA[[ASESOR]:[FECHA DE CESE]],PLANTILLA[FECHA]=_xlfn.CONCAT($M$3,"_",_xlfn.IFS($N$3="ENERO","1",$N$3="FEBRERO","2",$N$3="MARZO","3",$N$3="ABRIL","4",$N$3="MAYO","5",$N$3="JUNIO","6",$N$3="JULIO","7",$N$3="AGOSTO","8",$N$3="SETIEMBRE","9",$N$3="OCTUBRE","10",$N$3="NOVIEMBRE","11",$N$3="DICIEMBRE","12"))),8,0),"")</f>
        <v>S2-3-4 MIX</v>
      </c>
      <c r="L28" s="55"/>
      <c r="M28" s="5">
        <f>DATA_MARZO_202651[[#This Row],[RECUPERO]]/DATA_MARZO_202651[[#This Row],[META]]</f>
        <v>1.0116571428571428</v>
      </c>
      <c r="N28" s="5">
        <f>6-ROUNDUP(_xlfn.RANK.EQ(DATA_MARZO_202651[[#This Row],[AL_AC]],DATA_MARZO_202651[AL_AC],0)/(COUNTA(DATA_MARZO_202651[AL_AC])/5),0)</f>
        <v>4</v>
      </c>
      <c r="O28" s="54" t="str">
        <f>IFERROR(VLOOKUP(DATA_MARZO_202651[[#This Row],[ASER_]],$B:$G,4,0),"")</f>
        <v>LEONOR</v>
      </c>
      <c r="P28" s="6">
        <f>SUM(DATA_MARZO_202651[[#This Row],[1]:[30]])</f>
        <v>35408</v>
      </c>
      <c r="Q28" s="6">
        <f>VLOOKUP(DATA_MARZO_202651[[#This Row],[ASER_]],D1_MARZO_202655[[ASESOR_CRR]:[META]],2,0)</f>
        <v>35000</v>
      </c>
      <c r="R28" t="s">
        <v>51</v>
      </c>
      <c r="U28" s="45"/>
      <c r="W28">
        <v>600</v>
      </c>
      <c r="X28">
        <v>1000</v>
      </c>
      <c r="Z28">
        <v>13500</v>
      </c>
      <c r="AB28">
        <v>750</v>
      </c>
      <c r="AC28">
        <v>200</v>
      </c>
      <c r="AD28">
        <v>600</v>
      </c>
      <c r="AG28">
        <v>4900</v>
      </c>
      <c r="AH28">
        <v>4823</v>
      </c>
      <c r="AK28">
        <v>500</v>
      </c>
      <c r="AO28">
        <v>3850</v>
      </c>
      <c r="AP28">
        <v>1550</v>
      </c>
      <c r="AQ28">
        <v>135</v>
      </c>
      <c r="AS28">
        <v>300</v>
      </c>
      <c r="AU28">
        <v>2700</v>
      </c>
      <c r="AV28" s="54" t="str" cm="1">
        <f t="array" ref="AV28">IFERROR(VLOOKUP(DATA_MARZO_202651[[#This Row],[ASER_]],_xlfn._xlws.FILTER(PLANTILLA[[ASESOR]:[FECHA DE CESE]],PLANTILLA[FECHA]=_xlfn.CONCAT($M$3,"_",_xlfn.IFS($N$3="ENERO","1",$N$3="FEBRERO","2",$N$3="MARZO","3",$N$3="ABRIL","4",$N$3="MAYO","5",$N$3="JUNIO","6",$N$3="JULIO","7",$N$3="AGOSTO","8",$N$3="SETIEMBRE","9",$N$3="OCTUBRE","10",$N$3="NOVIEMBRE","11",$N$3="DICIEMBRE","12"))),8,0),"")</f>
        <v>S2-3-4 BANCO</v>
      </c>
      <c r="CM28" t="s">
        <v>636</v>
      </c>
      <c r="CN28" t="s">
        <v>7</v>
      </c>
      <c r="CO28" t="s">
        <v>49</v>
      </c>
      <c r="CP28">
        <v>46104</v>
      </c>
      <c r="CQ28">
        <v>1</v>
      </c>
      <c r="CR28">
        <v>1</v>
      </c>
      <c r="CT28">
        <v>1</v>
      </c>
      <c r="CV28">
        <v>1.3773148148148147E-3</v>
      </c>
      <c r="CW28">
        <v>1.3773148148148147E-3</v>
      </c>
      <c r="CX28">
        <v>0.18960648148148149</v>
      </c>
      <c r="CY28">
        <v>0.14060185185185184</v>
      </c>
      <c r="CZ28">
        <v>51</v>
      </c>
      <c r="DA28">
        <v>88</v>
      </c>
      <c r="DB28">
        <v>8</v>
      </c>
      <c r="DC28">
        <v>1.625</v>
      </c>
      <c r="DD28">
        <v>26944</v>
      </c>
      <c r="DE28">
        <v>0.15690000000000001</v>
      </c>
      <c r="DF28">
        <v>1</v>
      </c>
      <c r="DG28">
        <v>0.125</v>
      </c>
      <c r="DH28">
        <v>2000</v>
      </c>
      <c r="DI28">
        <v>2000</v>
      </c>
      <c r="DJ28">
        <v>2882</v>
      </c>
      <c r="DK28">
        <v>1.4410000000000001</v>
      </c>
      <c r="DL28">
        <v>0.1895</v>
      </c>
      <c r="DM28">
        <v>100</v>
      </c>
      <c r="DN28">
        <v>2882</v>
      </c>
    </row>
    <row r="29" spans="1:118" x14ac:dyDescent="0.25">
      <c r="A29" s="34" t="str" cm="1">
        <f t="array" ref="A29">IFERROR(VLOOKUP(D1_MARZO_202655[[#This Row],[ASESOR_CRR]],_xlfn._xlws.FILTER(PLANTILLA[[ASESOR]:[FECHA DE CESE]],PLANTILLA[FECHA]=_xlfn.CONCAT($M$3,"_",_xlfn.IFS($N$3="ENERO","1",$N$3="FEBRERO","2",$N$3="MARZO","3",$N$3="ABRIL","4",$N$3="MAYO","5",$N$3="JUNIO","6",$N$3="JULIO","7",$N$3="AGOSTO","8",$N$3="SETIEMBRE","9",$N$3="OCTUBRE","10",$N$3="NOVIEMBRE","11",$N$3="DICIEMBRE","12"))),3,0),"")</f>
        <v>LEONOR</v>
      </c>
      <c r="B29" s="34" t="str" cm="1">
        <f t="array" ref="B29">TRIM(IFERROR(_xlfn.IFS(D1_MARZO_202655[[#This Row],[ASESOR]]="ELVIS GUERRA","ELVIS GUERRERA",D1_MARZO_202655[[#This Row],[ASESOR]]="GENESIS VICUÑA","GENESIS VICUNA",D1_MARZO_202655[[#This Row],[ASESOR]]="JENY QUIÑONES","JENY QUINONES",D1_MARZO_202655[[#This Row],[ASESOR]]="NICOLE CAURURO","NICOLE CAURURO"),D1_MARZO_202655[[#This Row],[ASESOR]]))</f>
        <v>JESSYKA GARCIA</v>
      </c>
      <c r="C29" s="34" cm="1">
        <f t="array" ref="C29">_xlfn.XLOOKUP(1,(TablaMeta[CONCAT]=$M$3&amp;$N$3&amp;D1_MARZO_202655[[#This Row],[SUPER]])*(TablaMeta[SEGG]=D1_MARZO_202655[[#This Row],[SEGMENTO]]),TablaMeta[Meta_Asesor])</f>
        <v>16000</v>
      </c>
      <c r="D29" s="35">
        <f>IF(D1_MARZO_202655[[#This Row],[RECUPERO]]="VACACIONES","VACACIONES",IFERROR(D1_MARZO_202655[[#This Row],[RECUPERO]]/D1_MARZO_202655[[#This Row],[META]],""))</f>
        <v>0.75437500000000002</v>
      </c>
      <c r="E29" s="35" t="str">
        <f>D1_MARZO_202655[[#This Row],[SUPER]]</f>
        <v>LEONOR</v>
      </c>
      <c r="F29" t="s">
        <v>565</v>
      </c>
      <c r="G29" s="36">
        <v>12070</v>
      </c>
      <c r="H29" cm="1">
        <f t="array" ref="H29">IFERROR(VLOOKUP(D1_MARZO_202655[[#This Row],[ASESOR_CRR]],_xlfn._xlws.FILTER(PLANTILLA[[ASESOR]:[FECHA DE CESE]],PLANTILLA[FECHA]=_xlfn.CONCAT($M$3,"_",_xlfn.IFS($N$3="ENERO","1",$N$3="FEBRERO","2",$N$3="MARZO","3",$N$3="ABRIL","4",$N$3="MAYO","5",$N$3="JUNIO","6",$N$3="JULIO","7",$N$3="AGOSTO","8",$N$3="SETIEMBRE","9",$N$3="OCTUBRE","10",$N$3="NOVIEMBRE","11",$N$3="DICIEMBRE","12"))),2,0),"")</f>
        <v>10762187</v>
      </c>
      <c r="I29" s="55" cm="1">
        <f t="array" ref="I29">IFERROR(VLOOKUP(D1_MARZO_202655[[#This Row],[ASESOR_CRR]],_xlfn._xlws.FILTER(PLANTILLA[[ASESOR]:[FECHA DE CESE]],PLANTILLA[FECHA]=_xlfn.CONCAT($M$3,"_",_xlfn.IFS($N$3="ENERO","1",$N$3="FEBRERO","2",$N$3="MARZO","3",$N$3="ABRIL","4",$N$3="MAYO","5",$N$3="JUNIO","6",$N$3="JULIO","7",$N$3="AGOSTO","8",$N$3="SETIEMBRE","9",$N$3="OCTUBRE","10",$N$3="NOVIEMBRE","11",$N$3="DICIEMBRE","12"))),6,0),"")</f>
        <v>46083</v>
      </c>
      <c r="J29" s="55" t="str" cm="1">
        <f t="array" ref="J29">IFERROR(VLOOKUP(D1_MARZO_202655[[#This Row],[ASESOR_CRR]],_xlfn._xlws.FILTER(PLANTILLA[[ASESOR]:[FECHA DE CESE]],PLANTILLA[FECHA]=_xlfn.CONCAT($M$3,"_",_xlfn.IFS($N$3="ENERO","1",$N$3="FEBRERO","2",$N$3="MARZO","3",$N$3="ABRIL","4",$N$3="MAYO","5",$N$3="JUNIO","6",$N$3="JULIO","7",$N$3="AGOSTO","8",$N$3="SETIEMBRE","9",$N$3="OCTUBRE","10",$N$3="NOVIEMBRE","11",$N$3="DICIEMBRE","12"))),4,0),"")</f>
        <v>CALL</v>
      </c>
      <c r="K29" s="55" t="str" cm="1">
        <f t="array" ref="K29">IFERROR(VLOOKUP(D1_MARZO_202655[[#This Row],[ASESOR_CRR]],_xlfn._xlws.FILTER(PLANTILLA[[ASESOR]:[FECHA DE CESE]],PLANTILLA[FECHA]=_xlfn.CONCAT($M$3,"_",_xlfn.IFS($N$3="ENERO","1",$N$3="FEBRERO","2",$N$3="MARZO","3",$N$3="ABRIL","4",$N$3="MAYO","5",$N$3="JUNIO","6",$N$3="JULIO","7",$N$3="AGOSTO","8",$N$3="SETIEMBRE","9",$N$3="OCTUBRE","10",$N$3="NOVIEMBRE","11",$N$3="DICIEMBRE","12"))),8,0),"")</f>
        <v>S2-3-4 MIX</v>
      </c>
      <c r="L29" s="55"/>
      <c r="M29" s="5">
        <f>DATA_MARZO_202651[[#This Row],[RECUPERO]]/DATA_MARZO_202651[[#This Row],[META]]</f>
        <v>0.73875000000000002</v>
      </c>
      <c r="N29" s="5">
        <f>6-ROUNDUP(_xlfn.RANK.EQ(DATA_MARZO_202651[[#This Row],[AL_AC]],DATA_MARZO_202651[AL_AC],0)/(COUNTA(DATA_MARZO_202651[AL_AC])/5),0)</f>
        <v>3</v>
      </c>
      <c r="O29" s="54" t="str">
        <f>IFERROR(VLOOKUP(DATA_MARZO_202651[[#This Row],[ASER_]],$B:$G,4,0),"")</f>
        <v>JORGE</v>
      </c>
      <c r="P29" s="6">
        <f>SUM(DATA_MARZO_202651[[#This Row],[1]:[30]])</f>
        <v>41370</v>
      </c>
      <c r="Q29" s="6">
        <f>VLOOKUP(DATA_MARZO_202651[[#This Row],[ASER_]],D1_MARZO_202655[[ASESOR_CRR]:[META]],2,0)</f>
        <v>56000</v>
      </c>
      <c r="R29" t="s">
        <v>13</v>
      </c>
      <c r="V29">
        <v>10000</v>
      </c>
      <c r="W29">
        <v>270</v>
      </c>
      <c r="X29">
        <v>400</v>
      </c>
      <c r="Z29">
        <v>700</v>
      </c>
      <c r="AF29">
        <v>1500</v>
      </c>
      <c r="AG29">
        <v>1000</v>
      </c>
      <c r="AH29">
        <v>5000</v>
      </c>
      <c r="AI29">
        <v>8800</v>
      </c>
      <c r="AN29">
        <v>1100</v>
      </c>
      <c r="AP29">
        <v>9500</v>
      </c>
      <c r="AQ29">
        <v>2200</v>
      </c>
      <c r="AS29">
        <v>900</v>
      </c>
      <c r="AV29" s="54" t="str" cm="1">
        <f t="array" ref="AV29">IFERROR(VLOOKUP(DATA_MARZO_202651[[#This Row],[ASER_]],_xlfn._xlws.FILTER(PLANTILLA[[ASESOR]:[FECHA DE CESE]],PLANTILLA[FECHA]=_xlfn.CONCAT($M$3,"_",_xlfn.IFS($N$3="ENERO","1",$N$3="FEBRERO","2",$N$3="MARZO","3",$N$3="ABRIL","4",$N$3="MAYO","5",$N$3="JUNIO","6",$N$3="JULIO","7",$N$3="AGOSTO","8",$N$3="SETIEMBRE","9",$N$3="OCTUBRE","10",$N$3="NOVIEMBRE","11",$N$3="DICIEMBRE","12"))),8,0),"")</f>
        <v>S1</v>
      </c>
      <c r="CM29" t="s">
        <v>636</v>
      </c>
      <c r="CN29" t="s">
        <v>7</v>
      </c>
      <c r="CO29" t="s">
        <v>77</v>
      </c>
      <c r="CP29">
        <v>46099</v>
      </c>
      <c r="CQ29">
        <v>1</v>
      </c>
      <c r="CR29">
        <v>1</v>
      </c>
      <c r="CT29">
        <v>1</v>
      </c>
      <c r="CV29">
        <v>0</v>
      </c>
      <c r="CW29">
        <v>0</v>
      </c>
      <c r="CX29">
        <v>0.18387731481481481</v>
      </c>
      <c r="CY29">
        <v>0.15578703703703703</v>
      </c>
      <c r="CZ29">
        <v>92</v>
      </c>
      <c r="DA29">
        <v>196</v>
      </c>
      <c r="DB29">
        <v>28</v>
      </c>
      <c r="DC29">
        <v>2</v>
      </c>
      <c r="DD29">
        <v>20376</v>
      </c>
      <c r="DE29">
        <v>0.30430000000000001</v>
      </c>
      <c r="DF29">
        <v>1</v>
      </c>
      <c r="DG29">
        <v>3.5700000000000003E-2</v>
      </c>
      <c r="DH29">
        <v>3657</v>
      </c>
      <c r="DI29">
        <v>3657</v>
      </c>
      <c r="DJ29">
        <v>3657</v>
      </c>
      <c r="DK29">
        <v>1</v>
      </c>
      <c r="DL29">
        <v>0.24790000000000001</v>
      </c>
      <c r="DM29">
        <v>100</v>
      </c>
      <c r="DN29">
        <v>3657</v>
      </c>
    </row>
    <row r="30" spans="1:118" x14ac:dyDescent="0.25">
      <c r="A30" s="34" t="str" cm="1">
        <f t="array" ref="A30">IFERROR(VLOOKUP(D1_MARZO_202655[[#This Row],[ASESOR_CRR]],_xlfn._xlws.FILTER(PLANTILLA[[ASESOR]:[FECHA DE CESE]],PLANTILLA[FECHA]=_xlfn.CONCAT($M$3,"_",_xlfn.IFS($N$3="ENERO","1",$N$3="FEBRERO","2",$N$3="MARZO","3",$N$3="ABRIL","4",$N$3="MAYO","5",$N$3="JUNIO","6",$N$3="JULIO","7",$N$3="AGOSTO","8",$N$3="SETIEMBRE","9",$N$3="OCTUBRE","10",$N$3="NOVIEMBRE","11",$N$3="DICIEMBRE","12"))),3,0),"")</f>
        <v>LEONOR</v>
      </c>
      <c r="B30" s="34" t="str" cm="1">
        <f t="array" ref="B30">TRIM(IFERROR(_xlfn.IFS(D1_MARZO_202655[[#This Row],[ASESOR]]="ELVIS GUERRA","ELVIS GUERRERA",D1_MARZO_202655[[#This Row],[ASESOR]]="GENESIS VICUÑA","GENESIS VICUNA",D1_MARZO_202655[[#This Row],[ASESOR]]="JENY QUIÑONES","JENY QUINONES",D1_MARZO_202655[[#This Row],[ASESOR]]="NICOLE CAURURO","NICOLE CAURURO"),D1_MARZO_202655[[#This Row],[ASESOR]]))</f>
        <v>CHRISTIAN ALVARADO</v>
      </c>
      <c r="C30" s="34" cm="1">
        <f t="array" ref="C30">_xlfn.XLOOKUP(1,(TablaMeta[CONCAT]=$M$3&amp;$N$3&amp;D1_MARZO_202655[[#This Row],[SUPER]])*(TablaMeta[SEGG]=D1_MARZO_202655[[#This Row],[SEGMENTO]]),TablaMeta[Meta_Asesor])</f>
        <v>16000</v>
      </c>
      <c r="D30" s="35">
        <f>IF(D1_MARZO_202655[[#This Row],[RECUPERO]]="VACACIONES","VACACIONES",IFERROR(D1_MARZO_202655[[#This Row],[RECUPERO]]/D1_MARZO_202655[[#This Row],[META]],""))</f>
        <v>0.53443750000000001</v>
      </c>
      <c r="E30" s="35" t="str">
        <f>D1_MARZO_202655[[#This Row],[SUPER]]</f>
        <v>LEONOR</v>
      </c>
      <c r="F30" t="s">
        <v>41</v>
      </c>
      <c r="G30" s="36">
        <v>8551</v>
      </c>
      <c r="H30" cm="1">
        <f t="array" ref="H30">IFERROR(VLOOKUP(D1_MARZO_202655[[#This Row],[ASESOR_CRR]],_xlfn._xlws.FILTER(PLANTILLA[[ASESOR]:[FECHA DE CESE]],PLANTILLA[FECHA]=_xlfn.CONCAT($M$3,"_",_xlfn.IFS($N$3="ENERO","1",$N$3="FEBRERO","2",$N$3="MARZO","3",$N$3="ABRIL","4",$N$3="MAYO","5",$N$3="JUNIO","6",$N$3="JULIO","7",$N$3="AGOSTO","8",$N$3="SETIEMBRE","9",$N$3="OCTUBRE","10",$N$3="NOVIEMBRE","11",$N$3="DICIEMBRE","12"))),2,0),"")</f>
        <v>46461021</v>
      </c>
      <c r="I30" s="55" cm="1">
        <f t="array" ref="I30">IFERROR(VLOOKUP(D1_MARZO_202655[[#This Row],[ASESOR_CRR]],_xlfn._xlws.FILTER(PLANTILLA[[ASESOR]:[FECHA DE CESE]],PLANTILLA[FECHA]=_xlfn.CONCAT($M$3,"_",_xlfn.IFS($N$3="ENERO","1",$N$3="FEBRERO","2",$N$3="MARZO","3",$N$3="ABRIL","4",$N$3="MAYO","5",$N$3="JUNIO","6",$N$3="JULIO","7",$N$3="AGOSTO","8",$N$3="SETIEMBRE","9",$N$3="OCTUBRE","10",$N$3="NOVIEMBRE","11",$N$3="DICIEMBRE","12"))),6,0),"")</f>
        <v>45302</v>
      </c>
      <c r="J30" s="55" t="str" cm="1">
        <f t="array" ref="J30">IFERROR(VLOOKUP(D1_MARZO_202655[[#This Row],[ASESOR_CRR]],_xlfn._xlws.FILTER(PLANTILLA[[ASESOR]:[FECHA DE CESE]],PLANTILLA[FECHA]=_xlfn.CONCAT($M$3,"_",_xlfn.IFS($N$3="ENERO","1",$N$3="FEBRERO","2",$N$3="MARZO","3",$N$3="ABRIL","4",$N$3="MAYO","5",$N$3="JUNIO","6",$N$3="JULIO","7",$N$3="AGOSTO","8",$N$3="SETIEMBRE","9",$N$3="OCTUBRE","10",$N$3="NOVIEMBRE","11",$N$3="DICIEMBRE","12"))),4,0),"")</f>
        <v>CALL</v>
      </c>
      <c r="K30" s="55" t="str" cm="1">
        <f t="array" ref="K30">IFERROR(VLOOKUP(D1_MARZO_202655[[#This Row],[ASESOR_CRR]],_xlfn._xlws.FILTER(PLANTILLA[[ASESOR]:[FECHA DE CESE]],PLANTILLA[FECHA]=_xlfn.CONCAT($M$3,"_",_xlfn.IFS($N$3="ENERO","1",$N$3="FEBRERO","2",$N$3="MARZO","3",$N$3="ABRIL","4",$N$3="MAYO","5",$N$3="JUNIO","6",$N$3="JULIO","7",$N$3="AGOSTO","8",$N$3="SETIEMBRE","9",$N$3="OCTUBRE","10",$N$3="NOVIEMBRE","11",$N$3="DICIEMBRE","12"))),8,0),"")</f>
        <v>S2-3-4 MIX</v>
      </c>
      <c r="L30" s="55"/>
      <c r="M30" s="5">
        <f>DATA_MARZO_202651[[#This Row],[RECUPERO]]/DATA_MARZO_202651[[#This Row],[META]]</f>
        <v>1.9063692307692308</v>
      </c>
      <c r="N30" s="5">
        <f>6-ROUNDUP(_xlfn.RANK.EQ(DATA_MARZO_202651[[#This Row],[AL_AC]],DATA_MARZO_202651[AL_AC],0)/(COUNTA(DATA_MARZO_202651[AL_AC])/5),0)</f>
        <v>5</v>
      </c>
      <c r="O30" s="54" t="str">
        <f>IFERROR(VLOOKUP(DATA_MARZO_202651[[#This Row],[ASER_]],$B:$G,4,0),"")</f>
        <v>SANDY</v>
      </c>
      <c r="P30" s="6">
        <f>SUM(DATA_MARZO_202651[[#This Row],[1]:[30]])</f>
        <v>61957</v>
      </c>
      <c r="Q30" s="6">
        <f>VLOOKUP(DATA_MARZO_202651[[#This Row],[ASER_]],D1_MARZO_202655[[ASESOR_CRR]:[META]],2,0)</f>
        <v>32500</v>
      </c>
      <c r="R30" t="s">
        <v>32</v>
      </c>
      <c r="U30">
        <v>7500</v>
      </c>
      <c r="X30">
        <v>2912</v>
      </c>
      <c r="Z30">
        <v>1545</v>
      </c>
      <c r="AB30">
        <v>750</v>
      </c>
      <c r="AC30">
        <v>11150</v>
      </c>
      <c r="AE30">
        <v>210</v>
      </c>
      <c r="AI30">
        <v>15450</v>
      </c>
      <c r="AK30">
        <v>2500</v>
      </c>
      <c r="AL30">
        <v>780</v>
      </c>
      <c r="AO30">
        <v>3000</v>
      </c>
      <c r="AP30">
        <v>1880</v>
      </c>
      <c r="AR30">
        <v>8000</v>
      </c>
      <c r="AU30">
        <v>6280</v>
      </c>
      <c r="AV30" s="54" t="str" cm="1">
        <f t="array" ref="AV30">IFERROR(VLOOKUP(DATA_MARZO_202651[[#This Row],[ASER_]],_xlfn._xlws.FILTER(PLANTILLA[[ASESOR]:[FECHA DE CESE]],PLANTILLA[FECHA]=_xlfn.CONCAT($M$3,"_",_xlfn.IFS($N$3="ENERO","1",$N$3="FEBRERO","2",$N$3="MARZO","3",$N$3="ABRIL","4",$N$3="MAYO","5",$N$3="JUNIO","6",$N$3="JULIO","7",$N$3="AGOSTO","8",$N$3="SETIEMBRE","9",$N$3="OCTUBRE","10",$N$3="NOVIEMBRE","11",$N$3="DICIEMBRE","12"))),8,0),"")</f>
        <v>S0 - IBK</v>
      </c>
      <c r="CM30" t="s">
        <v>636</v>
      </c>
      <c r="CN30" t="s">
        <v>7</v>
      </c>
      <c r="CO30" t="s">
        <v>48</v>
      </c>
      <c r="CP30">
        <v>46111</v>
      </c>
      <c r="CQ30">
        <v>1</v>
      </c>
      <c r="CR30">
        <v>1</v>
      </c>
      <c r="CT30">
        <v>1</v>
      </c>
      <c r="CV30">
        <v>5.7870370370370373E-5</v>
      </c>
      <c r="CW30">
        <v>5.7870370370370373E-5</v>
      </c>
      <c r="CX30">
        <v>0.19773148148148148</v>
      </c>
      <c r="CY30">
        <v>0.18108796296296295</v>
      </c>
      <c r="CZ30">
        <v>93</v>
      </c>
      <c r="DA30">
        <v>134</v>
      </c>
      <c r="DB30">
        <v>17</v>
      </c>
      <c r="DC30">
        <v>2</v>
      </c>
      <c r="DD30">
        <v>16626</v>
      </c>
      <c r="DE30">
        <v>0.18279999999999999</v>
      </c>
      <c r="DF30">
        <v>2</v>
      </c>
      <c r="DG30">
        <v>0.1176</v>
      </c>
      <c r="DH30">
        <v>3552</v>
      </c>
      <c r="DI30">
        <v>1776</v>
      </c>
      <c r="DJ30">
        <v>3552</v>
      </c>
      <c r="DK30">
        <v>1</v>
      </c>
      <c r="DL30">
        <v>0.15679999999999999</v>
      </c>
      <c r="DM30">
        <v>100</v>
      </c>
      <c r="DN30">
        <v>1776</v>
      </c>
    </row>
    <row r="31" spans="1:118" x14ac:dyDescent="0.25">
      <c r="A31" s="34" t="str" cm="1">
        <f t="array" ref="A31">IFERROR(VLOOKUP(D1_MARZO_202655[[#This Row],[ASESOR_CRR]],_xlfn._xlws.FILTER(PLANTILLA[[ASESOR]:[FECHA DE CESE]],PLANTILLA[FECHA]=_xlfn.CONCAT($M$3,"_",_xlfn.IFS($N$3="ENERO","1",$N$3="FEBRERO","2",$N$3="MARZO","3",$N$3="ABRIL","4",$N$3="MAYO","5",$N$3="JUNIO","6",$N$3="JULIO","7",$N$3="AGOSTO","8",$N$3="SETIEMBRE","9",$N$3="OCTUBRE","10",$N$3="NOVIEMBRE","11",$N$3="DICIEMBRE","12"))),3,0),"")</f>
        <v>LEONOR</v>
      </c>
      <c r="B31" s="34" t="str" cm="1">
        <f t="array" ref="B31">TRIM(IFERROR(_xlfn.IFS(D1_MARZO_202655[[#This Row],[ASESOR]]="ELVIS GUERRA","ELVIS GUERRERA",D1_MARZO_202655[[#This Row],[ASESOR]]="GENESIS VICUÑA","GENESIS VICUNA",D1_MARZO_202655[[#This Row],[ASESOR]]="JENY QUIÑONES","JENY QUINONES",D1_MARZO_202655[[#This Row],[ASESOR]]="NICOLE CAURURO","NICOLE CAURURO"),D1_MARZO_202655[[#This Row],[ASESOR]]))</f>
        <v>NICOLE CAURURO</v>
      </c>
      <c r="C31" s="34" cm="1">
        <f t="array" ref="C31">_xlfn.XLOOKUP(1,(TablaMeta[CONCAT]=$M$3&amp;$N$3&amp;D1_MARZO_202655[[#This Row],[SUPER]])*(TablaMeta[SEGG]=D1_MARZO_202655[[#This Row],[SEGMENTO]]),TablaMeta[Meta_Asesor])</f>
        <v>16000</v>
      </c>
      <c r="D31" s="35">
        <f>IF(D1_MARZO_202655[[#This Row],[RECUPERO]]="VACACIONES","VACACIONES",IFERROR(D1_MARZO_202655[[#This Row],[RECUPERO]]/D1_MARZO_202655[[#This Row],[META]],""))</f>
        <v>0.22843749999999999</v>
      </c>
      <c r="E31" s="35" t="str">
        <f>D1_MARZO_202655[[#This Row],[SUPER]]</f>
        <v>LEONOR</v>
      </c>
      <c r="F31" t="s">
        <v>566</v>
      </c>
      <c r="G31" s="36">
        <v>3655</v>
      </c>
      <c r="H31" cm="1">
        <f t="array" ref="H31">IFERROR(VLOOKUP(D1_MARZO_202655[[#This Row],[ASESOR_CRR]],_xlfn._xlws.FILTER(PLANTILLA[[ASESOR]:[FECHA DE CESE]],PLANTILLA[FECHA]=_xlfn.CONCAT($M$3,"_",_xlfn.IFS($N$3="ENERO","1",$N$3="FEBRERO","2",$N$3="MARZO","3",$N$3="ABRIL","4",$N$3="MAYO","5",$N$3="JUNIO","6",$N$3="JULIO","7",$N$3="AGOSTO","8",$N$3="SETIEMBRE","9",$N$3="OCTUBRE","10",$N$3="NOVIEMBRE","11",$N$3="DICIEMBRE","12"))),2,0),"")</f>
        <v>75693756</v>
      </c>
      <c r="I31" s="55" cm="1">
        <f t="array" ref="I31">IFERROR(VLOOKUP(D1_MARZO_202655[[#This Row],[ASESOR_CRR]],_xlfn._xlws.FILTER(PLANTILLA[[ASESOR]:[FECHA DE CESE]],PLANTILLA[FECHA]=_xlfn.CONCAT($M$3,"_",_xlfn.IFS($N$3="ENERO","1",$N$3="FEBRERO","2",$N$3="MARZO","3",$N$3="ABRIL","4",$N$3="MAYO","5",$N$3="JUNIO","6",$N$3="JULIO","7",$N$3="AGOSTO","8",$N$3="SETIEMBRE","9",$N$3="OCTUBRE","10",$N$3="NOVIEMBRE","11",$N$3="DICIEMBRE","12"))),6,0),"")</f>
        <v>46084</v>
      </c>
      <c r="J31" s="55" t="str" cm="1">
        <f t="array" ref="J31">IFERROR(VLOOKUP(D1_MARZO_202655[[#This Row],[ASESOR_CRR]],_xlfn._xlws.FILTER(PLANTILLA[[ASESOR]:[FECHA DE CESE]],PLANTILLA[FECHA]=_xlfn.CONCAT($M$3,"_",_xlfn.IFS($N$3="ENERO","1",$N$3="FEBRERO","2",$N$3="MARZO","3",$N$3="ABRIL","4",$N$3="MAYO","5",$N$3="JUNIO","6",$N$3="JULIO","7",$N$3="AGOSTO","8",$N$3="SETIEMBRE","9",$N$3="OCTUBRE","10",$N$3="NOVIEMBRE","11",$N$3="DICIEMBRE","12"))),4,0),"")</f>
        <v>CALL</v>
      </c>
      <c r="K31" s="55" t="str" cm="1">
        <f t="array" ref="K31">IFERROR(VLOOKUP(D1_MARZO_202655[[#This Row],[ASESOR_CRR]],_xlfn._xlws.FILTER(PLANTILLA[[ASESOR]:[FECHA DE CESE]],PLANTILLA[FECHA]=_xlfn.CONCAT($M$3,"_",_xlfn.IFS($N$3="ENERO","1",$N$3="FEBRERO","2",$N$3="MARZO","3",$N$3="ABRIL","4",$N$3="MAYO","5",$N$3="JUNIO","6",$N$3="JULIO","7",$N$3="AGOSTO","8",$N$3="SETIEMBRE","9",$N$3="OCTUBRE","10",$N$3="NOVIEMBRE","11",$N$3="DICIEMBRE","12"))),8,0),"")</f>
        <v>S2-3-4 MIX</v>
      </c>
      <c r="L31" s="55"/>
      <c r="M31" s="5">
        <f>DATA_MARZO_202651[[#This Row],[RECUPERO]]/DATA_MARZO_202651[[#This Row],[META]]</f>
        <v>0.63897142857142852</v>
      </c>
      <c r="N31" s="5">
        <f>6-ROUNDUP(_xlfn.RANK.EQ(DATA_MARZO_202651[[#This Row],[AL_AC]],DATA_MARZO_202651[AL_AC],0)/(COUNTA(DATA_MARZO_202651[AL_AC])/5),0)</f>
        <v>2</v>
      </c>
      <c r="O31" s="54" t="str">
        <f>IFERROR(VLOOKUP(DATA_MARZO_202651[[#This Row],[ASER_]],$B:$G,4,0),"")</f>
        <v>LEONOR</v>
      </c>
      <c r="P31" s="6">
        <f>SUM(DATA_MARZO_202651[[#This Row],[1]:[30]])</f>
        <v>22364</v>
      </c>
      <c r="Q31" s="6">
        <f>VLOOKUP(DATA_MARZO_202651[[#This Row],[ASER_]],D1_MARZO_202655[[ASESOR_CRR]:[META]],2,0)</f>
        <v>35000</v>
      </c>
      <c r="R31" t="s">
        <v>49</v>
      </c>
      <c r="S31">
        <v>1000</v>
      </c>
      <c r="U31">
        <v>2500</v>
      </c>
      <c r="V31">
        <v>300</v>
      </c>
      <c r="X31">
        <v>700</v>
      </c>
      <c r="Z31">
        <v>2882</v>
      </c>
      <c r="AA31">
        <v>230</v>
      </c>
      <c r="AG31">
        <v>600</v>
      </c>
      <c r="AH31">
        <v>638</v>
      </c>
      <c r="AJ31">
        <v>1106</v>
      </c>
      <c r="AK31">
        <v>5500</v>
      </c>
      <c r="AN31">
        <v>2000</v>
      </c>
      <c r="AQ31">
        <v>1500</v>
      </c>
      <c r="AR31">
        <v>2500</v>
      </c>
      <c r="AU31">
        <v>908</v>
      </c>
      <c r="AV31" s="54" t="str" cm="1">
        <f t="array" ref="AV31">IFERROR(VLOOKUP(DATA_MARZO_202651[[#This Row],[ASER_]],_xlfn._xlws.FILTER(PLANTILLA[[ASESOR]:[FECHA DE CESE]],PLANTILLA[FECHA]=_xlfn.CONCAT($M$3,"_",_xlfn.IFS($N$3="ENERO","1",$N$3="FEBRERO","2",$N$3="MARZO","3",$N$3="ABRIL","4",$N$3="MAYO","5",$N$3="JUNIO","6",$N$3="JULIO","7",$N$3="AGOSTO","8",$N$3="SETIEMBRE","9",$N$3="OCTUBRE","10",$N$3="NOVIEMBRE","11",$N$3="DICIEMBRE","12"))),8,0),"")</f>
        <v>S2-3-4 BANCO</v>
      </c>
      <c r="CM31" t="s">
        <v>636</v>
      </c>
      <c r="CN31" t="s">
        <v>125</v>
      </c>
      <c r="CO31" t="s">
        <v>61</v>
      </c>
      <c r="CP31">
        <v>46091</v>
      </c>
      <c r="CQ31">
        <v>1</v>
      </c>
      <c r="CR31">
        <v>1</v>
      </c>
      <c r="CT31">
        <v>1</v>
      </c>
      <c r="CV31">
        <v>8.1018518518518516E-5</v>
      </c>
      <c r="CW31">
        <v>8.1018518518518516E-5</v>
      </c>
      <c r="CX31">
        <v>0.29370370370370369</v>
      </c>
      <c r="CY31">
        <v>0.13283564814814816</v>
      </c>
      <c r="CZ31">
        <v>58</v>
      </c>
      <c r="DA31">
        <v>254</v>
      </c>
      <c r="DB31">
        <v>24</v>
      </c>
      <c r="DC31">
        <v>2.125</v>
      </c>
      <c r="DD31">
        <v>63723</v>
      </c>
      <c r="DE31">
        <v>0.4138</v>
      </c>
      <c r="DF31">
        <v>3</v>
      </c>
      <c r="DG31">
        <v>0.125</v>
      </c>
      <c r="DH31">
        <v>7700</v>
      </c>
      <c r="DI31">
        <v>2567</v>
      </c>
      <c r="DJ31">
        <v>7700</v>
      </c>
      <c r="DK31">
        <v>1</v>
      </c>
      <c r="DL31">
        <v>0.2394</v>
      </c>
      <c r="DM31">
        <v>98</v>
      </c>
      <c r="DN31">
        <v>2567</v>
      </c>
    </row>
    <row r="32" spans="1:118" x14ac:dyDescent="0.25">
      <c r="A32" s="34" t="str" cm="1">
        <f t="array" ref="A32">IFERROR(VLOOKUP(D1_MARZO_202655[[#This Row],[ASESOR_CRR]],_xlfn._xlws.FILTER(PLANTILLA[[ASESOR]:[FECHA DE CESE]],PLANTILLA[FECHA]=_xlfn.CONCAT($M$3,"_",_xlfn.IFS($N$3="ENERO","1",$N$3="FEBRERO","2",$N$3="MARZO","3",$N$3="ABRIL","4",$N$3="MAYO","5",$N$3="JUNIO","6",$N$3="JULIO","7",$N$3="AGOSTO","8",$N$3="SETIEMBRE","9",$N$3="OCTUBRE","10",$N$3="NOVIEMBRE","11",$N$3="DICIEMBRE","12"))),3,0),"")</f>
        <v>LEONOR</v>
      </c>
      <c r="B32" s="34" t="str" cm="1">
        <f t="array" ref="B32">TRIM(IFERROR(_xlfn.IFS(D1_MARZO_202655[[#This Row],[ASESOR]]="ELVIS GUERRA","ELVIS GUERRERA",D1_MARZO_202655[[#This Row],[ASESOR]]="GENESIS VICUÑA","GENESIS VICUNA",D1_MARZO_202655[[#This Row],[ASESOR]]="JENY QUIÑONES","JENY QUINONES",D1_MARZO_202655[[#This Row],[ASESOR]]="NICOLE CAURURO","NICOLE CAURURO"),D1_MARZO_202655[[#This Row],[ASESOR]]))</f>
        <v>SONIA SULLA</v>
      </c>
      <c r="C32" s="34" cm="1">
        <f t="array" ref="C32">_xlfn.XLOOKUP(1,(TablaMeta[CONCAT]=$M$3&amp;$N$3&amp;D1_MARZO_202655[[#This Row],[SUPER]])*(TablaMeta[SEGG]=D1_MARZO_202655[[#This Row],[SEGMENTO]]),TablaMeta[Meta_Asesor])</f>
        <v>16000</v>
      </c>
      <c r="D32" s="35">
        <f>IF(D1_MARZO_202655[[#This Row],[RECUPERO]]="VACACIONES","VACACIONES",IFERROR(D1_MARZO_202655[[#This Row],[RECUPERO]]/D1_MARZO_202655[[#This Row],[META]],""))</f>
        <v>0.18287500000000001</v>
      </c>
      <c r="E32" s="35" t="str">
        <f>D1_MARZO_202655[[#This Row],[SUPER]]</f>
        <v>LEONOR</v>
      </c>
      <c r="F32" t="s">
        <v>557</v>
      </c>
      <c r="G32" s="36">
        <v>2926</v>
      </c>
      <c r="H32" cm="1">
        <f t="array" ref="H32">IFERROR(VLOOKUP(D1_MARZO_202655[[#This Row],[ASESOR_CRR]],_xlfn._xlws.FILTER(PLANTILLA[[ASESOR]:[FECHA DE CESE]],PLANTILLA[FECHA]=_xlfn.CONCAT($M$3,"_",_xlfn.IFS($N$3="ENERO","1",$N$3="FEBRERO","2",$N$3="MARZO","3",$N$3="ABRIL","4",$N$3="MAYO","5",$N$3="JUNIO","6",$N$3="JULIO","7",$N$3="AGOSTO","8",$N$3="SETIEMBRE","9",$N$3="OCTUBRE","10",$N$3="NOVIEMBRE","11",$N$3="DICIEMBRE","12"))),2,0),"")</f>
        <v>10330959</v>
      </c>
      <c r="I32" s="55" cm="1">
        <f t="array" ref="I32">IFERROR(VLOOKUP(D1_MARZO_202655[[#This Row],[ASESOR_CRR]],_xlfn._xlws.FILTER(PLANTILLA[[ASESOR]:[FECHA DE CESE]],PLANTILLA[FECHA]=_xlfn.CONCAT($M$3,"_",_xlfn.IFS($N$3="ENERO","1",$N$3="FEBRERO","2",$N$3="MARZO","3",$N$3="ABRIL","4",$N$3="MAYO","5",$N$3="JUNIO","6",$N$3="JULIO","7",$N$3="AGOSTO","8",$N$3="SETIEMBRE","9",$N$3="OCTUBRE","10",$N$3="NOVIEMBRE","11",$N$3="DICIEMBRE","12"))),6,0),"")</f>
        <v>46073</v>
      </c>
      <c r="J32" s="55" t="str" cm="1">
        <f t="array" ref="J32">IFERROR(VLOOKUP(D1_MARZO_202655[[#This Row],[ASESOR_CRR]],_xlfn._xlws.FILTER(PLANTILLA[[ASESOR]:[FECHA DE CESE]],PLANTILLA[FECHA]=_xlfn.CONCAT($M$3,"_",_xlfn.IFS($N$3="ENERO","1",$N$3="FEBRERO","2",$N$3="MARZO","3",$N$3="ABRIL","4",$N$3="MAYO","5",$N$3="JUNIO","6",$N$3="JULIO","7",$N$3="AGOSTO","8",$N$3="SETIEMBRE","9",$N$3="OCTUBRE","10",$N$3="NOVIEMBRE","11",$N$3="DICIEMBRE","12"))),4,0),"")</f>
        <v>CALL</v>
      </c>
      <c r="K32" s="55" t="str" cm="1">
        <f t="array" ref="K32">IFERROR(VLOOKUP(D1_MARZO_202655[[#This Row],[ASESOR_CRR]],_xlfn._xlws.FILTER(PLANTILLA[[ASESOR]:[FECHA DE CESE]],PLANTILLA[FECHA]=_xlfn.CONCAT($M$3,"_",_xlfn.IFS($N$3="ENERO","1",$N$3="FEBRERO","2",$N$3="MARZO","3",$N$3="ABRIL","4",$N$3="MAYO","5",$N$3="JUNIO","6",$N$3="JULIO","7",$N$3="AGOSTO","8",$N$3="SETIEMBRE","9",$N$3="OCTUBRE","10",$N$3="NOVIEMBRE","11",$N$3="DICIEMBRE","12"))),8,0),"")</f>
        <v>S2-3-4 MIX</v>
      </c>
      <c r="L32" s="55"/>
      <c r="M32" s="5">
        <f>DATA_MARZO_202651[[#This Row],[RECUPERO]]/DATA_MARZO_202651[[#This Row],[META]]</f>
        <v>0.27027946428571425</v>
      </c>
      <c r="N32" s="5">
        <f>6-ROUNDUP(_xlfn.RANK.EQ(DATA_MARZO_202651[[#This Row],[AL_AC]],DATA_MARZO_202651[AL_AC],0)/(COUNTA(DATA_MARZO_202651[AL_AC])/5),0)</f>
        <v>1</v>
      </c>
      <c r="O32" s="54" t="str">
        <f>IFERROR(VLOOKUP(DATA_MARZO_202651[[#This Row],[ASER_]],$B:$G,4,0),"")</f>
        <v>JORGE</v>
      </c>
      <c r="P32" s="6">
        <f>SUM(DATA_MARZO_202651[[#This Row],[1]:[30]])</f>
        <v>15135.65</v>
      </c>
      <c r="Q32" s="6">
        <f>VLOOKUP(DATA_MARZO_202651[[#This Row],[ASER_]],D1_MARZO_202655[[ASESOR_CRR]:[META]],2,0)</f>
        <v>56000</v>
      </c>
      <c r="R32" t="s">
        <v>564</v>
      </c>
      <c r="Z32">
        <v>321.64999999999998</v>
      </c>
      <c r="AB32">
        <v>2900</v>
      </c>
      <c r="AC32">
        <v>142</v>
      </c>
      <c r="AG32">
        <v>450</v>
      </c>
      <c r="AI32">
        <v>3500</v>
      </c>
      <c r="AK32">
        <v>1200</v>
      </c>
      <c r="AN32">
        <v>50</v>
      </c>
      <c r="AO32">
        <v>5500</v>
      </c>
      <c r="AQ32">
        <v>750</v>
      </c>
      <c r="AR32">
        <v>242</v>
      </c>
      <c r="AS32">
        <v>80</v>
      </c>
      <c r="AV32" s="54" t="str" cm="1">
        <f t="array" ref="AV32">IFERROR(VLOOKUP(DATA_MARZO_202651[[#This Row],[ASER_]],_xlfn._xlws.FILTER(PLANTILLA[[ASESOR]:[FECHA DE CESE]],PLANTILLA[FECHA]=_xlfn.CONCAT($M$3,"_",_xlfn.IFS($N$3="ENERO","1",$N$3="FEBRERO","2",$N$3="MARZO","3",$N$3="ABRIL","4",$N$3="MAYO","5",$N$3="JUNIO","6",$N$3="JULIO","7",$N$3="AGOSTO","8",$N$3="SETIEMBRE","9",$N$3="OCTUBRE","10",$N$3="NOVIEMBRE","11",$N$3="DICIEMBRE","12"))),8,0),"")</f>
        <v>S1</v>
      </c>
      <c r="CM32" t="s">
        <v>636</v>
      </c>
      <c r="CN32" t="s">
        <v>125</v>
      </c>
      <c r="CO32" t="s">
        <v>61</v>
      </c>
      <c r="CP32">
        <v>46100</v>
      </c>
      <c r="CQ32">
        <v>1</v>
      </c>
      <c r="CR32">
        <v>1</v>
      </c>
      <c r="CT32">
        <v>1</v>
      </c>
      <c r="CV32">
        <v>5.7870370370370373E-5</v>
      </c>
      <c r="CW32">
        <v>5.7870370370370373E-5</v>
      </c>
      <c r="CX32">
        <v>0.19385416666666666</v>
      </c>
      <c r="CY32">
        <v>0.13993055555555556</v>
      </c>
      <c r="CZ32">
        <v>125</v>
      </c>
      <c r="DA32">
        <v>257</v>
      </c>
      <c r="DB32">
        <v>12</v>
      </c>
      <c r="DC32" t="s">
        <v>703</v>
      </c>
      <c r="DD32">
        <v>23182</v>
      </c>
      <c r="DE32">
        <v>9.6000000000000002E-2</v>
      </c>
      <c r="DF32">
        <v>1</v>
      </c>
      <c r="DG32">
        <v>8.3299999999999999E-2</v>
      </c>
      <c r="DH32">
        <v>700</v>
      </c>
      <c r="DI32">
        <v>700</v>
      </c>
      <c r="DJ32">
        <v>700</v>
      </c>
      <c r="DK32">
        <v>1</v>
      </c>
      <c r="DL32">
        <v>0.13930000000000001</v>
      </c>
      <c r="DM32">
        <v>98</v>
      </c>
      <c r="DN32">
        <v>700</v>
      </c>
    </row>
    <row r="33" spans="1:118" x14ac:dyDescent="0.25">
      <c r="A33" s="34" t="str" cm="1">
        <f t="array" ref="A33">IFERROR(VLOOKUP(D1_MARZO_202655[[#This Row],[ASESOR_CRR]],_xlfn._xlws.FILTER(PLANTILLA[[ASESOR]:[FECHA DE CESE]],PLANTILLA[FECHA]=_xlfn.CONCAT($M$3,"_",_xlfn.IFS($N$3="ENERO","1",$N$3="FEBRERO","2",$N$3="MARZO","3",$N$3="ABRIL","4",$N$3="MAYO","5",$N$3="JUNIO","6",$N$3="JULIO","7",$N$3="AGOSTO","8",$N$3="SETIEMBRE","9",$N$3="OCTUBRE","10",$N$3="NOVIEMBRE","11",$N$3="DICIEMBRE","12"))),3,0),"")</f>
        <v>LEONOR</v>
      </c>
      <c r="B33" s="34" t="str" cm="1">
        <f t="array" ref="B33">TRIM(IFERROR(_xlfn.IFS(D1_MARZO_202655[[#This Row],[ASESOR]]="ELVIS GUERRA","ELVIS GUERRERA",D1_MARZO_202655[[#This Row],[ASESOR]]="GENESIS VICUÑA","GENESIS VICUNA",D1_MARZO_202655[[#This Row],[ASESOR]]="JENY QUIÑONES","JENY QUINONES",D1_MARZO_202655[[#This Row],[ASESOR]]="NICOLE CAURURO","NICOLE CAURURO"),D1_MARZO_202655[[#This Row],[ASESOR]]))</f>
        <v>GERALDINE ARROYO</v>
      </c>
      <c r="C33" s="34" cm="1">
        <f t="array" ref="C33">_xlfn.XLOOKUP(1,(TablaMeta[CONCAT]=$M$3&amp;$N$3&amp;D1_MARZO_202655[[#This Row],[SUPER]])*(TablaMeta[SEGG]=D1_MARZO_202655[[#This Row],[SEGMENTO]]),TablaMeta[Meta_Asesor])</f>
        <v>35000</v>
      </c>
      <c r="D33" s="35">
        <f>IF(D1_MARZO_202655[[#This Row],[RECUPERO]]="VACACIONES","VACACIONES",IFERROR(D1_MARZO_202655[[#This Row],[RECUPERO]]/D1_MARZO_202655[[#This Row],[META]],""))</f>
        <v>1.0116571428571428</v>
      </c>
      <c r="E33" s="35" t="str">
        <f>D1_MARZO_202655[[#This Row],[SUPER]]</f>
        <v>LEONOR</v>
      </c>
      <c r="F33" t="s">
        <v>51</v>
      </c>
      <c r="G33" s="36">
        <v>35408</v>
      </c>
      <c r="H33" cm="1">
        <f t="array" ref="H33">IFERROR(VLOOKUP(D1_MARZO_202655[[#This Row],[ASESOR_CRR]],_xlfn._xlws.FILTER(PLANTILLA[[ASESOR]:[FECHA DE CESE]],PLANTILLA[FECHA]=_xlfn.CONCAT($M$3,"_",_xlfn.IFS($N$3="ENERO","1",$N$3="FEBRERO","2",$N$3="MARZO","3",$N$3="ABRIL","4",$N$3="MAYO","5",$N$3="JUNIO","6",$N$3="JULIO","7",$N$3="AGOSTO","8",$N$3="SETIEMBRE","9",$N$3="OCTUBRE","10",$N$3="NOVIEMBRE","11",$N$3="DICIEMBRE","12"))),2,0),"")</f>
        <v>76089925</v>
      </c>
      <c r="I33" s="55" cm="1">
        <f t="array" ref="I33">IFERROR(VLOOKUP(D1_MARZO_202655[[#This Row],[ASESOR_CRR]],_xlfn._xlws.FILTER(PLANTILLA[[ASESOR]:[FECHA DE CESE]],PLANTILLA[FECHA]=_xlfn.CONCAT($M$3,"_",_xlfn.IFS($N$3="ENERO","1",$N$3="FEBRERO","2",$N$3="MARZO","3",$N$3="ABRIL","4",$N$3="MAYO","5",$N$3="JUNIO","6",$N$3="JULIO","7",$N$3="AGOSTO","8",$N$3="SETIEMBRE","9",$N$3="OCTUBRE","10",$N$3="NOVIEMBRE","11",$N$3="DICIEMBRE","12"))),6,0),"")</f>
        <v>45678</v>
      </c>
      <c r="J33" s="55" t="str" cm="1">
        <f t="array" ref="J33">IFERROR(VLOOKUP(D1_MARZO_202655[[#This Row],[ASESOR_CRR]],_xlfn._xlws.FILTER(PLANTILLA[[ASESOR]:[FECHA DE CESE]],PLANTILLA[FECHA]=_xlfn.CONCAT($M$3,"_",_xlfn.IFS($N$3="ENERO","1",$N$3="FEBRERO","2",$N$3="MARZO","3",$N$3="ABRIL","4",$N$3="MAYO","5",$N$3="JUNIO","6",$N$3="JULIO","7",$N$3="AGOSTO","8",$N$3="SETIEMBRE","9",$N$3="OCTUBRE","10",$N$3="NOVIEMBRE","11",$N$3="DICIEMBRE","12"))),4,0),"")</f>
        <v>CALL</v>
      </c>
      <c r="K33" s="55" t="str" cm="1">
        <f t="array" ref="K33">IFERROR(VLOOKUP(D1_MARZO_202655[[#This Row],[ASESOR_CRR]],_xlfn._xlws.FILTER(PLANTILLA[[ASESOR]:[FECHA DE CESE]],PLANTILLA[FECHA]=_xlfn.CONCAT($M$3,"_",_xlfn.IFS($N$3="ENERO","1",$N$3="FEBRERO","2",$N$3="MARZO","3",$N$3="ABRIL","4",$N$3="MAYO","5",$N$3="JUNIO","6",$N$3="JULIO","7",$N$3="AGOSTO","8",$N$3="SETIEMBRE","9",$N$3="OCTUBRE","10",$N$3="NOVIEMBRE","11",$N$3="DICIEMBRE","12"))),8,0),"")</f>
        <v>S2-3-4 BANCO</v>
      </c>
      <c r="L33" s="55"/>
      <c r="M33" s="5">
        <f>DATA_MARZO_202651[[#This Row],[RECUPERO]]/DATA_MARZO_202651[[#This Row],[META]]</f>
        <v>0.69160714285714286</v>
      </c>
      <c r="N33" s="5">
        <f>6-ROUNDUP(_xlfn.RANK.EQ(DATA_MARZO_202651[[#This Row],[AL_AC]],DATA_MARZO_202651[AL_AC],0)/(COUNTA(DATA_MARZO_202651[AL_AC])/5),0)</f>
        <v>2</v>
      </c>
      <c r="O33" s="54" t="str">
        <f>IFERROR(VLOOKUP(DATA_MARZO_202651[[#This Row],[ASER_]],$B:$G,4,0),"")</f>
        <v>JOHAN</v>
      </c>
      <c r="P33" s="6">
        <f>SUM(DATA_MARZO_202651[[#This Row],[1]:[30]])</f>
        <v>38730</v>
      </c>
      <c r="Q33" s="6">
        <f>VLOOKUP(DATA_MARZO_202651[[#This Row],[ASER_]],D1_MARZO_202655[[ASESOR_CRR]:[META]],2,0)</f>
        <v>56000</v>
      </c>
      <c r="R33" t="s">
        <v>122</v>
      </c>
      <c r="U33">
        <v>630</v>
      </c>
      <c r="AB33">
        <v>4500</v>
      </c>
      <c r="AC33">
        <v>6500</v>
      </c>
      <c r="AG33">
        <v>8000</v>
      </c>
      <c r="AI33">
        <v>2300</v>
      </c>
      <c r="AK33">
        <v>5600</v>
      </c>
      <c r="AN33">
        <v>9200</v>
      </c>
      <c r="AU33">
        <v>2000</v>
      </c>
      <c r="AV33" s="54" t="str" cm="1">
        <f t="array" ref="AV33">IFERROR(VLOOKUP(DATA_MARZO_202651[[#This Row],[ASER_]],_xlfn._xlws.FILTER(PLANTILLA[[ASESOR]:[FECHA DE CESE]],PLANTILLA[FECHA]=_xlfn.CONCAT($M$3,"_",_xlfn.IFS($N$3="ENERO","1",$N$3="FEBRERO","2",$N$3="MARZO","3",$N$3="ABRIL","4",$N$3="MAYO","5",$N$3="JUNIO","6",$N$3="JULIO","7",$N$3="AGOSTO","8",$N$3="SETIEMBRE","9",$N$3="OCTUBRE","10",$N$3="NOVIEMBRE","11",$N$3="DICIEMBRE","12"))),8,0),"")</f>
        <v>S1</v>
      </c>
      <c r="CM33" t="s">
        <v>636</v>
      </c>
      <c r="CN33" t="s">
        <v>125</v>
      </c>
      <c r="CO33" t="s">
        <v>72</v>
      </c>
      <c r="CP33">
        <v>46093</v>
      </c>
      <c r="CQ33">
        <v>1</v>
      </c>
      <c r="CR33">
        <v>1</v>
      </c>
      <c r="CT33">
        <v>1</v>
      </c>
      <c r="CV33">
        <v>2.4305555555555555E-4</v>
      </c>
      <c r="CW33">
        <v>2.4305555555555555E-4</v>
      </c>
      <c r="CX33">
        <v>0.23796296296296296</v>
      </c>
      <c r="CY33">
        <v>0.10547453703703703</v>
      </c>
      <c r="CZ33">
        <v>110</v>
      </c>
      <c r="DA33">
        <v>320</v>
      </c>
      <c r="DB33">
        <v>27</v>
      </c>
      <c r="DC33" t="s">
        <v>707</v>
      </c>
      <c r="DD33">
        <v>25017</v>
      </c>
      <c r="DE33">
        <v>0.2455</v>
      </c>
      <c r="DF33">
        <v>2</v>
      </c>
      <c r="DG33">
        <v>7.4099999999999999E-2</v>
      </c>
      <c r="DH33">
        <v>2600</v>
      </c>
      <c r="DI33">
        <v>1300</v>
      </c>
      <c r="DJ33">
        <v>2600</v>
      </c>
      <c r="DK33">
        <v>1</v>
      </c>
      <c r="DL33">
        <v>0.16850000000000001</v>
      </c>
      <c r="DM33">
        <v>98</v>
      </c>
      <c r="DN33">
        <v>1300</v>
      </c>
    </row>
    <row r="34" spans="1:118" x14ac:dyDescent="0.25">
      <c r="A34" s="34" t="str" cm="1">
        <f t="array" ref="A34">IFERROR(VLOOKUP(D1_MARZO_202655[[#This Row],[ASESOR_CRR]],_xlfn._xlws.FILTER(PLANTILLA[[ASESOR]:[FECHA DE CESE]],PLANTILLA[FECHA]=_xlfn.CONCAT($M$3,"_",_xlfn.IFS($N$3="ENERO","1",$N$3="FEBRERO","2",$N$3="MARZO","3",$N$3="ABRIL","4",$N$3="MAYO","5",$N$3="JUNIO","6",$N$3="JULIO","7",$N$3="AGOSTO","8",$N$3="SETIEMBRE","9",$N$3="OCTUBRE","10",$N$3="NOVIEMBRE","11",$N$3="DICIEMBRE","12"))),3,0),"")</f>
        <v>LEONOR</v>
      </c>
      <c r="B34" s="34" t="str" cm="1">
        <f t="array" ref="B34">TRIM(IFERROR(_xlfn.IFS(D1_MARZO_202655[[#This Row],[ASESOR]]="ELVIS GUERRA","ELVIS GUERRERA",D1_MARZO_202655[[#This Row],[ASESOR]]="GENESIS VICUÑA","GENESIS VICUNA",D1_MARZO_202655[[#This Row],[ASESOR]]="JENY QUIÑONES","JENY QUINONES",D1_MARZO_202655[[#This Row],[ASESOR]]="NICOLE CAURURO","NICOLE CAURURO"),D1_MARZO_202655[[#This Row],[ASESOR]]))</f>
        <v>JUAN ALANOCCA</v>
      </c>
      <c r="C34" s="34" cm="1">
        <f t="array" ref="C34">_xlfn.XLOOKUP(1,(TablaMeta[CONCAT]=$M$3&amp;$N$3&amp;D1_MARZO_202655[[#This Row],[SUPER]])*(TablaMeta[SEGG]=D1_MARZO_202655[[#This Row],[SEGMENTO]]),TablaMeta[Meta_Asesor])</f>
        <v>35000</v>
      </c>
      <c r="D34" s="35">
        <f>IF(D1_MARZO_202655[[#This Row],[RECUPERO]]="VACACIONES","VACACIONES",IFERROR(D1_MARZO_202655[[#This Row],[RECUPERO]]/D1_MARZO_202655[[#This Row],[META]],""))</f>
        <v>0.76381600000000005</v>
      </c>
      <c r="E34" s="35" t="str">
        <f>D1_MARZO_202655[[#This Row],[SUPER]]</f>
        <v>LEONOR</v>
      </c>
      <c r="F34" t="s">
        <v>77</v>
      </c>
      <c r="G34" s="36">
        <v>26733.56</v>
      </c>
      <c r="H34" cm="1">
        <f t="array" ref="H34">IFERROR(VLOOKUP(D1_MARZO_202655[[#This Row],[ASESOR_CRR]],_xlfn._xlws.FILTER(PLANTILLA[[ASESOR]:[FECHA DE CESE]],PLANTILLA[FECHA]=_xlfn.CONCAT($M$3,"_",_xlfn.IFS($N$3="ENERO","1",$N$3="FEBRERO","2",$N$3="MARZO","3",$N$3="ABRIL","4",$N$3="MAYO","5",$N$3="JUNIO","6",$N$3="JULIO","7",$N$3="AGOSTO","8",$N$3="SETIEMBRE","9",$N$3="OCTUBRE","10",$N$3="NOVIEMBRE","11",$N$3="DICIEMBRE","12"))),2,0),"")</f>
        <v>42251780</v>
      </c>
      <c r="I34" s="55" cm="1">
        <f t="array" ref="I34">IFERROR(VLOOKUP(D1_MARZO_202655[[#This Row],[ASESOR_CRR]],_xlfn._xlws.FILTER(PLANTILLA[[ASESOR]:[FECHA DE CESE]],PLANTILLA[FECHA]=_xlfn.CONCAT($M$3,"_",_xlfn.IFS($N$3="ENERO","1",$N$3="FEBRERO","2",$N$3="MARZO","3",$N$3="ABRIL","4",$N$3="MAYO","5",$N$3="JUNIO","6",$N$3="JULIO","7",$N$3="AGOSTO","8",$N$3="SETIEMBRE","9",$N$3="OCTUBRE","10",$N$3="NOVIEMBRE","11",$N$3="DICIEMBRE","12"))),6,0),"")</f>
        <v>44838</v>
      </c>
      <c r="J34" s="55" t="str" cm="1">
        <f t="array" ref="J34">IFERROR(VLOOKUP(D1_MARZO_202655[[#This Row],[ASESOR_CRR]],_xlfn._xlws.FILTER(PLANTILLA[[ASESOR]:[FECHA DE CESE]],PLANTILLA[FECHA]=_xlfn.CONCAT($M$3,"_",_xlfn.IFS($N$3="ENERO","1",$N$3="FEBRERO","2",$N$3="MARZO","3",$N$3="ABRIL","4",$N$3="MAYO","5",$N$3="JUNIO","6",$N$3="JULIO","7",$N$3="AGOSTO","8",$N$3="SETIEMBRE","9",$N$3="OCTUBRE","10",$N$3="NOVIEMBRE","11",$N$3="DICIEMBRE","12"))),4,0),"")</f>
        <v>CALL</v>
      </c>
      <c r="K34" s="55" t="str" cm="1">
        <f t="array" ref="K34">IFERROR(VLOOKUP(D1_MARZO_202655[[#This Row],[ASESOR_CRR]],_xlfn._xlws.FILTER(PLANTILLA[[ASESOR]:[FECHA DE CESE]],PLANTILLA[FECHA]=_xlfn.CONCAT($M$3,"_",_xlfn.IFS($N$3="ENERO","1",$N$3="FEBRERO","2",$N$3="MARZO","3",$N$3="ABRIL","4",$N$3="MAYO","5",$N$3="JUNIO","6",$N$3="JULIO","7",$N$3="AGOSTO","8",$N$3="SETIEMBRE","9",$N$3="OCTUBRE","10",$N$3="NOVIEMBRE","11",$N$3="DICIEMBRE","12"))),8,0),"")</f>
        <v>S2-3-4 BANCO</v>
      </c>
      <c r="L34" s="55"/>
      <c r="M34" s="5">
        <f>DATA_MARZO_202651[[#This Row],[RECUPERO]]/DATA_MARZO_202651[[#This Row],[META]]</f>
        <v>1.1995384615384614</v>
      </c>
      <c r="N34" s="5">
        <f>6-ROUNDUP(_xlfn.RANK.EQ(DATA_MARZO_202651[[#This Row],[AL_AC]],DATA_MARZO_202651[AL_AC],0)/(COUNTA(DATA_MARZO_202651[AL_AC])/5),0)</f>
        <v>5</v>
      </c>
      <c r="O34" s="54" t="str">
        <f>IFERROR(VLOOKUP(DATA_MARZO_202651[[#This Row],[ASER_]],$B:$G,4,0),"")</f>
        <v>SANDY</v>
      </c>
      <c r="P34" s="6">
        <f>SUM(DATA_MARZO_202651[[#This Row],[1]:[30]])</f>
        <v>38985</v>
      </c>
      <c r="Q34" s="6">
        <f>VLOOKUP(DATA_MARZO_202651[[#This Row],[ASER_]],D1_MARZO_202655[[ASESOR_CRR]:[META]],2,0)</f>
        <v>32500</v>
      </c>
      <c r="R34" t="s">
        <v>96</v>
      </c>
      <c r="T34">
        <v>4400</v>
      </c>
      <c r="U34">
        <v>1750</v>
      </c>
      <c r="X34">
        <v>1700</v>
      </c>
      <c r="Z34">
        <v>19000</v>
      </c>
      <c r="AB34">
        <v>1000</v>
      </c>
      <c r="AI34">
        <v>1500</v>
      </c>
      <c r="AK34">
        <v>1285</v>
      </c>
      <c r="AN34">
        <v>4200</v>
      </c>
      <c r="AO34">
        <v>1200</v>
      </c>
      <c r="AR34">
        <v>2950</v>
      </c>
      <c r="AV34" s="54" t="str" cm="1">
        <f t="array" ref="AV34">IFERROR(VLOOKUP(DATA_MARZO_202651[[#This Row],[ASER_]],_xlfn._xlws.FILTER(PLANTILLA[[ASESOR]:[FECHA DE CESE]],PLANTILLA[FECHA]=_xlfn.CONCAT($M$3,"_",_xlfn.IFS($N$3="ENERO","1",$N$3="FEBRERO","2",$N$3="MARZO","3",$N$3="ABRIL","4",$N$3="MAYO","5",$N$3="JUNIO","6",$N$3="JULIO","7",$N$3="AGOSTO","8",$N$3="SETIEMBRE","9",$N$3="OCTUBRE","10",$N$3="NOVIEMBRE","11",$N$3="DICIEMBRE","12"))),8,0),"")</f>
        <v>S0 - IBK</v>
      </c>
      <c r="CM34" t="s">
        <v>636</v>
      </c>
      <c r="CN34" t="s">
        <v>125</v>
      </c>
      <c r="CO34" t="s">
        <v>122</v>
      </c>
      <c r="CP34">
        <v>46106</v>
      </c>
      <c r="CQ34">
        <v>1</v>
      </c>
      <c r="CR34">
        <v>1</v>
      </c>
      <c r="CT34">
        <v>1</v>
      </c>
      <c r="CV34">
        <v>0</v>
      </c>
      <c r="CW34">
        <v>0</v>
      </c>
      <c r="CX34">
        <v>0.14959490740740741</v>
      </c>
      <c r="CY34">
        <v>0.18001157407407409</v>
      </c>
      <c r="CZ34">
        <v>35</v>
      </c>
      <c r="DA34">
        <v>132</v>
      </c>
      <c r="DB34">
        <v>5</v>
      </c>
      <c r="DC34">
        <v>1.4</v>
      </c>
      <c r="DD34">
        <v>31127</v>
      </c>
      <c r="DE34">
        <v>0.1429</v>
      </c>
      <c r="DF34">
        <v>1</v>
      </c>
      <c r="DG34">
        <v>0.2</v>
      </c>
      <c r="DH34">
        <v>2000</v>
      </c>
      <c r="DI34">
        <v>2000</v>
      </c>
      <c r="DJ34">
        <v>2000</v>
      </c>
      <c r="DK34">
        <v>1</v>
      </c>
      <c r="DL34">
        <v>0.30740000000000001</v>
      </c>
      <c r="DM34">
        <v>98</v>
      </c>
      <c r="DN34">
        <v>2000</v>
      </c>
    </row>
    <row r="35" spans="1:118" x14ac:dyDescent="0.25">
      <c r="A35" s="34" t="str" cm="1">
        <f t="array" ref="A35">IFERROR(VLOOKUP(D1_MARZO_202655[[#This Row],[ASESOR_CRR]],_xlfn._xlws.FILTER(PLANTILLA[[ASESOR]:[FECHA DE CESE]],PLANTILLA[FECHA]=_xlfn.CONCAT($M$3,"_",_xlfn.IFS($N$3="ENERO","1",$N$3="FEBRERO","2",$N$3="MARZO","3",$N$3="ABRIL","4",$N$3="MAYO","5",$N$3="JUNIO","6",$N$3="JULIO","7",$N$3="AGOSTO","8",$N$3="SETIEMBRE","9",$N$3="OCTUBRE","10",$N$3="NOVIEMBRE","11",$N$3="DICIEMBRE","12"))),3,0),"")</f>
        <v>LEONOR</v>
      </c>
      <c r="B35" s="34" t="str" cm="1">
        <f t="array" ref="B35">TRIM(IFERROR(_xlfn.IFS(D1_MARZO_202655[[#This Row],[ASESOR]]="ELVIS GUERRA","ELVIS GUERRERA",D1_MARZO_202655[[#This Row],[ASESOR]]="GENESIS VICUÑA","GENESIS VICUNA",D1_MARZO_202655[[#This Row],[ASESOR]]="JENY QUIÑONES","JENY QUINONES",D1_MARZO_202655[[#This Row],[ASESOR]]="NICOLE CAURURO","NICOLE CAURURO"),D1_MARZO_202655[[#This Row],[ASESOR]]))</f>
        <v>VERONICA HUARCA</v>
      </c>
      <c r="C35" s="34" cm="1">
        <f t="array" ref="C35">_xlfn.XLOOKUP(1,(TablaMeta[CONCAT]=$M$3&amp;$N$3&amp;D1_MARZO_202655[[#This Row],[SUPER]])*(TablaMeta[SEGG]=D1_MARZO_202655[[#This Row],[SEGMENTO]]),TablaMeta[Meta_Asesor])</f>
        <v>35000</v>
      </c>
      <c r="D35" s="35">
        <f>IF(D1_MARZO_202655[[#This Row],[RECUPERO]]="VACACIONES","VACACIONES",IFERROR(D1_MARZO_202655[[#This Row],[RECUPERO]]/D1_MARZO_202655[[#This Row],[META]],""))</f>
        <v>0.78377142857142856</v>
      </c>
      <c r="E35" s="35" t="str">
        <f>D1_MARZO_202655[[#This Row],[SUPER]]</f>
        <v>LEONOR</v>
      </c>
      <c r="F35" t="s">
        <v>48</v>
      </c>
      <c r="G35" s="36">
        <v>27432</v>
      </c>
      <c r="H35" cm="1">
        <f t="array" ref="H35">IFERROR(VLOOKUP(D1_MARZO_202655[[#This Row],[ASESOR_CRR]],_xlfn._xlws.FILTER(PLANTILLA[[ASESOR]:[FECHA DE CESE]],PLANTILLA[FECHA]=_xlfn.CONCAT($M$3,"_",_xlfn.IFS($N$3="ENERO","1",$N$3="FEBRERO","2",$N$3="MARZO","3",$N$3="ABRIL","4",$N$3="MAYO","5",$N$3="JUNIO","6",$N$3="JULIO","7",$N$3="AGOSTO","8",$N$3="SETIEMBRE","9",$N$3="OCTUBRE","10",$N$3="NOVIEMBRE","11",$N$3="DICIEMBRE","12"))),2,0),"")</f>
        <v>43307898</v>
      </c>
      <c r="I35" s="55" cm="1">
        <f t="array" ref="I35">IFERROR(VLOOKUP(D1_MARZO_202655[[#This Row],[ASESOR_CRR]],_xlfn._xlws.FILTER(PLANTILLA[[ASESOR]:[FECHA DE CESE]],PLANTILLA[FECHA]=_xlfn.CONCAT($M$3,"_",_xlfn.IFS($N$3="ENERO","1",$N$3="FEBRERO","2",$N$3="MARZO","3",$N$3="ABRIL","4",$N$3="MAYO","5",$N$3="JUNIO","6",$N$3="JULIO","7",$N$3="AGOSTO","8",$N$3="SETIEMBRE","9",$N$3="OCTUBRE","10",$N$3="NOVIEMBRE","11",$N$3="DICIEMBRE","12"))),6,0),"")</f>
        <v>44746</v>
      </c>
      <c r="J35" s="55" t="str" cm="1">
        <f t="array" ref="J35">IFERROR(VLOOKUP(D1_MARZO_202655[[#This Row],[ASESOR_CRR]],_xlfn._xlws.FILTER(PLANTILLA[[ASESOR]:[FECHA DE CESE]],PLANTILLA[FECHA]=_xlfn.CONCAT($M$3,"_",_xlfn.IFS($N$3="ENERO","1",$N$3="FEBRERO","2",$N$3="MARZO","3",$N$3="ABRIL","4",$N$3="MAYO","5",$N$3="JUNIO","6",$N$3="JULIO","7",$N$3="AGOSTO","8",$N$3="SETIEMBRE","9",$N$3="OCTUBRE","10",$N$3="NOVIEMBRE","11",$N$3="DICIEMBRE","12"))),4,0),"")</f>
        <v>CALL</v>
      </c>
      <c r="K35" s="55" t="str" cm="1">
        <f t="array" ref="K35">IFERROR(VLOOKUP(D1_MARZO_202655[[#This Row],[ASESOR_CRR]],_xlfn._xlws.FILTER(PLANTILLA[[ASESOR]:[FECHA DE CESE]],PLANTILLA[FECHA]=_xlfn.CONCAT($M$3,"_",_xlfn.IFS($N$3="ENERO","1",$N$3="FEBRERO","2",$N$3="MARZO","3",$N$3="ABRIL","4",$N$3="MAYO","5",$N$3="JUNIO","6",$N$3="JULIO","7",$N$3="AGOSTO","8",$N$3="SETIEMBRE","9",$N$3="OCTUBRE","10",$N$3="NOVIEMBRE","11",$N$3="DICIEMBRE","12"))),8,0),"")</f>
        <v>S2-3-4 BANCO</v>
      </c>
      <c r="L35" s="55"/>
      <c r="M35" s="5">
        <f>DATA_MARZO_202651[[#This Row],[RECUPERO]]/DATA_MARZO_202651[[#This Row],[META]]</f>
        <v>0.75437500000000002</v>
      </c>
      <c r="N35" s="5">
        <f>6-ROUNDUP(_xlfn.RANK.EQ(DATA_MARZO_202651[[#This Row],[AL_AC]],DATA_MARZO_202651[AL_AC],0)/(COUNTA(DATA_MARZO_202651[AL_AC])/5),0)</f>
        <v>3</v>
      </c>
      <c r="O35" s="54" t="str">
        <f>IFERROR(VLOOKUP(DATA_MARZO_202651[[#This Row],[ASER_]],$B:$G,4,0),"")</f>
        <v>LEONOR</v>
      </c>
      <c r="P35" s="6">
        <f>SUM(DATA_MARZO_202651[[#This Row],[1]:[30]])</f>
        <v>12070</v>
      </c>
      <c r="Q35" s="6">
        <f>VLOOKUP(DATA_MARZO_202651[[#This Row],[ASER_]],D1_MARZO_202655[[ASESOR_CRR]:[META]],2,0)</f>
        <v>16000</v>
      </c>
      <c r="R35" t="s">
        <v>565</v>
      </c>
      <c r="AA35">
        <v>2000</v>
      </c>
      <c r="AB35">
        <v>120</v>
      </c>
      <c r="AC35">
        <v>300</v>
      </c>
      <c r="AD35">
        <v>450</v>
      </c>
      <c r="AH35">
        <v>3000</v>
      </c>
      <c r="AI35" s="6"/>
      <c r="AJ35" s="6">
        <v>400</v>
      </c>
      <c r="AK35" s="6"/>
      <c r="AL35" s="6"/>
      <c r="AM35" s="6"/>
      <c r="AN35" s="6"/>
      <c r="AO35" s="6"/>
      <c r="AR35">
        <v>5800</v>
      </c>
      <c r="AV35" s="54" t="str" cm="1">
        <f t="array" ref="AV35">IFERROR(VLOOKUP(DATA_MARZO_202651[[#This Row],[ASER_]],_xlfn._xlws.FILTER(PLANTILLA[[ASESOR]:[FECHA DE CESE]],PLANTILLA[FECHA]=_xlfn.CONCAT($M$3,"_",_xlfn.IFS($N$3="ENERO","1",$N$3="FEBRERO","2",$N$3="MARZO","3",$N$3="ABRIL","4",$N$3="MAYO","5",$N$3="JUNIO","6",$N$3="JULIO","7",$N$3="AGOSTO","8",$N$3="SETIEMBRE","9",$N$3="OCTUBRE","10",$N$3="NOVIEMBRE","11",$N$3="DICIEMBRE","12"))),8,0),"")</f>
        <v>S2-3-4 MIX</v>
      </c>
      <c r="CM35" t="s">
        <v>636</v>
      </c>
      <c r="CN35" t="s">
        <v>125</v>
      </c>
      <c r="CO35" t="s">
        <v>206</v>
      </c>
      <c r="CP35">
        <v>46099</v>
      </c>
      <c r="CQ35">
        <v>1</v>
      </c>
      <c r="CR35">
        <v>1</v>
      </c>
      <c r="CT35">
        <v>1</v>
      </c>
      <c r="CV35">
        <v>2.5462962962962961E-4</v>
      </c>
      <c r="CW35">
        <v>2.5462962962962961E-4</v>
      </c>
      <c r="CX35">
        <v>0.20800925925925925</v>
      </c>
      <c r="CY35">
        <v>0.1504513888888889</v>
      </c>
      <c r="CZ35">
        <v>144</v>
      </c>
      <c r="DA35">
        <v>327</v>
      </c>
      <c r="DB35">
        <v>25</v>
      </c>
      <c r="DC35">
        <v>2.04</v>
      </c>
      <c r="DD35">
        <v>20001</v>
      </c>
      <c r="DE35">
        <v>0.1736</v>
      </c>
      <c r="DF35">
        <v>2</v>
      </c>
      <c r="DG35">
        <v>0.08</v>
      </c>
      <c r="DH35">
        <v>4027</v>
      </c>
      <c r="DI35">
        <v>2014</v>
      </c>
      <c r="DJ35">
        <v>4027</v>
      </c>
      <c r="DK35">
        <v>1</v>
      </c>
      <c r="DL35">
        <v>0.1963</v>
      </c>
      <c r="DM35">
        <v>98</v>
      </c>
      <c r="DN35">
        <v>2014</v>
      </c>
    </row>
    <row r="36" spans="1:118" x14ac:dyDescent="0.25">
      <c r="A36" s="34" t="str" cm="1">
        <f t="array" ref="A36">IFERROR(VLOOKUP(D1_MARZO_202655[[#This Row],[ASESOR_CRR]],_xlfn._xlws.FILTER(PLANTILLA[[ASESOR]:[FECHA DE CESE]],PLANTILLA[FECHA]=_xlfn.CONCAT($M$3,"_",_xlfn.IFS($N$3="ENERO","1",$N$3="FEBRERO","2",$N$3="MARZO","3",$N$3="ABRIL","4",$N$3="MAYO","5",$N$3="JUNIO","6",$N$3="JULIO","7",$N$3="AGOSTO","8",$N$3="SETIEMBRE","9",$N$3="OCTUBRE","10",$N$3="NOVIEMBRE","11",$N$3="DICIEMBRE","12"))),3,0),"")</f>
        <v>LEONOR</v>
      </c>
      <c r="B36" s="34" t="str" cm="1">
        <f t="array" ref="B36">TRIM(IFERROR(_xlfn.IFS(D1_MARZO_202655[[#This Row],[ASESOR]]="ELVIS GUERRA","ELVIS GUERRERA",D1_MARZO_202655[[#This Row],[ASESOR]]="GENESIS VICUÑA","GENESIS VICUNA",D1_MARZO_202655[[#This Row],[ASESOR]]="JENY QUIÑONES","JENY QUINONES",D1_MARZO_202655[[#This Row],[ASESOR]]="NICOLE CAURURO","NICOLE CAURURO"),D1_MARZO_202655[[#This Row],[ASESOR]]))</f>
        <v>JANETH PORTOCARRERO</v>
      </c>
      <c r="C36" s="34" cm="1">
        <f t="array" ref="C36">_xlfn.XLOOKUP(1,(TablaMeta[CONCAT]=$M$3&amp;$N$3&amp;D1_MARZO_202655[[#This Row],[SUPER]])*(TablaMeta[SEGG]=D1_MARZO_202655[[#This Row],[SEGMENTO]]),TablaMeta[Meta_Asesor])</f>
        <v>35000</v>
      </c>
      <c r="D36" s="35">
        <f>IF(D1_MARZO_202655[[#This Row],[RECUPERO]]="VACACIONES","VACACIONES",IFERROR(D1_MARZO_202655[[#This Row],[RECUPERO]]/D1_MARZO_202655[[#This Row],[META]],""))</f>
        <v>0.63897142857142852</v>
      </c>
      <c r="E36" s="35" t="str">
        <f>D1_MARZO_202655[[#This Row],[SUPER]]</f>
        <v>LEONOR</v>
      </c>
      <c r="F36" t="s">
        <v>49</v>
      </c>
      <c r="G36" s="36">
        <v>22364</v>
      </c>
      <c r="H36" cm="1">
        <f t="array" ref="H36">IFERROR(VLOOKUP(D1_MARZO_202655[[#This Row],[ASESOR_CRR]],_xlfn._xlws.FILTER(PLANTILLA[[ASESOR]:[FECHA DE CESE]],PLANTILLA[FECHA]=_xlfn.CONCAT($M$3,"_",_xlfn.IFS($N$3="ENERO","1",$N$3="FEBRERO","2",$N$3="MARZO","3",$N$3="ABRIL","4",$N$3="MAYO","5",$N$3="JUNIO","6",$N$3="JULIO","7",$N$3="AGOSTO","8",$N$3="SETIEMBRE","9",$N$3="OCTUBRE","10",$N$3="NOVIEMBRE","11",$N$3="DICIEMBRE","12"))),2,0),"")</f>
        <v>40702064</v>
      </c>
      <c r="I36" s="55" cm="1">
        <f t="array" ref="I36">IFERROR(VLOOKUP(D1_MARZO_202655[[#This Row],[ASESOR_CRR]],_xlfn._xlws.FILTER(PLANTILLA[[ASESOR]:[FECHA DE CESE]],PLANTILLA[FECHA]=_xlfn.CONCAT($M$3,"_",_xlfn.IFS($N$3="ENERO","1",$N$3="FEBRERO","2",$N$3="MARZO","3",$N$3="ABRIL","4",$N$3="MAYO","5",$N$3="JUNIO","6",$N$3="JULIO","7",$N$3="AGOSTO","8",$N$3="SETIEMBRE","9",$N$3="OCTUBRE","10",$N$3="NOVIEMBRE","11",$N$3="DICIEMBRE","12"))),6,0),"")</f>
        <v>43313</v>
      </c>
      <c r="J36" s="55" t="str" cm="1">
        <f t="array" ref="J36">IFERROR(VLOOKUP(D1_MARZO_202655[[#This Row],[ASESOR_CRR]],_xlfn._xlws.FILTER(PLANTILLA[[ASESOR]:[FECHA DE CESE]],PLANTILLA[FECHA]=_xlfn.CONCAT($M$3,"_",_xlfn.IFS($N$3="ENERO","1",$N$3="FEBRERO","2",$N$3="MARZO","3",$N$3="ABRIL","4",$N$3="MAYO","5",$N$3="JUNIO","6",$N$3="JULIO","7",$N$3="AGOSTO","8",$N$3="SETIEMBRE","9",$N$3="OCTUBRE","10",$N$3="NOVIEMBRE","11",$N$3="DICIEMBRE","12"))),4,0),"")</f>
        <v>CALL</v>
      </c>
      <c r="K36" s="55" t="str" cm="1">
        <f t="array" ref="K36">IFERROR(VLOOKUP(D1_MARZO_202655[[#This Row],[ASESOR_CRR]],_xlfn._xlws.FILTER(PLANTILLA[[ASESOR]:[FECHA DE CESE]],PLANTILLA[FECHA]=_xlfn.CONCAT($M$3,"_",_xlfn.IFS($N$3="ENERO","1",$N$3="FEBRERO","2",$N$3="MARZO","3",$N$3="ABRIL","4",$N$3="MAYO","5",$N$3="JUNIO","6",$N$3="JULIO","7",$N$3="AGOSTO","8",$N$3="SETIEMBRE","9",$N$3="OCTUBRE","10",$N$3="NOVIEMBRE","11",$N$3="DICIEMBRE","12"))),8,0),"")</f>
        <v>S2-3-4 BANCO</v>
      </c>
      <c r="L36" s="55"/>
      <c r="M36" s="5">
        <f>DATA_MARZO_202651[[#This Row],[RECUPERO]]/DATA_MARZO_202651[[#This Row],[META]]</f>
        <v>0.50285714285714289</v>
      </c>
      <c r="N36" s="5">
        <f>6-ROUNDUP(_xlfn.RANK.EQ(DATA_MARZO_202651[[#This Row],[AL_AC]],DATA_MARZO_202651[AL_AC],0)/(COUNTA(DATA_MARZO_202651[AL_AC])/5),0)</f>
        <v>1</v>
      </c>
      <c r="O36" s="54" t="str">
        <f>IFERROR(VLOOKUP(DATA_MARZO_202651[[#This Row],[ASER_]],$B:$G,4,0),"")</f>
        <v>JORGE</v>
      </c>
      <c r="P36" s="6">
        <f>SUM(DATA_MARZO_202651[[#This Row],[1]:[30]])</f>
        <v>28160</v>
      </c>
      <c r="Q36" s="6">
        <f>VLOOKUP(DATA_MARZO_202651[[#This Row],[ASER_]],D1_MARZO_202655[[ASESOR_CRR]:[META]],2,0)</f>
        <v>56000</v>
      </c>
      <c r="R36" t="s">
        <v>65</v>
      </c>
      <c r="T36">
        <v>700</v>
      </c>
      <c r="W36">
        <v>1000</v>
      </c>
      <c r="X36">
        <v>350</v>
      </c>
      <c r="AA36">
        <v>2308</v>
      </c>
      <c r="AH36">
        <v>2500</v>
      </c>
      <c r="AI36" s="6"/>
      <c r="AJ36" s="6"/>
      <c r="AK36" s="6">
        <v>2750</v>
      </c>
      <c r="AL36" s="6"/>
      <c r="AM36" s="6"/>
      <c r="AN36" s="6">
        <v>7000</v>
      </c>
      <c r="AO36" s="6"/>
      <c r="AP36">
        <v>350</v>
      </c>
      <c r="AQ36">
        <v>800</v>
      </c>
      <c r="AR36">
        <v>5402</v>
      </c>
      <c r="AU36">
        <v>5000</v>
      </c>
      <c r="AV36" s="54" t="str" cm="1">
        <f t="array" ref="AV36">IFERROR(VLOOKUP(DATA_MARZO_202651[[#This Row],[ASER_]],_xlfn._xlws.FILTER(PLANTILLA[[ASESOR]:[FECHA DE CESE]],PLANTILLA[FECHA]=_xlfn.CONCAT($M$3,"_",_xlfn.IFS($N$3="ENERO","1",$N$3="FEBRERO","2",$N$3="MARZO","3",$N$3="ABRIL","4",$N$3="MAYO","5",$N$3="JUNIO","6",$N$3="JULIO","7",$N$3="AGOSTO","8",$N$3="SETIEMBRE","9",$N$3="OCTUBRE","10",$N$3="NOVIEMBRE","11",$N$3="DICIEMBRE","12"))),8,0),"")</f>
        <v>S1</v>
      </c>
      <c r="CM36" t="s">
        <v>636</v>
      </c>
      <c r="CN36" t="s">
        <v>125</v>
      </c>
      <c r="CO36" t="s">
        <v>59</v>
      </c>
      <c r="CP36">
        <v>46107</v>
      </c>
      <c r="CQ36">
        <v>1</v>
      </c>
      <c r="CR36">
        <v>1</v>
      </c>
      <c r="CT36">
        <v>1</v>
      </c>
      <c r="CV36">
        <v>1.0416666666666667E-4</v>
      </c>
      <c r="CW36">
        <v>1.0416666666666667E-4</v>
      </c>
      <c r="CX36">
        <v>0.27754629629629629</v>
      </c>
      <c r="CY36">
        <v>6.940972222222222E-2</v>
      </c>
      <c r="CZ36">
        <v>183</v>
      </c>
      <c r="DA36">
        <v>318</v>
      </c>
      <c r="DB36">
        <v>15</v>
      </c>
      <c r="DC36" t="s">
        <v>1015</v>
      </c>
      <c r="DD36">
        <v>35267</v>
      </c>
      <c r="DE36">
        <v>8.2000000000000003E-2</v>
      </c>
      <c r="DF36">
        <v>1</v>
      </c>
      <c r="DG36">
        <v>6.6699999999999995E-2</v>
      </c>
      <c r="DH36">
        <v>1500</v>
      </c>
      <c r="DI36">
        <v>1500</v>
      </c>
      <c r="DJ36">
        <v>1500</v>
      </c>
      <c r="DK36">
        <v>1</v>
      </c>
      <c r="DL36">
        <v>0.12620000000000001</v>
      </c>
      <c r="DM36">
        <v>98</v>
      </c>
      <c r="DN36">
        <v>1500</v>
      </c>
    </row>
    <row r="37" spans="1:118" x14ac:dyDescent="0.25">
      <c r="A37" s="34" t="str" cm="1">
        <f t="array" ref="A37">IFERROR(VLOOKUP(D1_MARZO_202655[[#This Row],[ASESOR_CRR]],_xlfn._xlws.FILTER(PLANTILLA[[ASESOR]:[FECHA DE CESE]],PLANTILLA[FECHA]=_xlfn.CONCAT($M$3,"_",_xlfn.IFS($N$3="ENERO","1",$N$3="FEBRERO","2",$N$3="MARZO","3",$N$3="ABRIL","4",$N$3="MAYO","5",$N$3="JUNIO","6",$N$3="JULIO","7",$N$3="AGOSTO","8",$N$3="SETIEMBRE","9",$N$3="OCTUBRE","10",$N$3="NOVIEMBRE","11",$N$3="DICIEMBRE","12"))),3,0),"")</f>
        <v>LEONOR</v>
      </c>
      <c r="B37" s="34" t="str" cm="1">
        <f t="array" ref="B37">TRIM(IFERROR(_xlfn.IFS(D1_MARZO_202655[[#This Row],[ASESOR]]="ELVIS GUERRA","ELVIS GUERRERA",D1_MARZO_202655[[#This Row],[ASESOR]]="GENESIS VICUÑA","GENESIS VICUNA",D1_MARZO_202655[[#This Row],[ASESOR]]="JENY QUIÑONES","JENY QUINONES",D1_MARZO_202655[[#This Row],[ASESOR]]="NICOLE CAURURO","NICOLE CAURURO"),D1_MARZO_202655[[#This Row],[ASESOR]]))</f>
        <v>SARITA GARAY</v>
      </c>
      <c r="C37" s="34" cm="1">
        <f t="array" ref="C37">_xlfn.XLOOKUP(1,(TablaMeta[CONCAT]=$M$3&amp;$N$3&amp;D1_MARZO_202655[[#This Row],[SUPER]])*(TablaMeta[SEGG]=D1_MARZO_202655[[#This Row],[SEGMENTO]]),TablaMeta[Meta_Asesor])</f>
        <v>35000</v>
      </c>
      <c r="D37" s="35">
        <f>IF(D1_MARZO_202655[[#This Row],[RECUPERO]]="VACACIONES","VACACIONES",IFERROR(D1_MARZO_202655[[#This Row],[RECUPERO]]/D1_MARZO_202655[[#This Row],[META]],""))</f>
        <v>0.74757142857142855</v>
      </c>
      <c r="E37" s="35" t="str">
        <f>D1_MARZO_202655[[#This Row],[SUPER]]</f>
        <v>LEONOR</v>
      </c>
      <c r="F37" t="s">
        <v>73</v>
      </c>
      <c r="G37" s="36">
        <v>26165</v>
      </c>
      <c r="H37" cm="1">
        <f t="array" ref="H37">IFERROR(VLOOKUP(D1_MARZO_202655[[#This Row],[ASESOR_CRR]],_xlfn._xlws.FILTER(PLANTILLA[[ASESOR]:[FECHA DE CESE]],PLANTILLA[FECHA]=_xlfn.CONCAT($M$3,"_",_xlfn.IFS($N$3="ENERO","1",$N$3="FEBRERO","2",$N$3="MARZO","3",$N$3="ABRIL","4",$N$3="MAYO","5",$N$3="JUNIO","6",$N$3="JULIO","7",$N$3="AGOSTO","8",$N$3="SETIEMBRE","9",$N$3="OCTUBRE","10",$N$3="NOVIEMBRE","11",$N$3="DICIEMBRE","12"))),2,0),"")</f>
        <v>40318129</v>
      </c>
      <c r="I37" s="55" cm="1">
        <f t="array" ref="I37">IFERROR(VLOOKUP(D1_MARZO_202655[[#This Row],[ASESOR_CRR]],_xlfn._xlws.FILTER(PLANTILLA[[ASESOR]:[FECHA DE CESE]],PLANTILLA[FECHA]=_xlfn.CONCAT($M$3,"_",_xlfn.IFS($N$3="ENERO","1",$N$3="FEBRERO","2",$N$3="MARZO","3",$N$3="ABRIL","4",$N$3="MAYO","5",$N$3="JUNIO","6",$N$3="JULIO","7",$N$3="AGOSTO","8",$N$3="SETIEMBRE","9",$N$3="OCTUBRE","10",$N$3="NOVIEMBRE","11",$N$3="DICIEMBRE","12"))),6,0),"")</f>
        <v>45141</v>
      </c>
      <c r="J37" s="55" t="str" cm="1">
        <f t="array" ref="J37">IFERROR(VLOOKUP(D1_MARZO_202655[[#This Row],[ASESOR_CRR]],_xlfn._xlws.FILTER(PLANTILLA[[ASESOR]:[FECHA DE CESE]],PLANTILLA[FECHA]=_xlfn.CONCAT($M$3,"_",_xlfn.IFS($N$3="ENERO","1",$N$3="FEBRERO","2",$N$3="MARZO","3",$N$3="ABRIL","4",$N$3="MAYO","5",$N$3="JUNIO","6",$N$3="JULIO","7",$N$3="AGOSTO","8",$N$3="SETIEMBRE","9",$N$3="OCTUBRE","10",$N$3="NOVIEMBRE","11",$N$3="DICIEMBRE","12"))),4,0),"")</f>
        <v>CALL</v>
      </c>
      <c r="K37" s="55" t="str" cm="1">
        <f t="array" ref="K37">IFERROR(VLOOKUP(D1_MARZO_202655[[#This Row],[ASESOR_CRR]],_xlfn._xlws.FILTER(PLANTILLA[[ASESOR]:[FECHA DE CESE]],PLANTILLA[FECHA]=_xlfn.CONCAT($M$3,"_",_xlfn.IFS($N$3="ENERO","1",$N$3="FEBRERO","2",$N$3="MARZO","3",$N$3="ABRIL","4",$N$3="MAYO","5",$N$3="JUNIO","6",$N$3="JULIO","7",$N$3="AGOSTO","8",$N$3="SETIEMBRE","9",$N$3="OCTUBRE","10",$N$3="NOVIEMBRE","11",$N$3="DICIEMBRE","12"))),8,0),"")</f>
        <v>S2-3-4 BANCO</v>
      </c>
      <c r="L37" s="55"/>
      <c r="M37" s="5">
        <f>DATA_MARZO_202651[[#This Row],[RECUPERO]]/DATA_MARZO_202651[[#This Row],[META]]</f>
        <v>0.40381976744186049</v>
      </c>
      <c r="N37" s="5">
        <f>6-ROUNDUP(_xlfn.RANK.EQ(DATA_MARZO_202651[[#This Row],[AL_AC]],DATA_MARZO_202651[AL_AC],0)/(COUNTA(DATA_MARZO_202651[AL_AC])/5),0)</f>
        <v>1</v>
      </c>
      <c r="O37" s="54" t="str">
        <f>IFERROR(VLOOKUP(DATA_MARZO_202651[[#This Row],[ASER_]],$B:$G,4,0),"")</f>
        <v>KENNETH</v>
      </c>
      <c r="P37" s="6">
        <f>SUM(DATA_MARZO_202651[[#This Row],[1]:[30]])</f>
        <v>34728.5</v>
      </c>
      <c r="Q37" s="6">
        <f>VLOOKUP(DATA_MARZO_202651[[#This Row],[ASER_]],D1_MARZO_202655[[ASESOR_CRR]:[META]],2,0)</f>
        <v>86000</v>
      </c>
      <c r="R37" t="s">
        <v>37</v>
      </c>
      <c r="S37">
        <v>266.5</v>
      </c>
      <c r="U37">
        <v>1000</v>
      </c>
      <c r="V37">
        <v>150</v>
      </c>
      <c r="W37">
        <v>3300</v>
      </c>
      <c r="X37">
        <v>100</v>
      </c>
      <c r="Z37">
        <v>200</v>
      </c>
      <c r="AC37">
        <v>3800</v>
      </c>
      <c r="AD37">
        <v>500</v>
      </c>
      <c r="AG37">
        <v>2300</v>
      </c>
      <c r="AH37">
        <v>5150</v>
      </c>
      <c r="AI37" s="6"/>
      <c r="AJ37" s="6"/>
      <c r="AK37" s="6">
        <v>3022</v>
      </c>
      <c r="AL37" s="6"/>
      <c r="AM37" s="6"/>
      <c r="AN37" s="6"/>
      <c r="AO37" s="6"/>
      <c r="AP37">
        <v>3440</v>
      </c>
      <c r="AQ37">
        <v>3000</v>
      </c>
      <c r="AU37">
        <v>8500</v>
      </c>
      <c r="AV37" s="54" t="str" cm="1">
        <f t="array" ref="AV37">IFERROR(VLOOKUP(DATA_MARZO_202651[[#This Row],[ASER_]],_xlfn._xlws.FILTER(PLANTILLA[[ASESOR]:[FECHA DE CESE]],PLANTILLA[FECHA]=_xlfn.CONCAT($M$3,"_",_xlfn.IFS($N$3="ENERO","1",$N$3="FEBRERO","2",$N$3="MARZO","3",$N$3="ABRIL","4",$N$3="MAYO","5",$N$3="JUNIO","6",$N$3="JULIO","7",$N$3="AGOSTO","8",$N$3="SETIEMBRE","9",$N$3="OCTUBRE","10",$N$3="NOVIEMBRE","11",$N$3="DICIEMBRE","12"))),8,0),"")</f>
        <v>S0 - BBVA</v>
      </c>
      <c r="CM37" t="s">
        <v>636</v>
      </c>
      <c r="CN37" t="s">
        <v>2</v>
      </c>
      <c r="CO37" t="s">
        <v>23</v>
      </c>
      <c r="CP37">
        <v>46093</v>
      </c>
      <c r="CQ37">
        <v>1</v>
      </c>
      <c r="CR37">
        <v>1</v>
      </c>
      <c r="CT37">
        <v>1</v>
      </c>
      <c r="CV37">
        <v>5.7870370370370373E-5</v>
      </c>
      <c r="CW37">
        <v>5.7870370370370373E-5</v>
      </c>
      <c r="CX37">
        <v>0.21956018518518519</v>
      </c>
      <c r="CY37">
        <v>0.13686342592592593</v>
      </c>
      <c r="CZ37">
        <v>40</v>
      </c>
      <c r="DA37">
        <v>98</v>
      </c>
      <c r="DB37">
        <v>20</v>
      </c>
      <c r="DC37">
        <v>1.85</v>
      </c>
      <c r="DD37">
        <v>37920</v>
      </c>
      <c r="DE37">
        <v>0.5</v>
      </c>
      <c r="DF37">
        <v>2</v>
      </c>
      <c r="DG37">
        <v>0.1</v>
      </c>
      <c r="DH37">
        <v>666</v>
      </c>
      <c r="DI37">
        <v>333</v>
      </c>
      <c r="DJ37">
        <v>666</v>
      </c>
      <c r="DK37">
        <v>1</v>
      </c>
      <c r="DL37">
        <v>0.3085</v>
      </c>
      <c r="DM37">
        <v>98</v>
      </c>
      <c r="DN37">
        <v>333</v>
      </c>
    </row>
    <row r="38" spans="1:118" x14ac:dyDescent="0.25">
      <c r="A38" s="34" t="str" cm="1">
        <f t="array" ref="A38">IFERROR(VLOOKUP(D1_MARZO_202655[[#This Row],[ASESOR_CRR]],_xlfn._xlws.FILTER(PLANTILLA[[ASESOR]:[FECHA DE CESE]],PLANTILLA[FECHA]=_xlfn.CONCAT($M$3,"_",_xlfn.IFS($N$3="ENERO","1",$N$3="FEBRERO","2",$N$3="MARZO","3",$N$3="ABRIL","4",$N$3="MAYO","5",$N$3="JUNIO","6",$N$3="JULIO","7",$N$3="AGOSTO","8",$N$3="SETIEMBRE","9",$N$3="OCTUBRE","10",$N$3="NOVIEMBRE","11",$N$3="DICIEMBRE","12"))),3,0),"")</f>
        <v>JOHAN</v>
      </c>
      <c r="B38" s="34" t="str" cm="1">
        <f t="array" ref="B38">TRIM(IFERROR(_xlfn.IFS(D1_MARZO_202655[[#This Row],[ASESOR]]="ELVIS GUERRA","ELVIS GUERRERA",D1_MARZO_202655[[#This Row],[ASESOR]]="GENESIS VICUÑA","GENESIS VICUNA",D1_MARZO_202655[[#This Row],[ASESOR]]="JENY QUIÑONES","JENY QUINONES",D1_MARZO_202655[[#This Row],[ASESOR]]="NICOLE CAURURO","NICOLE CAURURO"),D1_MARZO_202655[[#This Row],[ASESOR]]))</f>
        <v>PIERINA TESEN</v>
      </c>
      <c r="C38" s="34" cm="1">
        <f t="array" ref="C38">_xlfn.XLOOKUP(1,(TablaMeta[CONCAT]=$M$3&amp;$N$3&amp;D1_MARZO_202655[[#This Row],[SUPER]])*(TablaMeta[SEGG]=D1_MARZO_202655[[#This Row],[SEGMENTO]]),TablaMeta[Meta_Asesor])</f>
        <v>56000</v>
      </c>
      <c r="D38" s="35">
        <f>IF(D1_MARZO_202655[[#This Row],[RECUPERO]]="VACACIONES","VACACIONES",IFERROR(D1_MARZO_202655[[#This Row],[RECUPERO]]/D1_MARZO_202655[[#This Row],[META]],""))</f>
        <v>0.89485714285714291</v>
      </c>
      <c r="E38" s="35" t="str">
        <f>D1_MARZO_202655[[#This Row],[SUPER]]</f>
        <v>JOHAN</v>
      </c>
      <c r="F38" t="s">
        <v>59</v>
      </c>
      <c r="G38" s="36">
        <v>50112</v>
      </c>
      <c r="H38" cm="1">
        <f t="array" ref="H38">IFERROR(VLOOKUP(D1_MARZO_202655[[#This Row],[ASESOR_CRR]],_xlfn._xlws.FILTER(PLANTILLA[[ASESOR]:[FECHA DE CESE]],PLANTILLA[FECHA]=_xlfn.CONCAT($M$3,"_",_xlfn.IFS($N$3="ENERO","1",$N$3="FEBRERO","2",$N$3="MARZO","3",$N$3="ABRIL","4",$N$3="MAYO","5",$N$3="JUNIO","6",$N$3="JULIO","7",$N$3="AGOSTO","8",$N$3="SETIEMBRE","9",$N$3="OCTUBRE","10",$N$3="NOVIEMBRE","11",$N$3="DICIEMBRE","12"))),2,0),"")</f>
        <v>60870839</v>
      </c>
      <c r="I38" s="55" cm="1">
        <f t="array" ref="I38">IFERROR(VLOOKUP(D1_MARZO_202655[[#This Row],[ASESOR_CRR]],_xlfn._xlws.FILTER(PLANTILLA[[ASESOR]:[FECHA DE CESE]],PLANTILLA[FECHA]=_xlfn.CONCAT($M$3,"_",_xlfn.IFS($N$3="ENERO","1",$N$3="FEBRERO","2",$N$3="MARZO","3",$N$3="ABRIL","4",$N$3="MAYO","5",$N$3="JUNIO","6",$N$3="JULIO","7",$N$3="AGOSTO","8",$N$3="SETIEMBRE","9",$N$3="OCTUBRE","10",$N$3="NOVIEMBRE","11",$N$3="DICIEMBRE","12"))),6,0),"")</f>
        <v>45344</v>
      </c>
      <c r="J38" s="55" t="str" cm="1">
        <f t="array" ref="J38">IFERROR(VLOOKUP(D1_MARZO_202655[[#This Row],[ASESOR_CRR]],_xlfn._xlws.FILTER(PLANTILLA[[ASESOR]:[FECHA DE CESE]],PLANTILLA[FECHA]=_xlfn.CONCAT($M$3,"_",_xlfn.IFS($N$3="ENERO","1",$N$3="FEBRERO","2",$N$3="MARZO","3",$N$3="ABRIL","4",$N$3="MAYO","5",$N$3="JUNIO","6",$N$3="JULIO","7",$N$3="AGOSTO","8",$N$3="SETIEMBRE","9",$N$3="OCTUBRE","10",$N$3="NOVIEMBRE","11",$N$3="DICIEMBRE","12"))),4,0),"")</f>
        <v>CALL</v>
      </c>
      <c r="K38" s="55" t="str" cm="1">
        <f t="array" ref="K38">IFERROR(VLOOKUP(D1_MARZO_202655[[#This Row],[ASESOR_CRR]],_xlfn._xlws.FILTER(PLANTILLA[[ASESOR]:[FECHA DE CESE]],PLANTILLA[FECHA]=_xlfn.CONCAT($M$3,"_",_xlfn.IFS($N$3="ENERO","1",$N$3="FEBRERO","2",$N$3="MARZO","3",$N$3="ABRIL","4",$N$3="MAYO","5",$N$3="JUNIO","6",$N$3="JULIO","7",$N$3="AGOSTO","8",$N$3="SETIEMBRE","9",$N$3="OCTUBRE","10",$N$3="NOVIEMBRE","11",$N$3="DICIEMBRE","12"))),8,0),"")</f>
        <v>S1</v>
      </c>
      <c r="L38" s="55"/>
      <c r="M38" s="5">
        <f>DATA_MARZO_202651[[#This Row],[RECUPERO]]/DATA_MARZO_202651[[#This Row],[META]]</f>
        <v>0.65249999999999997</v>
      </c>
      <c r="N38" s="5">
        <f>6-ROUNDUP(_xlfn.RANK.EQ(DATA_MARZO_202651[[#This Row],[AL_AC]],DATA_MARZO_202651[AL_AC],0)/(COUNTA(DATA_MARZO_202651[AL_AC])/5),0)</f>
        <v>2</v>
      </c>
      <c r="O38" s="54" t="str">
        <f>IFERROR(VLOOKUP(DATA_MARZO_202651[[#This Row],[ASER_]],$B:$G,4,0),"")</f>
        <v>LEONOR</v>
      </c>
      <c r="P38" s="6">
        <f>SUM(DATA_MARZO_202651[[#This Row],[1]:[30]])</f>
        <v>10440</v>
      </c>
      <c r="Q38" s="6">
        <f>VLOOKUP(DATA_MARZO_202651[[#This Row],[ASER_]],D1_MARZO_202655[[ASESOR_CRR]:[META]],2,0)</f>
        <v>16000</v>
      </c>
      <c r="R38" t="s">
        <v>549</v>
      </c>
      <c r="T38">
        <v>350</v>
      </c>
      <c r="U38">
        <v>970</v>
      </c>
      <c r="W38" s="5">
        <v>250</v>
      </c>
      <c r="X38" s="6">
        <v>50</v>
      </c>
      <c r="Y38" s="6"/>
      <c r="Z38" s="6"/>
      <c r="AA38" s="6">
        <v>300</v>
      </c>
      <c r="AB38" s="6"/>
      <c r="AC38" s="6"/>
      <c r="AD38" s="6"/>
      <c r="AE38" s="6"/>
      <c r="AF38" s="6"/>
      <c r="AG38" s="6"/>
      <c r="AH38" s="6"/>
      <c r="AI38" s="6"/>
      <c r="AJ38" s="6">
        <v>3000</v>
      </c>
      <c r="AK38" s="6"/>
      <c r="AL38" s="6"/>
      <c r="AM38" s="6"/>
      <c r="AN38" s="6"/>
      <c r="AO38" s="6"/>
      <c r="AP38" s="6">
        <v>200</v>
      </c>
      <c r="AQ38" s="6">
        <v>1500</v>
      </c>
      <c r="AR38" s="6">
        <v>3320</v>
      </c>
      <c r="AS38" s="6"/>
      <c r="AT38" s="6"/>
      <c r="AU38" s="6">
        <v>500</v>
      </c>
      <c r="AV38" s="54" t="str" cm="1">
        <f t="array" ref="AV38">IFERROR(VLOOKUP(DATA_MARZO_202651[[#This Row],[ASER_]],_xlfn._xlws.FILTER(PLANTILLA[[ASESOR]:[FECHA DE CESE]],PLANTILLA[FECHA]=_xlfn.CONCAT($M$3,"_",_xlfn.IFS($N$3="ENERO","1",$N$3="FEBRERO","2",$N$3="MARZO","3",$N$3="ABRIL","4",$N$3="MAYO","5",$N$3="JUNIO","6",$N$3="JULIO","7",$N$3="AGOSTO","8",$N$3="SETIEMBRE","9",$N$3="OCTUBRE","10",$N$3="NOVIEMBRE","11",$N$3="DICIEMBRE","12"))),8,0),"")</f>
        <v>S2-3-4 MIX</v>
      </c>
      <c r="CM38" t="s">
        <v>636</v>
      </c>
      <c r="CN38" t="s">
        <v>6</v>
      </c>
      <c r="CO38" t="s">
        <v>35</v>
      </c>
      <c r="CP38">
        <v>46084</v>
      </c>
      <c r="CQ38">
        <v>1</v>
      </c>
      <c r="CR38">
        <v>1</v>
      </c>
      <c r="CT38">
        <v>1</v>
      </c>
      <c r="CV38">
        <v>1.7361111111111112E-4</v>
      </c>
      <c r="CW38">
        <v>1.7361111111111112E-4</v>
      </c>
      <c r="CX38">
        <v>0.16277777777777777</v>
      </c>
      <c r="CY38">
        <v>0.21141203703703704</v>
      </c>
      <c r="CZ38">
        <v>60</v>
      </c>
      <c r="DA38">
        <v>120</v>
      </c>
      <c r="DB38">
        <v>21</v>
      </c>
      <c r="DC38">
        <v>2</v>
      </c>
      <c r="DD38">
        <v>26144</v>
      </c>
      <c r="DE38">
        <v>0.35</v>
      </c>
      <c r="DF38">
        <v>5</v>
      </c>
      <c r="DG38">
        <v>0.23810000000000001</v>
      </c>
      <c r="DH38">
        <v>6350</v>
      </c>
      <c r="DI38">
        <v>1270</v>
      </c>
      <c r="DJ38">
        <v>6350</v>
      </c>
      <c r="DK38">
        <v>1</v>
      </c>
      <c r="DL38">
        <v>0.59689999999999999</v>
      </c>
      <c r="DM38">
        <v>98</v>
      </c>
      <c r="DN38">
        <v>1270</v>
      </c>
    </row>
    <row r="39" spans="1:118" x14ac:dyDescent="0.25">
      <c r="A39" s="34" t="str" cm="1">
        <f t="array" ref="A39">IFERROR(VLOOKUP(D1_MARZO_202655[[#This Row],[ASESOR_CRR]],_xlfn._xlws.FILTER(PLANTILLA[[ASESOR]:[FECHA DE CESE]],PLANTILLA[FECHA]=_xlfn.CONCAT($M$3,"_",_xlfn.IFS($N$3="ENERO","1",$N$3="FEBRERO","2",$N$3="MARZO","3",$N$3="ABRIL","4",$N$3="MAYO","5",$N$3="JUNIO","6",$N$3="JULIO","7",$N$3="AGOSTO","8",$N$3="SETIEMBRE","9",$N$3="OCTUBRE","10",$N$3="NOVIEMBRE","11",$N$3="DICIEMBRE","12"))),3,0),"")</f>
        <v>JOHAN</v>
      </c>
      <c r="B39" s="34" t="str" cm="1">
        <f t="array" ref="B39">TRIM(IFERROR(_xlfn.IFS(D1_MARZO_202655[[#This Row],[ASESOR]]="ELVIS GUERRA","ELVIS GUERRERA",D1_MARZO_202655[[#This Row],[ASESOR]]="GENESIS VICUÑA","GENESIS VICUNA",D1_MARZO_202655[[#This Row],[ASESOR]]="JENY QUIÑONES","JENY QUINONES",D1_MARZO_202655[[#This Row],[ASESOR]]="NICOLE CAURURO","NICOLE CAURURO"),D1_MARZO_202655[[#This Row],[ASESOR]]))</f>
        <v>CRISTINA TICONA</v>
      </c>
      <c r="C39" s="34" cm="1">
        <f t="array" ref="C39">_xlfn.XLOOKUP(1,(TablaMeta[CONCAT]=$M$3&amp;$N$3&amp;D1_MARZO_202655[[#This Row],[SUPER]])*(TablaMeta[SEGG]=D1_MARZO_202655[[#This Row],[SEGMENTO]]),TablaMeta[Meta_Asesor])</f>
        <v>56000</v>
      </c>
      <c r="D39" s="35">
        <f>IF(D1_MARZO_202655[[#This Row],[RECUPERO]]="VACACIONES","VACACIONES",IFERROR(D1_MARZO_202655[[#This Row],[RECUPERO]]/D1_MARZO_202655[[#This Row],[META]],""))</f>
        <v>1.2330892857142857</v>
      </c>
      <c r="E39" s="35" t="str">
        <f>D1_MARZO_202655[[#This Row],[SUPER]]</f>
        <v>JOHAN</v>
      </c>
      <c r="F39" t="s">
        <v>61</v>
      </c>
      <c r="G39" s="36">
        <v>69053</v>
      </c>
      <c r="H39" cm="1">
        <f t="array" ref="H39">IFERROR(VLOOKUP(D1_MARZO_202655[[#This Row],[ASESOR_CRR]],_xlfn._xlws.FILTER(PLANTILLA[[ASESOR]:[FECHA DE CESE]],PLANTILLA[FECHA]=_xlfn.CONCAT($M$3,"_",_xlfn.IFS($N$3="ENERO","1",$N$3="FEBRERO","2",$N$3="MARZO","3",$N$3="ABRIL","4",$N$3="MAYO","5",$N$3="JUNIO","6",$N$3="JULIO","7",$N$3="AGOSTO","8",$N$3="SETIEMBRE","9",$N$3="OCTUBRE","10",$N$3="NOVIEMBRE","11",$N$3="DICIEMBRE","12"))),2,0),"")</f>
        <v>44001162</v>
      </c>
      <c r="I39" s="55" cm="1">
        <f t="array" ref="I39">IFERROR(VLOOKUP(D1_MARZO_202655[[#This Row],[ASESOR_CRR]],_xlfn._xlws.FILTER(PLANTILLA[[ASESOR]:[FECHA DE CESE]],PLANTILLA[FECHA]=_xlfn.CONCAT($M$3,"_",_xlfn.IFS($N$3="ENERO","1",$N$3="FEBRERO","2",$N$3="MARZO","3",$N$3="ABRIL","4",$N$3="MAYO","5",$N$3="JUNIO","6",$N$3="JULIO","7",$N$3="AGOSTO","8",$N$3="SETIEMBRE","9",$N$3="OCTUBRE","10",$N$3="NOVIEMBRE","11",$N$3="DICIEMBRE","12"))),6,0),"")</f>
        <v>44907</v>
      </c>
      <c r="J39" s="55" t="str" cm="1">
        <f t="array" ref="J39">IFERROR(VLOOKUP(D1_MARZO_202655[[#This Row],[ASESOR_CRR]],_xlfn._xlws.FILTER(PLANTILLA[[ASESOR]:[FECHA DE CESE]],PLANTILLA[FECHA]=_xlfn.CONCAT($M$3,"_",_xlfn.IFS($N$3="ENERO","1",$N$3="FEBRERO","2",$N$3="MARZO","3",$N$3="ABRIL","4",$N$3="MAYO","5",$N$3="JUNIO","6",$N$3="JULIO","7",$N$3="AGOSTO","8",$N$3="SETIEMBRE","9",$N$3="OCTUBRE","10",$N$3="NOVIEMBRE","11",$N$3="DICIEMBRE","12"))),4,0),"")</f>
        <v>CALL</v>
      </c>
      <c r="K39" s="55" t="str" cm="1">
        <f t="array" ref="K39">IFERROR(VLOOKUP(D1_MARZO_202655[[#This Row],[ASESOR_CRR]],_xlfn._xlws.FILTER(PLANTILLA[[ASESOR]:[FECHA DE CESE]],PLANTILLA[FECHA]=_xlfn.CONCAT($M$3,"_",_xlfn.IFS($N$3="ENERO","1",$N$3="FEBRERO","2",$N$3="MARZO","3",$N$3="ABRIL","4",$N$3="MAYO","5",$N$3="JUNIO","6",$N$3="JULIO","7",$N$3="AGOSTO","8",$N$3="SETIEMBRE","9",$N$3="OCTUBRE","10",$N$3="NOVIEMBRE","11",$N$3="DICIEMBRE","12"))),8,0),"")</f>
        <v>S1</v>
      </c>
      <c r="L39" s="55"/>
      <c r="M39" s="5">
        <f>DATA_MARZO_202651[[#This Row],[RECUPERO]]/DATA_MARZO_202651[[#This Row],[META]]</f>
        <v>0.76381600000000005</v>
      </c>
      <c r="N39" s="5">
        <f>6-ROUNDUP(_xlfn.RANK.EQ(DATA_MARZO_202651[[#This Row],[AL_AC]],DATA_MARZO_202651[AL_AC],0)/(COUNTA(DATA_MARZO_202651[AL_AC])/5),0)</f>
        <v>3</v>
      </c>
      <c r="O39" s="54" t="str">
        <f>IFERROR(VLOOKUP(DATA_MARZO_202651[[#This Row],[ASER_]],$B:$G,4,0),"")</f>
        <v>LEONOR</v>
      </c>
      <c r="P39" s="6">
        <f>SUM(DATA_MARZO_202651[[#This Row],[1]:[30]])</f>
        <v>26733.56</v>
      </c>
      <c r="Q39" s="6">
        <f>VLOOKUP(DATA_MARZO_202651[[#This Row],[ASER_]],D1_MARZO_202655[[ASESOR_CRR]:[META]],2,0)</f>
        <v>35000</v>
      </c>
      <c r="R39" t="s">
        <v>77</v>
      </c>
      <c r="W39" s="5">
        <v>265</v>
      </c>
      <c r="X39" s="6">
        <v>1034</v>
      </c>
      <c r="Y39" s="6"/>
      <c r="Z39" s="6">
        <v>231</v>
      </c>
      <c r="AA39" s="6">
        <v>5954</v>
      </c>
      <c r="AB39" s="6"/>
      <c r="AC39" s="6"/>
      <c r="AD39" s="6">
        <v>1800</v>
      </c>
      <c r="AE39" s="6"/>
      <c r="AF39" s="6"/>
      <c r="AG39" s="6">
        <v>800</v>
      </c>
      <c r="AH39" s="6"/>
      <c r="AI39" s="6">
        <v>3657.13</v>
      </c>
      <c r="AJ39" s="6">
        <v>5168</v>
      </c>
      <c r="AK39" s="6">
        <v>330</v>
      </c>
      <c r="AL39" s="6"/>
      <c r="AM39" s="6"/>
      <c r="AN39" s="6"/>
      <c r="AO39" s="6">
        <v>364.43</v>
      </c>
      <c r="AP39" s="6">
        <v>3000</v>
      </c>
      <c r="AQ39" s="6">
        <v>2000</v>
      </c>
      <c r="AR39" s="6"/>
      <c r="AS39" s="6"/>
      <c r="AT39" s="6">
        <v>600</v>
      </c>
      <c r="AU39" s="6">
        <v>1530</v>
      </c>
      <c r="AV39" s="54" t="str" cm="1">
        <f t="array" ref="AV39">IFERROR(VLOOKUP(DATA_MARZO_202651[[#This Row],[ASER_]],_xlfn._xlws.FILTER(PLANTILLA[[ASESOR]:[FECHA DE CESE]],PLANTILLA[FECHA]=_xlfn.CONCAT($M$3,"_",_xlfn.IFS($N$3="ENERO","1",$N$3="FEBRERO","2",$N$3="MARZO","3",$N$3="ABRIL","4",$N$3="MAYO","5",$N$3="JUNIO","6",$N$3="JULIO","7",$N$3="AGOSTO","8",$N$3="SETIEMBRE","9",$N$3="OCTUBRE","10",$N$3="NOVIEMBRE","11",$N$3="DICIEMBRE","12"))),8,0),"")</f>
        <v>S2-3-4 BANCO</v>
      </c>
      <c r="CM39" t="s">
        <v>636</v>
      </c>
      <c r="CN39" t="s">
        <v>6</v>
      </c>
      <c r="CO39" t="s">
        <v>97</v>
      </c>
      <c r="CP39">
        <v>46098</v>
      </c>
      <c r="CQ39">
        <v>1</v>
      </c>
      <c r="CR39">
        <v>1</v>
      </c>
      <c r="CT39">
        <v>1</v>
      </c>
      <c r="CV39">
        <v>0</v>
      </c>
      <c r="CW39">
        <v>0</v>
      </c>
      <c r="CX39">
        <v>0.21391203703703704</v>
      </c>
      <c r="CY39">
        <v>0.14226851851851852</v>
      </c>
      <c r="CZ39">
        <v>105</v>
      </c>
      <c r="DA39">
        <v>248</v>
      </c>
      <c r="DB39">
        <v>23</v>
      </c>
      <c r="DC39" t="s">
        <v>1016</v>
      </c>
      <c r="DD39">
        <v>27117</v>
      </c>
      <c r="DE39">
        <v>0.219</v>
      </c>
      <c r="DF39">
        <v>3</v>
      </c>
      <c r="DG39">
        <v>0.13039999999999999</v>
      </c>
      <c r="DH39">
        <v>11650</v>
      </c>
      <c r="DI39">
        <v>3883</v>
      </c>
      <c r="DJ39">
        <v>11650</v>
      </c>
      <c r="DK39">
        <v>1</v>
      </c>
      <c r="DL39">
        <v>0.21790000000000001</v>
      </c>
      <c r="DM39">
        <v>98</v>
      </c>
      <c r="DN39">
        <v>3883</v>
      </c>
    </row>
    <row r="40" spans="1:118" x14ac:dyDescent="0.25">
      <c r="A40" s="34" t="str" cm="1">
        <f t="array" ref="A40">IFERROR(VLOOKUP(D1_MARZO_202655[[#This Row],[ASESOR_CRR]],_xlfn._xlws.FILTER(PLANTILLA[[ASESOR]:[FECHA DE CESE]],PLANTILLA[FECHA]=_xlfn.CONCAT($M$3,"_",_xlfn.IFS($N$3="ENERO","1",$N$3="FEBRERO","2",$N$3="MARZO","3",$N$3="ABRIL","4",$N$3="MAYO","5",$N$3="JUNIO","6",$N$3="JULIO","7",$N$3="AGOSTO","8",$N$3="SETIEMBRE","9",$N$3="OCTUBRE","10",$N$3="NOVIEMBRE","11",$N$3="DICIEMBRE","12"))),3,0),"")</f>
        <v>JOHAN</v>
      </c>
      <c r="B40" s="34" t="str" cm="1">
        <f t="array" ref="B40">TRIM(IFERROR(_xlfn.IFS(D1_MARZO_202655[[#This Row],[ASESOR]]="ELVIS GUERRA","ELVIS GUERRERA",D1_MARZO_202655[[#This Row],[ASESOR]]="GENESIS VICUÑA","GENESIS VICUNA",D1_MARZO_202655[[#This Row],[ASESOR]]="JENY QUIÑONES","JENY QUINONES",D1_MARZO_202655[[#This Row],[ASESOR]]="NICOLE CAURURO","NICOLE CAURURO"),D1_MARZO_202655[[#This Row],[ASESOR]]))</f>
        <v>ANALUCIA PONCE</v>
      </c>
      <c r="C40" s="34" cm="1">
        <f t="array" ref="C40">_xlfn.XLOOKUP(1,(TablaMeta[CONCAT]=$M$3&amp;$N$3&amp;D1_MARZO_202655[[#This Row],[SUPER]])*(TablaMeta[SEGG]=D1_MARZO_202655[[#This Row],[SEGMENTO]]),TablaMeta[Meta_Asesor])</f>
        <v>56000</v>
      </c>
      <c r="D40" s="35">
        <f>IF(D1_MARZO_202655[[#This Row],[RECUPERO]]="VACACIONES","VACACIONES",IFERROR(D1_MARZO_202655[[#This Row],[RECUPERO]]/D1_MARZO_202655[[#This Row],[META]],""))</f>
        <v>1.1518928571428571</v>
      </c>
      <c r="E40" s="35" t="str">
        <f>D1_MARZO_202655[[#This Row],[SUPER]]</f>
        <v>JOHAN</v>
      </c>
      <c r="F40" t="s">
        <v>60</v>
      </c>
      <c r="G40" s="36">
        <v>64506</v>
      </c>
      <c r="H40" cm="1">
        <f t="array" ref="H40">IFERROR(VLOOKUP(D1_MARZO_202655[[#This Row],[ASESOR_CRR]],_xlfn._xlws.FILTER(PLANTILLA[[ASESOR]:[FECHA DE CESE]],PLANTILLA[FECHA]=_xlfn.CONCAT($M$3,"_",_xlfn.IFS($N$3="ENERO","1",$N$3="FEBRERO","2",$N$3="MARZO","3",$N$3="ABRIL","4",$N$3="MAYO","5",$N$3="JUNIO","6",$N$3="JULIO","7",$N$3="AGOSTO","8",$N$3="SETIEMBRE","9",$N$3="OCTUBRE","10",$N$3="NOVIEMBRE","11",$N$3="DICIEMBRE","12"))),2,0),"")</f>
        <v>72839865</v>
      </c>
      <c r="I40" s="55" cm="1">
        <f t="array" ref="I40">IFERROR(VLOOKUP(D1_MARZO_202655[[#This Row],[ASESOR_CRR]],_xlfn._xlws.FILTER(PLANTILLA[[ASESOR]:[FECHA DE CESE]],PLANTILLA[FECHA]=_xlfn.CONCAT($M$3,"_",_xlfn.IFS($N$3="ENERO","1",$N$3="FEBRERO","2",$N$3="MARZO","3",$N$3="ABRIL","4",$N$3="MAYO","5",$N$3="JUNIO","6",$N$3="JULIO","7",$N$3="AGOSTO","8",$N$3="SETIEMBRE","9",$N$3="OCTUBRE","10",$N$3="NOVIEMBRE","11",$N$3="DICIEMBRE","12"))),6,0),"")</f>
        <v>45854</v>
      </c>
      <c r="J40" s="55" t="str" cm="1">
        <f t="array" ref="J40">IFERROR(VLOOKUP(D1_MARZO_202655[[#This Row],[ASESOR_CRR]],_xlfn._xlws.FILTER(PLANTILLA[[ASESOR]:[FECHA DE CESE]],PLANTILLA[FECHA]=_xlfn.CONCAT($M$3,"_",_xlfn.IFS($N$3="ENERO","1",$N$3="FEBRERO","2",$N$3="MARZO","3",$N$3="ABRIL","4",$N$3="MAYO","5",$N$3="JUNIO","6",$N$3="JULIO","7",$N$3="AGOSTO","8",$N$3="SETIEMBRE","9",$N$3="OCTUBRE","10",$N$3="NOVIEMBRE","11",$N$3="DICIEMBRE","12"))),4,0),"")</f>
        <v>CALL</v>
      </c>
      <c r="K40" s="55" t="str" cm="1">
        <f t="array" ref="K40">IFERROR(VLOOKUP(D1_MARZO_202655[[#This Row],[ASESOR_CRR]],_xlfn._xlws.FILTER(PLANTILLA[[ASESOR]:[FECHA DE CESE]],PLANTILLA[FECHA]=_xlfn.CONCAT($M$3,"_",_xlfn.IFS($N$3="ENERO","1",$N$3="FEBRERO","2",$N$3="MARZO","3",$N$3="ABRIL","4",$N$3="MAYO","5",$N$3="JUNIO","6",$N$3="JULIO","7",$N$3="AGOSTO","8",$N$3="SETIEMBRE","9",$N$3="OCTUBRE","10",$N$3="NOVIEMBRE","11",$N$3="DICIEMBRE","12"))),8,0),"")</f>
        <v>S1</v>
      </c>
      <c r="L40" s="55"/>
      <c r="M40" s="5">
        <f>DATA_MARZO_202651[[#This Row],[RECUPERO]]/DATA_MARZO_202651[[#This Row],[META]]</f>
        <v>0.58436046511627904</v>
      </c>
      <c r="N40" s="5">
        <f>6-ROUNDUP(_xlfn.RANK.EQ(DATA_MARZO_202651[[#This Row],[AL_AC]],DATA_MARZO_202651[AL_AC],0)/(COUNTA(DATA_MARZO_202651[AL_AC])/5),0)</f>
        <v>2</v>
      </c>
      <c r="O40" s="54" t="str">
        <f>IFERROR(VLOOKUP(DATA_MARZO_202651[[#This Row],[ASER_]],$B:$G,4,0),"")</f>
        <v>KENNETH</v>
      </c>
      <c r="P40" s="6">
        <f>SUM(DATA_MARZO_202651[[#This Row],[1]:[30]])</f>
        <v>50255</v>
      </c>
      <c r="Q40" s="6">
        <f>VLOOKUP(DATA_MARZO_202651[[#This Row],[ASER_]],D1_MARZO_202655[[ASESOR_CRR]:[META]],2,0)</f>
        <v>86000</v>
      </c>
      <c r="R40" t="s">
        <v>35</v>
      </c>
      <c r="T40">
        <v>1500</v>
      </c>
      <c r="U40">
        <v>2950</v>
      </c>
      <c r="V40">
        <v>500</v>
      </c>
      <c r="W40" s="5">
        <v>1350</v>
      </c>
      <c r="X40" s="6">
        <v>325</v>
      </c>
      <c r="Y40" s="6"/>
      <c r="Z40" s="6">
        <v>4000</v>
      </c>
      <c r="AA40" s="6">
        <v>8600</v>
      </c>
      <c r="AB40" s="6">
        <v>350</v>
      </c>
      <c r="AC40" s="6"/>
      <c r="AD40" s="6">
        <v>960</v>
      </c>
      <c r="AE40" s="6"/>
      <c r="AF40" s="6"/>
      <c r="AG40" s="6">
        <v>10100</v>
      </c>
      <c r="AH40" s="6">
        <v>10000</v>
      </c>
      <c r="AI40" s="6"/>
      <c r="AJ40" s="6">
        <v>2500</v>
      </c>
      <c r="AK40" s="6">
        <v>1500</v>
      </c>
      <c r="AL40" s="6"/>
      <c r="AM40" s="6"/>
      <c r="AN40" s="6">
        <v>1820</v>
      </c>
      <c r="AO40" s="6"/>
      <c r="AP40" s="6">
        <v>500</v>
      </c>
      <c r="AQ40" s="6"/>
      <c r="AR40" s="6">
        <v>2450</v>
      </c>
      <c r="AS40" s="6"/>
      <c r="AT40" s="6"/>
      <c r="AU40" s="6">
        <v>850</v>
      </c>
      <c r="AV40" s="54" t="str" cm="1">
        <f t="array" ref="AV40">IFERROR(VLOOKUP(DATA_MARZO_202651[[#This Row],[ASER_]],_xlfn._xlws.FILTER(PLANTILLA[[ASESOR]:[FECHA DE CESE]],PLANTILLA[FECHA]=_xlfn.CONCAT($M$3,"_",_xlfn.IFS($N$3="ENERO","1",$N$3="FEBRERO","2",$N$3="MARZO","3",$N$3="ABRIL","4",$N$3="MAYO","5",$N$3="JUNIO","6",$N$3="JULIO","7",$N$3="AGOSTO","8",$N$3="SETIEMBRE","9",$N$3="OCTUBRE","10",$N$3="NOVIEMBRE","11",$N$3="DICIEMBRE","12"))),8,0),"")</f>
        <v>S0 - BBVA</v>
      </c>
      <c r="CM40" t="s">
        <v>636</v>
      </c>
      <c r="CN40" t="s">
        <v>7</v>
      </c>
      <c r="CO40" t="s">
        <v>51</v>
      </c>
      <c r="CP40">
        <v>46098</v>
      </c>
      <c r="CQ40">
        <v>1</v>
      </c>
      <c r="CR40">
        <v>1</v>
      </c>
      <c r="CT40">
        <v>1</v>
      </c>
      <c r="CV40">
        <v>3.3912037037037036E-3</v>
      </c>
      <c r="CW40">
        <v>3.3912037037037036E-3</v>
      </c>
      <c r="CX40">
        <v>0.2182523148148148</v>
      </c>
      <c r="CY40">
        <v>0.10402777777777777</v>
      </c>
      <c r="CZ40">
        <v>89</v>
      </c>
      <c r="DA40">
        <v>168</v>
      </c>
      <c r="DB40">
        <v>14</v>
      </c>
      <c r="DC40" t="s">
        <v>705</v>
      </c>
      <c r="DD40">
        <v>16542</v>
      </c>
      <c r="DE40">
        <v>0.1573</v>
      </c>
      <c r="DF40">
        <v>3</v>
      </c>
      <c r="DG40">
        <v>0.21429999999999999</v>
      </c>
      <c r="DH40">
        <v>6000</v>
      </c>
      <c r="DI40">
        <v>2000</v>
      </c>
      <c r="DJ40">
        <v>6000</v>
      </c>
      <c r="DK40">
        <v>1</v>
      </c>
      <c r="DL40">
        <v>0.29310000000000003</v>
      </c>
      <c r="DM40">
        <v>98</v>
      </c>
      <c r="DN40">
        <v>2000</v>
      </c>
    </row>
    <row r="41" spans="1:118" x14ac:dyDescent="0.25">
      <c r="A41" s="34" t="str" cm="1">
        <f t="array" ref="A41">IFERROR(VLOOKUP(D1_MARZO_202655[[#This Row],[ASESOR_CRR]],_xlfn._xlws.FILTER(PLANTILLA[[ASESOR]:[FECHA DE CESE]],PLANTILLA[FECHA]=_xlfn.CONCAT($M$3,"_",_xlfn.IFS($N$3="ENERO","1",$N$3="FEBRERO","2",$N$3="MARZO","3",$N$3="ABRIL","4",$N$3="MAYO","5",$N$3="JUNIO","6",$N$3="JULIO","7",$N$3="AGOSTO","8",$N$3="SETIEMBRE","9",$N$3="OCTUBRE","10",$N$3="NOVIEMBRE","11",$N$3="DICIEMBRE","12"))),3,0),"")</f>
        <v>JOHAN</v>
      </c>
      <c r="B41" s="34" t="str" cm="1">
        <f t="array" ref="B41">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MARIA TINTAYA</v>
      </c>
      <c r="C41" s="34" cm="1">
        <f t="array" ref="C41">_xlfn.XLOOKUP(1,(TablaMeta[CONCAT]=$M$3&amp;$N$3&amp;D1_MARZO_202655[[#This Row],[SUPER]])*(TablaMeta[SEGG]=D1_MARZO_202655[[#This Row],[SEGMENTO]]),TablaMeta[Meta_Asesor])</f>
        <v>56000</v>
      </c>
      <c r="D41" s="35">
        <f>IF(D1_MARZO_202655[[#This Row],[RECUPERO]]="VACACIONES","VACACIONES",IFERROR(D1_MARZO_202655[[#This Row],[RECUPERO]]/D1_MARZO_202655[[#This Row],[META]],""))</f>
        <v>0.93708928571428574</v>
      </c>
      <c r="E41" s="35" t="str">
        <f>D1_MARZO_202655[[#This Row],[SUPER]]</f>
        <v>JOHAN</v>
      </c>
      <c r="F41" t="s">
        <v>75</v>
      </c>
      <c r="G41" s="36">
        <v>52477</v>
      </c>
      <c r="H41" cm="1">
        <f t="array" ref="H41">IFERROR(VLOOKUP(D1_MARZO_202655[[#This Row],[ASESOR_CRR]],_xlfn._xlws.FILTER(PLANTILLA[[ASESOR]:[FECHA DE CESE]],PLANTILLA[FECHA]=_xlfn.CONCAT($M$3,"_",_xlfn.IFS($N$3="ENERO","1",$N$3="FEBRERO","2",$N$3="MARZO","3",$N$3="ABRIL","4",$N$3="MAYO","5",$N$3="JUNIO","6",$N$3="JULIO","7",$N$3="AGOSTO","8",$N$3="SETIEMBRE","9",$N$3="OCTUBRE","10",$N$3="NOVIEMBRE","11",$N$3="DICIEMBRE","12"))),2,0),"")</f>
        <v>71264767</v>
      </c>
      <c r="I41" s="55" cm="1">
        <f t="array" ref="I41">IFERROR(VLOOKUP(D1_MARZO_202655[[#This Row],[ASESOR_CRR]],_xlfn._xlws.FILTER(PLANTILLA[[ASESOR]:[FECHA DE CESE]],PLANTILLA[FECHA]=_xlfn.CONCAT($M$3,"_",_xlfn.IFS($N$3="ENERO","1",$N$3="FEBRERO","2",$N$3="MARZO","3",$N$3="ABRIL","4",$N$3="MAYO","5",$N$3="JUNIO","6",$N$3="JULIO","7",$N$3="AGOSTO","8",$N$3="SETIEMBRE","9",$N$3="OCTUBRE","10",$N$3="NOVIEMBRE","11",$N$3="DICIEMBRE","12"))),6,0),"")</f>
        <v>44714</v>
      </c>
      <c r="J41" s="55" t="str" cm="1">
        <f t="array" ref="J41">IFERROR(VLOOKUP(D1_MARZO_202655[[#This Row],[ASESOR_CRR]],_xlfn._xlws.FILTER(PLANTILLA[[ASESOR]:[FECHA DE CESE]],PLANTILLA[FECHA]=_xlfn.CONCAT($M$3,"_",_xlfn.IFS($N$3="ENERO","1",$N$3="FEBRERO","2",$N$3="MARZO","3",$N$3="ABRIL","4",$N$3="MAYO","5",$N$3="JUNIO","6",$N$3="JULIO","7",$N$3="AGOSTO","8",$N$3="SETIEMBRE","9",$N$3="OCTUBRE","10",$N$3="NOVIEMBRE","11",$N$3="DICIEMBRE","12"))),4,0),"")</f>
        <v>CALL</v>
      </c>
      <c r="K41" s="55" t="str" cm="1">
        <f t="array" ref="K41">IFERROR(VLOOKUP(D1_MARZO_202655[[#This Row],[ASESOR_CRR]],_xlfn._xlws.FILTER(PLANTILLA[[ASESOR]:[FECHA DE CESE]],PLANTILLA[FECHA]=_xlfn.CONCAT($M$3,"_",_xlfn.IFS($N$3="ENERO","1",$N$3="FEBRERO","2",$N$3="MARZO","3",$N$3="ABRIL","4",$N$3="MAYO","5",$N$3="JUNIO","6",$N$3="JULIO","7",$N$3="AGOSTO","8",$N$3="SETIEMBRE","9",$N$3="OCTUBRE","10",$N$3="NOVIEMBRE","11",$N$3="DICIEMBRE","12"))),8,0),"")</f>
        <v>S1</v>
      </c>
      <c r="L41" s="55"/>
      <c r="M41" s="5">
        <f>DATA_MARZO_202651[[#This Row],[RECUPERO]]/DATA_MARZO_202651[[#This Row],[META]]</f>
        <v>1.1982295081967214</v>
      </c>
      <c r="N41" s="5">
        <f>6-ROUNDUP(_xlfn.RANK.EQ(DATA_MARZO_202651[[#This Row],[AL_AC]],DATA_MARZO_202651[AL_AC],0)/(COUNTA(DATA_MARZO_202651[AL_AC])/5),0)</f>
        <v>4</v>
      </c>
      <c r="O41" s="54" t="str">
        <f>IFERROR(VLOOKUP(DATA_MARZO_202651[[#This Row],[ASER_]],$B:$G,4,0),"")</f>
        <v>KENNETH</v>
      </c>
      <c r="P41" s="6">
        <f>SUM(DATA_MARZO_202651[[#This Row],[1]:[30]])</f>
        <v>36546</v>
      </c>
      <c r="Q41" s="6">
        <f>VLOOKUP(DATA_MARZO_202651[[#This Row],[ASER_]],D1_MARZO_202655[[ASESOR_CRR]:[META]],2,0)</f>
        <v>30500</v>
      </c>
      <c r="R41" t="s">
        <v>50</v>
      </c>
      <c r="V41">
        <v>300</v>
      </c>
      <c r="X41" s="5">
        <v>120</v>
      </c>
      <c r="Y41" s="6"/>
      <c r="Z41" s="6">
        <v>6700</v>
      </c>
      <c r="AA41" s="6">
        <v>2601</v>
      </c>
      <c r="AB41" s="6">
        <v>7600</v>
      </c>
      <c r="AC41" s="6"/>
      <c r="AD41" s="6">
        <v>145</v>
      </c>
      <c r="AE41" s="6"/>
      <c r="AF41" s="6"/>
      <c r="AG41" s="6">
        <v>1200</v>
      </c>
      <c r="AH41" s="6"/>
      <c r="AI41" s="6">
        <v>900</v>
      </c>
      <c r="AJ41" s="6">
        <v>3500</v>
      </c>
      <c r="AK41" s="6"/>
      <c r="AL41" s="6"/>
      <c r="AM41" s="6"/>
      <c r="AN41" s="6">
        <v>360</v>
      </c>
      <c r="AO41" s="6">
        <v>2820</v>
      </c>
      <c r="AP41" s="6">
        <v>500</v>
      </c>
      <c r="AQ41" s="6"/>
      <c r="AR41" s="6">
        <v>1700</v>
      </c>
      <c r="AS41" s="6"/>
      <c r="AT41" s="6"/>
      <c r="AU41" s="6">
        <v>8100</v>
      </c>
      <c r="AV41" s="54" t="str" cm="1">
        <f t="array" ref="AV41">IFERROR(VLOOKUP(DATA_MARZO_202651[[#This Row],[ASER_]],_xlfn._xlws.FILTER(PLANTILLA[[ASESOR]:[FECHA DE CESE]],PLANTILLA[FECHA]=_xlfn.CONCAT($M$3,"_",_xlfn.IFS($N$3="ENERO","1",$N$3="FEBRERO","2",$N$3="MARZO","3",$N$3="ABRIL","4",$N$3="MAYO","5",$N$3="JUNIO","6",$N$3="JULIO","7",$N$3="AGOSTO","8",$N$3="SETIEMBRE","9",$N$3="OCTUBRE","10",$N$3="NOVIEMBRE","11",$N$3="DICIEMBRE","12"))),8,0),"")</f>
        <v>S0 - IBK</v>
      </c>
      <c r="CM41" t="s">
        <v>636</v>
      </c>
      <c r="CN41" t="s">
        <v>7</v>
      </c>
      <c r="CO41" t="s">
        <v>73</v>
      </c>
      <c r="CP41">
        <v>46086</v>
      </c>
      <c r="CQ41">
        <v>1</v>
      </c>
      <c r="CR41">
        <v>1</v>
      </c>
      <c r="CT41">
        <v>1</v>
      </c>
      <c r="CV41">
        <v>1.0995370370370371E-3</v>
      </c>
      <c r="CW41">
        <v>1.0995370370370371E-3</v>
      </c>
      <c r="CX41">
        <v>0.35518518518518516</v>
      </c>
      <c r="CY41">
        <v>6.9745370370370374E-2</v>
      </c>
      <c r="CZ41">
        <v>96</v>
      </c>
      <c r="DA41">
        <v>136</v>
      </c>
      <c r="DB41">
        <v>20</v>
      </c>
      <c r="DC41">
        <v>1.55</v>
      </c>
      <c r="DD41">
        <v>12953</v>
      </c>
      <c r="DE41">
        <v>0.20830000000000001</v>
      </c>
      <c r="DF41">
        <v>2</v>
      </c>
      <c r="DG41">
        <v>0.1</v>
      </c>
      <c r="DH41">
        <v>930</v>
      </c>
      <c r="DI41">
        <v>465</v>
      </c>
      <c r="DJ41">
        <v>930</v>
      </c>
      <c r="DK41">
        <v>1</v>
      </c>
      <c r="DL41">
        <v>0.37940000000000002</v>
      </c>
      <c r="DM41">
        <v>98</v>
      </c>
      <c r="DN41">
        <v>465</v>
      </c>
    </row>
    <row r="42" spans="1:118" x14ac:dyDescent="0.25">
      <c r="A42" s="34" t="str" cm="1">
        <f t="array" ref="A42">IFERROR(VLOOKUP(D1_MARZO_202655[[#This Row],[ASESOR_CRR]],_xlfn._xlws.FILTER(PLANTILLA[[ASESOR]:[FECHA DE CESE]],PLANTILLA[FECHA]=_xlfn.CONCAT($M$3,"_",_xlfn.IFS($N$3="ENERO","1",$N$3="FEBRERO","2",$N$3="MARZO","3",$N$3="ABRIL","4",$N$3="MAYO","5",$N$3="JUNIO","6",$N$3="JULIO","7",$N$3="AGOSTO","8",$N$3="SETIEMBRE","9",$N$3="OCTUBRE","10",$N$3="NOVIEMBRE","11",$N$3="DICIEMBRE","12"))),3,0),"")</f>
        <v>JOHAN</v>
      </c>
      <c r="B42" s="34" t="str" cm="1">
        <f t="array" ref="B42">TRIM(IFERROR(_xlfn.IFS(D1_MARZO_202655[[#This Row],[ASESOR]]="ELVIS GUERRA","ELVIS GUERRERA",D1_MARZO_202655[[#This Row],[ASESOR]]="GENESIS VICUÑA","GENESIS VICUNA",D1_MARZO_202655[[#This Row],[ASESOR]]="JENY QUIÑONES","JENY QUINONES",D1_MARZO_202655[[#This Row],[ASESOR]]="NICOLE CAURURO","NICOLE CAURURO"),D1_MARZO_202655[[#This Row],[ASESOR]]))</f>
        <v>ERIKA VILLAR</v>
      </c>
      <c r="C42" s="34" cm="1">
        <f t="array" ref="C42">_xlfn.XLOOKUP(1,(TablaMeta[CONCAT]=$M$3&amp;$N$3&amp;D1_MARZO_202655[[#This Row],[SUPER]])*(TablaMeta[SEGG]=D1_MARZO_202655[[#This Row],[SEGMENTO]]),TablaMeta[Meta_Asesor])</f>
        <v>56000</v>
      </c>
      <c r="D42" s="35">
        <f>IF(D1_MARZO_202655[[#This Row],[RECUPERO]]="VACACIONES","VACACIONES",IFERROR(D1_MARZO_202655[[#This Row],[RECUPERO]]/D1_MARZO_202655[[#This Row],[META]],""))</f>
        <v>0.67121964285714286</v>
      </c>
      <c r="E42" s="35" t="str">
        <f>D1_MARZO_202655[[#This Row],[SUPER]]</f>
        <v>JOHAN</v>
      </c>
      <c r="F42" t="s">
        <v>72</v>
      </c>
      <c r="G42" s="36">
        <v>37588.300000000003</v>
      </c>
      <c r="H42" cm="1">
        <f t="array" ref="H42">IFERROR(VLOOKUP(D1_MARZO_202655[[#This Row],[ASESOR_CRR]],_xlfn._xlws.FILTER(PLANTILLA[[ASESOR]:[FECHA DE CESE]],PLANTILLA[FECHA]=_xlfn.CONCAT($M$3,"_",_xlfn.IFS($N$3="ENERO","1",$N$3="FEBRERO","2",$N$3="MARZO","3",$N$3="ABRIL","4",$N$3="MAYO","5",$N$3="JUNIO","6",$N$3="JULIO","7",$N$3="AGOSTO","8",$N$3="SETIEMBRE","9",$N$3="OCTUBRE","10",$N$3="NOVIEMBRE","11",$N$3="DICIEMBRE","12"))),2,0),"")</f>
        <v>47690367</v>
      </c>
      <c r="I42" s="55" cm="1">
        <f t="array" ref="I42">IFERROR(VLOOKUP(D1_MARZO_202655[[#This Row],[ASESOR_CRR]],_xlfn._xlws.FILTER(PLANTILLA[[ASESOR]:[FECHA DE CESE]],PLANTILLA[FECHA]=_xlfn.CONCAT($M$3,"_",_xlfn.IFS($N$3="ENERO","1",$N$3="FEBRERO","2",$N$3="MARZO","3",$N$3="ABRIL","4",$N$3="MAYO","5",$N$3="JUNIO","6",$N$3="JULIO","7",$N$3="AGOSTO","8",$N$3="SETIEMBRE","9",$N$3="OCTUBRE","10",$N$3="NOVIEMBRE","11",$N$3="DICIEMBRE","12"))),6,0),"")</f>
        <v>45691</v>
      </c>
      <c r="J42" s="55" t="str" cm="1">
        <f t="array" ref="J42">IFERROR(VLOOKUP(D1_MARZO_202655[[#This Row],[ASESOR_CRR]],_xlfn._xlws.FILTER(PLANTILLA[[ASESOR]:[FECHA DE CESE]],PLANTILLA[FECHA]=_xlfn.CONCAT($M$3,"_",_xlfn.IFS($N$3="ENERO","1",$N$3="FEBRERO","2",$N$3="MARZO","3",$N$3="ABRIL","4",$N$3="MAYO","5",$N$3="JUNIO","6",$N$3="JULIO","7",$N$3="AGOSTO","8",$N$3="SETIEMBRE","9",$N$3="OCTUBRE","10",$N$3="NOVIEMBRE","11",$N$3="DICIEMBRE","12"))),4,0),"")</f>
        <v>CALL</v>
      </c>
      <c r="K42" s="55" t="str" cm="1">
        <f t="array" ref="K42">IFERROR(VLOOKUP(D1_MARZO_202655[[#This Row],[ASESOR_CRR]],_xlfn._xlws.FILTER(PLANTILLA[[ASESOR]:[FECHA DE CESE]],PLANTILLA[FECHA]=_xlfn.CONCAT($M$3,"_",_xlfn.IFS($N$3="ENERO","1",$N$3="FEBRERO","2",$N$3="MARZO","3",$N$3="ABRIL","4",$N$3="MAYO","5",$N$3="JUNIO","6",$N$3="JULIO","7",$N$3="AGOSTO","8",$N$3="SETIEMBRE","9",$N$3="OCTUBRE","10",$N$3="NOVIEMBRE","11",$N$3="DICIEMBRE","12"))),8,0),"")</f>
        <v>S1</v>
      </c>
      <c r="L42" s="55"/>
      <c r="M42" s="5">
        <f>DATA_MARZO_202651[[#This Row],[RECUPERO]]/DATA_MARZO_202651[[#This Row],[META]]</f>
        <v>1.3341133928571429</v>
      </c>
      <c r="N42" s="5">
        <f>6-ROUNDUP(_xlfn.RANK.EQ(DATA_MARZO_202651[[#This Row],[AL_AC]],DATA_MARZO_202651[AL_AC],0)/(COUNTA(DATA_MARZO_202651[AL_AC])/5),0)</f>
        <v>5</v>
      </c>
      <c r="O42" s="54" t="str">
        <f>IFERROR(VLOOKUP(DATA_MARZO_202651[[#This Row],[ASER_]],$B:$G,4,0),"")</f>
        <v>JORGE</v>
      </c>
      <c r="P42" s="6">
        <f>SUM(DATA_MARZO_202651[[#This Row],[1]:[30]])</f>
        <v>74710.350000000006</v>
      </c>
      <c r="Q42" s="6">
        <f>VLOOKUP(DATA_MARZO_202651[[#This Row],[ASER_]],D1_MARZO_202655[[ASESOR_CRR]:[META]],2,0)</f>
        <v>56000</v>
      </c>
      <c r="R42" t="s">
        <v>23</v>
      </c>
      <c r="S42">
        <v>420</v>
      </c>
      <c r="U42">
        <v>1105</v>
      </c>
      <c r="V42">
        <v>6500</v>
      </c>
      <c r="W42">
        <v>20933</v>
      </c>
      <c r="X42" s="5">
        <v>200</v>
      </c>
      <c r="Y42" s="6"/>
      <c r="Z42" s="6">
        <v>3290</v>
      </c>
      <c r="AA42" s="6">
        <v>268</v>
      </c>
      <c r="AB42" s="6">
        <v>7800</v>
      </c>
      <c r="AC42" s="6">
        <v>666.35</v>
      </c>
      <c r="AD42" s="6"/>
      <c r="AE42" s="6"/>
      <c r="AF42" s="6"/>
      <c r="AG42" s="6">
        <v>950</v>
      </c>
      <c r="AH42" s="6">
        <v>2700</v>
      </c>
      <c r="AI42" s="6">
        <v>650</v>
      </c>
      <c r="AJ42" s="6">
        <v>5000</v>
      </c>
      <c r="AK42" s="6">
        <v>2475</v>
      </c>
      <c r="AL42" s="6"/>
      <c r="AM42" s="6"/>
      <c r="AN42" s="6">
        <v>3053</v>
      </c>
      <c r="AO42" s="6">
        <v>8000</v>
      </c>
      <c r="AP42" s="6"/>
      <c r="AQ42" s="6">
        <v>500</v>
      </c>
      <c r="AR42" s="6">
        <v>1400</v>
      </c>
      <c r="AS42" s="6"/>
      <c r="AT42" s="6"/>
      <c r="AU42" s="6">
        <v>8800</v>
      </c>
      <c r="AV42" s="54" t="str" cm="1">
        <f t="array" ref="AV42">IFERROR(VLOOKUP(DATA_MARZO_202651[[#This Row],[ASER_]],_xlfn._xlws.FILTER(PLANTILLA[[ASESOR]:[FECHA DE CESE]],PLANTILLA[FECHA]=_xlfn.CONCAT($M$3,"_",_xlfn.IFS($N$3="ENERO","1",$N$3="FEBRERO","2",$N$3="MARZO","3",$N$3="ABRIL","4",$N$3="MAYO","5",$N$3="JUNIO","6",$N$3="JULIO","7",$N$3="AGOSTO","8",$N$3="SETIEMBRE","9",$N$3="OCTUBRE","10",$N$3="NOVIEMBRE","11",$N$3="DICIEMBRE","12"))),8,0),"")</f>
        <v>S1</v>
      </c>
      <c r="CM42" t="s">
        <v>636</v>
      </c>
      <c r="CN42" t="s">
        <v>3</v>
      </c>
      <c r="CO42" t="s">
        <v>38</v>
      </c>
      <c r="CP42">
        <v>46085</v>
      </c>
      <c r="CQ42">
        <v>1</v>
      </c>
      <c r="CR42">
        <v>1</v>
      </c>
      <c r="CT42">
        <v>1</v>
      </c>
      <c r="CV42">
        <v>0</v>
      </c>
      <c r="CW42">
        <v>0</v>
      </c>
      <c r="CX42">
        <v>0.20881944444444445</v>
      </c>
      <c r="CY42">
        <v>0.13679398148148147</v>
      </c>
      <c r="CZ42">
        <v>72</v>
      </c>
      <c r="DA42">
        <v>114</v>
      </c>
      <c r="DB42">
        <v>22</v>
      </c>
      <c r="DC42" t="s">
        <v>838</v>
      </c>
      <c r="DD42">
        <v>23056</v>
      </c>
      <c r="DE42">
        <v>0.30559999999999998</v>
      </c>
      <c r="DF42">
        <v>4</v>
      </c>
      <c r="DG42">
        <v>0.18179999999999999</v>
      </c>
      <c r="DH42">
        <v>12050</v>
      </c>
      <c r="DI42">
        <v>3013</v>
      </c>
      <c r="DJ42">
        <v>12050</v>
      </c>
      <c r="DK42">
        <v>1</v>
      </c>
      <c r="DL42">
        <v>0.41889999999999999</v>
      </c>
      <c r="DM42">
        <v>98</v>
      </c>
      <c r="DN42">
        <v>3013</v>
      </c>
    </row>
    <row r="43" spans="1:118" x14ac:dyDescent="0.25">
      <c r="A43" s="34" t="str" cm="1">
        <f t="array" ref="A43">IFERROR(VLOOKUP(D1_MARZO_202655[[#This Row],[ASESOR_CRR]],_xlfn._xlws.FILTER(PLANTILLA[[ASESOR]:[FECHA DE CESE]],PLANTILLA[FECHA]=_xlfn.CONCAT($M$3,"_",_xlfn.IFS($N$3="ENERO","1",$N$3="FEBRERO","2",$N$3="MARZO","3",$N$3="ABRIL","4",$N$3="MAYO","5",$N$3="JUNIO","6",$N$3="JULIO","7",$N$3="AGOSTO","8",$N$3="SETIEMBRE","9",$N$3="OCTUBRE","10",$N$3="NOVIEMBRE","11",$N$3="DICIEMBRE","12"))),3,0),"")</f>
        <v>JOHAN</v>
      </c>
      <c r="B43" s="34" t="str" cm="1">
        <f t="array" ref="B43">TRIM(IFERROR(_xlfn.IFS(D1_MARZO_202655[[#This Row],[ASESOR]]="ELVIS GUERRA","ELVIS GUERRERA",D1_MARZO_202655[[#This Row],[ASESOR]]="GENESIS VICUÑA","GENESIS VICUNA",D1_MARZO_202655[[#This Row],[ASESOR]]="JENY QUIÑONES","JENY QUINONES",D1_MARZO_202655[[#This Row],[ASESOR]]="NICOLE CAURURO","NICOLE CAURURO"),D1_MARZO_202655[[#This Row],[ASESOR]]))</f>
        <v>ALEIDITH GUEVARA</v>
      </c>
      <c r="C43" s="34" cm="1">
        <f t="array" ref="C43">_xlfn.XLOOKUP(1,(TablaMeta[CONCAT]=$M$3&amp;$N$3&amp;D1_MARZO_202655[[#This Row],[SUPER]])*(TablaMeta[SEGG]=D1_MARZO_202655[[#This Row],[SEGMENTO]]),TablaMeta[Meta_Asesor])</f>
        <v>56000</v>
      </c>
      <c r="D43" s="35">
        <f>IF(D1_MARZO_202655[[#This Row],[RECUPERO]]="VACACIONES","VACACIONES",IFERROR(D1_MARZO_202655[[#This Row],[RECUPERO]]/D1_MARZO_202655[[#This Row],[META]],""))</f>
        <v>0.70901785714285714</v>
      </c>
      <c r="E43" s="35" t="str">
        <f>D1_MARZO_202655[[#This Row],[SUPER]]</f>
        <v>JOHAN</v>
      </c>
      <c r="F43" t="s">
        <v>18</v>
      </c>
      <c r="G43" s="36">
        <v>39705</v>
      </c>
      <c r="H43" cm="1">
        <f t="array" ref="H43">IFERROR(VLOOKUP(D1_MARZO_202655[[#This Row],[ASESOR_CRR]],_xlfn._xlws.FILTER(PLANTILLA[[ASESOR]:[FECHA DE CESE]],PLANTILLA[FECHA]=_xlfn.CONCAT($M$3,"_",_xlfn.IFS($N$3="ENERO","1",$N$3="FEBRERO","2",$N$3="MARZO","3",$N$3="ABRIL","4",$N$3="MAYO","5",$N$3="JUNIO","6",$N$3="JULIO","7",$N$3="AGOSTO","8",$N$3="SETIEMBRE","9",$N$3="OCTUBRE","10",$N$3="NOVIEMBRE","11",$N$3="DICIEMBRE","12"))),2,0),"")</f>
        <v>76214436</v>
      </c>
      <c r="I43" s="55" cm="1">
        <f t="array" ref="I43">IFERROR(VLOOKUP(D1_MARZO_202655[[#This Row],[ASESOR_CRR]],_xlfn._xlws.FILTER(PLANTILLA[[ASESOR]:[FECHA DE CESE]],PLANTILLA[FECHA]=_xlfn.CONCAT($M$3,"_",_xlfn.IFS($N$3="ENERO","1",$N$3="FEBRERO","2",$N$3="MARZO","3",$N$3="ABRIL","4",$N$3="MAYO","5",$N$3="JUNIO","6",$N$3="JULIO","7",$N$3="AGOSTO","8",$N$3="SETIEMBRE","9",$N$3="OCTUBRE","10",$N$3="NOVIEMBRE","11",$N$3="DICIEMBRE","12"))),6,0),"")</f>
        <v>45132</v>
      </c>
      <c r="J43" s="55" t="str" cm="1">
        <f t="array" ref="J43">IFERROR(VLOOKUP(D1_MARZO_202655[[#This Row],[ASESOR_CRR]],_xlfn._xlws.FILTER(PLANTILLA[[ASESOR]:[FECHA DE CESE]],PLANTILLA[FECHA]=_xlfn.CONCAT($M$3,"_",_xlfn.IFS($N$3="ENERO","1",$N$3="FEBRERO","2",$N$3="MARZO","3",$N$3="ABRIL","4",$N$3="MAYO","5",$N$3="JUNIO","6",$N$3="JULIO","7",$N$3="AGOSTO","8",$N$3="SETIEMBRE","9",$N$3="OCTUBRE","10",$N$3="NOVIEMBRE","11",$N$3="DICIEMBRE","12"))),4,0),"")</f>
        <v>CALL</v>
      </c>
      <c r="K43" s="55" t="str" cm="1">
        <f t="array" ref="K43">IFERROR(VLOOKUP(D1_MARZO_202655[[#This Row],[ASESOR_CRR]],_xlfn._xlws.FILTER(PLANTILLA[[ASESOR]:[FECHA DE CESE]],PLANTILLA[FECHA]=_xlfn.CONCAT($M$3,"_",_xlfn.IFS($N$3="ENERO","1",$N$3="FEBRERO","2",$N$3="MARZO","3",$N$3="ABRIL","4",$N$3="MAYO","5",$N$3="JUNIO","6",$N$3="JULIO","7",$N$3="AGOSTO","8",$N$3="SETIEMBRE","9",$N$3="OCTUBRE","10",$N$3="NOVIEMBRE","11",$N$3="DICIEMBRE","12"))),8,0),"")</f>
        <v>S1</v>
      </c>
      <c r="L43" s="55"/>
      <c r="M43" s="5">
        <f>DATA_MARZO_202651[[#This Row],[RECUPERO]]/DATA_MARZO_202651[[#This Row],[META]]</f>
        <v>1.4471187692307692</v>
      </c>
      <c r="N43" s="5">
        <f>6-ROUNDUP(_xlfn.RANK.EQ(DATA_MARZO_202651[[#This Row],[AL_AC]],DATA_MARZO_202651[AL_AC],0)/(COUNTA(DATA_MARZO_202651[AL_AC])/5),0)</f>
        <v>5</v>
      </c>
      <c r="O43" s="54" t="str">
        <f>IFERROR(VLOOKUP(DATA_MARZO_202651[[#This Row],[ASER_]],$B:$G,4,0),"")</f>
        <v>SANDY</v>
      </c>
      <c r="P43" s="6">
        <f>SUM(DATA_MARZO_202651[[#This Row],[1]:[30]])</f>
        <v>47031.360000000001</v>
      </c>
      <c r="Q43" s="6">
        <f>VLOOKUP(DATA_MARZO_202651[[#This Row],[ASER_]],D1_MARZO_202655[[ASESOR_CRR]:[META]],2,0)</f>
        <v>32500</v>
      </c>
      <c r="R43" t="s">
        <v>68</v>
      </c>
      <c r="U43">
        <v>1200</v>
      </c>
      <c r="V43">
        <v>5000</v>
      </c>
      <c r="W43">
        <v>8783.36</v>
      </c>
      <c r="X43" s="5"/>
      <c r="Y43" s="6"/>
      <c r="Z43" s="6"/>
      <c r="AA43" s="6"/>
      <c r="AB43" s="6">
        <v>2010</v>
      </c>
      <c r="AC43" s="6"/>
      <c r="AD43" s="6">
        <v>628</v>
      </c>
      <c r="AE43" s="6">
        <v>2000</v>
      </c>
      <c r="AF43" s="6"/>
      <c r="AG43" s="6"/>
      <c r="AH43" s="6"/>
      <c r="AI43" s="6"/>
      <c r="AJ43" s="6"/>
      <c r="AK43" s="6">
        <v>300</v>
      </c>
      <c r="AL43" s="6"/>
      <c r="AM43" s="6"/>
      <c r="AN43" s="6"/>
      <c r="AO43" s="6">
        <v>650</v>
      </c>
      <c r="AP43" s="6">
        <v>12450</v>
      </c>
      <c r="AQ43" s="6">
        <v>10000</v>
      </c>
      <c r="AR43" s="6">
        <v>2000</v>
      </c>
      <c r="AS43" s="6"/>
      <c r="AT43" s="6"/>
      <c r="AU43" s="6">
        <v>2010</v>
      </c>
      <c r="AV43" s="54" t="str" cm="1">
        <f t="array" ref="AV43">IFERROR(VLOOKUP(DATA_MARZO_202651[[#This Row],[ASER_]],_xlfn._xlws.FILTER(PLANTILLA[[ASESOR]:[FECHA DE CESE]],PLANTILLA[FECHA]=_xlfn.CONCAT($M$3,"_",_xlfn.IFS($N$3="ENERO","1",$N$3="FEBRERO","2",$N$3="MARZO","3",$N$3="ABRIL","4",$N$3="MAYO","5",$N$3="JUNIO","6",$N$3="JULIO","7",$N$3="AGOSTO","8",$N$3="SETIEMBRE","9",$N$3="OCTUBRE","10",$N$3="NOVIEMBRE","11",$N$3="DICIEMBRE","12"))),8,0),"")</f>
        <v>S0 - IBK</v>
      </c>
      <c r="CM43" t="s">
        <v>636</v>
      </c>
      <c r="CN43" t="s">
        <v>125</v>
      </c>
      <c r="CO43" t="s">
        <v>60</v>
      </c>
      <c r="CP43">
        <v>46097</v>
      </c>
      <c r="CQ43">
        <v>1</v>
      </c>
      <c r="CR43">
        <v>1</v>
      </c>
      <c r="CT43">
        <v>1</v>
      </c>
      <c r="CV43">
        <v>8.1018518518518516E-5</v>
      </c>
      <c r="CW43">
        <v>8.1018518518518516E-5</v>
      </c>
      <c r="CX43">
        <v>0.29637731481481483</v>
      </c>
      <c r="CY43">
        <v>8.5509259259259257E-2</v>
      </c>
      <c r="CZ43">
        <v>171</v>
      </c>
      <c r="DA43">
        <v>225</v>
      </c>
      <c r="DB43">
        <v>11</v>
      </c>
      <c r="DC43" t="s">
        <v>943</v>
      </c>
      <c r="DD43">
        <v>32924</v>
      </c>
      <c r="DE43">
        <v>6.4299999999999996E-2</v>
      </c>
      <c r="DF43">
        <v>1</v>
      </c>
      <c r="DG43">
        <v>9.0899999999999995E-2</v>
      </c>
      <c r="DH43">
        <v>5000</v>
      </c>
      <c r="DI43">
        <v>5000</v>
      </c>
      <c r="DJ43">
        <v>5000</v>
      </c>
      <c r="DK43">
        <v>1</v>
      </c>
      <c r="DL43">
        <v>0.2722</v>
      </c>
      <c r="DM43">
        <v>96</v>
      </c>
      <c r="DN43">
        <v>5000</v>
      </c>
    </row>
    <row r="44" spans="1:118" x14ac:dyDescent="0.25">
      <c r="A44" s="34" t="str" cm="1">
        <f t="array" ref="A44">IFERROR(VLOOKUP(D1_MARZO_202655[[#This Row],[ASESOR_CRR]],_xlfn._xlws.FILTER(PLANTILLA[[ASESOR]:[FECHA DE CESE]],PLANTILLA[FECHA]=_xlfn.CONCAT($M$3,"_",_xlfn.IFS($N$3="ENERO","1",$N$3="FEBRERO","2",$N$3="MARZO","3",$N$3="ABRIL","4",$N$3="MAYO","5",$N$3="JUNIO","6",$N$3="JULIO","7",$N$3="AGOSTO","8",$N$3="SETIEMBRE","9",$N$3="OCTUBRE","10",$N$3="NOVIEMBRE","11",$N$3="DICIEMBRE","12"))),3,0),"")</f>
        <v>JOHAN</v>
      </c>
      <c r="B44" s="34" t="str" cm="1">
        <f t="array" ref="B44">TRIM(IFERROR(_xlfn.IFS(D1_MARZO_202655[[#This Row],[ASESOR]]="ELVIS GUERRA","ELVIS GUERRERA",D1_MARZO_202655[[#This Row],[ASESOR]]="GENESIS VICUÑA","GENESIS VICUNA",D1_MARZO_202655[[#This Row],[ASESOR]]="JENY QUIÑONES","JENY QUINONES",D1_MARZO_202655[[#This Row],[ASESOR]]="NICOLE CAURURO","NICOLE CAURURO"),D1_MARZO_202655[[#This Row],[ASESOR]]))</f>
        <v>GENESIS VICUNA</v>
      </c>
      <c r="C44" s="34" cm="1">
        <f t="array" ref="C44">_xlfn.XLOOKUP(1,(TablaMeta[CONCAT]=$M$3&amp;$N$3&amp;D1_MARZO_202655[[#This Row],[SUPER]])*(TablaMeta[SEGG]=D1_MARZO_202655[[#This Row],[SEGMENTO]]),TablaMeta[Meta_Asesor])</f>
        <v>56000</v>
      </c>
      <c r="D44" s="35">
        <f>IF(D1_MARZO_202655[[#This Row],[RECUPERO]]="VACACIONES","VACACIONES",IFERROR(D1_MARZO_202655[[#This Row],[RECUPERO]]/D1_MARZO_202655[[#This Row],[META]],""))</f>
        <v>0.51210714285714287</v>
      </c>
      <c r="E44" s="35" t="str">
        <f>D1_MARZO_202655[[#This Row],[SUPER]]</f>
        <v>JOHAN</v>
      </c>
      <c r="F44" t="s">
        <v>12</v>
      </c>
      <c r="G44" s="36">
        <v>28678</v>
      </c>
      <c r="H44" cm="1">
        <f t="array" ref="H44">IFERROR(VLOOKUP(D1_MARZO_202655[[#This Row],[ASESOR_CRR]],_xlfn._xlws.FILTER(PLANTILLA[[ASESOR]:[FECHA DE CESE]],PLANTILLA[FECHA]=_xlfn.CONCAT($M$3,"_",_xlfn.IFS($N$3="ENERO","1",$N$3="FEBRERO","2",$N$3="MARZO","3",$N$3="ABRIL","4",$N$3="MAYO","5",$N$3="JUNIO","6",$N$3="JULIO","7",$N$3="AGOSTO","8",$N$3="SETIEMBRE","9",$N$3="OCTUBRE","10",$N$3="NOVIEMBRE","11",$N$3="DICIEMBRE","12"))),2,0),"")</f>
        <v>45262585</v>
      </c>
      <c r="I44" s="55" cm="1">
        <f t="array" ref="I44">IFERROR(VLOOKUP(D1_MARZO_202655[[#This Row],[ASESOR_CRR]],_xlfn._xlws.FILTER(PLANTILLA[[ASESOR]:[FECHA DE CESE]],PLANTILLA[FECHA]=_xlfn.CONCAT($M$3,"_",_xlfn.IFS($N$3="ENERO","1",$N$3="FEBRERO","2",$N$3="MARZO","3",$N$3="ABRIL","4",$N$3="MAYO","5",$N$3="JUNIO","6",$N$3="JULIO","7",$N$3="AGOSTO","8",$N$3="SETIEMBRE","9",$N$3="OCTUBRE","10",$N$3="NOVIEMBRE","11",$N$3="DICIEMBRE","12"))),6,0),"")</f>
        <v>44868</v>
      </c>
      <c r="J44" s="55" t="str" cm="1">
        <f t="array" ref="J44">IFERROR(VLOOKUP(D1_MARZO_202655[[#This Row],[ASESOR_CRR]],_xlfn._xlws.FILTER(PLANTILLA[[ASESOR]:[FECHA DE CESE]],PLANTILLA[FECHA]=_xlfn.CONCAT($M$3,"_",_xlfn.IFS($N$3="ENERO","1",$N$3="FEBRERO","2",$N$3="MARZO","3",$N$3="ABRIL","4",$N$3="MAYO","5",$N$3="JUNIO","6",$N$3="JULIO","7",$N$3="AGOSTO","8",$N$3="SETIEMBRE","9",$N$3="OCTUBRE","10",$N$3="NOVIEMBRE","11",$N$3="DICIEMBRE","12"))),4,0),"")</f>
        <v>CALL</v>
      </c>
      <c r="K44" s="55" t="str" cm="1">
        <f t="array" ref="K44">IFERROR(VLOOKUP(D1_MARZO_202655[[#This Row],[ASESOR_CRR]],_xlfn._xlws.FILTER(PLANTILLA[[ASESOR]:[FECHA DE CESE]],PLANTILLA[FECHA]=_xlfn.CONCAT($M$3,"_",_xlfn.IFS($N$3="ENERO","1",$N$3="FEBRERO","2",$N$3="MARZO","3",$N$3="ABRIL","4",$N$3="MAYO","5",$N$3="JUNIO","6",$N$3="JULIO","7",$N$3="AGOSTO","8",$N$3="SETIEMBRE","9",$N$3="OCTUBRE","10",$N$3="NOVIEMBRE","11",$N$3="DICIEMBRE","12"))),8,0),"")</f>
        <v>S1</v>
      </c>
      <c r="L44" s="55"/>
      <c r="M44" s="5">
        <f>DATA_MARZO_202651[[#This Row],[RECUPERO]]/DATA_MARZO_202651[[#This Row],[META]]</f>
        <v>1.4896738461538461</v>
      </c>
      <c r="N44" s="5">
        <f>6-ROUNDUP(_xlfn.RANK.EQ(DATA_MARZO_202651[[#This Row],[AL_AC]],DATA_MARZO_202651[AL_AC],0)/(COUNTA(DATA_MARZO_202651[AL_AC])/5),0)</f>
        <v>5</v>
      </c>
      <c r="O44" s="54" t="str">
        <f>IFERROR(VLOOKUP(DATA_MARZO_202651[[#This Row],[ASER_]],$B:$G,4,0),"")</f>
        <v>SANDY</v>
      </c>
      <c r="P44" s="6">
        <f>SUM(DATA_MARZO_202651[[#This Row],[1]:[30]])</f>
        <v>48414.400000000001</v>
      </c>
      <c r="Q44" s="6">
        <f>VLOOKUP(DATA_MARZO_202651[[#This Row],[ASER_]],D1_MARZO_202655[[ASESOR_CRR]:[META]],2,0)</f>
        <v>32500</v>
      </c>
      <c r="R44" t="s">
        <v>29</v>
      </c>
      <c r="T44">
        <v>383.4</v>
      </c>
      <c r="U44">
        <v>500</v>
      </c>
      <c r="W44">
        <v>1778</v>
      </c>
      <c r="X44" s="5">
        <v>1220</v>
      </c>
      <c r="Y44" s="6"/>
      <c r="Z44" s="6"/>
      <c r="AA44" s="6"/>
      <c r="AB44" s="6">
        <v>200</v>
      </c>
      <c r="AC44" s="6">
        <v>23145</v>
      </c>
      <c r="AD44" s="6"/>
      <c r="AE44" s="6"/>
      <c r="AF44" s="6"/>
      <c r="AG44" s="6">
        <v>2848</v>
      </c>
      <c r="AH44" s="6"/>
      <c r="AI44" s="6">
        <v>310</v>
      </c>
      <c r="AJ44" s="6"/>
      <c r="AK44" s="6">
        <v>300</v>
      </c>
      <c r="AL44" s="6">
        <v>802</v>
      </c>
      <c r="AM44" s="6"/>
      <c r="AN44" s="6">
        <v>1800</v>
      </c>
      <c r="AO44" s="6">
        <v>845</v>
      </c>
      <c r="AP44" s="6">
        <v>1185</v>
      </c>
      <c r="AQ44" s="6">
        <v>318</v>
      </c>
      <c r="AR44" s="6">
        <v>300</v>
      </c>
      <c r="AS44" s="6"/>
      <c r="AT44" s="6">
        <v>3000</v>
      </c>
      <c r="AU44" s="6">
        <v>9480</v>
      </c>
      <c r="AV44" s="54" t="str" cm="1">
        <f t="array" ref="AV44">IFERROR(VLOOKUP(DATA_MARZO_202651[[#This Row],[ASER_]],_xlfn._xlws.FILTER(PLANTILLA[[ASESOR]:[FECHA DE CESE]],PLANTILLA[FECHA]=_xlfn.CONCAT($M$3,"_",_xlfn.IFS($N$3="ENERO","1",$N$3="FEBRERO","2",$N$3="MARZO","3",$N$3="ABRIL","4",$N$3="MAYO","5",$N$3="JUNIO","6",$N$3="JULIO","7",$N$3="AGOSTO","8",$N$3="SETIEMBRE","9",$N$3="OCTUBRE","10",$N$3="NOVIEMBRE","11",$N$3="DICIEMBRE","12"))),8,0),"")</f>
        <v>S0 - IBK</v>
      </c>
      <c r="CM44" t="s">
        <v>636</v>
      </c>
      <c r="CN44" t="s">
        <v>125</v>
      </c>
      <c r="CO44" t="s">
        <v>60</v>
      </c>
      <c r="CP44">
        <v>46108</v>
      </c>
      <c r="CQ44">
        <v>1</v>
      </c>
      <c r="CR44">
        <v>1</v>
      </c>
      <c r="CT44">
        <v>1</v>
      </c>
      <c r="CV44">
        <v>4.6296296296296294E-5</v>
      </c>
      <c r="CW44">
        <v>4.6296296296296294E-5</v>
      </c>
      <c r="CX44">
        <v>0.18865740740740741</v>
      </c>
      <c r="CY44">
        <v>0.13056712962962963</v>
      </c>
      <c r="CZ44">
        <v>86</v>
      </c>
      <c r="DA44">
        <v>109</v>
      </c>
      <c r="DB44">
        <v>6</v>
      </c>
      <c r="DC44" t="s">
        <v>765</v>
      </c>
      <c r="DD44">
        <v>52945</v>
      </c>
      <c r="DE44">
        <v>6.9800000000000001E-2</v>
      </c>
      <c r="DF44">
        <v>2</v>
      </c>
      <c r="DG44">
        <v>0.33329999999999999</v>
      </c>
      <c r="DH44">
        <v>4430</v>
      </c>
      <c r="DI44">
        <v>2215</v>
      </c>
      <c r="DJ44">
        <v>4430</v>
      </c>
      <c r="DK44">
        <v>1</v>
      </c>
      <c r="DL44">
        <v>0.19089999999999999</v>
      </c>
      <c r="DM44">
        <v>96</v>
      </c>
      <c r="DN44">
        <v>2215</v>
      </c>
    </row>
    <row r="45" spans="1:118" x14ac:dyDescent="0.25">
      <c r="A45" s="34" t="str" cm="1">
        <f t="array" ref="A45">IFERROR(VLOOKUP(D1_MARZO_202655[[#This Row],[ASESOR_CRR]],_xlfn._xlws.FILTER(PLANTILLA[[ASESOR]:[FECHA DE CESE]],PLANTILLA[FECHA]=_xlfn.CONCAT($M$3,"_",_xlfn.IFS($N$3="ENERO","1",$N$3="FEBRERO","2",$N$3="MARZO","3",$N$3="ABRIL","4",$N$3="MAYO","5",$N$3="JUNIO","6",$N$3="JULIO","7",$N$3="AGOSTO","8",$N$3="SETIEMBRE","9",$N$3="OCTUBRE","10",$N$3="NOVIEMBRE","11",$N$3="DICIEMBRE","12"))),3,0),"")</f>
        <v>JOHAN</v>
      </c>
      <c r="B45" s="34" t="str" cm="1">
        <f t="array" ref="B45">TRIM(IFERROR(_xlfn.IFS(D1_MARZO_202655[[#This Row],[ASESOR]]="ELVIS GUERRA","ELVIS GUERRERA",D1_MARZO_202655[[#This Row],[ASESOR]]="GENESIS VICUÑA","GENESIS VICUNA",D1_MARZO_202655[[#This Row],[ASESOR]]="JENY QUIÑONES","JENY QUINONES",D1_MARZO_202655[[#This Row],[ASESOR]]="NICOLE CAURURO","NICOLE CAURURO"),D1_MARZO_202655[[#This Row],[ASESOR]]))</f>
        <v>JEREMIAS ROJAS</v>
      </c>
      <c r="C45" s="34" cm="1">
        <f t="array" ref="C45">_xlfn.XLOOKUP(1,(TablaMeta[CONCAT]=$M$3&amp;$N$3&amp;D1_MARZO_202655[[#This Row],[SUPER]])*(TablaMeta[SEGG]=D1_MARZO_202655[[#This Row],[SEGMENTO]]),TablaMeta[Meta_Asesor])</f>
        <v>56000</v>
      </c>
      <c r="D45" s="35">
        <f>IF(D1_MARZO_202655[[#This Row],[RECUPERO]]="VACACIONES","VACACIONES",IFERROR(D1_MARZO_202655[[#This Row],[RECUPERO]]/D1_MARZO_202655[[#This Row],[META]],""))</f>
        <v>0.69160714285714286</v>
      </c>
      <c r="E45" s="35" t="str">
        <f>D1_MARZO_202655[[#This Row],[SUPER]]</f>
        <v>JOHAN</v>
      </c>
      <c r="F45" t="s">
        <v>122</v>
      </c>
      <c r="G45" s="36">
        <v>38730</v>
      </c>
      <c r="H45" cm="1">
        <f t="array" ref="H45">IFERROR(VLOOKUP(D1_MARZO_202655[[#This Row],[ASESOR_CRR]],_xlfn._xlws.FILTER(PLANTILLA[[ASESOR]:[FECHA DE CESE]],PLANTILLA[FECHA]=_xlfn.CONCAT($M$3,"_",_xlfn.IFS($N$3="ENERO","1",$N$3="FEBRERO","2",$N$3="MARZO","3",$N$3="ABRIL","4",$N$3="MAYO","5",$N$3="JUNIO","6",$N$3="JULIO","7",$N$3="AGOSTO","8",$N$3="SETIEMBRE","9",$N$3="OCTUBRE","10",$N$3="NOVIEMBRE","11",$N$3="DICIEMBRE","12"))),2,0),"")</f>
        <v>76586998</v>
      </c>
      <c r="I45" s="55" cm="1">
        <f t="array" ref="I45">IFERROR(VLOOKUP(D1_MARZO_202655[[#This Row],[ASESOR_CRR]],_xlfn._xlws.FILTER(PLANTILLA[[ASESOR]:[FECHA DE CESE]],PLANTILLA[FECHA]=_xlfn.CONCAT($M$3,"_",_xlfn.IFS($N$3="ENERO","1",$N$3="FEBRERO","2",$N$3="MARZO","3",$N$3="ABRIL","4",$N$3="MAYO","5",$N$3="JUNIO","6",$N$3="JULIO","7",$N$3="AGOSTO","8",$N$3="SETIEMBRE","9",$N$3="OCTUBRE","10",$N$3="NOVIEMBRE","11",$N$3="DICIEMBRE","12"))),6,0),"")</f>
        <v>45971</v>
      </c>
      <c r="J45" s="55" t="str" cm="1">
        <f t="array" ref="J45">IFERROR(VLOOKUP(D1_MARZO_202655[[#This Row],[ASESOR_CRR]],_xlfn._xlws.FILTER(PLANTILLA[[ASESOR]:[FECHA DE CESE]],PLANTILLA[FECHA]=_xlfn.CONCAT($M$3,"_",_xlfn.IFS($N$3="ENERO","1",$N$3="FEBRERO","2",$N$3="MARZO","3",$N$3="ABRIL","4",$N$3="MAYO","5",$N$3="JUNIO","6",$N$3="JULIO","7",$N$3="AGOSTO","8",$N$3="SETIEMBRE","9",$N$3="OCTUBRE","10",$N$3="NOVIEMBRE","11",$N$3="DICIEMBRE","12"))),4,0),"")</f>
        <v>CALL</v>
      </c>
      <c r="K45" s="55" t="str" cm="1">
        <f t="array" ref="K45">IFERROR(VLOOKUP(D1_MARZO_202655[[#This Row],[ASESOR_CRR]],_xlfn._xlws.FILTER(PLANTILLA[[ASESOR]:[FECHA DE CESE]],PLANTILLA[FECHA]=_xlfn.CONCAT($M$3,"_",_xlfn.IFS($N$3="ENERO","1",$N$3="FEBRERO","2",$N$3="MARZO","3",$N$3="ABRIL","4",$N$3="MAYO","5",$N$3="JUNIO","6",$N$3="JULIO","7",$N$3="AGOSTO","8",$N$3="SETIEMBRE","9",$N$3="OCTUBRE","10",$N$3="NOVIEMBRE","11",$N$3="DICIEMBRE","12"))),8,0),"")</f>
        <v>S1</v>
      </c>
      <c r="L45" s="55"/>
      <c r="M45" s="5">
        <f>DATA_MARZO_202651[[#This Row],[RECUPERO]]/DATA_MARZO_202651[[#This Row],[META]]</f>
        <v>0.54285714285714282</v>
      </c>
      <c r="N45" s="5">
        <f>6-ROUNDUP(_xlfn.RANK.EQ(DATA_MARZO_202651[[#This Row],[AL_AC]],DATA_MARZO_202651[AL_AC],0)/(COUNTA(DATA_MARZO_202651[AL_AC])/5),0)</f>
        <v>2</v>
      </c>
      <c r="O45" s="54" t="str">
        <f>IFERROR(VLOOKUP(DATA_MARZO_202651[[#This Row],[ASER_]],$B:$G,4,0),"")</f>
        <v>JORGE</v>
      </c>
      <c r="P45" s="6">
        <f>SUM(DATA_MARZO_202651[[#This Row],[1]:[30]])</f>
        <v>30400</v>
      </c>
      <c r="Q45" s="6">
        <f>VLOOKUP(DATA_MARZO_202651[[#This Row],[ASER_]],D1_MARZO_202655[[ASESOR_CRR]:[META]],2,0)</f>
        <v>56000</v>
      </c>
      <c r="R45" t="s">
        <v>25</v>
      </c>
      <c r="W45">
        <v>280</v>
      </c>
      <c r="X45" s="5"/>
      <c r="Y45" s="6"/>
      <c r="Z45" s="6"/>
      <c r="AA45" s="6">
        <v>2500</v>
      </c>
      <c r="AB45" s="6"/>
      <c r="AC45" s="6"/>
      <c r="AD45" s="6">
        <v>500</v>
      </c>
      <c r="AE45" s="6">
        <v>9000</v>
      </c>
      <c r="AF45" s="6"/>
      <c r="AG45" s="6"/>
      <c r="AH45" s="6"/>
      <c r="AI45" s="6">
        <v>2850</v>
      </c>
      <c r="AJ45" s="6">
        <v>2150</v>
      </c>
      <c r="AK45" s="6"/>
      <c r="AL45" s="6">
        <v>600</v>
      </c>
      <c r="AM45" s="6"/>
      <c r="AN45" s="6">
        <v>4200</v>
      </c>
      <c r="AO45" s="6"/>
      <c r="AP45" s="6">
        <v>390</v>
      </c>
      <c r="AQ45" s="6"/>
      <c r="AR45" s="6">
        <v>6880</v>
      </c>
      <c r="AS45" s="6"/>
      <c r="AT45" s="6"/>
      <c r="AU45" s="6">
        <v>1050</v>
      </c>
      <c r="AV45" s="54" t="str" cm="1">
        <f t="array" ref="AV45">IFERROR(VLOOKUP(DATA_MARZO_202651[[#This Row],[ASER_]],_xlfn._xlws.FILTER(PLANTILLA[[ASESOR]:[FECHA DE CESE]],PLANTILLA[FECHA]=_xlfn.CONCAT($M$3,"_",_xlfn.IFS($N$3="ENERO","1",$N$3="FEBRERO","2",$N$3="MARZO","3",$N$3="ABRIL","4",$N$3="MAYO","5",$N$3="JUNIO","6",$N$3="JULIO","7",$N$3="AGOSTO","8",$N$3="SETIEMBRE","9",$N$3="OCTUBRE","10",$N$3="NOVIEMBRE","11",$N$3="DICIEMBRE","12"))),8,0),"")</f>
        <v>S1</v>
      </c>
      <c r="CM45" t="s">
        <v>636</v>
      </c>
      <c r="CN45" t="s">
        <v>125</v>
      </c>
      <c r="CO45" t="s">
        <v>61</v>
      </c>
      <c r="CP45">
        <v>46098</v>
      </c>
      <c r="CQ45">
        <v>1</v>
      </c>
      <c r="CR45">
        <v>1</v>
      </c>
      <c r="CT45">
        <v>1</v>
      </c>
      <c r="CV45">
        <v>1.6666666666666668E-3</v>
      </c>
      <c r="CW45">
        <v>1.6666666666666668E-3</v>
      </c>
      <c r="CX45">
        <v>0.21768518518518518</v>
      </c>
      <c r="CY45">
        <v>0.13069444444444445</v>
      </c>
      <c r="CZ45">
        <v>122</v>
      </c>
      <c r="DA45">
        <v>280</v>
      </c>
      <c r="DB45">
        <v>18</v>
      </c>
      <c r="DC45" t="s">
        <v>690</v>
      </c>
      <c r="DD45">
        <v>30806</v>
      </c>
      <c r="DE45">
        <v>0.14749999999999999</v>
      </c>
      <c r="DF45">
        <v>2</v>
      </c>
      <c r="DG45">
        <v>0.1111</v>
      </c>
      <c r="DH45">
        <v>18200</v>
      </c>
      <c r="DI45">
        <v>9100</v>
      </c>
      <c r="DJ45">
        <v>18600</v>
      </c>
      <c r="DK45">
        <v>1.022</v>
      </c>
      <c r="DL45">
        <v>0.18079999999999999</v>
      </c>
      <c r="DM45">
        <v>96</v>
      </c>
      <c r="DN45">
        <v>9300</v>
      </c>
    </row>
    <row r="46" spans="1:118" x14ac:dyDescent="0.25">
      <c r="A46" s="34" t="str" cm="1">
        <f t="array" ref="A46">IFERROR(VLOOKUP(D1_MARZO_202655[[#This Row],[ASESOR_CRR]],_xlfn._xlws.FILTER(PLANTILLA[[ASESOR]:[FECHA DE CESE]],PLANTILLA[FECHA]=_xlfn.CONCAT($M$3,"_",_xlfn.IFS($N$3="ENERO","1",$N$3="FEBRERO","2",$N$3="MARZO","3",$N$3="ABRIL","4",$N$3="MAYO","5",$N$3="JUNIO","6",$N$3="JULIO","7",$N$3="AGOSTO","8",$N$3="SETIEMBRE","9",$N$3="OCTUBRE","10",$N$3="NOVIEMBRE","11",$N$3="DICIEMBRE","12"))),3,0),"")</f>
        <v>JOHAN</v>
      </c>
      <c r="B46" s="34" t="str" cm="1">
        <f t="array" ref="B46">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MARTIN VARGAS</v>
      </c>
      <c r="C46" s="34" cm="1">
        <f t="array" ref="C46">_xlfn.XLOOKUP(1,(TablaMeta[CONCAT]=$M$3&amp;$N$3&amp;D1_MARZO_202655[[#This Row],[SUPER]])*(TablaMeta[SEGG]=D1_MARZO_202655[[#This Row],[SEGMENTO]]),TablaMeta[Meta_Asesor])</f>
        <v>56000</v>
      </c>
      <c r="D46" s="35">
        <f>IF(D1_MARZO_202655[[#This Row],[RECUPERO]]="VACACIONES","VACACIONES",IFERROR(D1_MARZO_202655[[#This Row],[RECUPERO]]/D1_MARZO_202655[[#This Row],[META]],""))</f>
        <v>0.36885714285714288</v>
      </c>
      <c r="E46" s="35" t="str">
        <f>D1_MARZO_202655[[#This Row],[SUPER]]</f>
        <v>JOHAN</v>
      </c>
      <c r="F46" t="s">
        <v>206</v>
      </c>
      <c r="G46" s="36">
        <v>20656</v>
      </c>
      <c r="H46" cm="1">
        <f t="array" ref="H46">IFERROR(VLOOKUP(D1_MARZO_202655[[#This Row],[ASESOR_CRR]],_xlfn._xlws.FILTER(PLANTILLA[[ASESOR]:[FECHA DE CESE]],PLANTILLA[FECHA]=_xlfn.CONCAT($M$3,"_",_xlfn.IFS($N$3="ENERO","1",$N$3="FEBRERO","2",$N$3="MARZO","3",$N$3="ABRIL","4",$N$3="MAYO","5",$N$3="JUNIO","6",$N$3="JULIO","7",$N$3="AGOSTO","8",$N$3="SETIEMBRE","9",$N$3="OCTUBRE","10",$N$3="NOVIEMBRE","11",$N$3="DICIEMBRE","12"))),2,0),"")</f>
        <v>47497410</v>
      </c>
      <c r="I46" s="55" cm="1">
        <f t="array" ref="I46">IFERROR(VLOOKUP(D1_MARZO_202655[[#This Row],[ASESOR_CRR]],_xlfn._xlws.FILTER(PLANTILLA[[ASESOR]:[FECHA DE CESE]],PLANTILLA[FECHA]=_xlfn.CONCAT($M$3,"_",_xlfn.IFS($N$3="ENERO","1",$N$3="FEBRERO","2",$N$3="MARZO","3",$N$3="ABRIL","4",$N$3="MAYO","5",$N$3="JUNIO","6",$N$3="JULIO","7",$N$3="AGOSTO","8",$N$3="SETIEMBRE","9",$N$3="OCTUBRE","10",$N$3="NOVIEMBRE","11",$N$3="DICIEMBRE","12"))),6,0),"")</f>
        <v>46024</v>
      </c>
      <c r="J46" s="55" t="str" cm="1">
        <f t="array" ref="J46">IFERROR(VLOOKUP(D1_MARZO_202655[[#This Row],[ASESOR_CRR]],_xlfn._xlws.FILTER(PLANTILLA[[ASESOR]:[FECHA DE CESE]],PLANTILLA[FECHA]=_xlfn.CONCAT($M$3,"_",_xlfn.IFS($N$3="ENERO","1",$N$3="FEBRERO","2",$N$3="MARZO","3",$N$3="ABRIL","4",$N$3="MAYO","5",$N$3="JUNIO","6",$N$3="JULIO","7",$N$3="AGOSTO","8",$N$3="SETIEMBRE","9",$N$3="OCTUBRE","10",$N$3="NOVIEMBRE","11",$N$3="DICIEMBRE","12"))),4,0),"")</f>
        <v>CALL</v>
      </c>
      <c r="K46" s="55" t="str" cm="1">
        <f t="array" ref="K46">IFERROR(VLOOKUP(D1_MARZO_202655[[#This Row],[ASESOR_CRR]],_xlfn._xlws.FILTER(PLANTILLA[[ASESOR]:[FECHA DE CESE]],PLANTILLA[FECHA]=_xlfn.CONCAT($M$3,"_",_xlfn.IFS($N$3="ENERO","1",$N$3="FEBRERO","2",$N$3="MARZO","3",$N$3="ABRIL","4",$N$3="MAYO","5",$N$3="JUNIO","6",$N$3="JULIO","7",$N$3="AGOSTO","8",$N$3="SETIEMBRE","9",$N$3="OCTUBRE","10",$N$3="NOVIEMBRE","11",$N$3="DICIEMBRE","12"))),8,0),"")</f>
        <v>S1</v>
      </c>
      <c r="L46" s="55"/>
      <c r="M46" s="5">
        <f>DATA_MARZO_202651[[#This Row],[RECUPERO]]/DATA_MARZO_202651[[#This Row],[META]]</f>
        <v>6.3116071428571424E-2</v>
      </c>
      <c r="N46" s="5">
        <f>6-ROUNDUP(_xlfn.RANK.EQ(DATA_MARZO_202651[[#This Row],[AL_AC]],DATA_MARZO_202651[AL_AC],0)/(COUNTA(DATA_MARZO_202651[AL_AC])/5),0)</f>
        <v>1</v>
      </c>
      <c r="O46" s="54" t="str">
        <f>IFERROR(VLOOKUP(DATA_MARZO_202651[[#This Row],[ASER_]],$B:$G,4,0),"")</f>
        <v>JORGE</v>
      </c>
      <c r="P46" s="6">
        <f>SUM(DATA_MARZO_202651[[#This Row],[1]:[30]])</f>
        <v>3534.5</v>
      </c>
      <c r="Q46" s="6">
        <f>VLOOKUP(DATA_MARZO_202651[[#This Row],[ASER_]],D1_MARZO_202655[[ASESOR_CRR]:[META]],2,0)</f>
        <v>56000</v>
      </c>
      <c r="R46" t="s">
        <v>17</v>
      </c>
      <c r="T46">
        <v>636</v>
      </c>
      <c r="X46" s="5"/>
      <c r="Y46" s="6"/>
      <c r="Z46" s="6"/>
      <c r="AA46" s="6"/>
      <c r="AB46" s="6"/>
      <c r="AC46" s="6"/>
      <c r="AD46" s="6"/>
      <c r="AE46" s="6">
        <v>1156</v>
      </c>
      <c r="AF46" s="6"/>
      <c r="AG46" s="6"/>
      <c r="AH46" s="6"/>
      <c r="AI46" s="6"/>
      <c r="AJ46" s="6">
        <v>1142.5</v>
      </c>
      <c r="AK46" s="6"/>
      <c r="AL46" s="6"/>
      <c r="AM46" s="6"/>
      <c r="AN46" s="6"/>
      <c r="AO46" s="6"/>
      <c r="AP46" s="6">
        <v>600</v>
      </c>
      <c r="AQ46" s="6"/>
      <c r="AR46" s="6"/>
      <c r="AS46" s="6"/>
      <c r="AT46" s="6"/>
      <c r="AU46" s="6"/>
      <c r="AV46" s="54" t="str" cm="1">
        <f t="array" ref="AV46">IFERROR(VLOOKUP(DATA_MARZO_202651[[#This Row],[ASER_]],_xlfn._xlws.FILTER(PLANTILLA[[ASESOR]:[FECHA DE CESE]],PLANTILLA[FECHA]=_xlfn.CONCAT($M$3,"_",_xlfn.IFS($N$3="ENERO","1",$N$3="FEBRERO","2",$N$3="MARZO","3",$N$3="ABRIL","4",$N$3="MAYO","5",$N$3="JUNIO","6",$N$3="JULIO","7",$N$3="AGOSTO","8",$N$3="SETIEMBRE","9",$N$3="OCTUBRE","10",$N$3="NOVIEMBRE","11",$N$3="DICIEMBRE","12"))),8,0),"")</f>
        <v>S1</v>
      </c>
      <c r="CM46" t="s">
        <v>636</v>
      </c>
      <c r="CN46" t="s">
        <v>125</v>
      </c>
      <c r="CO46" t="s">
        <v>61</v>
      </c>
      <c r="CP46">
        <v>46112</v>
      </c>
      <c r="CQ46">
        <v>1</v>
      </c>
      <c r="CR46">
        <v>1</v>
      </c>
      <c r="CT46">
        <v>1</v>
      </c>
      <c r="CV46">
        <v>9.4907407407407408E-4</v>
      </c>
      <c r="CW46">
        <v>9.4907407407407408E-4</v>
      </c>
      <c r="CX46">
        <v>0.18836805555555555</v>
      </c>
      <c r="CY46">
        <v>0.19059027777777779</v>
      </c>
      <c r="CZ46">
        <v>57</v>
      </c>
      <c r="DA46">
        <v>205</v>
      </c>
      <c r="DB46">
        <v>13</v>
      </c>
      <c r="DC46" t="s">
        <v>764</v>
      </c>
      <c r="DD46">
        <v>46368</v>
      </c>
      <c r="DE46">
        <v>0.2281</v>
      </c>
      <c r="DF46">
        <v>2</v>
      </c>
      <c r="DG46">
        <v>0.15379999999999999</v>
      </c>
      <c r="DH46">
        <v>8300</v>
      </c>
      <c r="DI46">
        <v>4150</v>
      </c>
      <c r="DJ46">
        <v>8300</v>
      </c>
      <c r="DK46">
        <v>1</v>
      </c>
      <c r="DL46">
        <v>0.16769999999999999</v>
      </c>
      <c r="DM46">
        <v>96</v>
      </c>
      <c r="DN46">
        <v>4150</v>
      </c>
    </row>
    <row r="47" spans="1:118" x14ac:dyDescent="0.25">
      <c r="A47" s="34" t="str" cm="1">
        <f t="array" ref="A47">IFERROR(VLOOKUP(D1_MARZO_202655[[#This Row],[ASESOR_CRR]],_xlfn._xlws.FILTER(PLANTILLA[[ASESOR]:[FECHA DE CESE]],PLANTILLA[FECHA]=_xlfn.CONCAT($M$3,"_",_xlfn.IFS($N$3="ENERO","1",$N$3="FEBRERO","2",$N$3="MARZO","3",$N$3="ABRIL","4",$N$3="MAYO","5",$N$3="JUNIO","6",$N$3="JULIO","7",$N$3="AGOSTO","8",$N$3="SETIEMBRE","9",$N$3="OCTUBRE","10",$N$3="NOVIEMBRE","11",$N$3="DICIEMBRE","12"))),3,0),"")</f>
        <v>JOHAN</v>
      </c>
      <c r="B47" s="34" t="str" cm="1">
        <f t="array" ref="B47">TRIM(IFERROR(_xlfn.IFS(D1_MARZO_202655[[#This Row],[ASESOR]]="ELVIS GUERRA","ELVIS GUERRERA",D1_MARZO_202655[[#This Row],[ASESOR]]="GENESIS VICUÑA","GENESIS VICUNA",D1_MARZO_202655[[#This Row],[ASESOR]]="JENY QUIÑONES","JENY QUINONES",D1_MARZO_202655[[#This Row],[ASESOR]]="NICOLE CAURURO","NICOLE CAURURO"),D1_MARZO_202655[[#This Row],[ASESOR]]))</f>
        <v>ANTHONY VICENTE</v>
      </c>
      <c r="C47" s="34" cm="1">
        <f t="array" ref="C47">_xlfn.XLOOKUP(1,(TablaMeta[CONCAT]=$M$3&amp;$N$3&amp;D1_MARZO_202655[[#This Row],[SUPER]])*(TablaMeta[SEGG]=D1_MARZO_202655[[#This Row],[SEGMENTO]]),TablaMeta[Meta_Asesor])</f>
        <v>56000</v>
      </c>
      <c r="D47" s="35">
        <f>IF(D1_MARZO_202655[[#This Row],[RECUPERO]]="VACACIONES","VACACIONES",IFERROR(D1_MARZO_202655[[#This Row],[RECUPERO]]/D1_MARZO_202655[[#This Row],[META]],""))</f>
        <v>0.27919642857142857</v>
      </c>
      <c r="E47" s="35" t="str">
        <f>D1_MARZO_202655[[#This Row],[SUPER]]</f>
        <v>JOHAN</v>
      </c>
      <c r="F47" t="s">
        <v>85</v>
      </c>
      <c r="G47" s="36">
        <v>15635</v>
      </c>
      <c r="H47" cm="1">
        <f t="array" ref="H47">IFERROR(VLOOKUP(D1_MARZO_202655[[#This Row],[ASESOR_CRR]],_xlfn._xlws.FILTER(PLANTILLA[[ASESOR]:[FECHA DE CESE]],PLANTILLA[FECHA]=_xlfn.CONCAT($M$3,"_",_xlfn.IFS($N$3="ENERO","1",$N$3="FEBRERO","2",$N$3="MARZO","3",$N$3="ABRIL","4",$N$3="MAYO","5",$N$3="JUNIO","6",$N$3="JULIO","7",$N$3="AGOSTO","8",$N$3="SETIEMBRE","9",$N$3="OCTUBRE","10",$N$3="NOVIEMBRE","11",$N$3="DICIEMBRE","12"))),2,0),"")</f>
        <v>70477743</v>
      </c>
      <c r="I47" s="55" cm="1">
        <f t="array" ref="I47">IFERROR(VLOOKUP(D1_MARZO_202655[[#This Row],[ASESOR_CRR]],_xlfn._xlws.FILTER(PLANTILLA[[ASESOR]:[FECHA DE CESE]],PLANTILLA[FECHA]=_xlfn.CONCAT($M$3,"_",_xlfn.IFS($N$3="ENERO","1",$N$3="FEBRERO","2",$N$3="MARZO","3",$N$3="ABRIL","4",$N$3="MAYO","5",$N$3="JUNIO","6",$N$3="JULIO","7",$N$3="AGOSTO","8",$N$3="SETIEMBRE","9",$N$3="OCTUBRE","10",$N$3="NOVIEMBRE","11",$N$3="DICIEMBRE","12"))),6,0),"")</f>
        <v>46055</v>
      </c>
      <c r="J47" s="55" t="str" cm="1">
        <f t="array" ref="J47">IFERROR(VLOOKUP(D1_MARZO_202655[[#This Row],[ASESOR_CRR]],_xlfn._xlws.FILTER(PLANTILLA[[ASESOR]:[FECHA DE CESE]],PLANTILLA[FECHA]=_xlfn.CONCAT($M$3,"_",_xlfn.IFS($N$3="ENERO","1",$N$3="FEBRERO","2",$N$3="MARZO","3",$N$3="ABRIL","4",$N$3="MAYO","5",$N$3="JUNIO","6",$N$3="JULIO","7",$N$3="AGOSTO","8",$N$3="SETIEMBRE","9",$N$3="OCTUBRE","10",$N$3="NOVIEMBRE","11",$N$3="DICIEMBRE","12"))),4,0),"")</f>
        <v>CALL</v>
      </c>
      <c r="K47" s="55" t="str" cm="1">
        <f t="array" ref="K47">IFERROR(VLOOKUP(D1_MARZO_202655[[#This Row],[ASESOR_CRR]],_xlfn._xlws.FILTER(PLANTILLA[[ASESOR]:[FECHA DE CESE]],PLANTILLA[FECHA]=_xlfn.CONCAT($M$3,"_",_xlfn.IFS($N$3="ENERO","1",$N$3="FEBRERO","2",$N$3="MARZO","3",$N$3="ABRIL","4",$N$3="MAYO","5",$N$3="JUNIO","6",$N$3="JULIO","7",$N$3="AGOSTO","8",$N$3="SETIEMBRE","9",$N$3="OCTUBRE","10",$N$3="NOVIEMBRE","11",$N$3="DICIEMBRE","12"))),8,0),"")</f>
        <v>S1</v>
      </c>
      <c r="L47" s="55"/>
      <c r="M47" s="5">
        <f>DATA_MARZO_202651[[#This Row],[RECUPERO]]/DATA_MARZO_202651[[#This Row],[META]]</f>
        <v>0.16071428571428573</v>
      </c>
      <c r="N47" s="5">
        <f>6-ROUNDUP(_xlfn.RANK.EQ(DATA_MARZO_202651[[#This Row],[AL_AC]],DATA_MARZO_202651[AL_AC],0)/(COUNTA(DATA_MARZO_202651[AL_AC])/5),0)</f>
        <v>1</v>
      </c>
      <c r="O47" s="54" t="str">
        <f>IFERROR(VLOOKUP(DATA_MARZO_202651[[#This Row],[ASER_]],$B:$G,4,0),"")</f>
        <v>JORGE</v>
      </c>
      <c r="P47" s="6">
        <f>SUM(DATA_MARZO_202651[[#This Row],[1]:[30]])</f>
        <v>9000</v>
      </c>
      <c r="Q47" s="6">
        <f>VLOOKUP(DATA_MARZO_202651[[#This Row],[ASER_]],D1_MARZO_202655[[ASESOR_CRR]:[META]],2,0)</f>
        <v>56000</v>
      </c>
      <c r="R47" t="s">
        <v>207</v>
      </c>
      <c r="U47">
        <v>300</v>
      </c>
      <c r="X47" s="5"/>
      <c r="Y47" s="6"/>
      <c r="Z47" s="6">
        <v>7000</v>
      </c>
      <c r="AA47" s="6">
        <v>750</v>
      </c>
      <c r="AB47" s="6"/>
      <c r="AC47" s="6">
        <v>950</v>
      </c>
      <c r="AD47" s="6"/>
      <c r="AE47" s="6"/>
      <c r="AF47" s="6"/>
      <c r="AG47" s="6"/>
      <c r="AH47" s="6"/>
      <c r="AI47" s="6"/>
      <c r="AJ47" s="6"/>
      <c r="AK47" s="6"/>
      <c r="AL47" s="6"/>
      <c r="AM47" s="6"/>
      <c r="AN47" s="6"/>
      <c r="AO47" s="6"/>
      <c r="AP47" s="6"/>
      <c r="AQ47" s="6"/>
      <c r="AR47" s="6"/>
      <c r="AS47" s="6"/>
      <c r="AT47" s="6"/>
      <c r="AU47" s="6"/>
      <c r="AV47" s="54" t="str" cm="1">
        <f t="array" ref="AV47">IFERROR(VLOOKUP(DATA_MARZO_202651[[#This Row],[ASER_]],_xlfn._xlws.FILTER(PLANTILLA[[ASESOR]:[FECHA DE CESE]],PLANTILLA[FECHA]=_xlfn.CONCAT($M$3,"_",_xlfn.IFS($N$3="ENERO","1",$N$3="FEBRERO","2",$N$3="MARZO","3",$N$3="ABRIL","4",$N$3="MAYO","5",$N$3="JUNIO","6",$N$3="JULIO","7",$N$3="AGOSTO","8",$N$3="SETIEMBRE","9",$N$3="OCTUBRE","10",$N$3="NOVIEMBRE","11",$N$3="DICIEMBRE","12"))),8,0),"")</f>
        <v>S1</v>
      </c>
      <c r="CM47" t="s">
        <v>636</v>
      </c>
      <c r="CN47" t="s">
        <v>125</v>
      </c>
      <c r="CO47" t="s">
        <v>72</v>
      </c>
      <c r="CP47">
        <v>46100</v>
      </c>
      <c r="CQ47">
        <v>1</v>
      </c>
      <c r="CR47">
        <v>1</v>
      </c>
      <c r="CT47">
        <v>1</v>
      </c>
      <c r="CV47">
        <v>3.4722222222222222E-5</v>
      </c>
      <c r="CW47">
        <v>3.4722222222222222E-5</v>
      </c>
      <c r="CX47">
        <v>0.18662037037037038</v>
      </c>
      <c r="CY47">
        <v>0.15792824074074074</v>
      </c>
      <c r="CZ47">
        <v>103</v>
      </c>
      <c r="DA47">
        <v>223</v>
      </c>
      <c r="DB47">
        <v>13</v>
      </c>
      <c r="DC47" t="s">
        <v>764</v>
      </c>
      <c r="DD47">
        <v>36135</v>
      </c>
      <c r="DE47">
        <v>0.12620000000000001</v>
      </c>
      <c r="DF47">
        <v>1</v>
      </c>
      <c r="DG47">
        <v>7.6899999999999996E-2</v>
      </c>
      <c r="DH47">
        <v>6000</v>
      </c>
      <c r="DI47">
        <v>6000</v>
      </c>
      <c r="DJ47">
        <v>6000</v>
      </c>
      <c r="DK47">
        <v>1.0001</v>
      </c>
      <c r="DL47">
        <v>0.11310000000000001</v>
      </c>
      <c r="DM47">
        <v>96</v>
      </c>
      <c r="DN47">
        <v>6000</v>
      </c>
    </row>
    <row r="48" spans="1:118" x14ac:dyDescent="0.25">
      <c r="A48" s="34" t="str" cm="1">
        <f t="array" ref="A48">IFERROR(VLOOKUP(D1_MARZO_202655[[#This Row],[ASESOR_CRR]],_xlfn._xlws.FILTER(PLANTILLA[[ASESOR]:[FECHA DE CESE]],PLANTILLA[FECHA]=_xlfn.CONCAT($M$3,"_",_xlfn.IFS($N$3="ENERO","1",$N$3="FEBRERO","2",$N$3="MARZO","3",$N$3="ABRIL","4",$N$3="MAYO","5",$N$3="JUNIO","6",$N$3="JULIO","7",$N$3="AGOSTO","8",$N$3="SETIEMBRE","9",$N$3="OCTUBRE","10",$N$3="NOVIEMBRE","11",$N$3="DICIEMBRE","12"))),3,0),"")</f>
        <v>JOHAN</v>
      </c>
      <c r="B48" s="34" t="str" cm="1">
        <f t="array" ref="B48">TRIM(IFERROR(_xlfn.IFS(D1_MARZO_202655[[#This Row],[ASESOR]]="ELVIS GUERRA","ELVIS GUERRERA",D1_MARZO_202655[[#This Row],[ASESOR]]="GENESIS VICUÑA","GENESIS VICUNA",D1_MARZO_202655[[#This Row],[ASESOR]]="JENY QUIÑONES","JENY QUINONES",D1_MARZO_202655[[#This Row],[ASESOR]]="NICOLE CAURURO","NICOLE CAURURO"),D1_MARZO_202655[[#This Row],[ASESOR]]))</f>
        <v>ALEJANDRO GONZALES</v>
      </c>
      <c r="C48" s="34" cm="1">
        <f t="array" ref="C48">_xlfn.XLOOKUP(1,(TablaMeta[CONCAT]=$M$3&amp;$N$3&amp;D1_MARZO_202655[[#This Row],[SUPER]])*(TablaMeta[SEGG]=D1_MARZO_202655[[#This Row],[SEGMENTO]]),TablaMeta[Meta_Asesor])</f>
        <v>56000</v>
      </c>
      <c r="D48" s="35">
        <f>IF(D1_MARZO_202655[[#This Row],[RECUPERO]]="VACACIONES","VACACIONES",IFERROR(D1_MARZO_202655[[#This Row],[RECUPERO]]/D1_MARZO_202655[[#This Row],[META]],""))</f>
        <v>0.28767857142857145</v>
      </c>
      <c r="E48" s="35" t="str">
        <f>D1_MARZO_202655[[#This Row],[SUPER]]</f>
        <v>JOHAN</v>
      </c>
      <c r="F48" t="s">
        <v>109</v>
      </c>
      <c r="G48" s="36">
        <v>16110</v>
      </c>
      <c r="H48" cm="1">
        <f t="array" ref="H48">IFERROR(VLOOKUP(D1_MARZO_202655[[#This Row],[ASESOR_CRR]],_xlfn._xlws.FILTER(PLANTILLA[[ASESOR]:[FECHA DE CESE]],PLANTILLA[FECHA]=_xlfn.CONCAT($M$3,"_",_xlfn.IFS($N$3="ENERO","1",$N$3="FEBRERO","2",$N$3="MARZO","3",$N$3="ABRIL","4",$N$3="MAYO","5",$N$3="JUNIO","6",$N$3="JULIO","7",$N$3="AGOSTO","8",$N$3="SETIEMBRE","9",$N$3="OCTUBRE","10",$N$3="NOVIEMBRE","11",$N$3="DICIEMBRE","12"))),2,0),"")</f>
        <v>74626735</v>
      </c>
      <c r="I48" s="55" cm="1">
        <f t="array" ref="I48">IFERROR(VLOOKUP(D1_MARZO_202655[[#This Row],[ASESOR_CRR]],_xlfn._xlws.FILTER(PLANTILLA[[ASESOR]:[FECHA DE CESE]],PLANTILLA[FECHA]=_xlfn.CONCAT($M$3,"_",_xlfn.IFS($N$3="ENERO","1",$N$3="FEBRERO","2",$N$3="MARZO","3",$N$3="ABRIL","4",$N$3="MAYO","5",$N$3="JUNIO","6",$N$3="JULIO","7",$N$3="AGOSTO","8",$N$3="SETIEMBRE","9",$N$3="OCTUBRE","10",$N$3="NOVIEMBRE","11",$N$3="DICIEMBRE","12"))),6,0),"")</f>
        <v>46024</v>
      </c>
      <c r="J48" s="55" t="str" cm="1">
        <f t="array" ref="J48">IFERROR(VLOOKUP(D1_MARZO_202655[[#This Row],[ASESOR_CRR]],_xlfn._xlws.FILTER(PLANTILLA[[ASESOR]:[FECHA DE CESE]],PLANTILLA[FECHA]=_xlfn.CONCAT($M$3,"_",_xlfn.IFS($N$3="ENERO","1",$N$3="FEBRERO","2",$N$3="MARZO","3",$N$3="ABRIL","4",$N$3="MAYO","5",$N$3="JUNIO","6",$N$3="JULIO","7",$N$3="AGOSTO","8",$N$3="SETIEMBRE","9",$N$3="OCTUBRE","10",$N$3="NOVIEMBRE","11",$N$3="DICIEMBRE","12"))),4,0),"")</f>
        <v>CALL</v>
      </c>
      <c r="K48" s="55" t="str" cm="1">
        <f t="array" ref="K48">IFERROR(VLOOKUP(D1_MARZO_202655[[#This Row],[ASESOR_CRR]],_xlfn._xlws.FILTER(PLANTILLA[[ASESOR]:[FECHA DE CESE]],PLANTILLA[FECHA]=_xlfn.CONCAT($M$3,"_",_xlfn.IFS($N$3="ENERO","1",$N$3="FEBRERO","2",$N$3="MARZO","3",$N$3="ABRIL","4",$N$3="MAYO","5",$N$3="JUNIO","6",$N$3="JULIO","7",$N$3="AGOSTO","8",$N$3="SETIEMBRE","9",$N$3="OCTUBRE","10",$N$3="NOVIEMBRE","11",$N$3="DICIEMBRE","12"))),8,0),"")</f>
        <v>S1</v>
      </c>
      <c r="L48" s="55"/>
      <c r="M48" s="5">
        <f>DATA_MARZO_202651[[#This Row],[RECUPERO]]/DATA_MARZO_202651[[#This Row],[META]]</f>
        <v>1.1767236170212767</v>
      </c>
      <c r="N48" s="5">
        <f>6-ROUNDUP(_xlfn.RANK.EQ(DATA_MARZO_202651[[#This Row],[AL_AC]],DATA_MARZO_202651[AL_AC],0)/(COUNTA(DATA_MARZO_202651[AL_AC])/5),0)</f>
        <v>4</v>
      </c>
      <c r="O48" s="54" t="str">
        <f>IFERROR(VLOOKUP(DATA_MARZO_202651[[#This Row],[ASER_]],$B:$G,4,0),"")</f>
        <v>SANDY</v>
      </c>
      <c r="P48" s="6">
        <f>SUM(DATA_MARZO_202651[[#This Row],[1]:[30]])</f>
        <v>110612.02</v>
      </c>
      <c r="Q48" s="6">
        <f>VLOOKUP(DATA_MARZO_202651[[#This Row],[ASER_]],D1_MARZO_202655[[ASESOR_CRR]:[META]],2,0)</f>
        <v>94000</v>
      </c>
      <c r="R48" t="s">
        <v>38</v>
      </c>
      <c r="T48">
        <v>200</v>
      </c>
      <c r="U48">
        <v>6484.86</v>
      </c>
      <c r="V48">
        <v>7300</v>
      </c>
      <c r="W48">
        <v>10150</v>
      </c>
      <c r="X48" s="5">
        <v>6377</v>
      </c>
      <c r="Y48" s="6"/>
      <c r="Z48" s="6">
        <v>11957.4</v>
      </c>
      <c r="AA48" s="6">
        <v>1030</v>
      </c>
      <c r="AB48" s="6">
        <v>2100</v>
      </c>
      <c r="AC48" s="6">
        <v>2500</v>
      </c>
      <c r="AD48" s="6">
        <v>537.76</v>
      </c>
      <c r="AE48" s="6"/>
      <c r="AF48" s="6"/>
      <c r="AG48" s="6">
        <v>1300</v>
      </c>
      <c r="AH48" s="6">
        <v>3700</v>
      </c>
      <c r="AI48" s="6">
        <v>5780</v>
      </c>
      <c r="AJ48" s="6">
        <v>13000</v>
      </c>
      <c r="AK48" s="6">
        <v>5650</v>
      </c>
      <c r="AL48" s="6">
        <v>2800</v>
      </c>
      <c r="AM48" s="6"/>
      <c r="AN48" s="6">
        <v>4300</v>
      </c>
      <c r="AO48" s="6">
        <v>6100</v>
      </c>
      <c r="AP48" s="6">
        <v>750</v>
      </c>
      <c r="AQ48" s="6">
        <v>2500</v>
      </c>
      <c r="AR48" s="6">
        <v>4080</v>
      </c>
      <c r="AS48" s="6"/>
      <c r="AT48" s="6"/>
      <c r="AU48" s="6">
        <v>12015</v>
      </c>
      <c r="AV48" s="54" t="str" cm="1">
        <f t="array" ref="AV48">IFERROR(VLOOKUP(DATA_MARZO_202651[[#This Row],[ASER_]],_xlfn._xlws.FILTER(PLANTILLA[[ASESOR]:[FECHA DE CESE]],PLANTILLA[FECHA]=_xlfn.CONCAT($M$3,"_",_xlfn.IFS($N$3="ENERO","1",$N$3="FEBRERO","2",$N$3="MARZO","3",$N$3="ABRIL","4",$N$3="MAYO","5",$N$3="JUNIO","6",$N$3="JULIO","7",$N$3="AGOSTO","8",$N$3="SETIEMBRE","9",$N$3="OCTUBRE","10",$N$3="NOVIEMBRE","11",$N$3="DICIEMBRE","12"))),8,0),"")</f>
        <v>S0 - BBVA</v>
      </c>
      <c r="CM48" t="s">
        <v>636</v>
      </c>
      <c r="CN48" t="s">
        <v>125</v>
      </c>
      <c r="CO48" t="s">
        <v>75</v>
      </c>
      <c r="CP48">
        <v>46111</v>
      </c>
      <c r="CQ48">
        <v>1</v>
      </c>
      <c r="CR48">
        <v>1</v>
      </c>
      <c r="CT48">
        <v>1</v>
      </c>
      <c r="CV48">
        <v>2.8587962962962963E-3</v>
      </c>
      <c r="CW48">
        <v>2.8587962962962963E-3</v>
      </c>
      <c r="CX48">
        <v>0.21759259259259259</v>
      </c>
      <c r="CY48">
        <v>0.14797453703703703</v>
      </c>
      <c r="CZ48">
        <v>116</v>
      </c>
      <c r="DA48">
        <v>192</v>
      </c>
      <c r="DB48">
        <v>21</v>
      </c>
      <c r="DC48" t="s">
        <v>752</v>
      </c>
      <c r="DD48">
        <v>19853</v>
      </c>
      <c r="DE48">
        <v>0.18099999999999999</v>
      </c>
      <c r="DF48">
        <v>1</v>
      </c>
      <c r="DG48">
        <v>4.7600000000000003E-2</v>
      </c>
      <c r="DH48">
        <v>5050</v>
      </c>
      <c r="DI48">
        <v>5050</v>
      </c>
      <c r="DJ48">
        <v>5050</v>
      </c>
      <c r="DK48">
        <v>1</v>
      </c>
      <c r="DL48">
        <v>9.6199999999999994E-2</v>
      </c>
      <c r="DM48">
        <v>96</v>
      </c>
      <c r="DN48">
        <v>5050</v>
      </c>
    </row>
    <row r="49" spans="1:118" x14ac:dyDescent="0.25">
      <c r="A49" s="34" t="str" cm="1">
        <f t="array" ref="A49">IFERROR(VLOOKUP(D1_MARZO_202655[[#This Row],[ASESOR_CRR]],_xlfn._xlws.FILTER(PLANTILLA[[ASESOR]:[FECHA DE CESE]],PLANTILLA[FECHA]=_xlfn.CONCAT($M$3,"_",_xlfn.IFS($N$3="ENERO","1",$N$3="FEBRERO","2",$N$3="MARZO","3",$N$3="ABRIL","4",$N$3="MAYO","5",$N$3="JUNIO","6",$N$3="JULIO","7",$N$3="AGOSTO","8",$N$3="SETIEMBRE","9",$N$3="OCTUBRE","10",$N$3="NOVIEMBRE","11",$N$3="DICIEMBRE","12"))),3,0),"")</f>
        <v>JORGE</v>
      </c>
      <c r="B49" s="34" t="str" cm="1">
        <f t="array" ref="B49">TRIM(IFERROR(_xlfn.IFS(D1_MARZO_202655[[#This Row],[ASESOR]]="ELVIS GUERRA","ELVIS GUERRERA",D1_MARZO_202655[[#This Row],[ASESOR]]="GENESIS VICUÑA","GENESIS VICUNA",D1_MARZO_202655[[#This Row],[ASESOR]]="JENY QUIÑONES","JENY QUINONES",D1_MARZO_202655[[#This Row],[ASESOR]]="NICOLE CAURURO","NICOLE CAURURO"),D1_MARZO_202655[[#This Row],[ASESOR]]))</f>
        <v>LISELY MERA</v>
      </c>
      <c r="C49" s="34" cm="1">
        <f t="array" ref="C49">_xlfn.XLOOKUP(1,(TablaMeta[CONCAT]=$M$3&amp;$N$3&amp;D1_MARZO_202655[[#This Row],[SUPER]])*(TablaMeta[SEGG]=D1_MARZO_202655[[#This Row],[SEGMENTO]]),TablaMeta[Meta_Asesor])</f>
        <v>56000</v>
      </c>
      <c r="D49" s="35">
        <f>IF(D1_MARZO_202655[[#This Row],[RECUPERO]]="VACACIONES","VACACIONES",IFERROR(D1_MARZO_202655[[#This Row],[RECUPERO]]/D1_MARZO_202655[[#This Row],[META]],""))</f>
        <v>1.3341133928571429</v>
      </c>
      <c r="E49" s="35" t="str">
        <f>D1_MARZO_202655[[#This Row],[SUPER]]</f>
        <v>JORGE</v>
      </c>
      <c r="F49" t="s">
        <v>23</v>
      </c>
      <c r="G49" s="36">
        <v>74710.350000000006</v>
      </c>
      <c r="H49" cm="1">
        <f t="array" ref="H49">IFERROR(VLOOKUP(D1_MARZO_202655[[#This Row],[ASESOR_CRR]],_xlfn._xlws.FILTER(PLANTILLA[[ASESOR]:[FECHA DE CESE]],PLANTILLA[FECHA]=_xlfn.CONCAT($M$3,"_",_xlfn.IFS($N$3="ENERO","1",$N$3="FEBRERO","2",$N$3="MARZO","3",$N$3="ABRIL","4",$N$3="MAYO","5",$N$3="JUNIO","6",$N$3="JULIO","7",$N$3="AGOSTO","8",$N$3="SETIEMBRE","9",$N$3="OCTUBRE","10",$N$3="NOVIEMBRE","11",$N$3="DICIEMBRE","12"))),2,0),"")</f>
        <v>72413556</v>
      </c>
      <c r="I49" s="55" cm="1">
        <f t="array" ref="I49">IFERROR(VLOOKUP(D1_MARZO_202655[[#This Row],[ASESOR_CRR]],_xlfn._xlws.FILTER(PLANTILLA[[ASESOR]:[FECHA DE CESE]],PLANTILLA[FECHA]=_xlfn.CONCAT($M$3,"_",_xlfn.IFS($N$3="ENERO","1",$N$3="FEBRERO","2",$N$3="MARZO","3",$N$3="ABRIL","4",$N$3="MAYO","5",$N$3="JUNIO","6",$N$3="JULIO","7",$N$3="AGOSTO","8",$N$3="SETIEMBRE","9",$N$3="OCTUBRE","10",$N$3="NOVIEMBRE","11",$N$3="DICIEMBRE","12"))),6,0),"")</f>
        <v>44109</v>
      </c>
      <c r="J49" s="55" t="str" cm="1">
        <f t="array" ref="J49">IFERROR(VLOOKUP(D1_MARZO_202655[[#This Row],[ASESOR_CRR]],_xlfn._xlws.FILTER(PLANTILLA[[ASESOR]:[FECHA DE CESE]],PLANTILLA[FECHA]=_xlfn.CONCAT($M$3,"_",_xlfn.IFS($N$3="ENERO","1",$N$3="FEBRERO","2",$N$3="MARZO","3",$N$3="ABRIL","4",$N$3="MAYO","5",$N$3="JUNIO","6",$N$3="JULIO","7",$N$3="AGOSTO","8",$N$3="SETIEMBRE","9",$N$3="OCTUBRE","10",$N$3="NOVIEMBRE","11",$N$3="DICIEMBRE","12"))),4,0),"")</f>
        <v>CALL</v>
      </c>
      <c r="K49" s="55" t="str" cm="1">
        <f t="array" ref="K49">IFERROR(VLOOKUP(D1_MARZO_202655[[#This Row],[ASESOR_CRR]],_xlfn._xlws.FILTER(PLANTILLA[[ASESOR]:[FECHA DE CESE]],PLANTILLA[FECHA]=_xlfn.CONCAT($M$3,"_",_xlfn.IFS($N$3="ENERO","1",$N$3="FEBRERO","2",$N$3="MARZO","3",$N$3="ABRIL","4",$N$3="MAYO","5",$N$3="JUNIO","6",$N$3="JULIO","7",$N$3="AGOSTO","8",$N$3="SETIEMBRE","9",$N$3="OCTUBRE","10",$N$3="NOVIEMBRE","11",$N$3="DICIEMBRE","12"))),8,0),"")</f>
        <v>S1</v>
      </c>
      <c r="L49" s="55"/>
      <c r="M49" s="5">
        <f>DATA_MARZO_202651[[#This Row],[RECUPERO]]/DATA_MARZO_202651[[#This Row],[META]]</f>
        <v>0.93708928571428574</v>
      </c>
      <c r="N49" s="5">
        <f>6-ROUNDUP(_xlfn.RANK.EQ(DATA_MARZO_202651[[#This Row],[AL_AC]],DATA_MARZO_202651[AL_AC],0)/(COUNTA(DATA_MARZO_202651[AL_AC])/5),0)</f>
        <v>4</v>
      </c>
      <c r="O49" s="54" t="str">
        <f>IFERROR(VLOOKUP(DATA_MARZO_202651[[#This Row],[ASER_]],$B:$G,4,0),"")</f>
        <v>JOHAN</v>
      </c>
      <c r="P49" s="6">
        <f>SUM(DATA_MARZO_202651[[#This Row],[1]:[30]])</f>
        <v>52477</v>
      </c>
      <c r="Q49" s="6">
        <f>VLOOKUP(DATA_MARZO_202651[[#This Row],[ASER_]],D1_MARZO_202655[[ASESOR_CRR]:[META]],2,0)</f>
        <v>56000</v>
      </c>
      <c r="R49" t="s">
        <v>75</v>
      </c>
      <c r="U49">
        <v>2000</v>
      </c>
      <c r="X49" s="5"/>
      <c r="Y49" s="6"/>
      <c r="Z49" s="6">
        <v>4700</v>
      </c>
      <c r="AA49" s="6"/>
      <c r="AB49" s="6"/>
      <c r="AC49" s="6">
        <v>115</v>
      </c>
      <c r="AD49" s="6">
        <v>12000</v>
      </c>
      <c r="AE49" s="6"/>
      <c r="AF49" s="6"/>
      <c r="AG49" s="6">
        <v>11750</v>
      </c>
      <c r="AH49" s="6">
        <v>2140</v>
      </c>
      <c r="AI49" s="6"/>
      <c r="AJ49" s="6"/>
      <c r="AK49" s="6">
        <v>650</v>
      </c>
      <c r="AL49" s="6">
        <v>1100</v>
      </c>
      <c r="AM49" s="6"/>
      <c r="AN49" s="6"/>
      <c r="AO49" s="6">
        <v>281</v>
      </c>
      <c r="AP49" s="6"/>
      <c r="AQ49" s="6">
        <v>430</v>
      </c>
      <c r="AR49" s="6">
        <v>11811</v>
      </c>
      <c r="AS49" s="6"/>
      <c r="AT49" s="6"/>
      <c r="AU49" s="6">
        <v>5500</v>
      </c>
      <c r="AV49" s="54" t="str" cm="1">
        <f t="array" ref="AV49">IFERROR(VLOOKUP(DATA_MARZO_202651[[#This Row],[ASER_]],_xlfn._xlws.FILTER(PLANTILLA[[ASESOR]:[FECHA DE CESE]],PLANTILLA[FECHA]=_xlfn.CONCAT($M$3,"_",_xlfn.IFS($N$3="ENERO","1",$N$3="FEBRERO","2",$N$3="MARZO","3",$N$3="ABRIL","4",$N$3="MAYO","5",$N$3="JUNIO","6",$N$3="JULIO","7",$N$3="AGOSTO","8",$N$3="SETIEMBRE","9",$N$3="OCTUBRE","10",$N$3="NOVIEMBRE","11",$N$3="DICIEMBRE","12"))),8,0),"")</f>
        <v>S1</v>
      </c>
      <c r="CM49" t="s">
        <v>636</v>
      </c>
      <c r="CN49" t="s">
        <v>2</v>
      </c>
      <c r="CO49" t="s">
        <v>15</v>
      </c>
      <c r="CP49">
        <v>46094</v>
      </c>
      <c r="CQ49">
        <v>1</v>
      </c>
      <c r="CR49">
        <v>1</v>
      </c>
      <c r="CT49">
        <v>1</v>
      </c>
      <c r="CV49">
        <v>1.273148148148148E-4</v>
      </c>
      <c r="CW49">
        <v>1.273148148148148E-4</v>
      </c>
      <c r="CX49">
        <v>0.25074074074074076</v>
      </c>
      <c r="CY49">
        <v>9.6469907407407407E-2</v>
      </c>
      <c r="CZ49">
        <v>105</v>
      </c>
      <c r="DA49">
        <v>127</v>
      </c>
      <c r="DB49">
        <v>19</v>
      </c>
      <c r="DC49" t="s">
        <v>725</v>
      </c>
      <c r="DD49">
        <v>25550</v>
      </c>
      <c r="DE49">
        <v>0.18099999999999999</v>
      </c>
      <c r="DF49">
        <v>1</v>
      </c>
      <c r="DG49">
        <v>5.2600000000000001E-2</v>
      </c>
      <c r="DH49">
        <v>500</v>
      </c>
      <c r="DI49">
        <v>500</v>
      </c>
      <c r="DJ49">
        <v>500</v>
      </c>
      <c r="DK49">
        <v>1</v>
      </c>
      <c r="DM49">
        <v>96</v>
      </c>
      <c r="DN49">
        <v>500</v>
      </c>
    </row>
    <row r="50" spans="1:118" x14ac:dyDescent="0.25">
      <c r="A50" s="34" t="str" cm="1">
        <f t="array" ref="A50">IFERROR(VLOOKUP(D1_MARZO_202655[[#This Row],[ASESOR_CRR]],_xlfn._xlws.FILTER(PLANTILLA[[ASESOR]:[FECHA DE CESE]],PLANTILLA[FECHA]=_xlfn.CONCAT($M$3,"_",_xlfn.IFS($N$3="ENERO","1",$N$3="FEBRERO","2",$N$3="MARZO","3",$N$3="ABRIL","4",$N$3="MAYO","5",$N$3="JUNIO","6",$N$3="JULIO","7",$N$3="AGOSTO","8",$N$3="SETIEMBRE","9",$N$3="OCTUBRE","10",$N$3="NOVIEMBRE","11",$N$3="DICIEMBRE","12"))),3,0),"")</f>
        <v>JORGE</v>
      </c>
      <c r="B50" s="34" t="str" cm="1">
        <f t="array" ref="B50">TRIM(IFERROR(_xlfn.IFS(D1_MARZO_202655[[#This Row],[ASESOR]]="ELVIS GUERRA","ELVIS GUERRERA",D1_MARZO_202655[[#This Row],[ASESOR]]="GENESIS VICUÑA","GENESIS VICUNA",D1_MARZO_202655[[#This Row],[ASESOR]]="JENY QUIÑONES","JENY QUINONES",D1_MARZO_202655[[#This Row],[ASESOR]]="NICOLE CAURURO","NICOLE CAURURO"),D1_MARZO_202655[[#This Row],[ASESOR]]))</f>
        <v>EVELY TENORIO</v>
      </c>
      <c r="C50" s="34" cm="1">
        <f t="array" ref="C50">_xlfn.XLOOKUP(1,(TablaMeta[CONCAT]=$M$3&amp;$N$3&amp;D1_MARZO_202655[[#This Row],[SUPER]])*(TablaMeta[SEGG]=D1_MARZO_202655[[#This Row],[SEGMENTO]]),TablaMeta[Meta_Asesor])</f>
        <v>56000</v>
      </c>
      <c r="D50" s="35">
        <f>IF(D1_MARZO_202655[[#This Row],[RECUPERO]]="VACACIONES","VACACIONES",IFERROR(D1_MARZO_202655[[#This Row],[RECUPERO]]/D1_MARZO_202655[[#This Row],[META]],""))</f>
        <v>1.0848214285714286</v>
      </c>
      <c r="E50" s="35" t="str">
        <f>D1_MARZO_202655[[#This Row],[SUPER]]</f>
        <v>JORGE</v>
      </c>
      <c r="F50" t="s">
        <v>22</v>
      </c>
      <c r="G50" s="36">
        <v>60750</v>
      </c>
      <c r="H50" cm="1">
        <f t="array" ref="H50">IFERROR(VLOOKUP(D1_MARZO_202655[[#This Row],[ASESOR_CRR]],_xlfn._xlws.FILTER(PLANTILLA[[ASESOR]:[FECHA DE CESE]],PLANTILLA[FECHA]=_xlfn.CONCAT($M$3,"_",_xlfn.IFS($N$3="ENERO","1",$N$3="FEBRERO","2",$N$3="MARZO","3",$N$3="ABRIL","4",$N$3="MAYO","5",$N$3="JUNIO","6",$N$3="JULIO","7",$N$3="AGOSTO","8",$N$3="SETIEMBRE","9",$N$3="OCTUBRE","10",$N$3="NOVIEMBRE","11",$N$3="DICIEMBRE","12"))),2,0),"")</f>
        <v>70551168</v>
      </c>
      <c r="I50" s="55" cm="1">
        <f t="array" ref="I50">IFERROR(VLOOKUP(D1_MARZO_202655[[#This Row],[ASESOR_CRR]],_xlfn._xlws.FILTER(PLANTILLA[[ASESOR]:[FECHA DE CESE]],PLANTILLA[FECHA]=_xlfn.CONCAT($M$3,"_",_xlfn.IFS($N$3="ENERO","1",$N$3="FEBRERO","2",$N$3="MARZO","3",$N$3="ABRIL","4",$N$3="MAYO","5",$N$3="JUNIO","6",$N$3="JULIO","7",$N$3="AGOSTO","8",$N$3="SETIEMBRE","9",$N$3="OCTUBRE","10",$N$3="NOVIEMBRE","11",$N$3="DICIEMBRE","12"))),6,0),"")</f>
        <v>45295</v>
      </c>
      <c r="J50" s="55" t="str" cm="1">
        <f t="array" ref="J50">IFERROR(VLOOKUP(D1_MARZO_202655[[#This Row],[ASESOR_CRR]],_xlfn._xlws.FILTER(PLANTILLA[[ASESOR]:[FECHA DE CESE]],PLANTILLA[FECHA]=_xlfn.CONCAT($M$3,"_",_xlfn.IFS($N$3="ENERO","1",$N$3="FEBRERO","2",$N$3="MARZO","3",$N$3="ABRIL","4",$N$3="MAYO","5",$N$3="JUNIO","6",$N$3="JULIO","7",$N$3="AGOSTO","8",$N$3="SETIEMBRE","9",$N$3="OCTUBRE","10",$N$3="NOVIEMBRE","11",$N$3="DICIEMBRE","12"))),4,0),"")</f>
        <v>CALL</v>
      </c>
      <c r="K50" s="55" t="str" cm="1">
        <f t="array" ref="K50">IFERROR(VLOOKUP(D1_MARZO_202655[[#This Row],[ASESOR_CRR]],_xlfn._xlws.FILTER(PLANTILLA[[ASESOR]:[FECHA DE CESE]],PLANTILLA[FECHA]=_xlfn.CONCAT($M$3,"_",_xlfn.IFS($N$3="ENERO","1",$N$3="FEBRERO","2",$N$3="MARZO","3",$N$3="ABRIL","4",$N$3="MAYO","5",$N$3="JUNIO","6",$N$3="JULIO","7",$N$3="AGOSTO","8",$N$3="SETIEMBRE","9",$N$3="OCTUBRE","10",$N$3="NOVIEMBRE","11",$N$3="DICIEMBRE","12"))),8,0),"")</f>
        <v>S1</v>
      </c>
      <c r="L50" s="55"/>
      <c r="M50" s="5">
        <f>DATA_MARZO_202651[[#This Row],[RECUPERO]]/DATA_MARZO_202651[[#This Row],[META]]</f>
        <v>0.36885714285714288</v>
      </c>
      <c r="N50" s="5">
        <f>6-ROUNDUP(_xlfn.RANK.EQ(DATA_MARZO_202651[[#This Row],[AL_AC]],DATA_MARZO_202651[AL_AC],0)/(COUNTA(DATA_MARZO_202651[AL_AC])/5),0)</f>
        <v>1</v>
      </c>
      <c r="O50" s="54" t="str">
        <f>IFERROR(VLOOKUP(DATA_MARZO_202651[[#This Row],[ASER_]],$B:$G,4,0),"")</f>
        <v>JOHAN</v>
      </c>
      <c r="P50" s="6">
        <f>SUM(DATA_MARZO_202651[[#This Row],[1]:[30]])</f>
        <v>20656</v>
      </c>
      <c r="Q50" s="6">
        <f>VLOOKUP(DATA_MARZO_202651[[#This Row],[ASER_]],D1_MARZO_202655[[ASESOR_CRR]:[META]],2,0)</f>
        <v>56000</v>
      </c>
      <c r="R50" t="s">
        <v>206</v>
      </c>
      <c r="T50">
        <v>6000</v>
      </c>
      <c r="W50">
        <v>470</v>
      </c>
      <c r="X50" s="5">
        <v>5800</v>
      </c>
      <c r="Y50" s="6"/>
      <c r="Z50" s="6"/>
      <c r="AA50" s="6"/>
      <c r="AB50" s="6"/>
      <c r="AC50" s="6"/>
      <c r="AD50" s="6"/>
      <c r="AE50" s="6"/>
      <c r="AF50" s="6"/>
      <c r="AG50" s="6">
        <v>3050</v>
      </c>
      <c r="AH50" s="6"/>
      <c r="AI50" s="6">
        <v>2527</v>
      </c>
      <c r="AJ50" s="6"/>
      <c r="AK50" s="6">
        <v>219</v>
      </c>
      <c r="AL50" s="6"/>
      <c r="AM50" s="6"/>
      <c r="AN50" s="6">
        <v>550</v>
      </c>
      <c r="AO50" s="6"/>
      <c r="AP50" s="6">
        <v>200</v>
      </c>
      <c r="AQ50" s="6"/>
      <c r="AR50" s="6">
        <v>250</v>
      </c>
      <c r="AS50" s="6"/>
      <c r="AT50" s="6"/>
      <c r="AU50" s="6">
        <v>1590</v>
      </c>
      <c r="AV50" s="54" t="str" cm="1">
        <f t="array" ref="AV50">IFERROR(VLOOKUP(DATA_MARZO_202651[[#This Row],[ASER_]],_xlfn._xlws.FILTER(PLANTILLA[[ASESOR]:[FECHA DE CESE]],PLANTILLA[FECHA]=_xlfn.CONCAT($M$3,"_",_xlfn.IFS($N$3="ENERO","1",$N$3="FEBRERO","2",$N$3="MARZO","3",$N$3="ABRIL","4",$N$3="MAYO","5",$N$3="JUNIO","6",$N$3="JULIO","7",$N$3="AGOSTO","8",$N$3="SETIEMBRE","9",$N$3="OCTUBRE","10",$N$3="NOVIEMBRE","11",$N$3="DICIEMBRE","12"))),8,0),"")</f>
        <v>S1</v>
      </c>
      <c r="CM50" t="s">
        <v>636</v>
      </c>
      <c r="CN50" t="s">
        <v>2</v>
      </c>
      <c r="CO50" t="s">
        <v>377</v>
      </c>
      <c r="CP50">
        <v>46093</v>
      </c>
      <c r="CQ50">
        <v>1</v>
      </c>
      <c r="CR50">
        <v>1</v>
      </c>
      <c r="CT50">
        <v>1</v>
      </c>
      <c r="CV50">
        <v>0</v>
      </c>
      <c r="CW50">
        <v>0</v>
      </c>
      <c r="CX50">
        <v>0.18949074074074074</v>
      </c>
      <c r="CY50">
        <v>0.16667824074074075</v>
      </c>
      <c r="CZ50">
        <v>58</v>
      </c>
      <c r="DA50">
        <v>112</v>
      </c>
      <c r="DB50">
        <v>27</v>
      </c>
      <c r="DC50" t="s">
        <v>829</v>
      </c>
      <c r="DD50">
        <v>25130</v>
      </c>
      <c r="DE50">
        <v>0.46550000000000002</v>
      </c>
      <c r="DF50">
        <v>2</v>
      </c>
      <c r="DG50">
        <v>7.4099999999999999E-2</v>
      </c>
      <c r="DH50">
        <v>4600</v>
      </c>
      <c r="DI50">
        <v>2300</v>
      </c>
      <c r="DJ50">
        <v>4600</v>
      </c>
      <c r="DK50">
        <v>1</v>
      </c>
      <c r="DL50">
        <v>0.1232</v>
      </c>
      <c r="DM50">
        <v>96</v>
      </c>
      <c r="DN50">
        <v>2300</v>
      </c>
    </row>
    <row r="51" spans="1:118" x14ac:dyDescent="0.25">
      <c r="A51" s="34" t="str" cm="1">
        <f t="array" ref="A51">IFERROR(VLOOKUP(D1_MARZO_202655[[#This Row],[ASESOR_CRR]],_xlfn._xlws.FILTER(PLANTILLA[[ASESOR]:[FECHA DE CESE]],PLANTILLA[FECHA]=_xlfn.CONCAT($M$3,"_",_xlfn.IFS($N$3="ENERO","1",$N$3="FEBRERO","2",$N$3="MARZO","3",$N$3="ABRIL","4",$N$3="MAYO","5",$N$3="JUNIO","6",$N$3="JULIO","7",$N$3="AGOSTO","8",$N$3="SETIEMBRE","9",$N$3="OCTUBRE","10",$N$3="NOVIEMBRE","11",$N$3="DICIEMBRE","12"))),3,0),"")</f>
        <v>JORGE</v>
      </c>
      <c r="B51" s="34" t="str" cm="1">
        <f t="array" ref="B51">TRIM(IFERROR(_xlfn.IFS(D1_MARZO_202655[[#This Row],[ASESOR]]="ELVIS GUERRA","ELVIS GUERRERA",D1_MARZO_202655[[#This Row],[ASESOR]]="GENESIS VICUÑA","GENESIS VICUNA",D1_MARZO_202655[[#This Row],[ASESOR]]="JENY QUIÑONES","JENY QUINONES",D1_MARZO_202655[[#This Row],[ASESOR]]="NICOLE CAURURO","NICOLE CAURURO"),D1_MARZO_202655[[#This Row],[ASESOR]]))</f>
        <v>GIANFRANCO PINEDO</v>
      </c>
      <c r="C51" s="34" cm="1">
        <f t="array" ref="C51">_xlfn.XLOOKUP(1,(TablaMeta[CONCAT]=$M$3&amp;$N$3&amp;D1_MARZO_202655[[#This Row],[SUPER]])*(TablaMeta[SEGG]=D1_MARZO_202655[[#This Row],[SEGMENTO]]),TablaMeta[Meta_Asesor])</f>
        <v>56000</v>
      </c>
      <c r="D51" s="35">
        <f>IF(D1_MARZO_202655[[#This Row],[RECUPERO]]="VACACIONES","VACACIONES",IFERROR(D1_MARZO_202655[[#This Row],[RECUPERO]]/D1_MARZO_202655[[#This Row],[META]],""))</f>
        <v>0.73875000000000002</v>
      </c>
      <c r="E51" s="35" t="str">
        <f>D1_MARZO_202655[[#This Row],[SUPER]]</f>
        <v>JORGE</v>
      </c>
      <c r="F51" t="s">
        <v>13</v>
      </c>
      <c r="G51" s="36">
        <v>41370</v>
      </c>
      <c r="H51" cm="1">
        <f t="array" ref="H51">IFERROR(VLOOKUP(D1_MARZO_202655[[#This Row],[ASESOR_CRR]],_xlfn._xlws.FILTER(PLANTILLA[[ASESOR]:[FECHA DE CESE]],PLANTILLA[FECHA]=_xlfn.CONCAT($M$3,"_",_xlfn.IFS($N$3="ENERO","1",$N$3="FEBRERO","2",$N$3="MARZO","3",$N$3="ABRIL","4",$N$3="MAYO","5",$N$3="JUNIO","6",$N$3="JULIO","7",$N$3="AGOSTO","8",$N$3="SETIEMBRE","9",$N$3="OCTUBRE","10",$N$3="NOVIEMBRE","11",$N$3="DICIEMBRE","12"))),2,0),"")</f>
        <v>72512391</v>
      </c>
      <c r="I51" s="55" cm="1">
        <f t="array" ref="I51">IFERROR(VLOOKUP(D1_MARZO_202655[[#This Row],[ASESOR_CRR]],_xlfn._xlws.FILTER(PLANTILLA[[ASESOR]:[FECHA DE CESE]],PLANTILLA[FECHA]=_xlfn.CONCAT($M$3,"_",_xlfn.IFS($N$3="ENERO","1",$N$3="FEBRERO","2",$N$3="MARZO","3",$N$3="ABRIL","4",$N$3="MAYO","5",$N$3="JUNIO","6",$N$3="JULIO","7",$N$3="AGOSTO","8",$N$3="SETIEMBRE","9",$N$3="OCTUBRE","10",$N$3="NOVIEMBRE","11",$N$3="DICIEMBRE","12"))),6,0),"")</f>
        <v>44809</v>
      </c>
      <c r="J51" s="55" t="str" cm="1">
        <f t="array" ref="J51">IFERROR(VLOOKUP(D1_MARZO_202655[[#This Row],[ASESOR_CRR]],_xlfn._xlws.FILTER(PLANTILLA[[ASESOR]:[FECHA DE CESE]],PLANTILLA[FECHA]=_xlfn.CONCAT($M$3,"_",_xlfn.IFS($N$3="ENERO","1",$N$3="FEBRERO","2",$N$3="MARZO","3",$N$3="ABRIL","4",$N$3="MAYO","5",$N$3="JUNIO","6",$N$3="JULIO","7",$N$3="AGOSTO","8",$N$3="SETIEMBRE","9",$N$3="OCTUBRE","10",$N$3="NOVIEMBRE","11",$N$3="DICIEMBRE","12"))),4,0),"")</f>
        <v>CALL</v>
      </c>
      <c r="K51" s="55" t="str" cm="1">
        <f t="array" ref="K51">IFERROR(VLOOKUP(D1_MARZO_202655[[#This Row],[ASESOR_CRR]],_xlfn._xlws.FILTER(PLANTILLA[[ASESOR]:[FECHA DE CESE]],PLANTILLA[FECHA]=_xlfn.CONCAT($M$3,"_",_xlfn.IFS($N$3="ENERO","1",$N$3="FEBRERO","2",$N$3="MARZO","3",$N$3="ABRIL","4",$N$3="MAYO","5",$N$3="JUNIO","6",$N$3="JULIO","7",$N$3="AGOSTO","8",$N$3="SETIEMBRE","9",$N$3="OCTUBRE","10",$N$3="NOVIEMBRE","11",$N$3="DICIEMBRE","12"))),8,0),"")</f>
        <v>S1</v>
      </c>
      <c r="L51" s="55"/>
      <c r="M51" s="5">
        <f>DATA_MARZO_202651[[#This Row],[RECUPERO]]/DATA_MARZO_202651[[#This Row],[META]]</f>
        <v>0.81859016393442618</v>
      </c>
      <c r="N51" s="5">
        <f>6-ROUNDUP(_xlfn.RANK.EQ(DATA_MARZO_202651[[#This Row],[AL_AC]],DATA_MARZO_202651[AL_AC],0)/(COUNTA(DATA_MARZO_202651[AL_AC])/5),0)</f>
        <v>4</v>
      </c>
      <c r="O51" s="54" t="str">
        <f>IFERROR(VLOOKUP(DATA_MARZO_202651[[#This Row],[ASER_]],$B:$G,4,0),"")</f>
        <v>KENNETH</v>
      </c>
      <c r="P51" s="6">
        <f>SUM(DATA_MARZO_202651[[#This Row],[1]:[30]])</f>
        <v>24967</v>
      </c>
      <c r="Q51" s="6">
        <f>VLOOKUP(DATA_MARZO_202651[[#This Row],[ASER_]],D1_MARZO_202655[[ASESOR_CRR]:[META]],2,0)</f>
        <v>30500</v>
      </c>
      <c r="R51" t="s">
        <v>11</v>
      </c>
      <c r="U51">
        <v>150</v>
      </c>
      <c r="W51">
        <v>300</v>
      </c>
      <c r="X51" s="5">
        <v>246</v>
      </c>
      <c r="Y51" s="6"/>
      <c r="Z51" s="6">
        <v>5578</v>
      </c>
      <c r="AA51" s="6">
        <v>250</v>
      </c>
      <c r="AB51" s="6">
        <v>1000</v>
      </c>
      <c r="AC51" s="6"/>
      <c r="AD51" s="6"/>
      <c r="AE51" s="6"/>
      <c r="AF51" s="6"/>
      <c r="AG51" s="6">
        <v>113</v>
      </c>
      <c r="AH51" s="6">
        <v>700</v>
      </c>
      <c r="AI51" s="6">
        <v>1200</v>
      </c>
      <c r="AJ51" s="6"/>
      <c r="AK51" s="6">
        <v>230</v>
      </c>
      <c r="AL51" s="6"/>
      <c r="AM51" s="6"/>
      <c r="AN51" s="6">
        <v>950</v>
      </c>
      <c r="AO51" s="6">
        <v>1250</v>
      </c>
      <c r="AP51" s="6">
        <v>1500</v>
      </c>
      <c r="AQ51" s="6">
        <v>4200</v>
      </c>
      <c r="AR51" s="6"/>
      <c r="AS51" s="6"/>
      <c r="AT51" s="6"/>
      <c r="AU51" s="6">
        <v>7300</v>
      </c>
      <c r="AV51" s="54" t="str" cm="1">
        <f t="array" ref="AV51">IFERROR(VLOOKUP(DATA_MARZO_202651[[#This Row],[ASER_]],_xlfn._xlws.FILTER(PLANTILLA[[ASESOR]:[FECHA DE CESE]],PLANTILLA[FECHA]=_xlfn.CONCAT($M$3,"_",_xlfn.IFS($N$3="ENERO","1",$N$3="FEBRERO","2",$N$3="MARZO","3",$N$3="ABRIL","4",$N$3="MAYO","5",$N$3="JUNIO","6",$N$3="JULIO","7",$N$3="AGOSTO","8",$N$3="SETIEMBRE","9",$N$3="OCTUBRE","10",$N$3="NOVIEMBRE","11",$N$3="DICIEMBRE","12"))),8,0),"")</f>
        <v>S0 - IBK</v>
      </c>
      <c r="CM51" t="s">
        <v>636</v>
      </c>
      <c r="CN51" t="s">
        <v>2</v>
      </c>
      <c r="CO51" t="s">
        <v>377</v>
      </c>
      <c r="CP51">
        <v>46099</v>
      </c>
      <c r="CQ51">
        <v>1</v>
      </c>
      <c r="CR51">
        <v>1</v>
      </c>
      <c r="CT51">
        <v>1</v>
      </c>
      <c r="CV51">
        <v>0</v>
      </c>
      <c r="CW51">
        <v>0</v>
      </c>
      <c r="CX51">
        <v>0.13519675925925925</v>
      </c>
      <c r="CY51">
        <v>0.20569444444444446</v>
      </c>
      <c r="CZ51">
        <v>64</v>
      </c>
      <c r="DA51">
        <v>125</v>
      </c>
      <c r="DB51">
        <v>14</v>
      </c>
      <c r="DC51" t="s">
        <v>705</v>
      </c>
      <c r="DD51">
        <v>34703</v>
      </c>
      <c r="DE51">
        <v>0.21879999999999999</v>
      </c>
      <c r="DF51">
        <v>2</v>
      </c>
      <c r="DG51">
        <v>0.1429</v>
      </c>
      <c r="DH51">
        <v>6700</v>
      </c>
      <c r="DI51">
        <v>3350</v>
      </c>
      <c r="DJ51">
        <v>6700</v>
      </c>
      <c r="DK51">
        <v>1</v>
      </c>
      <c r="DL51">
        <v>0.1075</v>
      </c>
      <c r="DM51">
        <v>96</v>
      </c>
      <c r="DN51">
        <v>3350</v>
      </c>
    </row>
    <row r="52" spans="1:118" x14ac:dyDescent="0.25">
      <c r="A52" s="34" t="str" cm="1">
        <f t="array" ref="A52">IFERROR(VLOOKUP(D1_MARZO_202655[[#This Row],[ASESOR_CRR]],_xlfn._xlws.FILTER(PLANTILLA[[ASESOR]:[FECHA DE CESE]],PLANTILLA[FECHA]=_xlfn.CONCAT($M$3,"_",_xlfn.IFS($N$3="ENERO","1",$N$3="FEBRERO","2",$N$3="MARZO","3",$N$3="ABRIL","4",$N$3="MAYO","5",$N$3="JUNIO","6",$N$3="JULIO","7",$N$3="AGOSTO","8",$N$3="SETIEMBRE","9",$N$3="OCTUBRE","10",$N$3="NOVIEMBRE","11",$N$3="DICIEMBRE","12"))),3,0),"")</f>
        <v>JORGE</v>
      </c>
      <c r="B52" s="34" t="str" cm="1">
        <f t="array" ref="B52">TRIM(IFERROR(_xlfn.IFS(D1_MARZO_202655[[#This Row],[ASESOR]]="ELVIS GUERRA","ELVIS GUERRERA",D1_MARZO_202655[[#This Row],[ASESOR]]="GENESIS VICUÑA","GENESIS VICUNA",D1_MARZO_202655[[#This Row],[ASESOR]]="JENY QUIÑONES","JENY QUINONES",D1_MARZO_202655[[#This Row],[ASESOR]]="NICOLE CAURURO","NICOLE CAURURO"),D1_MARZO_202655[[#This Row],[ASESOR]]))</f>
        <v>ANDERSON RODRIGUEZ</v>
      </c>
      <c r="C52" s="34" cm="1">
        <f t="array" ref="C52">_xlfn.XLOOKUP(1,(TablaMeta[CONCAT]=$M$3&amp;$N$3&amp;D1_MARZO_202655[[#This Row],[SUPER]])*(TablaMeta[SEGG]=D1_MARZO_202655[[#This Row],[SEGMENTO]]),TablaMeta[Meta_Asesor])</f>
        <v>56000</v>
      </c>
      <c r="D52" s="35">
        <f>IF(D1_MARZO_202655[[#This Row],[RECUPERO]]="VACACIONES","VACACIONES",IFERROR(D1_MARZO_202655[[#This Row],[RECUPERO]]/D1_MARZO_202655[[#This Row],[META]],""))</f>
        <v>0.74501785714285718</v>
      </c>
      <c r="E52" s="35" t="str">
        <f>D1_MARZO_202655[[#This Row],[SUPER]]</f>
        <v>JORGE</v>
      </c>
      <c r="F52" t="s">
        <v>15</v>
      </c>
      <c r="G52" s="36">
        <v>41721</v>
      </c>
      <c r="H52" cm="1">
        <f t="array" ref="H52">IFERROR(VLOOKUP(D1_MARZO_202655[[#This Row],[ASESOR_CRR]],_xlfn._xlws.FILTER(PLANTILLA[[ASESOR]:[FECHA DE CESE]],PLANTILLA[FECHA]=_xlfn.CONCAT($M$3,"_",_xlfn.IFS($N$3="ENERO","1",$N$3="FEBRERO","2",$N$3="MARZO","3",$N$3="ABRIL","4",$N$3="MAYO","5",$N$3="JUNIO","6",$N$3="JULIO","7",$N$3="AGOSTO","8",$N$3="SETIEMBRE","9",$N$3="OCTUBRE","10",$N$3="NOVIEMBRE","11",$N$3="DICIEMBRE","12"))),2,0),"")</f>
        <v>47587400</v>
      </c>
      <c r="I52" s="55" cm="1">
        <f t="array" ref="I52">IFERROR(VLOOKUP(D1_MARZO_202655[[#This Row],[ASESOR_CRR]],_xlfn._xlws.FILTER(PLANTILLA[[ASESOR]:[FECHA DE CESE]],PLANTILLA[FECHA]=_xlfn.CONCAT($M$3,"_",_xlfn.IFS($N$3="ENERO","1",$N$3="FEBRERO","2",$N$3="MARZO","3",$N$3="ABRIL","4",$N$3="MAYO","5",$N$3="JUNIO","6",$N$3="JULIO","7",$N$3="AGOSTO","8",$N$3="SETIEMBRE","9",$N$3="OCTUBRE","10",$N$3="NOVIEMBRE","11",$N$3="DICIEMBRE","12"))),6,0),"")</f>
        <v>44733</v>
      </c>
      <c r="J52" s="55" t="str" cm="1">
        <f t="array" ref="J52">IFERROR(VLOOKUP(D1_MARZO_202655[[#This Row],[ASESOR_CRR]],_xlfn._xlws.FILTER(PLANTILLA[[ASESOR]:[FECHA DE CESE]],PLANTILLA[FECHA]=_xlfn.CONCAT($M$3,"_",_xlfn.IFS($N$3="ENERO","1",$N$3="FEBRERO","2",$N$3="MARZO","3",$N$3="ABRIL","4",$N$3="MAYO","5",$N$3="JUNIO","6",$N$3="JULIO","7",$N$3="AGOSTO","8",$N$3="SETIEMBRE","9",$N$3="OCTUBRE","10",$N$3="NOVIEMBRE","11",$N$3="DICIEMBRE","12"))),4,0),"")</f>
        <v>CALL</v>
      </c>
      <c r="K52" s="55" t="str" cm="1">
        <f t="array" ref="K52">IFERROR(VLOOKUP(D1_MARZO_202655[[#This Row],[ASESOR_CRR]],_xlfn._xlws.FILTER(PLANTILLA[[ASESOR]:[FECHA DE CESE]],PLANTILLA[FECHA]=_xlfn.CONCAT($M$3,"_",_xlfn.IFS($N$3="ENERO","1",$N$3="FEBRERO","2",$N$3="MARZO","3",$N$3="ABRIL","4",$N$3="MAYO","5",$N$3="JUNIO","6",$N$3="JULIO","7",$N$3="AGOSTO","8",$N$3="SETIEMBRE","9",$N$3="OCTUBRE","10",$N$3="NOVIEMBRE","11",$N$3="DICIEMBRE","12"))),8,0),"")</f>
        <v>S1</v>
      </c>
      <c r="L52" s="55"/>
      <c r="M52" s="5">
        <f>DATA_MARZO_202651[[#This Row],[RECUPERO]]/DATA_MARZO_202651[[#This Row],[META]]</f>
        <v>3.4666153846153844</v>
      </c>
      <c r="N52" s="5">
        <f>6-ROUNDUP(_xlfn.RANK.EQ(DATA_MARZO_202651[[#This Row],[AL_AC]],DATA_MARZO_202651[AL_AC],0)/(COUNTA(DATA_MARZO_202651[AL_AC])/5),0)</f>
        <v>5</v>
      </c>
      <c r="O52" s="54" t="str">
        <f>IFERROR(VLOOKUP(DATA_MARZO_202651[[#This Row],[ASER_]],$B:$G,4,0),"")</f>
        <v>SANDY</v>
      </c>
      <c r="P52" s="6">
        <f>SUM(DATA_MARZO_202651[[#This Row],[1]:[30]])</f>
        <v>112665</v>
      </c>
      <c r="Q52" s="6">
        <f>VLOOKUP(DATA_MARZO_202651[[#This Row],[ASER_]],D1_MARZO_202655[[ASESOR_CRR]:[META]],2,0)</f>
        <v>32500</v>
      </c>
      <c r="R52" t="s">
        <v>79</v>
      </c>
      <c r="T52">
        <v>1100</v>
      </c>
      <c r="U52">
        <v>270</v>
      </c>
      <c r="V52">
        <v>1100</v>
      </c>
      <c r="W52">
        <v>12000</v>
      </c>
      <c r="X52" s="5"/>
      <c r="Y52" s="6"/>
      <c r="Z52" s="6">
        <v>5000</v>
      </c>
      <c r="AA52" s="6"/>
      <c r="AB52" s="6"/>
      <c r="AC52" s="6"/>
      <c r="AD52" s="6">
        <v>9100</v>
      </c>
      <c r="AE52" s="6"/>
      <c r="AF52" s="6"/>
      <c r="AG52" s="6">
        <v>12105</v>
      </c>
      <c r="AH52" s="6">
        <v>1200</v>
      </c>
      <c r="AI52" s="6">
        <v>9000</v>
      </c>
      <c r="AJ52" s="6">
        <v>170</v>
      </c>
      <c r="AK52" s="6">
        <v>10000</v>
      </c>
      <c r="AL52" s="6"/>
      <c r="AM52" s="6">
        <v>970</v>
      </c>
      <c r="AN52" s="6"/>
      <c r="AO52" s="6"/>
      <c r="AP52" s="6">
        <v>13000</v>
      </c>
      <c r="AQ52" s="6">
        <v>2700</v>
      </c>
      <c r="AR52" s="6"/>
      <c r="AS52" s="6"/>
      <c r="AT52" s="6"/>
      <c r="AU52" s="6">
        <v>34950</v>
      </c>
      <c r="AV52" s="54" t="str" cm="1">
        <f t="array" ref="AV52">IFERROR(VLOOKUP(DATA_MARZO_202651[[#This Row],[ASER_]],_xlfn._xlws.FILTER(PLANTILLA[[ASESOR]:[FECHA DE CESE]],PLANTILLA[FECHA]=_xlfn.CONCAT($M$3,"_",_xlfn.IFS($N$3="ENERO","1",$N$3="FEBRERO","2",$N$3="MARZO","3",$N$3="ABRIL","4",$N$3="MAYO","5",$N$3="JUNIO","6",$N$3="JULIO","7",$N$3="AGOSTO","8",$N$3="SETIEMBRE","9",$N$3="OCTUBRE","10",$N$3="NOVIEMBRE","11",$N$3="DICIEMBRE","12"))),8,0),"")</f>
        <v>S0 - IBK</v>
      </c>
      <c r="CM52" t="s">
        <v>636</v>
      </c>
      <c r="CN52" t="s">
        <v>2</v>
      </c>
      <c r="CO52" t="s">
        <v>564</v>
      </c>
      <c r="CP52">
        <v>46090</v>
      </c>
      <c r="CQ52">
        <v>1</v>
      </c>
      <c r="CR52">
        <v>1</v>
      </c>
      <c r="CT52">
        <v>1</v>
      </c>
      <c r="CV52">
        <v>0</v>
      </c>
      <c r="CW52">
        <v>0</v>
      </c>
      <c r="CX52">
        <v>0.25754629629629627</v>
      </c>
      <c r="CY52">
        <v>6.6782407407407401E-2</v>
      </c>
      <c r="CZ52">
        <v>76</v>
      </c>
      <c r="DA52">
        <v>103</v>
      </c>
      <c r="DB52">
        <v>8</v>
      </c>
      <c r="DC52">
        <v>1.25</v>
      </c>
      <c r="DD52">
        <v>16700</v>
      </c>
      <c r="DE52">
        <v>0.1053</v>
      </c>
      <c r="DF52">
        <v>1</v>
      </c>
      <c r="DG52">
        <v>0.125</v>
      </c>
      <c r="DH52">
        <v>322</v>
      </c>
      <c r="DI52">
        <v>322</v>
      </c>
      <c r="DJ52">
        <v>322</v>
      </c>
      <c r="DK52">
        <v>1</v>
      </c>
      <c r="DL52">
        <v>0.65880000000000005</v>
      </c>
      <c r="DM52">
        <v>96</v>
      </c>
      <c r="DN52">
        <v>322</v>
      </c>
    </row>
    <row r="53" spans="1:118" x14ac:dyDescent="0.25">
      <c r="A53" s="34" t="str" cm="1">
        <f t="array" ref="A53">IFERROR(VLOOKUP(D1_MARZO_202655[[#This Row],[ASESOR_CRR]],_xlfn._xlws.FILTER(PLANTILLA[[ASESOR]:[FECHA DE CESE]],PLANTILLA[FECHA]=_xlfn.CONCAT($M$3,"_",_xlfn.IFS($N$3="ENERO","1",$N$3="FEBRERO","2",$N$3="MARZO","3",$N$3="ABRIL","4",$N$3="MAYO","5",$N$3="JUNIO","6",$N$3="JULIO","7",$N$3="AGOSTO","8",$N$3="SETIEMBRE","9",$N$3="OCTUBRE","10",$N$3="NOVIEMBRE","11",$N$3="DICIEMBRE","12"))),3,0),"")</f>
        <v>JORGE</v>
      </c>
      <c r="B53" s="34" t="str" cm="1">
        <f t="array" ref="B53">TRIM(IFERROR(_xlfn.IFS(D1_MARZO_202655[[#This Row],[ASESOR]]="ELVIS GUERRA","ELVIS GUERRERA",D1_MARZO_202655[[#This Row],[ASESOR]]="GENESIS VICUÑA","GENESIS VICUNA",D1_MARZO_202655[[#This Row],[ASESOR]]="JENY QUIÑONES","JENY QUINONES",D1_MARZO_202655[[#This Row],[ASESOR]]="NICOLE CAURURO","NICOLE CAURURO"),D1_MARZO_202655[[#This Row],[ASESOR]]))</f>
        <v>MALORY MONTEBLANCO</v>
      </c>
      <c r="C53" s="34" cm="1">
        <f t="array" ref="C53">_xlfn.XLOOKUP(1,(TablaMeta[CONCAT]=$M$3&amp;$N$3&amp;D1_MARZO_202655[[#This Row],[SUPER]])*(TablaMeta[SEGG]=D1_MARZO_202655[[#This Row],[SEGMENTO]]),TablaMeta[Meta_Asesor])</f>
        <v>56000</v>
      </c>
      <c r="D53" s="35">
        <f>IF(D1_MARZO_202655[[#This Row],[RECUPERO]]="VACACIONES","VACACIONES",IFERROR(D1_MARZO_202655[[#This Row],[RECUPERO]]/D1_MARZO_202655[[#This Row],[META]],""))</f>
        <v>0.54285714285714282</v>
      </c>
      <c r="E53" s="35" t="str">
        <f>D1_MARZO_202655[[#This Row],[SUPER]]</f>
        <v>JORGE</v>
      </c>
      <c r="F53" t="s">
        <v>25</v>
      </c>
      <c r="G53" s="36">
        <v>30400</v>
      </c>
      <c r="H53" cm="1">
        <f t="array" ref="H53">IFERROR(VLOOKUP(D1_MARZO_202655[[#This Row],[ASESOR_CRR]],_xlfn._xlws.FILTER(PLANTILLA[[ASESOR]:[FECHA DE CESE]],PLANTILLA[FECHA]=_xlfn.CONCAT($M$3,"_",_xlfn.IFS($N$3="ENERO","1",$N$3="FEBRERO","2",$N$3="MARZO","3",$N$3="ABRIL","4",$N$3="MAYO","5",$N$3="JUNIO","6",$N$3="JULIO","7",$N$3="AGOSTO","8",$N$3="SETIEMBRE","9",$N$3="OCTUBRE","10",$N$3="NOVIEMBRE","11",$N$3="DICIEMBRE","12"))),2,0),"")</f>
        <v>72373931</v>
      </c>
      <c r="I53" s="55" cm="1">
        <f t="array" ref="I53">IFERROR(VLOOKUP(D1_MARZO_202655[[#This Row],[ASESOR_CRR]],_xlfn._xlws.FILTER(PLANTILLA[[ASESOR]:[FECHA DE CESE]],PLANTILLA[FECHA]=_xlfn.CONCAT($M$3,"_",_xlfn.IFS($N$3="ENERO","1",$N$3="FEBRERO","2",$N$3="MARZO","3",$N$3="ABRIL","4",$N$3="MAYO","5",$N$3="JUNIO","6",$N$3="JULIO","7",$N$3="AGOSTO","8",$N$3="SETIEMBRE","9",$N$3="OCTUBRE","10",$N$3="NOVIEMBRE","11",$N$3="DICIEMBRE","12"))),6,0),"")</f>
        <v>44818</v>
      </c>
      <c r="J53" s="55" t="str" cm="1">
        <f t="array" ref="J53">IFERROR(VLOOKUP(D1_MARZO_202655[[#This Row],[ASESOR_CRR]],_xlfn._xlws.FILTER(PLANTILLA[[ASESOR]:[FECHA DE CESE]],PLANTILLA[FECHA]=_xlfn.CONCAT($M$3,"_",_xlfn.IFS($N$3="ENERO","1",$N$3="FEBRERO","2",$N$3="MARZO","3",$N$3="ABRIL","4",$N$3="MAYO","5",$N$3="JUNIO","6",$N$3="JULIO","7",$N$3="AGOSTO","8",$N$3="SETIEMBRE","9",$N$3="OCTUBRE","10",$N$3="NOVIEMBRE","11",$N$3="DICIEMBRE","12"))),4,0),"")</f>
        <v>CALL</v>
      </c>
      <c r="K53" s="55" t="str" cm="1">
        <f t="array" ref="K53">IFERROR(VLOOKUP(D1_MARZO_202655[[#This Row],[ASESOR_CRR]],_xlfn._xlws.FILTER(PLANTILLA[[ASESOR]:[FECHA DE CESE]],PLANTILLA[FECHA]=_xlfn.CONCAT($M$3,"_",_xlfn.IFS($N$3="ENERO","1",$N$3="FEBRERO","2",$N$3="MARZO","3",$N$3="ABRIL","4",$N$3="MAYO","5",$N$3="JUNIO","6",$N$3="JULIO","7",$N$3="AGOSTO","8",$N$3="SETIEMBRE","9",$N$3="OCTUBRE","10",$N$3="NOVIEMBRE","11",$N$3="DICIEMBRE","12"))),8,0),"")</f>
        <v>S1</v>
      </c>
      <c r="L53" s="55"/>
      <c r="M53" s="5">
        <f>DATA_MARZO_202651[[#This Row],[RECUPERO]]/DATA_MARZO_202651[[#This Row],[META]]</f>
        <v>0.22843749999999999</v>
      </c>
      <c r="N53" s="5">
        <f>6-ROUNDUP(_xlfn.RANK.EQ(DATA_MARZO_202651[[#This Row],[AL_AC]],DATA_MARZO_202651[AL_AC],0)/(COUNTA(DATA_MARZO_202651[AL_AC])/5),0)</f>
        <v>1</v>
      </c>
      <c r="O53" s="54" t="str">
        <f>IFERROR(VLOOKUP(DATA_MARZO_202651[[#This Row],[ASER_]],$B:$G,4,0),"")</f>
        <v>LEONOR</v>
      </c>
      <c r="P53" s="6">
        <f>SUM(DATA_MARZO_202651[[#This Row],[1]:[30]])</f>
        <v>3655</v>
      </c>
      <c r="Q53" s="6">
        <f>VLOOKUP(DATA_MARZO_202651[[#This Row],[ASER_]],D1_MARZO_202655[[ASESOR_CRR]:[META]],2,0)</f>
        <v>16000</v>
      </c>
      <c r="R53" t="s">
        <v>566</v>
      </c>
      <c r="Z53">
        <v>300</v>
      </c>
      <c r="AA53">
        <v>715</v>
      </c>
      <c r="AB53" s="6"/>
      <c r="AC53" s="6">
        <v>350</v>
      </c>
      <c r="AD53" s="6"/>
      <c r="AE53" s="6"/>
      <c r="AF53" s="6"/>
      <c r="AG53" s="6"/>
      <c r="AH53" s="6"/>
      <c r="AI53" s="6"/>
      <c r="AJ53" s="6">
        <v>600</v>
      </c>
      <c r="AK53" s="6"/>
      <c r="AL53" s="6"/>
      <c r="AM53" s="6"/>
      <c r="AN53" s="6">
        <v>230</v>
      </c>
      <c r="AO53" s="6">
        <v>130</v>
      </c>
      <c r="AP53" s="6"/>
      <c r="AQ53" s="6"/>
      <c r="AR53" s="6"/>
      <c r="AU53">
        <v>1330</v>
      </c>
      <c r="AV53" s="54" t="str" cm="1">
        <f t="array" ref="AV53">IFERROR(VLOOKUP(DATA_MARZO_202651[[#This Row],[ASER_]],_xlfn._xlws.FILTER(PLANTILLA[[ASESOR]:[FECHA DE CESE]],PLANTILLA[FECHA]=_xlfn.CONCAT($M$3,"_",_xlfn.IFS($N$3="ENERO","1",$N$3="FEBRERO","2",$N$3="MARZO","3",$N$3="ABRIL","4",$N$3="MAYO","5",$N$3="JUNIO","6",$N$3="JULIO","7",$N$3="AGOSTO","8",$N$3="SETIEMBRE","9",$N$3="OCTUBRE","10",$N$3="NOVIEMBRE","11",$N$3="DICIEMBRE","12"))),8,0),"")</f>
        <v>S2-3-4 MIX</v>
      </c>
      <c r="CM53" t="s">
        <v>636</v>
      </c>
      <c r="CN53" t="s">
        <v>2</v>
      </c>
      <c r="CO53" t="s">
        <v>564</v>
      </c>
      <c r="CP53">
        <v>46097</v>
      </c>
      <c r="CQ53">
        <v>1</v>
      </c>
      <c r="CR53">
        <v>1</v>
      </c>
      <c r="CT53">
        <v>1</v>
      </c>
      <c r="CV53">
        <v>0</v>
      </c>
      <c r="CW53">
        <v>0</v>
      </c>
      <c r="CX53">
        <v>0.30633101851851852</v>
      </c>
      <c r="CY53">
        <v>0.10863425925925926</v>
      </c>
      <c r="CZ53">
        <v>70</v>
      </c>
      <c r="DA53">
        <v>127</v>
      </c>
      <c r="DB53">
        <v>20</v>
      </c>
      <c r="DC53">
        <v>1.75</v>
      </c>
      <c r="DD53">
        <v>31741</v>
      </c>
      <c r="DE53">
        <v>0.28570000000000001</v>
      </c>
      <c r="DF53">
        <v>2</v>
      </c>
      <c r="DG53">
        <v>0.1</v>
      </c>
      <c r="DH53">
        <v>1200</v>
      </c>
      <c r="DI53">
        <v>600</v>
      </c>
      <c r="DJ53">
        <v>1200</v>
      </c>
      <c r="DK53">
        <v>1</v>
      </c>
      <c r="DL53">
        <v>0.48849999999999999</v>
      </c>
      <c r="DM53">
        <v>96</v>
      </c>
      <c r="DN53">
        <v>600</v>
      </c>
    </row>
    <row r="54" spans="1:118" x14ac:dyDescent="0.25">
      <c r="A54" s="34" t="str" cm="1">
        <f t="array" ref="A54">IFERROR(VLOOKUP(D1_MARZO_202655[[#This Row],[ASESOR_CRR]],_xlfn._xlws.FILTER(PLANTILLA[[ASESOR]:[FECHA DE CESE]],PLANTILLA[FECHA]=_xlfn.CONCAT($M$3,"_",_xlfn.IFS($N$3="ENERO","1",$N$3="FEBRERO","2",$N$3="MARZO","3",$N$3="ABRIL","4",$N$3="MAYO","5",$N$3="JUNIO","6",$N$3="JULIO","7",$N$3="AGOSTO","8",$N$3="SETIEMBRE","9",$N$3="OCTUBRE","10",$N$3="NOVIEMBRE","11",$N$3="DICIEMBRE","12"))),3,0),"")</f>
        <v>JORGE</v>
      </c>
      <c r="B54" s="34" t="str" cm="1">
        <f t="array" ref="B54">TRIM(IFERROR(_xlfn.IFS(D1_MARZO_202655[[#This Row],[ASESOR]]="ELVIS GUERRA","ELVIS GUERRERA",D1_MARZO_202655[[#This Row],[ASESOR]]="GENESIS VICUÑA","GENESIS VICUNA",D1_MARZO_202655[[#This Row],[ASESOR]]="JENY QUIÑONES","JENY QUINONES",D1_MARZO_202655[[#This Row],[ASESOR]]="NICOLE CAURURO","NICOLE CAURURO"),D1_MARZO_202655[[#This Row],[ASESOR]]))</f>
        <v>FRANCO HUAMANI</v>
      </c>
      <c r="C54" s="34" cm="1">
        <f t="array" ref="C54">_xlfn.XLOOKUP(1,(TablaMeta[CONCAT]=$M$3&amp;$N$3&amp;D1_MARZO_202655[[#This Row],[SUPER]])*(TablaMeta[SEGG]=D1_MARZO_202655[[#This Row],[SEGMENTO]]),TablaMeta[Meta_Asesor])</f>
        <v>56000</v>
      </c>
      <c r="D54" s="35">
        <f>IF(D1_MARZO_202655[[#This Row],[RECUPERO]]="VACACIONES","VACACIONES",IFERROR(D1_MARZO_202655[[#This Row],[RECUPERO]]/D1_MARZO_202655[[#This Row],[META]],""))</f>
        <v>0.61566071428571434</v>
      </c>
      <c r="E54" s="35" t="str">
        <f>D1_MARZO_202655[[#This Row],[SUPER]]</f>
        <v>JORGE</v>
      </c>
      <c r="F54" t="s">
        <v>24</v>
      </c>
      <c r="G54" s="36">
        <v>34477</v>
      </c>
      <c r="H54" cm="1">
        <f t="array" ref="H54">IFERROR(VLOOKUP(D1_MARZO_202655[[#This Row],[ASESOR_CRR]],_xlfn._xlws.FILTER(PLANTILLA[[ASESOR]:[FECHA DE CESE]],PLANTILLA[FECHA]=_xlfn.CONCAT($M$3,"_",_xlfn.IFS($N$3="ENERO","1",$N$3="FEBRERO","2",$N$3="MARZO","3",$N$3="ABRIL","4",$N$3="MAYO","5",$N$3="JUNIO","6",$N$3="JULIO","7",$N$3="AGOSTO","8",$N$3="SETIEMBRE","9",$N$3="OCTUBRE","10",$N$3="NOVIEMBRE","11",$N$3="DICIEMBRE","12"))),2,0),"")</f>
        <v>43614775</v>
      </c>
      <c r="I54" s="55" cm="1">
        <f t="array" ref="I54">IFERROR(VLOOKUP(D1_MARZO_202655[[#This Row],[ASESOR_CRR]],_xlfn._xlws.FILTER(PLANTILLA[[ASESOR]:[FECHA DE CESE]],PLANTILLA[FECHA]=_xlfn.CONCAT($M$3,"_",_xlfn.IFS($N$3="ENERO","1",$N$3="FEBRERO","2",$N$3="MARZO","3",$N$3="ABRIL","4",$N$3="MAYO","5",$N$3="JUNIO","6",$N$3="JULIO","7",$N$3="AGOSTO","8",$N$3="SETIEMBRE","9",$N$3="OCTUBRE","10",$N$3="NOVIEMBRE","11",$N$3="DICIEMBRE","12"))),6,0),"")</f>
        <v>45334</v>
      </c>
      <c r="J54" s="55" t="str" cm="1">
        <f t="array" ref="J54">IFERROR(VLOOKUP(D1_MARZO_202655[[#This Row],[ASESOR_CRR]],_xlfn._xlws.FILTER(PLANTILLA[[ASESOR]:[FECHA DE CESE]],PLANTILLA[FECHA]=_xlfn.CONCAT($M$3,"_",_xlfn.IFS($N$3="ENERO","1",$N$3="FEBRERO","2",$N$3="MARZO","3",$N$3="ABRIL","4",$N$3="MAYO","5",$N$3="JUNIO","6",$N$3="JULIO","7",$N$3="AGOSTO","8",$N$3="SETIEMBRE","9",$N$3="OCTUBRE","10",$N$3="NOVIEMBRE","11",$N$3="DICIEMBRE","12"))),4,0),"")</f>
        <v>CALL</v>
      </c>
      <c r="K54" s="55" t="str" cm="1">
        <f t="array" ref="K54">IFERROR(VLOOKUP(D1_MARZO_202655[[#This Row],[ASESOR_CRR]],_xlfn._xlws.FILTER(PLANTILLA[[ASESOR]:[FECHA DE CESE]],PLANTILLA[FECHA]=_xlfn.CONCAT($M$3,"_",_xlfn.IFS($N$3="ENERO","1",$N$3="FEBRERO","2",$N$3="MARZO","3",$N$3="ABRIL","4",$N$3="MAYO","5",$N$3="JUNIO","6",$N$3="JULIO","7",$N$3="AGOSTO","8",$N$3="SETIEMBRE","9",$N$3="OCTUBRE","10",$N$3="NOVIEMBRE","11",$N$3="DICIEMBRE","12"))),8,0),"")</f>
        <v>S1</v>
      </c>
      <c r="M54" s="5">
        <f>DATA_MARZO_202651[[#This Row],[RECUPERO]]/DATA_MARZO_202651[[#This Row],[META]]</f>
        <v>1.2169767441860466</v>
      </c>
      <c r="N54" s="5">
        <f>6-ROUNDUP(_xlfn.RANK.EQ(DATA_MARZO_202651[[#This Row],[AL_AC]],DATA_MARZO_202651[AL_AC],0)/(COUNTA(DATA_MARZO_202651[AL_AC])/5),0)</f>
        <v>5</v>
      </c>
      <c r="O54" s="54" t="str">
        <f>IFERROR(VLOOKUP(DATA_MARZO_202651[[#This Row],[ASER_]],$B:$G,4,0),"")</f>
        <v>KENNETH</v>
      </c>
      <c r="P54" s="6">
        <f>SUM(DATA_MARZO_202651[[#This Row],[1]:[30]])</f>
        <v>104660</v>
      </c>
      <c r="Q54" s="6">
        <f>VLOOKUP(DATA_MARZO_202651[[#This Row],[ASER_]],D1_MARZO_202655[[ASESOR_CRR]:[META]],2,0)</f>
        <v>86000</v>
      </c>
      <c r="R54" t="s">
        <v>97</v>
      </c>
      <c r="T54">
        <v>300</v>
      </c>
      <c r="U54">
        <v>450</v>
      </c>
      <c r="V54">
        <v>895</v>
      </c>
      <c r="W54">
        <v>4500</v>
      </c>
      <c r="X54">
        <v>1800</v>
      </c>
      <c r="Y54">
        <v>3000</v>
      </c>
      <c r="AA54">
        <v>420</v>
      </c>
      <c r="AB54" s="6"/>
      <c r="AC54" s="6">
        <v>5500</v>
      </c>
      <c r="AD54" s="6">
        <v>295</v>
      </c>
      <c r="AE54" s="6"/>
      <c r="AF54" s="6"/>
      <c r="AG54" s="6"/>
      <c r="AH54" s="6">
        <v>15560</v>
      </c>
      <c r="AI54" s="6">
        <v>14700</v>
      </c>
      <c r="AJ54" s="6">
        <v>5270</v>
      </c>
      <c r="AK54" s="6">
        <v>18405</v>
      </c>
      <c r="AL54" s="6">
        <v>450</v>
      </c>
      <c r="AM54" s="6"/>
      <c r="AN54" s="6">
        <v>1000</v>
      </c>
      <c r="AO54" s="6">
        <v>5350</v>
      </c>
      <c r="AP54" s="6">
        <v>805</v>
      </c>
      <c r="AQ54" s="6">
        <v>4200</v>
      </c>
      <c r="AR54" s="6">
        <v>18160</v>
      </c>
      <c r="AU54">
        <v>3600</v>
      </c>
      <c r="AV54" s="54" t="str" cm="1">
        <f t="array" ref="AV54">IFERROR(VLOOKUP(DATA_MARZO_202651[[#This Row],[ASER_]],_xlfn._xlws.FILTER(PLANTILLA[[ASESOR]:[FECHA DE CESE]],PLANTILLA[FECHA]=_xlfn.CONCAT($M$3,"_",_xlfn.IFS($N$3="ENERO","1",$N$3="FEBRERO","2",$N$3="MARZO","3",$N$3="ABRIL","4",$N$3="MAYO","5",$N$3="JUNIO","6",$N$3="JULIO","7",$N$3="AGOSTO","8",$N$3="SETIEMBRE","9",$N$3="OCTUBRE","10",$N$3="NOVIEMBRE","11",$N$3="DICIEMBRE","12"))),8,0),"")</f>
        <v>S0 - BBVA</v>
      </c>
      <c r="CM54" t="s">
        <v>636</v>
      </c>
      <c r="CN54" t="s">
        <v>2</v>
      </c>
      <c r="CO54" t="s">
        <v>564</v>
      </c>
      <c r="CP54">
        <v>46101</v>
      </c>
      <c r="CQ54">
        <v>1</v>
      </c>
      <c r="CR54">
        <v>1</v>
      </c>
      <c r="CT54">
        <v>1</v>
      </c>
      <c r="CV54">
        <v>0</v>
      </c>
      <c r="CW54">
        <v>0</v>
      </c>
      <c r="CX54">
        <v>0.21503472222222222</v>
      </c>
      <c r="CY54">
        <v>0.14421296296296296</v>
      </c>
      <c r="CZ54">
        <v>68</v>
      </c>
      <c r="DA54">
        <v>94</v>
      </c>
      <c r="DB54">
        <v>7</v>
      </c>
      <c r="DC54" t="s">
        <v>679</v>
      </c>
      <c r="DD54">
        <v>39522</v>
      </c>
      <c r="DE54">
        <v>0.10290000000000001</v>
      </c>
      <c r="DF54">
        <v>1</v>
      </c>
      <c r="DG54">
        <v>0.1429</v>
      </c>
      <c r="DH54">
        <v>1200</v>
      </c>
      <c r="DI54">
        <v>1200</v>
      </c>
      <c r="DJ54">
        <v>1200</v>
      </c>
      <c r="DK54">
        <v>1</v>
      </c>
      <c r="DL54">
        <v>0.1013</v>
      </c>
      <c r="DM54">
        <v>96</v>
      </c>
      <c r="DN54">
        <v>1200</v>
      </c>
    </row>
    <row r="55" spans="1:118" x14ac:dyDescent="0.25">
      <c r="A55" s="34" t="str" cm="1">
        <f t="array" ref="A55">IFERROR(VLOOKUP(D1_MARZO_202655[[#This Row],[ASESOR_CRR]],_xlfn._xlws.FILTER(PLANTILLA[[ASESOR]:[FECHA DE CESE]],PLANTILLA[FECHA]=_xlfn.CONCAT($M$3,"_",_xlfn.IFS($N$3="ENERO","1",$N$3="FEBRERO","2",$N$3="MARZO","3",$N$3="ABRIL","4",$N$3="MAYO","5",$N$3="JUNIO","6",$N$3="JULIO","7",$N$3="AGOSTO","8",$N$3="SETIEMBRE","9",$N$3="OCTUBRE","10",$N$3="NOVIEMBRE","11",$N$3="DICIEMBRE","12"))),3,0),"")</f>
        <v>JORGE</v>
      </c>
      <c r="B55" s="34" t="str" cm="1">
        <f t="array" ref="B55">TRIM(IFERROR(_xlfn.IFS(D1_MARZO_202655[[#This Row],[ASESOR]]="ELVIS GUERRA","ELVIS GUERRERA",D1_MARZO_202655[[#This Row],[ASESOR]]="GENESIS VICUÑA","GENESIS VICUNA",D1_MARZO_202655[[#This Row],[ASESOR]]="JENY QUIÑONES","JENY QUINONES",D1_MARZO_202655[[#This Row],[ASESOR]]="NICOLE CAURURO","NICOLE CAURURO"),D1_MARZO_202655[[#This Row],[ASESOR]]))</f>
        <v>JHONATAN CHAVEZ</v>
      </c>
      <c r="C55" s="34" cm="1">
        <f t="array" ref="C55">_xlfn.XLOOKUP(1,(TablaMeta[CONCAT]=$M$3&amp;$N$3&amp;D1_MARZO_202655[[#This Row],[SUPER]])*(TablaMeta[SEGG]=D1_MARZO_202655[[#This Row],[SEGMENTO]]),TablaMeta[Meta_Asesor])</f>
        <v>56000</v>
      </c>
      <c r="D55" s="35">
        <f>IF(D1_MARZO_202655[[#This Row],[RECUPERO]]="VACACIONES","VACACIONES",IFERROR(D1_MARZO_202655[[#This Row],[RECUPERO]]/D1_MARZO_202655[[#This Row],[META]],""))</f>
        <v>0.50285714285714289</v>
      </c>
      <c r="E55" s="35" t="str">
        <f>D1_MARZO_202655[[#This Row],[SUPER]]</f>
        <v>JORGE</v>
      </c>
      <c r="F55" t="s">
        <v>65</v>
      </c>
      <c r="G55" s="36">
        <v>28160</v>
      </c>
      <c r="H55" cm="1">
        <f t="array" ref="H55">IFERROR(VLOOKUP(D1_MARZO_202655[[#This Row],[ASESOR_CRR]],_xlfn._xlws.FILTER(PLANTILLA[[ASESOR]:[FECHA DE CESE]],PLANTILLA[FECHA]=_xlfn.CONCAT($M$3,"_",_xlfn.IFS($N$3="ENERO","1",$N$3="FEBRERO","2",$N$3="MARZO","3",$N$3="ABRIL","4",$N$3="MAYO","5",$N$3="JUNIO","6",$N$3="JULIO","7",$N$3="AGOSTO","8",$N$3="SETIEMBRE","9",$N$3="OCTUBRE","10",$N$3="NOVIEMBRE","11",$N$3="DICIEMBRE","12"))),2,0),"")</f>
        <v>47659267</v>
      </c>
      <c r="I55" s="55" cm="1">
        <f t="array" ref="I55">IFERROR(VLOOKUP(D1_MARZO_202655[[#This Row],[ASESOR_CRR]],_xlfn._xlws.FILTER(PLANTILLA[[ASESOR]:[FECHA DE CESE]],PLANTILLA[FECHA]=_xlfn.CONCAT($M$3,"_",_xlfn.IFS($N$3="ENERO","1",$N$3="FEBRERO","2",$N$3="MARZO","3",$N$3="ABRIL","4",$N$3="MAYO","5",$N$3="JUNIO","6",$N$3="JULIO","7",$N$3="AGOSTO","8",$N$3="SETIEMBRE","9",$N$3="OCTUBRE","10",$N$3="NOVIEMBRE","11",$N$3="DICIEMBRE","12"))),6,0),"")</f>
        <v>45019</v>
      </c>
      <c r="J55" s="55" t="str" cm="1">
        <f t="array" ref="J55">IFERROR(VLOOKUP(D1_MARZO_202655[[#This Row],[ASESOR_CRR]],_xlfn._xlws.FILTER(PLANTILLA[[ASESOR]:[FECHA DE CESE]],PLANTILLA[FECHA]=_xlfn.CONCAT($M$3,"_",_xlfn.IFS($N$3="ENERO","1",$N$3="FEBRERO","2",$N$3="MARZO","3",$N$3="ABRIL","4",$N$3="MAYO","5",$N$3="JUNIO","6",$N$3="JULIO","7",$N$3="AGOSTO","8",$N$3="SETIEMBRE","9",$N$3="OCTUBRE","10",$N$3="NOVIEMBRE","11",$N$3="DICIEMBRE","12"))),4,0),"")</f>
        <v>CALL</v>
      </c>
      <c r="K55" s="55" t="str" cm="1">
        <f t="array" ref="K55">IFERROR(VLOOKUP(D1_MARZO_202655[[#This Row],[ASESOR_CRR]],_xlfn._xlws.FILTER(PLANTILLA[[ASESOR]:[FECHA DE CESE]],PLANTILLA[FECHA]=_xlfn.CONCAT($M$3,"_",_xlfn.IFS($N$3="ENERO","1",$N$3="FEBRERO","2",$N$3="MARZO","3",$N$3="ABRIL","4",$N$3="MAYO","5",$N$3="JUNIO","6",$N$3="JULIO","7",$N$3="AGOSTO","8",$N$3="SETIEMBRE","9",$N$3="OCTUBRE","10",$N$3="NOVIEMBRE","11",$N$3="DICIEMBRE","12"))),8,0),"")</f>
        <v>S1</v>
      </c>
      <c r="M55" s="5">
        <f>DATA_MARZO_202651[[#This Row],[RECUPERO]]/DATA_MARZO_202651[[#This Row],[META]]</f>
        <v>0.89485714285714291</v>
      </c>
      <c r="N55" s="5">
        <f>6-ROUNDUP(_xlfn.RANK.EQ(DATA_MARZO_202651[[#This Row],[AL_AC]],DATA_MARZO_202651[AL_AC],0)/(COUNTA(DATA_MARZO_202651[AL_AC])/5),0)</f>
        <v>4</v>
      </c>
      <c r="O55" s="54" t="str">
        <f>IFERROR(VLOOKUP(DATA_MARZO_202651[[#This Row],[ASER_]],$B:$G,4,0),"")</f>
        <v>JOHAN</v>
      </c>
      <c r="P55" s="6">
        <f>SUM(DATA_MARZO_202651[[#This Row],[1]:[30]])</f>
        <v>50112</v>
      </c>
      <c r="Q55" s="6">
        <f>VLOOKUP(DATA_MARZO_202651[[#This Row],[ASER_]],D1_MARZO_202655[[ASESOR_CRR]:[META]],2,0)</f>
        <v>56000</v>
      </c>
      <c r="R55" t="s">
        <v>59</v>
      </c>
      <c r="T55">
        <v>3500</v>
      </c>
      <c r="V55">
        <v>1000</v>
      </c>
      <c r="Z55">
        <v>5500</v>
      </c>
      <c r="AB55" s="6"/>
      <c r="AC55" s="6">
        <v>4500</v>
      </c>
      <c r="AD55" s="6"/>
      <c r="AE55" s="6"/>
      <c r="AF55" s="6"/>
      <c r="AG55" s="6">
        <v>200</v>
      </c>
      <c r="AH55" s="6">
        <v>2200</v>
      </c>
      <c r="AI55" s="6">
        <v>8000</v>
      </c>
      <c r="AJ55" s="6">
        <v>1860</v>
      </c>
      <c r="AK55" s="6">
        <v>3600</v>
      </c>
      <c r="AL55" s="6"/>
      <c r="AM55" s="6"/>
      <c r="AN55" s="6">
        <v>5470</v>
      </c>
      <c r="AO55" s="6">
        <v>2140</v>
      </c>
      <c r="AP55" s="6"/>
      <c r="AQ55" s="6">
        <v>1500</v>
      </c>
      <c r="AR55" s="6">
        <v>10000</v>
      </c>
      <c r="AU55">
        <v>642</v>
      </c>
      <c r="AV55" s="54" t="str" cm="1">
        <f t="array" ref="AV55">IFERROR(VLOOKUP(DATA_MARZO_202651[[#This Row],[ASER_]],_xlfn._xlws.FILTER(PLANTILLA[[ASESOR]:[FECHA DE CESE]],PLANTILLA[FECHA]=_xlfn.CONCAT($M$3,"_",_xlfn.IFS($N$3="ENERO","1",$N$3="FEBRERO","2",$N$3="MARZO","3",$N$3="ABRIL","4",$N$3="MAYO","5",$N$3="JUNIO","6",$N$3="JULIO","7",$N$3="AGOSTO","8",$N$3="SETIEMBRE","9",$N$3="OCTUBRE","10",$N$3="NOVIEMBRE","11",$N$3="DICIEMBRE","12"))),8,0),"")</f>
        <v>S1</v>
      </c>
      <c r="CM55" t="s">
        <v>636</v>
      </c>
      <c r="CN55" t="s">
        <v>2</v>
      </c>
      <c r="CO55" t="s">
        <v>65</v>
      </c>
      <c r="CP55">
        <v>46087</v>
      </c>
      <c r="CQ55">
        <v>1</v>
      </c>
      <c r="CR55">
        <v>1</v>
      </c>
      <c r="CT55">
        <v>1</v>
      </c>
      <c r="CV55">
        <v>2.3148148148148149E-4</v>
      </c>
      <c r="CW55">
        <v>2.3148148148148149E-4</v>
      </c>
      <c r="CX55">
        <v>0.2641087962962963</v>
      </c>
      <c r="CY55">
        <v>8.2800925925925931E-2</v>
      </c>
      <c r="CZ55">
        <v>60</v>
      </c>
      <c r="DA55">
        <v>145</v>
      </c>
      <c r="DB55">
        <v>8</v>
      </c>
      <c r="DC55">
        <v>1.375</v>
      </c>
      <c r="DD55">
        <v>36045</v>
      </c>
      <c r="DE55">
        <v>0.1333</v>
      </c>
      <c r="DF55">
        <v>1</v>
      </c>
      <c r="DG55">
        <v>0.125</v>
      </c>
      <c r="DH55">
        <v>350</v>
      </c>
      <c r="DI55">
        <v>350</v>
      </c>
      <c r="DJ55">
        <v>350</v>
      </c>
      <c r="DK55">
        <v>1</v>
      </c>
      <c r="DL55">
        <v>0.46550000000000002</v>
      </c>
      <c r="DM55">
        <v>96</v>
      </c>
      <c r="DN55">
        <v>350</v>
      </c>
    </row>
    <row r="56" spans="1:118" x14ac:dyDescent="0.25">
      <c r="A56" s="34" t="str" cm="1">
        <f t="array" ref="A56">IFERROR(VLOOKUP(D1_MARZO_202655[[#This Row],[ASESOR_CRR]],_xlfn._xlws.FILTER(PLANTILLA[[ASESOR]:[FECHA DE CESE]],PLANTILLA[FECHA]=_xlfn.CONCAT($M$3,"_",_xlfn.IFS($N$3="ENERO","1",$N$3="FEBRERO","2",$N$3="MARZO","3",$N$3="ABRIL","4",$N$3="MAYO","5",$N$3="JUNIO","6",$N$3="JULIO","7",$N$3="AGOSTO","8",$N$3="SETIEMBRE","9",$N$3="OCTUBRE","10",$N$3="NOVIEMBRE","11",$N$3="DICIEMBRE","12"))),3,0),"")</f>
        <v>JORGE</v>
      </c>
      <c r="B56" s="34" t="str" cm="1">
        <f t="array" ref="B56">TRIM(IFERROR(_xlfn.IFS(D1_MARZO_202655[[#This Row],[ASESOR]]="ELVIS GUERRA","ELVIS GUERRERA",D1_MARZO_202655[[#This Row],[ASESOR]]="GENESIS VICUÑA","GENESIS VICUNA",D1_MARZO_202655[[#This Row],[ASESOR]]="JENY QUIÑONES","JENY QUINONES",D1_MARZO_202655[[#This Row],[ASESOR]]="NICOLE CAURURO","NICOLE CAURURO"),D1_MARZO_202655[[#This Row],[ASESOR]]))</f>
        <v>ELVIS GUERRERA</v>
      </c>
      <c r="C56" s="34" cm="1">
        <f t="array" ref="C56">_xlfn.XLOOKUP(1,(TablaMeta[CONCAT]=$M$3&amp;$N$3&amp;D1_MARZO_202655[[#This Row],[SUPER]])*(TablaMeta[SEGG]=D1_MARZO_202655[[#This Row],[SEGMENTO]]),TablaMeta[Meta_Asesor])</f>
        <v>56000</v>
      </c>
      <c r="D56" s="35">
        <f>IF(D1_MARZO_202655[[#This Row],[RECUPERO]]="VACACIONES","VACACIONES",IFERROR(D1_MARZO_202655[[#This Row],[RECUPERO]]/D1_MARZO_202655[[#This Row],[META]],""))</f>
        <v>0.43576785714285715</v>
      </c>
      <c r="E56" s="35" t="str">
        <f>D1_MARZO_202655[[#This Row],[SUPER]]</f>
        <v>JORGE</v>
      </c>
      <c r="F56" t="s">
        <v>377</v>
      </c>
      <c r="G56" s="36">
        <v>24403</v>
      </c>
      <c r="H56" cm="1">
        <f t="array" ref="H56">IFERROR(VLOOKUP(D1_MARZO_202655[[#This Row],[ASESOR_CRR]],_xlfn._xlws.FILTER(PLANTILLA[[ASESOR]:[FECHA DE CESE]],PLANTILLA[FECHA]=_xlfn.CONCAT($M$3,"_",_xlfn.IFS($N$3="ENERO","1",$N$3="FEBRERO","2",$N$3="MARZO","3",$N$3="ABRIL","4",$N$3="MAYO","5",$N$3="JUNIO","6",$N$3="JULIO","7",$N$3="AGOSTO","8",$N$3="SETIEMBRE","9",$N$3="OCTUBRE","10",$N$3="NOVIEMBRE","11",$N$3="DICIEMBRE","12"))),2,0),"")</f>
        <v>44883074</v>
      </c>
      <c r="I56" s="55" cm="1">
        <f t="array" ref="I56">IFERROR(VLOOKUP(D1_MARZO_202655[[#This Row],[ASESOR_CRR]],_xlfn._xlws.FILTER(PLANTILLA[[ASESOR]:[FECHA DE CESE]],PLANTILLA[FECHA]=_xlfn.CONCAT($M$3,"_",_xlfn.IFS($N$3="ENERO","1",$N$3="FEBRERO","2",$N$3="MARZO","3",$N$3="ABRIL","4",$N$3="MAYO","5",$N$3="JUNIO","6",$N$3="JULIO","7",$N$3="AGOSTO","8",$N$3="SETIEMBRE","9",$N$3="OCTUBRE","10",$N$3="NOVIEMBRE","11",$N$3="DICIEMBRE","12"))),6,0),"")</f>
        <v>46038</v>
      </c>
      <c r="J56" s="55" t="str" cm="1">
        <f t="array" ref="J56">IFERROR(VLOOKUP(D1_MARZO_202655[[#This Row],[ASESOR_CRR]],_xlfn._xlws.FILTER(PLANTILLA[[ASESOR]:[FECHA DE CESE]],PLANTILLA[FECHA]=_xlfn.CONCAT($M$3,"_",_xlfn.IFS($N$3="ENERO","1",$N$3="FEBRERO","2",$N$3="MARZO","3",$N$3="ABRIL","4",$N$3="MAYO","5",$N$3="JUNIO","6",$N$3="JULIO","7",$N$3="AGOSTO","8",$N$3="SETIEMBRE","9",$N$3="OCTUBRE","10",$N$3="NOVIEMBRE","11",$N$3="DICIEMBRE","12"))),4,0),"")</f>
        <v>CALL</v>
      </c>
      <c r="K56" s="55" t="str" cm="1">
        <f t="array" ref="K56">IFERROR(VLOOKUP(D1_MARZO_202655[[#This Row],[ASESOR_CRR]],_xlfn._xlws.FILTER(PLANTILLA[[ASESOR]:[FECHA DE CESE]],PLANTILLA[FECHA]=_xlfn.CONCAT($M$3,"_",_xlfn.IFS($N$3="ENERO","1",$N$3="FEBRERO","2",$N$3="MARZO","3",$N$3="ABRIL","4",$N$3="MAYO","5",$N$3="JUNIO","6",$N$3="JULIO","7",$N$3="AGOSTO","8",$N$3="SETIEMBRE","9",$N$3="OCTUBRE","10",$N$3="NOVIEMBRE","11",$N$3="DICIEMBRE","12"))),8,0),"")</f>
        <v>S1</v>
      </c>
      <c r="M56" s="5">
        <f>DATA_MARZO_202651[[#This Row],[RECUPERO]]/DATA_MARZO_202651[[#This Row],[META]]</f>
        <v>0.74757142857142855</v>
      </c>
      <c r="N56" s="5">
        <f>6-ROUNDUP(_xlfn.RANK.EQ(DATA_MARZO_202651[[#This Row],[AL_AC]],DATA_MARZO_202651[AL_AC],0)/(COUNTA(DATA_MARZO_202651[AL_AC])/5),0)</f>
        <v>3</v>
      </c>
      <c r="O56" s="54" t="str">
        <f>IFERROR(VLOOKUP(DATA_MARZO_202651[[#This Row],[ASER_]],$B:$G,4,0),"")</f>
        <v>LEONOR</v>
      </c>
      <c r="P56" s="6">
        <f>SUM(DATA_MARZO_202651[[#This Row],[1]:[30]])</f>
        <v>26165</v>
      </c>
      <c r="Q56" s="6">
        <f>VLOOKUP(DATA_MARZO_202651[[#This Row],[ASER_]],D1_MARZO_202655[[ASESOR_CRR]:[META]],2,0)</f>
        <v>35000</v>
      </c>
      <c r="R56" t="s">
        <v>73</v>
      </c>
      <c r="W56">
        <v>1530</v>
      </c>
      <c r="X56">
        <v>820</v>
      </c>
      <c r="Z56">
        <v>663</v>
      </c>
      <c r="AA56">
        <v>1600</v>
      </c>
      <c r="AB56" s="6"/>
      <c r="AC56" s="6">
        <v>1150</v>
      </c>
      <c r="AD56" s="6"/>
      <c r="AE56" s="6"/>
      <c r="AF56" s="6"/>
      <c r="AG56" s="6">
        <v>1850</v>
      </c>
      <c r="AH56" s="6"/>
      <c r="AI56" s="6"/>
      <c r="AJ56" s="6">
        <v>3500</v>
      </c>
      <c r="AK56" s="6">
        <v>2830</v>
      </c>
      <c r="AL56" s="6"/>
      <c r="AM56" s="6"/>
      <c r="AN56" s="6">
        <v>272</v>
      </c>
      <c r="AO56" s="6">
        <v>2500</v>
      </c>
      <c r="AP56" s="6">
        <v>1500</v>
      </c>
      <c r="AQ56" s="6"/>
      <c r="AR56" s="6">
        <v>3500</v>
      </c>
      <c r="AU56">
        <v>4450</v>
      </c>
      <c r="AV56" s="54" t="str" cm="1">
        <f t="array" ref="AV56">IFERROR(VLOOKUP(DATA_MARZO_202651[[#This Row],[ASER_]],_xlfn._xlws.FILTER(PLANTILLA[[ASESOR]:[FECHA DE CESE]],PLANTILLA[FECHA]=_xlfn.CONCAT($M$3,"_",_xlfn.IFS($N$3="ENERO","1",$N$3="FEBRERO","2",$N$3="MARZO","3",$N$3="ABRIL","4",$N$3="MAYO","5",$N$3="JUNIO","6",$N$3="JULIO","7",$N$3="AGOSTO","8",$N$3="SETIEMBRE","9",$N$3="OCTUBRE","10",$N$3="NOVIEMBRE","11",$N$3="DICIEMBRE","12"))),8,0),"")</f>
        <v>S2-3-4 BANCO</v>
      </c>
      <c r="CM56" t="s">
        <v>636</v>
      </c>
      <c r="CN56" t="s">
        <v>2</v>
      </c>
      <c r="CO56" t="s">
        <v>65</v>
      </c>
      <c r="CP56">
        <v>46112</v>
      </c>
      <c r="CQ56">
        <v>1</v>
      </c>
      <c r="CR56">
        <v>1</v>
      </c>
      <c r="CT56">
        <v>1</v>
      </c>
      <c r="CV56">
        <v>1.8518518518518518E-4</v>
      </c>
      <c r="CW56">
        <v>1.8518518518518518E-4</v>
      </c>
      <c r="CX56">
        <v>0.12971064814814814</v>
      </c>
      <c r="CY56">
        <v>0.1577662037037037</v>
      </c>
      <c r="CZ56">
        <v>30</v>
      </c>
      <c r="DA56">
        <v>110</v>
      </c>
      <c r="DB56">
        <v>3</v>
      </c>
      <c r="DC56">
        <v>2</v>
      </c>
      <c r="DD56">
        <v>15697</v>
      </c>
      <c r="DE56">
        <v>0.1</v>
      </c>
      <c r="DF56">
        <v>1</v>
      </c>
      <c r="DG56">
        <v>0.33329999999999999</v>
      </c>
      <c r="DH56">
        <v>900</v>
      </c>
      <c r="DI56">
        <v>900</v>
      </c>
      <c r="DJ56">
        <v>900</v>
      </c>
      <c r="DK56">
        <v>1</v>
      </c>
      <c r="DL56">
        <v>0.2492</v>
      </c>
      <c r="DM56">
        <v>96</v>
      </c>
      <c r="DN56">
        <v>900</v>
      </c>
    </row>
    <row r="57" spans="1:118" x14ac:dyDescent="0.25">
      <c r="A57" s="34" t="str" cm="1">
        <f t="array" ref="A57">IFERROR(VLOOKUP(D1_MARZO_202655[[#This Row],[ASESOR_CRR]],_xlfn._xlws.FILTER(PLANTILLA[[ASESOR]:[FECHA DE CESE]],PLANTILLA[FECHA]=_xlfn.CONCAT($M$3,"_",_xlfn.IFS($N$3="ENERO","1",$N$3="FEBRERO","2",$N$3="MARZO","3",$N$3="ABRIL","4",$N$3="MAYO","5",$N$3="JUNIO","6",$N$3="JULIO","7",$N$3="AGOSTO","8",$N$3="SETIEMBRE","9",$N$3="OCTUBRE","10",$N$3="NOVIEMBRE","11",$N$3="DICIEMBRE","12"))),3,0),"")</f>
        <v>JORGE</v>
      </c>
      <c r="B57" s="34" t="str" cm="1">
        <f t="array" ref="B57">TRIM(IFERROR(_xlfn.IFS(D1_MARZO_202655[[#This Row],[ASESOR]]="ELVIS GUERRA","ELVIS GUERRERA",D1_MARZO_202655[[#This Row],[ASESOR]]="GENESIS VICUÑA","GENESIS VICUNA",D1_MARZO_202655[[#This Row],[ASESOR]]="JENY QUIÑONES","JENY QUINONES",D1_MARZO_202655[[#This Row],[ASESOR]]="NICOLE CAURURO","NICOLE CAURURO"),D1_MARZO_202655[[#This Row],[ASESOR]]))</f>
        <v>JENY QUINONES</v>
      </c>
      <c r="C57" s="34" cm="1">
        <f t="array" ref="C57">_xlfn.XLOOKUP(1,(TablaMeta[CONCAT]=$M$3&amp;$N$3&amp;D1_MARZO_202655[[#This Row],[SUPER]])*(TablaMeta[SEGG]=D1_MARZO_202655[[#This Row],[SEGMENTO]]),TablaMeta[Meta_Asesor])</f>
        <v>56000</v>
      </c>
      <c r="D57" s="35">
        <f>IF(D1_MARZO_202655[[#This Row],[RECUPERO]]="VACACIONES","VACACIONES",IFERROR(D1_MARZO_202655[[#This Row],[RECUPERO]]/D1_MARZO_202655[[#This Row],[META]],""))</f>
        <v>0.27027946428571425</v>
      </c>
      <c r="E57" s="35" t="str">
        <f>D1_MARZO_202655[[#This Row],[SUPER]]</f>
        <v>JORGE</v>
      </c>
      <c r="F57" t="s">
        <v>564</v>
      </c>
      <c r="G57" s="36">
        <v>15135.65</v>
      </c>
      <c r="H57" cm="1">
        <f t="array" ref="H57">IFERROR(VLOOKUP(D1_MARZO_202655[[#This Row],[ASESOR_CRR]],_xlfn._xlws.FILTER(PLANTILLA[[ASESOR]:[FECHA DE CESE]],PLANTILLA[FECHA]=_xlfn.CONCAT($M$3,"_",_xlfn.IFS($N$3="ENERO","1",$N$3="FEBRERO","2",$N$3="MARZO","3",$N$3="ABRIL","4",$N$3="MAYO","5",$N$3="JUNIO","6",$N$3="JULIO","7",$N$3="AGOSTO","8",$N$3="SETIEMBRE","9",$N$3="OCTUBRE","10",$N$3="NOVIEMBRE","11",$N$3="DICIEMBRE","12"))),2,0),"")</f>
        <v>43184866</v>
      </c>
      <c r="I57" s="55" cm="1">
        <f t="array" ref="I57">IFERROR(VLOOKUP(D1_MARZO_202655[[#This Row],[ASESOR_CRR]],_xlfn._xlws.FILTER(PLANTILLA[[ASESOR]:[FECHA DE CESE]],PLANTILLA[FECHA]=_xlfn.CONCAT($M$3,"_",_xlfn.IFS($N$3="ENERO","1",$N$3="FEBRERO","2",$N$3="MARZO","3",$N$3="ABRIL","4",$N$3="MAYO","5",$N$3="JUNIO","6",$N$3="JULIO","7",$N$3="AGOSTO","8",$N$3="SETIEMBRE","9",$N$3="OCTUBRE","10",$N$3="NOVIEMBRE","11",$N$3="DICIEMBRE","12"))),6,0),"")</f>
        <v>46083</v>
      </c>
      <c r="J57" s="55" t="str" cm="1">
        <f t="array" ref="J57">IFERROR(VLOOKUP(D1_MARZO_202655[[#This Row],[ASESOR_CRR]],_xlfn._xlws.FILTER(PLANTILLA[[ASESOR]:[FECHA DE CESE]],PLANTILLA[FECHA]=_xlfn.CONCAT($M$3,"_",_xlfn.IFS($N$3="ENERO","1",$N$3="FEBRERO","2",$N$3="MARZO","3",$N$3="ABRIL","4",$N$3="MAYO","5",$N$3="JUNIO","6",$N$3="JULIO","7",$N$3="AGOSTO","8",$N$3="SETIEMBRE","9",$N$3="OCTUBRE","10",$N$3="NOVIEMBRE","11",$N$3="DICIEMBRE","12"))),4,0),"")</f>
        <v>CALL</v>
      </c>
      <c r="K57" s="55" t="str" cm="1">
        <f t="array" ref="K57">IFERROR(VLOOKUP(D1_MARZO_202655[[#This Row],[ASESOR_CRR]],_xlfn._xlws.FILTER(PLANTILLA[[ASESOR]:[FECHA DE CESE]],PLANTILLA[FECHA]=_xlfn.CONCAT($M$3,"_",_xlfn.IFS($N$3="ENERO","1",$N$3="FEBRERO","2",$N$3="MARZO","3",$N$3="ABRIL","4",$N$3="MAYO","5",$N$3="JUNIO","6",$N$3="JULIO","7",$N$3="AGOSTO","8",$N$3="SETIEMBRE","9",$N$3="OCTUBRE","10",$N$3="NOVIEMBRE","11",$N$3="DICIEMBRE","12"))),8,0),"")</f>
        <v>S1</v>
      </c>
      <c r="M57" s="5">
        <f>DATA_MARZO_202651[[#This Row],[RECUPERO]]/DATA_MARZO_202651[[#This Row],[META]]</f>
        <v>0.18287500000000001</v>
      </c>
      <c r="N57" s="5">
        <f>6-ROUNDUP(_xlfn.RANK.EQ(DATA_MARZO_202651[[#This Row],[AL_AC]],DATA_MARZO_202651[AL_AC],0)/(COUNTA(DATA_MARZO_202651[AL_AC])/5),0)</f>
        <v>1</v>
      </c>
      <c r="O57" s="54" t="str">
        <f>IFERROR(VLOOKUP(DATA_MARZO_202651[[#This Row],[ASER_]],$B:$G,4,0),"")</f>
        <v>LEONOR</v>
      </c>
      <c r="P57" s="6">
        <f>SUM(DATA_MARZO_202651[[#This Row],[1]:[30]])</f>
        <v>2926</v>
      </c>
      <c r="Q57" s="6">
        <f>VLOOKUP(DATA_MARZO_202651[[#This Row],[ASER_]],D1_MARZO_202655[[ASESOR_CRR]:[META]],2,0)</f>
        <v>16000</v>
      </c>
      <c r="R57" t="s">
        <v>557</v>
      </c>
      <c r="X57">
        <v>326</v>
      </c>
      <c r="AB57" s="6">
        <v>1200</v>
      </c>
      <c r="AC57" s="6">
        <v>200</v>
      </c>
      <c r="AD57" s="6">
        <v>300</v>
      </c>
      <c r="AE57" s="6"/>
      <c r="AF57" s="6"/>
      <c r="AG57" s="6">
        <v>500</v>
      </c>
      <c r="AH57" s="6"/>
      <c r="AI57" s="6"/>
      <c r="AJ57" s="6">
        <v>50</v>
      </c>
      <c r="AK57" s="6"/>
      <c r="AL57" s="6"/>
      <c r="AM57" s="6"/>
      <c r="AN57" s="6"/>
      <c r="AO57" s="6"/>
      <c r="AP57" s="6">
        <v>350</v>
      </c>
      <c r="AQ57" s="6"/>
      <c r="AR57" s="6"/>
      <c r="AV57" s="54" t="str" cm="1">
        <f t="array" ref="AV57">IFERROR(VLOOKUP(DATA_MARZO_202651[[#This Row],[ASER_]],_xlfn._xlws.FILTER(PLANTILLA[[ASESOR]:[FECHA DE CESE]],PLANTILLA[FECHA]=_xlfn.CONCAT($M$3,"_",_xlfn.IFS($N$3="ENERO","1",$N$3="FEBRERO","2",$N$3="MARZO","3",$N$3="ABRIL","4",$N$3="MAYO","5",$N$3="JUNIO","6",$N$3="JULIO","7",$N$3="AGOSTO","8",$N$3="SETIEMBRE","9",$N$3="OCTUBRE","10",$N$3="NOVIEMBRE","11",$N$3="DICIEMBRE","12"))),8,0),"")</f>
        <v>S2-3-4 MIX</v>
      </c>
      <c r="CM57" t="s">
        <v>636</v>
      </c>
      <c r="CN57" t="s">
        <v>6</v>
      </c>
      <c r="CO57" t="s">
        <v>81</v>
      </c>
      <c r="CP57">
        <v>46087</v>
      </c>
      <c r="CQ57">
        <v>1</v>
      </c>
      <c r="CR57">
        <v>1</v>
      </c>
      <c r="CT57">
        <v>1</v>
      </c>
      <c r="CV57">
        <v>8.1018518518518516E-5</v>
      </c>
      <c r="CW57">
        <v>8.1018518518518516E-5</v>
      </c>
      <c r="CX57">
        <v>0.18778935185185186</v>
      </c>
      <c r="CY57">
        <v>0.15530092592592593</v>
      </c>
      <c r="CZ57">
        <v>63</v>
      </c>
      <c r="DA57">
        <v>115</v>
      </c>
      <c r="DB57">
        <v>14</v>
      </c>
      <c r="DC57" t="s">
        <v>679</v>
      </c>
      <c r="DD57">
        <v>41181</v>
      </c>
      <c r="DE57">
        <v>0.22220000000000001</v>
      </c>
      <c r="DF57">
        <v>2</v>
      </c>
      <c r="DG57">
        <v>0.1429</v>
      </c>
      <c r="DH57">
        <v>3650</v>
      </c>
      <c r="DI57">
        <v>1825</v>
      </c>
      <c r="DJ57">
        <v>3650</v>
      </c>
      <c r="DK57">
        <v>1</v>
      </c>
      <c r="DL57">
        <v>0.17419999999999999</v>
      </c>
      <c r="DM57">
        <v>96</v>
      </c>
      <c r="DN57">
        <v>1825</v>
      </c>
    </row>
    <row r="58" spans="1:118" x14ac:dyDescent="0.25">
      <c r="A58" s="34" t="str" cm="1">
        <f t="array" ref="A58">IFERROR(VLOOKUP(D1_MARZO_202655[[#This Row],[ASESOR_CRR]],_xlfn._xlws.FILTER(PLANTILLA[[ASESOR]:[FECHA DE CESE]],PLANTILLA[FECHA]=_xlfn.CONCAT($M$3,"_",_xlfn.IFS($N$3="ENERO","1",$N$3="FEBRERO","2",$N$3="MARZO","3",$N$3="ABRIL","4",$N$3="MAYO","5",$N$3="JUNIO","6",$N$3="JULIO","7",$N$3="AGOSTO","8",$N$3="SETIEMBRE","9",$N$3="OCTUBRE","10",$N$3="NOVIEMBRE","11",$N$3="DICIEMBRE","12"))),3,0),"")</f>
        <v>JORGE</v>
      </c>
      <c r="B58" s="34" t="str" cm="1">
        <f t="array" ref="B58">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MARIA BARRIONUEVO</v>
      </c>
      <c r="C58" s="34" cm="1">
        <f t="array" ref="C58">_xlfn.XLOOKUP(1,(TablaMeta[CONCAT]=$M$3&amp;$N$3&amp;D1_MARZO_202655[[#This Row],[SUPER]])*(TablaMeta[SEGG]=D1_MARZO_202655[[#This Row],[SEGMENTO]]),TablaMeta[Meta_Asesor])</f>
        <v>56000</v>
      </c>
      <c r="D58" s="35">
        <f>IF(D1_MARZO_202655[[#This Row],[RECUPERO]]="VACACIONES","VACACIONES",IFERROR(D1_MARZO_202655[[#This Row],[RECUPERO]]/D1_MARZO_202655[[#This Row],[META]],""))</f>
        <v>0.16071428571428573</v>
      </c>
      <c r="E58" s="35" t="str">
        <f>D1_MARZO_202655[[#This Row],[SUPER]]</f>
        <v>JORGE</v>
      </c>
      <c r="F58" t="s">
        <v>207</v>
      </c>
      <c r="G58" s="36">
        <v>9000</v>
      </c>
      <c r="H58" cm="1">
        <f t="array" ref="H58">IFERROR(VLOOKUP(D1_MARZO_202655[[#This Row],[ASESOR_CRR]],_xlfn._xlws.FILTER(PLANTILLA[[ASESOR]:[FECHA DE CESE]],PLANTILLA[FECHA]=_xlfn.CONCAT($M$3,"_",_xlfn.IFS($N$3="ENERO","1",$N$3="FEBRERO","2",$N$3="MARZO","3",$N$3="ABRIL","4",$N$3="MAYO","5",$N$3="JUNIO","6",$N$3="JULIO","7",$N$3="AGOSTO","8",$N$3="SETIEMBRE","9",$N$3="OCTUBRE","10",$N$3="NOVIEMBRE","11",$N$3="DICIEMBRE","12"))),2,0),"")</f>
        <v>75069320</v>
      </c>
      <c r="I58" s="55" cm="1">
        <f t="array" ref="I58">IFERROR(VLOOKUP(D1_MARZO_202655[[#This Row],[ASESOR_CRR]],_xlfn._xlws.FILTER(PLANTILLA[[ASESOR]:[FECHA DE CESE]],PLANTILLA[FECHA]=_xlfn.CONCAT($M$3,"_",_xlfn.IFS($N$3="ENERO","1",$N$3="FEBRERO","2",$N$3="MARZO","3",$N$3="ABRIL","4",$N$3="MAYO","5",$N$3="JUNIO","6",$N$3="JULIO","7",$N$3="AGOSTO","8",$N$3="SETIEMBRE","9",$N$3="OCTUBRE","10",$N$3="NOVIEMBRE","11",$N$3="DICIEMBRE","12"))),6,0),"")</f>
        <v>46029</v>
      </c>
      <c r="J58" s="55" t="str" cm="1">
        <f t="array" ref="J58">IFERROR(VLOOKUP(D1_MARZO_202655[[#This Row],[ASESOR_CRR]],_xlfn._xlws.FILTER(PLANTILLA[[ASESOR]:[FECHA DE CESE]],PLANTILLA[FECHA]=_xlfn.CONCAT($M$3,"_",_xlfn.IFS($N$3="ENERO","1",$N$3="FEBRERO","2",$N$3="MARZO","3",$N$3="ABRIL","4",$N$3="MAYO","5",$N$3="JUNIO","6",$N$3="JULIO","7",$N$3="AGOSTO","8",$N$3="SETIEMBRE","9",$N$3="OCTUBRE","10",$N$3="NOVIEMBRE","11",$N$3="DICIEMBRE","12"))),4,0),"")</f>
        <v>CESADO</v>
      </c>
      <c r="K58" s="55" t="str" cm="1">
        <f t="array" ref="K58">IFERROR(VLOOKUP(D1_MARZO_202655[[#This Row],[ASESOR_CRR]],_xlfn._xlws.FILTER(PLANTILLA[[ASESOR]:[FECHA DE CESE]],PLANTILLA[FECHA]=_xlfn.CONCAT($M$3,"_",_xlfn.IFS($N$3="ENERO","1",$N$3="FEBRERO","2",$N$3="MARZO","3",$N$3="ABRIL","4",$N$3="MAYO","5",$N$3="JUNIO","6",$N$3="JULIO","7",$N$3="AGOSTO","8",$N$3="SETIEMBRE","9",$N$3="OCTUBRE","10",$N$3="NOVIEMBRE","11",$N$3="DICIEMBRE","12"))),8,0),"")</f>
        <v>S1</v>
      </c>
      <c r="M58" s="5">
        <f>DATA_MARZO_202651[[#This Row],[RECUPERO]]/DATA_MARZO_202651[[#This Row],[META]]</f>
        <v>1.8985245901639345</v>
      </c>
      <c r="N58" s="5">
        <f>6-ROUNDUP(_xlfn.RANK.EQ(DATA_MARZO_202651[[#This Row],[AL_AC]],DATA_MARZO_202651[AL_AC],0)/(COUNTA(DATA_MARZO_202651[AL_AC])/5),0)</f>
        <v>5</v>
      </c>
      <c r="O58" s="54" t="str">
        <f>IFERROR(VLOOKUP(DATA_MARZO_202651[[#This Row],[ASER_]],$B:$G,4,0),"")</f>
        <v>KENNETH</v>
      </c>
      <c r="P58" s="6">
        <f>SUM(DATA_MARZO_202651[[#This Row],[1]:[30]])</f>
        <v>57905</v>
      </c>
      <c r="Q58" s="6">
        <f>VLOOKUP(DATA_MARZO_202651[[#This Row],[ASER_]],D1_MARZO_202655[[ASESOR_CRR]:[META]],2,0)</f>
        <v>30500</v>
      </c>
      <c r="R58" t="s">
        <v>34</v>
      </c>
      <c r="U58">
        <v>1250</v>
      </c>
      <c r="V58">
        <v>1450</v>
      </c>
      <c r="Y58">
        <v>500</v>
      </c>
      <c r="Z58">
        <v>1500</v>
      </c>
      <c r="AA58">
        <v>1100</v>
      </c>
      <c r="AB58" s="6">
        <v>8000</v>
      </c>
      <c r="AC58" s="6">
        <v>500</v>
      </c>
      <c r="AD58" s="6">
        <v>2050</v>
      </c>
      <c r="AE58" s="6">
        <v>575</v>
      </c>
      <c r="AF58" s="6"/>
      <c r="AG58" s="6"/>
      <c r="AH58" s="6">
        <v>4100</v>
      </c>
      <c r="AI58" s="6">
        <v>140</v>
      </c>
      <c r="AJ58" s="6"/>
      <c r="AK58" s="6">
        <v>900</v>
      </c>
      <c r="AL58" s="6"/>
      <c r="AM58" s="6"/>
      <c r="AN58" s="6">
        <v>4500</v>
      </c>
      <c r="AO58" s="6"/>
      <c r="AP58" s="6">
        <v>2500</v>
      </c>
      <c r="AQ58" s="6">
        <v>2500</v>
      </c>
      <c r="AR58" s="6">
        <v>24750</v>
      </c>
      <c r="AU58">
        <v>1590</v>
      </c>
      <c r="AV58" s="54" t="str" cm="1">
        <f t="array" ref="AV58">IFERROR(VLOOKUP(DATA_MARZO_202651[[#This Row],[ASER_]],_xlfn._xlws.FILTER(PLANTILLA[[ASESOR]:[FECHA DE CESE]],PLANTILLA[FECHA]=_xlfn.CONCAT($M$3,"_",_xlfn.IFS($N$3="ENERO","1",$N$3="FEBRERO","2",$N$3="MARZO","3",$N$3="ABRIL","4",$N$3="MAYO","5",$N$3="JUNIO","6",$N$3="JULIO","7",$N$3="AGOSTO","8",$N$3="SETIEMBRE","9",$N$3="OCTUBRE","10",$N$3="NOVIEMBRE","11",$N$3="DICIEMBRE","12"))),8,0),"")</f>
        <v>S0 - IBK</v>
      </c>
      <c r="CM58" t="s">
        <v>636</v>
      </c>
      <c r="CN58" t="s">
        <v>6</v>
      </c>
      <c r="CO58" t="s">
        <v>97</v>
      </c>
      <c r="CP58">
        <v>46101</v>
      </c>
      <c r="CQ58">
        <v>1</v>
      </c>
      <c r="CR58">
        <v>1</v>
      </c>
      <c r="CT58">
        <v>1</v>
      </c>
      <c r="CV58">
        <v>1.9675925925925926E-4</v>
      </c>
      <c r="CW58">
        <v>1.9675925925925926E-4</v>
      </c>
      <c r="CX58">
        <v>0.18546296296296297</v>
      </c>
      <c r="CY58">
        <v>0.13853009259259258</v>
      </c>
      <c r="CZ58">
        <v>101</v>
      </c>
      <c r="DA58">
        <v>177</v>
      </c>
      <c r="DB58">
        <v>20</v>
      </c>
      <c r="DC58">
        <v>2.15</v>
      </c>
      <c r="DD58">
        <v>27656</v>
      </c>
      <c r="DE58">
        <v>0.19800000000000001</v>
      </c>
      <c r="DF58">
        <v>3</v>
      </c>
      <c r="DG58">
        <v>0.15</v>
      </c>
      <c r="DH58">
        <v>17655</v>
      </c>
      <c r="DI58">
        <v>5885</v>
      </c>
      <c r="DJ58">
        <v>17655</v>
      </c>
      <c r="DK58">
        <v>1</v>
      </c>
      <c r="DL58">
        <v>0.16320000000000001</v>
      </c>
      <c r="DM58">
        <v>96</v>
      </c>
      <c r="DN58">
        <v>5885</v>
      </c>
    </row>
    <row r="59" spans="1:118" x14ac:dyDescent="0.25">
      <c r="A59" s="34" t="str" cm="1">
        <f t="array" ref="A59">IFERROR(VLOOKUP(D1_MARZO_202655[[#This Row],[ASESOR_CRR]],_xlfn._xlws.FILTER(PLANTILLA[[ASESOR]:[FECHA DE CESE]],PLANTILLA[FECHA]=_xlfn.CONCAT($M$3,"_",_xlfn.IFS($N$3="ENERO","1",$N$3="FEBRERO","2",$N$3="MARZO","3",$N$3="ABRIL","4",$N$3="MAYO","5",$N$3="JUNIO","6",$N$3="JULIO","7",$N$3="AGOSTO","8",$N$3="SETIEMBRE","9",$N$3="OCTUBRE","10",$N$3="NOVIEMBRE","11",$N$3="DICIEMBRE","12"))),3,0),"")</f>
        <v>JORGE</v>
      </c>
      <c r="B59" s="34" t="str" cm="1">
        <f t="array" ref="B59">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MARGARITA PIANCHACHI</v>
      </c>
      <c r="C59" s="34" cm="1">
        <f t="array" ref="C59">_xlfn.XLOOKUP(1,(TablaMeta[CONCAT]=$M$3&amp;$N$3&amp;D1_MARZO_202655[[#This Row],[SUPER]])*(TablaMeta[SEGG]=D1_MARZO_202655[[#This Row],[SEGMENTO]]),TablaMeta[Meta_Asesor])</f>
        <v>56000</v>
      </c>
      <c r="D59" s="35">
        <f>IF(D1_MARZO_202655[[#This Row],[RECUPERO]]="VACACIONES","VACACIONES",IFERROR(D1_MARZO_202655[[#This Row],[RECUPERO]]/D1_MARZO_202655[[#This Row],[META]],""))</f>
        <v>6.3116071428571424E-2</v>
      </c>
      <c r="E59" s="35" t="str">
        <f>D1_MARZO_202655[[#This Row],[SUPER]]</f>
        <v>JORGE</v>
      </c>
      <c r="F59" t="s">
        <v>17</v>
      </c>
      <c r="G59" s="36">
        <v>3534.5</v>
      </c>
      <c r="H59" cm="1">
        <f t="array" ref="H59">IFERROR(VLOOKUP(D1_MARZO_202655[[#This Row],[ASESOR_CRR]],_xlfn._xlws.FILTER(PLANTILLA[[ASESOR]:[FECHA DE CESE]],PLANTILLA[FECHA]=_xlfn.CONCAT($M$3,"_",_xlfn.IFS($N$3="ENERO","1",$N$3="FEBRERO","2",$N$3="MARZO","3",$N$3="ABRIL","4",$N$3="MAYO","5",$N$3="JUNIO","6",$N$3="JULIO","7",$N$3="AGOSTO","8",$N$3="SETIEMBRE","9",$N$3="OCTUBRE","10",$N$3="NOVIEMBRE","11",$N$3="DICIEMBRE","12"))),2,0),"")</f>
        <v>70876605</v>
      </c>
      <c r="I59" s="55" cm="1">
        <f t="array" ref="I59">IFERROR(VLOOKUP(D1_MARZO_202655[[#This Row],[ASESOR_CRR]],_xlfn._xlws.FILTER(PLANTILLA[[ASESOR]:[FECHA DE CESE]],PLANTILLA[FECHA]=_xlfn.CONCAT($M$3,"_",_xlfn.IFS($N$3="ENERO","1",$N$3="FEBRERO","2",$N$3="MARZO","3",$N$3="ABRIL","4",$N$3="MAYO","5",$N$3="JUNIO","6",$N$3="JULIO","7",$N$3="AGOSTO","8",$N$3="SETIEMBRE","9",$N$3="OCTUBRE","10",$N$3="NOVIEMBRE","11",$N$3="DICIEMBRE","12"))),6,0),"")</f>
        <v>44886</v>
      </c>
      <c r="J59" s="55" t="str" cm="1">
        <f t="array" ref="J59">IFERROR(VLOOKUP(D1_MARZO_202655[[#This Row],[ASESOR_CRR]],_xlfn._xlws.FILTER(PLANTILLA[[ASESOR]:[FECHA DE CESE]],PLANTILLA[FECHA]=_xlfn.CONCAT($M$3,"_",_xlfn.IFS($N$3="ENERO","1",$N$3="FEBRERO","2",$N$3="MARZO","3",$N$3="ABRIL","4",$N$3="MAYO","5",$N$3="JUNIO","6",$N$3="JULIO","7",$N$3="AGOSTO","8",$N$3="SETIEMBRE","9",$N$3="OCTUBRE","10",$N$3="NOVIEMBRE","11",$N$3="DICIEMBRE","12"))),4,0),"")</f>
        <v>CALL</v>
      </c>
      <c r="K59" s="55" t="str" cm="1">
        <f t="array" ref="K59">IFERROR(VLOOKUP(D1_MARZO_202655[[#This Row],[ASESOR_CRR]],_xlfn._xlws.FILTER(PLANTILLA[[ASESOR]:[FECHA DE CESE]],PLANTILLA[FECHA]=_xlfn.CONCAT($M$3,"_",_xlfn.IFS($N$3="ENERO","1",$N$3="FEBRERO","2",$N$3="MARZO","3",$N$3="ABRIL","4",$N$3="MAYO","5",$N$3="JUNIO","6",$N$3="JULIO","7",$N$3="AGOSTO","8",$N$3="SETIEMBRE","9",$N$3="OCTUBRE","10",$N$3="NOVIEMBRE","11",$N$3="DICIEMBRE","12"))),8,0),"")</f>
        <v>S1</v>
      </c>
      <c r="M59" s="5">
        <f>DATA_MARZO_202651[[#This Row],[RECUPERO]]/DATA_MARZO_202651[[#This Row],[META]]</f>
        <v>0.78362872340425538</v>
      </c>
      <c r="N59" s="5">
        <f>6-ROUNDUP(_xlfn.RANK.EQ(DATA_MARZO_202651[[#This Row],[AL_AC]],DATA_MARZO_202651[AL_AC],0)/(COUNTA(DATA_MARZO_202651[AL_AC])/5),0)</f>
        <v>3</v>
      </c>
      <c r="O59" s="54" t="str">
        <f>IFERROR(VLOOKUP(DATA_MARZO_202651[[#This Row],[ASER_]],$B:$G,4,0),"")</f>
        <v>SANDY</v>
      </c>
      <c r="P59" s="6">
        <f>SUM(DATA_MARZO_202651[[#This Row],[1]:[30]])</f>
        <v>73661.100000000006</v>
      </c>
      <c r="Q59" s="6">
        <f>VLOOKUP(DATA_MARZO_202651[[#This Row],[ASER_]],D1_MARZO_202655[[ASESOR_CRR]:[META]],2,0)</f>
        <v>94000</v>
      </c>
      <c r="R59" t="s">
        <v>78</v>
      </c>
      <c r="U59">
        <v>6000</v>
      </c>
      <c r="V59">
        <v>8750</v>
      </c>
      <c r="X59">
        <v>2345</v>
      </c>
      <c r="Z59">
        <v>10750</v>
      </c>
      <c r="AB59" s="6">
        <v>496</v>
      </c>
      <c r="AC59" s="6">
        <v>1800</v>
      </c>
      <c r="AD59" s="6"/>
      <c r="AE59" s="6"/>
      <c r="AF59" s="6"/>
      <c r="AG59" s="6">
        <v>2800</v>
      </c>
      <c r="AH59" s="6">
        <v>17350.099999999999</v>
      </c>
      <c r="AI59" s="6">
        <v>9000</v>
      </c>
      <c r="AJ59" s="6"/>
      <c r="AK59" s="6">
        <v>800</v>
      </c>
      <c r="AL59" s="6"/>
      <c r="AM59" s="6"/>
      <c r="AN59" s="6">
        <v>1820</v>
      </c>
      <c r="AO59" s="6">
        <v>500</v>
      </c>
      <c r="AP59" s="6">
        <v>4000</v>
      </c>
      <c r="AQ59" s="6"/>
      <c r="AR59" s="6">
        <v>4000</v>
      </c>
      <c r="AU59">
        <v>3250</v>
      </c>
      <c r="AV59" s="54" t="str" cm="1">
        <f t="array" ref="AV59">IFERROR(VLOOKUP(DATA_MARZO_202651[[#This Row],[ASER_]],_xlfn._xlws.FILTER(PLANTILLA[[ASESOR]:[FECHA DE CESE]],PLANTILLA[FECHA]=_xlfn.CONCAT($M$3,"_",_xlfn.IFS($N$3="ENERO","1",$N$3="FEBRERO","2",$N$3="MARZO","3",$N$3="ABRIL","4",$N$3="MAYO","5",$N$3="JUNIO","6",$N$3="JULIO","7",$N$3="AGOSTO","8",$N$3="SETIEMBRE","9",$N$3="OCTUBRE","10",$N$3="NOVIEMBRE","11",$N$3="DICIEMBRE","12"))),8,0),"")</f>
        <v>S0 - BBVA</v>
      </c>
      <c r="CM59" t="s">
        <v>636</v>
      </c>
      <c r="CN59" t="s">
        <v>6</v>
      </c>
      <c r="CO59" t="s">
        <v>97</v>
      </c>
      <c r="CP59">
        <v>46108</v>
      </c>
      <c r="CQ59">
        <v>1</v>
      </c>
      <c r="CR59">
        <v>1</v>
      </c>
      <c r="CT59">
        <v>1</v>
      </c>
      <c r="CV59">
        <v>1.5046296296296297E-4</v>
      </c>
      <c r="CW59">
        <v>1.5046296296296297E-4</v>
      </c>
      <c r="CX59">
        <v>0.23395833333333332</v>
      </c>
      <c r="CY59">
        <v>0.13954861111111111</v>
      </c>
      <c r="CZ59">
        <v>111</v>
      </c>
      <c r="DA59">
        <v>184</v>
      </c>
      <c r="DB59">
        <v>24</v>
      </c>
      <c r="DC59" t="s">
        <v>687</v>
      </c>
      <c r="DD59">
        <v>17796</v>
      </c>
      <c r="DE59">
        <v>0.2162</v>
      </c>
      <c r="DF59">
        <v>4</v>
      </c>
      <c r="DG59">
        <v>0.16669999999999999</v>
      </c>
      <c r="DH59">
        <v>17800</v>
      </c>
      <c r="DI59">
        <v>4450</v>
      </c>
      <c r="DJ59">
        <v>18595</v>
      </c>
      <c r="DK59">
        <v>1.0447</v>
      </c>
      <c r="DL59">
        <v>0.15140000000000001</v>
      </c>
      <c r="DM59">
        <v>96</v>
      </c>
      <c r="DN59">
        <v>4649</v>
      </c>
    </row>
    <row r="60" spans="1:118" x14ac:dyDescent="0.25">
      <c r="A60" s="34"/>
      <c r="B60" s="34"/>
      <c r="C60" s="35"/>
      <c r="D60" s="35"/>
      <c r="E60" s="35"/>
      <c r="M60" s="5">
        <f>DATA_MARZO_202651[[#This Row],[RECUPERO]]/DATA_MARZO_202651[[#This Row],[META]]</f>
        <v>0.78377142857142856</v>
      </c>
      <c r="N60" s="5">
        <f>6-ROUNDUP(_xlfn.RANK.EQ(DATA_MARZO_202651[[#This Row],[AL_AC]],DATA_MARZO_202651[AL_AC],0)/(COUNTA(DATA_MARZO_202651[AL_AC])/5),0)</f>
        <v>3</v>
      </c>
      <c r="O60" s="54" t="str">
        <f>IFERROR(VLOOKUP(DATA_MARZO_202651[[#This Row],[ASER_]],$B:$G,4,0),"")</f>
        <v>LEONOR</v>
      </c>
      <c r="P60" s="6">
        <f>SUM(DATA_MARZO_202651[[#This Row],[1]:[30]])</f>
        <v>27432</v>
      </c>
      <c r="Q60" s="6">
        <f>VLOOKUP(DATA_MARZO_202651[[#This Row],[ASER_]],D1_MARZO_202655[[ASESOR_CRR]:[META]],2,0)</f>
        <v>35000</v>
      </c>
      <c r="R60" t="s">
        <v>48</v>
      </c>
      <c r="V60">
        <v>550</v>
      </c>
      <c r="X60">
        <v>3700</v>
      </c>
      <c r="Z60">
        <v>1000</v>
      </c>
      <c r="AB60" s="6">
        <v>770</v>
      </c>
      <c r="AC60" s="6">
        <v>4800</v>
      </c>
      <c r="AD60" s="6">
        <v>1500</v>
      </c>
      <c r="AE60" s="6"/>
      <c r="AF60" s="6"/>
      <c r="AG60" s="6"/>
      <c r="AH60" s="6">
        <v>1300</v>
      </c>
      <c r="AI60" s="6">
        <v>660</v>
      </c>
      <c r="AJ60" s="6"/>
      <c r="AK60" s="6">
        <v>1300</v>
      </c>
      <c r="AL60" s="6"/>
      <c r="AM60" s="6"/>
      <c r="AN60" s="6"/>
      <c r="AO60" s="6">
        <v>1000</v>
      </c>
      <c r="AP60" s="6">
        <v>800</v>
      </c>
      <c r="AQ60" s="6"/>
      <c r="AR60" s="6">
        <v>2000</v>
      </c>
      <c r="AS60">
        <v>700</v>
      </c>
      <c r="AU60">
        <v>7352</v>
      </c>
      <c r="AV60" s="54" t="str" cm="1">
        <f t="array" ref="AV60">IFERROR(VLOOKUP(DATA_MARZO_202651[[#This Row],[ASER_]],_xlfn._xlws.FILTER(PLANTILLA[[ASESOR]:[FECHA DE CESE]],PLANTILLA[FECHA]=_xlfn.CONCAT($M$3,"_",_xlfn.IFS($N$3="ENERO","1",$N$3="FEBRERO","2",$N$3="MARZO","3",$N$3="ABRIL","4",$N$3="MAYO","5",$N$3="JUNIO","6",$N$3="JULIO","7",$N$3="AGOSTO","8",$N$3="SETIEMBRE","9",$N$3="OCTUBRE","10",$N$3="NOVIEMBRE","11",$N$3="DICIEMBRE","12"))),8,0),"")</f>
        <v>S2-3-4 BANCO</v>
      </c>
      <c r="CM60" t="s">
        <v>636</v>
      </c>
      <c r="CN60" t="s">
        <v>7</v>
      </c>
      <c r="CO60" t="s">
        <v>49</v>
      </c>
      <c r="CP60">
        <v>46107</v>
      </c>
      <c r="CQ60">
        <v>1</v>
      </c>
      <c r="CR60">
        <v>1</v>
      </c>
      <c r="CT60">
        <v>1</v>
      </c>
      <c r="CV60">
        <v>0</v>
      </c>
      <c r="CW60">
        <v>0</v>
      </c>
      <c r="CX60">
        <v>0.18091435185185184</v>
      </c>
      <c r="CY60">
        <v>0.15565972222222221</v>
      </c>
      <c r="CZ60">
        <v>37</v>
      </c>
      <c r="DA60">
        <v>71</v>
      </c>
      <c r="DB60">
        <v>7</v>
      </c>
      <c r="DC60" t="s">
        <v>850</v>
      </c>
      <c r="DD60">
        <v>26694</v>
      </c>
      <c r="DE60">
        <v>0.18920000000000001</v>
      </c>
      <c r="DF60">
        <v>1</v>
      </c>
      <c r="DG60">
        <v>0.1429</v>
      </c>
      <c r="DH60">
        <v>1500</v>
      </c>
      <c r="DI60">
        <v>1500</v>
      </c>
      <c r="DJ60">
        <v>1730</v>
      </c>
      <c r="DK60">
        <v>1.1533</v>
      </c>
      <c r="DL60">
        <v>0.1171</v>
      </c>
      <c r="DM60">
        <v>96</v>
      </c>
      <c r="DN60">
        <v>1730</v>
      </c>
    </row>
    <row r="61" spans="1:118" x14ac:dyDescent="0.25">
      <c r="A61" s="34"/>
      <c r="B61" s="34"/>
      <c r="C61" s="35"/>
      <c r="D61" s="35"/>
      <c r="E61" s="35"/>
      <c r="M61" s="5">
        <f>DATA_MARZO_202651[[#This Row],[RECUPERO]]/DATA_MARZO_202651[[#This Row],[META]]</f>
        <v>1.0562570212765958</v>
      </c>
      <c r="N61" s="5">
        <f>6-ROUNDUP(_xlfn.RANK.EQ(DATA_MARZO_202651[[#This Row],[AL_AC]],DATA_MARZO_202651[AL_AC],0)/(COUNTA(DATA_MARZO_202651[AL_AC])/5),0)</f>
        <v>4</v>
      </c>
      <c r="O61" s="54" t="str">
        <f>IFERROR(VLOOKUP(DATA_MARZO_202651[[#This Row],[ASER_]],$B:$G,4,0),"")</f>
        <v>SANDY</v>
      </c>
      <c r="P61" s="6">
        <f>SUM(DATA_MARZO_202651[[#This Row],[1]:[30]])</f>
        <v>99288.16</v>
      </c>
      <c r="Q61" s="6">
        <f>VLOOKUP(DATA_MARZO_202651[[#This Row],[ASER_]],D1_MARZO_202655[[ASESOR_CRR]:[META]],2,0)</f>
        <v>94000</v>
      </c>
      <c r="R61" t="s">
        <v>76</v>
      </c>
      <c r="U61">
        <v>3450</v>
      </c>
      <c r="V61">
        <v>8660.16</v>
      </c>
      <c r="W61">
        <v>16000</v>
      </c>
      <c r="Z61">
        <v>20000</v>
      </c>
      <c r="AA61">
        <v>4463</v>
      </c>
      <c r="AB61" s="6">
        <v>3500</v>
      </c>
      <c r="AC61" s="6"/>
      <c r="AD61" s="6"/>
      <c r="AE61" s="6"/>
      <c r="AF61" s="6"/>
      <c r="AG61" s="6">
        <v>1000</v>
      </c>
      <c r="AH61" s="6">
        <v>8515</v>
      </c>
      <c r="AI61" s="6"/>
      <c r="AJ61" s="6">
        <v>4000</v>
      </c>
      <c r="AK61" s="6">
        <v>400</v>
      </c>
      <c r="AL61" s="6"/>
      <c r="AM61" s="6"/>
      <c r="AN61" s="6">
        <v>8500</v>
      </c>
      <c r="AO61" s="6">
        <v>1000</v>
      </c>
      <c r="AP61" s="6">
        <v>9000</v>
      </c>
      <c r="AQ61" s="6">
        <v>8800</v>
      </c>
      <c r="AR61" s="6"/>
      <c r="AU61">
        <v>2000</v>
      </c>
      <c r="AV61" s="54" t="str" cm="1">
        <f t="array" ref="AV61">IFERROR(VLOOKUP(DATA_MARZO_202651[[#This Row],[ASER_]],_xlfn._xlws.FILTER(PLANTILLA[[ASESOR]:[FECHA DE CESE]],PLANTILLA[FECHA]=_xlfn.CONCAT($M$3,"_",_xlfn.IFS($N$3="ENERO","1",$N$3="FEBRERO","2",$N$3="MARZO","3",$N$3="ABRIL","4",$N$3="MAYO","5",$N$3="JUNIO","6",$N$3="JULIO","7",$N$3="AGOSTO","8",$N$3="SETIEMBRE","9",$N$3="OCTUBRE","10",$N$3="NOVIEMBRE","11",$N$3="DICIEMBRE","12"))),8,0),"")</f>
        <v>S0 - BBVA</v>
      </c>
      <c r="CM61" t="s">
        <v>636</v>
      </c>
      <c r="CN61" t="s">
        <v>7</v>
      </c>
      <c r="CO61" t="s">
        <v>73</v>
      </c>
      <c r="CP61">
        <v>46093</v>
      </c>
      <c r="CQ61">
        <v>1</v>
      </c>
      <c r="CR61">
        <v>1</v>
      </c>
      <c r="CT61">
        <v>1</v>
      </c>
      <c r="CV61">
        <v>1.2731481481481483E-3</v>
      </c>
      <c r="CW61">
        <v>1.2731481481481483E-3</v>
      </c>
      <c r="CX61">
        <v>0.23216435185185186</v>
      </c>
      <c r="CY61">
        <v>6.6747685185185188E-2</v>
      </c>
      <c r="CZ61">
        <v>51</v>
      </c>
      <c r="DA61">
        <v>71</v>
      </c>
      <c r="DB61">
        <v>10</v>
      </c>
      <c r="DC61">
        <v>1.6</v>
      </c>
      <c r="DD61">
        <v>17702</v>
      </c>
      <c r="DE61">
        <v>0.1961</v>
      </c>
      <c r="DF61">
        <v>2</v>
      </c>
      <c r="DG61">
        <v>0.2</v>
      </c>
      <c r="DH61">
        <v>2400</v>
      </c>
      <c r="DI61">
        <v>1200</v>
      </c>
      <c r="DJ61">
        <v>2400</v>
      </c>
      <c r="DK61">
        <v>1</v>
      </c>
      <c r="DL61">
        <v>0.128</v>
      </c>
      <c r="DM61">
        <v>96</v>
      </c>
      <c r="DN61">
        <v>1200</v>
      </c>
    </row>
    <row r="62" spans="1:118" x14ac:dyDescent="0.25">
      <c r="CM62" t="s">
        <v>636</v>
      </c>
      <c r="CN62" t="s">
        <v>7</v>
      </c>
      <c r="CO62" t="s">
        <v>73</v>
      </c>
      <c r="CP62">
        <v>46101</v>
      </c>
      <c r="CQ62">
        <v>1</v>
      </c>
      <c r="CR62">
        <v>1</v>
      </c>
      <c r="CS62">
        <v>1</v>
      </c>
      <c r="CV62">
        <v>7.1527777777777779E-3</v>
      </c>
      <c r="CW62">
        <v>7.1527777777777779E-3</v>
      </c>
      <c r="CX62">
        <v>0.19395833333333334</v>
      </c>
      <c r="CY62">
        <v>0.14527777777777778</v>
      </c>
      <c r="CZ62">
        <v>54</v>
      </c>
      <c r="DA62">
        <v>79</v>
      </c>
      <c r="DB62">
        <v>11</v>
      </c>
      <c r="DC62" t="s">
        <v>673</v>
      </c>
      <c r="DD62">
        <v>12387</v>
      </c>
      <c r="DE62">
        <v>0.20369999999999999</v>
      </c>
      <c r="DF62">
        <v>2</v>
      </c>
      <c r="DG62">
        <v>0.18179999999999999</v>
      </c>
      <c r="DH62">
        <v>2602</v>
      </c>
      <c r="DI62">
        <v>1301</v>
      </c>
      <c r="DJ62">
        <v>2602</v>
      </c>
      <c r="DK62">
        <v>1</v>
      </c>
      <c r="DL62">
        <v>0.41070000000000001</v>
      </c>
      <c r="DM62">
        <v>96</v>
      </c>
      <c r="DN62">
        <v>1301</v>
      </c>
    </row>
    <row r="63" spans="1:118" x14ac:dyDescent="0.25">
      <c r="CM63" t="s">
        <v>636</v>
      </c>
      <c r="CN63" t="s">
        <v>7</v>
      </c>
      <c r="CO63" t="s">
        <v>73</v>
      </c>
      <c r="CP63">
        <v>46108</v>
      </c>
      <c r="CQ63">
        <v>1</v>
      </c>
      <c r="CR63">
        <v>1</v>
      </c>
      <c r="CT63">
        <v>1</v>
      </c>
      <c r="CV63">
        <v>2.8703703703703703E-3</v>
      </c>
      <c r="CW63">
        <v>2.8703703703703703E-3</v>
      </c>
      <c r="CX63">
        <v>0.18113425925925927</v>
      </c>
      <c r="CY63">
        <v>0.1948148148148148</v>
      </c>
      <c r="CZ63">
        <v>53</v>
      </c>
      <c r="DA63">
        <v>70</v>
      </c>
      <c r="DB63">
        <v>8</v>
      </c>
      <c r="DC63">
        <v>1.375</v>
      </c>
      <c r="DD63">
        <v>28528</v>
      </c>
      <c r="DE63">
        <v>0.15090000000000001</v>
      </c>
      <c r="DF63">
        <v>1</v>
      </c>
      <c r="DG63">
        <v>0.125</v>
      </c>
      <c r="DH63">
        <v>3500</v>
      </c>
      <c r="DI63">
        <v>3500</v>
      </c>
      <c r="DJ63">
        <v>3500</v>
      </c>
      <c r="DK63">
        <v>1</v>
      </c>
      <c r="DL63">
        <v>0.1368</v>
      </c>
      <c r="DM63">
        <v>96</v>
      </c>
      <c r="DN63">
        <v>3500</v>
      </c>
    </row>
    <row r="64" spans="1:118" x14ac:dyDescent="0.25">
      <c r="CM64" t="s">
        <v>636</v>
      </c>
      <c r="CN64" t="s">
        <v>2</v>
      </c>
      <c r="CO64" t="s">
        <v>25</v>
      </c>
      <c r="CP64">
        <v>46099</v>
      </c>
      <c r="CQ64">
        <v>1</v>
      </c>
      <c r="CR64">
        <v>1</v>
      </c>
      <c r="CT64">
        <v>1</v>
      </c>
      <c r="CV64">
        <v>1.8287037037037037E-3</v>
      </c>
      <c r="CW64">
        <v>1.8287037037037037E-3</v>
      </c>
      <c r="CX64">
        <v>0.17180555555555554</v>
      </c>
      <c r="CY64">
        <v>0.13875000000000001</v>
      </c>
      <c r="CZ64">
        <v>58</v>
      </c>
      <c r="DA64">
        <v>117</v>
      </c>
      <c r="DB64">
        <v>19</v>
      </c>
      <c r="DC64" t="s">
        <v>683</v>
      </c>
      <c r="DD64">
        <v>42889</v>
      </c>
      <c r="DE64">
        <v>0.3276</v>
      </c>
      <c r="DF64">
        <v>2</v>
      </c>
      <c r="DG64">
        <v>0.1053</v>
      </c>
      <c r="DH64">
        <v>3000</v>
      </c>
      <c r="DI64">
        <v>1500</v>
      </c>
      <c r="DJ64">
        <v>3000</v>
      </c>
      <c r="DK64">
        <v>1</v>
      </c>
      <c r="DL64">
        <v>0.2215</v>
      </c>
      <c r="DM64">
        <v>92</v>
      </c>
      <c r="DN64">
        <v>1500</v>
      </c>
    </row>
    <row r="65" spans="91:118" x14ac:dyDescent="0.25">
      <c r="CM65" t="s">
        <v>636</v>
      </c>
      <c r="CN65" t="s">
        <v>6</v>
      </c>
      <c r="CO65" t="s">
        <v>19</v>
      </c>
      <c r="CP65">
        <v>46104</v>
      </c>
      <c r="CQ65">
        <v>1</v>
      </c>
      <c r="CR65">
        <v>1</v>
      </c>
      <c r="CT65">
        <v>1</v>
      </c>
      <c r="CV65">
        <v>0</v>
      </c>
      <c r="CW65">
        <v>0</v>
      </c>
      <c r="CX65">
        <v>0.21365740740740741</v>
      </c>
      <c r="CY65">
        <v>0.12175925925925926</v>
      </c>
      <c r="CZ65">
        <v>173</v>
      </c>
      <c r="DA65">
        <v>260</v>
      </c>
      <c r="DB65">
        <v>19</v>
      </c>
      <c r="DC65" t="s">
        <v>725</v>
      </c>
      <c r="DD65">
        <v>19690</v>
      </c>
      <c r="DE65">
        <v>0.10979999999999999</v>
      </c>
      <c r="DF65">
        <v>2</v>
      </c>
      <c r="DG65">
        <v>0.1053</v>
      </c>
      <c r="DH65">
        <v>2880</v>
      </c>
      <c r="DI65">
        <v>1440</v>
      </c>
      <c r="DJ65">
        <v>2880</v>
      </c>
      <c r="DK65">
        <v>1</v>
      </c>
      <c r="DL65">
        <v>0.27160000000000001</v>
      </c>
      <c r="DM65">
        <v>92</v>
      </c>
      <c r="DN65">
        <v>1440</v>
      </c>
    </row>
    <row r="66" spans="91:118" x14ac:dyDescent="0.25">
      <c r="CM66" t="s">
        <v>636</v>
      </c>
      <c r="CN66" t="s">
        <v>6</v>
      </c>
      <c r="CO66" t="s">
        <v>19</v>
      </c>
      <c r="CP66">
        <v>46107</v>
      </c>
      <c r="CQ66">
        <v>1</v>
      </c>
      <c r="CR66">
        <v>1</v>
      </c>
      <c r="CT66">
        <v>1</v>
      </c>
      <c r="CV66">
        <v>1.1574074074074075E-4</v>
      </c>
      <c r="CW66">
        <v>1.1574074074074075E-4</v>
      </c>
      <c r="CX66">
        <v>0.20730324074074075</v>
      </c>
      <c r="CY66">
        <v>0.15349537037037037</v>
      </c>
      <c r="CZ66">
        <v>151</v>
      </c>
      <c r="DA66">
        <v>246</v>
      </c>
      <c r="DB66">
        <v>15</v>
      </c>
      <c r="DC66">
        <v>2</v>
      </c>
      <c r="DD66">
        <v>35544</v>
      </c>
      <c r="DE66">
        <v>9.9299999999999999E-2</v>
      </c>
      <c r="DF66">
        <v>1</v>
      </c>
      <c r="DG66">
        <v>6.6699999999999995E-2</v>
      </c>
      <c r="DH66">
        <v>2300</v>
      </c>
      <c r="DI66">
        <v>2300</v>
      </c>
      <c r="DJ66">
        <v>2300</v>
      </c>
      <c r="DK66">
        <v>1</v>
      </c>
      <c r="DL66">
        <v>0.22170000000000001</v>
      </c>
      <c r="DM66">
        <v>92</v>
      </c>
      <c r="DN66">
        <v>2300</v>
      </c>
    </row>
    <row r="67" spans="91:118" x14ac:dyDescent="0.25">
      <c r="CM67" t="s">
        <v>636</v>
      </c>
      <c r="CN67" t="s">
        <v>6</v>
      </c>
      <c r="CO67" t="s">
        <v>80</v>
      </c>
      <c r="CP67">
        <v>46099</v>
      </c>
      <c r="CQ67">
        <v>1</v>
      </c>
      <c r="CR67">
        <v>1</v>
      </c>
      <c r="CT67">
        <v>1</v>
      </c>
      <c r="CV67">
        <v>6.9444444444444444E-5</v>
      </c>
      <c r="CW67">
        <v>6.9444444444444444E-5</v>
      </c>
      <c r="CX67">
        <v>0.19922453703703705</v>
      </c>
      <c r="CY67">
        <v>0.19393518518518518</v>
      </c>
      <c r="CZ67">
        <v>77</v>
      </c>
      <c r="DA67">
        <v>118</v>
      </c>
      <c r="DB67">
        <v>10</v>
      </c>
      <c r="DC67">
        <v>2.2999999999999998</v>
      </c>
      <c r="DD67">
        <v>33335</v>
      </c>
      <c r="DE67">
        <v>0.12989999999999999</v>
      </c>
      <c r="DF67">
        <v>1</v>
      </c>
      <c r="DG67">
        <v>0.1</v>
      </c>
      <c r="DH67">
        <v>550</v>
      </c>
      <c r="DI67">
        <v>550</v>
      </c>
      <c r="DJ67">
        <v>550</v>
      </c>
      <c r="DK67">
        <v>1</v>
      </c>
      <c r="DL67">
        <v>0.1799</v>
      </c>
      <c r="DM67">
        <v>92</v>
      </c>
      <c r="DN67">
        <v>550</v>
      </c>
    </row>
    <row r="68" spans="91:118" x14ac:dyDescent="0.25">
      <c r="CM68" t="s">
        <v>636</v>
      </c>
      <c r="CN68" t="s">
        <v>6</v>
      </c>
      <c r="CO68" t="s">
        <v>80</v>
      </c>
      <c r="CP68">
        <v>46108</v>
      </c>
      <c r="CQ68">
        <v>1</v>
      </c>
      <c r="CR68">
        <v>1</v>
      </c>
      <c r="CT68">
        <v>1</v>
      </c>
      <c r="CV68">
        <v>5.7870370370370373E-5</v>
      </c>
      <c r="CW68">
        <v>5.7870370370370373E-5</v>
      </c>
      <c r="CX68">
        <v>0.21280092592592592</v>
      </c>
      <c r="CY68">
        <v>0.13893518518518519</v>
      </c>
      <c r="CZ68">
        <v>65</v>
      </c>
      <c r="DA68">
        <v>110</v>
      </c>
      <c r="DB68">
        <v>15</v>
      </c>
      <c r="DC68" t="s">
        <v>742</v>
      </c>
      <c r="DD68">
        <v>39257</v>
      </c>
      <c r="DE68">
        <v>0.23080000000000001</v>
      </c>
      <c r="DF68">
        <v>1</v>
      </c>
      <c r="DG68">
        <v>6.6699999999999995E-2</v>
      </c>
      <c r="DH68">
        <v>654</v>
      </c>
      <c r="DI68">
        <v>654</v>
      </c>
      <c r="DJ68">
        <v>654</v>
      </c>
      <c r="DK68">
        <v>1</v>
      </c>
      <c r="DL68">
        <v>0.18010000000000001</v>
      </c>
      <c r="DM68">
        <v>92</v>
      </c>
      <c r="DN68">
        <v>654</v>
      </c>
    </row>
    <row r="69" spans="91:118" x14ac:dyDescent="0.25">
      <c r="CM69" t="s">
        <v>636</v>
      </c>
      <c r="CN69" t="s">
        <v>6</v>
      </c>
      <c r="CO69" t="s">
        <v>81</v>
      </c>
      <c r="CP69">
        <v>46092</v>
      </c>
      <c r="CQ69">
        <v>1</v>
      </c>
      <c r="CR69">
        <v>1</v>
      </c>
      <c r="CT69">
        <v>1</v>
      </c>
      <c r="CV69">
        <v>1.273148148148148E-4</v>
      </c>
      <c r="CW69">
        <v>1.273148148148148E-4</v>
      </c>
      <c r="CX69">
        <v>0.27319444444444446</v>
      </c>
      <c r="CY69">
        <v>8.3287037037037034E-2</v>
      </c>
      <c r="CZ69">
        <v>58</v>
      </c>
      <c r="DA69">
        <v>132</v>
      </c>
      <c r="DB69">
        <v>10</v>
      </c>
      <c r="DC69">
        <v>2.2999999999999998</v>
      </c>
      <c r="DD69">
        <v>22683</v>
      </c>
      <c r="DE69">
        <v>0.1724</v>
      </c>
      <c r="DF69">
        <v>2</v>
      </c>
      <c r="DG69">
        <v>0.2</v>
      </c>
      <c r="DH69">
        <v>2200</v>
      </c>
      <c r="DI69">
        <v>1100</v>
      </c>
      <c r="DJ69">
        <v>2200</v>
      </c>
      <c r="DK69">
        <v>1</v>
      </c>
      <c r="DL69">
        <v>0.1086</v>
      </c>
      <c r="DM69">
        <v>92</v>
      </c>
      <c r="DN69">
        <v>1100</v>
      </c>
    </row>
    <row r="70" spans="91:118" x14ac:dyDescent="0.25">
      <c r="CM70" t="s">
        <v>636</v>
      </c>
      <c r="CN70" t="s">
        <v>6</v>
      </c>
      <c r="CO70" t="s">
        <v>81</v>
      </c>
      <c r="CP70">
        <v>46097</v>
      </c>
      <c r="CQ70">
        <v>1</v>
      </c>
      <c r="CR70">
        <v>1</v>
      </c>
      <c r="CT70">
        <v>1</v>
      </c>
      <c r="CV70">
        <v>8.1018518518518516E-5</v>
      </c>
      <c r="CW70">
        <v>8.1018518518518516E-5</v>
      </c>
      <c r="CX70">
        <v>0.35327546296296297</v>
      </c>
      <c r="CY70">
        <v>9.6099537037037039E-2</v>
      </c>
      <c r="CZ70">
        <v>89</v>
      </c>
      <c r="DA70">
        <v>163</v>
      </c>
      <c r="DB70">
        <v>21</v>
      </c>
      <c r="DC70" t="s">
        <v>962</v>
      </c>
      <c r="DD70">
        <v>19134</v>
      </c>
      <c r="DE70">
        <v>0.23599999999999999</v>
      </c>
      <c r="DF70">
        <v>1</v>
      </c>
      <c r="DG70">
        <v>4.7600000000000003E-2</v>
      </c>
      <c r="DH70">
        <v>420</v>
      </c>
      <c r="DI70">
        <v>420</v>
      </c>
      <c r="DJ70">
        <v>420</v>
      </c>
      <c r="DK70">
        <v>1</v>
      </c>
      <c r="DL70">
        <v>0.1802</v>
      </c>
      <c r="DM70">
        <v>92</v>
      </c>
      <c r="DN70">
        <v>420</v>
      </c>
    </row>
    <row r="71" spans="91:118" x14ac:dyDescent="0.25">
      <c r="CM71" t="s">
        <v>636</v>
      </c>
      <c r="CN71" t="s">
        <v>6</v>
      </c>
      <c r="CO71" t="s">
        <v>37</v>
      </c>
      <c r="CP71">
        <v>46098</v>
      </c>
      <c r="CQ71">
        <v>1</v>
      </c>
      <c r="CR71">
        <v>1</v>
      </c>
      <c r="CT71">
        <v>1</v>
      </c>
      <c r="CV71">
        <v>1.273148148148148E-4</v>
      </c>
      <c r="CW71">
        <v>1.273148148148148E-4</v>
      </c>
      <c r="CX71">
        <v>0.19443287037037038</v>
      </c>
      <c r="CY71">
        <v>0.15363425925925925</v>
      </c>
      <c r="CZ71">
        <v>67</v>
      </c>
      <c r="DA71">
        <v>143</v>
      </c>
      <c r="DB71">
        <v>14</v>
      </c>
      <c r="DC71" t="s">
        <v>796</v>
      </c>
      <c r="DD71">
        <v>29690</v>
      </c>
      <c r="DE71">
        <v>0.20899999999999999</v>
      </c>
      <c r="DF71">
        <v>1</v>
      </c>
      <c r="DG71">
        <v>7.1400000000000005E-2</v>
      </c>
      <c r="DH71">
        <v>3800</v>
      </c>
      <c r="DI71">
        <v>3800</v>
      </c>
      <c r="DJ71">
        <v>3800</v>
      </c>
      <c r="DK71">
        <v>1</v>
      </c>
      <c r="DL71">
        <v>0.2243</v>
      </c>
      <c r="DM71">
        <v>92</v>
      </c>
      <c r="DN71">
        <v>3800</v>
      </c>
    </row>
    <row r="72" spans="91:118" x14ac:dyDescent="0.25">
      <c r="CM72" t="s">
        <v>636</v>
      </c>
      <c r="CN72" t="s">
        <v>6</v>
      </c>
      <c r="CO72" t="s">
        <v>50</v>
      </c>
      <c r="CP72">
        <v>46100</v>
      </c>
      <c r="CQ72">
        <v>1</v>
      </c>
      <c r="CR72">
        <v>1</v>
      </c>
      <c r="CS72">
        <v>1</v>
      </c>
      <c r="CV72">
        <v>2.5937499999999999E-2</v>
      </c>
      <c r="CW72">
        <v>2.5937499999999999E-2</v>
      </c>
      <c r="CX72">
        <v>0.15726851851851853</v>
      </c>
      <c r="CY72">
        <v>0.11938657407407408</v>
      </c>
      <c r="CZ72">
        <v>59</v>
      </c>
      <c r="DA72">
        <v>117</v>
      </c>
      <c r="DB72">
        <v>11</v>
      </c>
      <c r="DC72" t="s">
        <v>695</v>
      </c>
      <c r="DD72">
        <v>20826</v>
      </c>
      <c r="DE72">
        <v>0.18640000000000001</v>
      </c>
      <c r="DF72">
        <v>1</v>
      </c>
      <c r="DG72">
        <v>9.0899999999999995E-2</v>
      </c>
      <c r="DH72">
        <v>3500</v>
      </c>
      <c r="DI72">
        <v>3500</v>
      </c>
      <c r="DJ72">
        <v>3500</v>
      </c>
      <c r="DK72">
        <v>1</v>
      </c>
      <c r="DL72">
        <v>0.36159999999999998</v>
      </c>
      <c r="DM72">
        <v>92</v>
      </c>
      <c r="DN72">
        <v>3500</v>
      </c>
    </row>
    <row r="73" spans="91:118" x14ac:dyDescent="0.25">
      <c r="CM73" t="s">
        <v>636</v>
      </c>
      <c r="CN73" t="s">
        <v>6</v>
      </c>
      <c r="CO73" t="s">
        <v>34</v>
      </c>
      <c r="CP73">
        <v>46085</v>
      </c>
      <c r="CQ73">
        <v>1</v>
      </c>
      <c r="CR73">
        <v>1</v>
      </c>
      <c r="CT73">
        <v>1</v>
      </c>
      <c r="CV73">
        <v>2.3148148148148147E-5</v>
      </c>
      <c r="CW73">
        <v>2.3148148148148147E-5</v>
      </c>
      <c r="CX73">
        <v>0.23523148148148149</v>
      </c>
      <c r="CY73">
        <v>0.10900462962962963</v>
      </c>
      <c r="CZ73">
        <v>81</v>
      </c>
      <c r="DA73">
        <v>117</v>
      </c>
      <c r="DB73">
        <v>9</v>
      </c>
      <c r="DC73" t="s">
        <v>707</v>
      </c>
      <c r="DD73">
        <v>13961</v>
      </c>
      <c r="DE73">
        <v>0.1111</v>
      </c>
      <c r="DF73">
        <v>2</v>
      </c>
      <c r="DG73">
        <v>0.22220000000000001</v>
      </c>
      <c r="DH73">
        <v>1450</v>
      </c>
      <c r="DI73">
        <v>725</v>
      </c>
      <c r="DJ73">
        <v>1450</v>
      </c>
      <c r="DK73">
        <v>1</v>
      </c>
      <c r="DL73">
        <v>0.24560000000000001</v>
      </c>
      <c r="DM73">
        <v>92</v>
      </c>
      <c r="DN73">
        <v>725</v>
      </c>
    </row>
    <row r="74" spans="91:118" x14ac:dyDescent="0.25">
      <c r="CM74" t="s">
        <v>636</v>
      </c>
      <c r="CN74" t="s">
        <v>6</v>
      </c>
      <c r="CO74" t="s">
        <v>34</v>
      </c>
      <c r="CP74">
        <v>46106</v>
      </c>
      <c r="CQ74">
        <v>1</v>
      </c>
      <c r="CR74">
        <v>1</v>
      </c>
      <c r="CT74">
        <v>1</v>
      </c>
      <c r="CV74">
        <v>5.7870370370370373E-5</v>
      </c>
      <c r="CW74">
        <v>5.7870370370370373E-5</v>
      </c>
      <c r="CX74">
        <v>0.11642361111111112</v>
      </c>
      <c r="CY74">
        <v>0.17678240740740742</v>
      </c>
      <c r="CZ74">
        <v>118</v>
      </c>
      <c r="DA74">
        <v>151</v>
      </c>
      <c r="DB74">
        <v>3</v>
      </c>
      <c r="DC74">
        <v>3</v>
      </c>
      <c r="DD74">
        <v>21361</v>
      </c>
      <c r="DE74">
        <v>2.5399999999999999E-2</v>
      </c>
      <c r="DF74">
        <v>1</v>
      </c>
      <c r="DG74">
        <v>0.33329999999999999</v>
      </c>
      <c r="DH74">
        <v>2500</v>
      </c>
      <c r="DI74">
        <v>2500</v>
      </c>
      <c r="DJ74">
        <v>2500</v>
      </c>
      <c r="DK74">
        <v>1</v>
      </c>
      <c r="DL74">
        <v>0.1065</v>
      </c>
      <c r="DM74">
        <v>92</v>
      </c>
      <c r="DN74">
        <v>2500</v>
      </c>
    </row>
    <row r="75" spans="91:118" x14ac:dyDescent="0.25">
      <c r="CM75" t="s">
        <v>636</v>
      </c>
      <c r="CN75" t="s">
        <v>7</v>
      </c>
      <c r="CO75" t="s">
        <v>495</v>
      </c>
      <c r="CP75">
        <v>46094</v>
      </c>
      <c r="CQ75">
        <v>1</v>
      </c>
      <c r="CR75">
        <v>1</v>
      </c>
      <c r="CT75">
        <v>1</v>
      </c>
      <c r="CV75">
        <v>0</v>
      </c>
      <c r="CW75">
        <v>0</v>
      </c>
      <c r="CX75">
        <v>0.18435185185185185</v>
      </c>
      <c r="CY75">
        <v>0.17460648148148147</v>
      </c>
      <c r="CZ75">
        <v>136</v>
      </c>
      <c r="DA75">
        <v>295</v>
      </c>
      <c r="DB75">
        <v>41</v>
      </c>
      <c r="DC75" t="s">
        <v>872</v>
      </c>
      <c r="DD75">
        <v>8447</v>
      </c>
      <c r="DE75">
        <v>0.30149999999999999</v>
      </c>
      <c r="DF75">
        <v>3</v>
      </c>
      <c r="DG75">
        <v>7.3200000000000001E-2</v>
      </c>
      <c r="DH75">
        <v>450</v>
      </c>
      <c r="DI75">
        <v>150</v>
      </c>
      <c r="DJ75">
        <v>450</v>
      </c>
      <c r="DK75">
        <v>1</v>
      </c>
      <c r="DL75">
        <v>0.1691</v>
      </c>
      <c r="DM75">
        <v>92</v>
      </c>
      <c r="DN75">
        <v>150</v>
      </c>
    </row>
    <row r="76" spans="91:118" x14ac:dyDescent="0.25">
      <c r="CM76" t="s">
        <v>636</v>
      </c>
      <c r="CN76" t="s">
        <v>7</v>
      </c>
      <c r="CO76" t="s">
        <v>495</v>
      </c>
      <c r="CP76">
        <v>46099</v>
      </c>
      <c r="CQ76">
        <v>1</v>
      </c>
      <c r="CR76">
        <v>1</v>
      </c>
      <c r="CT76">
        <v>1</v>
      </c>
      <c r="CV76">
        <v>1.6203703703703703E-4</v>
      </c>
      <c r="CW76">
        <v>1.6203703703703703E-4</v>
      </c>
      <c r="CX76">
        <v>0.19740740740740742</v>
      </c>
      <c r="CY76">
        <v>0.14804398148148148</v>
      </c>
      <c r="CZ76">
        <v>203</v>
      </c>
      <c r="DA76">
        <v>369</v>
      </c>
      <c r="DB76">
        <v>38</v>
      </c>
      <c r="DC76">
        <v>1.5</v>
      </c>
      <c r="DD76">
        <v>7454</v>
      </c>
      <c r="DE76">
        <v>0.18720000000000001</v>
      </c>
      <c r="DM76">
        <v>92</v>
      </c>
    </row>
    <row r="77" spans="91:118" x14ac:dyDescent="0.25">
      <c r="CM77" t="s">
        <v>636</v>
      </c>
      <c r="CN77" t="s">
        <v>7</v>
      </c>
      <c r="CO77" t="s">
        <v>51</v>
      </c>
      <c r="CP77">
        <v>46099</v>
      </c>
      <c r="CQ77">
        <v>1</v>
      </c>
      <c r="CR77">
        <v>1</v>
      </c>
      <c r="CT77">
        <v>1</v>
      </c>
      <c r="CV77">
        <v>0</v>
      </c>
      <c r="CW77">
        <v>0</v>
      </c>
      <c r="CX77">
        <v>0.2137037037037037</v>
      </c>
      <c r="CY77">
        <v>0.10012731481481481</v>
      </c>
      <c r="CZ77">
        <v>88</v>
      </c>
      <c r="DA77">
        <v>176</v>
      </c>
      <c r="DB77">
        <v>8</v>
      </c>
      <c r="DC77">
        <v>1.625</v>
      </c>
      <c r="DD77">
        <v>43348</v>
      </c>
      <c r="DE77">
        <v>9.0899999999999995E-2</v>
      </c>
      <c r="DM77">
        <v>92</v>
      </c>
    </row>
    <row r="78" spans="91:118" x14ac:dyDescent="0.25">
      <c r="CM78" t="s">
        <v>636</v>
      </c>
      <c r="CN78" t="s">
        <v>7</v>
      </c>
      <c r="CO78" t="s">
        <v>49</v>
      </c>
      <c r="CP78">
        <v>46094</v>
      </c>
      <c r="CQ78">
        <v>1</v>
      </c>
      <c r="CR78">
        <v>1</v>
      </c>
      <c r="CT78">
        <v>1</v>
      </c>
      <c r="CV78">
        <v>0</v>
      </c>
      <c r="CW78">
        <v>0</v>
      </c>
      <c r="CX78">
        <v>0.24126157407407409</v>
      </c>
      <c r="CY78">
        <v>0.12375</v>
      </c>
      <c r="CZ78">
        <v>61</v>
      </c>
      <c r="DA78">
        <v>96</v>
      </c>
      <c r="DB78">
        <v>15</v>
      </c>
      <c r="DC78" t="s">
        <v>674</v>
      </c>
      <c r="DD78">
        <v>27746</v>
      </c>
      <c r="DE78">
        <v>0.24590000000000001</v>
      </c>
      <c r="DF78">
        <v>1</v>
      </c>
      <c r="DG78">
        <v>6.6699999999999995E-2</v>
      </c>
      <c r="DH78">
        <v>500</v>
      </c>
      <c r="DI78">
        <v>500</v>
      </c>
      <c r="DJ78">
        <v>500</v>
      </c>
      <c r="DK78">
        <v>1</v>
      </c>
      <c r="DL78">
        <v>0.21590000000000001</v>
      </c>
      <c r="DM78">
        <v>92</v>
      </c>
      <c r="DN78">
        <v>500</v>
      </c>
    </row>
    <row r="79" spans="91:118" x14ac:dyDescent="0.25">
      <c r="CM79" t="s">
        <v>636</v>
      </c>
      <c r="CN79" t="s">
        <v>7</v>
      </c>
      <c r="CO79" t="s">
        <v>565</v>
      </c>
      <c r="CP79">
        <v>46099</v>
      </c>
      <c r="CQ79">
        <v>1</v>
      </c>
      <c r="CR79">
        <v>1</v>
      </c>
      <c r="CT79">
        <v>1</v>
      </c>
      <c r="CV79">
        <v>1.8518518518518518E-4</v>
      </c>
      <c r="CW79">
        <v>1.8518518518518518E-4</v>
      </c>
      <c r="CX79">
        <v>0.18135416666666668</v>
      </c>
      <c r="CY79">
        <v>0.10104166666666667</v>
      </c>
      <c r="CZ79">
        <v>131</v>
      </c>
      <c r="DA79">
        <v>224</v>
      </c>
      <c r="DB79">
        <v>45</v>
      </c>
      <c r="DC79" t="s">
        <v>674</v>
      </c>
      <c r="DD79">
        <v>19674</v>
      </c>
      <c r="DE79">
        <v>0.34350000000000003</v>
      </c>
      <c r="DM79">
        <v>92</v>
      </c>
    </row>
    <row r="80" spans="91:118" x14ac:dyDescent="0.25">
      <c r="CM80" t="s">
        <v>636</v>
      </c>
      <c r="CN80" t="s">
        <v>7</v>
      </c>
      <c r="CO80" t="s">
        <v>549</v>
      </c>
      <c r="CP80">
        <v>46099</v>
      </c>
      <c r="CQ80">
        <v>1</v>
      </c>
      <c r="CR80">
        <v>1</v>
      </c>
      <c r="CT80">
        <v>1</v>
      </c>
      <c r="CV80">
        <v>2.3148148148148149E-4</v>
      </c>
      <c r="CW80">
        <v>2.3148148148148149E-4</v>
      </c>
      <c r="CX80">
        <v>0.19259259259259259</v>
      </c>
      <c r="CY80">
        <v>0.12228009259259259</v>
      </c>
      <c r="CZ80">
        <v>180</v>
      </c>
      <c r="DA80">
        <v>241</v>
      </c>
      <c r="DB80">
        <v>29</v>
      </c>
      <c r="DC80" t="s">
        <v>969</v>
      </c>
      <c r="DD80">
        <v>13618</v>
      </c>
      <c r="DE80">
        <v>0.16109999999999999</v>
      </c>
      <c r="DM80">
        <v>92</v>
      </c>
    </row>
    <row r="81" spans="91:118" x14ac:dyDescent="0.25">
      <c r="CM81" t="s">
        <v>636</v>
      </c>
      <c r="CN81" t="s">
        <v>7</v>
      </c>
      <c r="CO81" t="s">
        <v>73</v>
      </c>
      <c r="CP81">
        <v>46100</v>
      </c>
      <c r="CQ81">
        <v>1</v>
      </c>
      <c r="CR81">
        <v>1</v>
      </c>
      <c r="CS81">
        <v>1</v>
      </c>
      <c r="CV81">
        <v>8.4375000000000006E-3</v>
      </c>
      <c r="CW81">
        <v>8.4375000000000006E-3</v>
      </c>
      <c r="CX81">
        <v>0.23130787037037037</v>
      </c>
      <c r="CY81">
        <v>0.11055555555555556</v>
      </c>
      <c r="CZ81">
        <v>77</v>
      </c>
      <c r="DA81">
        <v>112</v>
      </c>
      <c r="DB81">
        <v>13</v>
      </c>
      <c r="DC81" t="s">
        <v>879</v>
      </c>
      <c r="DD81">
        <v>21002</v>
      </c>
      <c r="DE81">
        <v>0.16880000000000001</v>
      </c>
      <c r="DF81">
        <v>1</v>
      </c>
      <c r="DG81">
        <v>7.6899999999999996E-2</v>
      </c>
      <c r="DH81">
        <v>3500</v>
      </c>
      <c r="DI81">
        <v>3500</v>
      </c>
      <c r="DJ81">
        <v>3500</v>
      </c>
      <c r="DK81">
        <v>1</v>
      </c>
      <c r="DL81">
        <v>8.77E-2</v>
      </c>
      <c r="DM81">
        <v>92</v>
      </c>
      <c r="DN81">
        <v>3500</v>
      </c>
    </row>
    <row r="82" spans="91:118" x14ac:dyDescent="0.25">
      <c r="CM82" t="s">
        <v>636</v>
      </c>
      <c r="CN82" t="s">
        <v>7</v>
      </c>
      <c r="CO82" t="s">
        <v>557</v>
      </c>
      <c r="CP82">
        <v>46099</v>
      </c>
      <c r="CQ82">
        <v>1</v>
      </c>
      <c r="CR82">
        <v>1</v>
      </c>
      <c r="CT82">
        <v>1</v>
      </c>
      <c r="CV82">
        <v>0</v>
      </c>
      <c r="CW82">
        <v>0</v>
      </c>
      <c r="CX82">
        <v>0.16243055555555555</v>
      </c>
      <c r="CY82">
        <v>0.14445601851851853</v>
      </c>
      <c r="CZ82">
        <v>126</v>
      </c>
      <c r="DA82">
        <v>234</v>
      </c>
      <c r="DB82">
        <v>31</v>
      </c>
      <c r="DC82" t="s">
        <v>1019</v>
      </c>
      <c r="DD82">
        <v>7219</v>
      </c>
      <c r="DE82">
        <v>0.246</v>
      </c>
      <c r="DM82">
        <v>92</v>
      </c>
    </row>
    <row r="83" spans="91:118" x14ac:dyDescent="0.25">
      <c r="CM83" t="s">
        <v>636</v>
      </c>
      <c r="CN83" t="s">
        <v>7</v>
      </c>
      <c r="CO83" t="s">
        <v>48</v>
      </c>
      <c r="CP83">
        <v>46099</v>
      </c>
      <c r="CQ83">
        <v>1</v>
      </c>
      <c r="CR83">
        <v>1</v>
      </c>
      <c r="CT83">
        <v>1</v>
      </c>
      <c r="CV83">
        <v>1.3888888888888889E-4</v>
      </c>
      <c r="CW83">
        <v>1.3888888888888889E-4</v>
      </c>
      <c r="CX83">
        <v>0.22799768518518518</v>
      </c>
      <c r="CY83">
        <v>0.10930555555555556</v>
      </c>
      <c r="CZ83">
        <v>106</v>
      </c>
      <c r="DA83">
        <v>147</v>
      </c>
      <c r="DB83">
        <v>20</v>
      </c>
      <c r="DC83">
        <v>1.45</v>
      </c>
      <c r="DD83">
        <v>15784</v>
      </c>
      <c r="DE83">
        <v>0.18870000000000001</v>
      </c>
      <c r="DM83">
        <v>92</v>
      </c>
    </row>
    <row r="84" spans="91:118" x14ac:dyDescent="0.25">
      <c r="CM84" t="s">
        <v>636</v>
      </c>
      <c r="CN84" t="s">
        <v>3</v>
      </c>
      <c r="CO84" t="s">
        <v>174</v>
      </c>
      <c r="CP84">
        <v>46108</v>
      </c>
      <c r="CQ84">
        <v>1</v>
      </c>
      <c r="CR84">
        <v>1</v>
      </c>
      <c r="CT84">
        <v>1</v>
      </c>
      <c r="CV84">
        <v>0</v>
      </c>
      <c r="CW84">
        <v>0</v>
      </c>
      <c r="CX84">
        <v>0.18905092592592593</v>
      </c>
      <c r="CY84">
        <v>0.19793981481481482</v>
      </c>
      <c r="CZ84">
        <v>138</v>
      </c>
      <c r="DA84">
        <v>215</v>
      </c>
      <c r="DB84">
        <v>19</v>
      </c>
      <c r="DC84" t="s">
        <v>751</v>
      </c>
      <c r="DD84">
        <v>27503</v>
      </c>
      <c r="DE84">
        <v>0.13769999999999999</v>
      </c>
      <c r="DF84">
        <v>2</v>
      </c>
      <c r="DG84">
        <v>0.1053</v>
      </c>
      <c r="DH84">
        <v>3600</v>
      </c>
      <c r="DI84">
        <v>1800</v>
      </c>
      <c r="DJ84">
        <v>3600</v>
      </c>
      <c r="DK84">
        <v>1</v>
      </c>
      <c r="DL84">
        <v>0.16980000000000001</v>
      </c>
      <c r="DM84">
        <v>92</v>
      </c>
      <c r="DN84">
        <v>1800</v>
      </c>
    </row>
    <row r="85" spans="91:118" x14ac:dyDescent="0.25">
      <c r="CM85" t="s">
        <v>636</v>
      </c>
      <c r="CN85" t="s">
        <v>3</v>
      </c>
      <c r="CO85" t="s">
        <v>29</v>
      </c>
      <c r="CP85">
        <v>46083</v>
      </c>
      <c r="CQ85">
        <v>1</v>
      </c>
      <c r="CR85">
        <v>1</v>
      </c>
      <c r="CT85">
        <v>1</v>
      </c>
      <c r="CV85">
        <v>1.3773148148148147E-3</v>
      </c>
      <c r="CW85">
        <v>1.3773148148148147E-3</v>
      </c>
      <c r="CX85">
        <v>0.22146990740740741</v>
      </c>
      <c r="CY85">
        <v>9.509259259259259E-2</v>
      </c>
      <c r="CZ85">
        <v>100</v>
      </c>
      <c r="DA85">
        <v>171</v>
      </c>
      <c r="DB85">
        <v>51</v>
      </c>
      <c r="DC85" t="s">
        <v>674</v>
      </c>
      <c r="DD85">
        <v>21276</v>
      </c>
      <c r="DE85">
        <v>0.51</v>
      </c>
      <c r="DF85">
        <v>18</v>
      </c>
      <c r="DG85">
        <v>0.35289999999999999</v>
      </c>
      <c r="DH85">
        <v>17317</v>
      </c>
      <c r="DI85">
        <v>962</v>
      </c>
      <c r="DJ85">
        <v>17317</v>
      </c>
      <c r="DK85">
        <v>1</v>
      </c>
      <c r="DL85">
        <v>7.9500000000000001E-2</v>
      </c>
      <c r="DM85">
        <v>92</v>
      </c>
      <c r="DN85">
        <v>962</v>
      </c>
    </row>
    <row r="86" spans="91:118" x14ac:dyDescent="0.25">
      <c r="CM86" t="s">
        <v>636</v>
      </c>
      <c r="CN86" t="s">
        <v>3</v>
      </c>
      <c r="CO86" t="s">
        <v>38</v>
      </c>
      <c r="CP86">
        <v>46104</v>
      </c>
      <c r="CQ86">
        <v>1</v>
      </c>
      <c r="CR86">
        <v>1</v>
      </c>
      <c r="CT86">
        <v>1</v>
      </c>
      <c r="CV86">
        <v>9.6064814814814819E-4</v>
      </c>
      <c r="CW86">
        <v>9.6064814814814819E-4</v>
      </c>
      <c r="CX86">
        <v>0.19003472222222223</v>
      </c>
      <c r="CY86">
        <v>0.12304398148148148</v>
      </c>
      <c r="CZ86">
        <v>76</v>
      </c>
      <c r="DA86">
        <v>107</v>
      </c>
      <c r="DB86">
        <v>28</v>
      </c>
      <c r="DC86" t="s">
        <v>996</v>
      </c>
      <c r="DD86">
        <v>15671</v>
      </c>
      <c r="DE86">
        <v>0.36840000000000001</v>
      </c>
      <c r="DF86">
        <v>3</v>
      </c>
      <c r="DG86">
        <v>0.1071</v>
      </c>
      <c r="DH86">
        <v>4900</v>
      </c>
      <c r="DI86">
        <v>1633</v>
      </c>
      <c r="DJ86">
        <v>4300</v>
      </c>
      <c r="DK86">
        <v>0.87760000000000005</v>
      </c>
      <c r="DL86">
        <v>0.214</v>
      </c>
      <c r="DM86">
        <v>92</v>
      </c>
      <c r="DN86">
        <v>2150</v>
      </c>
    </row>
    <row r="87" spans="91:118" x14ac:dyDescent="0.25">
      <c r="CM87" t="s">
        <v>636</v>
      </c>
      <c r="CN87" t="s">
        <v>3</v>
      </c>
      <c r="CO87" t="s">
        <v>79</v>
      </c>
      <c r="CP87">
        <v>46098</v>
      </c>
      <c r="CQ87">
        <v>1</v>
      </c>
      <c r="CR87">
        <v>1</v>
      </c>
      <c r="CT87">
        <v>1</v>
      </c>
      <c r="CV87">
        <v>0</v>
      </c>
      <c r="CW87">
        <v>0</v>
      </c>
      <c r="CX87">
        <v>0.13405092592592593</v>
      </c>
      <c r="CY87">
        <v>3.2951388888888891E-2</v>
      </c>
      <c r="CZ87">
        <v>64</v>
      </c>
      <c r="DA87">
        <v>138</v>
      </c>
      <c r="DB87">
        <v>22</v>
      </c>
      <c r="DC87" t="s">
        <v>695</v>
      </c>
      <c r="DD87">
        <v>49769</v>
      </c>
      <c r="DE87">
        <v>0.34379999999999999</v>
      </c>
      <c r="DF87">
        <v>1</v>
      </c>
      <c r="DG87">
        <v>4.5499999999999999E-2</v>
      </c>
      <c r="DH87">
        <v>1200</v>
      </c>
      <c r="DI87">
        <v>1200</v>
      </c>
      <c r="DJ87">
        <v>1200</v>
      </c>
      <c r="DK87">
        <v>1</v>
      </c>
      <c r="DL87">
        <v>0.40100000000000002</v>
      </c>
      <c r="DM87">
        <v>92</v>
      </c>
      <c r="DN87">
        <v>1200</v>
      </c>
    </row>
    <row r="88" spans="91:118" x14ac:dyDescent="0.25">
      <c r="CM88" t="s">
        <v>636</v>
      </c>
      <c r="CN88" t="s">
        <v>3</v>
      </c>
      <c r="CO88" t="s">
        <v>78</v>
      </c>
      <c r="CP88">
        <v>46101</v>
      </c>
      <c r="CQ88">
        <v>1</v>
      </c>
      <c r="CR88">
        <v>1</v>
      </c>
      <c r="CT88">
        <v>1</v>
      </c>
      <c r="CV88">
        <v>1.1805555555555556E-3</v>
      </c>
      <c r="CW88">
        <v>1.1805555555555556E-3</v>
      </c>
      <c r="CX88">
        <v>0.1759375</v>
      </c>
      <c r="CY88">
        <v>0.19761574074074073</v>
      </c>
      <c r="CZ88">
        <v>62</v>
      </c>
      <c r="DA88">
        <v>120</v>
      </c>
      <c r="DB88">
        <v>31</v>
      </c>
      <c r="DC88" t="s">
        <v>977</v>
      </c>
      <c r="DD88">
        <v>18978</v>
      </c>
      <c r="DE88">
        <v>0.5</v>
      </c>
      <c r="DF88">
        <v>3</v>
      </c>
      <c r="DG88">
        <v>9.6799999999999997E-2</v>
      </c>
      <c r="DH88">
        <v>2140</v>
      </c>
      <c r="DI88">
        <v>713</v>
      </c>
      <c r="DJ88">
        <v>2120</v>
      </c>
      <c r="DK88">
        <v>0.99070000000000003</v>
      </c>
      <c r="DL88">
        <v>0.98509999999999998</v>
      </c>
      <c r="DM88">
        <v>92</v>
      </c>
      <c r="DN88">
        <v>1060</v>
      </c>
    </row>
    <row r="89" spans="91:118" x14ac:dyDescent="0.25">
      <c r="CM89" t="s">
        <v>636</v>
      </c>
      <c r="CN89" t="s">
        <v>3</v>
      </c>
      <c r="CO89" t="s">
        <v>78</v>
      </c>
      <c r="CP89">
        <v>46107</v>
      </c>
      <c r="CQ89">
        <v>1</v>
      </c>
      <c r="CR89">
        <v>1</v>
      </c>
      <c r="CT89">
        <v>1</v>
      </c>
      <c r="CV89">
        <v>6.9444444444444444E-5</v>
      </c>
      <c r="CW89">
        <v>6.9444444444444444E-5</v>
      </c>
      <c r="CX89">
        <v>0.1708912037037037</v>
      </c>
      <c r="CY89">
        <v>0.17046296296296296</v>
      </c>
      <c r="CZ89">
        <v>82</v>
      </c>
      <c r="DA89">
        <v>168</v>
      </c>
      <c r="DB89">
        <v>21</v>
      </c>
      <c r="DC89" t="s">
        <v>803</v>
      </c>
      <c r="DD89">
        <v>18855</v>
      </c>
      <c r="DE89">
        <v>0.25609999999999999</v>
      </c>
      <c r="DF89">
        <v>2</v>
      </c>
      <c r="DG89">
        <v>9.5200000000000007E-2</v>
      </c>
      <c r="DH89">
        <v>4250</v>
      </c>
      <c r="DI89">
        <v>2125</v>
      </c>
      <c r="DJ89">
        <v>4250</v>
      </c>
      <c r="DK89">
        <v>1</v>
      </c>
      <c r="DL89">
        <v>0.31759999999999999</v>
      </c>
      <c r="DM89">
        <v>92</v>
      </c>
      <c r="DN89">
        <v>2125</v>
      </c>
    </row>
    <row r="90" spans="91:118" x14ac:dyDescent="0.25">
      <c r="CM90" t="s">
        <v>636</v>
      </c>
      <c r="CN90" t="s">
        <v>3</v>
      </c>
      <c r="CO90" t="s">
        <v>76</v>
      </c>
      <c r="CP90">
        <v>46090</v>
      </c>
      <c r="CQ90">
        <v>1</v>
      </c>
      <c r="CR90">
        <v>1</v>
      </c>
      <c r="CT90">
        <v>1</v>
      </c>
      <c r="CV90">
        <v>2.3148148148148147E-5</v>
      </c>
      <c r="CW90">
        <v>2.3148148148148147E-5</v>
      </c>
      <c r="CX90">
        <v>0.20502314814814815</v>
      </c>
      <c r="CY90">
        <v>9.4120370370370368E-2</v>
      </c>
      <c r="CZ90">
        <v>40</v>
      </c>
      <c r="DA90">
        <v>71</v>
      </c>
      <c r="DB90">
        <v>16</v>
      </c>
      <c r="DC90">
        <v>1.875</v>
      </c>
      <c r="DD90">
        <v>26543</v>
      </c>
      <c r="DE90">
        <v>0.4</v>
      </c>
      <c r="DF90">
        <v>2</v>
      </c>
      <c r="DG90">
        <v>0.125</v>
      </c>
      <c r="DH90">
        <v>23500</v>
      </c>
      <c r="DI90">
        <v>11750</v>
      </c>
      <c r="DJ90">
        <v>23500</v>
      </c>
      <c r="DK90">
        <v>1</v>
      </c>
      <c r="DL90">
        <v>0.66249999999999998</v>
      </c>
      <c r="DM90">
        <v>92</v>
      </c>
      <c r="DN90">
        <v>11750</v>
      </c>
    </row>
    <row r="91" spans="91:118" x14ac:dyDescent="0.25">
      <c r="CM91" t="s">
        <v>636</v>
      </c>
      <c r="CN91" t="s">
        <v>3</v>
      </c>
      <c r="CO91" t="s">
        <v>76</v>
      </c>
      <c r="CP91">
        <v>46098</v>
      </c>
      <c r="CQ91">
        <v>1</v>
      </c>
      <c r="CR91">
        <v>1</v>
      </c>
      <c r="CT91">
        <v>1</v>
      </c>
      <c r="CV91">
        <v>1.5046296296296297E-4</v>
      </c>
      <c r="CW91">
        <v>1.5046296296296297E-4</v>
      </c>
      <c r="CX91">
        <v>0.18143518518518517</v>
      </c>
      <c r="CY91">
        <v>0.12655092592592593</v>
      </c>
      <c r="CZ91">
        <v>67</v>
      </c>
      <c r="DA91">
        <v>100</v>
      </c>
      <c r="DB91">
        <v>12</v>
      </c>
      <c r="DC91" t="s">
        <v>689</v>
      </c>
      <c r="DD91">
        <v>23053</v>
      </c>
      <c r="DE91">
        <v>0.17910000000000001</v>
      </c>
      <c r="DF91">
        <v>1</v>
      </c>
      <c r="DG91">
        <v>8.3299999999999999E-2</v>
      </c>
      <c r="DH91">
        <v>6000</v>
      </c>
      <c r="DI91">
        <v>6000</v>
      </c>
      <c r="DJ91">
        <v>6000</v>
      </c>
      <c r="DK91">
        <v>1</v>
      </c>
      <c r="DL91">
        <v>0.22159999999999999</v>
      </c>
      <c r="DM91">
        <v>92</v>
      </c>
      <c r="DN91">
        <v>6000</v>
      </c>
    </row>
    <row r="92" spans="91:118" x14ac:dyDescent="0.25">
      <c r="CM92" t="s">
        <v>636</v>
      </c>
      <c r="CN92" t="s">
        <v>3</v>
      </c>
      <c r="CO92" t="s">
        <v>76</v>
      </c>
      <c r="CP92">
        <v>46111</v>
      </c>
      <c r="CQ92">
        <v>1</v>
      </c>
      <c r="CR92">
        <v>1</v>
      </c>
      <c r="CS92">
        <v>1</v>
      </c>
      <c r="CV92">
        <v>1.6747685185185185E-2</v>
      </c>
      <c r="CW92">
        <v>1.6747685185185185E-2</v>
      </c>
      <c r="CX92">
        <v>0.18026620370370369</v>
      </c>
      <c r="CY92">
        <v>9.2986111111111117E-2</v>
      </c>
      <c r="CZ92">
        <v>63</v>
      </c>
      <c r="DA92">
        <v>84</v>
      </c>
      <c r="DB92">
        <v>7</v>
      </c>
      <c r="DC92" t="s">
        <v>700</v>
      </c>
      <c r="DD92">
        <v>32104</v>
      </c>
      <c r="DE92">
        <v>0.1111</v>
      </c>
      <c r="DF92">
        <v>1</v>
      </c>
      <c r="DG92">
        <v>0.1429</v>
      </c>
      <c r="DH92">
        <v>2000</v>
      </c>
      <c r="DI92">
        <v>2000</v>
      </c>
      <c r="DJ92">
        <v>2000</v>
      </c>
      <c r="DK92">
        <v>1</v>
      </c>
      <c r="DL92">
        <v>0.46079999999999999</v>
      </c>
      <c r="DM92">
        <v>92</v>
      </c>
      <c r="DN92">
        <v>2000</v>
      </c>
    </row>
    <row r="93" spans="91:118" x14ac:dyDescent="0.25">
      <c r="CM93" t="s">
        <v>636</v>
      </c>
      <c r="CN93" t="s">
        <v>125</v>
      </c>
      <c r="CO93" t="s">
        <v>18</v>
      </c>
      <c r="CP93">
        <v>46086</v>
      </c>
      <c r="CQ93">
        <v>1</v>
      </c>
      <c r="CR93">
        <v>1</v>
      </c>
      <c r="CT93">
        <v>1</v>
      </c>
      <c r="CV93">
        <v>1.273148148148148E-4</v>
      </c>
      <c r="CW93">
        <v>1.273148148148148E-4</v>
      </c>
      <c r="CX93">
        <v>0.33696759259259257</v>
      </c>
      <c r="CY93">
        <v>7.6550925925925925E-2</v>
      </c>
      <c r="CZ93">
        <v>170</v>
      </c>
      <c r="DA93">
        <v>288</v>
      </c>
      <c r="DB93">
        <v>20</v>
      </c>
      <c r="DC93">
        <v>1.65</v>
      </c>
      <c r="DD93">
        <v>45077</v>
      </c>
      <c r="DE93">
        <v>0.1176</v>
      </c>
      <c r="DF93">
        <v>1</v>
      </c>
      <c r="DG93">
        <v>0.05</v>
      </c>
      <c r="DH93">
        <v>2200</v>
      </c>
      <c r="DI93">
        <v>2200</v>
      </c>
      <c r="DJ93">
        <v>2200</v>
      </c>
      <c r="DK93">
        <v>1</v>
      </c>
      <c r="DL93">
        <v>0.12690000000000001</v>
      </c>
      <c r="DM93">
        <v>90</v>
      </c>
      <c r="DN93">
        <v>2200</v>
      </c>
    </row>
    <row r="94" spans="91:118" x14ac:dyDescent="0.25">
      <c r="CM94" t="s">
        <v>636</v>
      </c>
      <c r="CN94" t="s">
        <v>125</v>
      </c>
      <c r="CO94" t="s">
        <v>18</v>
      </c>
      <c r="CP94">
        <v>46091</v>
      </c>
      <c r="CQ94">
        <v>1</v>
      </c>
      <c r="CR94">
        <v>1</v>
      </c>
      <c r="CT94">
        <v>1</v>
      </c>
      <c r="CV94">
        <v>1.5046296296296297E-4</v>
      </c>
      <c r="CW94">
        <v>1.5046296296296297E-4</v>
      </c>
      <c r="CX94">
        <v>0.3269097222222222</v>
      </c>
      <c r="CY94">
        <v>8.8842592592592598E-2</v>
      </c>
      <c r="CZ94">
        <v>163</v>
      </c>
      <c r="DA94">
        <v>320</v>
      </c>
      <c r="DB94">
        <v>15</v>
      </c>
      <c r="DC94">
        <v>1.4</v>
      </c>
      <c r="DD94">
        <v>42480</v>
      </c>
      <c r="DE94">
        <v>9.1999999999999998E-2</v>
      </c>
      <c r="DF94">
        <v>1</v>
      </c>
      <c r="DG94">
        <v>6.6699999999999995E-2</v>
      </c>
      <c r="DH94">
        <v>8000</v>
      </c>
      <c r="DI94">
        <v>8000</v>
      </c>
      <c r="DJ94">
        <v>8000</v>
      </c>
      <c r="DK94">
        <v>1</v>
      </c>
      <c r="DL94">
        <v>0.1167</v>
      </c>
      <c r="DM94">
        <v>90</v>
      </c>
      <c r="DN94">
        <v>8000</v>
      </c>
    </row>
    <row r="95" spans="91:118" x14ac:dyDescent="0.25">
      <c r="CM95" t="s">
        <v>636</v>
      </c>
      <c r="CN95" t="s">
        <v>125</v>
      </c>
      <c r="CO95" t="s">
        <v>109</v>
      </c>
      <c r="CP95">
        <v>46098</v>
      </c>
      <c r="CQ95">
        <v>1</v>
      </c>
      <c r="CR95">
        <v>1</v>
      </c>
      <c r="CT95">
        <v>1</v>
      </c>
      <c r="CV95">
        <v>1.8518518518518518E-4</v>
      </c>
      <c r="CW95">
        <v>1.8518518518518518E-4</v>
      </c>
      <c r="CX95">
        <v>0.21124999999999999</v>
      </c>
      <c r="CY95">
        <v>0.1302662037037037</v>
      </c>
      <c r="CZ95">
        <v>103</v>
      </c>
      <c r="DA95">
        <v>190</v>
      </c>
      <c r="DB95">
        <v>15</v>
      </c>
      <c r="DC95" t="s">
        <v>742</v>
      </c>
      <c r="DD95">
        <v>36079</v>
      </c>
      <c r="DE95">
        <v>0.14560000000000001</v>
      </c>
      <c r="DF95">
        <v>1</v>
      </c>
      <c r="DG95">
        <v>6.6699999999999995E-2</v>
      </c>
      <c r="DH95">
        <v>8000</v>
      </c>
      <c r="DI95">
        <v>8000</v>
      </c>
      <c r="DJ95">
        <v>8000</v>
      </c>
      <c r="DK95">
        <v>1</v>
      </c>
      <c r="DL95">
        <v>0.16950000000000001</v>
      </c>
      <c r="DM95">
        <v>90</v>
      </c>
      <c r="DN95">
        <v>8000</v>
      </c>
    </row>
    <row r="96" spans="91:118" x14ac:dyDescent="0.25">
      <c r="CM96" t="s">
        <v>636</v>
      </c>
      <c r="CN96" t="s">
        <v>125</v>
      </c>
      <c r="CO96" t="s">
        <v>60</v>
      </c>
      <c r="CP96">
        <v>46101</v>
      </c>
      <c r="CQ96">
        <v>1</v>
      </c>
      <c r="CR96">
        <v>1</v>
      </c>
      <c r="CT96">
        <v>1</v>
      </c>
      <c r="CV96">
        <v>8.1018518518518516E-5</v>
      </c>
      <c r="CW96">
        <v>8.1018518518518516E-5</v>
      </c>
      <c r="CX96">
        <v>0.20935185185185184</v>
      </c>
      <c r="CY96">
        <v>0.11541666666666667</v>
      </c>
      <c r="CZ96">
        <v>93</v>
      </c>
      <c r="DA96">
        <v>131</v>
      </c>
      <c r="DB96">
        <v>5</v>
      </c>
      <c r="DC96">
        <v>2.6</v>
      </c>
      <c r="DD96">
        <v>66839</v>
      </c>
      <c r="DE96">
        <v>5.3800000000000001E-2</v>
      </c>
      <c r="DF96">
        <v>2</v>
      </c>
      <c r="DG96">
        <v>0.4</v>
      </c>
      <c r="DH96">
        <v>21426</v>
      </c>
      <c r="DI96">
        <v>10713</v>
      </c>
      <c r="DJ96">
        <v>21426</v>
      </c>
      <c r="DK96">
        <v>1</v>
      </c>
      <c r="DL96">
        <v>0.1057</v>
      </c>
      <c r="DM96">
        <v>90</v>
      </c>
      <c r="DN96">
        <v>10713</v>
      </c>
    </row>
    <row r="97" spans="91:118" x14ac:dyDescent="0.25">
      <c r="CM97" t="s">
        <v>636</v>
      </c>
      <c r="CN97" t="s">
        <v>125</v>
      </c>
      <c r="CO97" t="s">
        <v>72</v>
      </c>
      <c r="CP97">
        <v>46106</v>
      </c>
      <c r="CQ97">
        <v>1</v>
      </c>
      <c r="CR97">
        <v>1</v>
      </c>
      <c r="CT97">
        <v>1</v>
      </c>
      <c r="CV97">
        <v>4.6296296296296294E-5</v>
      </c>
      <c r="CW97">
        <v>4.6296296296296294E-5</v>
      </c>
      <c r="CX97">
        <v>0.17131944444444444</v>
      </c>
      <c r="CY97">
        <v>0.16931712962962964</v>
      </c>
      <c r="CZ97">
        <v>113</v>
      </c>
      <c r="DA97">
        <v>286</v>
      </c>
      <c r="DB97">
        <v>5</v>
      </c>
      <c r="DC97">
        <v>1.4</v>
      </c>
      <c r="DD97">
        <v>61903</v>
      </c>
      <c r="DE97">
        <v>4.4200000000000003E-2</v>
      </c>
      <c r="DF97">
        <v>1</v>
      </c>
      <c r="DG97">
        <v>0.2</v>
      </c>
      <c r="DH97">
        <v>4000</v>
      </c>
      <c r="DI97">
        <v>4000</v>
      </c>
      <c r="DM97">
        <v>90</v>
      </c>
    </row>
    <row r="98" spans="91:118" x14ac:dyDescent="0.25">
      <c r="CM98" t="s">
        <v>636</v>
      </c>
      <c r="CN98" t="s">
        <v>125</v>
      </c>
      <c r="CO98" t="s">
        <v>72</v>
      </c>
      <c r="CP98">
        <v>46107</v>
      </c>
      <c r="CQ98">
        <v>1</v>
      </c>
      <c r="CR98">
        <v>1</v>
      </c>
      <c r="CT98">
        <v>1</v>
      </c>
      <c r="CV98">
        <v>1.3888888888888889E-4</v>
      </c>
      <c r="CW98">
        <v>1.3888888888888889E-4</v>
      </c>
      <c r="CX98">
        <v>0.14521990740740739</v>
      </c>
      <c r="CY98">
        <v>0.19251157407407407</v>
      </c>
      <c r="CZ98">
        <v>97</v>
      </c>
      <c r="DA98">
        <v>229</v>
      </c>
      <c r="DB98">
        <v>16</v>
      </c>
      <c r="DC98">
        <v>1.75</v>
      </c>
      <c r="DD98">
        <v>26310</v>
      </c>
      <c r="DE98">
        <v>0.16489999999999999</v>
      </c>
      <c r="DF98">
        <v>1</v>
      </c>
      <c r="DG98">
        <v>6.25E-2</v>
      </c>
      <c r="DH98">
        <v>4000</v>
      </c>
      <c r="DI98">
        <v>4000</v>
      </c>
      <c r="DJ98">
        <v>4000</v>
      </c>
      <c r="DK98">
        <v>1</v>
      </c>
      <c r="DL98">
        <v>0.1071</v>
      </c>
      <c r="DM98">
        <v>90</v>
      </c>
      <c r="DN98">
        <v>4000</v>
      </c>
    </row>
    <row r="99" spans="91:118" x14ac:dyDescent="0.25">
      <c r="CM99" t="s">
        <v>636</v>
      </c>
      <c r="CN99" t="s">
        <v>125</v>
      </c>
      <c r="CO99" t="s">
        <v>75</v>
      </c>
      <c r="CP99">
        <v>46094</v>
      </c>
      <c r="CQ99">
        <v>1</v>
      </c>
      <c r="CR99">
        <v>1</v>
      </c>
      <c r="CT99">
        <v>1</v>
      </c>
      <c r="CV99">
        <v>1.5046296296296297E-4</v>
      </c>
      <c r="CW99">
        <v>1.5046296296296297E-4</v>
      </c>
      <c r="CX99">
        <v>0.21591435185185184</v>
      </c>
      <c r="CY99">
        <v>0.11751157407407407</v>
      </c>
      <c r="CZ99">
        <v>65</v>
      </c>
      <c r="DA99">
        <v>138</v>
      </c>
      <c r="DB99">
        <v>11</v>
      </c>
      <c r="DC99" t="s">
        <v>852</v>
      </c>
      <c r="DD99">
        <v>35435</v>
      </c>
      <c r="DE99">
        <v>0.16919999999999999</v>
      </c>
      <c r="DF99">
        <v>2</v>
      </c>
      <c r="DG99">
        <v>0.18179999999999999</v>
      </c>
      <c r="DH99">
        <v>12515</v>
      </c>
      <c r="DI99">
        <v>6258</v>
      </c>
      <c r="DJ99">
        <v>12000</v>
      </c>
      <c r="DK99">
        <v>0.95879999999999999</v>
      </c>
      <c r="DL99">
        <v>0.14860000000000001</v>
      </c>
      <c r="DM99">
        <v>90</v>
      </c>
      <c r="DN99">
        <v>12000</v>
      </c>
    </row>
    <row r="100" spans="91:118" x14ac:dyDescent="0.25">
      <c r="CM100" t="s">
        <v>636</v>
      </c>
      <c r="CN100" t="s">
        <v>125</v>
      </c>
      <c r="CO100" t="s">
        <v>59</v>
      </c>
      <c r="CP100">
        <v>46100</v>
      </c>
      <c r="CQ100">
        <v>1</v>
      </c>
      <c r="CR100">
        <v>1</v>
      </c>
      <c r="CT100">
        <v>1</v>
      </c>
      <c r="CV100">
        <v>1.1574074074074073E-5</v>
      </c>
      <c r="CW100">
        <v>1.1574074074074073E-5</v>
      </c>
      <c r="CX100">
        <v>0.18091435185185184</v>
      </c>
      <c r="CY100">
        <v>0.17729166666666665</v>
      </c>
      <c r="CZ100">
        <v>188</v>
      </c>
      <c r="DA100">
        <v>372</v>
      </c>
      <c r="DB100">
        <v>22</v>
      </c>
      <c r="DC100" t="s">
        <v>680</v>
      </c>
      <c r="DD100">
        <v>44760</v>
      </c>
      <c r="DE100">
        <v>0.11700000000000001</v>
      </c>
      <c r="DF100">
        <v>1</v>
      </c>
      <c r="DG100">
        <v>4.5499999999999999E-2</v>
      </c>
      <c r="DH100">
        <v>9000</v>
      </c>
      <c r="DI100">
        <v>9000</v>
      </c>
      <c r="DJ100">
        <v>9000</v>
      </c>
      <c r="DK100">
        <v>1</v>
      </c>
      <c r="DL100">
        <v>0.10340000000000001</v>
      </c>
      <c r="DM100">
        <v>90</v>
      </c>
      <c r="DN100">
        <v>9000</v>
      </c>
    </row>
    <row r="101" spans="91:118" x14ac:dyDescent="0.25">
      <c r="CM101" t="s">
        <v>636</v>
      </c>
      <c r="CN101" t="s">
        <v>2</v>
      </c>
      <c r="CO101" t="s">
        <v>15</v>
      </c>
      <c r="CP101">
        <v>46084</v>
      </c>
      <c r="CQ101">
        <v>1</v>
      </c>
      <c r="CR101">
        <v>1</v>
      </c>
      <c r="CT101">
        <v>1</v>
      </c>
      <c r="CV101">
        <v>4.6296296296296294E-5</v>
      </c>
      <c r="CW101">
        <v>4.6296296296296294E-5</v>
      </c>
      <c r="CX101">
        <v>0.28187499999999999</v>
      </c>
      <c r="CY101">
        <v>0.14598379629629629</v>
      </c>
      <c r="CZ101">
        <v>69</v>
      </c>
      <c r="DA101">
        <v>102</v>
      </c>
      <c r="DB101">
        <v>15</v>
      </c>
      <c r="DC101" t="s">
        <v>808</v>
      </c>
      <c r="DD101">
        <v>14688</v>
      </c>
      <c r="DE101">
        <v>0.21740000000000001</v>
      </c>
      <c r="DF101">
        <v>1</v>
      </c>
      <c r="DG101">
        <v>6.6699999999999995E-2</v>
      </c>
      <c r="DH101">
        <v>5200</v>
      </c>
      <c r="DI101">
        <v>5200</v>
      </c>
      <c r="DJ101">
        <v>5200</v>
      </c>
      <c r="DK101">
        <v>1</v>
      </c>
      <c r="DL101">
        <v>0.14599999999999999</v>
      </c>
      <c r="DM101">
        <v>90</v>
      </c>
      <c r="DN101">
        <v>5200</v>
      </c>
    </row>
    <row r="102" spans="91:118" x14ac:dyDescent="0.25">
      <c r="CM102" t="s">
        <v>636</v>
      </c>
      <c r="CN102" t="s">
        <v>2</v>
      </c>
      <c r="CO102" t="s">
        <v>15</v>
      </c>
      <c r="CP102">
        <v>46097</v>
      </c>
      <c r="CQ102">
        <v>1</v>
      </c>
      <c r="CR102">
        <v>1</v>
      </c>
      <c r="CT102">
        <v>1</v>
      </c>
      <c r="CV102">
        <v>1.0416666666666667E-4</v>
      </c>
      <c r="CW102">
        <v>1.0416666666666667E-4</v>
      </c>
      <c r="CX102">
        <v>0.22084490740740742</v>
      </c>
      <c r="CY102">
        <v>0.1585300925925926</v>
      </c>
      <c r="CZ102">
        <v>70</v>
      </c>
      <c r="DA102">
        <v>110</v>
      </c>
      <c r="DB102">
        <v>23</v>
      </c>
      <c r="DC102" t="s">
        <v>714</v>
      </c>
      <c r="DD102">
        <v>40440</v>
      </c>
      <c r="DE102">
        <v>0.3286</v>
      </c>
      <c r="DF102">
        <v>2</v>
      </c>
      <c r="DG102">
        <v>8.6999999999999994E-2</v>
      </c>
      <c r="DH102">
        <v>15600</v>
      </c>
      <c r="DI102">
        <v>7800</v>
      </c>
      <c r="DJ102">
        <v>15600</v>
      </c>
      <c r="DK102">
        <v>1</v>
      </c>
      <c r="DL102">
        <v>0.16309999999999999</v>
      </c>
      <c r="DM102">
        <v>90</v>
      </c>
      <c r="DN102">
        <v>7800</v>
      </c>
    </row>
    <row r="103" spans="91:118" x14ac:dyDescent="0.25">
      <c r="CM103" t="s">
        <v>636</v>
      </c>
      <c r="CN103" t="s">
        <v>2</v>
      </c>
      <c r="CO103" t="s">
        <v>377</v>
      </c>
      <c r="CP103">
        <v>46091</v>
      </c>
      <c r="CQ103">
        <v>1</v>
      </c>
      <c r="CR103">
        <v>1</v>
      </c>
      <c r="CT103">
        <v>1</v>
      </c>
      <c r="CV103">
        <v>0</v>
      </c>
      <c r="CW103">
        <v>0</v>
      </c>
      <c r="CX103">
        <v>0.24201388888888889</v>
      </c>
      <c r="CY103">
        <v>0.14318287037037036</v>
      </c>
      <c r="CZ103">
        <v>81</v>
      </c>
      <c r="DA103">
        <v>143</v>
      </c>
      <c r="DB103">
        <v>27</v>
      </c>
      <c r="DC103" t="s">
        <v>718</v>
      </c>
      <c r="DD103">
        <v>28340</v>
      </c>
      <c r="DE103">
        <v>0.33329999999999999</v>
      </c>
      <c r="DF103">
        <v>2</v>
      </c>
      <c r="DG103">
        <v>7.4099999999999999E-2</v>
      </c>
      <c r="DH103">
        <v>2900</v>
      </c>
      <c r="DI103">
        <v>1450</v>
      </c>
      <c r="DJ103">
        <v>2900</v>
      </c>
      <c r="DK103">
        <v>1</v>
      </c>
      <c r="DL103">
        <v>0.2051</v>
      </c>
      <c r="DM103">
        <v>90</v>
      </c>
      <c r="DN103">
        <v>1450</v>
      </c>
    </row>
    <row r="104" spans="91:118" x14ac:dyDescent="0.25">
      <c r="CM104" t="s">
        <v>636</v>
      </c>
      <c r="CN104" t="s">
        <v>2</v>
      </c>
      <c r="CO104" t="s">
        <v>22</v>
      </c>
      <c r="CP104">
        <v>46098</v>
      </c>
      <c r="CQ104">
        <v>1</v>
      </c>
      <c r="CR104">
        <v>1</v>
      </c>
      <c r="CT104">
        <v>1</v>
      </c>
      <c r="CV104">
        <v>2.3148148148148149E-4</v>
      </c>
      <c r="CW104">
        <v>2.3148148148148149E-4</v>
      </c>
      <c r="CX104">
        <v>0.20520833333333333</v>
      </c>
      <c r="CY104">
        <v>0.11613425925925926</v>
      </c>
      <c r="CZ104">
        <v>72</v>
      </c>
      <c r="DA104">
        <v>124</v>
      </c>
      <c r="DB104">
        <v>14</v>
      </c>
      <c r="DC104" t="s">
        <v>762</v>
      </c>
      <c r="DD104">
        <v>28602</v>
      </c>
      <c r="DE104">
        <v>0.19439999999999999</v>
      </c>
      <c r="DF104">
        <v>1</v>
      </c>
      <c r="DG104">
        <v>7.1400000000000005E-2</v>
      </c>
      <c r="DH104">
        <v>20000</v>
      </c>
      <c r="DI104">
        <v>20000</v>
      </c>
      <c r="DJ104">
        <v>20000</v>
      </c>
      <c r="DK104">
        <v>1</v>
      </c>
      <c r="DL104">
        <v>0.11650000000000001</v>
      </c>
      <c r="DM104">
        <v>90</v>
      </c>
      <c r="DN104">
        <v>20000</v>
      </c>
    </row>
    <row r="105" spans="91:118" x14ac:dyDescent="0.25">
      <c r="CM105" t="s">
        <v>636</v>
      </c>
      <c r="CN105" t="s">
        <v>2</v>
      </c>
      <c r="CO105" t="s">
        <v>24</v>
      </c>
      <c r="CP105">
        <v>46084</v>
      </c>
      <c r="CQ105">
        <v>1</v>
      </c>
      <c r="CR105">
        <v>1</v>
      </c>
      <c r="CT105">
        <v>1</v>
      </c>
      <c r="CV105">
        <v>2.4305555555555555E-4</v>
      </c>
      <c r="CW105">
        <v>2.4305555555555555E-4</v>
      </c>
      <c r="CX105">
        <v>0.34414351851851854</v>
      </c>
      <c r="CY105">
        <v>8.6249999999999993E-2</v>
      </c>
      <c r="CZ105">
        <v>70</v>
      </c>
      <c r="DA105">
        <v>135</v>
      </c>
      <c r="DB105">
        <v>23</v>
      </c>
      <c r="DC105" t="s">
        <v>714</v>
      </c>
      <c r="DD105">
        <v>14830</v>
      </c>
      <c r="DE105">
        <v>0.3286</v>
      </c>
      <c r="DF105">
        <v>2</v>
      </c>
      <c r="DG105">
        <v>8.6999999999999994E-2</v>
      </c>
      <c r="DH105">
        <v>700</v>
      </c>
      <c r="DI105">
        <v>350</v>
      </c>
      <c r="DJ105">
        <v>700</v>
      </c>
      <c r="DK105">
        <v>1</v>
      </c>
      <c r="DL105">
        <v>0.61240000000000006</v>
      </c>
      <c r="DM105">
        <v>90</v>
      </c>
      <c r="DN105">
        <v>350</v>
      </c>
    </row>
    <row r="106" spans="91:118" x14ac:dyDescent="0.25">
      <c r="CM106" t="s">
        <v>636</v>
      </c>
      <c r="CN106" t="s">
        <v>2</v>
      </c>
      <c r="CO106" t="s">
        <v>24</v>
      </c>
      <c r="CP106">
        <v>46091</v>
      </c>
      <c r="CQ106">
        <v>1</v>
      </c>
      <c r="CR106">
        <v>1</v>
      </c>
      <c r="CT106">
        <v>1</v>
      </c>
      <c r="CV106">
        <v>2.0370370370370369E-3</v>
      </c>
      <c r="CW106">
        <v>2.0370370370370369E-3</v>
      </c>
      <c r="CX106">
        <v>0.30140046296296297</v>
      </c>
      <c r="CY106">
        <v>0.1041087962962963</v>
      </c>
      <c r="CZ106">
        <v>78</v>
      </c>
      <c r="DA106">
        <v>170</v>
      </c>
      <c r="DB106">
        <v>26</v>
      </c>
      <c r="DC106" t="s">
        <v>801</v>
      </c>
      <c r="DD106">
        <v>40130</v>
      </c>
      <c r="DE106">
        <v>0.33329999999999999</v>
      </c>
      <c r="DF106">
        <v>2</v>
      </c>
      <c r="DG106">
        <v>7.6899999999999996E-2</v>
      </c>
      <c r="DH106">
        <v>3200</v>
      </c>
      <c r="DI106">
        <v>1600</v>
      </c>
      <c r="DJ106">
        <v>3200</v>
      </c>
      <c r="DK106">
        <v>1</v>
      </c>
      <c r="DL106">
        <v>0.12590000000000001</v>
      </c>
      <c r="DM106">
        <v>90</v>
      </c>
      <c r="DN106">
        <v>1600</v>
      </c>
    </row>
    <row r="107" spans="91:118" x14ac:dyDescent="0.25">
      <c r="CM107" t="s">
        <v>636</v>
      </c>
      <c r="CN107" t="s">
        <v>2</v>
      </c>
      <c r="CO107" t="s">
        <v>24</v>
      </c>
      <c r="CP107">
        <v>46106</v>
      </c>
      <c r="CQ107">
        <v>1</v>
      </c>
      <c r="CR107">
        <v>1</v>
      </c>
      <c r="CT107">
        <v>1</v>
      </c>
      <c r="CV107">
        <v>1.0416666666666667E-4</v>
      </c>
      <c r="CW107">
        <v>1.0416666666666667E-4</v>
      </c>
      <c r="CX107">
        <v>0.15966435185185185</v>
      </c>
      <c r="CY107">
        <v>0.21936342592592592</v>
      </c>
      <c r="CZ107">
        <v>44</v>
      </c>
      <c r="DA107">
        <v>85</v>
      </c>
      <c r="DB107">
        <v>11</v>
      </c>
      <c r="DC107" t="s">
        <v>680</v>
      </c>
      <c r="DD107">
        <v>24788</v>
      </c>
      <c r="DE107">
        <v>0.25</v>
      </c>
      <c r="DF107">
        <v>2</v>
      </c>
      <c r="DG107">
        <v>0.18179999999999999</v>
      </c>
      <c r="DH107">
        <v>1495</v>
      </c>
      <c r="DI107">
        <v>748</v>
      </c>
      <c r="DM107">
        <v>90</v>
      </c>
    </row>
    <row r="108" spans="91:118" x14ac:dyDescent="0.25">
      <c r="CM108" t="s">
        <v>636</v>
      </c>
      <c r="CN108" t="s">
        <v>2</v>
      </c>
      <c r="CO108" t="s">
        <v>564</v>
      </c>
      <c r="CP108">
        <v>46093</v>
      </c>
      <c r="CQ108">
        <v>1</v>
      </c>
      <c r="CR108">
        <v>1</v>
      </c>
      <c r="CT108">
        <v>1</v>
      </c>
      <c r="CV108">
        <v>0</v>
      </c>
      <c r="CW108">
        <v>0</v>
      </c>
      <c r="CX108">
        <v>0.23769675925925926</v>
      </c>
      <c r="CY108">
        <v>9.3865740740740736E-2</v>
      </c>
      <c r="CZ108">
        <v>58</v>
      </c>
      <c r="DA108">
        <v>103</v>
      </c>
      <c r="DB108">
        <v>20</v>
      </c>
      <c r="DC108">
        <v>1.65</v>
      </c>
      <c r="DD108">
        <v>14022</v>
      </c>
      <c r="DE108">
        <v>0.3448</v>
      </c>
      <c r="DF108">
        <v>1</v>
      </c>
      <c r="DG108">
        <v>0.05</v>
      </c>
      <c r="DH108">
        <v>142</v>
      </c>
      <c r="DI108">
        <v>142</v>
      </c>
      <c r="DJ108">
        <v>142</v>
      </c>
      <c r="DK108">
        <v>1</v>
      </c>
      <c r="DL108">
        <v>0.66149999999999998</v>
      </c>
      <c r="DM108">
        <v>90</v>
      </c>
      <c r="DN108">
        <v>142</v>
      </c>
    </row>
    <row r="109" spans="91:118" x14ac:dyDescent="0.25">
      <c r="CM109" t="s">
        <v>636</v>
      </c>
      <c r="CN109" t="s">
        <v>2</v>
      </c>
      <c r="CO109" t="s">
        <v>65</v>
      </c>
      <c r="CP109">
        <v>46091</v>
      </c>
      <c r="CQ109">
        <v>1</v>
      </c>
      <c r="CR109">
        <v>1</v>
      </c>
      <c r="CT109">
        <v>1</v>
      </c>
      <c r="CV109">
        <v>2.199074074074074E-4</v>
      </c>
      <c r="CW109">
        <v>2.199074074074074E-4</v>
      </c>
      <c r="CX109">
        <v>0.31276620370370373</v>
      </c>
      <c r="CY109">
        <v>8.8935185185185187E-2</v>
      </c>
      <c r="CZ109">
        <v>54</v>
      </c>
      <c r="DA109">
        <v>140</v>
      </c>
      <c r="DB109">
        <v>4</v>
      </c>
      <c r="DC109">
        <v>2.5</v>
      </c>
      <c r="DD109">
        <v>26305</v>
      </c>
      <c r="DE109">
        <v>7.4099999999999999E-2</v>
      </c>
      <c r="DF109">
        <v>1</v>
      </c>
      <c r="DG109">
        <v>0.25</v>
      </c>
      <c r="DH109">
        <v>2000</v>
      </c>
      <c r="DI109">
        <v>2000</v>
      </c>
      <c r="DJ109">
        <v>2000</v>
      </c>
      <c r="DK109">
        <v>1</v>
      </c>
      <c r="DL109">
        <v>0.13070000000000001</v>
      </c>
      <c r="DM109">
        <v>90</v>
      </c>
      <c r="DN109">
        <v>2000</v>
      </c>
    </row>
    <row r="110" spans="91:118" x14ac:dyDescent="0.25">
      <c r="CM110" t="s">
        <v>636</v>
      </c>
      <c r="CN110" t="s">
        <v>2</v>
      </c>
      <c r="CO110" t="s">
        <v>65</v>
      </c>
      <c r="CP110">
        <v>46108</v>
      </c>
      <c r="CQ110">
        <v>1</v>
      </c>
      <c r="CR110">
        <v>1</v>
      </c>
      <c r="CT110">
        <v>1</v>
      </c>
      <c r="CV110">
        <v>1.1574074074074075E-4</v>
      </c>
      <c r="CW110">
        <v>1.1574074074074075E-4</v>
      </c>
      <c r="CX110">
        <v>0.18479166666666666</v>
      </c>
      <c r="CY110">
        <v>0.16152777777777777</v>
      </c>
      <c r="CZ110">
        <v>41</v>
      </c>
      <c r="DA110">
        <v>92</v>
      </c>
      <c r="DB110">
        <v>13</v>
      </c>
      <c r="DC110" t="s">
        <v>799</v>
      </c>
      <c r="DD110">
        <v>25149</v>
      </c>
      <c r="DE110">
        <v>0.31709999999999999</v>
      </c>
      <c r="DF110">
        <v>2</v>
      </c>
      <c r="DG110">
        <v>0.15379999999999999</v>
      </c>
      <c r="DH110">
        <v>1552</v>
      </c>
      <c r="DI110">
        <v>776</v>
      </c>
      <c r="DJ110">
        <v>952</v>
      </c>
      <c r="DK110">
        <v>0.61339999999999995</v>
      </c>
      <c r="DL110">
        <v>0.32379999999999998</v>
      </c>
      <c r="DM110">
        <v>90</v>
      </c>
      <c r="DN110">
        <v>952</v>
      </c>
    </row>
    <row r="111" spans="91:118" x14ac:dyDescent="0.25">
      <c r="CM111" t="s">
        <v>636</v>
      </c>
      <c r="CN111" t="s">
        <v>2</v>
      </c>
      <c r="CO111" t="s">
        <v>23</v>
      </c>
      <c r="CP111">
        <v>46085</v>
      </c>
      <c r="CQ111">
        <v>1</v>
      </c>
      <c r="CR111">
        <v>1</v>
      </c>
      <c r="CT111">
        <v>1</v>
      </c>
      <c r="CV111">
        <v>1.273148148148148E-4</v>
      </c>
      <c r="CW111">
        <v>1.273148148148148E-4</v>
      </c>
      <c r="CX111">
        <v>0.25521990740740741</v>
      </c>
      <c r="CY111">
        <v>0.1025925925925926</v>
      </c>
      <c r="CZ111">
        <v>63</v>
      </c>
      <c r="DA111">
        <v>125</v>
      </c>
      <c r="DB111">
        <v>18</v>
      </c>
      <c r="DC111">
        <v>2</v>
      </c>
      <c r="DD111">
        <v>45470</v>
      </c>
      <c r="DE111">
        <v>0.28570000000000001</v>
      </c>
      <c r="DF111">
        <v>2</v>
      </c>
      <c r="DG111">
        <v>0.1111</v>
      </c>
      <c r="DH111">
        <v>4500</v>
      </c>
      <c r="DI111">
        <v>2250</v>
      </c>
      <c r="DJ111">
        <v>4500</v>
      </c>
      <c r="DK111">
        <v>1</v>
      </c>
      <c r="DL111">
        <v>0.1227</v>
      </c>
      <c r="DM111">
        <v>90</v>
      </c>
      <c r="DN111">
        <v>2250</v>
      </c>
    </row>
    <row r="112" spans="91:118" x14ac:dyDescent="0.25">
      <c r="CM112" t="s">
        <v>636</v>
      </c>
      <c r="CN112" t="s">
        <v>2</v>
      </c>
      <c r="CO112" t="s">
        <v>25</v>
      </c>
      <c r="CP112">
        <v>46094</v>
      </c>
      <c r="CQ112">
        <v>1</v>
      </c>
      <c r="CR112">
        <v>1</v>
      </c>
      <c r="CS112">
        <v>1</v>
      </c>
      <c r="CV112">
        <v>5.8796296296296296E-3</v>
      </c>
      <c r="CW112">
        <v>5.8796296296296296E-3</v>
      </c>
      <c r="CX112">
        <v>0.16349537037037037</v>
      </c>
      <c r="CY112">
        <v>0.15579861111111112</v>
      </c>
      <c r="CZ112">
        <v>57</v>
      </c>
      <c r="DA112">
        <v>110</v>
      </c>
      <c r="DB112">
        <v>21</v>
      </c>
      <c r="DC112" t="s">
        <v>876</v>
      </c>
      <c r="DD112">
        <v>24581</v>
      </c>
      <c r="DE112">
        <v>0.36840000000000001</v>
      </c>
      <c r="DF112">
        <v>1</v>
      </c>
      <c r="DG112">
        <v>4.7600000000000003E-2</v>
      </c>
      <c r="DH112">
        <v>9000</v>
      </c>
      <c r="DI112">
        <v>9000</v>
      </c>
      <c r="DJ112">
        <v>9000</v>
      </c>
      <c r="DK112">
        <v>1</v>
      </c>
      <c r="DL112">
        <v>0.20760000000000001</v>
      </c>
      <c r="DM112">
        <v>90</v>
      </c>
      <c r="DN112">
        <v>9000</v>
      </c>
    </row>
    <row r="113" spans="91:118" x14ac:dyDescent="0.25">
      <c r="CM113" t="s">
        <v>636</v>
      </c>
      <c r="CN113" t="s">
        <v>2</v>
      </c>
      <c r="CO113" t="s">
        <v>25</v>
      </c>
      <c r="CP113">
        <v>46111</v>
      </c>
      <c r="CQ113">
        <v>1</v>
      </c>
      <c r="CR113">
        <v>1</v>
      </c>
      <c r="CS113">
        <v>1</v>
      </c>
      <c r="CV113">
        <v>1.1886574074074074E-2</v>
      </c>
      <c r="CW113">
        <v>1.1886574074074074E-2</v>
      </c>
      <c r="CX113">
        <v>0.11643518518518518</v>
      </c>
      <c r="CY113">
        <v>0.24428240740740742</v>
      </c>
      <c r="CZ113">
        <v>49</v>
      </c>
      <c r="DA113">
        <v>92</v>
      </c>
      <c r="DB113">
        <v>18</v>
      </c>
      <c r="DC113" t="s">
        <v>715</v>
      </c>
      <c r="DD113">
        <v>18207</v>
      </c>
      <c r="DE113">
        <v>0.36730000000000002</v>
      </c>
      <c r="DF113">
        <v>5</v>
      </c>
      <c r="DG113">
        <v>0.27779999999999999</v>
      </c>
      <c r="DH113">
        <v>3575</v>
      </c>
      <c r="DI113">
        <v>715</v>
      </c>
      <c r="DJ113">
        <v>3575</v>
      </c>
      <c r="DK113">
        <v>1</v>
      </c>
      <c r="DL113">
        <v>0.14080000000000001</v>
      </c>
      <c r="DM113">
        <v>90</v>
      </c>
      <c r="DN113">
        <v>715</v>
      </c>
    </row>
    <row r="114" spans="91:118" x14ac:dyDescent="0.25">
      <c r="CM114" t="s">
        <v>636</v>
      </c>
      <c r="CN114" t="s">
        <v>2</v>
      </c>
      <c r="CO114" t="s">
        <v>25</v>
      </c>
      <c r="CP114">
        <v>46112</v>
      </c>
      <c r="CQ114">
        <v>1</v>
      </c>
      <c r="CR114">
        <v>1</v>
      </c>
      <c r="CS114">
        <v>1</v>
      </c>
      <c r="CV114">
        <v>0.13060185185185186</v>
      </c>
      <c r="CW114">
        <v>0.13060185185185186</v>
      </c>
      <c r="CX114">
        <v>6.0648148148148145E-3</v>
      </c>
      <c r="CY114">
        <v>0.27185185185185184</v>
      </c>
      <c r="CZ114">
        <v>39</v>
      </c>
      <c r="DA114">
        <v>84</v>
      </c>
      <c r="DB114">
        <v>11</v>
      </c>
      <c r="DC114" t="s">
        <v>943</v>
      </c>
      <c r="DD114">
        <v>31161</v>
      </c>
      <c r="DE114">
        <v>0.28210000000000002</v>
      </c>
      <c r="DF114">
        <v>1</v>
      </c>
      <c r="DG114">
        <v>9.0899999999999995E-2</v>
      </c>
      <c r="DH114">
        <v>3000</v>
      </c>
      <c r="DI114">
        <v>3000</v>
      </c>
      <c r="DJ114">
        <v>3000</v>
      </c>
      <c r="DK114">
        <v>1</v>
      </c>
      <c r="DL114">
        <v>0.1103</v>
      </c>
      <c r="DM114">
        <v>90</v>
      </c>
      <c r="DN114">
        <v>3000</v>
      </c>
    </row>
    <row r="115" spans="91:118" x14ac:dyDescent="0.25">
      <c r="CM115" t="s">
        <v>636</v>
      </c>
      <c r="CN115" t="s">
        <v>6</v>
      </c>
      <c r="CO115" t="s">
        <v>80</v>
      </c>
      <c r="CP115">
        <v>46101</v>
      </c>
      <c r="CQ115">
        <v>1</v>
      </c>
      <c r="CR115">
        <v>1</v>
      </c>
      <c r="CT115">
        <v>1</v>
      </c>
      <c r="CV115">
        <v>5.3240740740740744E-4</v>
      </c>
      <c r="CW115">
        <v>5.3240740740740744E-4</v>
      </c>
      <c r="CX115">
        <v>0.18337962962962964</v>
      </c>
      <c r="CY115">
        <v>0.15751157407407407</v>
      </c>
      <c r="CZ115">
        <v>49</v>
      </c>
      <c r="DA115">
        <v>102</v>
      </c>
      <c r="DB115">
        <v>11</v>
      </c>
      <c r="DC115" t="s">
        <v>671</v>
      </c>
      <c r="DD115">
        <v>35328</v>
      </c>
      <c r="DE115">
        <v>0.22450000000000001</v>
      </c>
      <c r="DF115">
        <v>1</v>
      </c>
      <c r="DG115">
        <v>9.0899999999999995E-2</v>
      </c>
      <c r="DH115">
        <v>700</v>
      </c>
      <c r="DI115">
        <v>700</v>
      </c>
      <c r="DJ115">
        <v>700</v>
      </c>
      <c r="DK115">
        <v>1</v>
      </c>
      <c r="DL115">
        <v>0.19489999999999999</v>
      </c>
      <c r="DM115">
        <v>90</v>
      </c>
      <c r="DN115">
        <v>700</v>
      </c>
    </row>
    <row r="116" spans="91:118" x14ac:dyDescent="0.25">
      <c r="CM116" t="s">
        <v>636</v>
      </c>
      <c r="CN116" t="s">
        <v>6</v>
      </c>
      <c r="CO116" t="s">
        <v>81</v>
      </c>
      <c r="CP116">
        <v>46086</v>
      </c>
      <c r="CQ116">
        <v>1</v>
      </c>
      <c r="CR116">
        <v>1</v>
      </c>
      <c r="CT116">
        <v>1</v>
      </c>
      <c r="CV116">
        <v>9.2592592592592588E-5</v>
      </c>
      <c r="CW116">
        <v>9.2592592592592588E-5</v>
      </c>
      <c r="CX116">
        <v>0.29128472222222224</v>
      </c>
      <c r="CY116">
        <v>0.14664351851851851</v>
      </c>
      <c r="CZ116">
        <v>101</v>
      </c>
      <c r="DA116">
        <v>199</v>
      </c>
      <c r="DB116">
        <v>11</v>
      </c>
      <c r="DC116">
        <v>2</v>
      </c>
      <c r="DD116">
        <v>17104</v>
      </c>
      <c r="DE116">
        <v>0.1089</v>
      </c>
      <c r="DF116">
        <v>1</v>
      </c>
      <c r="DG116">
        <v>9.0899999999999995E-2</v>
      </c>
      <c r="DH116">
        <v>1100</v>
      </c>
      <c r="DI116">
        <v>1100</v>
      </c>
      <c r="DJ116">
        <v>1100</v>
      </c>
      <c r="DK116">
        <v>1</v>
      </c>
      <c r="DL116">
        <v>0.22509999999999999</v>
      </c>
      <c r="DM116">
        <v>90</v>
      </c>
      <c r="DN116">
        <v>1100</v>
      </c>
    </row>
    <row r="117" spans="91:118" x14ac:dyDescent="0.25">
      <c r="CM117" t="s">
        <v>636</v>
      </c>
      <c r="CN117" t="s">
        <v>6</v>
      </c>
      <c r="CO117" t="s">
        <v>50</v>
      </c>
      <c r="CP117">
        <v>46105</v>
      </c>
      <c r="CQ117">
        <v>1</v>
      </c>
      <c r="CR117">
        <v>1</v>
      </c>
      <c r="CT117">
        <v>1</v>
      </c>
      <c r="CV117">
        <v>1.0416666666666667E-4</v>
      </c>
      <c r="CW117">
        <v>1.0416666666666667E-4</v>
      </c>
      <c r="CX117">
        <v>0.1809375</v>
      </c>
      <c r="CY117">
        <v>0.22046296296296297</v>
      </c>
      <c r="CZ117">
        <v>77</v>
      </c>
      <c r="DA117">
        <v>165</v>
      </c>
      <c r="DB117">
        <v>17</v>
      </c>
      <c r="DC117" t="s">
        <v>772</v>
      </c>
      <c r="DD117">
        <v>15422</v>
      </c>
      <c r="DE117">
        <v>0.2208</v>
      </c>
      <c r="DF117">
        <v>3</v>
      </c>
      <c r="DG117">
        <v>0.17649999999999999</v>
      </c>
      <c r="DH117">
        <v>5520</v>
      </c>
      <c r="DI117">
        <v>1840</v>
      </c>
      <c r="DJ117">
        <v>5520</v>
      </c>
      <c r="DK117">
        <v>1</v>
      </c>
      <c r="DL117">
        <v>0.1143</v>
      </c>
      <c r="DM117">
        <v>90</v>
      </c>
      <c r="DN117">
        <v>1840</v>
      </c>
    </row>
    <row r="118" spans="91:118" x14ac:dyDescent="0.25">
      <c r="CM118" t="s">
        <v>636</v>
      </c>
      <c r="CN118" t="s">
        <v>6</v>
      </c>
      <c r="CO118" t="s">
        <v>97</v>
      </c>
      <c r="CP118">
        <v>46099</v>
      </c>
      <c r="CQ118">
        <v>1</v>
      </c>
      <c r="CR118">
        <v>1</v>
      </c>
      <c r="CT118">
        <v>1</v>
      </c>
      <c r="CV118">
        <v>3.4722222222222222E-5</v>
      </c>
      <c r="CW118">
        <v>3.4722222222222222E-5</v>
      </c>
      <c r="CX118">
        <v>0.22258101851851853</v>
      </c>
      <c r="CY118">
        <v>0.18363425925925925</v>
      </c>
      <c r="CZ118">
        <v>137</v>
      </c>
      <c r="DA118">
        <v>218</v>
      </c>
      <c r="DB118">
        <v>37</v>
      </c>
      <c r="DC118" t="s">
        <v>914</v>
      </c>
      <c r="DD118">
        <v>29181</v>
      </c>
      <c r="DE118">
        <v>0.27010000000000001</v>
      </c>
      <c r="DF118">
        <v>3</v>
      </c>
      <c r="DG118">
        <v>8.1100000000000005E-2</v>
      </c>
      <c r="DH118">
        <v>14700</v>
      </c>
      <c r="DI118">
        <v>4900</v>
      </c>
      <c r="DJ118">
        <v>14700</v>
      </c>
      <c r="DK118">
        <v>1</v>
      </c>
      <c r="DL118">
        <v>0.2059</v>
      </c>
      <c r="DM118">
        <v>90</v>
      </c>
      <c r="DN118">
        <v>4900</v>
      </c>
    </row>
    <row r="119" spans="91:118" x14ac:dyDescent="0.25">
      <c r="CM119" t="s">
        <v>636</v>
      </c>
      <c r="CN119" t="s">
        <v>6</v>
      </c>
      <c r="CO119" t="s">
        <v>34</v>
      </c>
      <c r="CP119">
        <v>46090</v>
      </c>
      <c r="CQ119">
        <v>1</v>
      </c>
      <c r="CR119">
        <v>1</v>
      </c>
      <c r="CT119">
        <v>1</v>
      </c>
      <c r="CV119">
        <v>3.4722222222222222E-5</v>
      </c>
      <c r="CW119">
        <v>3.4722222222222222E-5</v>
      </c>
      <c r="CX119">
        <v>0.23287037037037037</v>
      </c>
      <c r="CY119">
        <v>7.7118055555555551E-2</v>
      </c>
      <c r="CZ119">
        <v>117</v>
      </c>
      <c r="DA119">
        <v>147</v>
      </c>
      <c r="DB119">
        <v>6</v>
      </c>
      <c r="DC119" t="s">
        <v>703</v>
      </c>
      <c r="DD119">
        <v>21355</v>
      </c>
      <c r="DE119">
        <v>5.1299999999999998E-2</v>
      </c>
      <c r="DF119">
        <v>1</v>
      </c>
      <c r="DG119">
        <v>0.16669999999999999</v>
      </c>
      <c r="DH119">
        <v>1500</v>
      </c>
      <c r="DI119">
        <v>1500</v>
      </c>
      <c r="DJ119">
        <v>1500</v>
      </c>
      <c r="DK119">
        <v>1</v>
      </c>
      <c r="DL119">
        <v>0.10639999999999999</v>
      </c>
      <c r="DM119">
        <v>90</v>
      </c>
      <c r="DN119">
        <v>1500</v>
      </c>
    </row>
    <row r="120" spans="91:118" x14ac:dyDescent="0.25">
      <c r="CM120" t="s">
        <v>636</v>
      </c>
      <c r="CN120" t="s">
        <v>6</v>
      </c>
      <c r="CO120" t="s">
        <v>34</v>
      </c>
      <c r="CP120">
        <v>46111</v>
      </c>
      <c r="CQ120">
        <v>1</v>
      </c>
      <c r="CR120">
        <v>1</v>
      </c>
      <c r="CS120">
        <v>1</v>
      </c>
      <c r="CV120">
        <v>1.3935185185185186E-2</v>
      </c>
      <c r="CW120">
        <v>1.3935185185185186E-2</v>
      </c>
      <c r="CX120">
        <v>0.22798611111111111</v>
      </c>
      <c r="CY120">
        <v>0.14586805555555554</v>
      </c>
      <c r="CZ120">
        <v>58</v>
      </c>
      <c r="DA120">
        <v>80</v>
      </c>
      <c r="DB120">
        <v>11</v>
      </c>
      <c r="DC120" t="s">
        <v>1020</v>
      </c>
      <c r="DD120">
        <v>35452</v>
      </c>
      <c r="DE120">
        <v>0.18970000000000001</v>
      </c>
      <c r="DF120">
        <v>3</v>
      </c>
      <c r="DG120">
        <v>0.2727</v>
      </c>
      <c r="DH120">
        <v>3410</v>
      </c>
      <c r="DI120">
        <v>1137</v>
      </c>
      <c r="DJ120">
        <v>3710</v>
      </c>
      <c r="DK120">
        <v>1.0880000000000001</v>
      </c>
      <c r="DL120">
        <v>0.19020000000000001</v>
      </c>
      <c r="DM120">
        <v>90</v>
      </c>
      <c r="DN120">
        <v>1237</v>
      </c>
    </row>
    <row r="121" spans="91:118" x14ac:dyDescent="0.25">
      <c r="CM121" t="s">
        <v>636</v>
      </c>
      <c r="CN121" t="s">
        <v>7</v>
      </c>
      <c r="CO121" t="s">
        <v>41</v>
      </c>
      <c r="CP121">
        <v>46084</v>
      </c>
      <c r="CQ121">
        <v>1</v>
      </c>
      <c r="CR121">
        <v>1</v>
      </c>
      <c r="CT121">
        <v>1</v>
      </c>
      <c r="CV121">
        <v>5.7870370370370373E-5</v>
      </c>
      <c r="CW121">
        <v>5.7870370370370373E-5</v>
      </c>
      <c r="CX121">
        <v>0.28312500000000002</v>
      </c>
      <c r="CY121">
        <v>0.12943287037037038</v>
      </c>
      <c r="CZ121">
        <v>86</v>
      </c>
      <c r="DA121">
        <v>210</v>
      </c>
      <c r="DB121">
        <v>34</v>
      </c>
      <c r="DC121" t="s">
        <v>785</v>
      </c>
      <c r="DD121">
        <v>8137</v>
      </c>
      <c r="DE121">
        <v>0.39529999999999998</v>
      </c>
      <c r="DF121">
        <v>3</v>
      </c>
      <c r="DG121">
        <v>8.8200000000000001E-2</v>
      </c>
      <c r="DH121">
        <v>1686</v>
      </c>
      <c r="DI121">
        <v>562</v>
      </c>
      <c r="DJ121">
        <v>1386</v>
      </c>
      <c r="DK121">
        <v>0.82210000000000005</v>
      </c>
      <c r="DL121">
        <v>0.1535</v>
      </c>
      <c r="DM121">
        <v>90</v>
      </c>
      <c r="DN121">
        <v>693</v>
      </c>
    </row>
    <row r="122" spans="91:118" x14ac:dyDescent="0.25">
      <c r="CM122" t="s">
        <v>636</v>
      </c>
      <c r="CN122" t="s">
        <v>7</v>
      </c>
      <c r="CO122" t="s">
        <v>41</v>
      </c>
      <c r="CP122">
        <v>46105</v>
      </c>
      <c r="CQ122">
        <v>1</v>
      </c>
      <c r="CR122">
        <v>1</v>
      </c>
      <c r="CT122">
        <v>1</v>
      </c>
      <c r="CV122">
        <v>2.6620370370370372E-4</v>
      </c>
      <c r="CW122">
        <v>2.6620370370370372E-4</v>
      </c>
      <c r="CX122">
        <v>0.14636574074074074</v>
      </c>
      <c r="CY122">
        <v>0.23517361111111112</v>
      </c>
      <c r="CZ122">
        <v>79</v>
      </c>
      <c r="DA122">
        <v>168</v>
      </c>
      <c r="DB122">
        <v>29</v>
      </c>
      <c r="DC122" t="s">
        <v>1006</v>
      </c>
      <c r="DD122">
        <v>12701</v>
      </c>
      <c r="DE122">
        <v>0.36709999999999998</v>
      </c>
      <c r="DF122">
        <v>2</v>
      </c>
      <c r="DG122">
        <v>6.9000000000000006E-2</v>
      </c>
      <c r="DH122">
        <v>2800</v>
      </c>
      <c r="DI122">
        <v>1400</v>
      </c>
      <c r="DJ122">
        <v>2800</v>
      </c>
      <c r="DK122">
        <v>1</v>
      </c>
      <c r="DL122">
        <v>0.1552</v>
      </c>
      <c r="DM122">
        <v>90</v>
      </c>
      <c r="DN122">
        <v>1400</v>
      </c>
    </row>
    <row r="123" spans="91:118" x14ac:dyDescent="0.25">
      <c r="CM123" t="s">
        <v>636</v>
      </c>
      <c r="CN123" t="s">
        <v>7</v>
      </c>
      <c r="CO123" t="s">
        <v>495</v>
      </c>
      <c r="CP123">
        <v>46086</v>
      </c>
      <c r="CQ123">
        <v>1</v>
      </c>
      <c r="CR123">
        <v>1</v>
      </c>
      <c r="CT123">
        <v>1</v>
      </c>
      <c r="CV123">
        <v>2.3148148148148149E-4</v>
      </c>
      <c r="CW123">
        <v>2.3148148148148149E-4</v>
      </c>
      <c r="CX123">
        <v>0.26612268518518517</v>
      </c>
      <c r="CY123">
        <v>0.14668981481481483</v>
      </c>
      <c r="CZ123">
        <v>184</v>
      </c>
      <c r="DA123">
        <v>353</v>
      </c>
      <c r="DB123">
        <v>49</v>
      </c>
      <c r="DC123" t="s">
        <v>958</v>
      </c>
      <c r="DD123">
        <v>9312</v>
      </c>
      <c r="DE123">
        <v>0.26629999999999998</v>
      </c>
      <c r="DF123">
        <v>3</v>
      </c>
      <c r="DG123">
        <v>6.1199999999999997E-2</v>
      </c>
      <c r="DH123">
        <v>1811</v>
      </c>
      <c r="DI123">
        <v>604</v>
      </c>
      <c r="DJ123">
        <v>1811</v>
      </c>
      <c r="DK123">
        <v>1</v>
      </c>
      <c r="DL123">
        <v>0.1268</v>
      </c>
      <c r="DM123">
        <v>90</v>
      </c>
      <c r="DN123">
        <v>604</v>
      </c>
    </row>
    <row r="124" spans="91:118" x14ac:dyDescent="0.25">
      <c r="CM124" t="s">
        <v>636</v>
      </c>
      <c r="CN124" t="s">
        <v>7</v>
      </c>
      <c r="CO124" t="s">
        <v>51</v>
      </c>
      <c r="CP124">
        <v>46086</v>
      </c>
      <c r="CQ124">
        <v>1</v>
      </c>
      <c r="CR124">
        <v>1</v>
      </c>
      <c r="CT124">
        <v>1</v>
      </c>
      <c r="CV124">
        <v>0</v>
      </c>
      <c r="CW124">
        <v>0</v>
      </c>
      <c r="CX124">
        <v>0.33413194444444444</v>
      </c>
      <c r="CY124">
        <v>7.5844907407407403E-2</v>
      </c>
      <c r="CZ124">
        <v>105</v>
      </c>
      <c r="DA124">
        <v>208</v>
      </c>
      <c r="DB124">
        <v>18</v>
      </c>
      <c r="DC124" t="s">
        <v>794</v>
      </c>
      <c r="DD124">
        <v>18401</v>
      </c>
      <c r="DE124">
        <v>0.1714</v>
      </c>
      <c r="DF124">
        <v>2</v>
      </c>
      <c r="DG124">
        <v>0.1111</v>
      </c>
      <c r="DH124">
        <v>1500</v>
      </c>
      <c r="DI124">
        <v>750</v>
      </c>
      <c r="DJ124">
        <v>1200</v>
      </c>
      <c r="DK124">
        <v>0.8</v>
      </c>
      <c r="DM124">
        <v>90</v>
      </c>
      <c r="DN124">
        <v>1200</v>
      </c>
    </row>
    <row r="125" spans="91:118" x14ac:dyDescent="0.25">
      <c r="CM125" t="s">
        <v>636</v>
      </c>
      <c r="CN125" t="s">
        <v>7</v>
      </c>
      <c r="CO125" t="s">
        <v>51</v>
      </c>
      <c r="CP125">
        <v>46092</v>
      </c>
      <c r="CQ125">
        <v>1</v>
      </c>
      <c r="CR125">
        <v>1</v>
      </c>
      <c r="CT125">
        <v>1</v>
      </c>
      <c r="CV125">
        <v>2.2106481481481482E-3</v>
      </c>
      <c r="CW125">
        <v>2.2106481481481482E-3</v>
      </c>
      <c r="CX125">
        <v>0.2555324074074074</v>
      </c>
      <c r="CY125">
        <v>7.5729166666666667E-2</v>
      </c>
      <c r="CZ125">
        <v>61</v>
      </c>
      <c r="DA125">
        <v>128</v>
      </c>
      <c r="DB125">
        <v>9</v>
      </c>
      <c r="DC125" t="s">
        <v>718</v>
      </c>
      <c r="DD125">
        <v>12429</v>
      </c>
      <c r="DE125">
        <v>0.14749999999999999</v>
      </c>
      <c r="DF125">
        <v>1</v>
      </c>
      <c r="DG125">
        <v>0.1111</v>
      </c>
      <c r="DH125">
        <v>750</v>
      </c>
      <c r="DI125">
        <v>750</v>
      </c>
      <c r="DJ125">
        <v>750</v>
      </c>
      <c r="DK125">
        <v>1</v>
      </c>
      <c r="DL125">
        <v>0.1178</v>
      </c>
      <c r="DM125">
        <v>90</v>
      </c>
      <c r="DN125">
        <v>750</v>
      </c>
    </row>
    <row r="126" spans="91:118" x14ac:dyDescent="0.25">
      <c r="CM126" t="s">
        <v>636</v>
      </c>
      <c r="CN126" t="s">
        <v>7</v>
      </c>
      <c r="CO126" t="s">
        <v>51</v>
      </c>
      <c r="CP126">
        <v>46093</v>
      </c>
      <c r="CQ126">
        <v>1</v>
      </c>
      <c r="CR126">
        <v>1</v>
      </c>
      <c r="CT126">
        <v>1</v>
      </c>
      <c r="CV126">
        <v>0</v>
      </c>
      <c r="CW126">
        <v>0</v>
      </c>
      <c r="CX126">
        <v>0.24802083333333333</v>
      </c>
      <c r="CY126">
        <v>8.7314814814814817E-2</v>
      </c>
      <c r="CZ126">
        <v>72</v>
      </c>
      <c r="DA126">
        <v>157</v>
      </c>
      <c r="DB126">
        <v>23</v>
      </c>
      <c r="DC126" t="s">
        <v>827</v>
      </c>
      <c r="DD126">
        <v>15760</v>
      </c>
      <c r="DE126">
        <v>0.31940000000000002</v>
      </c>
      <c r="DF126">
        <v>1</v>
      </c>
      <c r="DG126">
        <v>4.3499999999999997E-2</v>
      </c>
      <c r="DH126">
        <v>200</v>
      </c>
      <c r="DI126">
        <v>200</v>
      </c>
      <c r="DJ126">
        <v>200</v>
      </c>
      <c r="DK126">
        <v>1</v>
      </c>
      <c r="DL126">
        <v>0.26200000000000001</v>
      </c>
      <c r="DM126">
        <v>90</v>
      </c>
      <c r="DN126">
        <v>200</v>
      </c>
    </row>
    <row r="127" spans="91:118" x14ac:dyDescent="0.25">
      <c r="CM127" t="s">
        <v>636</v>
      </c>
      <c r="CN127" t="s">
        <v>7</v>
      </c>
      <c r="CO127" t="s">
        <v>51</v>
      </c>
      <c r="CP127">
        <v>46107</v>
      </c>
      <c r="CQ127">
        <v>1</v>
      </c>
      <c r="CR127">
        <v>1</v>
      </c>
      <c r="CT127">
        <v>1</v>
      </c>
      <c r="CV127">
        <v>1.8865740740740742E-3</v>
      </c>
      <c r="CW127">
        <v>1.8865740740740742E-3</v>
      </c>
      <c r="CX127">
        <v>0.19741898148148149</v>
      </c>
      <c r="CY127">
        <v>0.14289351851851853</v>
      </c>
      <c r="CZ127">
        <v>94</v>
      </c>
      <c r="DA127">
        <v>180</v>
      </c>
      <c r="DB127">
        <v>14</v>
      </c>
      <c r="DC127" t="s">
        <v>745</v>
      </c>
      <c r="DD127">
        <v>23491</v>
      </c>
      <c r="DE127">
        <v>0.1489</v>
      </c>
      <c r="DF127">
        <v>1</v>
      </c>
      <c r="DG127">
        <v>7.1400000000000005E-2</v>
      </c>
      <c r="DH127">
        <v>135</v>
      </c>
      <c r="DI127">
        <v>135</v>
      </c>
      <c r="DJ127">
        <v>135</v>
      </c>
      <c r="DK127">
        <v>1</v>
      </c>
      <c r="DL127">
        <v>1.0032000000000001</v>
      </c>
      <c r="DM127">
        <v>90</v>
      </c>
      <c r="DN127">
        <v>135</v>
      </c>
    </row>
    <row r="128" spans="91:118" x14ac:dyDescent="0.25">
      <c r="CM128" t="s">
        <v>636</v>
      </c>
      <c r="CN128" t="s">
        <v>7</v>
      </c>
      <c r="CO128" t="s">
        <v>49</v>
      </c>
      <c r="CP128">
        <v>46085</v>
      </c>
      <c r="CQ128">
        <v>1</v>
      </c>
      <c r="CR128">
        <v>1</v>
      </c>
      <c r="CV128">
        <v>3.7731481481481483E-3</v>
      </c>
      <c r="CW128">
        <v>3.7731481481481483E-3</v>
      </c>
      <c r="CX128">
        <v>0.18479166666666666</v>
      </c>
      <c r="CY128">
        <v>0.10375</v>
      </c>
      <c r="CZ128">
        <v>70</v>
      </c>
      <c r="DA128">
        <v>119</v>
      </c>
      <c r="DB128">
        <v>15</v>
      </c>
      <c r="DC128" t="s">
        <v>674</v>
      </c>
      <c r="DD128">
        <v>13773</v>
      </c>
      <c r="DE128">
        <v>0.21429999999999999</v>
      </c>
      <c r="DF128">
        <v>2</v>
      </c>
      <c r="DG128">
        <v>0.1333</v>
      </c>
      <c r="DH128">
        <v>540</v>
      </c>
      <c r="DI128">
        <v>270</v>
      </c>
      <c r="DJ128">
        <v>300</v>
      </c>
      <c r="DK128">
        <v>0.55559999999999998</v>
      </c>
      <c r="DL128">
        <v>0.18360000000000001</v>
      </c>
      <c r="DM128">
        <v>90</v>
      </c>
      <c r="DN128">
        <v>300</v>
      </c>
    </row>
    <row r="129" spans="91:118" x14ac:dyDescent="0.25">
      <c r="CM129" t="s">
        <v>636</v>
      </c>
      <c r="CN129" t="s">
        <v>7</v>
      </c>
      <c r="CO129" t="s">
        <v>49</v>
      </c>
      <c r="CP129">
        <v>46097</v>
      </c>
      <c r="CQ129">
        <v>1</v>
      </c>
      <c r="CR129">
        <v>1</v>
      </c>
      <c r="CS129">
        <v>1</v>
      </c>
      <c r="CV129">
        <v>0.13144675925925925</v>
      </c>
      <c r="CW129">
        <v>0.13144675925925925</v>
      </c>
      <c r="CX129">
        <v>0.19074074074074074</v>
      </c>
      <c r="CY129">
        <v>0.12835648148148149</v>
      </c>
      <c r="CZ129">
        <v>38</v>
      </c>
      <c r="DA129">
        <v>62</v>
      </c>
      <c r="DB129">
        <v>14</v>
      </c>
      <c r="DC129" t="s">
        <v>730</v>
      </c>
      <c r="DD129">
        <v>34535</v>
      </c>
      <c r="DE129">
        <v>0.36840000000000001</v>
      </c>
      <c r="DF129">
        <v>2</v>
      </c>
      <c r="DG129">
        <v>0.1429</v>
      </c>
      <c r="DH129">
        <v>1000</v>
      </c>
      <c r="DI129">
        <v>500</v>
      </c>
      <c r="DJ129">
        <v>1000</v>
      </c>
      <c r="DK129">
        <v>1</v>
      </c>
      <c r="DM129">
        <v>90</v>
      </c>
      <c r="DN129">
        <v>500</v>
      </c>
    </row>
    <row r="130" spans="91:118" x14ac:dyDescent="0.25">
      <c r="CM130" t="s">
        <v>636</v>
      </c>
      <c r="CN130" t="s">
        <v>7</v>
      </c>
      <c r="CO130" t="s">
        <v>549</v>
      </c>
      <c r="CP130">
        <v>46098</v>
      </c>
      <c r="CQ130">
        <v>1</v>
      </c>
      <c r="CR130">
        <v>1</v>
      </c>
      <c r="CT130">
        <v>1</v>
      </c>
      <c r="CV130">
        <v>0</v>
      </c>
      <c r="CW130">
        <v>0</v>
      </c>
      <c r="CX130">
        <v>0.22331018518518519</v>
      </c>
      <c r="CY130">
        <v>0.11412037037037037</v>
      </c>
      <c r="CZ130">
        <v>164</v>
      </c>
      <c r="DA130">
        <v>211</v>
      </c>
      <c r="DB130">
        <v>34</v>
      </c>
      <c r="DC130" t="s">
        <v>728</v>
      </c>
      <c r="DD130">
        <v>11671</v>
      </c>
      <c r="DE130">
        <v>0.20730000000000001</v>
      </c>
      <c r="DF130">
        <v>1</v>
      </c>
      <c r="DG130">
        <v>2.9399999999999999E-2</v>
      </c>
      <c r="DH130">
        <v>2700</v>
      </c>
      <c r="DI130">
        <v>2700</v>
      </c>
      <c r="DJ130">
        <v>2700</v>
      </c>
      <c r="DK130">
        <v>1</v>
      </c>
      <c r="DL130">
        <v>8.5699999999999998E-2</v>
      </c>
      <c r="DM130">
        <v>90</v>
      </c>
      <c r="DN130">
        <v>2700</v>
      </c>
    </row>
    <row r="131" spans="91:118" x14ac:dyDescent="0.25">
      <c r="CM131" t="s">
        <v>636</v>
      </c>
      <c r="CN131" t="s">
        <v>7</v>
      </c>
      <c r="CO131" t="s">
        <v>566</v>
      </c>
      <c r="CP131">
        <v>46111</v>
      </c>
      <c r="CQ131">
        <v>1</v>
      </c>
      <c r="CR131">
        <v>1</v>
      </c>
      <c r="CS131">
        <v>1</v>
      </c>
      <c r="CV131">
        <v>9.9305555555555553E-3</v>
      </c>
      <c r="CW131">
        <v>9.9305555555555553E-3</v>
      </c>
      <c r="CX131">
        <v>0.21253472222222222</v>
      </c>
      <c r="CY131">
        <v>0.16877314814814814</v>
      </c>
      <c r="CZ131">
        <v>155</v>
      </c>
      <c r="DA131">
        <v>276</v>
      </c>
      <c r="DB131">
        <v>36</v>
      </c>
      <c r="DC131" t="s">
        <v>994</v>
      </c>
      <c r="DD131">
        <v>15474</v>
      </c>
      <c r="DE131">
        <v>0.23230000000000001</v>
      </c>
      <c r="DF131">
        <v>2</v>
      </c>
      <c r="DG131">
        <v>5.5599999999999997E-2</v>
      </c>
      <c r="DH131">
        <v>1330</v>
      </c>
      <c r="DI131">
        <v>665</v>
      </c>
      <c r="DJ131">
        <v>1330</v>
      </c>
      <c r="DK131">
        <v>1</v>
      </c>
      <c r="DL131">
        <v>0.1479</v>
      </c>
      <c r="DM131">
        <v>90</v>
      </c>
      <c r="DN131">
        <v>665</v>
      </c>
    </row>
    <row r="132" spans="91:118" x14ac:dyDescent="0.25">
      <c r="CM132" t="s">
        <v>636</v>
      </c>
      <c r="CN132" t="s">
        <v>7</v>
      </c>
      <c r="CO132" t="s">
        <v>73</v>
      </c>
      <c r="CP132">
        <v>46090</v>
      </c>
      <c r="CQ132">
        <v>1</v>
      </c>
      <c r="CR132">
        <v>1</v>
      </c>
      <c r="CT132">
        <v>1</v>
      </c>
      <c r="CV132">
        <v>1.9675925925925926E-4</v>
      </c>
      <c r="CW132">
        <v>1.9675925925925926E-4</v>
      </c>
      <c r="CX132">
        <v>0.21005787037037038</v>
      </c>
      <c r="CY132">
        <v>8.6724537037037031E-2</v>
      </c>
      <c r="CZ132">
        <v>56</v>
      </c>
      <c r="DA132">
        <v>102</v>
      </c>
      <c r="DB132">
        <v>13</v>
      </c>
      <c r="DC132" t="s">
        <v>799</v>
      </c>
      <c r="DD132">
        <v>14926</v>
      </c>
      <c r="DE132">
        <v>0.2321</v>
      </c>
      <c r="DF132">
        <v>2</v>
      </c>
      <c r="DG132">
        <v>0.15379999999999999</v>
      </c>
      <c r="DH132">
        <v>593</v>
      </c>
      <c r="DI132">
        <v>297</v>
      </c>
      <c r="DJ132">
        <v>193</v>
      </c>
      <c r="DK132">
        <v>0.32550000000000001</v>
      </c>
      <c r="DL132">
        <v>0.20050000000000001</v>
      </c>
      <c r="DM132">
        <v>90</v>
      </c>
      <c r="DN132">
        <v>193</v>
      </c>
    </row>
    <row r="133" spans="91:118" x14ac:dyDescent="0.25">
      <c r="CM133" t="s">
        <v>636</v>
      </c>
      <c r="CN133" t="s">
        <v>7</v>
      </c>
      <c r="CO133" t="s">
        <v>73</v>
      </c>
      <c r="CP133">
        <v>46094</v>
      </c>
      <c r="CQ133">
        <v>1</v>
      </c>
      <c r="CR133">
        <v>1</v>
      </c>
      <c r="CS133">
        <v>1</v>
      </c>
      <c r="CV133">
        <v>8.0439814814814818E-3</v>
      </c>
      <c r="CW133">
        <v>8.0439814814814818E-3</v>
      </c>
      <c r="CX133">
        <v>0.22774305555555555</v>
      </c>
      <c r="CY133">
        <v>0.10739583333333333</v>
      </c>
      <c r="CZ133">
        <v>52</v>
      </c>
      <c r="DA133">
        <v>86</v>
      </c>
      <c r="DB133">
        <v>14</v>
      </c>
      <c r="DC133" t="s">
        <v>986</v>
      </c>
      <c r="DD133">
        <v>33849</v>
      </c>
      <c r="DE133">
        <v>0.26919999999999999</v>
      </c>
      <c r="DF133">
        <v>1</v>
      </c>
      <c r="DG133">
        <v>7.1400000000000005E-2</v>
      </c>
      <c r="DH133">
        <v>600</v>
      </c>
      <c r="DI133">
        <v>600</v>
      </c>
      <c r="DJ133">
        <v>600</v>
      </c>
      <c r="DK133">
        <v>1</v>
      </c>
      <c r="DM133">
        <v>90</v>
      </c>
      <c r="DN133">
        <v>600</v>
      </c>
    </row>
    <row r="134" spans="91:118" x14ac:dyDescent="0.25">
      <c r="CM134" t="s">
        <v>636</v>
      </c>
      <c r="CN134" t="s">
        <v>7</v>
      </c>
      <c r="CO134" t="s">
        <v>48</v>
      </c>
      <c r="CP134">
        <v>46090</v>
      </c>
      <c r="CQ134">
        <v>1</v>
      </c>
      <c r="CR134">
        <v>1</v>
      </c>
      <c r="CT134">
        <v>1</v>
      </c>
      <c r="CV134">
        <v>2.0833333333333335E-4</v>
      </c>
      <c r="CW134">
        <v>2.0833333333333335E-4</v>
      </c>
      <c r="CX134">
        <v>0.206875</v>
      </c>
      <c r="CY134">
        <v>0.10523148148148148</v>
      </c>
      <c r="CZ134">
        <v>62</v>
      </c>
      <c r="DA134">
        <v>86</v>
      </c>
      <c r="DB134">
        <v>19</v>
      </c>
      <c r="DC134" t="s">
        <v>921</v>
      </c>
      <c r="DD134">
        <v>24838</v>
      </c>
      <c r="DE134">
        <v>0.30649999999999999</v>
      </c>
      <c r="DF134">
        <v>2</v>
      </c>
      <c r="DG134">
        <v>0.1053</v>
      </c>
      <c r="DH134">
        <v>12300</v>
      </c>
      <c r="DI134">
        <v>6150</v>
      </c>
      <c r="DJ134">
        <v>6300</v>
      </c>
      <c r="DK134">
        <v>0.51219999999999999</v>
      </c>
      <c r="DL134">
        <v>9.4299999999999995E-2</v>
      </c>
      <c r="DM134">
        <v>90</v>
      </c>
      <c r="DN134">
        <v>3150</v>
      </c>
    </row>
    <row r="135" spans="91:118" x14ac:dyDescent="0.25">
      <c r="CM135" t="s">
        <v>636</v>
      </c>
      <c r="CN135" t="s">
        <v>3</v>
      </c>
      <c r="CO135" t="s">
        <v>174</v>
      </c>
      <c r="CP135">
        <v>46111</v>
      </c>
      <c r="CQ135">
        <v>1</v>
      </c>
      <c r="CR135">
        <v>1</v>
      </c>
      <c r="CT135">
        <v>1</v>
      </c>
      <c r="CV135">
        <v>0</v>
      </c>
      <c r="CW135">
        <v>0</v>
      </c>
      <c r="CX135">
        <v>0.26247685185185188</v>
      </c>
      <c r="CY135">
        <v>0.12986111111111112</v>
      </c>
      <c r="CZ135">
        <v>169</v>
      </c>
      <c r="DA135">
        <v>263</v>
      </c>
      <c r="DB135">
        <v>27</v>
      </c>
      <c r="DC135" t="s">
        <v>1021</v>
      </c>
      <c r="DD135">
        <v>23899</v>
      </c>
      <c r="DE135">
        <v>0.1598</v>
      </c>
      <c r="DF135">
        <v>1</v>
      </c>
      <c r="DG135">
        <v>3.6999999999999998E-2</v>
      </c>
      <c r="DH135">
        <v>5000</v>
      </c>
      <c r="DI135">
        <v>5000</v>
      </c>
      <c r="DJ135">
        <v>5000</v>
      </c>
      <c r="DK135">
        <v>1</v>
      </c>
      <c r="DL135">
        <v>0.21199999999999999</v>
      </c>
      <c r="DM135">
        <v>90</v>
      </c>
      <c r="DN135">
        <v>5000</v>
      </c>
    </row>
    <row r="136" spans="91:118" x14ac:dyDescent="0.25">
      <c r="CM136" t="s">
        <v>636</v>
      </c>
      <c r="CN136" t="s">
        <v>3</v>
      </c>
      <c r="CO136" t="s">
        <v>32</v>
      </c>
      <c r="CP136">
        <v>46093</v>
      </c>
      <c r="CQ136">
        <v>1</v>
      </c>
      <c r="CR136">
        <v>1</v>
      </c>
      <c r="CT136">
        <v>1</v>
      </c>
      <c r="CV136">
        <v>9.2592592592592588E-5</v>
      </c>
      <c r="CW136">
        <v>9.2592592592592588E-5</v>
      </c>
      <c r="CX136">
        <v>0.25783564814814813</v>
      </c>
      <c r="CY136">
        <v>9.3148148148148147E-2</v>
      </c>
      <c r="CZ136">
        <v>93</v>
      </c>
      <c r="DA136">
        <v>220</v>
      </c>
      <c r="DB136">
        <v>37</v>
      </c>
      <c r="DC136">
        <v>2</v>
      </c>
      <c r="DD136">
        <v>22811</v>
      </c>
      <c r="DE136">
        <v>0.39779999999999999</v>
      </c>
      <c r="DF136">
        <v>2</v>
      </c>
      <c r="DG136">
        <v>5.4100000000000002E-2</v>
      </c>
      <c r="DH136">
        <v>11360</v>
      </c>
      <c r="DI136">
        <v>5680</v>
      </c>
      <c r="DJ136">
        <v>11360</v>
      </c>
      <c r="DK136">
        <v>1</v>
      </c>
      <c r="DL136">
        <v>0.30159999999999998</v>
      </c>
      <c r="DM136">
        <v>90</v>
      </c>
      <c r="DN136">
        <v>5680</v>
      </c>
    </row>
    <row r="137" spans="91:118" x14ac:dyDescent="0.25">
      <c r="CM137" t="s">
        <v>636</v>
      </c>
      <c r="CN137" t="s">
        <v>3</v>
      </c>
      <c r="CO137" t="s">
        <v>32</v>
      </c>
      <c r="CP137">
        <v>46099</v>
      </c>
      <c r="CQ137">
        <v>1</v>
      </c>
      <c r="CR137">
        <v>1</v>
      </c>
      <c r="CT137">
        <v>1</v>
      </c>
      <c r="CV137">
        <v>1.1574074074074075E-4</v>
      </c>
      <c r="CW137">
        <v>1.1574074074074075E-4</v>
      </c>
      <c r="CX137">
        <v>0.26356481481481481</v>
      </c>
      <c r="CY137">
        <v>0.12936342592592592</v>
      </c>
      <c r="CZ137">
        <v>98</v>
      </c>
      <c r="DA137">
        <v>226</v>
      </c>
      <c r="DB137">
        <v>37</v>
      </c>
      <c r="DC137" t="s">
        <v>914</v>
      </c>
      <c r="DD137">
        <v>39329</v>
      </c>
      <c r="DE137">
        <v>0.37759999999999999</v>
      </c>
      <c r="DF137">
        <v>2</v>
      </c>
      <c r="DG137">
        <v>5.4100000000000002E-2</v>
      </c>
      <c r="DH137">
        <v>15450</v>
      </c>
      <c r="DI137">
        <v>7725</v>
      </c>
      <c r="DJ137">
        <v>15450</v>
      </c>
      <c r="DK137">
        <v>1</v>
      </c>
      <c r="DL137">
        <v>0.11849999999999999</v>
      </c>
      <c r="DM137">
        <v>90</v>
      </c>
      <c r="DN137">
        <v>7725</v>
      </c>
    </row>
    <row r="138" spans="91:118" x14ac:dyDescent="0.25">
      <c r="CM138" t="s">
        <v>636</v>
      </c>
      <c r="CN138" t="s">
        <v>3</v>
      </c>
      <c r="CO138" t="s">
        <v>38</v>
      </c>
      <c r="CP138">
        <v>46094</v>
      </c>
      <c r="CQ138">
        <v>1</v>
      </c>
      <c r="CR138">
        <v>1</v>
      </c>
      <c r="CT138">
        <v>1</v>
      </c>
      <c r="CV138">
        <v>1.1574074074074075E-4</v>
      </c>
      <c r="CW138">
        <v>1.1574074074074075E-4</v>
      </c>
      <c r="CX138">
        <v>0.24587962962962964</v>
      </c>
      <c r="CY138">
        <v>0.10172453703703704</v>
      </c>
      <c r="CZ138">
        <v>87</v>
      </c>
      <c r="DA138">
        <v>128</v>
      </c>
      <c r="DB138">
        <v>33</v>
      </c>
      <c r="DC138" t="s">
        <v>973</v>
      </c>
      <c r="DD138">
        <v>16811</v>
      </c>
      <c r="DE138">
        <v>0.37930000000000003</v>
      </c>
      <c r="DF138">
        <v>3</v>
      </c>
      <c r="DG138">
        <v>9.0899999999999995E-2</v>
      </c>
      <c r="DH138">
        <v>738</v>
      </c>
      <c r="DI138">
        <v>246</v>
      </c>
      <c r="DJ138">
        <v>738</v>
      </c>
      <c r="DK138">
        <v>1</v>
      </c>
      <c r="DL138">
        <v>1.0205</v>
      </c>
      <c r="DM138">
        <v>90</v>
      </c>
      <c r="DN138">
        <v>246</v>
      </c>
    </row>
    <row r="139" spans="91:118" x14ac:dyDescent="0.25">
      <c r="CM139" t="s">
        <v>636</v>
      </c>
      <c r="CN139" t="s">
        <v>3</v>
      </c>
      <c r="CO139" t="s">
        <v>78</v>
      </c>
      <c r="CP139">
        <v>46108</v>
      </c>
      <c r="CQ139">
        <v>1</v>
      </c>
      <c r="CR139">
        <v>1</v>
      </c>
      <c r="CT139">
        <v>1</v>
      </c>
      <c r="CV139">
        <v>0</v>
      </c>
      <c r="CW139">
        <v>0</v>
      </c>
      <c r="CX139">
        <v>0.12615740740740741</v>
      </c>
      <c r="CY139">
        <v>0.26075231481481481</v>
      </c>
      <c r="CZ139">
        <v>75</v>
      </c>
      <c r="DA139">
        <v>147</v>
      </c>
      <c r="DB139">
        <v>24</v>
      </c>
      <c r="DC139">
        <v>1.625</v>
      </c>
      <c r="DD139">
        <v>22086</v>
      </c>
      <c r="DE139">
        <v>0.32</v>
      </c>
      <c r="DF139">
        <v>2</v>
      </c>
      <c r="DG139">
        <v>8.3299999999999999E-2</v>
      </c>
      <c r="DH139">
        <v>2880</v>
      </c>
      <c r="DI139">
        <v>1440</v>
      </c>
      <c r="DJ139">
        <v>2880</v>
      </c>
      <c r="DK139">
        <v>1</v>
      </c>
      <c r="DL139">
        <v>0.2717</v>
      </c>
      <c r="DM139">
        <v>90</v>
      </c>
      <c r="DN139">
        <v>1440</v>
      </c>
    </row>
    <row r="140" spans="91:118" x14ac:dyDescent="0.25">
      <c r="CM140" t="s">
        <v>636</v>
      </c>
      <c r="CN140" t="s">
        <v>3</v>
      </c>
      <c r="CO140" t="s">
        <v>76</v>
      </c>
      <c r="CP140">
        <v>46084</v>
      </c>
      <c r="CQ140">
        <v>1</v>
      </c>
      <c r="CR140">
        <v>1</v>
      </c>
      <c r="CT140">
        <v>1</v>
      </c>
      <c r="CV140">
        <v>0</v>
      </c>
      <c r="CW140">
        <v>0</v>
      </c>
      <c r="CX140">
        <v>0.27302083333333332</v>
      </c>
      <c r="CY140">
        <v>0.12929398148148147</v>
      </c>
      <c r="CZ140">
        <v>53</v>
      </c>
      <c r="DA140">
        <v>81</v>
      </c>
      <c r="DB140">
        <v>15</v>
      </c>
      <c r="DC140" t="s">
        <v>742</v>
      </c>
      <c r="DD140">
        <v>12709</v>
      </c>
      <c r="DE140">
        <v>0.28299999999999997</v>
      </c>
      <c r="DF140">
        <v>4</v>
      </c>
      <c r="DG140">
        <v>0.26669999999999999</v>
      </c>
      <c r="DH140">
        <v>6000</v>
      </c>
      <c r="DI140">
        <v>1500</v>
      </c>
      <c r="DJ140">
        <v>6000</v>
      </c>
      <c r="DK140">
        <v>1</v>
      </c>
      <c r="DL140">
        <v>0.25180000000000002</v>
      </c>
      <c r="DM140">
        <v>90</v>
      </c>
      <c r="DN140">
        <v>1500</v>
      </c>
    </row>
    <row r="141" spans="91:118" x14ac:dyDescent="0.25">
      <c r="CM141" t="s">
        <v>636</v>
      </c>
      <c r="CN141" t="s">
        <v>125</v>
      </c>
      <c r="CO141" t="s">
        <v>60</v>
      </c>
      <c r="CP141">
        <v>46086</v>
      </c>
      <c r="CQ141">
        <v>1</v>
      </c>
      <c r="CR141">
        <v>1</v>
      </c>
      <c r="CV141">
        <v>0</v>
      </c>
      <c r="CW141">
        <v>0</v>
      </c>
      <c r="CX141">
        <v>0.21305555555555555</v>
      </c>
      <c r="CY141">
        <v>3.7881944444444447E-2</v>
      </c>
      <c r="CZ141">
        <v>72</v>
      </c>
      <c r="DA141">
        <v>105</v>
      </c>
      <c r="DB141">
        <v>5</v>
      </c>
      <c r="DC141">
        <v>2</v>
      </c>
      <c r="DD141">
        <v>7118</v>
      </c>
      <c r="DE141">
        <v>6.9400000000000003E-2</v>
      </c>
      <c r="DF141">
        <v>1</v>
      </c>
      <c r="DG141">
        <v>0.2</v>
      </c>
      <c r="DH141">
        <v>1300</v>
      </c>
      <c r="DI141">
        <v>1300</v>
      </c>
      <c r="DJ141">
        <v>1300</v>
      </c>
      <c r="DK141">
        <v>1</v>
      </c>
      <c r="DL141">
        <v>0.13059999999999999</v>
      </c>
      <c r="DM141">
        <v>88</v>
      </c>
      <c r="DN141">
        <v>1300</v>
      </c>
    </row>
    <row r="142" spans="91:118" x14ac:dyDescent="0.25">
      <c r="CM142" t="s">
        <v>636</v>
      </c>
      <c r="CN142" t="s">
        <v>125</v>
      </c>
      <c r="CO142" t="s">
        <v>60</v>
      </c>
      <c r="CP142">
        <v>46090</v>
      </c>
      <c r="CQ142">
        <v>1</v>
      </c>
      <c r="CR142">
        <v>1</v>
      </c>
      <c r="CT142">
        <v>1</v>
      </c>
      <c r="CV142">
        <v>3.4722222222222222E-5</v>
      </c>
      <c r="CW142">
        <v>3.4722222222222222E-5</v>
      </c>
      <c r="CX142">
        <v>0.2260763888888889</v>
      </c>
      <c r="CY142">
        <v>0.10954861111111111</v>
      </c>
      <c r="CZ142">
        <v>90</v>
      </c>
      <c r="DA142">
        <v>122</v>
      </c>
      <c r="DB142">
        <v>11</v>
      </c>
      <c r="DC142" t="s">
        <v>852</v>
      </c>
      <c r="DD142">
        <v>10710</v>
      </c>
      <c r="DE142">
        <v>0.1222</v>
      </c>
      <c r="DF142">
        <v>1</v>
      </c>
      <c r="DG142">
        <v>9.0899999999999995E-2</v>
      </c>
      <c r="DH142">
        <v>3800</v>
      </c>
      <c r="DI142">
        <v>3800</v>
      </c>
      <c r="DJ142">
        <v>3800</v>
      </c>
      <c r="DK142">
        <v>1</v>
      </c>
      <c r="DL142">
        <v>0.28260000000000002</v>
      </c>
      <c r="DM142">
        <v>88</v>
      </c>
      <c r="DN142">
        <v>3800</v>
      </c>
    </row>
    <row r="143" spans="91:118" x14ac:dyDescent="0.25">
      <c r="CM143" t="s">
        <v>636</v>
      </c>
      <c r="CN143" t="s">
        <v>125</v>
      </c>
      <c r="CO143" t="s">
        <v>60</v>
      </c>
      <c r="CP143">
        <v>46107</v>
      </c>
      <c r="CQ143">
        <v>1</v>
      </c>
      <c r="CR143">
        <v>1</v>
      </c>
      <c r="CT143">
        <v>1</v>
      </c>
      <c r="CV143">
        <v>2.3148148148148147E-5</v>
      </c>
      <c r="CW143">
        <v>2.3148148148148147E-5</v>
      </c>
      <c r="CX143">
        <v>0.19006944444444446</v>
      </c>
      <c r="CY143">
        <v>0.13837962962962963</v>
      </c>
      <c r="CZ143">
        <v>98</v>
      </c>
      <c r="DA143">
        <v>136</v>
      </c>
      <c r="DB143">
        <v>8</v>
      </c>
      <c r="DC143">
        <v>1.5</v>
      </c>
      <c r="DD143">
        <v>39496</v>
      </c>
      <c r="DE143">
        <v>8.1600000000000006E-2</v>
      </c>
      <c r="DF143">
        <v>1</v>
      </c>
      <c r="DG143">
        <v>0.125</v>
      </c>
      <c r="DH143">
        <v>600</v>
      </c>
      <c r="DI143">
        <v>600</v>
      </c>
      <c r="DM143">
        <v>88</v>
      </c>
    </row>
    <row r="144" spans="91:118" x14ac:dyDescent="0.25">
      <c r="CM144" t="s">
        <v>636</v>
      </c>
      <c r="CN144" t="s">
        <v>125</v>
      </c>
      <c r="CO144" t="s">
        <v>72</v>
      </c>
      <c r="CP144">
        <v>46092</v>
      </c>
      <c r="CQ144">
        <v>1</v>
      </c>
      <c r="CR144">
        <v>1</v>
      </c>
      <c r="CT144">
        <v>1</v>
      </c>
      <c r="CV144">
        <v>1.1574074074074075E-4</v>
      </c>
      <c r="CW144">
        <v>1.1574074074074075E-4</v>
      </c>
      <c r="CX144">
        <v>0.24988425925925925</v>
      </c>
      <c r="CY144">
        <v>8.3136574074074071E-2</v>
      </c>
      <c r="CZ144">
        <v>107</v>
      </c>
      <c r="DA144">
        <v>311</v>
      </c>
      <c r="DB144">
        <v>11</v>
      </c>
      <c r="DC144" t="s">
        <v>847</v>
      </c>
      <c r="DD144">
        <v>39493</v>
      </c>
      <c r="DE144">
        <v>0.1028</v>
      </c>
      <c r="DF144">
        <v>1</v>
      </c>
      <c r="DG144">
        <v>9.0899999999999995E-2</v>
      </c>
      <c r="DH144">
        <v>300</v>
      </c>
      <c r="DI144">
        <v>300</v>
      </c>
      <c r="DJ144">
        <v>300</v>
      </c>
      <c r="DK144">
        <v>1</v>
      </c>
      <c r="DM144">
        <v>88</v>
      </c>
      <c r="DN144">
        <v>300</v>
      </c>
    </row>
    <row r="145" spans="91:118" x14ac:dyDescent="0.25">
      <c r="CM145" t="s">
        <v>636</v>
      </c>
      <c r="CN145" t="s">
        <v>125</v>
      </c>
      <c r="CO145" t="s">
        <v>72</v>
      </c>
      <c r="CP145">
        <v>46094</v>
      </c>
      <c r="CQ145">
        <v>1</v>
      </c>
      <c r="CR145">
        <v>1</v>
      </c>
      <c r="CT145">
        <v>1</v>
      </c>
      <c r="CV145">
        <v>2.5462962962962961E-4</v>
      </c>
      <c r="CW145">
        <v>2.5462962962962961E-4</v>
      </c>
      <c r="CX145">
        <v>0.23708333333333334</v>
      </c>
      <c r="CY145">
        <v>0.10451388888888889</v>
      </c>
      <c r="CZ145">
        <v>107</v>
      </c>
      <c r="DA145">
        <v>301</v>
      </c>
      <c r="DB145">
        <v>21</v>
      </c>
      <c r="DC145" t="s">
        <v>679</v>
      </c>
      <c r="DD145">
        <v>21236</v>
      </c>
      <c r="DE145">
        <v>0.1963</v>
      </c>
      <c r="DF145">
        <v>1</v>
      </c>
      <c r="DG145">
        <v>4.7600000000000003E-2</v>
      </c>
      <c r="DH145">
        <v>1000</v>
      </c>
      <c r="DI145">
        <v>1000</v>
      </c>
      <c r="DJ145">
        <v>1000</v>
      </c>
      <c r="DK145">
        <v>1</v>
      </c>
      <c r="DL145">
        <v>0.1081</v>
      </c>
      <c r="DM145">
        <v>88</v>
      </c>
      <c r="DN145">
        <v>1000</v>
      </c>
    </row>
    <row r="146" spans="91:118" x14ac:dyDescent="0.25">
      <c r="CM146" t="s">
        <v>636</v>
      </c>
      <c r="CN146" t="s">
        <v>125</v>
      </c>
      <c r="CO146" t="s">
        <v>12</v>
      </c>
      <c r="CP146">
        <v>46105</v>
      </c>
      <c r="CQ146">
        <v>1</v>
      </c>
      <c r="CR146">
        <v>1</v>
      </c>
      <c r="CT146">
        <v>1</v>
      </c>
      <c r="CV146">
        <v>2.662037037037037E-3</v>
      </c>
      <c r="CW146">
        <v>2.662037037037037E-3</v>
      </c>
      <c r="CX146">
        <v>0.17728009259259259</v>
      </c>
      <c r="CY146">
        <v>0.19008101851851852</v>
      </c>
      <c r="CZ146">
        <v>64</v>
      </c>
      <c r="DA146">
        <v>175</v>
      </c>
      <c r="DB146">
        <v>19</v>
      </c>
      <c r="DC146" t="s">
        <v>836</v>
      </c>
      <c r="DD146">
        <v>31738</v>
      </c>
      <c r="DE146">
        <v>0.2969</v>
      </c>
      <c r="DF146">
        <v>1</v>
      </c>
      <c r="DG146">
        <v>5.2600000000000001E-2</v>
      </c>
      <c r="DH146">
        <v>500</v>
      </c>
      <c r="DI146">
        <v>500</v>
      </c>
      <c r="DJ146">
        <v>500</v>
      </c>
      <c r="DK146">
        <v>1</v>
      </c>
      <c r="DM146">
        <v>88</v>
      </c>
      <c r="DN146">
        <v>500</v>
      </c>
    </row>
    <row r="147" spans="91:118" x14ac:dyDescent="0.25">
      <c r="CM147" t="s">
        <v>636</v>
      </c>
      <c r="CN147" t="s">
        <v>125</v>
      </c>
      <c r="CO147" t="s">
        <v>122</v>
      </c>
      <c r="CP147">
        <v>46093</v>
      </c>
      <c r="CQ147">
        <v>1</v>
      </c>
      <c r="CR147">
        <v>1</v>
      </c>
      <c r="CV147">
        <v>3.5069444444444445E-3</v>
      </c>
      <c r="CW147">
        <v>3.5069444444444445E-3</v>
      </c>
      <c r="CX147">
        <v>0.20644675925925926</v>
      </c>
      <c r="CY147">
        <v>0.13371527777777778</v>
      </c>
      <c r="CZ147">
        <v>33</v>
      </c>
      <c r="DA147">
        <v>119</v>
      </c>
      <c r="DB147">
        <v>15</v>
      </c>
      <c r="DC147" t="s">
        <v>956</v>
      </c>
      <c r="DD147">
        <v>30610</v>
      </c>
      <c r="DE147">
        <v>0.45450000000000002</v>
      </c>
      <c r="DF147">
        <v>2</v>
      </c>
      <c r="DG147">
        <v>0.1333</v>
      </c>
      <c r="DH147">
        <v>6500</v>
      </c>
      <c r="DI147">
        <v>3250</v>
      </c>
      <c r="DJ147">
        <v>6500</v>
      </c>
      <c r="DK147">
        <v>1</v>
      </c>
      <c r="DL147">
        <v>0.1043</v>
      </c>
      <c r="DM147">
        <v>88</v>
      </c>
      <c r="DN147">
        <v>3250</v>
      </c>
    </row>
    <row r="148" spans="91:118" x14ac:dyDescent="0.25">
      <c r="CM148" t="s">
        <v>636</v>
      </c>
      <c r="CN148" t="s">
        <v>125</v>
      </c>
      <c r="CO148" t="s">
        <v>75</v>
      </c>
      <c r="CP148">
        <v>46084</v>
      </c>
      <c r="CQ148">
        <v>1</v>
      </c>
      <c r="CR148">
        <v>1</v>
      </c>
      <c r="CT148">
        <v>1</v>
      </c>
      <c r="CV148">
        <v>1.1574074074074075E-4</v>
      </c>
      <c r="CW148">
        <v>1.1574074074074075E-4</v>
      </c>
      <c r="CX148">
        <v>0.31540509259259258</v>
      </c>
      <c r="CY148">
        <v>7.3148148148148143E-2</v>
      </c>
      <c r="CZ148">
        <v>92</v>
      </c>
      <c r="DA148">
        <v>209</v>
      </c>
      <c r="DB148">
        <v>19</v>
      </c>
      <c r="DC148" t="s">
        <v>961</v>
      </c>
      <c r="DD148">
        <v>34684</v>
      </c>
      <c r="DE148">
        <v>0.20649999999999999</v>
      </c>
      <c r="DF148">
        <v>1</v>
      </c>
      <c r="DG148">
        <v>5.2600000000000001E-2</v>
      </c>
      <c r="DH148">
        <v>13000</v>
      </c>
      <c r="DI148">
        <v>13000</v>
      </c>
      <c r="DJ148">
        <v>13000</v>
      </c>
      <c r="DK148">
        <v>1</v>
      </c>
      <c r="DL148">
        <v>0.35310000000000002</v>
      </c>
      <c r="DM148">
        <v>88</v>
      </c>
      <c r="DN148">
        <v>13000</v>
      </c>
    </row>
    <row r="149" spans="91:118" x14ac:dyDescent="0.25">
      <c r="CM149" t="s">
        <v>636</v>
      </c>
      <c r="CN149" t="s">
        <v>125</v>
      </c>
      <c r="CO149" t="s">
        <v>206</v>
      </c>
      <c r="CP149">
        <v>46087</v>
      </c>
      <c r="CQ149">
        <v>1</v>
      </c>
      <c r="CR149">
        <v>1</v>
      </c>
      <c r="CT149">
        <v>1</v>
      </c>
      <c r="CV149">
        <v>3.4722222222222222E-5</v>
      </c>
      <c r="CW149">
        <v>3.4722222222222222E-5</v>
      </c>
      <c r="CX149">
        <v>0.26567129629629632</v>
      </c>
      <c r="CY149">
        <v>8.9525462962962959E-2</v>
      </c>
      <c r="CZ149">
        <v>118</v>
      </c>
      <c r="DA149">
        <v>281</v>
      </c>
      <c r="DB149">
        <v>16</v>
      </c>
      <c r="DC149">
        <v>1.875</v>
      </c>
      <c r="DD149">
        <v>12181</v>
      </c>
      <c r="DE149">
        <v>0.1356</v>
      </c>
      <c r="DF149">
        <v>1</v>
      </c>
      <c r="DG149">
        <v>6.25E-2</v>
      </c>
      <c r="DH149">
        <v>5500</v>
      </c>
      <c r="DI149">
        <v>5500</v>
      </c>
      <c r="DJ149">
        <v>5500</v>
      </c>
      <c r="DK149">
        <v>1</v>
      </c>
      <c r="DL149">
        <v>0.4239</v>
      </c>
      <c r="DM149">
        <v>88</v>
      </c>
      <c r="DN149">
        <v>5500</v>
      </c>
    </row>
    <row r="150" spans="91:118" x14ac:dyDescent="0.25">
      <c r="CM150" t="s">
        <v>636</v>
      </c>
      <c r="CN150" t="s">
        <v>125</v>
      </c>
      <c r="CO150" t="s">
        <v>59</v>
      </c>
      <c r="CP150">
        <v>46093</v>
      </c>
      <c r="CQ150">
        <v>1</v>
      </c>
      <c r="CR150">
        <v>1</v>
      </c>
      <c r="CT150">
        <v>1</v>
      </c>
      <c r="CV150">
        <v>1.1574074074074073E-5</v>
      </c>
      <c r="CW150">
        <v>1.1574074074074073E-5</v>
      </c>
      <c r="CX150">
        <v>0.24368055555555557</v>
      </c>
      <c r="CY150">
        <v>0.10792824074074074</v>
      </c>
      <c r="CZ150">
        <v>170</v>
      </c>
      <c r="DA150">
        <v>293</v>
      </c>
      <c r="DB150">
        <v>27</v>
      </c>
      <c r="DC150" t="s">
        <v>865</v>
      </c>
      <c r="DD150">
        <v>36408</v>
      </c>
      <c r="DE150">
        <v>0.1588</v>
      </c>
      <c r="DF150">
        <v>1</v>
      </c>
      <c r="DG150">
        <v>3.6999999999999998E-2</v>
      </c>
      <c r="DH150">
        <v>3000</v>
      </c>
      <c r="DI150">
        <v>3000</v>
      </c>
      <c r="DJ150">
        <v>3000</v>
      </c>
      <c r="DK150">
        <v>1</v>
      </c>
      <c r="DL150">
        <v>0.10539999999999999</v>
      </c>
      <c r="DM150">
        <v>88</v>
      </c>
      <c r="DN150">
        <v>3000</v>
      </c>
    </row>
    <row r="151" spans="91:118" x14ac:dyDescent="0.25">
      <c r="CM151" t="s">
        <v>636</v>
      </c>
      <c r="CN151" t="s">
        <v>2</v>
      </c>
      <c r="CO151" t="s">
        <v>377</v>
      </c>
      <c r="CP151">
        <v>46087</v>
      </c>
      <c r="CQ151">
        <v>1</v>
      </c>
      <c r="CR151">
        <v>1</v>
      </c>
      <c r="CT151">
        <v>1</v>
      </c>
      <c r="CV151">
        <v>0</v>
      </c>
      <c r="CW151">
        <v>0</v>
      </c>
      <c r="CX151">
        <v>0.22569444444444445</v>
      </c>
      <c r="CY151">
        <v>0.13395833333333335</v>
      </c>
      <c r="CZ151">
        <v>68</v>
      </c>
      <c r="DA151">
        <v>121</v>
      </c>
      <c r="DB151">
        <v>15</v>
      </c>
      <c r="DC151">
        <v>1.6</v>
      </c>
      <c r="DD151">
        <v>18462</v>
      </c>
      <c r="DE151">
        <v>0.22059999999999999</v>
      </c>
      <c r="DF151">
        <v>1</v>
      </c>
      <c r="DG151">
        <v>6.6699999999999995E-2</v>
      </c>
      <c r="DH151">
        <v>600</v>
      </c>
      <c r="DI151">
        <v>600</v>
      </c>
      <c r="DJ151">
        <v>600</v>
      </c>
      <c r="DK151">
        <v>1</v>
      </c>
      <c r="DL151">
        <v>0.20710000000000001</v>
      </c>
      <c r="DM151">
        <v>88</v>
      </c>
      <c r="DN151">
        <v>600</v>
      </c>
    </row>
    <row r="152" spans="91:118" x14ac:dyDescent="0.25">
      <c r="CM152" t="s">
        <v>636</v>
      </c>
      <c r="CN152" t="s">
        <v>2</v>
      </c>
      <c r="CO152" t="s">
        <v>377</v>
      </c>
      <c r="CP152">
        <v>46100</v>
      </c>
      <c r="CQ152">
        <v>1</v>
      </c>
      <c r="CR152">
        <v>1</v>
      </c>
      <c r="CT152">
        <v>1</v>
      </c>
      <c r="CV152">
        <v>0</v>
      </c>
      <c r="CW152">
        <v>0</v>
      </c>
      <c r="CX152">
        <v>0.16583333333333333</v>
      </c>
      <c r="CY152">
        <v>0.1552199074074074</v>
      </c>
      <c r="CZ152">
        <v>80</v>
      </c>
      <c r="DA152">
        <v>142</v>
      </c>
      <c r="DB152">
        <v>15</v>
      </c>
      <c r="DC152" t="s">
        <v>723</v>
      </c>
      <c r="DD152">
        <v>43455</v>
      </c>
      <c r="DE152">
        <v>0.1875</v>
      </c>
      <c r="DF152">
        <v>1</v>
      </c>
      <c r="DG152">
        <v>6.6699999999999995E-2</v>
      </c>
      <c r="DH152">
        <v>2500</v>
      </c>
      <c r="DI152">
        <v>2500</v>
      </c>
      <c r="DJ152">
        <v>2500</v>
      </c>
      <c r="DK152">
        <v>1</v>
      </c>
      <c r="DL152">
        <v>9.64E-2</v>
      </c>
      <c r="DM152">
        <v>88</v>
      </c>
      <c r="DN152">
        <v>2500</v>
      </c>
    </row>
    <row r="153" spans="91:118" x14ac:dyDescent="0.25">
      <c r="CM153" t="s">
        <v>636</v>
      </c>
      <c r="CN153" t="s">
        <v>2</v>
      </c>
      <c r="CO153" t="s">
        <v>22</v>
      </c>
      <c r="CP153">
        <v>46105</v>
      </c>
      <c r="CQ153">
        <v>1</v>
      </c>
      <c r="CR153">
        <v>1</v>
      </c>
      <c r="CT153">
        <v>1</v>
      </c>
      <c r="CV153">
        <v>0</v>
      </c>
      <c r="CW153">
        <v>0</v>
      </c>
      <c r="CX153">
        <v>0.19826388888888888</v>
      </c>
      <c r="CY153">
        <v>0.11677083333333334</v>
      </c>
      <c r="CZ153">
        <v>54</v>
      </c>
      <c r="DA153">
        <v>111</v>
      </c>
      <c r="DB153">
        <v>17</v>
      </c>
      <c r="DC153" t="s">
        <v>891</v>
      </c>
      <c r="DD153">
        <v>33714</v>
      </c>
      <c r="DE153">
        <v>0.31480000000000002</v>
      </c>
      <c r="DF153">
        <v>1</v>
      </c>
      <c r="DG153">
        <v>5.8799999999999998E-2</v>
      </c>
      <c r="DH153">
        <v>5080</v>
      </c>
      <c r="DI153">
        <v>5080</v>
      </c>
      <c r="DJ153">
        <v>5080</v>
      </c>
      <c r="DK153">
        <v>1</v>
      </c>
      <c r="DL153">
        <v>0.42109999999999997</v>
      </c>
      <c r="DM153">
        <v>88</v>
      </c>
      <c r="DN153">
        <v>5080</v>
      </c>
    </row>
    <row r="154" spans="91:118" x14ac:dyDescent="0.25">
      <c r="CM154" t="s">
        <v>636</v>
      </c>
      <c r="CN154" t="s">
        <v>2</v>
      </c>
      <c r="CO154" t="s">
        <v>24</v>
      </c>
      <c r="CP154">
        <v>46094</v>
      </c>
      <c r="CQ154">
        <v>1</v>
      </c>
      <c r="CR154">
        <v>1</v>
      </c>
      <c r="CS154">
        <v>1</v>
      </c>
      <c r="CV154">
        <v>6.1921296296296299E-3</v>
      </c>
      <c r="CW154">
        <v>6.1921296296296299E-3</v>
      </c>
      <c r="CX154">
        <v>0.2487037037037037</v>
      </c>
      <c r="CY154">
        <v>9.7141203703703702E-2</v>
      </c>
      <c r="CZ154">
        <v>63</v>
      </c>
      <c r="DA154">
        <v>141</v>
      </c>
      <c r="DB154">
        <v>34</v>
      </c>
      <c r="DC154" t="s">
        <v>966</v>
      </c>
      <c r="DD154">
        <v>26294</v>
      </c>
      <c r="DE154">
        <v>0.53969999999999996</v>
      </c>
      <c r="DF154">
        <v>2</v>
      </c>
      <c r="DG154">
        <v>5.8799999999999998E-2</v>
      </c>
      <c r="DH154">
        <v>860</v>
      </c>
      <c r="DI154">
        <v>430</v>
      </c>
      <c r="DJ154">
        <v>210</v>
      </c>
      <c r="DK154">
        <v>0.2442</v>
      </c>
      <c r="DL154">
        <v>0.17519999999999999</v>
      </c>
      <c r="DM154">
        <v>88</v>
      </c>
      <c r="DN154">
        <v>210</v>
      </c>
    </row>
    <row r="155" spans="91:118" x14ac:dyDescent="0.25">
      <c r="CM155" t="s">
        <v>636</v>
      </c>
      <c r="CN155" t="s">
        <v>2</v>
      </c>
      <c r="CO155" t="s">
        <v>13</v>
      </c>
      <c r="CP155">
        <v>46097</v>
      </c>
      <c r="CQ155">
        <v>1</v>
      </c>
      <c r="CR155">
        <v>1</v>
      </c>
      <c r="CT155">
        <v>1</v>
      </c>
      <c r="CV155">
        <v>0</v>
      </c>
      <c r="CW155">
        <v>0</v>
      </c>
      <c r="CX155">
        <v>0.28297453703703701</v>
      </c>
      <c r="CY155">
        <v>0.11164351851851852</v>
      </c>
      <c r="CZ155">
        <v>92</v>
      </c>
      <c r="DA155">
        <v>216</v>
      </c>
      <c r="DB155">
        <v>37</v>
      </c>
      <c r="DC155" t="s">
        <v>964</v>
      </c>
      <c r="DD155">
        <v>27660</v>
      </c>
      <c r="DE155">
        <v>0.4022</v>
      </c>
      <c r="DF155">
        <v>1</v>
      </c>
      <c r="DG155">
        <v>2.7E-2</v>
      </c>
      <c r="DH155">
        <v>6000</v>
      </c>
      <c r="DI155">
        <v>6000</v>
      </c>
      <c r="DJ155">
        <v>6000</v>
      </c>
      <c r="DK155">
        <v>1</v>
      </c>
      <c r="DL155">
        <v>0.18790000000000001</v>
      </c>
      <c r="DM155">
        <v>88</v>
      </c>
      <c r="DN155">
        <v>6000</v>
      </c>
    </row>
    <row r="156" spans="91:118" x14ac:dyDescent="0.25">
      <c r="CM156" t="s">
        <v>636</v>
      </c>
      <c r="CN156" t="s">
        <v>2</v>
      </c>
      <c r="CO156" t="s">
        <v>13</v>
      </c>
      <c r="CP156">
        <v>46108</v>
      </c>
      <c r="CQ156">
        <v>1</v>
      </c>
      <c r="CR156">
        <v>1</v>
      </c>
      <c r="CT156">
        <v>1</v>
      </c>
      <c r="CV156">
        <v>0</v>
      </c>
      <c r="CW156">
        <v>0</v>
      </c>
      <c r="CX156">
        <v>0.20623842592592592</v>
      </c>
      <c r="CY156">
        <v>0.15534722222222222</v>
      </c>
      <c r="CZ156">
        <v>74</v>
      </c>
      <c r="DA156">
        <v>130</v>
      </c>
      <c r="DB156">
        <v>17</v>
      </c>
      <c r="DC156" t="s">
        <v>802</v>
      </c>
      <c r="DD156">
        <v>35768</v>
      </c>
      <c r="DE156">
        <v>0.22969999999999999</v>
      </c>
      <c r="DF156">
        <v>1</v>
      </c>
      <c r="DG156">
        <v>5.8799999999999998E-2</v>
      </c>
      <c r="DH156">
        <v>900</v>
      </c>
      <c r="DI156">
        <v>900</v>
      </c>
      <c r="DJ156">
        <v>900</v>
      </c>
      <c r="DK156">
        <v>1</v>
      </c>
      <c r="DL156">
        <v>0.1386</v>
      </c>
      <c r="DM156">
        <v>88</v>
      </c>
      <c r="DN156">
        <v>900</v>
      </c>
    </row>
    <row r="157" spans="91:118" x14ac:dyDescent="0.25">
      <c r="CM157" t="s">
        <v>636</v>
      </c>
      <c r="CN157" t="s">
        <v>2</v>
      </c>
      <c r="CO157" t="s">
        <v>564</v>
      </c>
      <c r="CP157">
        <v>46105</v>
      </c>
      <c r="CQ157">
        <v>1</v>
      </c>
      <c r="CR157">
        <v>1</v>
      </c>
      <c r="CT157">
        <v>1</v>
      </c>
      <c r="CV157">
        <v>0</v>
      </c>
      <c r="CW157">
        <v>0</v>
      </c>
      <c r="CX157">
        <v>0.24782407407407409</v>
      </c>
      <c r="CY157">
        <v>0.11388888888888889</v>
      </c>
      <c r="CZ157">
        <v>73</v>
      </c>
      <c r="DA157">
        <v>137</v>
      </c>
      <c r="DB157">
        <v>29</v>
      </c>
      <c r="DC157" t="s">
        <v>981</v>
      </c>
      <c r="DD157">
        <v>25657</v>
      </c>
      <c r="DE157">
        <v>0.39729999999999999</v>
      </c>
      <c r="DF157">
        <v>3</v>
      </c>
      <c r="DG157">
        <v>0.10340000000000001</v>
      </c>
      <c r="DH157">
        <v>5580</v>
      </c>
      <c r="DI157">
        <v>1860</v>
      </c>
      <c r="DJ157">
        <v>5580</v>
      </c>
      <c r="DK157">
        <v>1</v>
      </c>
      <c r="DL157">
        <v>0.14269999999999999</v>
      </c>
      <c r="DM157">
        <v>88</v>
      </c>
      <c r="DN157">
        <v>1860</v>
      </c>
    </row>
    <row r="158" spans="91:118" x14ac:dyDescent="0.25">
      <c r="CM158" t="s">
        <v>636</v>
      </c>
      <c r="CN158" t="s">
        <v>2</v>
      </c>
      <c r="CO158" t="s">
        <v>65</v>
      </c>
      <c r="CP158">
        <v>46086</v>
      </c>
      <c r="CQ158">
        <v>1</v>
      </c>
      <c r="CR158">
        <v>1</v>
      </c>
      <c r="CT158">
        <v>1</v>
      </c>
      <c r="CV158">
        <v>2.0833333333333335E-4</v>
      </c>
      <c r="CW158">
        <v>2.0833333333333335E-4</v>
      </c>
      <c r="CX158">
        <v>0.35552083333333334</v>
      </c>
      <c r="CY158">
        <v>7.1018518518518522E-2</v>
      </c>
      <c r="CZ158">
        <v>59</v>
      </c>
      <c r="DA158">
        <v>157</v>
      </c>
      <c r="DB158">
        <v>8</v>
      </c>
      <c r="DC158">
        <v>1.25</v>
      </c>
      <c r="DD158">
        <v>29961</v>
      </c>
      <c r="DE158">
        <v>0.1356</v>
      </c>
      <c r="DF158">
        <v>1</v>
      </c>
      <c r="DG158">
        <v>0.125</v>
      </c>
      <c r="DH158">
        <v>3000</v>
      </c>
      <c r="DI158">
        <v>3000</v>
      </c>
      <c r="DJ158">
        <v>3000</v>
      </c>
      <c r="DK158">
        <v>1</v>
      </c>
      <c r="DL158">
        <v>0.22770000000000001</v>
      </c>
      <c r="DM158">
        <v>88</v>
      </c>
      <c r="DN158">
        <v>3000</v>
      </c>
    </row>
    <row r="159" spans="91:118" x14ac:dyDescent="0.25">
      <c r="CM159" t="s">
        <v>636</v>
      </c>
      <c r="CN159" t="s">
        <v>2</v>
      </c>
      <c r="CO159" t="s">
        <v>23</v>
      </c>
      <c r="CP159">
        <v>46086</v>
      </c>
      <c r="CQ159">
        <v>1</v>
      </c>
      <c r="CR159">
        <v>1</v>
      </c>
      <c r="CS159">
        <v>1</v>
      </c>
      <c r="CV159">
        <v>7.013888888888889E-3</v>
      </c>
      <c r="CW159">
        <v>7.013888888888889E-3</v>
      </c>
      <c r="CX159">
        <v>0.33489583333333334</v>
      </c>
      <c r="CY159">
        <v>6.7824074074074078E-2</v>
      </c>
      <c r="CZ159">
        <v>100</v>
      </c>
      <c r="DA159">
        <v>215</v>
      </c>
      <c r="DB159">
        <v>18</v>
      </c>
      <c r="DC159" t="s">
        <v>960</v>
      </c>
      <c r="DD159">
        <v>29134</v>
      </c>
      <c r="DE159">
        <v>0.18</v>
      </c>
      <c r="DF159">
        <v>3</v>
      </c>
      <c r="DG159">
        <v>0.16669999999999999</v>
      </c>
      <c r="DH159">
        <v>20410</v>
      </c>
      <c r="DI159">
        <v>6803</v>
      </c>
      <c r="DJ159">
        <v>20410</v>
      </c>
      <c r="DK159">
        <v>1</v>
      </c>
      <c r="DL159">
        <v>0.106</v>
      </c>
      <c r="DM159">
        <v>88</v>
      </c>
      <c r="DN159">
        <v>6803</v>
      </c>
    </row>
    <row r="160" spans="91:118" x14ac:dyDescent="0.25">
      <c r="CM160" t="s">
        <v>636</v>
      </c>
      <c r="CN160" t="s">
        <v>2</v>
      </c>
      <c r="CO160" t="s">
        <v>25</v>
      </c>
      <c r="CP160">
        <v>46100</v>
      </c>
      <c r="CQ160">
        <v>1</v>
      </c>
      <c r="CR160">
        <v>1</v>
      </c>
      <c r="CS160">
        <v>1</v>
      </c>
      <c r="CV160">
        <v>1.3425925925925926E-2</v>
      </c>
      <c r="CW160">
        <v>1.3425925925925926E-2</v>
      </c>
      <c r="CX160">
        <v>0.15871527777777777</v>
      </c>
      <c r="CY160">
        <v>0.16575231481481481</v>
      </c>
      <c r="CZ160">
        <v>51</v>
      </c>
      <c r="DA160">
        <v>113</v>
      </c>
      <c r="DB160">
        <v>14</v>
      </c>
      <c r="DC160" t="s">
        <v>700</v>
      </c>
      <c r="DD160">
        <v>25897</v>
      </c>
      <c r="DE160">
        <v>0.27450000000000002</v>
      </c>
      <c r="DF160">
        <v>1</v>
      </c>
      <c r="DG160">
        <v>7.1400000000000005E-2</v>
      </c>
      <c r="DH160">
        <v>2000</v>
      </c>
      <c r="DI160">
        <v>2000</v>
      </c>
      <c r="DJ160">
        <v>2000</v>
      </c>
      <c r="DK160">
        <v>1</v>
      </c>
      <c r="DL160">
        <v>0.11360000000000001</v>
      </c>
      <c r="DM160">
        <v>88</v>
      </c>
      <c r="DN160">
        <v>2000</v>
      </c>
    </row>
    <row r="161" spans="91:118" x14ac:dyDescent="0.25">
      <c r="CM161" t="s">
        <v>636</v>
      </c>
      <c r="CN161" t="s">
        <v>6</v>
      </c>
      <c r="CO161" t="s">
        <v>19</v>
      </c>
      <c r="CP161">
        <v>46100</v>
      </c>
      <c r="CQ161">
        <v>1</v>
      </c>
      <c r="CR161">
        <v>1</v>
      </c>
      <c r="CT161">
        <v>1</v>
      </c>
      <c r="CV161">
        <v>1.273148148148148E-4</v>
      </c>
      <c r="CW161">
        <v>1.273148148148148E-4</v>
      </c>
      <c r="CX161">
        <v>0.20494212962962963</v>
      </c>
      <c r="CY161">
        <v>0.12715277777777778</v>
      </c>
      <c r="CZ161">
        <v>218</v>
      </c>
      <c r="DA161">
        <v>348</v>
      </c>
      <c r="DB161">
        <v>16</v>
      </c>
      <c r="DC161">
        <v>1.75</v>
      </c>
      <c r="DD161">
        <v>28271</v>
      </c>
      <c r="DE161">
        <v>7.3400000000000007E-2</v>
      </c>
      <c r="DF161">
        <v>1</v>
      </c>
      <c r="DG161">
        <v>6.25E-2</v>
      </c>
      <c r="DH161">
        <v>3000</v>
      </c>
      <c r="DI161">
        <v>3000</v>
      </c>
      <c r="DJ161">
        <v>3000</v>
      </c>
      <c r="DK161">
        <v>1.0001</v>
      </c>
      <c r="DL161">
        <v>0.13389999999999999</v>
      </c>
      <c r="DM161">
        <v>88</v>
      </c>
      <c r="DN161">
        <v>3000</v>
      </c>
    </row>
    <row r="162" spans="91:118" x14ac:dyDescent="0.25">
      <c r="CM162" t="s">
        <v>636</v>
      </c>
      <c r="CN162" t="s">
        <v>6</v>
      </c>
      <c r="CO162" t="s">
        <v>81</v>
      </c>
      <c r="CP162">
        <v>46085</v>
      </c>
      <c r="CQ162">
        <v>1</v>
      </c>
      <c r="CR162">
        <v>1</v>
      </c>
      <c r="CT162">
        <v>1</v>
      </c>
      <c r="CV162">
        <v>1.4236111111111112E-3</v>
      </c>
      <c r="CW162">
        <v>1.4236111111111112E-3</v>
      </c>
      <c r="CX162">
        <v>0.23414351851851853</v>
      </c>
      <c r="CY162">
        <v>0.10986111111111112</v>
      </c>
      <c r="CZ162">
        <v>71</v>
      </c>
      <c r="DA162">
        <v>145</v>
      </c>
      <c r="DB162">
        <v>12</v>
      </c>
      <c r="DC162" t="s">
        <v>1022</v>
      </c>
      <c r="DD162">
        <v>8956</v>
      </c>
      <c r="DE162">
        <v>0.16900000000000001</v>
      </c>
      <c r="DF162">
        <v>2</v>
      </c>
      <c r="DG162">
        <v>0.16669999999999999</v>
      </c>
      <c r="DH162">
        <v>345</v>
      </c>
      <c r="DI162">
        <v>173</v>
      </c>
      <c r="DJ162">
        <v>345</v>
      </c>
      <c r="DK162">
        <v>1</v>
      </c>
      <c r="DL162">
        <v>0.43440000000000001</v>
      </c>
      <c r="DM162">
        <v>88</v>
      </c>
      <c r="DN162">
        <v>173</v>
      </c>
    </row>
    <row r="163" spans="91:118" x14ac:dyDescent="0.25">
      <c r="CM163" t="s">
        <v>636</v>
      </c>
      <c r="CN163" t="s">
        <v>6</v>
      </c>
      <c r="CO163" t="s">
        <v>81</v>
      </c>
      <c r="CP163">
        <v>46094</v>
      </c>
      <c r="CQ163">
        <v>1</v>
      </c>
      <c r="CR163">
        <v>1</v>
      </c>
      <c r="CT163">
        <v>1</v>
      </c>
      <c r="CV163">
        <v>2.4305555555555555E-4</v>
      </c>
      <c r="CW163">
        <v>2.4305555555555555E-4</v>
      </c>
      <c r="CX163">
        <v>0.2605439814814815</v>
      </c>
      <c r="CY163">
        <v>0.10488425925925926</v>
      </c>
      <c r="CZ163">
        <v>90</v>
      </c>
      <c r="DA163">
        <v>180</v>
      </c>
      <c r="DB163">
        <v>17</v>
      </c>
      <c r="DC163" t="s">
        <v>670</v>
      </c>
      <c r="DD163">
        <v>17053</v>
      </c>
      <c r="DE163">
        <v>0.18890000000000001</v>
      </c>
      <c r="DF163">
        <v>2</v>
      </c>
      <c r="DG163">
        <v>0.1176</v>
      </c>
      <c r="DH163">
        <v>280</v>
      </c>
      <c r="DI163">
        <v>140</v>
      </c>
      <c r="DJ163">
        <v>180</v>
      </c>
      <c r="DK163">
        <v>0.64290000000000003</v>
      </c>
      <c r="DL163">
        <v>0.30130000000000001</v>
      </c>
      <c r="DM163">
        <v>88</v>
      </c>
      <c r="DN163">
        <v>180</v>
      </c>
    </row>
    <row r="164" spans="91:118" x14ac:dyDescent="0.25">
      <c r="CM164" t="s">
        <v>636</v>
      </c>
      <c r="CN164" t="s">
        <v>6</v>
      </c>
      <c r="CO164" t="s">
        <v>37</v>
      </c>
      <c r="CP164">
        <v>46112</v>
      </c>
      <c r="CQ164">
        <v>1</v>
      </c>
      <c r="CR164">
        <v>1</v>
      </c>
      <c r="CT164">
        <v>1</v>
      </c>
      <c r="CV164">
        <v>3.9351851851851852E-4</v>
      </c>
      <c r="CW164">
        <v>3.9351851851851852E-4</v>
      </c>
      <c r="CX164">
        <v>0.18111111111111111</v>
      </c>
      <c r="CY164">
        <v>0.18885416666666666</v>
      </c>
      <c r="CZ164">
        <v>37</v>
      </c>
      <c r="DA164">
        <v>51</v>
      </c>
      <c r="DB164">
        <v>8</v>
      </c>
      <c r="DC164">
        <v>1.625</v>
      </c>
      <c r="DD164">
        <v>32912</v>
      </c>
      <c r="DE164">
        <v>0.2162</v>
      </c>
      <c r="DF164">
        <v>1</v>
      </c>
      <c r="DG164">
        <v>0.125</v>
      </c>
      <c r="DH164">
        <v>2000</v>
      </c>
      <c r="DI164">
        <v>2000</v>
      </c>
      <c r="DJ164">
        <v>2000</v>
      </c>
      <c r="DK164">
        <v>1</v>
      </c>
      <c r="DL164">
        <v>0.14169999999999999</v>
      </c>
      <c r="DM164">
        <v>88</v>
      </c>
      <c r="DN164">
        <v>2000</v>
      </c>
    </row>
    <row r="165" spans="91:118" x14ac:dyDescent="0.25">
      <c r="CM165" t="s">
        <v>636</v>
      </c>
      <c r="CN165" t="s">
        <v>6</v>
      </c>
      <c r="CO165" t="s">
        <v>35</v>
      </c>
      <c r="CP165">
        <v>46091</v>
      </c>
      <c r="CQ165">
        <v>1</v>
      </c>
      <c r="CR165">
        <v>1</v>
      </c>
      <c r="CT165">
        <v>1</v>
      </c>
      <c r="CV165">
        <v>5.7870370370370373E-5</v>
      </c>
      <c r="CW165">
        <v>5.7870370370370373E-5</v>
      </c>
      <c r="CX165">
        <v>0.24440972222222221</v>
      </c>
      <c r="CY165">
        <v>0.15126157407407406</v>
      </c>
      <c r="CZ165">
        <v>65</v>
      </c>
      <c r="DA165">
        <v>125</v>
      </c>
      <c r="DB165">
        <v>31</v>
      </c>
      <c r="DC165">
        <v>2</v>
      </c>
      <c r="DD165">
        <v>20275</v>
      </c>
      <c r="DE165">
        <v>0.47689999999999999</v>
      </c>
      <c r="DF165">
        <v>5</v>
      </c>
      <c r="DG165">
        <v>0.1613</v>
      </c>
      <c r="DH165">
        <v>20290</v>
      </c>
      <c r="DI165">
        <v>4058</v>
      </c>
      <c r="DJ165">
        <v>18950</v>
      </c>
      <c r="DK165">
        <v>0.93400000000000005</v>
      </c>
      <c r="DL165">
        <v>0.2117</v>
      </c>
      <c r="DM165">
        <v>88</v>
      </c>
      <c r="DN165">
        <v>4738</v>
      </c>
    </row>
    <row r="166" spans="91:118" x14ac:dyDescent="0.25">
      <c r="CM166" t="s">
        <v>636</v>
      </c>
      <c r="CN166" t="s">
        <v>6</v>
      </c>
      <c r="CO166" t="s">
        <v>35</v>
      </c>
      <c r="CP166">
        <v>46108</v>
      </c>
      <c r="CQ166">
        <v>1</v>
      </c>
      <c r="CR166">
        <v>1</v>
      </c>
      <c r="CT166">
        <v>1</v>
      </c>
      <c r="CV166">
        <v>1.5046296296296297E-4</v>
      </c>
      <c r="CW166">
        <v>1.5046296296296297E-4</v>
      </c>
      <c r="CX166">
        <v>0.22109953703703702</v>
      </c>
      <c r="CY166">
        <v>0.12157407407407407</v>
      </c>
      <c r="CZ166">
        <v>89</v>
      </c>
      <c r="DA166">
        <v>146</v>
      </c>
      <c r="DB166">
        <v>22</v>
      </c>
      <c r="DC166" t="s">
        <v>852</v>
      </c>
      <c r="DD166">
        <v>24130</v>
      </c>
      <c r="DE166">
        <v>0.2472</v>
      </c>
      <c r="DF166">
        <v>2</v>
      </c>
      <c r="DG166">
        <v>9.0899999999999995E-2</v>
      </c>
      <c r="DH166">
        <v>850</v>
      </c>
      <c r="DI166">
        <v>425</v>
      </c>
      <c r="DJ166">
        <v>250</v>
      </c>
      <c r="DK166">
        <v>0.29409999999999997</v>
      </c>
      <c r="DM166">
        <v>88</v>
      </c>
      <c r="DN166">
        <v>250</v>
      </c>
    </row>
    <row r="167" spans="91:118" x14ac:dyDescent="0.25">
      <c r="CM167" t="s">
        <v>636</v>
      </c>
      <c r="CN167" t="s">
        <v>6</v>
      </c>
      <c r="CO167" t="s">
        <v>50</v>
      </c>
      <c r="CP167">
        <v>46094</v>
      </c>
      <c r="CQ167">
        <v>1</v>
      </c>
      <c r="CR167">
        <v>1</v>
      </c>
      <c r="CT167">
        <v>1</v>
      </c>
      <c r="CV167">
        <v>4.6296296296296294E-5</v>
      </c>
      <c r="CW167">
        <v>4.6296296296296294E-5</v>
      </c>
      <c r="CX167">
        <v>0.22396990740740741</v>
      </c>
      <c r="CY167">
        <v>0.1213425925925926</v>
      </c>
      <c r="CZ167">
        <v>76</v>
      </c>
      <c r="DA167">
        <v>132</v>
      </c>
      <c r="DB167">
        <v>11</v>
      </c>
      <c r="DC167" t="s">
        <v>847</v>
      </c>
      <c r="DD167">
        <v>25337</v>
      </c>
      <c r="DE167">
        <v>0.1447</v>
      </c>
      <c r="DF167">
        <v>1</v>
      </c>
      <c r="DG167">
        <v>9.0899999999999995E-2</v>
      </c>
      <c r="DH167">
        <v>145</v>
      </c>
      <c r="DI167">
        <v>145</v>
      </c>
      <c r="DJ167">
        <v>145</v>
      </c>
      <c r="DK167">
        <v>1</v>
      </c>
      <c r="DL167">
        <v>0.64739999999999998</v>
      </c>
      <c r="DM167">
        <v>88</v>
      </c>
      <c r="DN167">
        <v>145</v>
      </c>
    </row>
    <row r="168" spans="91:118" x14ac:dyDescent="0.25">
      <c r="CM168" t="s">
        <v>636</v>
      </c>
      <c r="CN168" t="s">
        <v>6</v>
      </c>
      <c r="CO168" t="s">
        <v>97</v>
      </c>
      <c r="CP168">
        <v>46100</v>
      </c>
      <c r="CQ168">
        <v>1</v>
      </c>
      <c r="CR168">
        <v>1</v>
      </c>
      <c r="CT168">
        <v>1</v>
      </c>
      <c r="CV168">
        <v>4.6296296296296294E-5</v>
      </c>
      <c r="CW168">
        <v>4.6296296296296294E-5</v>
      </c>
      <c r="CX168">
        <v>0.17334490740740741</v>
      </c>
      <c r="CY168">
        <v>0.12732638888888889</v>
      </c>
      <c r="CZ168">
        <v>107</v>
      </c>
      <c r="DA168">
        <v>150</v>
      </c>
      <c r="DB168">
        <v>23</v>
      </c>
      <c r="DC168" t="s">
        <v>748</v>
      </c>
      <c r="DD168">
        <v>22834</v>
      </c>
      <c r="DE168">
        <v>0.215</v>
      </c>
      <c r="DF168">
        <v>1</v>
      </c>
      <c r="DG168">
        <v>4.3499999999999997E-2</v>
      </c>
      <c r="DH168">
        <v>4000</v>
      </c>
      <c r="DI168">
        <v>4000</v>
      </c>
      <c r="DJ168">
        <v>4000</v>
      </c>
      <c r="DK168">
        <v>1</v>
      </c>
      <c r="DL168">
        <v>0.188</v>
      </c>
      <c r="DM168">
        <v>88</v>
      </c>
      <c r="DN168">
        <v>4000</v>
      </c>
    </row>
    <row r="169" spans="91:118" x14ac:dyDescent="0.25">
      <c r="CM169" t="s">
        <v>636</v>
      </c>
      <c r="CN169" t="s">
        <v>6</v>
      </c>
      <c r="CO169" t="s">
        <v>34</v>
      </c>
      <c r="CP169">
        <v>46091</v>
      </c>
      <c r="CQ169">
        <v>1</v>
      </c>
      <c r="CR169">
        <v>1</v>
      </c>
      <c r="CT169">
        <v>1</v>
      </c>
      <c r="CV169">
        <v>9.2592592592592588E-5</v>
      </c>
      <c r="CW169">
        <v>9.2592592592592588E-5</v>
      </c>
      <c r="CX169">
        <v>0.26675925925925925</v>
      </c>
      <c r="CY169">
        <v>0.12150462962962963</v>
      </c>
      <c r="CZ169">
        <v>157</v>
      </c>
      <c r="DA169">
        <v>193</v>
      </c>
      <c r="DB169">
        <v>11</v>
      </c>
      <c r="DC169" t="s">
        <v>695</v>
      </c>
      <c r="DD169">
        <v>24343</v>
      </c>
      <c r="DE169">
        <v>7.0099999999999996E-2</v>
      </c>
      <c r="DF169">
        <v>1</v>
      </c>
      <c r="DG169">
        <v>9.0899999999999995E-2</v>
      </c>
      <c r="DH169">
        <v>1100</v>
      </c>
      <c r="DI169">
        <v>1100</v>
      </c>
      <c r="DJ169">
        <v>1100</v>
      </c>
      <c r="DK169">
        <v>1</v>
      </c>
      <c r="DL169">
        <v>0.19159999999999999</v>
      </c>
      <c r="DM169">
        <v>88</v>
      </c>
      <c r="DN169">
        <v>1100</v>
      </c>
    </row>
    <row r="170" spans="91:118" x14ac:dyDescent="0.25">
      <c r="CM170" t="s">
        <v>636</v>
      </c>
      <c r="CN170" t="s">
        <v>6</v>
      </c>
      <c r="CO170" t="s">
        <v>34</v>
      </c>
      <c r="CP170">
        <v>46104</v>
      </c>
      <c r="CQ170">
        <v>1</v>
      </c>
      <c r="CR170">
        <v>1</v>
      </c>
      <c r="CT170">
        <v>1</v>
      </c>
      <c r="CV170">
        <v>5.9027777777777778E-4</v>
      </c>
      <c r="CW170">
        <v>5.9027777777777778E-4</v>
      </c>
      <c r="CX170">
        <v>0.1962962962962963</v>
      </c>
      <c r="CY170">
        <v>0.15188657407407408</v>
      </c>
      <c r="CZ170">
        <v>116</v>
      </c>
      <c r="DA170">
        <v>125</v>
      </c>
      <c r="DB170">
        <v>5</v>
      </c>
      <c r="DC170">
        <v>2.2000000000000002</v>
      </c>
      <c r="DD170">
        <v>32015</v>
      </c>
      <c r="DE170">
        <v>4.3099999999999999E-2</v>
      </c>
      <c r="DF170">
        <v>1</v>
      </c>
      <c r="DG170">
        <v>0.2</v>
      </c>
      <c r="DH170">
        <v>4500</v>
      </c>
      <c r="DI170">
        <v>4500</v>
      </c>
      <c r="DJ170">
        <v>4500</v>
      </c>
      <c r="DK170">
        <v>1</v>
      </c>
      <c r="DL170">
        <v>0.1082</v>
      </c>
      <c r="DM170">
        <v>88</v>
      </c>
      <c r="DN170">
        <v>4500</v>
      </c>
    </row>
    <row r="171" spans="91:118" x14ac:dyDescent="0.25">
      <c r="CM171" t="s">
        <v>636</v>
      </c>
      <c r="CN171" t="s">
        <v>6</v>
      </c>
      <c r="CO171" t="s">
        <v>34</v>
      </c>
      <c r="CP171">
        <v>46107</v>
      </c>
      <c r="CQ171">
        <v>1</v>
      </c>
      <c r="CR171">
        <v>1</v>
      </c>
      <c r="CT171">
        <v>1</v>
      </c>
      <c r="CV171">
        <v>2.3148148148148147E-5</v>
      </c>
      <c r="CW171">
        <v>2.3148148148148147E-5</v>
      </c>
      <c r="CX171">
        <v>0.23291666666666666</v>
      </c>
      <c r="CY171">
        <v>0.11825231481481481</v>
      </c>
      <c r="CZ171">
        <v>123</v>
      </c>
      <c r="DA171">
        <v>154</v>
      </c>
      <c r="DB171">
        <v>15</v>
      </c>
      <c r="DC171" t="s">
        <v>739</v>
      </c>
      <c r="DD171">
        <v>33950</v>
      </c>
      <c r="DE171">
        <v>0.122</v>
      </c>
      <c r="DF171">
        <v>1</v>
      </c>
      <c r="DG171">
        <v>6.6699999999999995E-2</v>
      </c>
      <c r="DH171">
        <v>2500</v>
      </c>
      <c r="DI171">
        <v>2500</v>
      </c>
      <c r="DJ171">
        <v>2500</v>
      </c>
      <c r="DK171">
        <v>1</v>
      </c>
      <c r="DL171">
        <v>0.1056</v>
      </c>
      <c r="DM171">
        <v>88</v>
      </c>
      <c r="DN171">
        <v>2500</v>
      </c>
    </row>
    <row r="172" spans="91:118" x14ac:dyDescent="0.25">
      <c r="CM172" t="s">
        <v>636</v>
      </c>
      <c r="CN172" t="s">
        <v>6</v>
      </c>
      <c r="CO172" t="s">
        <v>34</v>
      </c>
      <c r="CP172">
        <v>46112</v>
      </c>
      <c r="CQ172">
        <v>1</v>
      </c>
      <c r="CR172">
        <v>1</v>
      </c>
      <c r="CT172">
        <v>1</v>
      </c>
      <c r="CV172">
        <v>2.0833333333333335E-4</v>
      </c>
      <c r="CW172">
        <v>2.0833333333333335E-4</v>
      </c>
      <c r="CX172">
        <v>0.1729050925925926</v>
      </c>
      <c r="CY172">
        <v>0.22265046296296295</v>
      </c>
      <c r="CZ172">
        <v>50</v>
      </c>
      <c r="DA172">
        <v>87</v>
      </c>
      <c r="DB172">
        <v>12</v>
      </c>
      <c r="DC172" t="s">
        <v>674</v>
      </c>
      <c r="DD172">
        <v>24254</v>
      </c>
      <c r="DE172">
        <v>0.24</v>
      </c>
      <c r="DF172">
        <v>1</v>
      </c>
      <c r="DG172">
        <v>8.3299999999999999E-2</v>
      </c>
      <c r="DH172">
        <v>500</v>
      </c>
      <c r="DI172">
        <v>500</v>
      </c>
      <c r="DJ172">
        <v>500</v>
      </c>
      <c r="DK172">
        <v>1</v>
      </c>
      <c r="DL172">
        <v>0.14960000000000001</v>
      </c>
      <c r="DM172">
        <v>88</v>
      </c>
      <c r="DN172">
        <v>500</v>
      </c>
    </row>
    <row r="173" spans="91:118" x14ac:dyDescent="0.25">
      <c r="CM173" t="s">
        <v>636</v>
      </c>
      <c r="CN173" t="s">
        <v>7</v>
      </c>
      <c r="CO173" t="s">
        <v>495</v>
      </c>
      <c r="CP173">
        <v>46107</v>
      </c>
      <c r="CQ173">
        <v>1</v>
      </c>
      <c r="CR173">
        <v>1</v>
      </c>
      <c r="CT173">
        <v>1</v>
      </c>
      <c r="CV173">
        <v>1.0995370370370371E-3</v>
      </c>
      <c r="CW173">
        <v>1.0995370370370371E-3</v>
      </c>
      <c r="CX173">
        <v>0.14060185185185184</v>
      </c>
      <c r="CY173">
        <v>0.19465277777777779</v>
      </c>
      <c r="CZ173">
        <v>121</v>
      </c>
      <c r="DA173">
        <v>281</v>
      </c>
      <c r="DB173">
        <v>26</v>
      </c>
      <c r="DC173" t="s">
        <v>799</v>
      </c>
      <c r="DD173">
        <v>14175</v>
      </c>
      <c r="DE173">
        <v>0.21490000000000001</v>
      </c>
      <c r="DF173">
        <v>2</v>
      </c>
      <c r="DG173">
        <v>7.6899999999999996E-2</v>
      </c>
      <c r="DH173">
        <v>1715</v>
      </c>
      <c r="DI173">
        <v>858</v>
      </c>
      <c r="DJ173">
        <v>1715</v>
      </c>
      <c r="DK173">
        <v>1</v>
      </c>
      <c r="DL173">
        <v>0.1114</v>
      </c>
      <c r="DM173">
        <v>88</v>
      </c>
      <c r="DN173">
        <v>858</v>
      </c>
    </row>
    <row r="174" spans="91:118" x14ac:dyDescent="0.25">
      <c r="CM174" t="s">
        <v>636</v>
      </c>
      <c r="CN174" t="s">
        <v>7</v>
      </c>
      <c r="CO174" t="s">
        <v>51</v>
      </c>
      <c r="CP174">
        <v>46087</v>
      </c>
      <c r="CQ174">
        <v>1</v>
      </c>
      <c r="CR174">
        <v>1</v>
      </c>
      <c r="CS174">
        <v>1</v>
      </c>
      <c r="CV174">
        <v>7.8819444444444449E-3</v>
      </c>
      <c r="CW174">
        <v>7.8819444444444449E-3</v>
      </c>
      <c r="CX174">
        <v>0.24885416666666665</v>
      </c>
      <c r="CY174">
        <v>5.8784722222222224E-2</v>
      </c>
      <c r="CZ174">
        <v>54</v>
      </c>
      <c r="DA174">
        <v>133</v>
      </c>
      <c r="DB174">
        <v>9</v>
      </c>
      <c r="DC174" t="s">
        <v>726</v>
      </c>
      <c r="DD174">
        <v>19893</v>
      </c>
      <c r="DE174">
        <v>0.16669999999999999</v>
      </c>
      <c r="DF174">
        <v>1</v>
      </c>
      <c r="DG174">
        <v>0.1111</v>
      </c>
      <c r="DH174">
        <v>14500</v>
      </c>
      <c r="DI174">
        <v>14500</v>
      </c>
      <c r="DJ174">
        <v>14500</v>
      </c>
      <c r="DK174">
        <v>1</v>
      </c>
      <c r="DL174">
        <v>0.32479999999999998</v>
      </c>
      <c r="DM174">
        <v>88</v>
      </c>
      <c r="DN174">
        <v>14500</v>
      </c>
    </row>
    <row r="175" spans="91:118" x14ac:dyDescent="0.25">
      <c r="CM175" t="s">
        <v>636</v>
      </c>
      <c r="CN175" t="s">
        <v>7</v>
      </c>
      <c r="CO175" t="s">
        <v>49</v>
      </c>
      <c r="CP175">
        <v>46083</v>
      </c>
      <c r="CQ175">
        <v>1</v>
      </c>
      <c r="CR175">
        <v>1</v>
      </c>
      <c r="CT175">
        <v>1</v>
      </c>
      <c r="CV175">
        <v>3.2523148148148147E-3</v>
      </c>
      <c r="CW175">
        <v>3.2523148148148147E-3</v>
      </c>
      <c r="CX175">
        <v>0.27425925925925926</v>
      </c>
      <c r="CY175">
        <v>3.4814814814814812E-2</v>
      </c>
      <c r="CZ175">
        <v>66</v>
      </c>
      <c r="DA175">
        <v>100</v>
      </c>
      <c r="DB175">
        <v>23</v>
      </c>
      <c r="DC175" t="s">
        <v>975</v>
      </c>
      <c r="DD175">
        <v>16530</v>
      </c>
      <c r="DE175">
        <v>0.34849999999999998</v>
      </c>
      <c r="DF175">
        <v>10</v>
      </c>
      <c r="DG175">
        <v>0.43480000000000002</v>
      </c>
      <c r="DH175">
        <v>7982</v>
      </c>
      <c r="DI175">
        <v>798</v>
      </c>
      <c r="DJ175">
        <v>6752</v>
      </c>
      <c r="DK175">
        <v>0.84589999999999999</v>
      </c>
      <c r="DM175">
        <v>88</v>
      </c>
      <c r="DN175">
        <v>844</v>
      </c>
    </row>
    <row r="176" spans="91:118" x14ac:dyDescent="0.25">
      <c r="CM176" t="s">
        <v>636</v>
      </c>
      <c r="CN176" t="s">
        <v>7</v>
      </c>
      <c r="CO176" t="s">
        <v>549</v>
      </c>
      <c r="CP176">
        <v>46108</v>
      </c>
      <c r="CQ176">
        <v>1</v>
      </c>
      <c r="CR176">
        <v>1</v>
      </c>
      <c r="CT176">
        <v>1</v>
      </c>
      <c r="CV176">
        <v>0</v>
      </c>
      <c r="CW176">
        <v>0</v>
      </c>
      <c r="CX176">
        <v>0.19343750000000001</v>
      </c>
      <c r="CY176">
        <v>0.16961805555555556</v>
      </c>
      <c r="CZ176">
        <v>202</v>
      </c>
      <c r="DA176">
        <v>291</v>
      </c>
      <c r="DB176">
        <v>33</v>
      </c>
      <c r="DC176" t="s">
        <v>1023</v>
      </c>
      <c r="DD176">
        <v>17156</v>
      </c>
      <c r="DE176">
        <v>0.16339999999999999</v>
      </c>
      <c r="DF176">
        <v>1</v>
      </c>
      <c r="DG176">
        <v>3.0300000000000001E-2</v>
      </c>
      <c r="DH176">
        <v>3000</v>
      </c>
      <c r="DI176">
        <v>3000</v>
      </c>
      <c r="DJ176">
        <v>3000</v>
      </c>
      <c r="DK176">
        <v>1</v>
      </c>
      <c r="DL176">
        <v>0.1605</v>
      </c>
      <c r="DM176">
        <v>88</v>
      </c>
      <c r="DN176">
        <v>3000</v>
      </c>
    </row>
    <row r="177" spans="91:118" x14ac:dyDescent="0.25">
      <c r="CM177" t="s">
        <v>636</v>
      </c>
      <c r="CN177" t="s">
        <v>7</v>
      </c>
      <c r="CO177" t="s">
        <v>77</v>
      </c>
      <c r="CP177">
        <v>46094</v>
      </c>
      <c r="CQ177">
        <v>1</v>
      </c>
      <c r="CR177">
        <v>1</v>
      </c>
      <c r="CT177">
        <v>1</v>
      </c>
      <c r="CV177">
        <v>0</v>
      </c>
      <c r="CW177">
        <v>0</v>
      </c>
      <c r="CX177">
        <v>0.21738425925925925</v>
      </c>
      <c r="CY177">
        <v>0.12136574074074075</v>
      </c>
      <c r="CZ177">
        <v>82</v>
      </c>
      <c r="DA177">
        <v>171</v>
      </c>
      <c r="DB177">
        <v>28</v>
      </c>
      <c r="DC177">
        <v>1.75</v>
      </c>
      <c r="DD177">
        <v>31137</v>
      </c>
      <c r="DE177">
        <v>0.34150000000000003</v>
      </c>
      <c r="DF177">
        <v>1</v>
      </c>
      <c r="DG177">
        <v>3.5700000000000003E-2</v>
      </c>
      <c r="DH177">
        <v>1800</v>
      </c>
      <c r="DI177">
        <v>1800</v>
      </c>
      <c r="DJ177">
        <v>1800</v>
      </c>
      <c r="DK177">
        <v>1</v>
      </c>
      <c r="DL177">
        <v>0.67090000000000005</v>
      </c>
      <c r="DM177">
        <v>88</v>
      </c>
      <c r="DN177">
        <v>1800</v>
      </c>
    </row>
    <row r="178" spans="91:118" x14ac:dyDescent="0.25">
      <c r="CM178" t="s">
        <v>636</v>
      </c>
      <c r="CN178" t="s">
        <v>7</v>
      </c>
      <c r="CO178" t="s">
        <v>77</v>
      </c>
      <c r="CP178">
        <v>46106</v>
      </c>
      <c r="CQ178">
        <v>1</v>
      </c>
      <c r="CR178">
        <v>1</v>
      </c>
      <c r="CT178">
        <v>1</v>
      </c>
      <c r="CV178">
        <v>2.5462962962962965E-3</v>
      </c>
      <c r="CW178">
        <v>2.5462962962962965E-3</v>
      </c>
      <c r="CX178">
        <v>0.18596064814814814</v>
      </c>
      <c r="CY178">
        <v>0.15755787037037036</v>
      </c>
      <c r="CZ178">
        <v>48</v>
      </c>
      <c r="DA178">
        <v>101</v>
      </c>
      <c r="DB178">
        <v>11</v>
      </c>
      <c r="DC178" t="s">
        <v>807</v>
      </c>
      <c r="DD178">
        <v>39007</v>
      </c>
      <c r="DE178">
        <v>0.22919999999999999</v>
      </c>
      <c r="DF178">
        <v>2</v>
      </c>
      <c r="DG178">
        <v>0.18179999999999999</v>
      </c>
      <c r="DH178">
        <v>3600</v>
      </c>
      <c r="DI178">
        <v>1800</v>
      </c>
      <c r="DJ178">
        <v>3000</v>
      </c>
      <c r="DK178">
        <v>0.83330000000000004</v>
      </c>
      <c r="DL178">
        <v>0.11020000000000001</v>
      </c>
      <c r="DM178">
        <v>88</v>
      </c>
      <c r="DN178">
        <v>3000</v>
      </c>
    </row>
    <row r="179" spans="91:118" x14ac:dyDescent="0.25">
      <c r="CM179" t="s">
        <v>636</v>
      </c>
      <c r="CN179" t="s">
        <v>7</v>
      </c>
      <c r="CO179" t="s">
        <v>566</v>
      </c>
      <c r="CP179">
        <v>46098</v>
      </c>
      <c r="CQ179">
        <v>1</v>
      </c>
      <c r="CR179">
        <v>1</v>
      </c>
      <c r="CS179">
        <v>1</v>
      </c>
      <c r="CV179">
        <v>1.5138888888888889E-2</v>
      </c>
      <c r="CW179">
        <v>1.5138888888888889E-2</v>
      </c>
      <c r="CX179">
        <v>0.17341435185185186</v>
      </c>
      <c r="CY179">
        <v>0.11981481481481482</v>
      </c>
      <c r="CZ179">
        <v>99</v>
      </c>
      <c r="DA179">
        <v>176</v>
      </c>
      <c r="DB179">
        <v>40</v>
      </c>
      <c r="DC179">
        <v>1.2749999999999999</v>
      </c>
      <c r="DD179">
        <v>10186</v>
      </c>
      <c r="DE179">
        <v>0.40400000000000003</v>
      </c>
      <c r="DF179">
        <v>1</v>
      </c>
      <c r="DG179">
        <v>2.5000000000000001E-2</v>
      </c>
      <c r="DH179">
        <v>1000</v>
      </c>
      <c r="DI179">
        <v>1000</v>
      </c>
      <c r="DJ179">
        <v>1000</v>
      </c>
      <c r="DK179">
        <v>1</v>
      </c>
      <c r="DL179">
        <v>0.24990000000000001</v>
      </c>
      <c r="DM179">
        <v>88</v>
      </c>
      <c r="DN179">
        <v>1000</v>
      </c>
    </row>
    <row r="180" spans="91:118" x14ac:dyDescent="0.25">
      <c r="CM180" t="s">
        <v>636</v>
      </c>
      <c r="CN180" t="s">
        <v>7</v>
      </c>
      <c r="CO180" t="s">
        <v>73</v>
      </c>
      <c r="CP180">
        <v>46091</v>
      </c>
      <c r="CQ180">
        <v>1</v>
      </c>
      <c r="CR180">
        <v>1</v>
      </c>
      <c r="CT180">
        <v>1</v>
      </c>
      <c r="CV180">
        <v>1.8518518518518518E-4</v>
      </c>
      <c r="CW180">
        <v>1.8518518518518518E-4</v>
      </c>
      <c r="CX180">
        <v>0.29591435185185183</v>
      </c>
      <c r="CY180">
        <v>0.12002314814814814</v>
      </c>
      <c r="CZ180">
        <v>78</v>
      </c>
      <c r="DA180">
        <v>119</v>
      </c>
      <c r="DB180">
        <v>24</v>
      </c>
      <c r="DC180" t="s">
        <v>1024</v>
      </c>
      <c r="DD180">
        <v>24222</v>
      </c>
      <c r="DE180">
        <v>0.30769999999999997</v>
      </c>
      <c r="DF180">
        <v>1</v>
      </c>
      <c r="DG180">
        <v>4.1700000000000001E-2</v>
      </c>
      <c r="DH180">
        <v>1600</v>
      </c>
      <c r="DI180">
        <v>1600</v>
      </c>
      <c r="DJ180">
        <v>1600</v>
      </c>
      <c r="DK180">
        <v>1</v>
      </c>
      <c r="DL180">
        <v>0.2571</v>
      </c>
      <c r="DM180">
        <v>88</v>
      </c>
      <c r="DN180">
        <v>1600</v>
      </c>
    </row>
    <row r="181" spans="91:118" x14ac:dyDescent="0.25">
      <c r="CM181" t="s">
        <v>636</v>
      </c>
      <c r="CN181" t="s">
        <v>7</v>
      </c>
      <c r="CO181" t="s">
        <v>557</v>
      </c>
      <c r="CP181">
        <v>46092</v>
      </c>
      <c r="CQ181">
        <v>1</v>
      </c>
      <c r="CR181">
        <v>1</v>
      </c>
      <c r="CT181">
        <v>1</v>
      </c>
      <c r="CV181">
        <v>5.7870370370370373E-5</v>
      </c>
      <c r="CW181">
        <v>5.7870370370370373E-5</v>
      </c>
      <c r="CX181">
        <v>0.21980324074074073</v>
      </c>
      <c r="CY181">
        <v>0.13462962962962963</v>
      </c>
      <c r="CZ181">
        <v>81</v>
      </c>
      <c r="DA181">
        <v>144</v>
      </c>
      <c r="DB181">
        <v>31</v>
      </c>
      <c r="DC181" t="s">
        <v>696</v>
      </c>
      <c r="DD181">
        <v>5456</v>
      </c>
      <c r="DE181">
        <v>0.38269999999999998</v>
      </c>
      <c r="DF181">
        <v>3</v>
      </c>
      <c r="DG181">
        <v>9.6799999999999997E-2</v>
      </c>
      <c r="DH181">
        <v>1200</v>
      </c>
      <c r="DI181">
        <v>400</v>
      </c>
      <c r="DJ181">
        <v>1200</v>
      </c>
      <c r="DK181">
        <v>1</v>
      </c>
      <c r="DL181">
        <v>0.1303</v>
      </c>
      <c r="DM181">
        <v>88</v>
      </c>
      <c r="DN181">
        <v>400</v>
      </c>
    </row>
    <row r="182" spans="91:118" x14ac:dyDescent="0.25">
      <c r="CM182" t="s">
        <v>636</v>
      </c>
      <c r="CN182" t="s">
        <v>7</v>
      </c>
      <c r="CO182" t="s">
        <v>48</v>
      </c>
      <c r="CP182">
        <v>46084</v>
      </c>
      <c r="CQ182">
        <v>1</v>
      </c>
      <c r="CR182">
        <v>1</v>
      </c>
      <c r="CT182">
        <v>1</v>
      </c>
      <c r="CV182">
        <v>3.5879629629629629E-4</v>
      </c>
      <c r="CW182">
        <v>3.5879629629629629E-4</v>
      </c>
      <c r="CX182">
        <v>0.31792824074074072</v>
      </c>
      <c r="CY182">
        <v>0.10460648148148148</v>
      </c>
      <c r="CZ182">
        <v>92</v>
      </c>
      <c r="DA182">
        <v>122</v>
      </c>
      <c r="DB182">
        <v>28</v>
      </c>
      <c r="DC182" t="s">
        <v>745</v>
      </c>
      <c r="DD182">
        <v>13002</v>
      </c>
      <c r="DE182">
        <v>0.30430000000000001</v>
      </c>
      <c r="DF182">
        <v>1</v>
      </c>
      <c r="DG182">
        <v>3.5700000000000003E-2</v>
      </c>
      <c r="DH182">
        <v>400</v>
      </c>
      <c r="DI182">
        <v>400</v>
      </c>
      <c r="DJ182">
        <v>400</v>
      </c>
      <c r="DK182">
        <v>1</v>
      </c>
      <c r="DM182">
        <v>88</v>
      </c>
      <c r="DN182">
        <v>400</v>
      </c>
    </row>
    <row r="183" spans="91:118" x14ac:dyDescent="0.25">
      <c r="CM183" t="s">
        <v>636</v>
      </c>
      <c r="CN183" t="s">
        <v>7</v>
      </c>
      <c r="CO183" t="s">
        <v>48</v>
      </c>
      <c r="CP183">
        <v>46108</v>
      </c>
      <c r="CQ183">
        <v>1</v>
      </c>
      <c r="CR183">
        <v>1</v>
      </c>
      <c r="CT183">
        <v>1</v>
      </c>
      <c r="CV183">
        <v>2.3148148148148147E-5</v>
      </c>
      <c r="CW183">
        <v>2.3148148148148147E-5</v>
      </c>
      <c r="CX183">
        <v>0.1907638888888889</v>
      </c>
      <c r="CY183">
        <v>0.15200231481481483</v>
      </c>
      <c r="CZ183">
        <v>82</v>
      </c>
      <c r="DA183">
        <v>115</v>
      </c>
      <c r="DB183">
        <v>11</v>
      </c>
      <c r="DC183" t="s">
        <v>695</v>
      </c>
      <c r="DD183">
        <v>25172</v>
      </c>
      <c r="DE183">
        <v>0.1341</v>
      </c>
      <c r="DF183">
        <v>1</v>
      </c>
      <c r="DG183">
        <v>9.0899999999999995E-2</v>
      </c>
      <c r="DH183">
        <v>2000</v>
      </c>
      <c r="DI183">
        <v>2000</v>
      </c>
      <c r="DJ183">
        <v>2000</v>
      </c>
      <c r="DK183">
        <v>1</v>
      </c>
      <c r="DL183">
        <v>0.1273</v>
      </c>
      <c r="DM183">
        <v>88</v>
      </c>
      <c r="DN183">
        <v>2000</v>
      </c>
    </row>
    <row r="184" spans="91:118" x14ac:dyDescent="0.25">
      <c r="CM184" t="s">
        <v>636</v>
      </c>
      <c r="CN184" t="s">
        <v>3</v>
      </c>
      <c r="CO184" t="s">
        <v>68</v>
      </c>
      <c r="CP184">
        <v>46086</v>
      </c>
      <c r="CQ184">
        <v>1</v>
      </c>
      <c r="CR184">
        <v>1</v>
      </c>
      <c r="CT184">
        <v>1</v>
      </c>
      <c r="CV184">
        <v>1.273148148148148E-4</v>
      </c>
      <c r="CW184">
        <v>1.273148148148148E-4</v>
      </c>
      <c r="CX184">
        <v>0.30857638888888889</v>
      </c>
      <c r="CY184">
        <v>7.9143518518518516E-2</v>
      </c>
      <c r="CZ184">
        <v>96</v>
      </c>
      <c r="DA184">
        <v>185</v>
      </c>
      <c r="DB184">
        <v>26</v>
      </c>
      <c r="DC184" t="s">
        <v>757</v>
      </c>
      <c r="DD184">
        <v>19437</v>
      </c>
      <c r="DE184">
        <v>0.27079999999999999</v>
      </c>
      <c r="DF184">
        <v>2</v>
      </c>
      <c r="DG184">
        <v>7.6899999999999996E-2</v>
      </c>
      <c r="DH184">
        <v>8783</v>
      </c>
      <c r="DI184">
        <v>4392</v>
      </c>
      <c r="DJ184">
        <v>8783</v>
      </c>
      <c r="DK184">
        <v>1</v>
      </c>
      <c r="DL184">
        <v>0.19339999999999999</v>
      </c>
      <c r="DM184">
        <v>88</v>
      </c>
      <c r="DN184">
        <v>4392</v>
      </c>
    </row>
    <row r="185" spans="91:118" x14ac:dyDescent="0.25">
      <c r="CM185" t="s">
        <v>636</v>
      </c>
      <c r="CN185" t="s">
        <v>3</v>
      </c>
      <c r="CO185" t="s">
        <v>68</v>
      </c>
      <c r="CP185">
        <v>46091</v>
      </c>
      <c r="CQ185">
        <v>1</v>
      </c>
      <c r="CR185">
        <v>1</v>
      </c>
      <c r="CV185">
        <v>4.0972222222222226E-3</v>
      </c>
      <c r="CW185">
        <v>4.0972222222222226E-3</v>
      </c>
      <c r="CX185">
        <v>0.30994212962962964</v>
      </c>
      <c r="CY185">
        <v>5.7662037037037039E-2</v>
      </c>
      <c r="CZ185">
        <v>132</v>
      </c>
      <c r="DA185">
        <v>265</v>
      </c>
      <c r="DB185">
        <v>25</v>
      </c>
      <c r="DC185">
        <v>1.52</v>
      </c>
      <c r="DD185">
        <v>40307</v>
      </c>
      <c r="DE185">
        <v>0.18940000000000001</v>
      </c>
      <c r="DF185">
        <v>1</v>
      </c>
      <c r="DG185">
        <v>0.04</v>
      </c>
      <c r="DH185">
        <v>368</v>
      </c>
      <c r="DI185">
        <v>368</v>
      </c>
      <c r="DJ185">
        <v>368</v>
      </c>
      <c r="DK185">
        <v>1</v>
      </c>
      <c r="DL185">
        <v>1.0006999999999999</v>
      </c>
      <c r="DM185">
        <v>88</v>
      </c>
      <c r="DN185">
        <v>368</v>
      </c>
    </row>
    <row r="186" spans="91:118" x14ac:dyDescent="0.25">
      <c r="CM186" t="s">
        <v>636</v>
      </c>
      <c r="CN186" t="s">
        <v>3</v>
      </c>
      <c r="CO186" t="s">
        <v>68</v>
      </c>
      <c r="CP186">
        <v>46092</v>
      </c>
      <c r="CQ186">
        <v>1</v>
      </c>
      <c r="CR186">
        <v>1</v>
      </c>
      <c r="CT186">
        <v>1</v>
      </c>
      <c r="CV186">
        <v>1.8518518518518518E-4</v>
      </c>
      <c r="CW186">
        <v>1.8518518518518518E-4</v>
      </c>
      <c r="CX186">
        <v>0.22190972222222222</v>
      </c>
      <c r="CY186">
        <v>8.2071759259259261E-2</v>
      </c>
      <c r="CZ186">
        <v>95</v>
      </c>
      <c r="DA186">
        <v>192</v>
      </c>
      <c r="DB186">
        <v>16</v>
      </c>
      <c r="DC186">
        <v>1.4375</v>
      </c>
      <c r="DD186">
        <v>32305</v>
      </c>
      <c r="DE186">
        <v>0.16839999999999999</v>
      </c>
      <c r="DF186">
        <v>1</v>
      </c>
      <c r="DG186">
        <v>6.25E-2</v>
      </c>
      <c r="DH186">
        <v>4020</v>
      </c>
      <c r="DI186">
        <v>4020</v>
      </c>
      <c r="DJ186">
        <v>4020</v>
      </c>
      <c r="DK186">
        <v>1</v>
      </c>
      <c r="DL186">
        <v>0.59930000000000005</v>
      </c>
      <c r="DM186">
        <v>88</v>
      </c>
      <c r="DN186">
        <v>4020</v>
      </c>
    </row>
    <row r="187" spans="91:118" x14ac:dyDescent="0.25">
      <c r="CM187" t="s">
        <v>636</v>
      </c>
      <c r="CN187" t="s">
        <v>3</v>
      </c>
      <c r="CO187" t="s">
        <v>29</v>
      </c>
      <c r="CP187">
        <v>46086</v>
      </c>
      <c r="CQ187">
        <v>1</v>
      </c>
      <c r="CR187">
        <v>1</v>
      </c>
      <c r="CT187">
        <v>1</v>
      </c>
      <c r="CV187">
        <v>6.5972222222222224E-4</v>
      </c>
      <c r="CW187">
        <v>6.5972222222222224E-4</v>
      </c>
      <c r="CX187">
        <v>0.25231481481481483</v>
      </c>
      <c r="CY187">
        <v>0.13791666666666666</v>
      </c>
      <c r="CZ187">
        <v>71</v>
      </c>
      <c r="DA187">
        <v>165</v>
      </c>
      <c r="DB187">
        <v>23</v>
      </c>
      <c r="DC187" t="s">
        <v>724</v>
      </c>
      <c r="DD187">
        <v>9404</v>
      </c>
      <c r="DE187">
        <v>0.32390000000000002</v>
      </c>
      <c r="DF187">
        <v>3</v>
      </c>
      <c r="DG187">
        <v>0.13039999999999999</v>
      </c>
      <c r="DH187">
        <v>7623</v>
      </c>
      <c r="DI187">
        <v>2541</v>
      </c>
      <c r="DJ187">
        <v>7623</v>
      </c>
      <c r="DK187">
        <v>1</v>
      </c>
      <c r="DL187">
        <v>0.15079999999999999</v>
      </c>
      <c r="DM187">
        <v>88</v>
      </c>
      <c r="DN187">
        <v>2541</v>
      </c>
    </row>
    <row r="188" spans="91:118" x14ac:dyDescent="0.25">
      <c r="CM188" t="s">
        <v>636</v>
      </c>
      <c r="CN188" t="s">
        <v>3</v>
      </c>
      <c r="CO188" t="s">
        <v>38</v>
      </c>
      <c r="CP188">
        <v>46084</v>
      </c>
      <c r="CQ188">
        <v>1</v>
      </c>
      <c r="CR188">
        <v>1</v>
      </c>
      <c r="CT188">
        <v>1</v>
      </c>
      <c r="CV188">
        <v>0</v>
      </c>
      <c r="CW188">
        <v>0</v>
      </c>
      <c r="CX188">
        <v>0.28341435185185188</v>
      </c>
      <c r="CY188">
        <v>0.13920138888888889</v>
      </c>
      <c r="CZ188">
        <v>54</v>
      </c>
      <c r="DA188">
        <v>96</v>
      </c>
      <c r="DB188">
        <v>24</v>
      </c>
      <c r="DC188">
        <v>2.125</v>
      </c>
      <c r="DD188">
        <v>19621</v>
      </c>
      <c r="DE188">
        <v>0.44440000000000002</v>
      </c>
      <c r="DF188">
        <v>3</v>
      </c>
      <c r="DG188">
        <v>0.125</v>
      </c>
      <c r="DH188">
        <v>6135</v>
      </c>
      <c r="DI188">
        <v>2045</v>
      </c>
      <c r="DJ188">
        <v>6135</v>
      </c>
      <c r="DK188">
        <v>1</v>
      </c>
      <c r="DL188">
        <v>0.27500000000000002</v>
      </c>
      <c r="DM188">
        <v>88</v>
      </c>
      <c r="DN188">
        <v>2045</v>
      </c>
    </row>
    <row r="189" spans="91:118" x14ac:dyDescent="0.25">
      <c r="CM189" t="s">
        <v>636</v>
      </c>
      <c r="CN189" t="s">
        <v>3</v>
      </c>
      <c r="CO189" t="s">
        <v>38</v>
      </c>
      <c r="CP189">
        <v>46087</v>
      </c>
      <c r="CQ189">
        <v>1</v>
      </c>
      <c r="CR189">
        <v>1</v>
      </c>
      <c r="CS189">
        <v>1</v>
      </c>
      <c r="CV189">
        <v>7.766203703703704E-3</v>
      </c>
      <c r="CW189">
        <v>7.766203703703704E-3</v>
      </c>
      <c r="CX189">
        <v>0.24592592592592594</v>
      </c>
      <c r="CY189">
        <v>9.1273148148148145E-2</v>
      </c>
      <c r="CZ189">
        <v>77</v>
      </c>
      <c r="DA189">
        <v>122</v>
      </c>
      <c r="DB189">
        <v>23</v>
      </c>
      <c r="DC189" t="s">
        <v>724</v>
      </c>
      <c r="DD189">
        <v>20374</v>
      </c>
      <c r="DE189">
        <v>0.29870000000000002</v>
      </c>
      <c r="DF189">
        <v>5</v>
      </c>
      <c r="DG189">
        <v>0.21740000000000001</v>
      </c>
      <c r="DH189">
        <v>6377</v>
      </c>
      <c r="DI189">
        <v>1275</v>
      </c>
      <c r="DJ189">
        <v>6377</v>
      </c>
      <c r="DK189">
        <v>1</v>
      </c>
      <c r="DL189">
        <v>0.3145</v>
      </c>
      <c r="DM189">
        <v>88</v>
      </c>
      <c r="DN189">
        <v>1275</v>
      </c>
    </row>
    <row r="190" spans="91:118" x14ac:dyDescent="0.25">
      <c r="CM190" t="s">
        <v>636</v>
      </c>
      <c r="CN190" t="s">
        <v>3</v>
      </c>
      <c r="CO190" t="s">
        <v>38</v>
      </c>
      <c r="CP190">
        <v>46092</v>
      </c>
      <c r="CQ190">
        <v>1</v>
      </c>
      <c r="CR190">
        <v>1</v>
      </c>
      <c r="CT190">
        <v>1</v>
      </c>
      <c r="CV190">
        <v>3.4722222222222224E-4</v>
      </c>
      <c r="CW190">
        <v>3.4722222222222224E-4</v>
      </c>
      <c r="CX190">
        <v>0.22480324074074073</v>
      </c>
      <c r="CY190">
        <v>0.11710648148148148</v>
      </c>
      <c r="CZ190">
        <v>84</v>
      </c>
      <c r="DA190">
        <v>113</v>
      </c>
      <c r="DB190">
        <v>27</v>
      </c>
      <c r="DC190" t="s">
        <v>998</v>
      </c>
      <c r="DD190">
        <v>18510</v>
      </c>
      <c r="DE190">
        <v>0.32140000000000002</v>
      </c>
      <c r="DF190">
        <v>3</v>
      </c>
      <c r="DG190">
        <v>0.1111</v>
      </c>
      <c r="DH190">
        <v>8100</v>
      </c>
      <c r="DI190">
        <v>2700</v>
      </c>
      <c r="DJ190">
        <v>7350</v>
      </c>
      <c r="DK190">
        <v>0.90739999999999998</v>
      </c>
      <c r="DL190">
        <v>0.72840000000000005</v>
      </c>
      <c r="DM190">
        <v>88</v>
      </c>
      <c r="DN190">
        <v>2450</v>
      </c>
    </row>
    <row r="191" spans="91:118" x14ac:dyDescent="0.25">
      <c r="CM191" t="s">
        <v>636</v>
      </c>
      <c r="CN191" t="s">
        <v>3</v>
      </c>
      <c r="CO191" t="s">
        <v>79</v>
      </c>
      <c r="CP191">
        <v>46085</v>
      </c>
      <c r="CQ191">
        <v>1</v>
      </c>
      <c r="CR191">
        <v>1</v>
      </c>
      <c r="CS191">
        <v>1</v>
      </c>
      <c r="CV191">
        <v>0.15557870370370369</v>
      </c>
      <c r="CW191">
        <v>0.15557870370370369</v>
      </c>
      <c r="CX191">
        <v>0.12422453703703704</v>
      </c>
      <c r="CY191">
        <v>8.5219907407407411E-2</v>
      </c>
      <c r="CZ191">
        <v>54</v>
      </c>
      <c r="DA191">
        <v>130</v>
      </c>
      <c r="DB191">
        <v>16</v>
      </c>
      <c r="DC191">
        <v>1.5</v>
      </c>
      <c r="DD191">
        <v>51643</v>
      </c>
      <c r="DE191">
        <v>0.29630000000000001</v>
      </c>
      <c r="DF191">
        <v>2</v>
      </c>
      <c r="DG191">
        <v>0.125</v>
      </c>
      <c r="DH191">
        <v>2600</v>
      </c>
      <c r="DI191">
        <v>1300</v>
      </c>
      <c r="DJ191">
        <v>2600</v>
      </c>
      <c r="DK191">
        <v>1</v>
      </c>
      <c r="DL191">
        <v>0.32340000000000002</v>
      </c>
      <c r="DM191">
        <v>88</v>
      </c>
      <c r="DN191">
        <v>1300</v>
      </c>
    </row>
    <row r="192" spans="91:118" x14ac:dyDescent="0.25">
      <c r="CM192" t="s">
        <v>636</v>
      </c>
      <c r="CN192" t="s">
        <v>3</v>
      </c>
      <c r="CO192" t="s">
        <v>79</v>
      </c>
      <c r="CP192">
        <v>46100</v>
      </c>
      <c r="CQ192">
        <v>1</v>
      </c>
      <c r="CR192">
        <v>1</v>
      </c>
      <c r="CT192">
        <v>1</v>
      </c>
      <c r="CV192">
        <v>4.6296296296296298E-4</v>
      </c>
      <c r="CW192">
        <v>4.6296296296296298E-4</v>
      </c>
      <c r="CX192">
        <v>0.21634259259259259</v>
      </c>
      <c r="CY192">
        <v>0.15087962962962964</v>
      </c>
      <c r="CZ192">
        <v>112</v>
      </c>
      <c r="DA192">
        <v>199</v>
      </c>
      <c r="DB192">
        <v>11</v>
      </c>
      <c r="DC192" t="s">
        <v>905</v>
      </c>
      <c r="DD192">
        <v>37744</v>
      </c>
      <c r="DE192">
        <v>9.8199999999999996E-2</v>
      </c>
      <c r="DF192">
        <v>1</v>
      </c>
      <c r="DG192">
        <v>9.0899999999999995E-2</v>
      </c>
      <c r="DH192">
        <v>170</v>
      </c>
      <c r="DI192">
        <v>170</v>
      </c>
      <c r="DJ192">
        <v>170</v>
      </c>
      <c r="DK192">
        <v>1</v>
      </c>
      <c r="DL192">
        <v>0.57189999999999996</v>
      </c>
      <c r="DM192">
        <v>88</v>
      </c>
      <c r="DN192">
        <v>170</v>
      </c>
    </row>
    <row r="193" spans="91:118" x14ac:dyDescent="0.25">
      <c r="CM193" t="s">
        <v>636</v>
      </c>
      <c r="CN193" t="s">
        <v>3</v>
      </c>
      <c r="CO193" t="s">
        <v>78</v>
      </c>
      <c r="CP193">
        <v>46087</v>
      </c>
      <c r="CQ193">
        <v>1</v>
      </c>
      <c r="CR193">
        <v>1</v>
      </c>
      <c r="CV193">
        <v>4.2824074074074075E-4</v>
      </c>
      <c r="CW193">
        <v>4.2824074074074075E-4</v>
      </c>
      <c r="CX193">
        <v>0.19035879629629629</v>
      </c>
      <c r="CY193">
        <v>0.16935185185185186</v>
      </c>
      <c r="CZ193">
        <v>56</v>
      </c>
      <c r="DA193">
        <v>120</v>
      </c>
      <c r="DB193">
        <v>27</v>
      </c>
      <c r="DC193" t="s">
        <v>865</v>
      </c>
      <c r="DD193">
        <v>16091</v>
      </c>
      <c r="DE193">
        <v>0.48209999999999997</v>
      </c>
      <c r="DF193">
        <v>7</v>
      </c>
      <c r="DG193">
        <v>0.25929999999999997</v>
      </c>
      <c r="DH193">
        <v>11206</v>
      </c>
      <c r="DI193">
        <v>1601</v>
      </c>
      <c r="DJ193">
        <v>10446</v>
      </c>
      <c r="DK193">
        <v>0.93220000000000003</v>
      </c>
      <c r="DL193">
        <v>0.52739999999999998</v>
      </c>
      <c r="DM193">
        <v>88</v>
      </c>
      <c r="DN193">
        <v>2089</v>
      </c>
    </row>
    <row r="194" spans="91:118" x14ac:dyDescent="0.25">
      <c r="CM194" t="s">
        <v>636</v>
      </c>
      <c r="CN194" t="s">
        <v>3</v>
      </c>
      <c r="CO194" t="s">
        <v>76</v>
      </c>
      <c r="CP194">
        <v>46091</v>
      </c>
      <c r="CQ194">
        <v>1</v>
      </c>
      <c r="CR194">
        <v>1</v>
      </c>
      <c r="CT194">
        <v>1</v>
      </c>
      <c r="CV194">
        <v>2.0949074074074073E-3</v>
      </c>
      <c r="CW194">
        <v>2.0949074074074073E-3</v>
      </c>
      <c r="CX194">
        <v>0.29640046296296296</v>
      </c>
      <c r="CY194">
        <v>9.4224537037037037E-2</v>
      </c>
      <c r="CZ194">
        <v>100</v>
      </c>
      <c r="DA194">
        <v>158</v>
      </c>
      <c r="DB194">
        <v>35</v>
      </c>
      <c r="DC194" t="s">
        <v>679</v>
      </c>
      <c r="DD194">
        <v>24256</v>
      </c>
      <c r="DE194">
        <v>0.35</v>
      </c>
      <c r="DF194">
        <v>1</v>
      </c>
      <c r="DG194">
        <v>2.86E-2</v>
      </c>
      <c r="DH194">
        <v>2963</v>
      </c>
      <c r="DI194">
        <v>2963</v>
      </c>
      <c r="DJ194">
        <v>2963</v>
      </c>
      <c r="DK194">
        <v>1</v>
      </c>
      <c r="DL194">
        <v>0.65210000000000001</v>
      </c>
      <c r="DM194">
        <v>88</v>
      </c>
      <c r="DN194">
        <v>2963</v>
      </c>
    </row>
    <row r="195" spans="91:118" x14ac:dyDescent="0.25">
      <c r="CM195" t="s">
        <v>636</v>
      </c>
      <c r="CN195" t="s">
        <v>3</v>
      </c>
      <c r="CO195" t="s">
        <v>76</v>
      </c>
      <c r="CP195">
        <v>46097</v>
      </c>
      <c r="CQ195">
        <v>1</v>
      </c>
      <c r="CR195">
        <v>1</v>
      </c>
      <c r="CT195">
        <v>1</v>
      </c>
      <c r="CV195">
        <v>0</v>
      </c>
      <c r="CW195">
        <v>0</v>
      </c>
      <c r="CX195">
        <v>0.27489583333333334</v>
      </c>
      <c r="CY195">
        <v>0.13143518518518518</v>
      </c>
      <c r="CZ195">
        <v>103</v>
      </c>
      <c r="DA195">
        <v>151</v>
      </c>
      <c r="DB195">
        <v>31</v>
      </c>
      <c r="DC195" t="s">
        <v>774</v>
      </c>
      <c r="DD195">
        <v>17925</v>
      </c>
      <c r="DE195">
        <v>0.30099999999999999</v>
      </c>
      <c r="DF195">
        <v>1</v>
      </c>
      <c r="DG195">
        <v>3.2300000000000002E-2</v>
      </c>
      <c r="DH195">
        <v>3515</v>
      </c>
      <c r="DI195">
        <v>3515</v>
      </c>
      <c r="DJ195">
        <v>3515</v>
      </c>
      <c r="DK195">
        <v>1</v>
      </c>
      <c r="DM195">
        <v>88</v>
      </c>
      <c r="DN195">
        <v>3515</v>
      </c>
    </row>
    <row r="196" spans="91:118" x14ac:dyDescent="0.25">
      <c r="CM196" t="s">
        <v>636</v>
      </c>
      <c r="CN196" t="s">
        <v>3</v>
      </c>
      <c r="CO196" t="s">
        <v>76</v>
      </c>
      <c r="CP196">
        <v>46104</v>
      </c>
      <c r="CQ196">
        <v>1</v>
      </c>
      <c r="CR196">
        <v>1</v>
      </c>
      <c r="CS196">
        <v>1</v>
      </c>
      <c r="CV196">
        <v>2.7337962962962963E-2</v>
      </c>
      <c r="CW196">
        <v>2.7337962962962963E-2</v>
      </c>
      <c r="CX196">
        <v>0.17641203703703703</v>
      </c>
      <c r="CY196">
        <v>0.12465277777777778</v>
      </c>
      <c r="CZ196">
        <v>46</v>
      </c>
      <c r="DA196">
        <v>76</v>
      </c>
      <c r="DB196">
        <v>14</v>
      </c>
      <c r="DC196" t="s">
        <v>700</v>
      </c>
      <c r="DD196">
        <v>24897</v>
      </c>
      <c r="DE196">
        <v>0.30430000000000001</v>
      </c>
      <c r="DF196">
        <v>1</v>
      </c>
      <c r="DG196">
        <v>7.1400000000000005E-2</v>
      </c>
      <c r="DH196">
        <v>5500</v>
      </c>
      <c r="DI196">
        <v>5500</v>
      </c>
      <c r="DJ196">
        <v>5500</v>
      </c>
      <c r="DK196">
        <v>1</v>
      </c>
      <c r="DL196">
        <v>0.25800000000000001</v>
      </c>
      <c r="DM196">
        <v>88</v>
      </c>
      <c r="DN196">
        <v>5500</v>
      </c>
    </row>
    <row r="197" spans="91:118" x14ac:dyDescent="0.25">
      <c r="CM197" t="s">
        <v>636</v>
      </c>
      <c r="CN197" t="s">
        <v>125</v>
      </c>
      <c r="CO197" t="s">
        <v>60</v>
      </c>
      <c r="CP197">
        <v>46087</v>
      </c>
      <c r="CQ197">
        <v>1</v>
      </c>
      <c r="CR197">
        <v>1</v>
      </c>
      <c r="CT197">
        <v>1</v>
      </c>
      <c r="CV197">
        <v>5.7870370370370373E-5</v>
      </c>
      <c r="CW197">
        <v>5.7870370370370373E-5</v>
      </c>
      <c r="CX197">
        <v>0.25679398148148147</v>
      </c>
      <c r="CY197">
        <v>6.3692129629629626E-2</v>
      </c>
      <c r="CZ197">
        <v>103</v>
      </c>
      <c r="DA197">
        <v>123</v>
      </c>
      <c r="DB197">
        <v>7</v>
      </c>
      <c r="DC197" t="s">
        <v>679</v>
      </c>
      <c r="DD197">
        <v>9362</v>
      </c>
      <c r="DE197">
        <v>6.8000000000000005E-2</v>
      </c>
      <c r="DF197">
        <v>1</v>
      </c>
      <c r="DG197">
        <v>0.1429</v>
      </c>
      <c r="DH197">
        <v>600</v>
      </c>
      <c r="DI197">
        <v>600</v>
      </c>
      <c r="DJ197">
        <v>600</v>
      </c>
      <c r="DK197">
        <v>1</v>
      </c>
      <c r="DL197">
        <v>0.32469999999999999</v>
      </c>
      <c r="DM197">
        <v>86</v>
      </c>
      <c r="DN197">
        <v>600</v>
      </c>
    </row>
    <row r="198" spans="91:118" x14ac:dyDescent="0.25">
      <c r="CM198" t="s">
        <v>636</v>
      </c>
      <c r="CN198" t="s">
        <v>125</v>
      </c>
      <c r="CO198" t="s">
        <v>61</v>
      </c>
      <c r="CP198">
        <v>46101</v>
      </c>
      <c r="CQ198">
        <v>1</v>
      </c>
      <c r="CR198">
        <v>1</v>
      </c>
      <c r="CT198">
        <v>1</v>
      </c>
      <c r="CV198">
        <v>8.1018518518518516E-5</v>
      </c>
      <c r="CW198">
        <v>8.1018518518518516E-5</v>
      </c>
      <c r="CX198">
        <v>0.17982638888888888</v>
      </c>
      <c r="CY198">
        <v>0.1761574074074074</v>
      </c>
      <c r="CZ198">
        <v>68</v>
      </c>
      <c r="DA198">
        <v>161</v>
      </c>
      <c r="DB198">
        <v>16</v>
      </c>
      <c r="DC198">
        <v>2.1875</v>
      </c>
      <c r="DD198">
        <v>78073</v>
      </c>
      <c r="DE198">
        <v>0.23530000000000001</v>
      </c>
      <c r="DF198">
        <v>2</v>
      </c>
      <c r="DG198">
        <v>0.125</v>
      </c>
      <c r="DH198">
        <v>22500</v>
      </c>
      <c r="DI198">
        <v>11250</v>
      </c>
      <c r="DJ198">
        <v>22500</v>
      </c>
      <c r="DK198">
        <v>1</v>
      </c>
      <c r="DL198">
        <v>0.1265</v>
      </c>
      <c r="DM198">
        <v>86</v>
      </c>
      <c r="DN198">
        <v>11250</v>
      </c>
    </row>
    <row r="199" spans="91:118" x14ac:dyDescent="0.25">
      <c r="CM199" t="s">
        <v>636</v>
      </c>
      <c r="CN199" t="s">
        <v>125</v>
      </c>
      <c r="CO199" t="s">
        <v>12</v>
      </c>
      <c r="CP199">
        <v>46087</v>
      </c>
      <c r="CQ199">
        <v>1</v>
      </c>
      <c r="CR199">
        <v>1</v>
      </c>
      <c r="CT199">
        <v>1</v>
      </c>
      <c r="CV199">
        <v>1.5046296296296297E-4</v>
      </c>
      <c r="CW199">
        <v>1.5046296296296297E-4</v>
      </c>
      <c r="CX199">
        <v>0.2280787037037037</v>
      </c>
      <c r="CY199">
        <v>0.11534722222222223</v>
      </c>
      <c r="CZ199">
        <v>82</v>
      </c>
      <c r="DA199">
        <v>203</v>
      </c>
      <c r="DB199">
        <v>15</v>
      </c>
      <c r="DC199" t="s">
        <v>742</v>
      </c>
      <c r="DD199">
        <v>18638</v>
      </c>
      <c r="DE199">
        <v>0.18290000000000001</v>
      </c>
      <c r="DF199">
        <v>1</v>
      </c>
      <c r="DG199">
        <v>6.6699999999999995E-2</v>
      </c>
      <c r="DH199">
        <v>3500</v>
      </c>
      <c r="DI199">
        <v>3500</v>
      </c>
      <c r="DJ199">
        <v>3500</v>
      </c>
      <c r="DK199">
        <v>1</v>
      </c>
      <c r="DL199">
        <v>0.252</v>
      </c>
      <c r="DM199">
        <v>86</v>
      </c>
      <c r="DN199">
        <v>3500</v>
      </c>
    </row>
    <row r="200" spans="91:118" x14ac:dyDescent="0.25">
      <c r="CM200" t="s">
        <v>636</v>
      </c>
      <c r="CN200" t="s">
        <v>125</v>
      </c>
      <c r="CO200" t="s">
        <v>122</v>
      </c>
      <c r="CP200">
        <v>46087</v>
      </c>
      <c r="CQ200">
        <v>1</v>
      </c>
      <c r="CR200">
        <v>1</v>
      </c>
      <c r="CT200">
        <v>1</v>
      </c>
      <c r="CV200">
        <v>3.4722222222222224E-4</v>
      </c>
      <c r="CW200">
        <v>3.4722222222222224E-4</v>
      </c>
      <c r="CX200">
        <v>0.24974537037037037</v>
      </c>
      <c r="CY200">
        <v>8.1597222222222224E-2</v>
      </c>
      <c r="CZ200">
        <v>45</v>
      </c>
      <c r="DA200">
        <v>189</v>
      </c>
      <c r="DB200">
        <v>9</v>
      </c>
      <c r="DC200" t="s">
        <v>706</v>
      </c>
      <c r="DD200">
        <v>40282</v>
      </c>
      <c r="DE200">
        <v>0.2</v>
      </c>
      <c r="DF200">
        <v>2</v>
      </c>
      <c r="DG200">
        <v>0.22220000000000001</v>
      </c>
      <c r="DH200">
        <v>1300</v>
      </c>
      <c r="DI200">
        <v>650</v>
      </c>
      <c r="DJ200">
        <v>300</v>
      </c>
      <c r="DK200">
        <v>0.23080000000000001</v>
      </c>
      <c r="DL200">
        <v>0.47210000000000002</v>
      </c>
      <c r="DM200">
        <v>86</v>
      </c>
      <c r="DN200">
        <v>300</v>
      </c>
    </row>
    <row r="201" spans="91:118" x14ac:dyDescent="0.25">
      <c r="CM201" t="s">
        <v>636</v>
      </c>
      <c r="CN201" t="s">
        <v>125</v>
      </c>
      <c r="CO201" t="s">
        <v>75</v>
      </c>
      <c r="CP201">
        <v>46083</v>
      </c>
      <c r="CQ201">
        <v>1</v>
      </c>
      <c r="CR201">
        <v>1</v>
      </c>
      <c r="CT201">
        <v>1</v>
      </c>
      <c r="CV201">
        <v>4.6296296296296294E-5</v>
      </c>
      <c r="CW201">
        <v>4.6296296296296294E-5</v>
      </c>
      <c r="CX201">
        <v>0.28605324074074073</v>
      </c>
      <c r="CY201">
        <v>4.283564814814815E-2</v>
      </c>
      <c r="CZ201">
        <v>74</v>
      </c>
      <c r="DA201">
        <v>146</v>
      </c>
      <c r="DB201">
        <v>25</v>
      </c>
      <c r="DC201">
        <v>1.72</v>
      </c>
      <c r="DD201">
        <v>19644</v>
      </c>
      <c r="DE201">
        <v>0.33779999999999999</v>
      </c>
      <c r="DF201">
        <v>7</v>
      </c>
      <c r="DG201">
        <v>0.28000000000000003</v>
      </c>
      <c r="DH201">
        <v>6662</v>
      </c>
      <c r="DI201">
        <v>952</v>
      </c>
      <c r="DJ201">
        <v>6662</v>
      </c>
      <c r="DK201">
        <v>1</v>
      </c>
      <c r="DL201">
        <v>0.7329</v>
      </c>
      <c r="DM201">
        <v>86</v>
      </c>
      <c r="DN201">
        <v>952</v>
      </c>
    </row>
    <row r="202" spans="91:118" x14ac:dyDescent="0.25">
      <c r="CM202" t="s">
        <v>636</v>
      </c>
      <c r="CN202" t="s">
        <v>125</v>
      </c>
      <c r="CO202" t="s">
        <v>59</v>
      </c>
      <c r="CP202">
        <v>46090</v>
      </c>
      <c r="CQ202">
        <v>1</v>
      </c>
      <c r="CR202">
        <v>1</v>
      </c>
      <c r="CT202">
        <v>1</v>
      </c>
      <c r="CV202">
        <v>1.1574074074074073E-5</v>
      </c>
      <c r="CW202">
        <v>1.1574074074074073E-5</v>
      </c>
      <c r="CX202">
        <v>0.2325925925925926</v>
      </c>
      <c r="CY202">
        <v>8.576388888888889E-2</v>
      </c>
      <c r="CZ202">
        <v>149</v>
      </c>
      <c r="DA202">
        <v>266</v>
      </c>
      <c r="DB202">
        <v>17</v>
      </c>
      <c r="DC202" t="s">
        <v>1025</v>
      </c>
      <c r="DD202">
        <v>21459</v>
      </c>
      <c r="DE202">
        <v>0.11409999999999999</v>
      </c>
      <c r="DF202">
        <v>2</v>
      </c>
      <c r="DG202">
        <v>0.1176</v>
      </c>
      <c r="DH202">
        <v>5500</v>
      </c>
      <c r="DI202">
        <v>2750</v>
      </c>
      <c r="DJ202">
        <v>5500</v>
      </c>
      <c r="DK202">
        <v>1</v>
      </c>
      <c r="DL202">
        <v>0.1051</v>
      </c>
      <c r="DM202">
        <v>86</v>
      </c>
      <c r="DN202">
        <v>2750</v>
      </c>
    </row>
    <row r="203" spans="91:118" x14ac:dyDescent="0.25">
      <c r="CM203" t="s">
        <v>636</v>
      </c>
      <c r="CN203" t="s">
        <v>2</v>
      </c>
      <c r="CO203" t="s">
        <v>24</v>
      </c>
      <c r="CP203">
        <v>46098</v>
      </c>
      <c r="CQ203">
        <v>1</v>
      </c>
      <c r="CR203">
        <v>1</v>
      </c>
      <c r="CT203">
        <v>1</v>
      </c>
      <c r="CV203">
        <v>2.4305555555555555E-4</v>
      </c>
      <c r="CW203">
        <v>2.4305555555555555E-4</v>
      </c>
      <c r="CX203">
        <v>0.21564814814814814</v>
      </c>
      <c r="CY203">
        <v>0.11842592592592592</v>
      </c>
      <c r="CZ203">
        <v>56</v>
      </c>
      <c r="DA203">
        <v>130</v>
      </c>
      <c r="DB203">
        <v>30</v>
      </c>
      <c r="DC203" t="s">
        <v>1026</v>
      </c>
      <c r="DD203">
        <v>21892</v>
      </c>
      <c r="DE203">
        <v>0.53569999999999995</v>
      </c>
      <c r="DF203">
        <v>1</v>
      </c>
      <c r="DG203">
        <v>3.3300000000000003E-2</v>
      </c>
      <c r="DH203">
        <v>3000</v>
      </c>
      <c r="DI203">
        <v>3000</v>
      </c>
      <c r="DJ203">
        <v>3000</v>
      </c>
      <c r="DK203">
        <v>1</v>
      </c>
      <c r="DL203">
        <v>0.18260000000000001</v>
      </c>
      <c r="DM203">
        <v>86</v>
      </c>
      <c r="DN203">
        <v>3000</v>
      </c>
    </row>
    <row r="204" spans="91:118" x14ac:dyDescent="0.25">
      <c r="CM204" t="s">
        <v>636</v>
      </c>
      <c r="CN204" t="s">
        <v>2</v>
      </c>
      <c r="CO204" t="s">
        <v>13</v>
      </c>
      <c r="CP204">
        <v>46086</v>
      </c>
      <c r="CQ204">
        <v>1</v>
      </c>
      <c r="CR204">
        <v>1</v>
      </c>
      <c r="CS204">
        <v>1</v>
      </c>
      <c r="CV204">
        <v>7.060185185185185E-3</v>
      </c>
      <c r="CW204">
        <v>7.060185185185185E-3</v>
      </c>
      <c r="CX204">
        <v>0.3311574074074074</v>
      </c>
      <c r="CY204">
        <v>7.586805555555555E-2</v>
      </c>
      <c r="CZ204">
        <v>75</v>
      </c>
      <c r="DA204">
        <v>169</v>
      </c>
      <c r="DB204">
        <v>10</v>
      </c>
      <c r="DC204">
        <v>1.9</v>
      </c>
      <c r="DD204">
        <v>29627</v>
      </c>
      <c r="DE204">
        <v>0.1333</v>
      </c>
      <c r="DF204">
        <v>1</v>
      </c>
      <c r="DG204">
        <v>0.1</v>
      </c>
      <c r="DH204">
        <v>270</v>
      </c>
      <c r="DI204">
        <v>270</v>
      </c>
      <c r="DJ204">
        <v>270</v>
      </c>
      <c r="DK204">
        <v>1</v>
      </c>
      <c r="DL204">
        <v>0.6784</v>
      </c>
      <c r="DM204">
        <v>86</v>
      </c>
      <c r="DN204">
        <v>270</v>
      </c>
    </row>
    <row r="205" spans="91:118" x14ac:dyDescent="0.25">
      <c r="CM205" t="s">
        <v>636</v>
      </c>
      <c r="CN205" t="s">
        <v>2</v>
      </c>
      <c r="CO205" t="s">
        <v>207</v>
      </c>
      <c r="CP205">
        <v>46090</v>
      </c>
      <c r="CQ205">
        <v>1</v>
      </c>
      <c r="CR205">
        <v>1</v>
      </c>
      <c r="CT205">
        <v>1</v>
      </c>
      <c r="CV205">
        <v>1.1574074074074073E-5</v>
      </c>
      <c r="CW205">
        <v>1.1574074074074073E-5</v>
      </c>
      <c r="CX205">
        <v>0.24540509259259261</v>
      </c>
      <c r="CY205">
        <v>8.879629629629629E-2</v>
      </c>
      <c r="CZ205">
        <v>145</v>
      </c>
      <c r="DA205">
        <v>217</v>
      </c>
      <c r="DB205">
        <v>9</v>
      </c>
      <c r="DC205" t="s">
        <v>697</v>
      </c>
      <c r="DD205">
        <v>27088</v>
      </c>
      <c r="DE205">
        <v>6.2100000000000002E-2</v>
      </c>
      <c r="DF205">
        <v>1</v>
      </c>
      <c r="DG205">
        <v>0.1111</v>
      </c>
      <c r="DH205">
        <v>7000</v>
      </c>
      <c r="DI205">
        <v>7000</v>
      </c>
      <c r="DJ205">
        <v>7000</v>
      </c>
      <c r="DK205">
        <v>1</v>
      </c>
      <c r="DL205">
        <v>0.11459999999999999</v>
      </c>
      <c r="DM205">
        <v>86</v>
      </c>
      <c r="DN205">
        <v>7000</v>
      </c>
    </row>
    <row r="206" spans="91:118" x14ac:dyDescent="0.25">
      <c r="CM206" t="s">
        <v>636</v>
      </c>
      <c r="CN206" t="s">
        <v>6</v>
      </c>
      <c r="CO206" t="s">
        <v>80</v>
      </c>
      <c r="CP206">
        <v>46090</v>
      </c>
      <c r="CQ206">
        <v>1</v>
      </c>
      <c r="CR206">
        <v>1</v>
      </c>
      <c r="CT206">
        <v>1</v>
      </c>
      <c r="CV206">
        <v>0</v>
      </c>
      <c r="CW206">
        <v>0</v>
      </c>
      <c r="CX206">
        <v>0.18746527777777777</v>
      </c>
      <c r="CY206">
        <v>0.12802083333333333</v>
      </c>
      <c r="CZ206">
        <v>45</v>
      </c>
      <c r="DA206">
        <v>79</v>
      </c>
      <c r="DB206">
        <v>11</v>
      </c>
      <c r="DC206" t="s">
        <v>905</v>
      </c>
      <c r="DD206">
        <v>61138</v>
      </c>
      <c r="DE206">
        <v>0.24440000000000001</v>
      </c>
      <c r="DF206">
        <v>1</v>
      </c>
      <c r="DG206">
        <v>9.0899999999999995E-2</v>
      </c>
      <c r="DH206">
        <v>550</v>
      </c>
      <c r="DI206">
        <v>550</v>
      </c>
      <c r="DJ206">
        <v>550</v>
      </c>
      <c r="DK206">
        <v>1</v>
      </c>
      <c r="DL206">
        <v>0.19070000000000001</v>
      </c>
      <c r="DM206">
        <v>86</v>
      </c>
      <c r="DN206">
        <v>550</v>
      </c>
    </row>
    <row r="207" spans="91:118" x14ac:dyDescent="0.25">
      <c r="CM207" t="s">
        <v>636</v>
      </c>
      <c r="CN207" t="s">
        <v>6</v>
      </c>
      <c r="CO207" t="s">
        <v>81</v>
      </c>
      <c r="CP207">
        <v>46108</v>
      </c>
      <c r="CQ207">
        <v>1</v>
      </c>
      <c r="CR207">
        <v>1</v>
      </c>
      <c r="CS207">
        <v>1</v>
      </c>
      <c r="CV207">
        <v>6.9097222222222225E-3</v>
      </c>
      <c r="CW207">
        <v>6.9097222222222225E-3</v>
      </c>
      <c r="CX207">
        <v>0.24512731481481481</v>
      </c>
      <c r="CY207">
        <v>0.11060185185185185</v>
      </c>
      <c r="CZ207">
        <v>99</v>
      </c>
      <c r="DA207">
        <v>149</v>
      </c>
      <c r="DB207">
        <v>20</v>
      </c>
      <c r="DC207">
        <v>1.9</v>
      </c>
      <c r="DD207">
        <v>23939</v>
      </c>
      <c r="DE207">
        <v>0.20200000000000001</v>
      </c>
      <c r="DF207">
        <v>1</v>
      </c>
      <c r="DG207">
        <v>0.05</v>
      </c>
      <c r="DH207">
        <v>720</v>
      </c>
      <c r="DI207">
        <v>720</v>
      </c>
      <c r="DJ207">
        <v>720</v>
      </c>
      <c r="DK207">
        <v>1</v>
      </c>
      <c r="DL207">
        <v>1.0013000000000001</v>
      </c>
      <c r="DM207">
        <v>86</v>
      </c>
      <c r="DN207">
        <v>720</v>
      </c>
    </row>
    <row r="208" spans="91:118" x14ac:dyDescent="0.25">
      <c r="CM208" t="s">
        <v>636</v>
      </c>
      <c r="CN208" t="s">
        <v>6</v>
      </c>
      <c r="CO208" t="s">
        <v>105</v>
      </c>
      <c r="CP208">
        <v>46097</v>
      </c>
      <c r="CQ208">
        <v>1</v>
      </c>
      <c r="CR208">
        <v>1</v>
      </c>
      <c r="CT208">
        <v>1</v>
      </c>
      <c r="CV208">
        <v>1.273148148148148E-4</v>
      </c>
      <c r="CW208">
        <v>1.273148148148148E-4</v>
      </c>
      <c r="CX208">
        <v>0.2886111111111111</v>
      </c>
      <c r="CY208">
        <v>0.13568287037037038</v>
      </c>
      <c r="CZ208">
        <v>76</v>
      </c>
      <c r="DA208">
        <v>167</v>
      </c>
      <c r="DB208">
        <v>25</v>
      </c>
      <c r="DC208">
        <v>1.64</v>
      </c>
      <c r="DD208">
        <v>21255</v>
      </c>
      <c r="DE208">
        <v>0.32890000000000003</v>
      </c>
      <c r="DF208">
        <v>1</v>
      </c>
      <c r="DG208">
        <v>0.04</v>
      </c>
      <c r="DH208">
        <v>420</v>
      </c>
      <c r="DI208">
        <v>420</v>
      </c>
      <c r="DJ208">
        <v>420</v>
      </c>
      <c r="DK208">
        <v>1</v>
      </c>
      <c r="DL208">
        <v>1.3695999999999999</v>
      </c>
      <c r="DM208">
        <v>86</v>
      </c>
      <c r="DN208">
        <v>420</v>
      </c>
    </row>
    <row r="209" spans="91:118" x14ac:dyDescent="0.25">
      <c r="CM209" t="s">
        <v>636</v>
      </c>
      <c r="CN209" t="s">
        <v>6</v>
      </c>
      <c r="CO209" t="s">
        <v>37</v>
      </c>
      <c r="CP209">
        <v>46092</v>
      </c>
      <c r="CQ209">
        <v>1</v>
      </c>
      <c r="CR209">
        <v>1</v>
      </c>
      <c r="CT209">
        <v>1</v>
      </c>
      <c r="CV209">
        <v>3.0092592592592595E-4</v>
      </c>
      <c r="CW209">
        <v>3.0092592592592595E-4</v>
      </c>
      <c r="CX209">
        <v>0.18692129629629631</v>
      </c>
      <c r="CY209">
        <v>0.1433912037037037</v>
      </c>
      <c r="CZ209">
        <v>100</v>
      </c>
      <c r="DA209">
        <v>141</v>
      </c>
      <c r="DB209">
        <v>13</v>
      </c>
      <c r="DC209" t="s">
        <v>711</v>
      </c>
      <c r="DD209">
        <v>31394</v>
      </c>
      <c r="DE209">
        <v>0.13</v>
      </c>
      <c r="DF209">
        <v>1</v>
      </c>
      <c r="DG209">
        <v>7.6899999999999996E-2</v>
      </c>
      <c r="DH209">
        <v>2500</v>
      </c>
      <c r="DI209">
        <v>2500</v>
      </c>
      <c r="DJ209">
        <v>2500</v>
      </c>
      <c r="DK209">
        <v>1</v>
      </c>
      <c r="DL209">
        <v>0.22170000000000001</v>
      </c>
      <c r="DM209">
        <v>86</v>
      </c>
      <c r="DN209">
        <v>2500</v>
      </c>
    </row>
    <row r="210" spans="91:118" x14ac:dyDescent="0.25">
      <c r="CM210" t="s">
        <v>636</v>
      </c>
      <c r="CN210" t="s">
        <v>6</v>
      </c>
      <c r="CO210" t="s">
        <v>37</v>
      </c>
      <c r="CP210">
        <v>46106</v>
      </c>
      <c r="CQ210">
        <v>1</v>
      </c>
      <c r="CR210">
        <v>1</v>
      </c>
      <c r="CT210">
        <v>1</v>
      </c>
      <c r="CV210">
        <v>4.1666666666666669E-4</v>
      </c>
      <c r="CW210">
        <v>4.1666666666666669E-4</v>
      </c>
      <c r="CX210">
        <v>0.13011574074074075</v>
      </c>
      <c r="CY210">
        <v>0.17821759259259259</v>
      </c>
      <c r="CZ210">
        <v>46</v>
      </c>
      <c r="DA210">
        <v>70</v>
      </c>
      <c r="DB210">
        <v>11</v>
      </c>
      <c r="DC210" t="s">
        <v>673</v>
      </c>
      <c r="DD210">
        <v>31269</v>
      </c>
      <c r="DE210">
        <v>0.23910000000000001</v>
      </c>
      <c r="DF210">
        <v>2</v>
      </c>
      <c r="DG210">
        <v>0.18179999999999999</v>
      </c>
      <c r="DH210">
        <v>4600</v>
      </c>
      <c r="DI210">
        <v>2300</v>
      </c>
      <c r="DJ210">
        <v>4400</v>
      </c>
      <c r="DK210">
        <v>0.95650000000000002</v>
      </c>
      <c r="DL210">
        <v>0.70899999999999996</v>
      </c>
      <c r="DM210">
        <v>86</v>
      </c>
      <c r="DN210">
        <v>2200</v>
      </c>
    </row>
    <row r="211" spans="91:118" x14ac:dyDescent="0.25">
      <c r="CM211" t="s">
        <v>636</v>
      </c>
      <c r="CN211" t="s">
        <v>6</v>
      </c>
      <c r="CO211" t="s">
        <v>37</v>
      </c>
      <c r="CP211">
        <v>46111</v>
      </c>
      <c r="CQ211">
        <v>1</v>
      </c>
      <c r="CR211">
        <v>1</v>
      </c>
      <c r="CS211">
        <v>1</v>
      </c>
      <c r="CV211">
        <v>3.1145833333333334E-2</v>
      </c>
      <c r="CW211">
        <v>3.1145833333333334E-2</v>
      </c>
      <c r="CX211">
        <v>0.15998842592592594</v>
      </c>
      <c r="CY211">
        <v>0.18859953703703702</v>
      </c>
      <c r="CZ211">
        <v>55</v>
      </c>
      <c r="DA211">
        <v>73</v>
      </c>
      <c r="DB211">
        <v>9</v>
      </c>
      <c r="DC211" t="s">
        <v>749</v>
      </c>
      <c r="DD211">
        <v>18773</v>
      </c>
      <c r="DE211">
        <v>0.1636</v>
      </c>
      <c r="DF211">
        <v>2</v>
      </c>
      <c r="DG211">
        <v>0.22220000000000001</v>
      </c>
      <c r="DH211">
        <v>8500</v>
      </c>
      <c r="DI211">
        <v>4250</v>
      </c>
      <c r="DJ211">
        <v>8500</v>
      </c>
      <c r="DK211">
        <v>1</v>
      </c>
      <c r="DL211">
        <v>0.1502</v>
      </c>
      <c r="DM211">
        <v>86</v>
      </c>
      <c r="DN211">
        <v>4250</v>
      </c>
    </row>
    <row r="212" spans="91:118" x14ac:dyDescent="0.25">
      <c r="CM212" t="s">
        <v>636</v>
      </c>
      <c r="CN212" t="s">
        <v>6</v>
      </c>
      <c r="CO212" t="s">
        <v>11</v>
      </c>
      <c r="CP212">
        <v>46107</v>
      </c>
      <c r="CQ212">
        <v>1</v>
      </c>
      <c r="CR212">
        <v>1</v>
      </c>
      <c r="CT212">
        <v>1</v>
      </c>
      <c r="CV212">
        <v>1.9675925925925926E-4</v>
      </c>
      <c r="CW212">
        <v>1.9675925925925926E-4</v>
      </c>
      <c r="CX212">
        <v>0.23247685185185185</v>
      </c>
      <c r="CY212">
        <v>0.14181712962962964</v>
      </c>
      <c r="CZ212">
        <v>116</v>
      </c>
      <c r="DA212">
        <v>194</v>
      </c>
      <c r="DB212">
        <v>21</v>
      </c>
      <c r="DC212" t="s">
        <v>962</v>
      </c>
      <c r="DD212">
        <v>23010</v>
      </c>
      <c r="DE212">
        <v>0.18099999999999999</v>
      </c>
      <c r="DF212">
        <v>3</v>
      </c>
      <c r="DG212">
        <v>0.1429</v>
      </c>
      <c r="DH212">
        <v>2700</v>
      </c>
      <c r="DI212">
        <v>900</v>
      </c>
      <c r="DJ212">
        <v>2200</v>
      </c>
      <c r="DK212">
        <v>0.81479999999999997</v>
      </c>
      <c r="DL212">
        <v>0.16889999999999999</v>
      </c>
      <c r="DM212">
        <v>86</v>
      </c>
      <c r="DN212">
        <v>1100</v>
      </c>
    </row>
    <row r="213" spans="91:118" x14ac:dyDescent="0.25">
      <c r="CM213" t="s">
        <v>636</v>
      </c>
      <c r="CN213" t="s">
        <v>6</v>
      </c>
      <c r="CO213" t="s">
        <v>97</v>
      </c>
      <c r="CP213">
        <v>46087</v>
      </c>
      <c r="CQ213">
        <v>1</v>
      </c>
      <c r="CR213">
        <v>1</v>
      </c>
      <c r="CT213">
        <v>1</v>
      </c>
      <c r="CV213">
        <v>1.1574074074074073E-5</v>
      </c>
      <c r="CW213">
        <v>1.1574074074074073E-5</v>
      </c>
      <c r="CX213">
        <v>0.22655092592592593</v>
      </c>
      <c r="CY213">
        <v>0.13636574074074073</v>
      </c>
      <c r="CZ213">
        <v>69</v>
      </c>
      <c r="DA213">
        <v>112</v>
      </c>
      <c r="DB213">
        <v>20</v>
      </c>
      <c r="DC213">
        <v>1.7</v>
      </c>
      <c r="DD213">
        <v>21232</v>
      </c>
      <c r="DE213">
        <v>0.28989999999999999</v>
      </c>
      <c r="DF213">
        <v>1</v>
      </c>
      <c r="DG213">
        <v>0.05</v>
      </c>
      <c r="DH213">
        <v>500</v>
      </c>
      <c r="DI213">
        <v>500</v>
      </c>
      <c r="DJ213">
        <v>500</v>
      </c>
      <c r="DK213">
        <v>1</v>
      </c>
      <c r="DL213">
        <v>0.28760000000000002</v>
      </c>
      <c r="DM213">
        <v>86</v>
      </c>
      <c r="DN213">
        <v>500</v>
      </c>
    </row>
    <row r="214" spans="91:118" x14ac:dyDescent="0.25">
      <c r="CM214" t="s">
        <v>636</v>
      </c>
      <c r="CN214" t="s">
        <v>6</v>
      </c>
      <c r="CO214" t="s">
        <v>34</v>
      </c>
      <c r="CP214">
        <v>46101</v>
      </c>
      <c r="CQ214">
        <v>1</v>
      </c>
      <c r="CR214">
        <v>1</v>
      </c>
      <c r="CT214">
        <v>1</v>
      </c>
      <c r="CV214">
        <v>2.3842592592592591E-3</v>
      </c>
      <c r="CW214">
        <v>2.3842592592592591E-3</v>
      </c>
      <c r="CX214">
        <v>0.19265046296296295</v>
      </c>
      <c r="CY214">
        <v>0.15966435185185185</v>
      </c>
      <c r="CZ214">
        <v>111</v>
      </c>
      <c r="DA214">
        <v>137</v>
      </c>
      <c r="DB214">
        <v>11</v>
      </c>
      <c r="DC214" t="s">
        <v>807</v>
      </c>
      <c r="DD214">
        <v>26484</v>
      </c>
      <c r="DE214">
        <v>9.9099999999999994E-2</v>
      </c>
      <c r="DF214">
        <v>1</v>
      </c>
      <c r="DG214">
        <v>9.0899999999999995E-2</v>
      </c>
      <c r="DH214">
        <v>900</v>
      </c>
      <c r="DI214">
        <v>900</v>
      </c>
      <c r="DJ214">
        <v>900</v>
      </c>
      <c r="DK214">
        <v>1</v>
      </c>
      <c r="DL214">
        <v>0.15820000000000001</v>
      </c>
      <c r="DM214">
        <v>86</v>
      </c>
      <c r="DN214">
        <v>900</v>
      </c>
    </row>
    <row r="215" spans="91:118" x14ac:dyDescent="0.25">
      <c r="CM215" t="s">
        <v>636</v>
      </c>
      <c r="CN215" t="s">
        <v>7</v>
      </c>
      <c r="CO215" t="s">
        <v>58</v>
      </c>
      <c r="CP215">
        <v>46099</v>
      </c>
      <c r="CQ215">
        <v>1</v>
      </c>
      <c r="CR215">
        <v>1</v>
      </c>
      <c r="CV215">
        <v>0</v>
      </c>
      <c r="CW215">
        <v>0</v>
      </c>
      <c r="CX215">
        <v>0</v>
      </c>
      <c r="CY215">
        <v>0</v>
      </c>
      <c r="DM215">
        <v>86</v>
      </c>
    </row>
    <row r="216" spans="91:118" x14ac:dyDescent="0.25">
      <c r="CM216" t="s">
        <v>636</v>
      </c>
      <c r="CN216" t="s">
        <v>7</v>
      </c>
      <c r="CO216" t="s">
        <v>41</v>
      </c>
      <c r="CP216">
        <v>46092</v>
      </c>
      <c r="CQ216">
        <v>1</v>
      </c>
      <c r="CR216">
        <v>1</v>
      </c>
      <c r="CT216">
        <v>1</v>
      </c>
      <c r="CV216">
        <v>1.9675925925925926E-4</v>
      </c>
      <c r="CW216">
        <v>1.9675925925925926E-4</v>
      </c>
      <c r="CX216">
        <v>0.15430555555555556</v>
      </c>
      <c r="CY216">
        <v>0.16140046296296295</v>
      </c>
      <c r="CZ216">
        <v>68</v>
      </c>
      <c r="DA216">
        <v>149</v>
      </c>
      <c r="DB216">
        <v>26</v>
      </c>
      <c r="DC216" t="s">
        <v>727</v>
      </c>
      <c r="DD216">
        <v>8819</v>
      </c>
      <c r="DE216">
        <v>0.38240000000000002</v>
      </c>
      <c r="DF216">
        <v>3</v>
      </c>
      <c r="DG216">
        <v>0.1154</v>
      </c>
      <c r="DH216">
        <v>1407</v>
      </c>
      <c r="DI216">
        <v>469</v>
      </c>
      <c r="DJ216">
        <v>857</v>
      </c>
      <c r="DK216">
        <v>0.60909999999999997</v>
      </c>
      <c r="DL216">
        <v>0.40189999999999998</v>
      </c>
      <c r="DM216">
        <v>86</v>
      </c>
      <c r="DN216">
        <v>857</v>
      </c>
    </row>
    <row r="217" spans="91:118" x14ac:dyDescent="0.25">
      <c r="CM217" t="s">
        <v>636</v>
      </c>
      <c r="CN217" t="s">
        <v>7</v>
      </c>
      <c r="CO217" t="s">
        <v>41</v>
      </c>
      <c r="CP217">
        <v>46106</v>
      </c>
      <c r="CQ217">
        <v>1</v>
      </c>
      <c r="CR217">
        <v>1</v>
      </c>
      <c r="CT217">
        <v>1</v>
      </c>
      <c r="CV217">
        <v>9.2592592592592588E-5</v>
      </c>
      <c r="CW217">
        <v>9.2592592592592588E-5</v>
      </c>
      <c r="CX217">
        <v>0.15736111111111112</v>
      </c>
      <c r="CY217">
        <v>0.14509259259259261</v>
      </c>
      <c r="CZ217">
        <v>59</v>
      </c>
      <c r="DA217">
        <v>125</v>
      </c>
      <c r="DB217">
        <v>23</v>
      </c>
      <c r="DC217" t="s">
        <v>856</v>
      </c>
      <c r="DD217">
        <v>8376</v>
      </c>
      <c r="DE217">
        <v>0.38979999999999998</v>
      </c>
      <c r="DF217">
        <v>3</v>
      </c>
      <c r="DG217">
        <v>0.13039999999999999</v>
      </c>
      <c r="DH217">
        <v>2800</v>
      </c>
      <c r="DI217">
        <v>933</v>
      </c>
      <c r="DJ217">
        <v>2300</v>
      </c>
      <c r="DK217">
        <v>0.82140000000000002</v>
      </c>
      <c r="DL217">
        <v>8.2799999999999999E-2</v>
      </c>
      <c r="DM217">
        <v>86</v>
      </c>
      <c r="DN217">
        <v>1150</v>
      </c>
    </row>
    <row r="218" spans="91:118" x14ac:dyDescent="0.25">
      <c r="CM218" t="s">
        <v>636</v>
      </c>
      <c r="CN218" t="s">
        <v>7</v>
      </c>
      <c r="CO218" t="s">
        <v>41</v>
      </c>
      <c r="CP218">
        <v>46111</v>
      </c>
      <c r="CQ218">
        <v>1</v>
      </c>
      <c r="CR218">
        <v>1</v>
      </c>
      <c r="CT218">
        <v>1</v>
      </c>
      <c r="CV218">
        <v>2.5462962962962961E-4</v>
      </c>
      <c r="CW218">
        <v>2.5462962962962961E-4</v>
      </c>
      <c r="CX218">
        <v>0.20016203703703703</v>
      </c>
      <c r="CY218">
        <v>0.18364583333333334</v>
      </c>
      <c r="CZ218">
        <v>96</v>
      </c>
      <c r="DA218">
        <v>192</v>
      </c>
      <c r="DB218">
        <v>33</v>
      </c>
      <c r="DC218" t="s">
        <v>979</v>
      </c>
      <c r="DD218">
        <v>17603</v>
      </c>
      <c r="DE218">
        <v>0.34379999999999999</v>
      </c>
      <c r="DF218">
        <v>1</v>
      </c>
      <c r="DG218">
        <v>3.0300000000000001E-2</v>
      </c>
      <c r="DH218">
        <v>600</v>
      </c>
      <c r="DI218">
        <v>600</v>
      </c>
      <c r="DJ218">
        <v>600</v>
      </c>
      <c r="DK218">
        <v>1</v>
      </c>
      <c r="DL218">
        <v>0.1923</v>
      </c>
      <c r="DM218">
        <v>86</v>
      </c>
      <c r="DN218">
        <v>600</v>
      </c>
    </row>
    <row r="219" spans="91:118" x14ac:dyDescent="0.25">
      <c r="CM219" t="s">
        <v>636</v>
      </c>
      <c r="CN219" t="s">
        <v>7</v>
      </c>
      <c r="CO219" t="s">
        <v>495</v>
      </c>
      <c r="CP219">
        <v>46083</v>
      </c>
      <c r="CQ219">
        <v>1</v>
      </c>
      <c r="CR219">
        <v>1</v>
      </c>
      <c r="CT219">
        <v>1</v>
      </c>
      <c r="CV219">
        <v>0</v>
      </c>
      <c r="CW219">
        <v>0</v>
      </c>
      <c r="CX219">
        <v>0.21813657407407408</v>
      </c>
      <c r="CY219">
        <v>0.11998842592592593</v>
      </c>
      <c r="CZ219">
        <v>164</v>
      </c>
      <c r="DA219">
        <v>292</v>
      </c>
      <c r="DB219">
        <v>34</v>
      </c>
      <c r="DC219" t="s">
        <v>966</v>
      </c>
      <c r="DD219">
        <v>14640</v>
      </c>
      <c r="DE219">
        <v>0.20730000000000001</v>
      </c>
      <c r="DF219">
        <v>7</v>
      </c>
      <c r="DG219">
        <v>0.2059</v>
      </c>
      <c r="DH219">
        <v>6154</v>
      </c>
      <c r="DI219">
        <v>879</v>
      </c>
      <c r="DJ219">
        <v>6554</v>
      </c>
      <c r="DK219">
        <v>1.0649999999999999</v>
      </c>
      <c r="DL219">
        <v>0.12180000000000001</v>
      </c>
      <c r="DM219">
        <v>86</v>
      </c>
      <c r="DN219">
        <v>936</v>
      </c>
    </row>
    <row r="220" spans="91:118" x14ac:dyDescent="0.25">
      <c r="CM220" t="s">
        <v>636</v>
      </c>
      <c r="CN220" t="s">
        <v>7</v>
      </c>
      <c r="CO220" t="s">
        <v>495</v>
      </c>
      <c r="CP220">
        <v>46104</v>
      </c>
      <c r="CQ220">
        <v>1</v>
      </c>
      <c r="CR220">
        <v>1</v>
      </c>
      <c r="CT220">
        <v>1</v>
      </c>
      <c r="CV220">
        <v>1.0879629629629629E-3</v>
      </c>
      <c r="CW220">
        <v>1.0879629629629629E-3</v>
      </c>
      <c r="CX220">
        <v>0.14379629629629628</v>
      </c>
      <c r="CY220">
        <v>0.22268518518518518</v>
      </c>
      <c r="CZ220">
        <v>148</v>
      </c>
      <c r="DA220">
        <v>321</v>
      </c>
      <c r="DB220">
        <v>29</v>
      </c>
      <c r="DC220" t="s">
        <v>866</v>
      </c>
      <c r="DD220">
        <v>11975</v>
      </c>
      <c r="DE220">
        <v>0.19589999999999999</v>
      </c>
      <c r="DF220">
        <v>3</v>
      </c>
      <c r="DG220">
        <v>0.10340000000000001</v>
      </c>
      <c r="DH220">
        <v>1000</v>
      </c>
      <c r="DI220">
        <v>333</v>
      </c>
      <c r="DJ220">
        <v>400</v>
      </c>
      <c r="DK220">
        <v>0.4</v>
      </c>
      <c r="DL220">
        <v>0.19189999999999999</v>
      </c>
      <c r="DM220">
        <v>86</v>
      </c>
      <c r="DN220">
        <v>200</v>
      </c>
    </row>
    <row r="221" spans="91:118" x14ac:dyDescent="0.25">
      <c r="CM221" t="s">
        <v>636</v>
      </c>
      <c r="CN221" t="s">
        <v>7</v>
      </c>
      <c r="CO221" t="s">
        <v>51</v>
      </c>
      <c r="CP221">
        <v>46101</v>
      </c>
      <c r="CQ221">
        <v>1</v>
      </c>
      <c r="CR221">
        <v>1</v>
      </c>
      <c r="CT221">
        <v>1</v>
      </c>
      <c r="CV221">
        <v>2.0833333333333333E-3</v>
      </c>
      <c r="CW221">
        <v>2.0833333333333333E-3</v>
      </c>
      <c r="CX221">
        <v>0.19025462962962963</v>
      </c>
      <c r="CY221">
        <v>0.12614583333333335</v>
      </c>
      <c r="CZ221">
        <v>86</v>
      </c>
      <c r="DA221">
        <v>164</v>
      </c>
      <c r="DB221">
        <v>17</v>
      </c>
      <c r="DC221" t="s">
        <v>677</v>
      </c>
      <c r="DD221">
        <v>24472</v>
      </c>
      <c r="DE221">
        <v>0.19769999999999999</v>
      </c>
      <c r="DF221">
        <v>1</v>
      </c>
      <c r="DG221">
        <v>5.8799999999999998E-2</v>
      </c>
      <c r="DH221">
        <v>500</v>
      </c>
      <c r="DI221">
        <v>500</v>
      </c>
      <c r="DJ221">
        <v>500</v>
      </c>
      <c r="DK221">
        <v>1</v>
      </c>
      <c r="DL221">
        <v>0.52310000000000001</v>
      </c>
      <c r="DM221">
        <v>86</v>
      </c>
      <c r="DN221">
        <v>500</v>
      </c>
    </row>
    <row r="222" spans="91:118" x14ac:dyDescent="0.25">
      <c r="CM222" t="s">
        <v>636</v>
      </c>
      <c r="CN222" t="s">
        <v>7</v>
      </c>
      <c r="CO222" t="s">
        <v>51</v>
      </c>
      <c r="CP222">
        <v>46112</v>
      </c>
      <c r="CQ222">
        <v>1</v>
      </c>
      <c r="CR222">
        <v>1</v>
      </c>
      <c r="CS222">
        <v>1</v>
      </c>
      <c r="CV222">
        <v>1.5289351851851853E-2</v>
      </c>
      <c r="CW222">
        <v>1.5289351851851853E-2</v>
      </c>
      <c r="CX222">
        <v>0.18997685185185184</v>
      </c>
      <c r="CY222">
        <v>0.16733796296296297</v>
      </c>
      <c r="CZ222">
        <v>52</v>
      </c>
      <c r="DA222">
        <v>84</v>
      </c>
      <c r="DB222">
        <v>12</v>
      </c>
      <c r="DC222" t="s">
        <v>716</v>
      </c>
      <c r="DD222">
        <v>11723</v>
      </c>
      <c r="DE222">
        <v>0.23080000000000001</v>
      </c>
      <c r="DF222">
        <v>2</v>
      </c>
      <c r="DG222">
        <v>0.16669999999999999</v>
      </c>
      <c r="DH222">
        <v>6000</v>
      </c>
      <c r="DI222">
        <v>3000</v>
      </c>
      <c r="DJ222">
        <v>6000</v>
      </c>
      <c r="DK222">
        <v>1</v>
      </c>
      <c r="DL222">
        <v>0.1196</v>
      </c>
      <c r="DM222">
        <v>86</v>
      </c>
      <c r="DN222">
        <v>3000</v>
      </c>
    </row>
    <row r="223" spans="91:118" x14ac:dyDescent="0.25">
      <c r="CM223" t="s">
        <v>636</v>
      </c>
      <c r="CN223" t="s">
        <v>7</v>
      </c>
      <c r="CO223" t="s">
        <v>49</v>
      </c>
      <c r="CP223">
        <v>46087</v>
      </c>
      <c r="CQ223">
        <v>1</v>
      </c>
      <c r="CR223">
        <v>1</v>
      </c>
      <c r="CT223">
        <v>1</v>
      </c>
      <c r="CV223">
        <v>0</v>
      </c>
      <c r="CW223">
        <v>0</v>
      </c>
      <c r="CX223">
        <v>0.24921296296296297</v>
      </c>
      <c r="CY223">
        <v>7.0914351851851853E-2</v>
      </c>
      <c r="CZ223">
        <v>48</v>
      </c>
      <c r="DA223">
        <v>81</v>
      </c>
      <c r="DB223">
        <v>10</v>
      </c>
      <c r="DC223">
        <v>1.7</v>
      </c>
      <c r="DD223">
        <v>18807</v>
      </c>
      <c r="DE223">
        <v>0.20830000000000001</v>
      </c>
      <c r="DF223">
        <v>2</v>
      </c>
      <c r="DG223">
        <v>0.2</v>
      </c>
      <c r="DH223">
        <v>1582</v>
      </c>
      <c r="DI223">
        <v>791</v>
      </c>
      <c r="DJ223">
        <v>700</v>
      </c>
      <c r="DK223">
        <v>0.4425</v>
      </c>
      <c r="DL223">
        <v>0.3382</v>
      </c>
      <c r="DM223">
        <v>86</v>
      </c>
      <c r="DN223">
        <v>700</v>
      </c>
    </row>
    <row r="224" spans="91:118" x14ac:dyDescent="0.25">
      <c r="CM224" t="s">
        <v>636</v>
      </c>
      <c r="CN224" t="s">
        <v>7</v>
      </c>
      <c r="CO224" t="s">
        <v>49</v>
      </c>
      <c r="CP224">
        <v>46099</v>
      </c>
      <c r="CQ224">
        <v>1</v>
      </c>
      <c r="CR224">
        <v>1</v>
      </c>
      <c r="CS224">
        <v>1</v>
      </c>
      <c r="CV224">
        <v>8.5995370370370375E-3</v>
      </c>
      <c r="CW224">
        <v>8.5995370370370375E-3</v>
      </c>
      <c r="CX224">
        <v>0.21943287037037038</v>
      </c>
      <c r="CY224">
        <v>0.12115740740740741</v>
      </c>
      <c r="CZ224">
        <v>71</v>
      </c>
      <c r="DA224">
        <v>105</v>
      </c>
      <c r="DB224">
        <v>7</v>
      </c>
      <c r="DC224" t="s">
        <v>730</v>
      </c>
      <c r="DD224">
        <v>30463</v>
      </c>
      <c r="DE224">
        <v>9.8599999999999993E-2</v>
      </c>
      <c r="DM224">
        <v>86</v>
      </c>
    </row>
    <row r="225" spans="91:118" x14ac:dyDescent="0.25">
      <c r="CM225" t="s">
        <v>636</v>
      </c>
      <c r="CN225" t="s">
        <v>7</v>
      </c>
      <c r="CO225" t="s">
        <v>49</v>
      </c>
      <c r="CP225">
        <v>46101</v>
      </c>
      <c r="CQ225">
        <v>1</v>
      </c>
      <c r="CR225">
        <v>1</v>
      </c>
      <c r="CS225">
        <v>1</v>
      </c>
      <c r="CV225">
        <v>1.5694444444444445E-2</v>
      </c>
      <c r="CW225">
        <v>1.5694444444444445E-2</v>
      </c>
      <c r="CX225">
        <v>0.17679398148148148</v>
      </c>
      <c r="CY225">
        <v>0.14106481481481481</v>
      </c>
      <c r="CZ225">
        <v>48</v>
      </c>
      <c r="DA225">
        <v>86</v>
      </c>
      <c r="DB225">
        <v>11</v>
      </c>
      <c r="DC225" t="s">
        <v>673</v>
      </c>
      <c r="DD225">
        <v>14365</v>
      </c>
      <c r="DE225">
        <v>0.22919999999999999</v>
      </c>
      <c r="DF225">
        <v>1</v>
      </c>
      <c r="DG225">
        <v>9.0899999999999995E-2</v>
      </c>
      <c r="DH225">
        <v>4000</v>
      </c>
      <c r="DI225">
        <v>4000</v>
      </c>
      <c r="DJ225">
        <v>4000</v>
      </c>
      <c r="DK225">
        <v>1</v>
      </c>
      <c r="DL225">
        <v>0.21790000000000001</v>
      </c>
      <c r="DM225">
        <v>86</v>
      </c>
      <c r="DN225">
        <v>4000</v>
      </c>
    </row>
    <row r="226" spans="91:118" x14ac:dyDescent="0.25">
      <c r="CM226" t="s">
        <v>636</v>
      </c>
      <c r="CN226" t="s">
        <v>7</v>
      </c>
      <c r="CO226" t="s">
        <v>565</v>
      </c>
      <c r="CP226">
        <v>46091</v>
      </c>
      <c r="CQ226">
        <v>1</v>
      </c>
      <c r="CR226">
        <v>1</v>
      </c>
      <c r="CU226">
        <v>1</v>
      </c>
      <c r="CV226">
        <v>0</v>
      </c>
      <c r="CW226">
        <v>0</v>
      </c>
      <c r="CX226">
        <v>0</v>
      </c>
      <c r="CY226">
        <v>0</v>
      </c>
      <c r="CZ226">
        <v>1</v>
      </c>
      <c r="DA226">
        <v>1</v>
      </c>
      <c r="DB226">
        <v>1</v>
      </c>
      <c r="DC226">
        <v>1</v>
      </c>
      <c r="DD226">
        <v>39356</v>
      </c>
      <c r="DE226">
        <v>1</v>
      </c>
      <c r="DF226">
        <v>1</v>
      </c>
      <c r="DG226">
        <v>1</v>
      </c>
      <c r="DH226">
        <v>2000</v>
      </c>
      <c r="DI226">
        <v>2000</v>
      </c>
      <c r="DJ226">
        <v>2000</v>
      </c>
      <c r="DK226">
        <v>1</v>
      </c>
      <c r="DL226">
        <v>5.0799999999999998E-2</v>
      </c>
      <c r="DM226">
        <v>86</v>
      </c>
      <c r="DN226">
        <v>2000</v>
      </c>
    </row>
    <row r="227" spans="91:118" x14ac:dyDescent="0.25">
      <c r="CM227" t="s">
        <v>636</v>
      </c>
      <c r="CN227" t="s">
        <v>7</v>
      </c>
      <c r="CO227" t="s">
        <v>565</v>
      </c>
      <c r="CP227">
        <v>46092</v>
      </c>
      <c r="CQ227">
        <v>1</v>
      </c>
      <c r="CR227">
        <v>1</v>
      </c>
      <c r="CT227">
        <v>1</v>
      </c>
      <c r="CV227">
        <v>4.7453703703703704E-4</v>
      </c>
      <c r="CW227">
        <v>4.7453703703703704E-4</v>
      </c>
      <c r="CX227">
        <v>0.18328703703703703</v>
      </c>
      <c r="CY227">
        <v>0.13373842592592591</v>
      </c>
      <c r="CZ227">
        <v>54</v>
      </c>
      <c r="DA227">
        <v>118</v>
      </c>
      <c r="DB227">
        <v>25</v>
      </c>
      <c r="DC227">
        <v>1.72</v>
      </c>
      <c r="DD227">
        <v>6833</v>
      </c>
      <c r="DE227">
        <v>0.46300000000000002</v>
      </c>
      <c r="DF227">
        <v>5</v>
      </c>
      <c r="DG227">
        <v>0.2</v>
      </c>
      <c r="DH227">
        <v>1625</v>
      </c>
      <c r="DI227">
        <v>325</v>
      </c>
      <c r="DJ227">
        <v>120</v>
      </c>
      <c r="DK227">
        <v>7.3800000000000004E-2</v>
      </c>
      <c r="DL227">
        <v>2.2200000000000001E-2</v>
      </c>
      <c r="DM227">
        <v>86</v>
      </c>
      <c r="DN227">
        <v>120</v>
      </c>
    </row>
    <row r="228" spans="91:118" x14ac:dyDescent="0.25">
      <c r="CM228" t="s">
        <v>636</v>
      </c>
      <c r="CN228" t="s">
        <v>7</v>
      </c>
      <c r="CO228" t="s">
        <v>565</v>
      </c>
      <c r="CP228">
        <v>46108</v>
      </c>
      <c r="CQ228">
        <v>1</v>
      </c>
      <c r="CR228">
        <v>1</v>
      </c>
      <c r="CT228">
        <v>1</v>
      </c>
      <c r="CV228">
        <v>1.5046296296296297E-4</v>
      </c>
      <c r="CW228">
        <v>1.5046296296296297E-4</v>
      </c>
      <c r="CX228">
        <v>0.13871527777777778</v>
      </c>
      <c r="CY228">
        <v>0.2154513888888889</v>
      </c>
      <c r="CZ228">
        <v>108</v>
      </c>
      <c r="DA228">
        <v>215</v>
      </c>
      <c r="DB228">
        <v>37</v>
      </c>
      <c r="DC228" t="s">
        <v>1027</v>
      </c>
      <c r="DD228">
        <v>17709</v>
      </c>
      <c r="DE228">
        <v>0.34260000000000002</v>
      </c>
      <c r="DF228">
        <v>2</v>
      </c>
      <c r="DG228">
        <v>5.4100000000000002E-2</v>
      </c>
      <c r="DH228">
        <v>5800</v>
      </c>
      <c r="DI228">
        <v>2900</v>
      </c>
      <c r="DJ228">
        <v>5800</v>
      </c>
      <c r="DK228">
        <v>1</v>
      </c>
      <c r="DL228">
        <v>0.21740000000000001</v>
      </c>
      <c r="DM228">
        <v>86</v>
      </c>
      <c r="DN228">
        <v>2900</v>
      </c>
    </row>
    <row r="229" spans="91:118" x14ac:dyDescent="0.25">
      <c r="CM229" t="s">
        <v>636</v>
      </c>
      <c r="CN229" t="s">
        <v>7</v>
      </c>
      <c r="CO229" t="s">
        <v>549</v>
      </c>
      <c r="CP229">
        <v>46084</v>
      </c>
      <c r="CQ229">
        <v>1</v>
      </c>
      <c r="CR229">
        <v>1</v>
      </c>
      <c r="CT229">
        <v>1</v>
      </c>
      <c r="CV229">
        <v>3.4722222222222222E-5</v>
      </c>
      <c r="CW229">
        <v>3.4722222222222222E-5</v>
      </c>
      <c r="CX229">
        <v>0.34315972222222224</v>
      </c>
      <c r="CY229">
        <v>8.8032407407407406E-2</v>
      </c>
      <c r="CZ229">
        <v>213</v>
      </c>
      <c r="DA229">
        <v>342</v>
      </c>
      <c r="DB229">
        <v>62</v>
      </c>
      <c r="DC229" t="s">
        <v>1028</v>
      </c>
      <c r="DD229">
        <v>6852</v>
      </c>
      <c r="DE229">
        <v>0.29110000000000003</v>
      </c>
      <c r="DF229">
        <v>2</v>
      </c>
      <c r="DG229">
        <v>3.2300000000000002E-2</v>
      </c>
      <c r="DH229">
        <v>970</v>
      </c>
      <c r="DI229">
        <v>485</v>
      </c>
      <c r="DJ229">
        <v>970</v>
      </c>
      <c r="DK229">
        <v>1</v>
      </c>
      <c r="DL229">
        <v>0.50319999999999998</v>
      </c>
      <c r="DM229">
        <v>86</v>
      </c>
      <c r="DN229">
        <v>485</v>
      </c>
    </row>
    <row r="230" spans="91:118" x14ac:dyDescent="0.25">
      <c r="CM230" t="s">
        <v>636</v>
      </c>
      <c r="CN230" t="s">
        <v>7</v>
      </c>
      <c r="CO230" t="s">
        <v>549</v>
      </c>
      <c r="CP230">
        <v>46086</v>
      </c>
      <c r="CQ230">
        <v>1</v>
      </c>
      <c r="CR230">
        <v>1</v>
      </c>
      <c r="CT230">
        <v>1</v>
      </c>
      <c r="CV230">
        <v>0</v>
      </c>
      <c r="CW230">
        <v>0</v>
      </c>
      <c r="CX230">
        <v>0.34042824074074074</v>
      </c>
      <c r="CY230">
        <v>9.554398148148148E-2</v>
      </c>
      <c r="CZ230">
        <v>211</v>
      </c>
      <c r="DA230">
        <v>319</v>
      </c>
      <c r="DB230">
        <v>58</v>
      </c>
      <c r="DC230" t="s">
        <v>1029</v>
      </c>
      <c r="DD230">
        <v>9816</v>
      </c>
      <c r="DE230">
        <v>0.27489999999999998</v>
      </c>
      <c r="DF230">
        <v>1</v>
      </c>
      <c r="DG230">
        <v>1.72E-2</v>
      </c>
      <c r="DH230">
        <v>250</v>
      </c>
      <c r="DI230">
        <v>250</v>
      </c>
      <c r="DJ230">
        <v>250</v>
      </c>
      <c r="DK230">
        <v>1</v>
      </c>
      <c r="DL230">
        <v>0.69510000000000005</v>
      </c>
      <c r="DM230">
        <v>86</v>
      </c>
      <c r="DN230">
        <v>250</v>
      </c>
    </row>
    <row r="231" spans="91:118" x14ac:dyDescent="0.25">
      <c r="CM231" t="s">
        <v>636</v>
      </c>
      <c r="CN231" t="s">
        <v>7</v>
      </c>
      <c r="CO231" t="s">
        <v>77</v>
      </c>
      <c r="CP231">
        <v>46084</v>
      </c>
      <c r="CQ231">
        <v>1</v>
      </c>
      <c r="CR231">
        <v>1</v>
      </c>
      <c r="CT231">
        <v>1</v>
      </c>
      <c r="CV231">
        <v>0</v>
      </c>
      <c r="CW231">
        <v>0</v>
      </c>
      <c r="CX231">
        <v>0.3153125</v>
      </c>
      <c r="CY231">
        <v>4.7847222222222222E-2</v>
      </c>
      <c r="CZ231">
        <v>136</v>
      </c>
      <c r="DA231">
        <v>256</v>
      </c>
      <c r="DB231">
        <v>44</v>
      </c>
      <c r="DC231" t="s">
        <v>673</v>
      </c>
      <c r="DD231">
        <v>11153</v>
      </c>
      <c r="DE231">
        <v>0.32350000000000001</v>
      </c>
      <c r="DF231">
        <v>2</v>
      </c>
      <c r="DG231">
        <v>4.5499999999999999E-2</v>
      </c>
      <c r="DH231">
        <v>496</v>
      </c>
      <c r="DI231">
        <v>248</v>
      </c>
      <c r="DJ231">
        <v>496</v>
      </c>
      <c r="DK231">
        <v>1</v>
      </c>
      <c r="DM231">
        <v>86</v>
      </c>
      <c r="DN231">
        <v>248</v>
      </c>
    </row>
    <row r="232" spans="91:118" x14ac:dyDescent="0.25">
      <c r="CM232" t="s">
        <v>636</v>
      </c>
      <c r="CN232" t="s">
        <v>7</v>
      </c>
      <c r="CO232" t="s">
        <v>77</v>
      </c>
      <c r="CP232">
        <v>46101</v>
      </c>
      <c r="CQ232">
        <v>1</v>
      </c>
      <c r="CR232">
        <v>1</v>
      </c>
      <c r="CT232">
        <v>1</v>
      </c>
      <c r="CV232">
        <v>0</v>
      </c>
      <c r="CW232">
        <v>0</v>
      </c>
      <c r="CX232">
        <v>0.2197337962962963</v>
      </c>
      <c r="CY232">
        <v>0.1265162037037037</v>
      </c>
      <c r="CZ232">
        <v>81</v>
      </c>
      <c r="DA232">
        <v>155</v>
      </c>
      <c r="DB232">
        <v>14</v>
      </c>
      <c r="DC232" t="s">
        <v>762</v>
      </c>
      <c r="DD232">
        <v>16438</v>
      </c>
      <c r="DE232">
        <v>0.17280000000000001</v>
      </c>
      <c r="DF232">
        <v>1</v>
      </c>
      <c r="DG232">
        <v>7.1400000000000005E-2</v>
      </c>
      <c r="DH232">
        <v>330</v>
      </c>
      <c r="DI232">
        <v>330</v>
      </c>
      <c r="DJ232">
        <v>330</v>
      </c>
      <c r="DK232">
        <v>1</v>
      </c>
      <c r="DL232">
        <v>0.17979999999999999</v>
      </c>
      <c r="DM232">
        <v>86</v>
      </c>
      <c r="DN232">
        <v>330</v>
      </c>
    </row>
    <row r="233" spans="91:118" x14ac:dyDescent="0.25">
      <c r="CM233" t="s">
        <v>636</v>
      </c>
      <c r="CN233" t="s">
        <v>7</v>
      </c>
      <c r="CO233" t="s">
        <v>566</v>
      </c>
      <c r="CP233">
        <v>46099</v>
      </c>
      <c r="CQ233">
        <v>1</v>
      </c>
      <c r="CR233">
        <v>1</v>
      </c>
      <c r="CS233">
        <v>1</v>
      </c>
      <c r="CV233">
        <v>2.4918981481481483E-2</v>
      </c>
      <c r="CW233">
        <v>2.4918981481481483E-2</v>
      </c>
      <c r="CX233">
        <v>0.16342592592592592</v>
      </c>
      <c r="CY233">
        <v>0.12724537037037037</v>
      </c>
      <c r="CZ233">
        <v>134</v>
      </c>
      <c r="DA233">
        <v>233</v>
      </c>
      <c r="DB233">
        <v>20</v>
      </c>
      <c r="DC233">
        <v>1.4</v>
      </c>
      <c r="DD233">
        <v>7824</v>
      </c>
      <c r="DE233">
        <v>0.14929999999999999</v>
      </c>
      <c r="DM233">
        <v>86</v>
      </c>
    </row>
    <row r="234" spans="91:118" x14ac:dyDescent="0.25">
      <c r="CM234" t="s">
        <v>636</v>
      </c>
      <c r="CN234" t="s">
        <v>7</v>
      </c>
      <c r="CO234" t="s">
        <v>73</v>
      </c>
      <c r="CP234">
        <v>46085</v>
      </c>
      <c r="CQ234">
        <v>1</v>
      </c>
      <c r="CR234">
        <v>1</v>
      </c>
      <c r="CS234">
        <v>1</v>
      </c>
      <c r="CV234">
        <v>5.6828703703703702E-3</v>
      </c>
      <c r="CW234">
        <v>5.6828703703703702E-3</v>
      </c>
      <c r="CX234">
        <v>0.1867824074074074</v>
      </c>
      <c r="CY234">
        <v>8.1597222222222224E-2</v>
      </c>
      <c r="CZ234">
        <v>51</v>
      </c>
      <c r="DA234">
        <v>88</v>
      </c>
      <c r="DB234">
        <v>13</v>
      </c>
      <c r="DC234" t="s">
        <v>711</v>
      </c>
      <c r="DD234">
        <v>18942</v>
      </c>
      <c r="DE234">
        <v>0.25490000000000002</v>
      </c>
      <c r="DF234">
        <v>1</v>
      </c>
      <c r="DG234">
        <v>7.6899999999999996E-2</v>
      </c>
      <c r="DH234">
        <v>390</v>
      </c>
      <c r="DI234">
        <v>390</v>
      </c>
      <c r="DM234">
        <v>86</v>
      </c>
    </row>
    <row r="235" spans="91:118" x14ac:dyDescent="0.25">
      <c r="CM235" t="s">
        <v>636</v>
      </c>
      <c r="CN235" t="s">
        <v>7</v>
      </c>
      <c r="CO235" t="s">
        <v>73</v>
      </c>
      <c r="CP235">
        <v>46087</v>
      </c>
      <c r="CQ235">
        <v>1</v>
      </c>
      <c r="CR235">
        <v>1</v>
      </c>
      <c r="CT235">
        <v>1</v>
      </c>
      <c r="CV235">
        <v>4.6296296296296294E-5</v>
      </c>
      <c r="CW235">
        <v>4.6296296296296294E-5</v>
      </c>
      <c r="CX235">
        <v>0.24239583333333334</v>
      </c>
      <c r="CY235">
        <v>0.10998842592592592</v>
      </c>
      <c r="CZ235">
        <v>42</v>
      </c>
      <c r="DA235">
        <v>72</v>
      </c>
      <c r="DB235">
        <v>13</v>
      </c>
      <c r="DC235" t="s">
        <v>799</v>
      </c>
      <c r="DD235">
        <v>10189</v>
      </c>
      <c r="DE235">
        <v>0.3095</v>
      </c>
      <c r="DF235">
        <v>2</v>
      </c>
      <c r="DG235">
        <v>0.15379999999999999</v>
      </c>
      <c r="DH235">
        <v>1290</v>
      </c>
      <c r="DI235">
        <v>645</v>
      </c>
      <c r="DJ235">
        <v>1290</v>
      </c>
      <c r="DK235">
        <v>1</v>
      </c>
      <c r="DL235">
        <v>0.16020000000000001</v>
      </c>
      <c r="DM235">
        <v>86</v>
      </c>
      <c r="DN235">
        <v>645</v>
      </c>
    </row>
    <row r="236" spans="91:118" x14ac:dyDescent="0.25">
      <c r="CM236" t="s">
        <v>636</v>
      </c>
      <c r="CN236" t="s">
        <v>7</v>
      </c>
      <c r="CO236" t="s">
        <v>73</v>
      </c>
      <c r="CP236">
        <v>46099</v>
      </c>
      <c r="CQ236">
        <v>1</v>
      </c>
      <c r="CR236">
        <v>1</v>
      </c>
      <c r="CS236">
        <v>1</v>
      </c>
      <c r="CV236">
        <v>1.2222222222222223E-2</v>
      </c>
      <c r="CW236">
        <v>1.2222222222222223E-2</v>
      </c>
      <c r="CX236">
        <v>0.20174768518518518</v>
      </c>
      <c r="CY236">
        <v>0.11635416666666666</v>
      </c>
      <c r="CZ236">
        <v>66</v>
      </c>
      <c r="DA236">
        <v>104</v>
      </c>
      <c r="DB236">
        <v>11</v>
      </c>
      <c r="DC236" t="s">
        <v>983</v>
      </c>
      <c r="DD236">
        <v>33901</v>
      </c>
      <c r="DE236">
        <v>0.16669999999999999</v>
      </c>
      <c r="DM236">
        <v>86</v>
      </c>
    </row>
    <row r="237" spans="91:118" x14ac:dyDescent="0.25">
      <c r="CM237" t="s">
        <v>636</v>
      </c>
      <c r="CN237" t="s">
        <v>7</v>
      </c>
      <c r="CO237" t="s">
        <v>557</v>
      </c>
      <c r="CP237">
        <v>46097</v>
      </c>
      <c r="CQ237">
        <v>1</v>
      </c>
      <c r="CR237">
        <v>1</v>
      </c>
      <c r="CT237">
        <v>1</v>
      </c>
      <c r="CV237">
        <v>0</v>
      </c>
      <c r="CW237">
        <v>0</v>
      </c>
      <c r="CX237">
        <v>0.2620601851851852</v>
      </c>
      <c r="CY237">
        <v>0.11366898148148148</v>
      </c>
      <c r="CZ237">
        <v>116</v>
      </c>
      <c r="DA237">
        <v>216</v>
      </c>
      <c r="DB237">
        <v>44</v>
      </c>
      <c r="DC237" t="s">
        <v>976</v>
      </c>
      <c r="DD237">
        <v>10105</v>
      </c>
      <c r="DE237">
        <v>0.37930000000000003</v>
      </c>
      <c r="DF237">
        <v>2</v>
      </c>
      <c r="DG237">
        <v>4.5499999999999999E-2</v>
      </c>
      <c r="DH237">
        <v>695</v>
      </c>
      <c r="DI237">
        <v>348</v>
      </c>
      <c r="DJ237">
        <v>500</v>
      </c>
      <c r="DK237">
        <v>0.71940000000000004</v>
      </c>
      <c r="DL237">
        <v>0.12870000000000001</v>
      </c>
      <c r="DM237">
        <v>86</v>
      </c>
      <c r="DN237">
        <v>500</v>
      </c>
    </row>
    <row r="238" spans="91:118" x14ac:dyDescent="0.25">
      <c r="CM238" t="s">
        <v>636</v>
      </c>
      <c r="CN238" t="s">
        <v>3</v>
      </c>
      <c r="CO238" t="s">
        <v>493</v>
      </c>
      <c r="CP238">
        <v>46091</v>
      </c>
      <c r="CQ238">
        <v>1</v>
      </c>
      <c r="CR238">
        <v>1</v>
      </c>
      <c r="CT238">
        <v>1</v>
      </c>
      <c r="CV238">
        <v>0</v>
      </c>
      <c r="CW238">
        <v>0</v>
      </c>
      <c r="CX238">
        <v>0.3361574074074074</v>
      </c>
      <c r="CY238">
        <v>8.8506944444444444E-2</v>
      </c>
      <c r="CZ238">
        <v>223</v>
      </c>
      <c r="DA238">
        <v>302</v>
      </c>
      <c r="DB238">
        <v>26</v>
      </c>
      <c r="DC238" t="s">
        <v>708</v>
      </c>
      <c r="DD238">
        <v>42493</v>
      </c>
      <c r="DE238">
        <v>0.1166</v>
      </c>
      <c r="DF238">
        <v>1</v>
      </c>
      <c r="DG238">
        <v>3.85E-2</v>
      </c>
      <c r="DH238">
        <v>900</v>
      </c>
      <c r="DI238">
        <v>900</v>
      </c>
      <c r="DJ238">
        <v>900</v>
      </c>
      <c r="DK238">
        <v>1</v>
      </c>
      <c r="DL238">
        <v>0.26840000000000003</v>
      </c>
      <c r="DM238">
        <v>86</v>
      </c>
      <c r="DN238">
        <v>900</v>
      </c>
    </row>
    <row r="239" spans="91:118" x14ac:dyDescent="0.25">
      <c r="CM239" t="s">
        <v>636</v>
      </c>
      <c r="CN239" t="s">
        <v>3</v>
      </c>
      <c r="CO239" t="s">
        <v>32</v>
      </c>
      <c r="CP239">
        <v>46105</v>
      </c>
      <c r="CQ239">
        <v>1</v>
      </c>
      <c r="CR239">
        <v>1</v>
      </c>
      <c r="CT239">
        <v>1</v>
      </c>
      <c r="CV239">
        <v>1.3888888888888889E-4</v>
      </c>
      <c r="CW239">
        <v>1.3888888888888889E-4</v>
      </c>
      <c r="CX239">
        <v>0.24263888888888888</v>
      </c>
      <c r="CY239">
        <v>0.19871527777777778</v>
      </c>
      <c r="CZ239">
        <v>102</v>
      </c>
      <c r="DA239">
        <v>207</v>
      </c>
      <c r="DB239">
        <v>29</v>
      </c>
      <c r="DC239" t="s">
        <v>842</v>
      </c>
      <c r="DD239">
        <v>39675</v>
      </c>
      <c r="DE239">
        <v>0.2843</v>
      </c>
      <c r="DF239">
        <v>1</v>
      </c>
      <c r="DG239">
        <v>3.4500000000000003E-2</v>
      </c>
      <c r="DH239">
        <v>3000</v>
      </c>
      <c r="DI239">
        <v>3000</v>
      </c>
      <c r="DJ239">
        <v>3000</v>
      </c>
      <c r="DK239">
        <v>1</v>
      </c>
      <c r="DL239">
        <v>0.34539999999999998</v>
      </c>
      <c r="DM239">
        <v>86</v>
      </c>
      <c r="DN239">
        <v>3000</v>
      </c>
    </row>
    <row r="240" spans="91:118" x14ac:dyDescent="0.25">
      <c r="CM240" t="s">
        <v>636</v>
      </c>
      <c r="CN240" t="s">
        <v>3</v>
      </c>
      <c r="CO240" t="s">
        <v>68</v>
      </c>
      <c r="CP240">
        <v>46094</v>
      </c>
      <c r="CQ240">
        <v>1</v>
      </c>
      <c r="CR240">
        <v>1</v>
      </c>
      <c r="CV240">
        <v>3.4953703703703705E-3</v>
      </c>
      <c r="CW240">
        <v>3.4953703703703705E-3</v>
      </c>
      <c r="CX240">
        <v>0.22285879629629629</v>
      </c>
      <c r="CY240">
        <v>0.10394675925925925</v>
      </c>
      <c r="CZ240">
        <v>67</v>
      </c>
      <c r="DA240">
        <v>174</v>
      </c>
      <c r="DB240">
        <v>15</v>
      </c>
      <c r="DC240">
        <v>1.8</v>
      </c>
      <c r="DD240">
        <v>30344</v>
      </c>
      <c r="DE240">
        <v>0.22389999999999999</v>
      </c>
      <c r="DF240">
        <v>1</v>
      </c>
      <c r="DG240">
        <v>6.6699999999999995E-2</v>
      </c>
      <c r="DH240">
        <v>260</v>
      </c>
      <c r="DI240">
        <v>260</v>
      </c>
      <c r="DJ240">
        <v>260</v>
      </c>
      <c r="DK240">
        <v>1</v>
      </c>
      <c r="DL240">
        <v>0.81569999999999998</v>
      </c>
      <c r="DM240">
        <v>86</v>
      </c>
      <c r="DN240">
        <v>260</v>
      </c>
    </row>
    <row r="241" spans="91:118" x14ac:dyDescent="0.25">
      <c r="CM241" t="s">
        <v>636</v>
      </c>
      <c r="CN241" t="s">
        <v>3</v>
      </c>
      <c r="CO241" t="s">
        <v>38</v>
      </c>
      <c r="CP241">
        <v>46086</v>
      </c>
      <c r="CQ241">
        <v>1</v>
      </c>
      <c r="CR241">
        <v>1</v>
      </c>
      <c r="CT241">
        <v>1</v>
      </c>
      <c r="CV241">
        <v>0</v>
      </c>
      <c r="CW241">
        <v>0</v>
      </c>
      <c r="CX241">
        <v>0.31665509259259261</v>
      </c>
      <c r="CY241">
        <v>0.10890046296296296</v>
      </c>
      <c r="CZ241">
        <v>67</v>
      </c>
      <c r="DA241">
        <v>105</v>
      </c>
      <c r="DB241">
        <v>32</v>
      </c>
      <c r="DC241">
        <v>1.78125</v>
      </c>
      <c r="DD241">
        <v>14015</v>
      </c>
      <c r="DE241">
        <v>0.47760000000000002</v>
      </c>
      <c r="DF241">
        <v>2</v>
      </c>
      <c r="DG241">
        <v>6.25E-2</v>
      </c>
      <c r="DH241">
        <v>10150</v>
      </c>
      <c r="DI241">
        <v>5075</v>
      </c>
      <c r="DJ241">
        <v>10150</v>
      </c>
      <c r="DK241">
        <v>1</v>
      </c>
      <c r="DL241">
        <v>0.38169999999999998</v>
      </c>
      <c r="DM241">
        <v>86</v>
      </c>
      <c r="DN241">
        <v>5075</v>
      </c>
    </row>
    <row r="242" spans="91:118" x14ac:dyDescent="0.25">
      <c r="CM242" t="s">
        <v>636</v>
      </c>
      <c r="CN242" t="s">
        <v>3</v>
      </c>
      <c r="CO242" t="s">
        <v>38</v>
      </c>
      <c r="CP242">
        <v>46097</v>
      </c>
      <c r="CQ242">
        <v>1</v>
      </c>
      <c r="CR242">
        <v>1</v>
      </c>
      <c r="CT242">
        <v>1</v>
      </c>
      <c r="CV242">
        <v>9.2592592592592588E-5</v>
      </c>
      <c r="CW242">
        <v>9.2592592592592588E-5</v>
      </c>
      <c r="CX242">
        <v>0.27641203703703704</v>
      </c>
      <c r="CY242">
        <v>0.14284722222222221</v>
      </c>
      <c r="CZ242">
        <v>94</v>
      </c>
      <c r="DA242">
        <v>152</v>
      </c>
      <c r="DB242">
        <v>45</v>
      </c>
      <c r="DC242" t="s">
        <v>1030</v>
      </c>
      <c r="DD242">
        <v>20104</v>
      </c>
      <c r="DE242">
        <v>0.47870000000000001</v>
      </c>
      <c r="DF242">
        <v>6</v>
      </c>
      <c r="DG242">
        <v>0.1333</v>
      </c>
      <c r="DH242">
        <v>6950</v>
      </c>
      <c r="DI242">
        <v>1158</v>
      </c>
      <c r="DJ242">
        <v>6350</v>
      </c>
      <c r="DK242">
        <v>0.91369999999999996</v>
      </c>
      <c r="DL242">
        <v>0.4294</v>
      </c>
      <c r="DM242">
        <v>86</v>
      </c>
      <c r="DN242">
        <v>1270</v>
      </c>
    </row>
    <row r="243" spans="91:118" x14ac:dyDescent="0.25">
      <c r="CM243" t="s">
        <v>636</v>
      </c>
      <c r="CN243" t="s">
        <v>3</v>
      </c>
      <c r="CO243" t="s">
        <v>38</v>
      </c>
      <c r="CP243">
        <v>46099</v>
      </c>
      <c r="CQ243">
        <v>1</v>
      </c>
      <c r="CR243">
        <v>1</v>
      </c>
      <c r="CV243">
        <v>4.0393518518518521E-3</v>
      </c>
      <c r="CW243">
        <v>4.0393518518518521E-3</v>
      </c>
      <c r="CX243">
        <v>0.22983796296296297</v>
      </c>
      <c r="CY243">
        <v>0.17402777777777778</v>
      </c>
      <c r="CZ243">
        <v>89</v>
      </c>
      <c r="DA243">
        <v>132</v>
      </c>
      <c r="DB243">
        <v>34</v>
      </c>
      <c r="DC243" t="s">
        <v>782</v>
      </c>
      <c r="DD243">
        <v>23873</v>
      </c>
      <c r="DE243">
        <v>0.38200000000000001</v>
      </c>
      <c r="DF243">
        <v>2</v>
      </c>
      <c r="DG243">
        <v>5.8799999999999998E-2</v>
      </c>
      <c r="DH243">
        <v>5500</v>
      </c>
      <c r="DI243">
        <v>2750</v>
      </c>
      <c r="DJ243">
        <v>5500</v>
      </c>
      <c r="DK243">
        <v>1</v>
      </c>
      <c r="DL243">
        <v>0.1888</v>
      </c>
      <c r="DM243">
        <v>86</v>
      </c>
      <c r="DN243">
        <v>2750</v>
      </c>
    </row>
    <row r="244" spans="91:118" x14ac:dyDescent="0.25">
      <c r="CM244" t="s">
        <v>636</v>
      </c>
      <c r="CN244" t="s">
        <v>3</v>
      </c>
      <c r="CO244" t="s">
        <v>79</v>
      </c>
      <c r="CP244">
        <v>46083</v>
      </c>
      <c r="CQ244">
        <v>1</v>
      </c>
      <c r="CR244">
        <v>1</v>
      </c>
      <c r="CT244">
        <v>1</v>
      </c>
      <c r="CV244">
        <v>2.7777777777777778E-4</v>
      </c>
      <c r="CW244">
        <v>2.7777777777777778E-4</v>
      </c>
      <c r="CX244">
        <v>0.25799768518518518</v>
      </c>
      <c r="CY244">
        <v>4.6481481481481485E-2</v>
      </c>
      <c r="CZ244">
        <v>80</v>
      </c>
      <c r="DA244">
        <v>115</v>
      </c>
      <c r="DB244">
        <v>39</v>
      </c>
      <c r="DC244" t="s">
        <v>843</v>
      </c>
      <c r="DD244">
        <v>32401</v>
      </c>
      <c r="DE244">
        <v>0.48749999999999999</v>
      </c>
      <c r="DF244">
        <v>11</v>
      </c>
      <c r="DG244">
        <v>0.28210000000000002</v>
      </c>
      <c r="DH244">
        <v>26017</v>
      </c>
      <c r="DI244">
        <v>2365</v>
      </c>
      <c r="DJ244">
        <v>25005</v>
      </c>
      <c r="DK244">
        <v>0.96109999999999995</v>
      </c>
      <c r="DL244">
        <v>5.8400000000000001E-2</v>
      </c>
      <c r="DM244">
        <v>86</v>
      </c>
      <c r="DN244">
        <v>3126</v>
      </c>
    </row>
    <row r="245" spans="91:118" x14ac:dyDescent="0.25">
      <c r="CM245" t="s">
        <v>636</v>
      </c>
      <c r="CN245" t="s">
        <v>3</v>
      </c>
      <c r="CO245" t="s">
        <v>78</v>
      </c>
      <c r="CP245">
        <v>46099</v>
      </c>
      <c r="CQ245">
        <v>1</v>
      </c>
      <c r="CR245">
        <v>1</v>
      </c>
      <c r="CT245">
        <v>1</v>
      </c>
      <c r="CV245">
        <v>6.9444444444444444E-5</v>
      </c>
      <c r="CW245">
        <v>6.9444444444444444E-5</v>
      </c>
      <c r="CX245">
        <v>0.30168981481481483</v>
      </c>
      <c r="CY245">
        <v>0.11508101851851851</v>
      </c>
      <c r="CZ245">
        <v>95</v>
      </c>
      <c r="DA245">
        <v>153</v>
      </c>
      <c r="DB245">
        <v>34</v>
      </c>
      <c r="DC245">
        <v>2</v>
      </c>
      <c r="DD245">
        <v>17513</v>
      </c>
      <c r="DE245">
        <v>0.3579</v>
      </c>
      <c r="DF245">
        <v>2</v>
      </c>
      <c r="DG245">
        <v>5.8799999999999998E-2</v>
      </c>
      <c r="DH245">
        <v>8280</v>
      </c>
      <c r="DI245">
        <v>4140</v>
      </c>
      <c r="DJ245">
        <v>8000</v>
      </c>
      <c r="DK245">
        <v>0.96619999999999995</v>
      </c>
      <c r="DL245">
        <v>0.24829999999999999</v>
      </c>
      <c r="DM245">
        <v>86</v>
      </c>
      <c r="DN245">
        <v>8000</v>
      </c>
    </row>
    <row r="246" spans="91:118" x14ac:dyDescent="0.25">
      <c r="CM246" t="s">
        <v>636</v>
      </c>
      <c r="CN246" t="s">
        <v>3</v>
      </c>
      <c r="CO246" t="s">
        <v>76</v>
      </c>
      <c r="CP246">
        <v>46100</v>
      </c>
      <c r="CQ246">
        <v>1</v>
      </c>
      <c r="CR246">
        <v>1</v>
      </c>
      <c r="CT246">
        <v>1</v>
      </c>
      <c r="CV246">
        <v>6.9444444444444444E-5</v>
      </c>
      <c r="CW246">
        <v>6.9444444444444444E-5</v>
      </c>
      <c r="CX246">
        <v>0.25393518518518521</v>
      </c>
      <c r="CY246">
        <v>6.6724537037037041E-2</v>
      </c>
      <c r="CZ246">
        <v>115</v>
      </c>
      <c r="DA246">
        <v>144</v>
      </c>
      <c r="DB246">
        <v>11</v>
      </c>
      <c r="DC246">
        <v>2</v>
      </c>
      <c r="DD246">
        <v>20657</v>
      </c>
      <c r="DE246">
        <v>9.5699999999999993E-2</v>
      </c>
      <c r="DF246">
        <v>1</v>
      </c>
      <c r="DG246">
        <v>9.0899999999999995E-2</v>
      </c>
      <c r="DH246">
        <v>4000</v>
      </c>
      <c r="DI246">
        <v>4000</v>
      </c>
      <c r="DJ246">
        <v>4000</v>
      </c>
      <c r="DK246">
        <v>1</v>
      </c>
      <c r="DL246">
        <v>0.12609999999999999</v>
      </c>
      <c r="DM246">
        <v>86</v>
      </c>
      <c r="DN246">
        <v>4000</v>
      </c>
    </row>
    <row r="247" spans="91:118" x14ac:dyDescent="0.25">
      <c r="CM247" t="s">
        <v>636</v>
      </c>
      <c r="CN247" t="s">
        <v>3</v>
      </c>
      <c r="CO247" t="s">
        <v>76</v>
      </c>
      <c r="CP247">
        <v>46101</v>
      </c>
      <c r="CQ247">
        <v>1</v>
      </c>
      <c r="CR247">
        <v>1</v>
      </c>
      <c r="CT247">
        <v>1</v>
      </c>
      <c r="CV247">
        <v>0</v>
      </c>
      <c r="CW247">
        <v>0</v>
      </c>
      <c r="CX247">
        <v>0.1879976851851852</v>
      </c>
      <c r="CY247">
        <v>0.14775462962962962</v>
      </c>
      <c r="CZ247">
        <v>81</v>
      </c>
      <c r="DA247">
        <v>109</v>
      </c>
      <c r="DB247">
        <v>14</v>
      </c>
      <c r="DC247" t="s">
        <v>745</v>
      </c>
      <c r="DD247">
        <v>22346</v>
      </c>
      <c r="DE247">
        <v>0.17280000000000001</v>
      </c>
      <c r="DF247">
        <v>1</v>
      </c>
      <c r="DG247">
        <v>7.1400000000000005E-2</v>
      </c>
      <c r="DH247">
        <v>400</v>
      </c>
      <c r="DI247">
        <v>400</v>
      </c>
      <c r="DJ247">
        <v>400</v>
      </c>
      <c r="DK247">
        <v>1</v>
      </c>
      <c r="DL247">
        <v>0.42749999999999999</v>
      </c>
      <c r="DM247">
        <v>86</v>
      </c>
      <c r="DN247">
        <v>400</v>
      </c>
    </row>
    <row r="248" spans="91:118" x14ac:dyDescent="0.25">
      <c r="CM248" t="s">
        <v>636</v>
      </c>
      <c r="CN248" t="s">
        <v>125</v>
      </c>
      <c r="CO248" t="s">
        <v>109</v>
      </c>
      <c r="CP248">
        <v>46101</v>
      </c>
      <c r="CQ248">
        <v>1</v>
      </c>
      <c r="CR248">
        <v>1</v>
      </c>
      <c r="CT248">
        <v>1</v>
      </c>
      <c r="CV248">
        <v>3.1250000000000001E-4</v>
      </c>
      <c r="CW248">
        <v>3.1250000000000001E-4</v>
      </c>
      <c r="CX248">
        <v>0.21725694444444443</v>
      </c>
      <c r="CY248">
        <v>0.1233912037037037</v>
      </c>
      <c r="CZ248">
        <v>74</v>
      </c>
      <c r="DA248">
        <v>161</v>
      </c>
      <c r="DB248">
        <v>16</v>
      </c>
      <c r="DC248">
        <v>1.5625</v>
      </c>
      <c r="DD248">
        <v>40883</v>
      </c>
      <c r="DE248">
        <v>0.2162</v>
      </c>
      <c r="DF248">
        <v>1</v>
      </c>
      <c r="DG248">
        <v>6.25E-2</v>
      </c>
      <c r="DH248">
        <v>1400</v>
      </c>
      <c r="DI248">
        <v>1400</v>
      </c>
      <c r="DJ248">
        <v>1400</v>
      </c>
      <c r="DK248">
        <v>1</v>
      </c>
      <c r="DL248">
        <v>0.25940000000000002</v>
      </c>
      <c r="DM248">
        <v>84</v>
      </c>
      <c r="DN248">
        <v>1400</v>
      </c>
    </row>
    <row r="249" spans="91:118" x14ac:dyDescent="0.25">
      <c r="CM249" t="s">
        <v>636</v>
      </c>
      <c r="CN249" t="s">
        <v>125</v>
      </c>
      <c r="CO249" t="s">
        <v>60</v>
      </c>
      <c r="CP249">
        <v>46084</v>
      </c>
      <c r="CQ249">
        <v>1</v>
      </c>
      <c r="CR249">
        <v>1</v>
      </c>
      <c r="CT249">
        <v>1</v>
      </c>
      <c r="CV249">
        <v>6.9444444444444444E-5</v>
      </c>
      <c r="CW249">
        <v>6.9444444444444444E-5</v>
      </c>
      <c r="CX249">
        <v>0.32903935185185185</v>
      </c>
      <c r="CY249">
        <v>5.4351851851851853E-2</v>
      </c>
      <c r="CZ249">
        <v>108</v>
      </c>
      <c r="DA249">
        <v>149</v>
      </c>
      <c r="DB249">
        <v>5</v>
      </c>
      <c r="DC249">
        <v>2.4</v>
      </c>
      <c r="DD249">
        <v>58170</v>
      </c>
      <c r="DE249">
        <v>4.6300000000000001E-2</v>
      </c>
      <c r="DF249">
        <v>1</v>
      </c>
      <c r="DG249">
        <v>0.2</v>
      </c>
      <c r="DH249">
        <v>19400</v>
      </c>
      <c r="DI249">
        <v>19400</v>
      </c>
      <c r="DJ249">
        <v>1000</v>
      </c>
      <c r="DK249">
        <v>5.1499999999999997E-2</v>
      </c>
      <c r="DM249">
        <v>84</v>
      </c>
      <c r="DN249">
        <v>1000</v>
      </c>
    </row>
    <row r="250" spans="91:118" x14ac:dyDescent="0.25">
      <c r="CM250" t="s">
        <v>636</v>
      </c>
      <c r="CN250" t="s">
        <v>125</v>
      </c>
      <c r="CO250" t="s">
        <v>85</v>
      </c>
      <c r="CP250">
        <v>46098</v>
      </c>
      <c r="CQ250">
        <v>1</v>
      </c>
      <c r="CR250">
        <v>1</v>
      </c>
      <c r="CT250">
        <v>1</v>
      </c>
      <c r="CV250">
        <v>1.5046296296296297E-4</v>
      </c>
      <c r="CW250">
        <v>1.5046296296296297E-4</v>
      </c>
      <c r="CX250">
        <v>0.22388888888888889</v>
      </c>
      <c r="CY250">
        <v>0.12469907407407407</v>
      </c>
      <c r="CZ250">
        <v>96</v>
      </c>
      <c r="DA250">
        <v>201</v>
      </c>
      <c r="DB250">
        <v>23</v>
      </c>
      <c r="DC250" t="s">
        <v>954</v>
      </c>
      <c r="DD250">
        <v>37881</v>
      </c>
      <c r="DE250">
        <v>0.23960000000000001</v>
      </c>
      <c r="DF250">
        <v>1</v>
      </c>
      <c r="DG250">
        <v>4.3499999999999997E-2</v>
      </c>
      <c r="DH250">
        <v>320</v>
      </c>
      <c r="DI250">
        <v>320</v>
      </c>
      <c r="DJ250">
        <v>320</v>
      </c>
      <c r="DK250">
        <v>1</v>
      </c>
      <c r="DL250">
        <v>0.45760000000000001</v>
      </c>
      <c r="DM250">
        <v>84</v>
      </c>
      <c r="DN250">
        <v>320</v>
      </c>
    </row>
    <row r="251" spans="91:118" x14ac:dyDescent="0.25">
      <c r="CM251" t="s">
        <v>636</v>
      </c>
      <c r="CN251" t="s">
        <v>125</v>
      </c>
      <c r="CO251" t="s">
        <v>85</v>
      </c>
      <c r="CP251">
        <v>46106</v>
      </c>
      <c r="CQ251">
        <v>1</v>
      </c>
      <c r="CR251">
        <v>1</v>
      </c>
      <c r="CT251">
        <v>1</v>
      </c>
      <c r="CV251">
        <v>1.273148148148148E-4</v>
      </c>
      <c r="CW251">
        <v>1.273148148148148E-4</v>
      </c>
      <c r="CX251">
        <v>0.16196759259259258</v>
      </c>
      <c r="CY251">
        <v>0.19333333333333333</v>
      </c>
      <c r="CZ251">
        <v>69</v>
      </c>
      <c r="DA251">
        <v>183</v>
      </c>
      <c r="DB251">
        <v>11</v>
      </c>
      <c r="DC251" t="s">
        <v>673</v>
      </c>
      <c r="DD251">
        <v>44745</v>
      </c>
      <c r="DE251">
        <v>0.15939999999999999</v>
      </c>
      <c r="DF251">
        <v>1</v>
      </c>
      <c r="DG251">
        <v>9.0899999999999995E-2</v>
      </c>
      <c r="DH251">
        <v>350</v>
      </c>
      <c r="DI251">
        <v>350</v>
      </c>
      <c r="DJ251">
        <v>350</v>
      </c>
      <c r="DK251">
        <v>1</v>
      </c>
      <c r="DL251">
        <v>0.2525</v>
      </c>
      <c r="DM251">
        <v>84</v>
      </c>
      <c r="DN251">
        <v>350</v>
      </c>
    </row>
    <row r="252" spans="91:118" x14ac:dyDescent="0.25">
      <c r="CM252" t="s">
        <v>636</v>
      </c>
      <c r="CN252" t="s">
        <v>125</v>
      </c>
      <c r="CO252" t="s">
        <v>61</v>
      </c>
      <c r="CP252">
        <v>46090</v>
      </c>
      <c r="CQ252">
        <v>1</v>
      </c>
      <c r="CR252">
        <v>1</v>
      </c>
      <c r="CT252">
        <v>1</v>
      </c>
      <c r="CV252">
        <v>3.7037037037037035E-4</v>
      </c>
      <c r="CW252">
        <v>3.7037037037037035E-4</v>
      </c>
      <c r="CX252">
        <v>0.23528935185185185</v>
      </c>
      <c r="CY252">
        <v>7.5335648148148152E-2</v>
      </c>
      <c r="CZ252">
        <v>83</v>
      </c>
      <c r="DA252">
        <v>213</v>
      </c>
      <c r="DB252">
        <v>14</v>
      </c>
      <c r="DC252">
        <v>2</v>
      </c>
      <c r="DD252">
        <v>45901</v>
      </c>
      <c r="DE252">
        <v>0.16869999999999999</v>
      </c>
      <c r="DF252">
        <v>1</v>
      </c>
      <c r="DG252">
        <v>7.1400000000000005E-2</v>
      </c>
      <c r="DH252">
        <v>600</v>
      </c>
      <c r="DI252">
        <v>600</v>
      </c>
      <c r="DJ252">
        <v>600</v>
      </c>
      <c r="DK252">
        <v>1</v>
      </c>
      <c r="DL252">
        <v>0.6472</v>
      </c>
      <c r="DM252">
        <v>84</v>
      </c>
      <c r="DN252">
        <v>600</v>
      </c>
    </row>
    <row r="253" spans="91:118" x14ac:dyDescent="0.25">
      <c r="CM253" t="s">
        <v>636</v>
      </c>
      <c r="CN253" t="s">
        <v>125</v>
      </c>
      <c r="CO253" t="s">
        <v>61</v>
      </c>
      <c r="CP253">
        <v>46106</v>
      </c>
      <c r="CQ253">
        <v>1</v>
      </c>
      <c r="CR253">
        <v>1</v>
      </c>
      <c r="CT253">
        <v>1</v>
      </c>
      <c r="CV253">
        <v>3.8194444444444446E-4</v>
      </c>
      <c r="CW253">
        <v>3.8194444444444446E-4</v>
      </c>
      <c r="CX253">
        <v>0.14739583333333334</v>
      </c>
      <c r="CY253">
        <v>0.2064236111111111</v>
      </c>
      <c r="CZ253">
        <v>77</v>
      </c>
      <c r="DA253">
        <v>197</v>
      </c>
      <c r="DB253">
        <v>16</v>
      </c>
      <c r="DC253">
        <v>1.5625</v>
      </c>
      <c r="DD253">
        <v>44304</v>
      </c>
      <c r="DE253">
        <v>0.20780000000000001</v>
      </c>
      <c r="DF253">
        <v>2</v>
      </c>
      <c r="DG253">
        <v>0.125</v>
      </c>
      <c r="DH253">
        <v>7600</v>
      </c>
      <c r="DI253">
        <v>3800</v>
      </c>
      <c r="DM253">
        <v>84</v>
      </c>
    </row>
    <row r="254" spans="91:118" x14ac:dyDescent="0.25">
      <c r="CM254" t="s">
        <v>636</v>
      </c>
      <c r="CN254" t="s">
        <v>125</v>
      </c>
      <c r="CO254" t="s">
        <v>75</v>
      </c>
      <c r="CP254">
        <v>46098</v>
      </c>
      <c r="CQ254">
        <v>1</v>
      </c>
      <c r="CR254">
        <v>1</v>
      </c>
      <c r="CT254">
        <v>1</v>
      </c>
      <c r="CV254">
        <v>1.9675925925925926E-4</v>
      </c>
      <c r="CW254">
        <v>1.9675925925925926E-4</v>
      </c>
      <c r="CX254">
        <v>0.20671296296296296</v>
      </c>
      <c r="CY254">
        <v>0.12570601851851851</v>
      </c>
      <c r="CZ254">
        <v>86</v>
      </c>
      <c r="DA254">
        <v>197</v>
      </c>
      <c r="DB254">
        <v>17</v>
      </c>
      <c r="DC254" t="s">
        <v>772</v>
      </c>
      <c r="DD254">
        <v>24095</v>
      </c>
      <c r="DE254">
        <v>0.19769999999999999</v>
      </c>
      <c r="DF254">
        <v>1</v>
      </c>
      <c r="DG254">
        <v>5.8799999999999998E-2</v>
      </c>
      <c r="DH254">
        <v>640</v>
      </c>
      <c r="DI254">
        <v>640</v>
      </c>
      <c r="DJ254">
        <v>640</v>
      </c>
      <c r="DK254">
        <v>1</v>
      </c>
      <c r="DL254">
        <v>0.2135</v>
      </c>
      <c r="DM254">
        <v>84</v>
      </c>
      <c r="DN254">
        <v>640</v>
      </c>
    </row>
    <row r="255" spans="91:118" x14ac:dyDescent="0.25">
      <c r="CM255" t="s">
        <v>636</v>
      </c>
      <c r="CN255" t="s">
        <v>125</v>
      </c>
      <c r="CO255" t="s">
        <v>75</v>
      </c>
      <c r="CP255">
        <v>46101</v>
      </c>
      <c r="CQ255">
        <v>1</v>
      </c>
      <c r="CR255">
        <v>1</v>
      </c>
      <c r="CT255">
        <v>1</v>
      </c>
      <c r="CV255">
        <v>2.3148148148148149E-4</v>
      </c>
      <c r="CW255">
        <v>2.3148148148148149E-4</v>
      </c>
      <c r="CX255">
        <v>0.21686342592592592</v>
      </c>
      <c r="CY255">
        <v>0.12947916666666667</v>
      </c>
      <c r="CZ255">
        <v>92</v>
      </c>
      <c r="DA255">
        <v>187</v>
      </c>
      <c r="DB255">
        <v>13</v>
      </c>
      <c r="DC255" t="s">
        <v>708</v>
      </c>
      <c r="DD255">
        <v>29063</v>
      </c>
      <c r="DE255">
        <v>0.14130000000000001</v>
      </c>
      <c r="DF255">
        <v>1</v>
      </c>
      <c r="DG255">
        <v>7.6899999999999996E-2</v>
      </c>
      <c r="DH255">
        <v>650</v>
      </c>
      <c r="DI255">
        <v>650</v>
      </c>
      <c r="DJ255">
        <v>650</v>
      </c>
      <c r="DK255">
        <v>1</v>
      </c>
      <c r="DL255">
        <v>0.65190000000000003</v>
      </c>
      <c r="DM255">
        <v>84</v>
      </c>
      <c r="DN255">
        <v>650</v>
      </c>
    </row>
    <row r="256" spans="91:118" x14ac:dyDescent="0.25">
      <c r="CM256" t="s">
        <v>636</v>
      </c>
      <c r="CN256" t="s">
        <v>125</v>
      </c>
      <c r="CO256" t="s">
        <v>59</v>
      </c>
      <c r="CP256">
        <v>46099</v>
      </c>
      <c r="CQ256">
        <v>1</v>
      </c>
      <c r="CR256">
        <v>1</v>
      </c>
      <c r="CT256">
        <v>1</v>
      </c>
      <c r="CV256">
        <v>1.3888888888888889E-4</v>
      </c>
      <c r="CW256">
        <v>1.3888888888888889E-4</v>
      </c>
      <c r="CX256">
        <v>0.20730324074074075</v>
      </c>
      <c r="CY256">
        <v>0.17199074074074075</v>
      </c>
      <c r="CZ256">
        <v>227</v>
      </c>
      <c r="DA256">
        <v>375</v>
      </c>
      <c r="DB256">
        <v>20</v>
      </c>
      <c r="DC256">
        <v>1.65</v>
      </c>
      <c r="DD256">
        <v>45560</v>
      </c>
      <c r="DE256">
        <v>8.8099999999999998E-2</v>
      </c>
      <c r="DF256">
        <v>1</v>
      </c>
      <c r="DG256">
        <v>0.05</v>
      </c>
      <c r="DH256">
        <v>8000</v>
      </c>
      <c r="DI256">
        <v>8000</v>
      </c>
      <c r="DJ256">
        <v>8000</v>
      </c>
      <c r="DK256">
        <v>1</v>
      </c>
      <c r="DL256">
        <v>0.12839999999999999</v>
      </c>
      <c r="DM256">
        <v>84</v>
      </c>
      <c r="DN256">
        <v>8000</v>
      </c>
    </row>
    <row r="257" spans="91:118" x14ac:dyDescent="0.25">
      <c r="CM257" t="s">
        <v>636</v>
      </c>
      <c r="CN257" t="s">
        <v>2</v>
      </c>
      <c r="CO257" t="s">
        <v>15</v>
      </c>
      <c r="CP257">
        <v>46083</v>
      </c>
      <c r="CQ257">
        <v>1</v>
      </c>
      <c r="CR257">
        <v>1</v>
      </c>
      <c r="CT257">
        <v>1</v>
      </c>
      <c r="CV257">
        <v>0</v>
      </c>
      <c r="CW257">
        <v>0</v>
      </c>
      <c r="CX257">
        <v>0.20321759259259259</v>
      </c>
      <c r="CY257">
        <v>0.10987268518518518</v>
      </c>
      <c r="CZ257">
        <v>43</v>
      </c>
      <c r="DA257">
        <v>68</v>
      </c>
      <c r="DB257">
        <v>21</v>
      </c>
      <c r="DC257" t="s">
        <v>817</v>
      </c>
      <c r="DD257">
        <v>9558</v>
      </c>
      <c r="DE257">
        <v>0.4884</v>
      </c>
      <c r="DF257">
        <v>12</v>
      </c>
      <c r="DG257">
        <v>0.57140000000000002</v>
      </c>
      <c r="DH257">
        <v>8336</v>
      </c>
      <c r="DI257">
        <v>695</v>
      </c>
      <c r="DJ257">
        <v>7526</v>
      </c>
      <c r="DK257">
        <v>0.90280000000000005</v>
      </c>
      <c r="DL257">
        <v>0.15160000000000001</v>
      </c>
      <c r="DM257">
        <v>84</v>
      </c>
      <c r="DN257">
        <v>684</v>
      </c>
    </row>
    <row r="258" spans="91:118" x14ac:dyDescent="0.25">
      <c r="CM258" t="s">
        <v>636</v>
      </c>
      <c r="CN258" t="s">
        <v>2</v>
      </c>
      <c r="CO258" t="s">
        <v>377</v>
      </c>
      <c r="CP258">
        <v>46085</v>
      </c>
      <c r="CQ258">
        <v>1</v>
      </c>
      <c r="CR258">
        <v>1</v>
      </c>
      <c r="CS258">
        <v>1</v>
      </c>
      <c r="CV258">
        <v>5.6944444444444447E-3</v>
      </c>
      <c r="CW258">
        <v>5.6944444444444447E-3</v>
      </c>
      <c r="CX258">
        <v>0.20222222222222222</v>
      </c>
      <c r="CY258">
        <v>0.16562499999999999</v>
      </c>
      <c r="CZ258">
        <v>79</v>
      </c>
      <c r="DA258">
        <v>136</v>
      </c>
      <c r="DB258">
        <v>25</v>
      </c>
      <c r="DC258">
        <v>1.36</v>
      </c>
      <c r="DD258">
        <v>27017</v>
      </c>
      <c r="DE258">
        <v>0.3165</v>
      </c>
      <c r="DF258">
        <v>4</v>
      </c>
      <c r="DG258">
        <v>0.16</v>
      </c>
      <c r="DH258">
        <v>4138</v>
      </c>
      <c r="DI258">
        <v>1035</v>
      </c>
      <c r="DJ258">
        <v>3257</v>
      </c>
      <c r="DK258">
        <v>0.78710000000000002</v>
      </c>
      <c r="DL258">
        <v>0.20069999999999999</v>
      </c>
      <c r="DM258">
        <v>84</v>
      </c>
      <c r="DN258">
        <v>1086</v>
      </c>
    </row>
    <row r="259" spans="91:118" x14ac:dyDescent="0.25">
      <c r="CM259" t="s">
        <v>636</v>
      </c>
      <c r="CN259" t="s">
        <v>2</v>
      </c>
      <c r="CO259" t="s">
        <v>22</v>
      </c>
      <c r="CP259">
        <v>46085</v>
      </c>
      <c r="CQ259">
        <v>1</v>
      </c>
      <c r="CR259">
        <v>1</v>
      </c>
      <c r="CT259">
        <v>1</v>
      </c>
      <c r="CV259">
        <v>0</v>
      </c>
      <c r="CW259">
        <v>0</v>
      </c>
      <c r="CX259">
        <v>0.23425925925925925</v>
      </c>
      <c r="CY259">
        <v>0.11046296296296296</v>
      </c>
      <c r="CZ259">
        <v>47</v>
      </c>
      <c r="DA259">
        <v>94</v>
      </c>
      <c r="DB259">
        <v>11</v>
      </c>
      <c r="DC259" t="s">
        <v>847</v>
      </c>
      <c r="DD259">
        <v>25972</v>
      </c>
      <c r="DE259">
        <v>0.23400000000000001</v>
      </c>
      <c r="DF259">
        <v>2</v>
      </c>
      <c r="DG259">
        <v>0.18179999999999999</v>
      </c>
      <c r="DH259">
        <v>650</v>
      </c>
      <c r="DI259">
        <v>325</v>
      </c>
      <c r="DJ259">
        <v>150</v>
      </c>
      <c r="DK259">
        <v>0.23080000000000001</v>
      </c>
      <c r="DL259">
        <v>0.8155</v>
      </c>
      <c r="DM259">
        <v>84</v>
      </c>
      <c r="DN259">
        <v>150</v>
      </c>
    </row>
    <row r="260" spans="91:118" x14ac:dyDescent="0.25">
      <c r="CM260" t="s">
        <v>636</v>
      </c>
      <c r="CN260" t="s">
        <v>2</v>
      </c>
      <c r="CO260" t="s">
        <v>24</v>
      </c>
      <c r="CP260">
        <v>46099</v>
      </c>
      <c r="CQ260">
        <v>1</v>
      </c>
      <c r="CR260">
        <v>1</v>
      </c>
      <c r="CT260">
        <v>1</v>
      </c>
      <c r="CV260">
        <v>9.2592592592592588E-5</v>
      </c>
      <c r="CW260">
        <v>9.2592592592592588E-5</v>
      </c>
      <c r="CX260">
        <v>0.22035879629629629</v>
      </c>
      <c r="CY260">
        <v>0.15452546296296296</v>
      </c>
      <c r="CZ260">
        <v>67</v>
      </c>
      <c r="DA260">
        <v>142</v>
      </c>
      <c r="DB260">
        <v>27</v>
      </c>
      <c r="DC260" t="s">
        <v>1004</v>
      </c>
      <c r="DD260">
        <v>23632</v>
      </c>
      <c r="DE260">
        <v>0.40300000000000002</v>
      </c>
      <c r="DF260">
        <v>1</v>
      </c>
      <c r="DG260">
        <v>3.6999999999999998E-2</v>
      </c>
      <c r="DH260">
        <v>5500</v>
      </c>
      <c r="DI260">
        <v>5500</v>
      </c>
      <c r="DM260">
        <v>84</v>
      </c>
    </row>
    <row r="261" spans="91:118" x14ac:dyDescent="0.25">
      <c r="CM261" t="s">
        <v>636</v>
      </c>
      <c r="CN261" t="s">
        <v>2</v>
      </c>
      <c r="CO261" t="s">
        <v>24</v>
      </c>
      <c r="CP261">
        <v>46104</v>
      </c>
      <c r="CQ261">
        <v>1</v>
      </c>
      <c r="CR261">
        <v>1</v>
      </c>
      <c r="CT261">
        <v>1</v>
      </c>
      <c r="CV261">
        <v>6.8287037037037036E-4</v>
      </c>
      <c r="CW261">
        <v>6.8287037037037036E-4</v>
      </c>
      <c r="CX261">
        <v>0.2645601851851852</v>
      </c>
      <c r="CY261">
        <v>7.8680555555555559E-2</v>
      </c>
      <c r="CZ261">
        <v>44</v>
      </c>
      <c r="DA261">
        <v>102</v>
      </c>
      <c r="DB261">
        <v>15</v>
      </c>
      <c r="DC261">
        <v>2.8</v>
      </c>
      <c r="DD261">
        <v>8699</v>
      </c>
      <c r="DE261">
        <v>0.34089999999999998</v>
      </c>
      <c r="DF261">
        <v>2</v>
      </c>
      <c r="DG261">
        <v>0.1333</v>
      </c>
      <c r="DH261">
        <v>4700</v>
      </c>
      <c r="DI261">
        <v>2350</v>
      </c>
      <c r="DJ261">
        <v>4700</v>
      </c>
      <c r="DK261">
        <v>1</v>
      </c>
      <c r="DL261">
        <v>0.12939999999999999</v>
      </c>
      <c r="DM261">
        <v>84</v>
      </c>
      <c r="DN261">
        <v>2350</v>
      </c>
    </row>
    <row r="262" spans="91:118" x14ac:dyDescent="0.25">
      <c r="CM262" t="s">
        <v>636</v>
      </c>
      <c r="CN262" t="s">
        <v>2</v>
      </c>
      <c r="CO262" t="s">
        <v>24</v>
      </c>
      <c r="CP262">
        <v>46105</v>
      </c>
      <c r="CQ262">
        <v>1</v>
      </c>
      <c r="CR262">
        <v>1</v>
      </c>
      <c r="CT262">
        <v>1</v>
      </c>
      <c r="CV262">
        <v>9.2592592592592588E-5</v>
      </c>
      <c r="CW262">
        <v>9.2592592592592588E-5</v>
      </c>
      <c r="CX262">
        <v>0.21863425925925925</v>
      </c>
      <c r="CY262">
        <v>0.16300925925925927</v>
      </c>
      <c r="CZ262">
        <v>63</v>
      </c>
      <c r="DA262">
        <v>120</v>
      </c>
      <c r="DB262">
        <v>26</v>
      </c>
      <c r="DC262" t="s">
        <v>780</v>
      </c>
      <c r="DD262">
        <v>19302</v>
      </c>
      <c r="DE262">
        <v>0.41270000000000001</v>
      </c>
      <c r="DF262">
        <v>3</v>
      </c>
      <c r="DG262">
        <v>0.1154</v>
      </c>
      <c r="DH262">
        <v>11495</v>
      </c>
      <c r="DI262">
        <v>3832</v>
      </c>
      <c r="DJ262">
        <v>4000</v>
      </c>
      <c r="DK262">
        <v>0.34799999999999998</v>
      </c>
      <c r="DL262">
        <v>0.12770000000000001</v>
      </c>
      <c r="DM262">
        <v>84</v>
      </c>
      <c r="DN262">
        <v>2000</v>
      </c>
    </row>
    <row r="263" spans="91:118" x14ac:dyDescent="0.25">
      <c r="CM263" t="s">
        <v>636</v>
      </c>
      <c r="CN263" t="s">
        <v>2</v>
      </c>
      <c r="CO263" t="s">
        <v>13</v>
      </c>
      <c r="CP263">
        <v>46085</v>
      </c>
      <c r="CQ263">
        <v>1</v>
      </c>
      <c r="CR263">
        <v>1</v>
      </c>
      <c r="CT263">
        <v>1</v>
      </c>
      <c r="CV263">
        <v>1.1574074074074075E-4</v>
      </c>
      <c r="CW263">
        <v>1.1574074074074075E-4</v>
      </c>
      <c r="CX263">
        <v>0.24076388888888889</v>
      </c>
      <c r="CY263">
        <v>9.9282407407407403E-2</v>
      </c>
      <c r="CZ263">
        <v>62</v>
      </c>
      <c r="DA263">
        <v>145</v>
      </c>
      <c r="DB263">
        <v>17</v>
      </c>
      <c r="DC263" t="s">
        <v>744</v>
      </c>
      <c r="DD263">
        <v>29958</v>
      </c>
      <c r="DE263">
        <v>0.2742</v>
      </c>
      <c r="DF263">
        <v>1</v>
      </c>
      <c r="DG263">
        <v>5.8799999999999998E-2</v>
      </c>
      <c r="DH263">
        <v>10000</v>
      </c>
      <c r="DI263">
        <v>10000</v>
      </c>
      <c r="DJ263">
        <v>10000</v>
      </c>
      <c r="DK263">
        <v>1</v>
      </c>
      <c r="DL263">
        <v>0.14019999999999999</v>
      </c>
      <c r="DM263">
        <v>84</v>
      </c>
      <c r="DN263">
        <v>10000</v>
      </c>
    </row>
    <row r="264" spans="91:118" x14ac:dyDescent="0.25">
      <c r="CM264" t="s">
        <v>636</v>
      </c>
      <c r="CN264" t="s">
        <v>2</v>
      </c>
      <c r="CO264" t="s">
        <v>564</v>
      </c>
      <c r="CP264">
        <v>46104</v>
      </c>
      <c r="CQ264">
        <v>1</v>
      </c>
      <c r="CR264">
        <v>1</v>
      </c>
      <c r="CT264">
        <v>1</v>
      </c>
      <c r="CV264">
        <v>0</v>
      </c>
      <c r="CW264">
        <v>0</v>
      </c>
      <c r="CX264">
        <v>0.20157407407407407</v>
      </c>
      <c r="CY264">
        <v>0.12165509259259259</v>
      </c>
      <c r="CZ264">
        <v>76</v>
      </c>
      <c r="DA264">
        <v>117</v>
      </c>
      <c r="DB264">
        <v>15</v>
      </c>
      <c r="DC264" t="s">
        <v>898</v>
      </c>
      <c r="DD264">
        <v>26388</v>
      </c>
      <c r="DE264">
        <v>0.19739999999999999</v>
      </c>
      <c r="DF264">
        <v>1</v>
      </c>
      <c r="DG264">
        <v>6.6699999999999995E-2</v>
      </c>
      <c r="DH264">
        <v>50</v>
      </c>
      <c r="DI264">
        <v>50</v>
      </c>
      <c r="DJ264">
        <v>50</v>
      </c>
      <c r="DK264">
        <v>1</v>
      </c>
      <c r="DL264">
        <v>0.99780000000000002</v>
      </c>
      <c r="DM264">
        <v>84</v>
      </c>
      <c r="DN264">
        <v>50</v>
      </c>
    </row>
    <row r="265" spans="91:118" x14ac:dyDescent="0.25">
      <c r="CM265" t="s">
        <v>636</v>
      </c>
      <c r="CN265" t="s">
        <v>2</v>
      </c>
      <c r="CO265" t="s">
        <v>23</v>
      </c>
      <c r="CP265">
        <v>46091</v>
      </c>
      <c r="CQ265">
        <v>1</v>
      </c>
      <c r="CR265">
        <v>1</v>
      </c>
      <c r="CT265">
        <v>1</v>
      </c>
      <c r="CV265">
        <v>3.2870370370370371E-3</v>
      </c>
      <c r="CW265">
        <v>3.2870370370370371E-3</v>
      </c>
      <c r="CX265">
        <v>0.30790509259259258</v>
      </c>
      <c r="CY265">
        <v>8.8402777777777775E-2</v>
      </c>
      <c r="CZ265">
        <v>115</v>
      </c>
      <c r="DA265">
        <v>202</v>
      </c>
      <c r="DB265">
        <v>27</v>
      </c>
      <c r="DC265" t="s">
        <v>718</v>
      </c>
      <c r="DD265">
        <v>33180</v>
      </c>
      <c r="DE265">
        <v>0.23480000000000001</v>
      </c>
      <c r="DF265">
        <v>1</v>
      </c>
      <c r="DG265">
        <v>3.6999999999999998E-2</v>
      </c>
      <c r="DH265">
        <v>7000</v>
      </c>
      <c r="DI265">
        <v>7000</v>
      </c>
      <c r="DJ265">
        <v>7000</v>
      </c>
      <c r="DK265">
        <v>1</v>
      </c>
      <c r="DL265">
        <v>0.14030000000000001</v>
      </c>
      <c r="DM265">
        <v>84</v>
      </c>
      <c r="DN265">
        <v>7000</v>
      </c>
    </row>
    <row r="266" spans="91:118" x14ac:dyDescent="0.25">
      <c r="CM266" t="s">
        <v>636</v>
      </c>
      <c r="CN266" t="s">
        <v>2</v>
      </c>
      <c r="CO266" t="s">
        <v>23</v>
      </c>
      <c r="CP266">
        <v>46107</v>
      </c>
      <c r="CQ266">
        <v>1</v>
      </c>
      <c r="CR266">
        <v>1</v>
      </c>
      <c r="CT266">
        <v>1</v>
      </c>
      <c r="CV266">
        <v>0</v>
      </c>
      <c r="CW266">
        <v>0</v>
      </c>
      <c r="CX266">
        <v>0.19961805555555556</v>
      </c>
      <c r="CY266">
        <v>0.14511574074074074</v>
      </c>
      <c r="CZ266">
        <v>89</v>
      </c>
      <c r="DA266">
        <v>167</v>
      </c>
      <c r="DB266">
        <v>15</v>
      </c>
      <c r="DC266" t="s">
        <v>808</v>
      </c>
      <c r="DD266">
        <v>27005</v>
      </c>
      <c r="DE266">
        <v>0.16850000000000001</v>
      </c>
      <c r="DF266">
        <v>1</v>
      </c>
      <c r="DG266">
        <v>6.6699999999999995E-2</v>
      </c>
      <c r="DH266">
        <v>4500</v>
      </c>
      <c r="DI266">
        <v>4500</v>
      </c>
      <c r="DM266">
        <v>84</v>
      </c>
    </row>
    <row r="267" spans="91:118" x14ac:dyDescent="0.25">
      <c r="CM267" t="s">
        <v>636</v>
      </c>
      <c r="CN267" t="s">
        <v>2</v>
      </c>
      <c r="CO267" t="s">
        <v>23</v>
      </c>
      <c r="CP267">
        <v>46111</v>
      </c>
      <c r="CQ267">
        <v>1</v>
      </c>
      <c r="CR267">
        <v>1</v>
      </c>
      <c r="CS267">
        <v>1</v>
      </c>
      <c r="CV267">
        <v>1.3726851851851851E-2</v>
      </c>
      <c r="CW267">
        <v>1.3726851851851851E-2</v>
      </c>
      <c r="CX267">
        <v>0.14623842592592592</v>
      </c>
      <c r="CY267">
        <v>0.23766203703703703</v>
      </c>
      <c r="CZ267">
        <v>85</v>
      </c>
      <c r="DA267">
        <v>187</v>
      </c>
      <c r="DB267">
        <v>21</v>
      </c>
      <c r="DC267" t="s">
        <v>687</v>
      </c>
      <c r="DD267">
        <v>23609</v>
      </c>
      <c r="DE267">
        <v>0.24709999999999999</v>
      </c>
      <c r="DF267">
        <v>4</v>
      </c>
      <c r="DG267">
        <v>0.1905</v>
      </c>
      <c r="DH267">
        <v>15100</v>
      </c>
      <c r="DI267">
        <v>3775</v>
      </c>
      <c r="DJ267">
        <v>11600</v>
      </c>
      <c r="DK267">
        <v>0.76819999999999999</v>
      </c>
      <c r="DL267">
        <v>0.1132</v>
      </c>
      <c r="DM267">
        <v>84</v>
      </c>
      <c r="DN267">
        <v>3867</v>
      </c>
    </row>
    <row r="268" spans="91:118" x14ac:dyDescent="0.25">
      <c r="CM268" t="s">
        <v>636</v>
      </c>
      <c r="CN268" t="s">
        <v>2</v>
      </c>
      <c r="CO268" t="s">
        <v>207</v>
      </c>
      <c r="CP268">
        <v>46084</v>
      </c>
      <c r="CQ268">
        <v>1</v>
      </c>
      <c r="CR268">
        <v>1</v>
      </c>
      <c r="CT268">
        <v>1</v>
      </c>
      <c r="CV268">
        <v>5.7870370370370373E-5</v>
      </c>
      <c r="CW268">
        <v>5.7870370370370373E-5</v>
      </c>
      <c r="CX268">
        <v>0.33180555555555558</v>
      </c>
      <c r="CY268">
        <v>9.6527777777777782E-2</v>
      </c>
      <c r="CZ268">
        <v>215</v>
      </c>
      <c r="DA268">
        <v>324</v>
      </c>
      <c r="DB268">
        <v>21</v>
      </c>
      <c r="DC268" t="s">
        <v>745</v>
      </c>
      <c r="DD268">
        <v>45426</v>
      </c>
      <c r="DE268">
        <v>9.7699999999999995E-2</v>
      </c>
      <c r="DF268">
        <v>1</v>
      </c>
      <c r="DG268">
        <v>4.7600000000000003E-2</v>
      </c>
      <c r="DH268">
        <v>300</v>
      </c>
      <c r="DI268">
        <v>300</v>
      </c>
      <c r="DJ268">
        <v>300</v>
      </c>
      <c r="DK268">
        <v>1</v>
      </c>
      <c r="DL268">
        <v>0.22389999999999999</v>
      </c>
      <c r="DM268">
        <v>84</v>
      </c>
      <c r="DN268">
        <v>300</v>
      </c>
    </row>
    <row r="269" spans="91:118" x14ac:dyDescent="0.25">
      <c r="CM269" t="s">
        <v>636</v>
      </c>
      <c r="CN269" t="s">
        <v>2</v>
      </c>
      <c r="CO269" t="s">
        <v>207</v>
      </c>
      <c r="CP269">
        <v>46091</v>
      </c>
      <c r="CQ269">
        <v>1</v>
      </c>
      <c r="CR269">
        <v>1</v>
      </c>
      <c r="CT269">
        <v>1</v>
      </c>
      <c r="CV269">
        <v>4.6296296296296294E-5</v>
      </c>
      <c r="CW269">
        <v>4.6296296296296294E-5</v>
      </c>
      <c r="CX269">
        <v>0.2817824074074074</v>
      </c>
      <c r="CY269">
        <v>0.12540509259259258</v>
      </c>
      <c r="CZ269">
        <v>185</v>
      </c>
      <c r="DA269">
        <v>301</v>
      </c>
      <c r="DB269">
        <v>18</v>
      </c>
      <c r="DC269" t="s">
        <v>755</v>
      </c>
      <c r="DD269">
        <v>26256</v>
      </c>
      <c r="DE269">
        <v>9.7299999999999998E-2</v>
      </c>
      <c r="DF269">
        <v>1</v>
      </c>
      <c r="DG269">
        <v>5.5599999999999997E-2</v>
      </c>
      <c r="DH269">
        <v>750</v>
      </c>
      <c r="DI269">
        <v>750</v>
      </c>
      <c r="DJ269">
        <v>750</v>
      </c>
      <c r="DK269">
        <v>1</v>
      </c>
      <c r="DL269">
        <v>0.29060000000000002</v>
      </c>
      <c r="DM269">
        <v>84</v>
      </c>
      <c r="DN269">
        <v>750</v>
      </c>
    </row>
    <row r="270" spans="91:118" x14ac:dyDescent="0.25">
      <c r="CM270" t="s">
        <v>636</v>
      </c>
      <c r="CN270" t="s">
        <v>6</v>
      </c>
      <c r="CO270" t="s">
        <v>19</v>
      </c>
      <c r="CP270">
        <v>46094</v>
      </c>
      <c r="CQ270">
        <v>1</v>
      </c>
      <c r="CR270">
        <v>1</v>
      </c>
      <c r="CT270">
        <v>1</v>
      </c>
      <c r="CV270">
        <v>0</v>
      </c>
      <c r="CW270">
        <v>0</v>
      </c>
      <c r="CX270">
        <v>0.2215625</v>
      </c>
      <c r="CY270">
        <v>0.16659722222222223</v>
      </c>
      <c r="CZ270">
        <v>199</v>
      </c>
      <c r="DA270">
        <v>333</v>
      </c>
      <c r="DB270">
        <v>19</v>
      </c>
      <c r="DC270" t="s">
        <v>792</v>
      </c>
      <c r="DD270">
        <v>32598</v>
      </c>
      <c r="DE270">
        <v>9.5500000000000002E-2</v>
      </c>
      <c r="DF270">
        <v>1</v>
      </c>
      <c r="DG270">
        <v>5.2600000000000001E-2</v>
      </c>
      <c r="DH270">
        <v>10000</v>
      </c>
      <c r="DI270">
        <v>10000</v>
      </c>
      <c r="DJ270">
        <v>10000</v>
      </c>
      <c r="DK270">
        <v>1</v>
      </c>
      <c r="DL270">
        <v>0.12620000000000001</v>
      </c>
      <c r="DM270">
        <v>84</v>
      </c>
      <c r="DN270">
        <v>10000</v>
      </c>
    </row>
    <row r="271" spans="91:118" x14ac:dyDescent="0.25">
      <c r="CM271" t="s">
        <v>636</v>
      </c>
      <c r="CN271" t="s">
        <v>6</v>
      </c>
      <c r="CO271" t="s">
        <v>80</v>
      </c>
      <c r="CP271">
        <v>46084</v>
      </c>
      <c r="CQ271">
        <v>1</v>
      </c>
      <c r="CR271">
        <v>1</v>
      </c>
      <c r="CT271">
        <v>1</v>
      </c>
      <c r="CV271">
        <v>1.1574074074074075E-4</v>
      </c>
      <c r="CW271">
        <v>1.1574074074074075E-4</v>
      </c>
      <c r="CX271">
        <v>0.23065972222222222</v>
      </c>
      <c r="CY271">
        <v>0.13040509259259259</v>
      </c>
      <c r="CZ271">
        <v>70</v>
      </c>
      <c r="DA271">
        <v>139</v>
      </c>
      <c r="DB271">
        <v>12</v>
      </c>
      <c r="DC271" t="s">
        <v>765</v>
      </c>
      <c r="DD271">
        <v>49487</v>
      </c>
      <c r="DE271">
        <v>0.1714</v>
      </c>
      <c r="DF271">
        <v>1</v>
      </c>
      <c r="DG271">
        <v>8.3299999999999999E-2</v>
      </c>
      <c r="DH271">
        <v>15000</v>
      </c>
      <c r="DI271">
        <v>15000</v>
      </c>
      <c r="DJ271">
        <v>15000</v>
      </c>
      <c r="DK271">
        <v>1</v>
      </c>
      <c r="DL271">
        <v>0.11940000000000001</v>
      </c>
      <c r="DM271">
        <v>84</v>
      </c>
      <c r="DN271">
        <v>15000</v>
      </c>
    </row>
    <row r="272" spans="91:118" x14ac:dyDescent="0.25">
      <c r="CM272" t="s">
        <v>636</v>
      </c>
      <c r="CN272" t="s">
        <v>6</v>
      </c>
      <c r="CO272" t="s">
        <v>80</v>
      </c>
      <c r="CP272">
        <v>46085</v>
      </c>
      <c r="CQ272">
        <v>1</v>
      </c>
      <c r="CR272">
        <v>1</v>
      </c>
      <c r="CT272">
        <v>1</v>
      </c>
      <c r="CV272">
        <v>1.3888888888888889E-4</v>
      </c>
      <c r="CW272">
        <v>1.3888888888888889E-4</v>
      </c>
      <c r="CX272">
        <v>0.22319444444444445</v>
      </c>
      <c r="CY272">
        <v>0.11454861111111111</v>
      </c>
      <c r="CZ272">
        <v>86</v>
      </c>
      <c r="DA272">
        <v>127</v>
      </c>
      <c r="DB272">
        <v>11</v>
      </c>
      <c r="DC272" t="s">
        <v>680</v>
      </c>
      <c r="DD272">
        <v>43987</v>
      </c>
      <c r="DE272">
        <v>0.12790000000000001</v>
      </c>
      <c r="DF272">
        <v>2</v>
      </c>
      <c r="DG272">
        <v>0.18179999999999999</v>
      </c>
      <c r="DH272">
        <v>1092</v>
      </c>
      <c r="DI272">
        <v>546</v>
      </c>
      <c r="DJ272">
        <v>1092</v>
      </c>
      <c r="DK272">
        <v>1</v>
      </c>
      <c r="DM272">
        <v>84</v>
      </c>
      <c r="DN272">
        <v>546</v>
      </c>
    </row>
    <row r="273" spans="91:118" x14ac:dyDescent="0.25">
      <c r="CM273" t="s">
        <v>636</v>
      </c>
      <c r="CN273" t="s">
        <v>6</v>
      </c>
      <c r="CO273" t="s">
        <v>81</v>
      </c>
      <c r="CP273">
        <v>46090</v>
      </c>
      <c r="CQ273">
        <v>1</v>
      </c>
      <c r="CR273">
        <v>1</v>
      </c>
      <c r="CT273">
        <v>1</v>
      </c>
      <c r="CV273">
        <v>0</v>
      </c>
      <c r="CW273">
        <v>0</v>
      </c>
      <c r="CX273">
        <v>0.2408912037037037</v>
      </c>
      <c r="CY273">
        <v>8.59375E-2</v>
      </c>
      <c r="CZ273">
        <v>66</v>
      </c>
      <c r="DA273">
        <v>139</v>
      </c>
      <c r="DB273">
        <v>18</v>
      </c>
      <c r="DC273" t="s">
        <v>755</v>
      </c>
      <c r="DD273">
        <v>21453</v>
      </c>
      <c r="DE273">
        <v>0.2727</v>
      </c>
      <c r="DF273">
        <v>1</v>
      </c>
      <c r="DG273">
        <v>5.5599999999999997E-2</v>
      </c>
      <c r="DH273">
        <v>276</v>
      </c>
      <c r="DI273">
        <v>276</v>
      </c>
      <c r="DJ273">
        <v>276</v>
      </c>
      <c r="DK273">
        <v>1</v>
      </c>
      <c r="DL273">
        <v>0.69010000000000005</v>
      </c>
      <c r="DM273">
        <v>84</v>
      </c>
      <c r="DN273">
        <v>276</v>
      </c>
    </row>
    <row r="274" spans="91:118" x14ac:dyDescent="0.25">
      <c r="CM274" t="s">
        <v>636</v>
      </c>
      <c r="CN274" t="s">
        <v>6</v>
      </c>
      <c r="CO274" t="s">
        <v>105</v>
      </c>
      <c r="CP274">
        <v>46085</v>
      </c>
      <c r="CQ274">
        <v>1</v>
      </c>
      <c r="CR274">
        <v>1</v>
      </c>
      <c r="CT274">
        <v>1</v>
      </c>
      <c r="CV274">
        <v>9.2592592592592588E-5</v>
      </c>
      <c r="CW274">
        <v>9.2592592592592588E-5</v>
      </c>
      <c r="CX274">
        <v>0.21422453703703703</v>
      </c>
      <c r="CY274">
        <v>0.13074074074074074</v>
      </c>
      <c r="CZ274">
        <v>103</v>
      </c>
      <c r="DA274">
        <v>195</v>
      </c>
      <c r="DB274">
        <v>8</v>
      </c>
      <c r="DC274">
        <v>1.75</v>
      </c>
      <c r="DD274">
        <v>51616</v>
      </c>
      <c r="DE274">
        <v>7.7700000000000005E-2</v>
      </c>
      <c r="DF274">
        <v>1</v>
      </c>
      <c r="DG274">
        <v>0.125</v>
      </c>
      <c r="DH274">
        <v>1200</v>
      </c>
      <c r="DI274">
        <v>1200</v>
      </c>
      <c r="DJ274">
        <v>1200</v>
      </c>
      <c r="DK274">
        <v>1</v>
      </c>
      <c r="DL274">
        <v>0.37469999999999998</v>
      </c>
      <c r="DM274">
        <v>84</v>
      </c>
      <c r="DN274">
        <v>1200</v>
      </c>
    </row>
    <row r="275" spans="91:118" x14ac:dyDescent="0.25">
      <c r="CM275" t="s">
        <v>636</v>
      </c>
      <c r="CN275" t="s">
        <v>6</v>
      </c>
      <c r="CO275" t="s">
        <v>105</v>
      </c>
      <c r="CP275">
        <v>46098</v>
      </c>
      <c r="CQ275">
        <v>1</v>
      </c>
      <c r="CR275">
        <v>1</v>
      </c>
      <c r="CT275">
        <v>1</v>
      </c>
      <c r="CV275">
        <v>3.4722222222222222E-5</v>
      </c>
      <c r="CW275">
        <v>3.4722222222222222E-5</v>
      </c>
      <c r="CX275">
        <v>0.19574074074074074</v>
      </c>
      <c r="CY275">
        <v>0.14057870370370371</v>
      </c>
      <c r="CZ275">
        <v>78</v>
      </c>
      <c r="DA275">
        <v>160</v>
      </c>
      <c r="DB275">
        <v>21</v>
      </c>
      <c r="DC275" t="s">
        <v>803</v>
      </c>
      <c r="DD275">
        <v>14952</v>
      </c>
      <c r="DE275">
        <v>0.26919999999999999</v>
      </c>
      <c r="DF275">
        <v>1</v>
      </c>
      <c r="DG275">
        <v>4.7600000000000003E-2</v>
      </c>
      <c r="DH275">
        <v>6000</v>
      </c>
      <c r="DI275">
        <v>6000</v>
      </c>
      <c r="DJ275">
        <v>6000</v>
      </c>
      <c r="DK275">
        <v>1</v>
      </c>
      <c r="DL275">
        <v>0.20530000000000001</v>
      </c>
      <c r="DM275">
        <v>84</v>
      </c>
      <c r="DN275">
        <v>6000</v>
      </c>
    </row>
    <row r="276" spans="91:118" x14ac:dyDescent="0.25">
      <c r="CM276" t="s">
        <v>636</v>
      </c>
      <c r="CN276" t="s">
        <v>6</v>
      </c>
      <c r="CO276" t="s">
        <v>37</v>
      </c>
      <c r="CP276">
        <v>46093</v>
      </c>
      <c r="CQ276">
        <v>1</v>
      </c>
      <c r="CR276">
        <v>1</v>
      </c>
      <c r="CT276">
        <v>1</v>
      </c>
      <c r="CV276">
        <v>2.3148148148148149E-4</v>
      </c>
      <c r="CW276">
        <v>2.3148148148148149E-4</v>
      </c>
      <c r="CX276">
        <v>0.2482175925925926</v>
      </c>
      <c r="CY276">
        <v>0.10062500000000001</v>
      </c>
      <c r="CZ276">
        <v>78</v>
      </c>
      <c r="DA276">
        <v>120</v>
      </c>
      <c r="DB276">
        <v>20</v>
      </c>
      <c r="DC276">
        <v>2</v>
      </c>
      <c r="DD276">
        <v>27703</v>
      </c>
      <c r="DE276">
        <v>0.25640000000000002</v>
      </c>
      <c r="DF276">
        <v>1</v>
      </c>
      <c r="DG276">
        <v>0.05</v>
      </c>
      <c r="DH276">
        <v>3800</v>
      </c>
      <c r="DI276">
        <v>3800</v>
      </c>
      <c r="DJ276">
        <v>3800</v>
      </c>
      <c r="DK276">
        <v>1</v>
      </c>
      <c r="DL276">
        <v>0.26329999999999998</v>
      </c>
      <c r="DM276">
        <v>84</v>
      </c>
      <c r="DN276">
        <v>3800</v>
      </c>
    </row>
    <row r="277" spans="91:118" x14ac:dyDescent="0.25">
      <c r="CM277" t="s">
        <v>636</v>
      </c>
      <c r="CN277" t="s">
        <v>6</v>
      </c>
      <c r="CO277" t="s">
        <v>37</v>
      </c>
      <c r="CP277">
        <v>46097</v>
      </c>
      <c r="CQ277">
        <v>1</v>
      </c>
      <c r="CR277">
        <v>1</v>
      </c>
      <c r="CT277">
        <v>1</v>
      </c>
      <c r="CV277">
        <v>1.3888888888888889E-4</v>
      </c>
      <c r="CW277">
        <v>1.3888888888888889E-4</v>
      </c>
      <c r="CX277">
        <v>0.27084490740740741</v>
      </c>
      <c r="CY277">
        <v>0.13466435185185185</v>
      </c>
      <c r="CZ277">
        <v>76</v>
      </c>
      <c r="DA277">
        <v>119</v>
      </c>
      <c r="DB277">
        <v>27</v>
      </c>
      <c r="DC277" t="s">
        <v>829</v>
      </c>
      <c r="DD277">
        <v>29572</v>
      </c>
      <c r="DE277">
        <v>0.3553</v>
      </c>
      <c r="DF277">
        <v>2</v>
      </c>
      <c r="DG277">
        <v>7.4099999999999999E-2</v>
      </c>
      <c r="DH277">
        <v>2630</v>
      </c>
      <c r="DI277">
        <v>1315</v>
      </c>
      <c r="DM277">
        <v>84</v>
      </c>
    </row>
    <row r="278" spans="91:118" x14ac:dyDescent="0.25">
      <c r="CM278" t="s">
        <v>636</v>
      </c>
      <c r="CN278" t="s">
        <v>6</v>
      </c>
      <c r="CO278" t="s">
        <v>35</v>
      </c>
      <c r="CP278">
        <v>46083</v>
      </c>
      <c r="CQ278">
        <v>1</v>
      </c>
      <c r="CR278">
        <v>1</v>
      </c>
      <c r="CT278">
        <v>1</v>
      </c>
      <c r="CV278">
        <v>6.9444444444444444E-5</v>
      </c>
      <c r="CW278">
        <v>6.9444444444444444E-5</v>
      </c>
      <c r="CX278">
        <v>0.19555555555555557</v>
      </c>
      <c r="CY278">
        <v>0.14631944444444445</v>
      </c>
      <c r="CZ278">
        <v>53</v>
      </c>
      <c r="DA278">
        <v>105</v>
      </c>
      <c r="DB278">
        <v>33</v>
      </c>
      <c r="DC278" t="s">
        <v>701</v>
      </c>
      <c r="DD278">
        <v>34420</v>
      </c>
      <c r="DE278">
        <v>0.62260000000000004</v>
      </c>
      <c r="DF278">
        <v>11</v>
      </c>
      <c r="DG278">
        <v>0.33329999999999999</v>
      </c>
      <c r="DH278">
        <v>17295</v>
      </c>
      <c r="DI278">
        <v>1572</v>
      </c>
      <c r="DJ278">
        <v>12570</v>
      </c>
      <c r="DK278">
        <v>0.7268</v>
      </c>
      <c r="DL278">
        <v>0.1089</v>
      </c>
      <c r="DM278">
        <v>84</v>
      </c>
      <c r="DN278">
        <v>1796</v>
      </c>
    </row>
    <row r="279" spans="91:118" x14ac:dyDescent="0.25">
      <c r="CM279" t="s">
        <v>636</v>
      </c>
      <c r="CN279" t="s">
        <v>6</v>
      </c>
      <c r="CO279" t="s">
        <v>35</v>
      </c>
      <c r="CP279">
        <v>46086</v>
      </c>
      <c r="CQ279">
        <v>1</v>
      </c>
      <c r="CR279">
        <v>1</v>
      </c>
      <c r="CT279">
        <v>1</v>
      </c>
      <c r="CV279">
        <v>9.2592592592592588E-5</v>
      </c>
      <c r="CW279">
        <v>9.2592592592592588E-5</v>
      </c>
      <c r="CX279">
        <v>0.27307870370370368</v>
      </c>
      <c r="CY279">
        <v>0.16135416666666666</v>
      </c>
      <c r="CZ279">
        <v>62</v>
      </c>
      <c r="DA279">
        <v>121</v>
      </c>
      <c r="DB279">
        <v>27</v>
      </c>
      <c r="DC279" t="s">
        <v>676</v>
      </c>
      <c r="DD279">
        <v>23502</v>
      </c>
      <c r="DE279">
        <v>0.4355</v>
      </c>
      <c r="DF279">
        <v>2</v>
      </c>
      <c r="DG279">
        <v>7.4099999999999999E-2</v>
      </c>
      <c r="DH279">
        <v>525</v>
      </c>
      <c r="DI279">
        <v>263</v>
      </c>
      <c r="DJ279">
        <v>525</v>
      </c>
      <c r="DK279">
        <v>1</v>
      </c>
      <c r="DL279">
        <v>0.49480000000000002</v>
      </c>
      <c r="DM279">
        <v>84</v>
      </c>
      <c r="DN279">
        <v>263</v>
      </c>
    </row>
    <row r="280" spans="91:118" x14ac:dyDescent="0.25">
      <c r="CM280" t="s">
        <v>636</v>
      </c>
      <c r="CN280" t="s">
        <v>6</v>
      </c>
      <c r="CO280" t="s">
        <v>35</v>
      </c>
      <c r="CP280">
        <v>46090</v>
      </c>
      <c r="CQ280">
        <v>1</v>
      </c>
      <c r="CR280">
        <v>1</v>
      </c>
      <c r="CT280">
        <v>1</v>
      </c>
      <c r="CV280">
        <v>2.5462962962962961E-4</v>
      </c>
      <c r="CW280">
        <v>2.5462962962962961E-4</v>
      </c>
      <c r="CX280">
        <v>0.19870370370370372</v>
      </c>
      <c r="CY280">
        <v>0.12445601851851852</v>
      </c>
      <c r="CZ280">
        <v>64</v>
      </c>
      <c r="DA280">
        <v>120</v>
      </c>
      <c r="DB280">
        <v>15</v>
      </c>
      <c r="DC280" t="s">
        <v>672</v>
      </c>
      <c r="DD280">
        <v>13626</v>
      </c>
      <c r="DE280">
        <v>0.2344</v>
      </c>
      <c r="DF280">
        <v>1</v>
      </c>
      <c r="DG280">
        <v>6.6699999999999995E-2</v>
      </c>
      <c r="DH280">
        <v>4000</v>
      </c>
      <c r="DI280">
        <v>4000</v>
      </c>
      <c r="DJ280">
        <v>4000</v>
      </c>
      <c r="DK280">
        <v>1</v>
      </c>
      <c r="DL280">
        <v>0.13150000000000001</v>
      </c>
      <c r="DM280">
        <v>84</v>
      </c>
      <c r="DN280">
        <v>4000</v>
      </c>
    </row>
    <row r="281" spans="91:118" x14ac:dyDescent="0.25">
      <c r="CM281" t="s">
        <v>636</v>
      </c>
      <c r="CN281" t="s">
        <v>6</v>
      </c>
      <c r="CO281" t="s">
        <v>35</v>
      </c>
      <c r="CP281">
        <v>46093</v>
      </c>
      <c r="CQ281">
        <v>1</v>
      </c>
      <c r="CR281">
        <v>1</v>
      </c>
      <c r="CT281">
        <v>1</v>
      </c>
      <c r="CV281">
        <v>1.5046296296296297E-4</v>
      </c>
      <c r="CW281">
        <v>1.5046296296296297E-4</v>
      </c>
      <c r="CX281">
        <v>0.24055555555555555</v>
      </c>
      <c r="CY281">
        <v>0.11646990740740741</v>
      </c>
      <c r="CZ281">
        <v>63</v>
      </c>
      <c r="DA281">
        <v>100</v>
      </c>
      <c r="DB281">
        <v>22</v>
      </c>
      <c r="DC281" t="s">
        <v>807</v>
      </c>
      <c r="DD281">
        <v>39082</v>
      </c>
      <c r="DE281">
        <v>0.34920000000000001</v>
      </c>
      <c r="DF281">
        <v>4</v>
      </c>
      <c r="DG281">
        <v>0.18179999999999999</v>
      </c>
      <c r="DH281">
        <v>1687</v>
      </c>
      <c r="DI281">
        <v>422</v>
      </c>
      <c r="DJ281">
        <v>650</v>
      </c>
      <c r="DK281">
        <v>0.38529999999999998</v>
      </c>
      <c r="DL281">
        <v>0.4299</v>
      </c>
      <c r="DM281">
        <v>84</v>
      </c>
      <c r="DN281">
        <v>325</v>
      </c>
    </row>
    <row r="282" spans="91:118" x14ac:dyDescent="0.25">
      <c r="CM282" t="s">
        <v>636</v>
      </c>
      <c r="CN282" t="s">
        <v>6</v>
      </c>
      <c r="CO282" t="s">
        <v>35</v>
      </c>
      <c r="CP282">
        <v>46104</v>
      </c>
      <c r="CQ282">
        <v>1</v>
      </c>
      <c r="CR282">
        <v>1</v>
      </c>
      <c r="CT282">
        <v>1</v>
      </c>
      <c r="CV282">
        <v>6.9444444444444444E-5</v>
      </c>
      <c r="CW282">
        <v>6.9444444444444444E-5</v>
      </c>
      <c r="CX282">
        <v>0.15476851851851853</v>
      </c>
      <c r="CY282">
        <v>0.16189814814814815</v>
      </c>
      <c r="CZ282">
        <v>51</v>
      </c>
      <c r="DA282">
        <v>128</v>
      </c>
      <c r="DB282">
        <v>14</v>
      </c>
      <c r="DC282" t="s">
        <v>1018</v>
      </c>
      <c r="DD282">
        <v>33147</v>
      </c>
      <c r="DE282">
        <v>0.27450000000000002</v>
      </c>
      <c r="DF282">
        <v>1</v>
      </c>
      <c r="DG282">
        <v>7.1400000000000005E-2</v>
      </c>
      <c r="DH282">
        <v>1500</v>
      </c>
      <c r="DI282">
        <v>1500</v>
      </c>
      <c r="DJ282">
        <v>1500</v>
      </c>
      <c r="DK282">
        <v>1</v>
      </c>
      <c r="DL282">
        <v>0.20119999999999999</v>
      </c>
      <c r="DM282">
        <v>84</v>
      </c>
      <c r="DN282">
        <v>1500</v>
      </c>
    </row>
    <row r="283" spans="91:118" x14ac:dyDescent="0.25">
      <c r="CM283" t="s">
        <v>636</v>
      </c>
      <c r="CN283" t="s">
        <v>6</v>
      </c>
      <c r="CO283" t="s">
        <v>50</v>
      </c>
      <c r="CP283">
        <v>46106</v>
      </c>
      <c r="CQ283">
        <v>1</v>
      </c>
      <c r="CR283">
        <v>1</v>
      </c>
      <c r="CT283">
        <v>1</v>
      </c>
      <c r="CV283">
        <v>1.9675925925925926E-4</v>
      </c>
      <c r="CW283">
        <v>1.9675925925925926E-4</v>
      </c>
      <c r="CX283">
        <v>0.15622685185185184</v>
      </c>
      <c r="CY283">
        <v>0.15719907407407407</v>
      </c>
      <c r="CZ283">
        <v>91</v>
      </c>
      <c r="DA283">
        <v>195</v>
      </c>
      <c r="DB283">
        <v>13</v>
      </c>
      <c r="DC283" t="s">
        <v>727</v>
      </c>
      <c r="DD283">
        <v>26326</v>
      </c>
      <c r="DE283">
        <v>0.1429</v>
      </c>
      <c r="DF283">
        <v>1</v>
      </c>
      <c r="DG283">
        <v>7.6899999999999996E-2</v>
      </c>
      <c r="DH283">
        <v>500</v>
      </c>
      <c r="DI283">
        <v>500</v>
      </c>
      <c r="DJ283">
        <v>500</v>
      </c>
      <c r="DK283">
        <v>1</v>
      </c>
      <c r="DL283">
        <v>0.21909999999999999</v>
      </c>
      <c r="DM283">
        <v>84</v>
      </c>
      <c r="DN283">
        <v>500</v>
      </c>
    </row>
    <row r="284" spans="91:118" x14ac:dyDescent="0.25">
      <c r="CM284" t="s">
        <v>636</v>
      </c>
      <c r="CN284" t="s">
        <v>6</v>
      </c>
      <c r="CO284" t="s">
        <v>11</v>
      </c>
      <c r="CP284">
        <v>46087</v>
      </c>
      <c r="CQ284">
        <v>1</v>
      </c>
      <c r="CR284">
        <v>1</v>
      </c>
      <c r="CT284">
        <v>1</v>
      </c>
      <c r="CV284">
        <v>8.1018518518518516E-5</v>
      </c>
      <c r="CW284">
        <v>8.1018518518518516E-5</v>
      </c>
      <c r="CX284">
        <v>0.24216435185185184</v>
      </c>
      <c r="CY284">
        <v>9.9942129629629631E-2</v>
      </c>
      <c r="CZ284">
        <v>126</v>
      </c>
      <c r="DA284">
        <v>250</v>
      </c>
      <c r="DB284">
        <v>28</v>
      </c>
      <c r="DC284">
        <v>1.5</v>
      </c>
      <c r="DD284">
        <v>13740</v>
      </c>
      <c r="DE284">
        <v>0.22220000000000001</v>
      </c>
      <c r="DF284">
        <v>3</v>
      </c>
      <c r="DG284">
        <v>0.1071</v>
      </c>
      <c r="DH284">
        <v>846</v>
      </c>
      <c r="DI284">
        <v>282</v>
      </c>
      <c r="DJ284">
        <v>246</v>
      </c>
      <c r="DK284">
        <v>0.2908</v>
      </c>
      <c r="DL284">
        <v>0.18590000000000001</v>
      </c>
      <c r="DM284">
        <v>84</v>
      </c>
      <c r="DN284">
        <v>246</v>
      </c>
    </row>
    <row r="285" spans="91:118" x14ac:dyDescent="0.25">
      <c r="CM285" t="s">
        <v>636</v>
      </c>
      <c r="CN285" t="s">
        <v>6</v>
      </c>
      <c r="CO285" t="s">
        <v>11</v>
      </c>
      <c r="CP285">
        <v>46112</v>
      </c>
      <c r="CQ285">
        <v>1</v>
      </c>
      <c r="CR285">
        <v>1</v>
      </c>
      <c r="CT285">
        <v>1</v>
      </c>
      <c r="CV285">
        <v>7.7546296296296293E-4</v>
      </c>
      <c r="CW285">
        <v>7.7546296296296293E-4</v>
      </c>
      <c r="CX285">
        <v>0.21822916666666667</v>
      </c>
      <c r="CY285">
        <v>0.168125</v>
      </c>
      <c r="CZ285">
        <v>92</v>
      </c>
      <c r="DA285">
        <v>158</v>
      </c>
      <c r="DB285">
        <v>18</v>
      </c>
      <c r="DC285" t="s">
        <v>718</v>
      </c>
      <c r="DD285">
        <v>32401</v>
      </c>
      <c r="DE285">
        <v>0.19570000000000001</v>
      </c>
      <c r="DF285">
        <v>1</v>
      </c>
      <c r="DG285">
        <v>5.5599999999999997E-2</v>
      </c>
      <c r="DH285">
        <v>5500</v>
      </c>
      <c r="DI285">
        <v>5500</v>
      </c>
      <c r="DJ285">
        <v>5500</v>
      </c>
      <c r="DK285">
        <v>1</v>
      </c>
      <c r="DL285">
        <v>0.1178</v>
      </c>
      <c r="DM285">
        <v>84</v>
      </c>
      <c r="DN285">
        <v>5500</v>
      </c>
    </row>
    <row r="286" spans="91:118" x14ac:dyDescent="0.25">
      <c r="CM286" t="s">
        <v>636</v>
      </c>
      <c r="CN286" t="s">
        <v>6</v>
      </c>
      <c r="CO286" t="s">
        <v>97</v>
      </c>
      <c r="CP286">
        <v>46086</v>
      </c>
      <c r="CQ286">
        <v>1</v>
      </c>
      <c r="CR286">
        <v>1</v>
      </c>
      <c r="CT286">
        <v>1</v>
      </c>
      <c r="CV286">
        <v>1.1574074074074073E-5</v>
      </c>
      <c r="CW286">
        <v>1.1574074074074073E-5</v>
      </c>
      <c r="CX286">
        <v>0.25886574074074076</v>
      </c>
      <c r="CY286">
        <v>0.1806712962962963</v>
      </c>
      <c r="CZ286">
        <v>84</v>
      </c>
      <c r="DA286">
        <v>127</v>
      </c>
      <c r="DB286">
        <v>24</v>
      </c>
      <c r="DC286" t="s">
        <v>703</v>
      </c>
      <c r="DD286">
        <v>14523</v>
      </c>
      <c r="DE286">
        <v>0.28570000000000001</v>
      </c>
      <c r="DF286">
        <v>3</v>
      </c>
      <c r="DG286">
        <v>0.125</v>
      </c>
      <c r="DH286">
        <v>5255</v>
      </c>
      <c r="DI286">
        <v>1752</v>
      </c>
      <c r="DJ286">
        <v>3000</v>
      </c>
      <c r="DK286">
        <v>0.57089999999999996</v>
      </c>
      <c r="DL286">
        <v>0.22509999999999999</v>
      </c>
      <c r="DM286">
        <v>84</v>
      </c>
      <c r="DN286">
        <v>3000</v>
      </c>
    </row>
    <row r="287" spans="91:118" x14ac:dyDescent="0.25">
      <c r="CM287" t="s">
        <v>636</v>
      </c>
      <c r="CN287" t="s">
        <v>6</v>
      </c>
      <c r="CO287" t="s">
        <v>34</v>
      </c>
      <c r="CP287">
        <v>46094</v>
      </c>
      <c r="CQ287">
        <v>1</v>
      </c>
      <c r="CR287">
        <v>1</v>
      </c>
      <c r="CT287">
        <v>1</v>
      </c>
      <c r="CV287">
        <v>1.9675925925925926E-4</v>
      </c>
      <c r="CW287">
        <v>1.9675925925925926E-4</v>
      </c>
      <c r="CX287">
        <v>0.17483796296296297</v>
      </c>
      <c r="CY287">
        <v>0.18747685185185184</v>
      </c>
      <c r="CZ287">
        <v>118</v>
      </c>
      <c r="DA287">
        <v>166</v>
      </c>
      <c r="DB287">
        <v>10</v>
      </c>
      <c r="DC287">
        <v>2.4</v>
      </c>
      <c r="DD287">
        <v>31141</v>
      </c>
      <c r="DE287">
        <v>8.4699999999999998E-2</v>
      </c>
      <c r="DF287">
        <v>2</v>
      </c>
      <c r="DG287">
        <v>0.2</v>
      </c>
      <c r="DH287">
        <v>4450</v>
      </c>
      <c r="DI287">
        <v>2225</v>
      </c>
      <c r="DJ287">
        <v>2050</v>
      </c>
      <c r="DK287">
        <v>0.4607</v>
      </c>
      <c r="DL287">
        <v>0.1095</v>
      </c>
      <c r="DM287">
        <v>84</v>
      </c>
      <c r="DN287">
        <v>2050</v>
      </c>
    </row>
    <row r="288" spans="91:118" x14ac:dyDescent="0.25">
      <c r="CM288" t="s">
        <v>636</v>
      </c>
      <c r="CN288" t="s">
        <v>7</v>
      </c>
      <c r="CO288" t="s">
        <v>495</v>
      </c>
      <c r="CP288">
        <v>46085</v>
      </c>
      <c r="CQ288">
        <v>1</v>
      </c>
      <c r="CR288">
        <v>1</v>
      </c>
      <c r="CT288">
        <v>1</v>
      </c>
      <c r="CV288">
        <v>5.9027777777777778E-4</v>
      </c>
      <c r="CW288">
        <v>5.9027777777777778E-4</v>
      </c>
      <c r="CX288">
        <v>0.18260416666666668</v>
      </c>
      <c r="CY288">
        <v>0.16923611111111111</v>
      </c>
      <c r="CZ288">
        <v>134</v>
      </c>
      <c r="DA288">
        <v>275</v>
      </c>
      <c r="DB288">
        <v>42</v>
      </c>
      <c r="DC288" t="s">
        <v>876</v>
      </c>
      <c r="DD288">
        <v>9883</v>
      </c>
      <c r="DE288">
        <v>0.31340000000000001</v>
      </c>
      <c r="DF288">
        <v>3</v>
      </c>
      <c r="DG288">
        <v>7.1400000000000005E-2</v>
      </c>
      <c r="DH288">
        <v>427</v>
      </c>
      <c r="DI288">
        <v>142</v>
      </c>
      <c r="DJ288">
        <v>227</v>
      </c>
      <c r="DK288">
        <v>0.53159999999999996</v>
      </c>
      <c r="DL288">
        <v>0.23180000000000001</v>
      </c>
      <c r="DM288">
        <v>84</v>
      </c>
      <c r="DN288">
        <v>114</v>
      </c>
    </row>
    <row r="289" spans="91:118" x14ac:dyDescent="0.25">
      <c r="CM289" t="s">
        <v>636</v>
      </c>
      <c r="CN289" t="s">
        <v>7</v>
      </c>
      <c r="CO289" t="s">
        <v>565</v>
      </c>
      <c r="CP289">
        <v>46098</v>
      </c>
      <c r="CQ289">
        <v>1</v>
      </c>
      <c r="CR289">
        <v>1</v>
      </c>
      <c r="CT289">
        <v>1</v>
      </c>
      <c r="CV289">
        <v>9.2592592592592588E-5</v>
      </c>
      <c r="CW289">
        <v>9.2592592592592588E-5</v>
      </c>
      <c r="CX289">
        <v>0.14664351851851851</v>
      </c>
      <c r="CY289">
        <v>0.16877314814814814</v>
      </c>
      <c r="CZ289">
        <v>109</v>
      </c>
      <c r="DA289">
        <v>197</v>
      </c>
      <c r="DB289">
        <v>45</v>
      </c>
      <c r="DC289" t="s">
        <v>1031</v>
      </c>
      <c r="DD289">
        <v>23818</v>
      </c>
      <c r="DE289">
        <v>0.4128</v>
      </c>
      <c r="DF289">
        <v>1</v>
      </c>
      <c r="DG289">
        <v>2.2200000000000001E-2</v>
      </c>
      <c r="DH289">
        <v>3000</v>
      </c>
      <c r="DI289">
        <v>3000</v>
      </c>
      <c r="DJ289">
        <v>3000</v>
      </c>
      <c r="DK289">
        <v>1</v>
      </c>
      <c r="DL289">
        <v>0.1371</v>
      </c>
      <c r="DM289">
        <v>84</v>
      </c>
      <c r="DN289">
        <v>3000</v>
      </c>
    </row>
    <row r="290" spans="91:118" x14ac:dyDescent="0.25">
      <c r="CM290" t="s">
        <v>636</v>
      </c>
      <c r="CN290" t="s">
        <v>7</v>
      </c>
      <c r="CO290" t="s">
        <v>549</v>
      </c>
      <c r="CP290">
        <v>46083</v>
      </c>
      <c r="CQ290">
        <v>1</v>
      </c>
      <c r="CR290">
        <v>1</v>
      </c>
      <c r="CT290">
        <v>1</v>
      </c>
      <c r="CV290">
        <v>1.1574074074074073E-5</v>
      </c>
      <c r="CW290">
        <v>1.1574074074074073E-5</v>
      </c>
      <c r="CX290">
        <v>0.2736574074074074</v>
      </c>
      <c r="CY290">
        <v>5.392361111111111E-2</v>
      </c>
      <c r="CZ290">
        <v>145</v>
      </c>
      <c r="DA290">
        <v>245</v>
      </c>
      <c r="DB290">
        <v>33</v>
      </c>
      <c r="DC290" t="s">
        <v>673</v>
      </c>
      <c r="DD290">
        <v>3982</v>
      </c>
      <c r="DE290">
        <v>0.2276</v>
      </c>
      <c r="DF290">
        <v>3</v>
      </c>
      <c r="DG290">
        <v>9.0899999999999995E-2</v>
      </c>
      <c r="DH290">
        <v>870</v>
      </c>
      <c r="DI290">
        <v>290</v>
      </c>
      <c r="DJ290">
        <v>870</v>
      </c>
      <c r="DK290">
        <v>1</v>
      </c>
      <c r="DL290">
        <v>0.41949999999999998</v>
      </c>
      <c r="DM290">
        <v>84</v>
      </c>
      <c r="DN290">
        <v>290</v>
      </c>
    </row>
    <row r="291" spans="91:118" x14ac:dyDescent="0.25">
      <c r="CM291" t="s">
        <v>636</v>
      </c>
      <c r="CN291" t="s">
        <v>7</v>
      </c>
      <c r="CO291" t="s">
        <v>549</v>
      </c>
      <c r="CP291">
        <v>46107</v>
      </c>
      <c r="CQ291">
        <v>1</v>
      </c>
      <c r="CR291">
        <v>1</v>
      </c>
      <c r="CS291">
        <v>1</v>
      </c>
      <c r="CV291">
        <v>8.6805555555555559E-3</v>
      </c>
      <c r="CW291">
        <v>8.6805555555555559E-3</v>
      </c>
      <c r="CX291">
        <v>0.19442129629629629</v>
      </c>
      <c r="CY291">
        <v>0.12795138888888888</v>
      </c>
      <c r="CZ291">
        <v>138</v>
      </c>
      <c r="DA291">
        <v>219</v>
      </c>
      <c r="DB291">
        <v>31</v>
      </c>
      <c r="DC291" t="s">
        <v>1032</v>
      </c>
      <c r="DD291">
        <v>12296</v>
      </c>
      <c r="DE291">
        <v>0.22459999999999999</v>
      </c>
      <c r="DF291">
        <v>1</v>
      </c>
      <c r="DG291">
        <v>3.2300000000000002E-2</v>
      </c>
      <c r="DH291">
        <v>1500</v>
      </c>
      <c r="DI291">
        <v>1500</v>
      </c>
      <c r="DJ291">
        <v>1500</v>
      </c>
      <c r="DK291">
        <v>1</v>
      </c>
      <c r="DL291">
        <v>0.55630000000000002</v>
      </c>
      <c r="DM291">
        <v>84</v>
      </c>
      <c r="DN291">
        <v>1500</v>
      </c>
    </row>
    <row r="292" spans="91:118" x14ac:dyDescent="0.25">
      <c r="CM292" t="s">
        <v>636</v>
      </c>
      <c r="CN292" t="s">
        <v>7</v>
      </c>
      <c r="CO292" t="s">
        <v>549</v>
      </c>
      <c r="CP292">
        <v>46111</v>
      </c>
      <c r="CQ292">
        <v>1</v>
      </c>
      <c r="CR292">
        <v>1</v>
      </c>
      <c r="CT292">
        <v>1</v>
      </c>
      <c r="CV292">
        <v>0</v>
      </c>
      <c r="CW292">
        <v>0</v>
      </c>
      <c r="CX292">
        <v>0.24934027777777779</v>
      </c>
      <c r="CY292">
        <v>0.15201388888888889</v>
      </c>
      <c r="CZ292">
        <v>267</v>
      </c>
      <c r="DA292">
        <v>366</v>
      </c>
      <c r="DB292">
        <v>41</v>
      </c>
      <c r="DC292" t="s">
        <v>1001</v>
      </c>
      <c r="DD292">
        <v>17971</v>
      </c>
      <c r="DE292">
        <v>0.15359999999999999</v>
      </c>
      <c r="DF292">
        <v>2</v>
      </c>
      <c r="DG292">
        <v>4.8800000000000003E-2</v>
      </c>
      <c r="DH292">
        <v>2000</v>
      </c>
      <c r="DI292">
        <v>1000</v>
      </c>
      <c r="DJ292">
        <v>500</v>
      </c>
      <c r="DK292">
        <v>0.25</v>
      </c>
      <c r="DL292">
        <v>2.5999999999999999E-2</v>
      </c>
      <c r="DM292">
        <v>84</v>
      </c>
      <c r="DN292">
        <v>500</v>
      </c>
    </row>
    <row r="293" spans="91:118" x14ac:dyDescent="0.25">
      <c r="CM293" t="s">
        <v>636</v>
      </c>
      <c r="CN293" t="s">
        <v>7</v>
      </c>
      <c r="CO293" t="s">
        <v>77</v>
      </c>
      <c r="CP293">
        <v>46083</v>
      </c>
      <c r="CQ293">
        <v>1</v>
      </c>
      <c r="CR293">
        <v>1</v>
      </c>
      <c r="CT293">
        <v>1</v>
      </c>
      <c r="CV293">
        <v>0</v>
      </c>
      <c r="CW293">
        <v>0</v>
      </c>
      <c r="CX293">
        <v>0.25180555555555556</v>
      </c>
      <c r="CY293">
        <v>7.6863425925925932E-2</v>
      </c>
      <c r="CZ293">
        <v>77</v>
      </c>
      <c r="DA293">
        <v>120</v>
      </c>
      <c r="DB293">
        <v>32</v>
      </c>
      <c r="DC293">
        <v>1.5625</v>
      </c>
      <c r="DD293">
        <v>22601</v>
      </c>
      <c r="DE293">
        <v>0.41560000000000002</v>
      </c>
      <c r="DF293">
        <v>8</v>
      </c>
      <c r="DG293">
        <v>0.25</v>
      </c>
      <c r="DH293">
        <v>11008</v>
      </c>
      <c r="DI293">
        <v>1376</v>
      </c>
      <c r="DJ293">
        <v>9550</v>
      </c>
      <c r="DK293">
        <v>0.86760000000000004</v>
      </c>
      <c r="DM293">
        <v>84</v>
      </c>
      <c r="DN293">
        <v>1364</v>
      </c>
    </row>
    <row r="294" spans="91:118" x14ac:dyDescent="0.25">
      <c r="CM294" t="s">
        <v>636</v>
      </c>
      <c r="CN294" t="s">
        <v>7</v>
      </c>
      <c r="CO294" t="s">
        <v>77</v>
      </c>
      <c r="CP294">
        <v>46104</v>
      </c>
      <c r="CQ294">
        <v>1</v>
      </c>
      <c r="CR294">
        <v>1</v>
      </c>
      <c r="CS294">
        <v>1</v>
      </c>
      <c r="CV294">
        <v>1.6018518518518519E-2</v>
      </c>
      <c r="CW294">
        <v>1.6018518518518519E-2</v>
      </c>
      <c r="CX294">
        <v>0.1037962962962963</v>
      </c>
      <c r="CY294">
        <v>0.21144675925925926</v>
      </c>
      <c r="CZ294">
        <v>63</v>
      </c>
      <c r="DA294">
        <v>132</v>
      </c>
      <c r="DB294">
        <v>15</v>
      </c>
      <c r="DC294" t="s">
        <v>739</v>
      </c>
      <c r="DD294">
        <v>12806</v>
      </c>
      <c r="DE294">
        <v>0.23810000000000001</v>
      </c>
      <c r="DF294">
        <v>2</v>
      </c>
      <c r="DG294">
        <v>0.1333</v>
      </c>
      <c r="DH294">
        <v>631</v>
      </c>
      <c r="DI294">
        <v>316</v>
      </c>
      <c r="DM294">
        <v>84</v>
      </c>
    </row>
    <row r="295" spans="91:118" x14ac:dyDescent="0.25">
      <c r="CM295" t="s">
        <v>636</v>
      </c>
      <c r="CN295" t="s">
        <v>7</v>
      </c>
      <c r="CO295" t="s">
        <v>77</v>
      </c>
      <c r="CP295">
        <v>46107</v>
      </c>
      <c r="CQ295">
        <v>1</v>
      </c>
      <c r="CR295">
        <v>1</v>
      </c>
      <c r="CS295">
        <v>1</v>
      </c>
      <c r="CV295">
        <v>9.7222222222222224E-3</v>
      </c>
      <c r="CW295">
        <v>9.7222222222222224E-3</v>
      </c>
      <c r="CX295">
        <v>0.17557870370370371</v>
      </c>
      <c r="CY295">
        <v>0.16013888888888889</v>
      </c>
      <c r="CZ295">
        <v>66</v>
      </c>
      <c r="DA295">
        <v>148</v>
      </c>
      <c r="DB295">
        <v>26</v>
      </c>
      <c r="DC295" t="s">
        <v>779</v>
      </c>
      <c r="DD295">
        <v>21915</v>
      </c>
      <c r="DE295">
        <v>0.39389999999999997</v>
      </c>
      <c r="DF295">
        <v>3</v>
      </c>
      <c r="DG295">
        <v>0.1154</v>
      </c>
      <c r="DH295">
        <v>3650</v>
      </c>
      <c r="DI295">
        <v>1217</v>
      </c>
      <c r="DJ295">
        <v>3000</v>
      </c>
      <c r="DK295">
        <v>0.82189999999999996</v>
      </c>
      <c r="DL295">
        <v>0.1449</v>
      </c>
      <c r="DM295">
        <v>84</v>
      </c>
      <c r="DN295">
        <v>1500</v>
      </c>
    </row>
    <row r="296" spans="91:118" x14ac:dyDescent="0.25">
      <c r="CM296" t="s">
        <v>636</v>
      </c>
      <c r="CN296" t="s">
        <v>7</v>
      </c>
      <c r="CO296" t="s">
        <v>566</v>
      </c>
      <c r="CP296">
        <v>46093</v>
      </c>
      <c r="CQ296">
        <v>1</v>
      </c>
      <c r="CR296">
        <v>1</v>
      </c>
      <c r="CS296">
        <v>1</v>
      </c>
      <c r="CV296">
        <v>1.6724537037037038E-2</v>
      </c>
      <c r="CW296">
        <v>1.6724537037037038E-2</v>
      </c>
      <c r="CX296">
        <v>0.1834375</v>
      </c>
      <c r="CY296">
        <v>0.16921296296296295</v>
      </c>
      <c r="CZ296">
        <v>80</v>
      </c>
      <c r="DA296">
        <v>175</v>
      </c>
      <c r="DB296">
        <v>39</v>
      </c>
      <c r="DC296" t="s">
        <v>1033</v>
      </c>
      <c r="DD296">
        <v>4613</v>
      </c>
      <c r="DE296">
        <v>0.48749999999999999</v>
      </c>
      <c r="DF296">
        <v>3</v>
      </c>
      <c r="DG296">
        <v>7.6899999999999996E-2</v>
      </c>
      <c r="DH296">
        <v>3350</v>
      </c>
      <c r="DI296">
        <v>1117</v>
      </c>
      <c r="DJ296">
        <v>3350</v>
      </c>
      <c r="DK296">
        <v>1</v>
      </c>
      <c r="DL296">
        <v>0.123</v>
      </c>
      <c r="DM296">
        <v>84</v>
      </c>
      <c r="DN296">
        <v>1117</v>
      </c>
    </row>
    <row r="297" spans="91:118" x14ac:dyDescent="0.25">
      <c r="CM297" t="s">
        <v>636</v>
      </c>
      <c r="CN297" t="s">
        <v>7</v>
      </c>
      <c r="CO297" t="s">
        <v>566</v>
      </c>
      <c r="CP297">
        <v>46100</v>
      </c>
      <c r="CQ297">
        <v>1</v>
      </c>
      <c r="CR297">
        <v>1</v>
      </c>
      <c r="CS297">
        <v>1</v>
      </c>
      <c r="CV297">
        <v>1.5810185185185184E-2</v>
      </c>
      <c r="CW297">
        <v>1.5810185185185184E-2</v>
      </c>
      <c r="CX297">
        <v>0.18167824074074074</v>
      </c>
      <c r="CY297">
        <v>0.15635416666666666</v>
      </c>
      <c r="CZ297">
        <v>92</v>
      </c>
      <c r="DA297">
        <v>196</v>
      </c>
      <c r="DB297">
        <v>20</v>
      </c>
      <c r="DC297">
        <v>2.0499999999999998</v>
      </c>
      <c r="DD297">
        <v>11223</v>
      </c>
      <c r="DE297">
        <v>0.21740000000000001</v>
      </c>
      <c r="DF297">
        <v>1</v>
      </c>
      <c r="DG297">
        <v>0.05</v>
      </c>
      <c r="DH297">
        <v>600</v>
      </c>
      <c r="DI297">
        <v>600</v>
      </c>
      <c r="DJ297">
        <v>600</v>
      </c>
      <c r="DK297">
        <v>1</v>
      </c>
      <c r="DL297">
        <v>0.1608</v>
      </c>
      <c r="DM297">
        <v>84</v>
      </c>
      <c r="DN297">
        <v>600</v>
      </c>
    </row>
    <row r="298" spans="91:118" x14ac:dyDescent="0.25">
      <c r="CM298" t="s">
        <v>636</v>
      </c>
      <c r="CN298" t="s">
        <v>7</v>
      </c>
      <c r="CO298" t="s">
        <v>566</v>
      </c>
      <c r="CP298">
        <v>46104</v>
      </c>
      <c r="CQ298">
        <v>1</v>
      </c>
      <c r="CR298">
        <v>1</v>
      </c>
      <c r="CS298">
        <v>1</v>
      </c>
      <c r="CV298">
        <v>6.030092592592593E-3</v>
      </c>
      <c r="CW298">
        <v>6.030092592592593E-3</v>
      </c>
      <c r="CX298">
        <v>0.16869212962962962</v>
      </c>
      <c r="CY298">
        <v>0.16068287037037038</v>
      </c>
      <c r="CZ298">
        <v>126</v>
      </c>
      <c r="DA298">
        <v>215</v>
      </c>
      <c r="DB298">
        <v>36</v>
      </c>
      <c r="DC298">
        <v>1.25</v>
      </c>
      <c r="DD298">
        <v>15831</v>
      </c>
      <c r="DE298">
        <v>0.28570000000000001</v>
      </c>
      <c r="DF298">
        <v>1</v>
      </c>
      <c r="DG298">
        <v>2.7799999999999998E-2</v>
      </c>
      <c r="DH298">
        <v>230</v>
      </c>
      <c r="DI298">
        <v>230</v>
      </c>
      <c r="DJ298">
        <v>230</v>
      </c>
      <c r="DK298">
        <v>1</v>
      </c>
      <c r="DL298">
        <v>0.1852</v>
      </c>
      <c r="DM298">
        <v>84</v>
      </c>
      <c r="DN298">
        <v>230</v>
      </c>
    </row>
    <row r="299" spans="91:118" x14ac:dyDescent="0.25">
      <c r="CM299" t="s">
        <v>636</v>
      </c>
      <c r="CN299" t="s">
        <v>7</v>
      </c>
      <c r="CO299" t="s">
        <v>73</v>
      </c>
      <c r="CP299">
        <v>46083</v>
      </c>
      <c r="CQ299">
        <v>1</v>
      </c>
      <c r="CR299">
        <v>1</v>
      </c>
      <c r="CT299">
        <v>1</v>
      </c>
      <c r="CV299">
        <v>1.9675925925925926E-4</v>
      </c>
      <c r="CW299">
        <v>1.9675925925925926E-4</v>
      </c>
      <c r="CX299">
        <v>0.21966435185185185</v>
      </c>
      <c r="CY299">
        <v>0.10366898148148149</v>
      </c>
      <c r="CZ299">
        <v>47</v>
      </c>
      <c r="DA299">
        <v>66</v>
      </c>
      <c r="DB299">
        <v>18</v>
      </c>
      <c r="DC299" t="s">
        <v>718</v>
      </c>
      <c r="DD299">
        <v>18515</v>
      </c>
      <c r="DE299">
        <v>0.38300000000000001</v>
      </c>
      <c r="DF299">
        <v>5</v>
      </c>
      <c r="DG299">
        <v>0.27779999999999999</v>
      </c>
      <c r="DH299">
        <v>7050</v>
      </c>
      <c r="DI299">
        <v>1410</v>
      </c>
      <c r="DJ299">
        <v>5800</v>
      </c>
      <c r="DK299">
        <v>0.82269999999999999</v>
      </c>
      <c r="DM299">
        <v>84</v>
      </c>
      <c r="DN299">
        <v>1450</v>
      </c>
    </row>
    <row r="300" spans="91:118" x14ac:dyDescent="0.25">
      <c r="CM300" t="s">
        <v>636</v>
      </c>
      <c r="CN300" t="s">
        <v>7</v>
      </c>
      <c r="CO300" t="s">
        <v>73</v>
      </c>
      <c r="CP300">
        <v>46105</v>
      </c>
      <c r="CQ300">
        <v>1</v>
      </c>
      <c r="CR300">
        <v>1</v>
      </c>
      <c r="CS300">
        <v>1</v>
      </c>
      <c r="CV300">
        <v>7.5925925925925926E-3</v>
      </c>
      <c r="CW300">
        <v>7.5925925925925926E-3</v>
      </c>
      <c r="CX300">
        <v>0.2381712962962963</v>
      </c>
      <c r="CY300">
        <v>0.16101851851851851</v>
      </c>
      <c r="CZ300">
        <v>73</v>
      </c>
      <c r="DA300">
        <v>128</v>
      </c>
      <c r="DB300">
        <v>23</v>
      </c>
      <c r="DC300" t="s">
        <v>849</v>
      </c>
      <c r="DD300">
        <v>17969</v>
      </c>
      <c r="DE300">
        <v>0.31509999999999999</v>
      </c>
      <c r="DF300">
        <v>4</v>
      </c>
      <c r="DG300">
        <v>0.1739</v>
      </c>
      <c r="DH300">
        <v>4300</v>
      </c>
      <c r="DI300">
        <v>1075</v>
      </c>
      <c r="DJ300">
        <v>2500</v>
      </c>
      <c r="DK300">
        <v>0.58140000000000003</v>
      </c>
      <c r="DL300">
        <v>0.1076</v>
      </c>
      <c r="DM300">
        <v>84</v>
      </c>
      <c r="DN300">
        <v>2500</v>
      </c>
    </row>
    <row r="301" spans="91:118" x14ac:dyDescent="0.25">
      <c r="CM301" t="s">
        <v>636</v>
      </c>
      <c r="CN301" t="s">
        <v>7</v>
      </c>
      <c r="CO301" t="s">
        <v>73</v>
      </c>
      <c r="CP301">
        <v>46112</v>
      </c>
      <c r="CQ301">
        <v>1</v>
      </c>
      <c r="CR301">
        <v>1</v>
      </c>
      <c r="CS301">
        <v>1</v>
      </c>
      <c r="CV301">
        <v>9.5138888888888894E-3</v>
      </c>
      <c r="CW301">
        <v>9.5138888888888894E-3</v>
      </c>
      <c r="CX301">
        <v>0.13804398148148148</v>
      </c>
      <c r="CY301">
        <v>0.22819444444444445</v>
      </c>
      <c r="CZ301">
        <v>63</v>
      </c>
      <c r="DA301">
        <v>97</v>
      </c>
      <c r="DB301">
        <v>15</v>
      </c>
      <c r="DC301" t="s">
        <v>723</v>
      </c>
      <c r="DD301">
        <v>23229</v>
      </c>
      <c r="DE301">
        <v>0.23810000000000001</v>
      </c>
      <c r="DF301">
        <v>1</v>
      </c>
      <c r="DG301">
        <v>6.6699999999999995E-2</v>
      </c>
      <c r="DH301">
        <v>1800</v>
      </c>
      <c r="DI301">
        <v>1800</v>
      </c>
      <c r="DJ301">
        <v>1800</v>
      </c>
      <c r="DK301">
        <v>1</v>
      </c>
      <c r="DL301">
        <v>0.18</v>
      </c>
      <c r="DM301">
        <v>84</v>
      </c>
      <c r="DN301">
        <v>1800</v>
      </c>
    </row>
    <row r="302" spans="91:118" x14ac:dyDescent="0.25">
      <c r="CM302" t="s">
        <v>636</v>
      </c>
      <c r="CN302" t="s">
        <v>7</v>
      </c>
      <c r="CO302" t="s">
        <v>557</v>
      </c>
      <c r="CP302">
        <v>46100</v>
      </c>
      <c r="CQ302">
        <v>1</v>
      </c>
      <c r="CR302">
        <v>1</v>
      </c>
      <c r="CT302">
        <v>1</v>
      </c>
      <c r="CV302">
        <v>0</v>
      </c>
      <c r="CW302">
        <v>0</v>
      </c>
      <c r="CX302">
        <v>0.20177083333333334</v>
      </c>
      <c r="CY302">
        <v>0.15393518518518517</v>
      </c>
      <c r="CZ302">
        <v>130</v>
      </c>
      <c r="DA302">
        <v>261</v>
      </c>
      <c r="DB302">
        <v>31</v>
      </c>
      <c r="DC302" t="s">
        <v>972</v>
      </c>
      <c r="DD302">
        <v>6742</v>
      </c>
      <c r="DE302">
        <v>0.23849999999999999</v>
      </c>
      <c r="DF302">
        <v>1</v>
      </c>
      <c r="DG302">
        <v>3.2300000000000002E-2</v>
      </c>
      <c r="DH302">
        <v>50</v>
      </c>
      <c r="DI302">
        <v>50</v>
      </c>
      <c r="DJ302">
        <v>50</v>
      </c>
      <c r="DK302">
        <v>1</v>
      </c>
      <c r="DL302">
        <v>0.48799999999999999</v>
      </c>
      <c r="DM302">
        <v>84</v>
      </c>
      <c r="DN302">
        <v>50</v>
      </c>
    </row>
    <row r="303" spans="91:118" x14ac:dyDescent="0.25">
      <c r="CM303" t="s">
        <v>636</v>
      </c>
      <c r="CN303" t="s">
        <v>7</v>
      </c>
      <c r="CO303" t="s">
        <v>557</v>
      </c>
      <c r="CP303">
        <v>46106</v>
      </c>
      <c r="CQ303">
        <v>1</v>
      </c>
      <c r="CR303">
        <v>1</v>
      </c>
      <c r="CT303">
        <v>1</v>
      </c>
      <c r="CV303">
        <v>3.8194444444444446E-4</v>
      </c>
      <c r="CW303">
        <v>3.8194444444444446E-4</v>
      </c>
      <c r="CX303">
        <v>0.12648148148148147</v>
      </c>
      <c r="CY303">
        <v>0.21057870370370371</v>
      </c>
      <c r="CZ303">
        <v>74</v>
      </c>
      <c r="DA303">
        <v>142</v>
      </c>
      <c r="DB303">
        <v>20</v>
      </c>
      <c r="DC303">
        <v>1.65</v>
      </c>
      <c r="DD303">
        <v>12447</v>
      </c>
      <c r="DE303">
        <v>0.27029999999999998</v>
      </c>
      <c r="DF303">
        <v>1</v>
      </c>
      <c r="DG303">
        <v>0.05</v>
      </c>
      <c r="DH303">
        <v>350</v>
      </c>
      <c r="DI303">
        <v>350</v>
      </c>
      <c r="DJ303">
        <v>350</v>
      </c>
      <c r="DK303">
        <v>1</v>
      </c>
      <c r="DL303">
        <v>0.33019999999999999</v>
      </c>
      <c r="DM303">
        <v>84</v>
      </c>
      <c r="DN303">
        <v>350</v>
      </c>
    </row>
    <row r="304" spans="91:118" x14ac:dyDescent="0.25">
      <c r="CM304" t="s">
        <v>636</v>
      </c>
      <c r="CN304" t="s">
        <v>7</v>
      </c>
      <c r="CO304" t="s">
        <v>48</v>
      </c>
      <c r="CP304">
        <v>46087</v>
      </c>
      <c r="CQ304">
        <v>1</v>
      </c>
      <c r="CR304">
        <v>1</v>
      </c>
      <c r="CT304">
        <v>1</v>
      </c>
      <c r="CV304">
        <v>1.6203703703703703E-4</v>
      </c>
      <c r="CW304">
        <v>1.6203703703703703E-4</v>
      </c>
      <c r="CX304">
        <v>0.18746527777777777</v>
      </c>
      <c r="CY304">
        <v>0.15060185185185185</v>
      </c>
      <c r="CZ304">
        <v>45</v>
      </c>
      <c r="DA304">
        <v>74</v>
      </c>
      <c r="DB304">
        <v>15</v>
      </c>
      <c r="DC304" t="s">
        <v>739</v>
      </c>
      <c r="DD304">
        <v>19087</v>
      </c>
      <c r="DE304">
        <v>0.33329999999999999</v>
      </c>
      <c r="DF304">
        <v>2</v>
      </c>
      <c r="DG304">
        <v>0.1333</v>
      </c>
      <c r="DH304">
        <v>3800</v>
      </c>
      <c r="DI304">
        <v>1900</v>
      </c>
      <c r="DJ304">
        <v>3300</v>
      </c>
      <c r="DK304">
        <v>0.86839999999999995</v>
      </c>
      <c r="DL304">
        <v>0.28520000000000001</v>
      </c>
      <c r="DM304">
        <v>84</v>
      </c>
      <c r="DN304">
        <v>3300</v>
      </c>
    </row>
    <row r="305" spans="91:118" x14ac:dyDescent="0.25">
      <c r="CM305" t="s">
        <v>636</v>
      </c>
      <c r="CN305" t="s">
        <v>7</v>
      </c>
      <c r="CO305" t="s">
        <v>48</v>
      </c>
      <c r="CP305">
        <v>46093</v>
      </c>
      <c r="CQ305">
        <v>1</v>
      </c>
      <c r="CR305">
        <v>1</v>
      </c>
      <c r="CT305">
        <v>1</v>
      </c>
      <c r="CV305">
        <v>1.0416666666666667E-4</v>
      </c>
      <c r="CW305">
        <v>1.0416666666666667E-4</v>
      </c>
      <c r="CX305">
        <v>0.23210648148148147</v>
      </c>
      <c r="CY305">
        <v>0.13012731481481482</v>
      </c>
      <c r="CZ305">
        <v>70</v>
      </c>
      <c r="DA305">
        <v>107</v>
      </c>
      <c r="DB305">
        <v>32</v>
      </c>
      <c r="DC305">
        <v>1.78125</v>
      </c>
      <c r="DD305">
        <v>17031</v>
      </c>
      <c r="DE305">
        <v>0.45710000000000001</v>
      </c>
      <c r="DF305">
        <v>1</v>
      </c>
      <c r="DG305">
        <v>3.1300000000000001E-2</v>
      </c>
      <c r="DH305">
        <v>300</v>
      </c>
      <c r="DI305">
        <v>300</v>
      </c>
      <c r="DJ305">
        <v>300</v>
      </c>
      <c r="DK305">
        <v>1</v>
      </c>
      <c r="DL305">
        <v>0.44119999999999998</v>
      </c>
      <c r="DM305">
        <v>84</v>
      </c>
      <c r="DN305">
        <v>300</v>
      </c>
    </row>
    <row r="306" spans="91:118" x14ac:dyDescent="0.25">
      <c r="CM306" t="s">
        <v>636</v>
      </c>
      <c r="CN306" t="s">
        <v>7</v>
      </c>
      <c r="CO306" t="s">
        <v>48</v>
      </c>
      <c r="CP306">
        <v>46106</v>
      </c>
      <c r="CQ306">
        <v>1</v>
      </c>
      <c r="CR306">
        <v>1</v>
      </c>
      <c r="CT306">
        <v>1</v>
      </c>
      <c r="CV306">
        <v>0</v>
      </c>
      <c r="CW306">
        <v>0</v>
      </c>
      <c r="CX306">
        <v>0.15052083333333333</v>
      </c>
      <c r="CY306">
        <v>0.18347222222222223</v>
      </c>
      <c r="CZ306">
        <v>65</v>
      </c>
      <c r="DA306">
        <v>91</v>
      </c>
      <c r="DB306">
        <v>18</v>
      </c>
      <c r="DC306" t="s">
        <v>726</v>
      </c>
      <c r="DD306">
        <v>20519</v>
      </c>
      <c r="DE306">
        <v>0.27689999999999998</v>
      </c>
      <c r="DF306">
        <v>1</v>
      </c>
      <c r="DG306">
        <v>5.5599999999999997E-2</v>
      </c>
      <c r="DH306">
        <v>800</v>
      </c>
      <c r="DI306">
        <v>800</v>
      </c>
      <c r="DJ306">
        <v>800</v>
      </c>
      <c r="DK306">
        <v>1</v>
      </c>
      <c r="DL306">
        <v>0.501</v>
      </c>
      <c r="DM306">
        <v>84</v>
      </c>
      <c r="DN306">
        <v>800</v>
      </c>
    </row>
    <row r="307" spans="91:118" x14ac:dyDescent="0.25">
      <c r="CM307" t="s">
        <v>636</v>
      </c>
      <c r="CN307" t="s">
        <v>3</v>
      </c>
      <c r="CO307" t="s">
        <v>174</v>
      </c>
      <c r="CP307">
        <v>46093</v>
      </c>
      <c r="CQ307">
        <v>1</v>
      </c>
      <c r="CR307">
        <v>1</v>
      </c>
      <c r="CT307">
        <v>1</v>
      </c>
      <c r="CV307">
        <v>1.1574074074074073E-5</v>
      </c>
      <c r="CW307">
        <v>1.1574074074074073E-5</v>
      </c>
      <c r="CX307">
        <v>0.22232638888888889</v>
      </c>
      <c r="CY307">
        <v>0.12165509259259259</v>
      </c>
      <c r="CZ307">
        <v>183</v>
      </c>
      <c r="DA307">
        <v>277</v>
      </c>
      <c r="DB307">
        <v>30</v>
      </c>
      <c r="DC307" t="s">
        <v>808</v>
      </c>
      <c r="DD307">
        <v>20098</v>
      </c>
      <c r="DE307">
        <v>0.16389999999999999</v>
      </c>
      <c r="DF307">
        <v>1</v>
      </c>
      <c r="DG307">
        <v>3.3300000000000003E-2</v>
      </c>
      <c r="DH307">
        <v>380</v>
      </c>
      <c r="DI307">
        <v>380</v>
      </c>
      <c r="DJ307">
        <v>380</v>
      </c>
      <c r="DK307">
        <v>1</v>
      </c>
      <c r="DL307">
        <v>0.52590000000000003</v>
      </c>
      <c r="DM307">
        <v>84</v>
      </c>
      <c r="DN307">
        <v>380</v>
      </c>
    </row>
    <row r="308" spans="91:118" x14ac:dyDescent="0.25">
      <c r="CM308" t="s">
        <v>636</v>
      </c>
      <c r="CN308" t="s">
        <v>3</v>
      </c>
      <c r="CO308" t="s">
        <v>493</v>
      </c>
      <c r="CP308">
        <v>46085</v>
      </c>
      <c r="CQ308">
        <v>1</v>
      </c>
      <c r="CR308">
        <v>1</v>
      </c>
      <c r="CT308">
        <v>1</v>
      </c>
      <c r="CV308">
        <v>0</v>
      </c>
      <c r="CW308">
        <v>0</v>
      </c>
      <c r="CX308">
        <v>0.28037037037037038</v>
      </c>
      <c r="CY308">
        <v>7.137731481481481E-2</v>
      </c>
      <c r="CZ308">
        <v>199</v>
      </c>
      <c r="DA308">
        <v>242</v>
      </c>
      <c r="DB308">
        <v>38</v>
      </c>
      <c r="DC308" t="s">
        <v>951</v>
      </c>
      <c r="DD308">
        <v>17560</v>
      </c>
      <c r="DE308">
        <v>0.191</v>
      </c>
      <c r="DF308">
        <v>2</v>
      </c>
      <c r="DG308">
        <v>5.2600000000000001E-2</v>
      </c>
      <c r="DH308">
        <v>12300</v>
      </c>
      <c r="DI308">
        <v>6150</v>
      </c>
      <c r="DJ308">
        <v>12300</v>
      </c>
      <c r="DK308">
        <v>1</v>
      </c>
      <c r="DL308">
        <v>0.1716</v>
      </c>
      <c r="DM308">
        <v>84</v>
      </c>
      <c r="DN308">
        <v>6150</v>
      </c>
    </row>
    <row r="309" spans="91:118" x14ac:dyDescent="0.25">
      <c r="CM309" t="s">
        <v>636</v>
      </c>
      <c r="CN309" t="s">
        <v>3</v>
      </c>
      <c r="CO309" t="s">
        <v>493</v>
      </c>
      <c r="CP309">
        <v>46099</v>
      </c>
      <c r="CQ309">
        <v>1</v>
      </c>
      <c r="CR309">
        <v>1</v>
      </c>
      <c r="CT309">
        <v>1</v>
      </c>
      <c r="CV309">
        <v>0</v>
      </c>
      <c r="CW309">
        <v>0</v>
      </c>
      <c r="CX309">
        <v>0.31631944444444443</v>
      </c>
      <c r="CY309">
        <v>9.2048611111111109E-2</v>
      </c>
      <c r="CZ309">
        <v>194</v>
      </c>
      <c r="DA309">
        <v>262</v>
      </c>
      <c r="DB309">
        <v>30</v>
      </c>
      <c r="DC309" t="s">
        <v>1011</v>
      </c>
      <c r="DD309">
        <v>27252</v>
      </c>
      <c r="DE309">
        <v>0.15459999999999999</v>
      </c>
      <c r="DF309">
        <v>1</v>
      </c>
      <c r="DG309">
        <v>3.3300000000000003E-2</v>
      </c>
      <c r="DH309">
        <v>300</v>
      </c>
      <c r="DI309">
        <v>300</v>
      </c>
      <c r="DJ309">
        <v>300</v>
      </c>
      <c r="DK309">
        <v>1</v>
      </c>
      <c r="DL309">
        <v>0.89610000000000001</v>
      </c>
      <c r="DM309">
        <v>84</v>
      </c>
      <c r="DN309">
        <v>300</v>
      </c>
    </row>
    <row r="310" spans="91:118" x14ac:dyDescent="0.25">
      <c r="CM310" t="s">
        <v>636</v>
      </c>
      <c r="CN310" t="s">
        <v>3</v>
      </c>
      <c r="CO310" t="s">
        <v>32</v>
      </c>
      <c r="CP310">
        <v>46107</v>
      </c>
      <c r="CQ310">
        <v>1</v>
      </c>
      <c r="CR310">
        <v>1</v>
      </c>
      <c r="CT310">
        <v>1</v>
      </c>
      <c r="CV310">
        <v>1.5046296296296297E-4</v>
      </c>
      <c r="CW310">
        <v>1.5046296296296297E-4</v>
      </c>
      <c r="CX310">
        <v>0.20321759259259259</v>
      </c>
      <c r="CY310">
        <v>0.14935185185185185</v>
      </c>
      <c r="CZ310">
        <v>79</v>
      </c>
      <c r="DA310">
        <v>161</v>
      </c>
      <c r="DB310">
        <v>32</v>
      </c>
      <c r="DC310">
        <v>1.53125</v>
      </c>
      <c r="DD310">
        <v>25567</v>
      </c>
      <c r="DE310">
        <v>0.40510000000000002</v>
      </c>
      <c r="DF310">
        <v>3</v>
      </c>
      <c r="DG310">
        <v>9.3799999999999994E-2</v>
      </c>
      <c r="DH310">
        <v>7900</v>
      </c>
      <c r="DI310">
        <v>2633</v>
      </c>
      <c r="DJ310">
        <v>7900</v>
      </c>
      <c r="DK310">
        <v>1</v>
      </c>
      <c r="DL310">
        <v>0.249</v>
      </c>
      <c r="DM310">
        <v>84</v>
      </c>
      <c r="DN310">
        <v>2633</v>
      </c>
    </row>
    <row r="311" spans="91:118" x14ac:dyDescent="0.25">
      <c r="CM311" t="s">
        <v>636</v>
      </c>
      <c r="CN311" t="s">
        <v>3</v>
      </c>
      <c r="CO311" t="s">
        <v>96</v>
      </c>
      <c r="CP311">
        <v>46087</v>
      </c>
      <c r="CQ311">
        <v>1</v>
      </c>
      <c r="CR311">
        <v>1</v>
      </c>
      <c r="CT311">
        <v>1</v>
      </c>
      <c r="CV311">
        <v>9.4907407407407408E-4</v>
      </c>
      <c r="CW311">
        <v>9.4907407407407408E-4</v>
      </c>
      <c r="CX311">
        <v>0.28207175925925926</v>
      </c>
      <c r="CY311">
        <v>7.3472222222222217E-2</v>
      </c>
      <c r="CZ311">
        <v>80</v>
      </c>
      <c r="DA311">
        <v>183</v>
      </c>
      <c r="DB311">
        <v>12</v>
      </c>
      <c r="DC311" t="s">
        <v>674</v>
      </c>
      <c r="DD311">
        <v>15774</v>
      </c>
      <c r="DE311">
        <v>0.15</v>
      </c>
      <c r="DF311">
        <v>1</v>
      </c>
      <c r="DG311">
        <v>8.3299999999999999E-2</v>
      </c>
      <c r="DH311">
        <v>1700</v>
      </c>
      <c r="DI311">
        <v>1700</v>
      </c>
      <c r="DJ311">
        <v>1700</v>
      </c>
      <c r="DK311">
        <v>1</v>
      </c>
      <c r="DL311">
        <v>0.19289999999999999</v>
      </c>
      <c r="DM311">
        <v>84</v>
      </c>
      <c r="DN311">
        <v>1700</v>
      </c>
    </row>
    <row r="312" spans="91:118" x14ac:dyDescent="0.25">
      <c r="CM312" t="s">
        <v>636</v>
      </c>
      <c r="CN312" t="s">
        <v>3</v>
      </c>
      <c r="CO312" t="s">
        <v>96</v>
      </c>
      <c r="CP312">
        <v>46092</v>
      </c>
      <c r="CQ312">
        <v>1</v>
      </c>
      <c r="CR312">
        <v>1</v>
      </c>
      <c r="CT312">
        <v>1</v>
      </c>
      <c r="CV312">
        <v>0</v>
      </c>
      <c r="CW312">
        <v>0</v>
      </c>
      <c r="CX312">
        <v>0.23010416666666667</v>
      </c>
      <c r="CY312">
        <v>0.14881944444444445</v>
      </c>
      <c r="CZ312">
        <v>64</v>
      </c>
      <c r="DA312">
        <v>167</v>
      </c>
      <c r="DB312">
        <v>14</v>
      </c>
      <c r="DC312" t="s">
        <v>762</v>
      </c>
      <c r="DD312">
        <v>15678</v>
      </c>
      <c r="DE312">
        <v>0.21879999999999999</v>
      </c>
      <c r="DF312">
        <v>1</v>
      </c>
      <c r="DG312">
        <v>7.1400000000000005E-2</v>
      </c>
      <c r="DH312">
        <v>1000</v>
      </c>
      <c r="DI312">
        <v>1000</v>
      </c>
      <c r="DJ312">
        <v>1000</v>
      </c>
      <c r="DK312">
        <v>1</v>
      </c>
      <c r="DL312">
        <v>0.28289999999999998</v>
      </c>
      <c r="DM312">
        <v>84</v>
      </c>
      <c r="DN312">
        <v>1000</v>
      </c>
    </row>
    <row r="313" spans="91:118" x14ac:dyDescent="0.25">
      <c r="CM313" t="s">
        <v>636</v>
      </c>
      <c r="CN313" t="s">
        <v>3</v>
      </c>
      <c r="CO313" t="s">
        <v>38</v>
      </c>
      <c r="CP313">
        <v>46100</v>
      </c>
      <c r="CQ313">
        <v>1</v>
      </c>
      <c r="CR313">
        <v>1</v>
      </c>
      <c r="CT313">
        <v>1</v>
      </c>
      <c r="CV313">
        <v>1.273148148148148E-4</v>
      </c>
      <c r="CW313">
        <v>1.273148148148148E-4</v>
      </c>
      <c r="CX313">
        <v>0.21744212962962964</v>
      </c>
      <c r="CY313">
        <v>0.13896990740740742</v>
      </c>
      <c r="CZ313">
        <v>101</v>
      </c>
      <c r="DA313">
        <v>130</v>
      </c>
      <c r="DB313">
        <v>34</v>
      </c>
      <c r="DC313" t="s">
        <v>891</v>
      </c>
      <c r="DD313">
        <v>17539</v>
      </c>
      <c r="DE313">
        <v>0.33660000000000001</v>
      </c>
      <c r="DF313">
        <v>3</v>
      </c>
      <c r="DG313">
        <v>8.8200000000000001E-2</v>
      </c>
      <c r="DH313">
        <v>18000</v>
      </c>
      <c r="DI313">
        <v>6000</v>
      </c>
      <c r="DJ313">
        <v>18000</v>
      </c>
      <c r="DK313">
        <v>1</v>
      </c>
      <c r="DL313">
        <v>0.2329</v>
      </c>
      <c r="DM313">
        <v>84</v>
      </c>
      <c r="DN313">
        <v>6000</v>
      </c>
    </row>
    <row r="314" spans="91:118" x14ac:dyDescent="0.25">
      <c r="CM314" t="s">
        <v>636</v>
      </c>
      <c r="CN314" t="s">
        <v>3</v>
      </c>
      <c r="CO314" t="s">
        <v>79</v>
      </c>
      <c r="CP314">
        <v>46086</v>
      </c>
      <c r="CQ314">
        <v>1</v>
      </c>
      <c r="CR314">
        <v>1</v>
      </c>
      <c r="CT314">
        <v>1</v>
      </c>
      <c r="CV314">
        <v>4.9768518518518521E-4</v>
      </c>
      <c r="CW314">
        <v>4.9768518518518521E-4</v>
      </c>
      <c r="CX314">
        <v>0.26703703703703702</v>
      </c>
      <c r="CY314">
        <v>9.5358796296296303E-2</v>
      </c>
      <c r="CZ314">
        <v>84</v>
      </c>
      <c r="DA314">
        <v>178</v>
      </c>
      <c r="DB314">
        <v>20</v>
      </c>
      <c r="DC314">
        <v>1.9</v>
      </c>
      <c r="DD314">
        <v>26341</v>
      </c>
      <c r="DE314">
        <v>0.23810000000000001</v>
      </c>
      <c r="DF314">
        <v>2</v>
      </c>
      <c r="DG314">
        <v>0.1</v>
      </c>
      <c r="DH314">
        <v>10800</v>
      </c>
      <c r="DI314">
        <v>5400</v>
      </c>
      <c r="DJ314">
        <v>10500</v>
      </c>
      <c r="DK314">
        <v>0.97219999999999995</v>
      </c>
      <c r="DL314">
        <v>0.182</v>
      </c>
      <c r="DM314">
        <v>84</v>
      </c>
      <c r="DN314">
        <v>10500</v>
      </c>
    </row>
    <row r="315" spans="91:118" x14ac:dyDescent="0.25">
      <c r="CM315" t="s">
        <v>636</v>
      </c>
      <c r="CN315" t="s">
        <v>3</v>
      </c>
      <c r="CO315" t="s">
        <v>79</v>
      </c>
      <c r="CP315">
        <v>46097</v>
      </c>
      <c r="CQ315">
        <v>1</v>
      </c>
      <c r="CR315">
        <v>1</v>
      </c>
      <c r="CS315">
        <v>1</v>
      </c>
      <c r="CV315">
        <v>0.19422453703703704</v>
      </c>
      <c r="CW315">
        <v>0.19422453703703704</v>
      </c>
      <c r="CX315">
        <v>0.19512731481481482</v>
      </c>
      <c r="CY315">
        <v>3.2986111111111112E-2</v>
      </c>
      <c r="CZ315">
        <v>58</v>
      </c>
      <c r="DA315">
        <v>104</v>
      </c>
      <c r="DB315">
        <v>25</v>
      </c>
      <c r="DC315">
        <v>1.76</v>
      </c>
      <c r="DD315">
        <v>27021</v>
      </c>
      <c r="DE315">
        <v>0.43099999999999999</v>
      </c>
      <c r="DF315">
        <v>1</v>
      </c>
      <c r="DG315">
        <v>0.04</v>
      </c>
      <c r="DH315">
        <v>20000</v>
      </c>
      <c r="DI315">
        <v>20000</v>
      </c>
      <c r="DJ315">
        <v>20000</v>
      </c>
      <c r="DK315">
        <v>1</v>
      </c>
      <c r="DL315">
        <v>0.18329999999999999</v>
      </c>
      <c r="DM315">
        <v>84</v>
      </c>
      <c r="DN315">
        <v>20000</v>
      </c>
    </row>
    <row r="316" spans="91:118" x14ac:dyDescent="0.25">
      <c r="CM316" t="s">
        <v>636</v>
      </c>
      <c r="CN316" t="s">
        <v>3</v>
      </c>
      <c r="CO316" t="s">
        <v>76</v>
      </c>
      <c r="CP316">
        <v>46087</v>
      </c>
      <c r="CQ316">
        <v>1</v>
      </c>
      <c r="CR316">
        <v>1</v>
      </c>
      <c r="CT316">
        <v>1</v>
      </c>
      <c r="CV316">
        <v>0</v>
      </c>
      <c r="CW316">
        <v>0</v>
      </c>
      <c r="CX316">
        <v>0.23993055555555556</v>
      </c>
      <c r="CY316">
        <v>7.5636574074074078E-2</v>
      </c>
      <c r="CZ316">
        <v>40</v>
      </c>
      <c r="DA316">
        <v>60</v>
      </c>
      <c r="DB316">
        <v>9</v>
      </c>
      <c r="DC316" t="s">
        <v>690</v>
      </c>
      <c r="DD316">
        <v>25396</v>
      </c>
      <c r="DE316">
        <v>0.22500000000000001</v>
      </c>
      <c r="DF316">
        <v>1</v>
      </c>
      <c r="DG316">
        <v>0.1111</v>
      </c>
      <c r="DH316">
        <v>1500</v>
      </c>
      <c r="DI316">
        <v>1500</v>
      </c>
      <c r="DJ316">
        <v>1500</v>
      </c>
      <c r="DK316">
        <v>1</v>
      </c>
      <c r="DM316">
        <v>84</v>
      </c>
      <c r="DN316">
        <v>1500</v>
      </c>
    </row>
    <row r="317" spans="91:118" x14ac:dyDescent="0.25">
      <c r="CM317" t="s">
        <v>636</v>
      </c>
      <c r="CN317" t="s">
        <v>125</v>
      </c>
      <c r="CO317" t="s">
        <v>18</v>
      </c>
      <c r="CP317">
        <v>46085</v>
      </c>
      <c r="CQ317">
        <v>1</v>
      </c>
      <c r="CR317">
        <v>1</v>
      </c>
      <c r="CT317">
        <v>1</v>
      </c>
      <c r="CV317">
        <v>4.6296296296296294E-5</v>
      </c>
      <c r="CW317">
        <v>4.6296296296296294E-5</v>
      </c>
      <c r="CX317">
        <v>0.25068287037037035</v>
      </c>
      <c r="CY317">
        <v>7.8692129629629626E-2</v>
      </c>
      <c r="CZ317">
        <v>175</v>
      </c>
      <c r="DA317">
        <v>308</v>
      </c>
      <c r="DB317">
        <v>30</v>
      </c>
      <c r="DC317" t="s">
        <v>1008</v>
      </c>
      <c r="DD317">
        <v>21170</v>
      </c>
      <c r="DE317">
        <v>0.1714</v>
      </c>
      <c r="DM317">
        <v>82</v>
      </c>
    </row>
    <row r="318" spans="91:118" x14ac:dyDescent="0.25">
      <c r="CM318" t="s">
        <v>636</v>
      </c>
      <c r="CN318" t="s">
        <v>125</v>
      </c>
      <c r="CO318" t="s">
        <v>109</v>
      </c>
      <c r="CP318">
        <v>46084</v>
      </c>
      <c r="CQ318">
        <v>1</v>
      </c>
      <c r="CR318">
        <v>1</v>
      </c>
      <c r="CS318">
        <v>1</v>
      </c>
      <c r="CV318">
        <v>6.2615740740740739E-3</v>
      </c>
      <c r="CW318">
        <v>6.2615740740740739E-3</v>
      </c>
      <c r="CX318">
        <v>0.32708333333333334</v>
      </c>
      <c r="CY318">
        <v>7.0624999999999993E-2</v>
      </c>
      <c r="CZ318">
        <v>90</v>
      </c>
      <c r="DA318">
        <v>186</v>
      </c>
      <c r="DB318">
        <v>16</v>
      </c>
      <c r="DC318">
        <v>1.75</v>
      </c>
      <c r="DD318">
        <v>46164</v>
      </c>
      <c r="DE318">
        <v>0.17780000000000001</v>
      </c>
      <c r="DF318">
        <v>2</v>
      </c>
      <c r="DG318">
        <v>0.125</v>
      </c>
      <c r="DH318">
        <v>4720</v>
      </c>
      <c r="DI318">
        <v>2360</v>
      </c>
      <c r="DJ318">
        <v>1000</v>
      </c>
      <c r="DK318">
        <v>0.21190000000000001</v>
      </c>
      <c r="DM318">
        <v>82</v>
      </c>
      <c r="DN318">
        <v>1000</v>
      </c>
    </row>
    <row r="319" spans="91:118" x14ac:dyDescent="0.25">
      <c r="CM319" t="s">
        <v>636</v>
      </c>
      <c r="CN319" t="s">
        <v>125</v>
      </c>
      <c r="CO319" t="s">
        <v>109</v>
      </c>
      <c r="CP319">
        <v>46085</v>
      </c>
      <c r="CQ319">
        <v>1</v>
      </c>
      <c r="CR319">
        <v>1</v>
      </c>
      <c r="CT319">
        <v>1</v>
      </c>
      <c r="CV319">
        <v>2.6620370370370372E-4</v>
      </c>
      <c r="CW319">
        <v>2.6620370370370372E-4</v>
      </c>
      <c r="CX319">
        <v>0.27795138888888887</v>
      </c>
      <c r="CY319">
        <v>6.6597222222222224E-2</v>
      </c>
      <c r="CZ319">
        <v>137</v>
      </c>
      <c r="DA319">
        <v>242</v>
      </c>
      <c r="DB319">
        <v>7</v>
      </c>
      <c r="DC319" t="s">
        <v>745</v>
      </c>
      <c r="DD319">
        <v>11853</v>
      </c>
      <c r="DE319">
        <v>5.11E-2</v>
      </c>
      <c r="DM319">
        <v>82</v>
      </c>
    </row>
    <row r="320" spans="91:118" x14ac:dyDescent="0.25">
      <c r="CM320" t="s">
        <v>636</v>
      </c>
      <c r="CN320" t="s">
        <v>125</v>
      </c>
      <c r="CO320" t="s">
        <v>109</v>
      </c>
      <c r="CP320">
        <v>46091</v>
      </c>
      <c r="CQ320">
        <v>1</v>
      </c>
      <c r="CR320">
        <v>1</v>
      </c>
      <c r="CT320">
        <v>1</v>
      </c>
      <c r="CV320">
        <v>3.2407407407407406E-4</v>
      </c>
      <c r="CW320">
        <v>3.2407407407407406E-4</v>
      </c>
      <c r="CX320">
        <v>0.32192129629629629</v>
      </c>
      <c r="CY320">
        <v>9.3877314814814816E-2</v>
      </c>
      <c r="CZ320">
        <v>73</v>
      </c>
      <c r="DA320">
        <v>154</v>
      </c>
      <c r="DB320">
        <v>13</v>
      </c>
      <c r="DC320" t="s">
        <v>704</v>
      </c>
      <c r="DD320">
        <v>28440</v>
      </c>
      <c r="DE320">
        <v>0.17810000000000001</v>
      </c>
      <c r="DM320">
        <v>82</v>
      </c>
    </row>
    <row r="321" spans="91:118" x14ac:dyDescent="0.25">
      <c r="CM321" t="s">
        <v>636</v>
      </c>
      <c r="CN321" t="s">
        <v>125</v>
      </c>
      <c r="CO321" t="s">
        <v>109</v>
      </c>
      <c r="CP321">
        <v>46092</v>
      </c>
      <c r="CQ321">
        <v>1</v>
      </c>
      <c r="CR321">
        <v>1</v>
      </c>
      <c r="CT321">
        <v>1</v>
      </c>
      <c r="CV321">
        <v>3.7037037037037035E-4</v>
      </c>
      <c r="CW321">
        <v>3.7037037037037035E-4</v>
      </c>
      <c r="CX321">
        <v>0.22900462962962964</v>
      </c>
      <c r="CY321">
        <v>0.11318287037037036</v>
      </c>
      <c r="CZ321">
        <v>95</v>
      </c>
      <c r="DA321">
        <v>172</v>
      </c>
      <c r="DB321">
        <v>11</v>
      </c>
      <c r="DC321" t="s">
        <v>680</v>
      </c>
      <c r="DD321">
        <v>44746</v>
      </c>
      <c r="DE321">
        <v>0.1158</v>
      </c>
      <c r="DF321">
        <v>1</v>
      </c>
      <c r="DG321">
        <v>9.0899999999999995E-2</v>
      </c>
      <c r="DH321">
        <v>333</v>
      </c>
      <c r="DI321">
        <v>333</v>
      </c>
      <c r="DM321">
        <v>82</v>
      </c>
    </row>
    <row r="322" spans="91:118" x14ac:dyDescent="0.25">
      <c r="CM322" t="s">
        <v>636</v>
      </c>
      <c r="CN322" t="s">
        <v>125</v>
      </c>
      <c r="CO322" t="s">
        <v>109</v>
      </c>
      <c r="CP322">
        <v>46097</v>
      </c>
      <c r="CQ322">
        <v>1</v>
      </c>
      <c r="CR322">
        <v>1</v>
      </c>
      <c r="CV322">
        <v>1.8518518518518519E-3</v>
      </c>
      <c r="CW322">
        <v>1.8518518518518519E-3</v>
      </c>
      <c r="CX322">
        <v>0.23299768518518518</v>
      </c>
      <c r="CY322">
        <v>5.2731481481481483E-2</v>
      </c>
      <c r="CZ322">
        <v>72</v>
      </c>
      <c r="DA322">
        <v>129</v>
      </c>
      <c r="DB322">
        <v>12</v>
      </c>
      <c r="DC322">
        <v>1.5</v>
      </c>
      <c r="DD322">
        <v>32572</v>
      </c>
      <c r="DE322">
        <v>0.16669999999999999</v>
      </c>
      <c r="DF322">
        <v>1</v>
      </c>
      <c r="DG322">
        <v>8.3299999999999999E-2</v>
      </c>
      <c r="DH322">
        <v>750</v>
      </c>
      <c r="DI322">
        <v>750</v>
      </c>
      <c r="DJ322">
        <v>750</v>
      </c>
      <c r="DK322">
        <v>1</v>
      </c>
      <c r="DL322">
        <v>0.2893</v>
      </c>
      <c r="DM322">
        <v>82</v>
      </c>
      <c r="DN322">
        <v>750</v>
      </c>
    </row>
    <row r="323" spans="91:118" x14ac:dyDescent="0.25">
      <c r="CM323" t="s">
        <v>636</v>
      </c>
      <c r="CN323" t="s">
        <v>125</v>
      </c>
      <c r="CO323" t="s">
        <v>109</v>
      </c>
      <c r="CP323">
        <v>46104</v>
      </c>
      <c r="CQ323">
        <v>1</v>
      </c>
      <c r="CR323">
        <v>1</v>
      </c>
      <c r="CT323">
        <v>1</v>
      </c>
      <c r="CV323">
        <v>5.0925925925925921E-4</v>
      </c>
      <c r="CW323">
        <v>5.0925925925925921E-4</v>
      </c>
      <c r="CX323">
        <v>0.19255787037037037</v>
      </c>
      <c r="CY323">
        <v>0.15393518518518517</v>
      </c>
      <c r="CZ323">
        <v>90</v>
      </c>
      <c r="DA323">
        <v>164</v>
      </c>
      <c r="DB323">
        <v>13</v>
      </c>
      <c r="DC323" t="s">
        <v>743</v>
      </c>
      <c r="DD323">
        <v>49065</v>
      </c>
      <c r="DE323">
        <v>0.1444</v>
      </c>
      <c r="DM323">
        <v>82</v>
      </c>
    </row>
    <row r="324" spans="91:118" x14ac:dyDescent="0.25">
      <c r="CM324" t="s">
        <v>636</v>
      </c>
      <c r="CN324" t="s">
        <v>125</v>
      </c>
      <c r="CO324" t="s">
        <v>60</v>
      </c>
      <c r="CP324">
        <v>46085</v>
      </c>
      <c r="CQ324">
        <v>1</v>
      </c>
      <c r="CR324">
        <v>1</v>
      </c>
      <c r="CT324">
        <v>1</v>
      </c>
      <c r="CV324">
        <v>2.8935185185185184E-3</v>
      </c>
      <c r="CW324">
        <v>2.8935185185185184E-3</v>
      </c>
      <c r="CX324">
        <v>0.25305555555555553</v>
      </c>
      <c r="CY324">
        <v>6.7627314814814821E-2</v>
      </c>
      <c r="CZ324">
        <v>113</v>
      </c>
      <c r="DA324">
        <v>153</v>
      </c>
      <c r="DB324">
        <v>10</v>
      </c>
      <c r="DC324">
        <v>1.9</v>
      </c>
      <c r="DD324">
        <v>29920</v>
      </c>
      <c r="DE324">
        <v>8.8499999999999995E-2</v>
      </c>
      <c r="DM324">
        <v>82</v>
      </c>
    </row>
    <row r="325" spans="91:118" x14ac:dyDescent="0.25">
      <c r="CM325" t="s">
        <v>636</v>
      </c>
      <c r="CN325" t="s">
        <v>125</v>
      </c>
      <c r="CO325" t="s">
        <v>60</v>
      </c>
      <c r="CP325">
        <v>46104</v>
      </c>
      <c r="CQ325">
        <v>1</v>
      </c>
      <c r="CR325">
        <v>1</v>
      </c>
      <c r="CT325">
        <v>1</v>
      </c>
      <c r="CV325">
        <v>9.2592592592592588E-5</v>
      </c>
      <c r="CW325">
        <v>9.2592592592592588E-5</v>
      </c>
      <c r="CX325">
        <v>0.18380787037037036</v>
      </c>
      <c r="CY325">
        <v>0.13101851851851851</v>
      </c>
      <c r="CZ325">
        <v>118</v>
      </c>
      <c r="DA325">
        <v>145</v>
      </c>
      <c r="DB325">
        <v>5</v>
      </c>
      <c r="DC325">
        <v>2.4</v>
      </c>
      <c r="DD325">
        <v>102283</v>
      </c>
      <c r="DE325">
        <v>4.24E-2</v>
      </c>
      <c r="DM325">
        <v>82</v>
      </c>
    </row>
    <row r="326" spans="91:118" x14ac:dyDescent="0.25">
      <c r="CM326" t="s">
        <v>636</v>
      </c>
      <c r="CN326" t="s">
        <v>125</v>
      </c>
      <c r="CO326" t="s">
        <v>85</v>
      </c>
      <c r="CP326">
        <v>46085</v>
      </c>
      <c r="CQ326">
        <v>1</v>
      </c>
      <c r="CR326">
        <v>1</v>
      </c>
      <c r="CT326">
        <v>1</v>
      </c>
      <c r="CV326">
        <v>0</v>
      </c>
      <c r="CW326">
        <v>0</v>
      </c>
      <c r="CX326">
        <v>0.28065972222222224</v>
      </c>
      <c r="CY326">
        <v>5.8194444444444444E-2</v>
      </c>
      <c r="CZ326">
        <v>96</v>
      </c>
      <c r="DA326">
        <v>181</v>
      </c>
      <c r="DB326">
        <v>19</v>
      </c>
      <c r="DC326" t="s">
        <v>682</v>
      </c>
      <c r="DD326">
        <v>24140</v>
      </c>
      <c r="DE326">
        <v>0.19789999999999999</v>
      </c>
      <c r="DM326">
        <v>82</v>
      </c>
    </row>
    <row r="327" spans="91:118" x14ac:dyDescent="0.25">
      <c r="CM327" t="s">
        <v>636</v>
      </c>
      <c r="CN327" t="s">
        <v>125</v>
      </c>
      <c r="CO327" t="s">
        <v>85</v>
      </c>
      <c r="CP327">
        <v>46086</v>
      </c>
      <c r="CQ327">
        <v>1</v>
      </c>
      <c r="CR327">
        <v>1</v>
      </c>
      <c r="CS327">
        <v>1</v>
      </c>
      <c r="CV327">
        <v>3.1597222222222221E-2</v>
      </c>
      <c r="CW327">
        <v>3.1597222222222221E-2</v>
      </c>
      <c r="CX327">
        <v>0.33304398148148145</v>
      </c>
      <c r="CY327">
        <v>5.603009259259259E-2</v>
      </c>
      <c r="CZ327">
        <v>98</v>
      </c>
      <c r="DA327">
        <v>194</v>
      </c>
      <c r="DB327">
        <v>19</v>
      </c>
      <c r="DC327" t="s">
        <v>682</v>
      </c>
      <c r="DD327">
        <v>32084</v>
      </c>
      <c r="DE327">
        <v>0.19389999999999999</v>
      </c>
      <c r="DF327">
        <v>1</v>
      </c>
      <c r="DG327">
        <v>5.2600000000000001E-2</v>
      </c>
      <c r="DH327">
        <v>315</v>
      </c>
      <c r="DI327">
        <v>315</v>
      </c>
      <c r="DJ327">
        <v>315</v>
      </c>
      <c r="DK327">
        <v>1</v>
      </c>
      <c r="DL327">
        <v>0.67259999999999998</v>
      </c>
      <c r="DM327">
        <v>82</v>
      </c>
      <c r="DN327">
        <v>315</v>
      </c>
    </row>
    <row r="328" spans="91:118" x14ac:dyDescent="0.25">
      <c r="CM328" t="s">
        <v>636</v>
      </c>
      <c r="CN328" t="s">
        <v>125</v>
      </c>
      <c r="CO328" t="s">
        <v>85</v>
      </c>
      <c r="CP328">
        <v>46091</v>
      </c>
      <c r="CQ328">
        <v>1</v>
      </c>
      <c r="CR328">
        <v>1</v>
      </c>
      <c r="CT328">
        <v>1</v>
      </c>
      <c r="CV328">
        <v>0</v>
      </c>
      <c r="CW328">
        <v>0</v>
      </c>
      <c r="CX328">
        <v>0.33427083333333335</v>
      </c>
      <c r="CY328">
        <v>8.802083333333334E-2</v>
      </c>
      <c r="CZ328">
        <v>137</v>
      </c>
      <c r="DA328">
        <v>283</v>
      </c>
      <c r="DB328">
        <v>11</v>
      </c>
      <c r="DC328" t="s">
        <v>695</v>
      </c>
      <c r="DD328">
        <v>55005</v>
      </c>
      <c r="DE328">
        <v>8.0299999999999996E-2</v>
      </c>
      <c r="DM328">
        <v>82</v>
      </c>
    </row>
    <row r="329" spans="91:118" x14ac:dyDescent="0.25">
      <c r="CM329" t="s">
        <v>636</v>
      </c>
      <c r="CN329" t="s">
        <v>125</v>
      </c>
      <c r="CO329" t="s">
        <v>85</v>
      </c>
      <c r="CP329">
        <v>46104</v>
      </c>
      <c r="CQ329">
        <v>1</v>
      </c>
      <c r="CR329">
        <v>1</v>
      </c>
      <c r="CT329">
        <v>1</v>
      </c>
      <c r="CV329">
        <v>0</v>
      </c>
      <c r="CW329">
        <v>0</v>
      </c>
      <c r="CX329">
        <v>0.20163194444444443</v>
      </c>
      <c r="CY329">
        <v>0.14776620370370369</v>
      </c>
      <c r="CZ329">
        <v>84</v>
      </c>
      <c r="DA329">
        <v>186</v>
      </c>
      <c r="DB329">
        <v>8</v>
      </c>
      <c r="DC329">
        <v>1.5</v>
      </c>
      <c r="DD329">
        <v>48836</v>
      </c>
      <c r="DE329">
        <v>9.5200000000000007E-2</v>
      </c>
      <c r="DM329">
        <v>82</v>
      </c>
    </row>
    <row r="330" spans="91:118" x14ac:dyDescent="0.25">
      <c r="CM330" t="s">
        <v>636</v>
      </c>
      <c r="CN330" t="s">
        <v>125</v>
      </c>
      <c r="CO330" t="s">
        <v>61</v>
      </c>
      <c r="CP330">
        <v>46085</v>
      </c>
      <c r="CQ330">
        <v>1</v>
      </c>
      <c r="CR330">
        <v>1</v>
      </c>
      <c r="CT330">
        <v>1</v>
      </c>
      <c r="CV330">
        <v>2.5462962962962961E-4</v>
      </c>
      <c r="CW330">
        <v>2.5462962962962961E-4</v>
      </c>
      <c r="CX330">
        <v>0.26429398148148148</v>
      </c>
      <c r="CY330">
        <v>7.2696759259259253E-2</v>
      </c>
      <c r="CZ330">
        <v>94</v>
      </c>
      <c r="DA330">
        <v>226</v>
      </c>
      <c r="DB330">
        <v>19</v>
      </c>
      <c r="DC330" t="s">
        <v>691</v>
      </c>
      <c r="DD330">
        <v>31668</v>
      </c>
      <c r="DE330">
        <v>0.2021</v>
      </c>
      <c r="DM330">
        <v>82</v>
      </c>
    </row>
    <row r="331" spans="91:118" x14ac:dyDescent="0.25">
      <c r="CM331" t="s">
        <v>636</v>
      </c>
      <c r="CN331" t="s">
        <v>125</v>
      </c>
      <c r="CO331" t="s">
        <v>61</v>
      </c>
      <c r="CP331">
        <v>46104</v>
      </c>
      <c r="CQ331">
        <v>1</v>
      </c>
      <c r="CR331">
        <v>1</v>
      </c>
      <c r="CT331">
        <v>1</v>
      </c>
      <c r="CV331">
        <v>2.5462962962962961E-4</v>
      </c>
      <c r="CW331">
        <v>2.5462962962962961E-4</v>
      </c>
      <c r="CX331">
        <v>0.18200231481481483</v>
      </c>
      <c r="CY331">
        <v>0.15504629629629629</v>
      </c>
      <c r="CZ331">
        <v>105</v>
      </c>
      <c r="DA331">
        <v>240</v>
      </c>
      <c r="DB331">
        <v>20</v>
      </c>
      <c r="DC331">
        <v>1.45</v>
      </c>
      <c r="DD331">
        <v>69432</v>
      </c>
      <c r="DE331">
        <v>0.1905</v>
      </c>
      <c r="DM331">
        <v>82</v>
      </c>
    </row>
    <row r="332" spans="91:118" x14ac:dyDescent="0.25">
      <c r="CM332" t="s">
        <v>636</v>
      </c>
      <c r="CN332" t="s">
        <v>125</v>
      </c>
      <c r="CO332" t="s">
        <v>72</v>
      </c>
      <c r="CP332">
        <v>46085</v>
      </c>
      <c r="CQ332">
        <v>1</v>
      </c>
      <c r="CR332">
        <v>1</v>
      </c>
      <c r="CT332">
        <v>1</v>
      </c>
      <c r="CV332">
        <v>1.5046296296296297E-4</v>
      </c>
      <c r="CW332">
        <v>1.5046296296296297E-4</v>
      </c>
      <c r="CX332">
        <v>0.27261574074074074</v>
      </c>
      <c r="CY332">
        <v>0.11065972222222223</v>
      </c>
      <c r="CZ332">
        <v>140</v>
      </c>
      <c r="DA332">
        <v>290</v>
      </c>
      <c r="DB332">
        <v>16</v>
      </c>
      <c r="DC332">
        <v>1.5625</v>
      </c>
      <c r="DD332">
        <v>30306</v>
      </c>
      <c r="DE332">
        <v>0.1143</v>
      </c>
      <c r="DM332">
        <v>82</v>
      </c>
    </row>
    <row r="333" spans="91:118" x14ac:dyDescent="0.25">
      <c r="CM333" t="s">
        <v>636</v>
      </c>
      <c r="CN333" t="s">
        <v>125</v>
      </c>
      <c r="CO333" t="s">
        <v>72</v>
      </c>
      <c r="CP333">
        <v>46091</v>
      </c>
      <c r="CQ333">
        <v>1</v>
      </c>
      <c r="CR333">
        <v>1</v>
      </c>
      <c r="CT333">
        <v>1</v>
      </c>
      <c r="CV333">
        <v>5.7870370370370373E-5</v>
      </c>
      <c r="CW333">
        <v>5.7870370370370373E-5</v>
      </c>
      <c r="CX333">
        <v>0.31137731481481479</v>
      </c>
      <c r="CY333">
        <v>0.11128472222222222</v>
      </c>
      <c r="CZ333">
        <v>139</v>
      </c>
      <c r="DA333">
        <v>381</v>
      </c>
      <c r="DB333">
        <v>16</v>
      </c>
      <c r="DC333">
        <v>1.75</v>
      </c>
      <c r="DD333">
        <v>26753</v>
      </c>
      <c r="DE333">
        <v>0.11509999999999999</v>
      </c>
      <c r="DM333">
        <v>82</v>
      </c>
    </row>
    <row r="334" spans="91:118" x14ac:dyDescent="0.25">
      <c r="CM334" t="s">
        <v>636</v>
      </c>
      <c r="CN334" t="s">
        <v>125</v>
      </c>
      <c r="CO334" t="s">
        <v>72</v>
      </c>
      <c r="CP334">
        <v>46104</v>
      </c>
      <c r="CQ334">
        <v>1</v>
      </c>
      <c r="CR334">
        <v>1</v>
      </c>
      <c r="CT334">
        <v>1</v>
      </c>
      <c r="CV334">
        <v>0</v>
      </c>
      <c r="CW334">
        <v>0</v>
      </c>
      <c r="CX334">
        <v>0.19688657407407406</v>
      </c>
      <c r="CY334">
        <v>0.14645833333333333</v>
      </c>
      <c r="CZ334">
        <v>109</v>
      </c>
      <c r="DA334">
        <v>307</v>
      </c>
      <c r="DB334">
        <v>10</v>
      </c>
      <c r="DC334">
        <v>1.8</v>
      </c>
      <c r="DD334">
        <v>49785</v>
      </c>
      <c r="DE334">
        <v>9.1700000000000004E-2</v>
      </c>
      <c r="DM334">
        <v>82</v>
      </c>
    </row>
    <row r="335" spans="91:118" x14ac:dyDescent="0.25">
      <c r="CM335" t="s">
        <v>636</v>
      </c>
      <c r="CN335" t="s">
        <v>125</v>
      </c>
      <c r="CO335" t="s">
        <v>72</v>
      </c>
      <c r="CP335">
        <v>46105</v>
      </c>
      <c r="CQ335">
        <v>1</v>
      </c>
      <c r="CR335">
        <v>1</v>
      </c>
      <c r="CT335">
        <v>1</v>
      </c>
      <c r="CV335">
        <v>4.6296296296296294E-5</v>
      </c>
      <c r="CW335">
        <v>4.6296296296296294E-5</v>
      </c>
      <c r="CX335">
        <v>0.21326388888888889</v>
      </c>
      <c r="CY335">
        <v>0.1643287037037037</v>
      </c>
      <c r="CZ335">
        <v>136</v>
      </c>
      <c r="DA335">
        <v>311</v>
      </c>
      <c r="DB335">
        <v>25</v>
      </c>
      <c r="DC335">
        <v>1.72</v>
      </c>
      <c r="DD335">
        <v>22188</v>
      </c>
      <c r="DE335">
        <v>0.18379999999999999</v>
      </c>
      <c r="DF335">
        <v>1</v>
      </c>
      <c r="DG335">
        <v>0.04</v>
      </c>
      <c r="DH335">
        <v>2500</v>
      </c>
      <c r="DI335">
        <v>2500</v>
      </c>
      <c r="DJ335">
        <v>2500</v>
      </c>
      <c r="DK335">
        <v>1</v>
      </c>
      <c r="DL335">
        <v>0.1033</v>
      </c>
      <c r="DM335">
        <v>82</v>
      </c>
      <c r="DN335">
        <v>2500</v>
      </c>
    </row>
    <row r="336" spans="91:118" x14ac:dyDescent="0.25">
      <c r="CM336" t="s">
        <v>636</v>
      </c>
      <c r="CN336" t="s">
        <v>125</v>
      </c>
      <c r="CO336" t="s">
        <v>12</v>
      </c>
      <c r="CP336">
        <v>46091</v>
      </c>
      <c r="CQ336">
        <v>1</v>
      </c>
      <c r="CR336">
        <v>1</v>
      </c>
      <c r="CT336">
        <v>1</v>
      </c>
      <c r="CV336">
        <v>3.1250000000000001E-4</v>
      </c>
      <c r="CW336">
        <v>3.1250000000000001E-4</v>
      </c>
      <c r="CX336">
        <v>0.30515046296296294</v>
      </c>
      <c r="CY336">
        <v>0.12547453703703704</v>
      </c>
      <c r="CZ336">
        <v>87</v>
      </c>
      <c r="DA336">
        <v>227</v>
      </c>
      <c r="DB336">
        <v>17</v>
      </c>
      <c r="DC336" t="s">
        <v>844</v>
      </c>
      <c r="DD336">
        <v>22429</v>
      </c>
      <c r="DE336">
        <v>0.19539999999999999</v>
      </c>
      <c r="DM336">
        <v>82</v>
      </c>
    </row>
    <row r="337" spans="91:118" x14ac:dyDescent="0.25">
      <c r="CM337" t="s">
        <v>636</v>
      </c>
      <c r="CN337" t="s">
        <v>125</v>
      </c>
      <c r="CO337" t="s">
        <v>12</v>
      </c>
      <c r="CP337">
        <v>46104</v>
      </c>
      <c r="CQ337">
        <v>1</v>
      </c>
      <c r="CR337">
        <v>1</v>
      </c>
      <c r="CT337">
        <v>1</v>
      </c>
      <c r="CV337">
        <v>1.0416666666666667E-4</v>
      </c>
      <c r="CW337">
        <v>1.0416666666666667E-4</v>
      </c>
      <c r="CX337">
        <v>0.17686342592592594</v>
      </c>
      <c r="CY337">
        <v>0.16592592592592592</v>
      </c>
      <c r="CZ337">
        <v>83</v>
      </c>
      <c r="DA337">
        <v>205</v>
      </c>
      <c r="DB337">
        <v>13</v>
      </c>
      <c r="DC337" t="s">
        <v>727</v>
      </c>
      <c r="DD337">
        <v>30438</v>
      </c>
      <c r="DE337">
        <v>0.15659999999999999</v>
      </c>
      <c r="DM337">
        <v>82</v>
      </c>
    </row>
    <row r="338" spans="91:118" x14ac:dyDescent="0.25">
      <c r="CM338" t="s">
        <v>636</v>
      </c>
      <c r="CN338" t="s">
        <v>125</v>
      </c>
      <c r="CO338" t="s">
        <v>12</v>
      </c>
      <c r="CP338">
        <v>46106</v>
      </c>
      <c r="CQ338">
        <v>1</v>
      </c>
      <c r="CR338">
        <v>1</v>
      </c>
      <c r="CT338">
        <v>1</v>
      </c>
      <c r="CV338">
        <v>4.2824074074074075E-4</v>
      </c>
      <c r="CW338">
        <v>4.2824074074074075E-4</v>
      </c>
      <c r="CX338">
        <v>0.15685185185185185</v>
      </c>
      <c r="CY338">
        <v>0.19828703703703704</v>
      </c>
      <c r="CZ338">
        <v>96</v>
      </c>
      <c r="DA338">
        <v>220</v>
      </c>
      <c r="DB338">
        <v>19</v>
      </c>
      <c r="DC338" t="s">
        <v>682</v>
      </c>
      <c r="DD338">
        <v>35192</v>
      </c>
      <c r="DE338">
        <v>0.19789999999999999</v>
      </c>
      <c r="DF338">
        <v>2</v>
      </c>
      <c r="DG338">
        <v>0.1053</v>
      </c>
      <c r="DH338">
        <v>3500</v>
      </c>
      <c r="DI338">
        <v>1750</v>
      </c>
      <c r="DJ338">
        <v>3000</v>
      </c>
      <c r="DK338">
        <v>0.85709999999999997</v>
      </c>
      <c r="DL338">
        <v>0.18529999999999999</v>
      </c>
      <c r="DM338">
        <v>82</v>
      </c>
      <c r="DN338">
        <v>3000</v>
      </c>
    </row>
    <row r="339" spans="91:118" x14ac:dyDescent="0.25">
      <c r="CM339" t="s">
        <v>636</v>
      </c>
      <c r="CN339" t="s">
        <v>125</v>
      </c>
      <c r="CO339" t="s">
        <v>122</v>
      </c>
      <c r="CP339">
        <v>46085</v>
      </c>
      <c r="CQ339">
        <v>1</v>
      </c>
      <c r="CR339">
        <v>1</v>
      </c>
      <c r="CT339">
        <v>1</v>
      </c>
      <c r="CV339">
        <v>0</v>
      </c>
      <c r="CW339">
        <v>0</v>
      </c>
      <c r="CX339">
        <v>0.21517361111111111</v>
      </c>
      <c r="CY339">
        <v>6.7557870370370365E-2</v>
      </c>
      <c r="CZ339">
        <v>60</v>
      </c>
      <c r="DA339">
        <v>176</v>
      </c>
      <c r="DB339">
        <v>11</v>
      </c>
      <c r="DC339" t="s">
        <v>673</v>
      </c>
      <c r="DD339">
        <v>19476</v>
      </c>
      <c r="DE339">
        <v>0.18329999999999999</v>
      </c>
      <c r="DM339">
        <v>82</v>
      </c>
    </row>
    <row r="340" spans="91:118" x14ac:dyDescent="0.25">
      <c r="CM340" t="s">
        <v>636</v>
      </c>
      <c r="CN340" t="s">
        <v>125</v>
      </c>
      <c r="CO340" t="s">
        <v>122</v>
      </c>
      <c r="CP340">
        <v>46091</v>
      </c>
      <c r="CQ340">
        <v>1</v>
      </c>
      <c r="CR340">
        <v>1</v>
      </c>
      <c r="CT340">
        <v>1</v>
      </c>
      <c r="CV340">
        <v>0</v>
      </c>
      <c r="CW340">
        <v>0</v>
      </c>
      <c r="CX340">
        <v>0.25474537037037037</v>
      </c>
      <c r="CY340">
        <v>0.11164351851851852</v>
      </c>
      <c r="CZ340">
        <v>72</v>
      </c>
      <c r="DA340">
        <v>289</v>
      </c>
      <c r="DB340">
        <v>14</v>
      </c>
      <c r="DC340" t="s">
        <v>988</v>
      </c>
      <c r="DD340">
        <v>31964</v>
      </c>
      <c r="DE340">
        <v>0.19439999999999999</v>
      </c>
      <c r="DM340">
        <v>82</v>
      </c>
    </row>
    <row r="341" spans="91:118" x14ac:dyDescent="0.25">
      <c r="CM341" t="s">
        <v>636</v>
      </c>
      <c r="CN341" t="s">
        <v>125</v>
      </c>
      <c r="CO341" t="s">
        <v>75</v>
      </c>
      <c r="CP341">
        <v>46085</v>
      </c>
      <c r="CQ341">
        <v>1</v>
      </c>
      <c r="CR341">
        <v>1</v>
      </c>
      <c r="CT341">
        <v>1</v>
      </c>
      <c r="CV341">
        <v>8.1018518518518516E-5</v>
      </c>
      <c r="CW341">
        <v>8.1018518518518516E-5</v>
      </c>
      <c r="CX341">
        <v>0.26829861111111108</v>
      </c>
      <c r="CY341">
        <v>6.8935185185185183E-2</v>
      </c>
      <c r="CZ341">
        <v>86</v>
      </c>
      <c r="DA341">
        <v>215</v>
      </c>
      <c r="DB341">
        <v>8</v>
      </c>
      <c r="DC341">
        <v>2.125</v>
      </c>
      <c r="DD341">
        <v>21595</v>
      </c>
      <c r="DE341">
        <v>9.2999999999999999E-2</v>
      </c>
      <c r="DM341">
        <v>82</v>
      </c>
    </row>
    <row r="342" spans="91:118" x14ac:dyDescent="0.25">
      <c r="CM342" t="s">
        <v>636</v>
      </c>
      <c r="CN342" t="s">
        <v>125</v>
      </c>
      <c r="CO342" t="s">
        <v>75</v>
      </c>
      <c r="CP342">
        <v>46090</v>
      </c>
      <c r="CQ342">
        <v>1</v>
      </c>
      <c r="CR342">
        <v>1</v>
      </c>
      <c r="CT342">
        <v>1</v>
      </c>
      <c r="CV342">
        <v>2.6620370370370372E-4</v>
      </c>
      <c r="CW342">
        <v>2.6620370370370372E-4</v>
      </c>
      <c r="CX342">
        <v>0.23145833333333332</v>
      </c>
      <c r="CY342">
        <v>7.211805555555556E-2</v>
      </c>
      <c r="CZ342">
        <v>74</v>
      </c>
      <c r="DA342">
        <v>142</v>
      </c>
      <c r="DB342">
        <v>13</v>
      </c>
      <c r="DC342" t="s">
        <v>990</v>
      </c>
      <c r="DD342">
        <v>15149</v>
      </c>
      <c r="DE342">
        <v>0.1757</v>
      </c>
      <c r="DF342">
        <v>3</v>
      </c>
      <c r="DG342">
        <v>0.23080000000000001</v>
      </c>
      <c r="DH342">
        <v>4740</v>
      </c>
      <c r="DI342">
        <v>1580</v>
      </c>
      <c r="DJ342">
        <v>4430</v>
      </c>
      <c r="DK342">
        <v>0.93459999999999999</v>
      </c>
      <c r="DL342">
        <v>0.25169999999999998</v>
      </c>
      <c r="DM342">
        <v>82</v>
      </c>
      <c r="DN342">
        <v>2215</v>
      </c>
    </row>
    <row r="343" spans="91:118" x14ac:dyDescent="0.25">
      <c r="CM343" t="s">
        <v>636</v>
      </c>
      <c r="CN343" t="s">
        <v>125</v>
      </c>
      <c r="CO343" t="s">
        <v>75</v>
      </c>
      <c r="CP343">
        <v>46091</v>
      </c>
      <c r="CQ343">
        <v>1</v>
      </c>
      <c r="CR343">
        <v>1</v>
      </c>
      <c r="CT343">
        <v>1</v>
      </c>
      <c r="CV343">
        <v>2.6620370370370372E-4</v>
      </c>
      <c r="CW343">
        <v>2.6620370370370372E-4</v>
      </c>
      <c r="CX343">
        <v>0.31327546296296294</v>
      </c>
      <c r="CY343">
        <v>9.4537037037037031E-2</v>
      </c>
      <c r="CZ343">
        <v>104</v>
      </c>
      <c r="DA343">
        <v>192</v>
      </c>
      <c r="DB343">
        <v>16</v>
      </c>
      <c r="DC343">
        <v>1.5</v>
      </c>
      <c r="DD343">
        <v>28994</v>
      </c>
      <c r="DE343">
        <v>0.15379999999999999</v>
      </c>
      <c r="DM343">
        <v>82</v>
      </c>
    </row>
    <row r="344" spans="91:118" x14ac:dyDescent="0.25">
      <c r="CM344" t="s">
        <v>636</v>
      </c>
      <c r="CN344" t="s">
        <v>125</v>
      </c>
      <c r="CO344" t="s">
        <v>75</v>
      </c>
      <c r="CP344">
        <v>46097</v>
      </c>
      <c r="CQ344">
        <v>1</v>
      </c>
      <c r="CR344">
        <v>1</v>
      </c>
      <c r="CT344">
        <v>1</v>
      </c>
      <c r="CV344">
        <v>1.7361111111111112E-4</v>
      </c>
      <c r="CW344">
        <v>1.7361111111111112E-4</v>
      </c>
      <c r="CX344">
        <v>0.28219907407407407</v>
      </c>
      <c r="CY344">
        <v>9.9062499999999998E-2</v>
      </c>
      <c r="CZ344">
        <v>86</v>
      </c>
      <c r="DA344">
        <v>173</v>
      </c>
      <c r="DB344">
        <v>32</v>
      </c>
      <c r="DC344">
        <v>2.0625</v>
      </c>
      <c r="DD344">
        <v>34780</v>
      </c>
      <c r="DE344">
        <v>0.37209999999999999</v>
      </c>
      <c r="DF344">
        <v>1</v>
      </c>
      <c r="DG344">
        <v>3.1300000000000001E-2</v>
      </c>
      <c r="DH344">
        <v>750</v>
      </c>
      <c r="DI344">
        <v>750</v>
      </c>
      <c r="DJ344">
        <v>750</v>
      </c>
      <c r="DK344">
        <v>1</v>
      </c>
      <c r="DL344">
        <v>0.78149999999999997</v>
      </c>
      <c r="DM344">
        <v>82</v>
      </c>
      <c r="DN344">
        <v>750</v>
      </c>
    </row>
    <row r="345" spans="91:118" x14ac:dyDescent="0.25">
      <c r="CM345" t="s">
        <v>636</v>
      </c>
      <c r="CN345" t="s">
        <v>125</v>
      </c>
      <c r="CO345" t="s">
        <v>75</v>
      </c>
      <c r="CP345">
        <v>46099</v>
      </c>
      <c r="CQ345">
        <v>1</v>
      </c>
      <c r="CR345">
        <v>1</v>
      </c>
      <c r="CT345">
        <v>1</v>
      </c>
      <c r="CV345">
        <v>4.5138888888888887E-4</v>
      </c>
      <c r="CW345">
        <v>4.5138888888888887E-4</v>
      </c>
      <c r="CX345">
        <v>0.20504629629629631</v>
      </c>
      <c r="CY345">
        <v>0.12574074074074074</v>
      </c>
      <c r="CZ345">
        <v>116</v>
      </c>
      <c r="DA345">
        <v>171</v>
      </c>
      <c r="DB345">
        <v>14</v>
      </c>
      <c r="DC345">
        <v>1.5</v>
      </c>
      <c r="DD345">
        <v>57394</v>
      </c>
      <c r="DE345">
        <v>0.1207</v>
      </c>
      <c r="DF345">
        <v>1</v>
      </c>
      <c r="DG345">
        <v>7.1400000000000005E-2</v>
      </c>
      <c r="DH345">
        <v>281</v>
      </c>
      <c r="DI345">
        <v>281</v>
      </c>
      <c r="DJ345">
        <v>281</v>
      </c>
      <c r="DK345">
        <v>1</v>
      </c>
      <c r="DM345">
        <v>82</v>
      </c>
      <c r="DN345">
        <v>281</v>
      </c>
    </row>
    <row r="346" spans="91:118" x14ac:dyDescent="0.25">
      <c r="CM346" t="s">
        <v>636</v>
      </c>
      <c r="CN346" t="s">
        <v>125</v>
      </c>
      <c r="CO346" t="s">
        <v>75</v>
      </c>
      <c r="CP346">
        <v>46104</v>
      </c>
      <c r="CQ346">
        <v>1</v>
      </c>
      <c r="CR346">
        <v>1</v>
      </c>
      <c r="CT346">
        <v>1</v>
      </c>
      <c r="CV346">
        <v>3.9351851851851852E-4</v>
      </c>
      <c r="CW346">
        <v>3.9351851851851852E-4</v>
      </c>
      <c r="CX346">
        <v>0.1875</v>
      </c>
      <c r="CY346">
        <v>0.13939814814814816</v>
      </c>
      <c r="CZ346">
        <v>86</v>
      </c>
      <c r="DA346">
        <v>172</v>
      </c>
      <c r="DB346">
        <v>14</v>
      </c>
      <c r="DC346" t="s">
        <v>679</v>
      </c>
      <c r="DD346">
        <v>16303</v>
      </c>
      <c r="DE346">
        <v>0.1628</v>
      </c>
      <c r="DF346">
        <v>1</v>
      </c>
      <c r="DG346">
        <v>7.1400000000000005E-2</v>
      </c>
      <c r="DH346">
        <v>515</v>
      </c>
      <c r="DI346">
        <v>515</v>
      </c>
      <c r="DM346">
        <v>82</v>
      </c>
    </row>
    <row r="347" spans="91:118" x14ac:dyDescent="0.25">
      <c r="CM347" t="s">
        <v>636</v>
      </c>
      <c r="CN347" t="s">
        <v>125</v>
      </c>
      <c r="CO347" t="s">
        <v>206</v>
      </c>
      <c r="CP347">
        <v>46083</v>
      </c>
      <c r="CQ347">
        <v>1</v>
      </c>
      <c r="CR347">
        <v>1</v>
      </c>
      <c r="CT347">
        <v>1</v>
      </c>
      <c r="CV347">
        <v>1.0416666666666667E-4</v>
      </c>
      <c r="CW347">
        <v>1.0416666666666667E-4</v>
      </c>
      <c r="CX347">
        <v>0.29362268518518519</v>
      </c>
      <c r="CY347">
        <v>5.6458333333333333E-2</v>
      </c>
      <c r="CZ347">
        <v>133</v>
      </c>
      <c r="DA347">
        <v>288</v>
      </c>
      <c r="DB347">
        <v>25</v>
      </c>
      <c r="DC347">
        <v>1.96</v>
      </c>
      <c r="DD347">
        <v>19804</v>
      </c>
      <c r="DE347">
        <v>0.188</v>
      </c>
      <c r="DF347">
        <v>5</v>
      </c>
      <c r="DG347">
        <v>0.2</v>
      </c>
      <c r="DH347">
        <v>8079</v>
      </c>
      <c r="DI347">
        <v>1616</v>
      </c>
      <c r="DJ347">
        <v>8079</v>
      </c>
      <c r="DK347">
        <v>1</v>
      </c>
      <c r="DL347">
        <v>0.2702</v>
      </c>
      <c r="DM347">
        <v>82</v>
      </c>
      <c r="DN347">
        <v>1616</v>
      </c>
    </row>
    <row r="348" spans="91:118" x14ac:dyDescent="0.25">
      <c r="CM348" t="s">
        <v>636</v>
      </c>
      <c r="CN348" t="s">
        <v>125</v>
      </c>
      <c r="CO348" t="s">
        <v>206</v>
      </c>
      <c r="CP348">
        <v>46085</v>
      </c>
      <c r="CQ348">
        <v>1</v>
      </c>
      <c r="CR348">
        <v>1</v>
      </c>
      <c r="CT348">
        <v>1</v>
      </c>
      <c r="CV348">
        <v>1.7361111111111112E-4</v>
      </c>
      <c r="CW348">
        <v>1.7361111111111112E-4</v>
      </c>
      <c r="CX348">
        <v>0.28091435185185187</v>
      </c>
      <c r="CY348">
        <v>6.7557870370370365E-2</v>
      </c>
      <c r="CZ348">
        <v>121</v>
      </c>
      <c r="DA348">
        <v>289</v>
      </c>
      <c r="DB348">
        <v>27</v>
      </c>
      <c r="DC348" t="s">
        <v>726</v>
      </c>
      <c r="DD348">
        <v>16337</v>
      </c>
      <c r="DE348">
        <v>0.22309999999999999</v>
      </c>
      <c r="DM348">
        <v>82</v>
      </c>
    </row>
    <row r="349" spans="91:118" x14ac:dyDescent="0.25">
      <c r="CM349" t="s">
        <v>636</v>
      </c>
      <c r="CN349" t="s">
        <v>125</v>
      </c>
      <c r="CO349" t="s">
        <v>206</v>
      </c>
      <c r="CP349">
        <v>46091</v>
      </c>
      <c r="CQ349">
        <v>1</v>
      </c>
      <c r="CR349">
        <v>1</v>
      </c>
      <c r="CT349">
        <v>1</v>
      </c>
      <c r="CV349">
        <v>4.6296296296296294E-5</v>
      </c>
      <c r="CW349">
        <v>4.6296296296296294E-5</v>
      </c>
      <c r="CX349">
        <v>0.32621527777777776</v>
      </c>
      <c r="CY349">
        <v>0.10421296296296297</v>
      </c>
      <c r="CZ349">
        <v>197</v>
      </c>
      <c r="DA349">
        <v>461</v>
      </c>
      <c r="DB349">
        <v>29</v>
      </c>
      <c r="DC349" t="s">
        <v>867</v>
      </c>
      <c r="DD349">
        <v>42552</v>
      </c>
      <c r="DE349">
        <v>0.1472</v>
      </c>
      <c r="DM349">
        <v>82</v>
      </c>
    </row>
    <row r="350" spans="91:118" x14ac:dyDescent="0.25">
      <c r="CM350" t="s">
        <v>636</v>
      </c>
      <c r="CN350" t="s">
        <v>125</v>
      </c>
      <c r="CO350" t="s">
        <v>206</v>
      </c>
      <c r="CP350">
        <v>46104</v>
      </c>
      <c r="CQ350">
        <v>1</v>
      </c>
      <c r="CR350">
        <v>1</v>
      </c>
      <c r="CT350">
        <v>1</v>
      </c>
      <c r="CV350">
        <v>2.6620370370370372E-4</v>
      </c>
      <c r="CW350">
        <v>2.6620370370370372E-4</v>
      </c>
      <c r="CX350">
        <v>0.19763888888888889</v>
      </c>
      <c r="CY350">
        <v>0.16093750000000001</v>
      </c>
      <c r="CZ350">
        <v>133</v>
      </c>
      <c r="DA350">
        <v>284</v>
      </c>
      <c r="DB350">
        <v>22</v>
      </c>
      <c r="DC350">
        <v>1.5</v>
      </c>
      <c r="DD350">
        <v>32131</v>
      </c>
      <c r="DE350">
        <v>0.16539999999999999</v>
      </c>
      <c r="DM350">
        <v>82</v>
      </c>
    </row>
    <row r="351" spans="91:118" x14ac:dyDescent="0.25">
      <c r="CM351" t="s">
        <v>636</v>
      </c>
      <c r="CN351" t="s">
        <v>125</v>
      </c>
      <c r="CO351" t="s">
        <v>206</v>
      </c>
      <c r="CP351">
        <v>46111</v>
      </c>
      <c r="CQ351">
        <v>1</v>
      </c>
      <c r="CR351">
        <v>1</v>
      </c>
      <c r="CT351">
        <v>1</v>
      </c>
      <c r="CV351">
        <v>8.1018518518518516E-5</v>
      </c>
      <c r="CW351">
        <v>8.1018518518518516E-5</v>
      </c>
      <c r="CX351">
        <v>0.24311342592592591</v>
      </c>
      <c r="CY351">
        <v>0.15332175925925925</v>
      </c>
      <c r="CZ351">
        <v>162</v>
      </c>
      <c r="DA351">
        <v>381</v>
      </c>
      <c r="DB351">
        <v>38</v>
      </c>
      <c r="DC351" t="s">
        <v>682</v>
      </c>
      <c r="DD351">
        <v>18912</v>
      </c>
      <c r="DE351">
        <v>0.2346</v>
      </c>
      <c r="DF351">
        <v>1</v>
      </c>
      <c r="DG351">
        <v>2.63E-2</v>
      </c>
      <c r="DH351">
        <v>200</v>
      </c>
      <c r="DI351">
        <v>200</v>
      </c>
      <c r="DM351">
        <v>82</v>
      </c>
    </row>
    <row r="352" spans="91:118" x14ac:dyDescent="0.25">
      <c r="CM352" t="s">
        <v>636</v>
      </c>
      <c r="CN352" t="s">
        <v>125</v>
      </c>
      <c r="CO352" t="s">
        <v>59</v>
      </c>
      <c r="CP352">
        <v>46091</v>
      </c>
      <c r="CQ352">
        <v>1</v>
      </c>
      <c r="CR352">
        <v>1</v>
      </c>
      <c r="CT352">
        <v>1</v>
      </c>
      <c r="CV352">
        <v>2.3148148148148147E-5</v>
      </c>
      <c r="CW352">
        <v>2.3148148148148147E-5</v>
      </c>
      <c r="CX352">
        <v>0.30486111111111114</v>
      </c>
      <c r="CY352">
        <v>0.11508101851851851</v>
      </c>
      <c r="CZ352">
        <v>187</v>
      </c>
      <c r="DA352">
        <v>294</v>
      </c>
      <c r="DB352">
        <v>15</v>
      </c>
      <c r="DC352" t="s">
        <v>825</v>
      </c>
      <c r="DD352">
        <v>32212</v>
      </c>
      <c r="DE352">
        <v>8.0199999999999994E-2</v>
      </c>
      <c r="DM352">
        <v>82</v>
      </c>
    </row>
    <row r="353" spans="91:118" x14ac:dyDescent="0.25">
      <c r="CM353" t="s">
        <v>636</v>
      </c>
      <c r="CN353" t="s">
        <v>125</v>
      </c>
      <c r="CO353" t="s">
        <v>59</v>
      </c>
      <c r="CP353">
        <v>46105</v>
      </c>
      <c r="CQ353">
        <v>1</v>
      </c>
      <c r="CR353">
        <v>1</v>
      </c>
      <c r="CS353">
        <v>1</v>
      </c>
      <c r="CV353">
        <v>4.5717592592592589E-3</v>
      </c>
      <c r="CW353">
        <v>4.5717592592592589E-3</v>
      </c>
      <c r="CX353">
        <v>0.26250000000000001</v>
      </c>
      <c r="CY353">
        <v>6.0289351851851851E-2</v>
      </c>
      <c r="CZ353">
        <v>293</v>
      </c>
      <c r="DA353">
        <v>435</v>
      </c>
      <c r="DB353">
        <v>40</v>
      </c>
      <c r="DC353">
        <v>1.75</v>
      </c>
      <c r="DD353">
        <v>32596</v>
      </c>
      <c r="DE353">
        <v>0.13650000000000001</v>
      </c>
      <c r="DF353">
        <v>2</v>
      </c>
      <c r="DG353">
        <v>0.05</v>
      </c>
      <c r="DH353">
        <v>3000</v>
      </c>
      <c r="DI353">
        <v>1500</v>
      </c>
      <c r="DJ353">
        <v>3000</v>
      </c>
      <c r="DK353">
        <v>1</v>
      </c>
      <c r="DL353">
        <v>0.15359999999999999</v>
      </c>
      <c r="DM353">
        <v>82</v>
      </c>
      <c r="DN353">
        <v>1500</v>
      </c>
    </row>
    <row r="354" spans="91:118" x14ac:dyDescent="0.25">
      <c r="CM354" t="s">
        <v>636</v>
      </c>
      <c r="CN354" t="s">
        <v>2</v>
      </c>
      <c r="CO354" t="s">
        <v>15</v>
      </c>
      <c r="CP354">
        <v>46092</v>
      </c>
      <c r="CQ354">
        <v>1</v>
      </c>
      <c r="CR354">
        <v>1</v>
      </c>
      <c r="CT354">
        <v>1</v>
      </c>
      <c r="CV354">
        <v>5.7870370370370373E-5</v>
      </c>
      <c r="CW354">
        <v>5.7870370370370373E-5</v>
      </c>
      <c r="CX354">
        <v>0.24986111111111112</v>
      </c>
      <c r="CY354">
        <v>9.1296296296296292E-2</v>
      </c>
      <c r="CZ354">
        <v>104</v>
      </c>
      <c r="DA354">
        <v>122</v>
      </c>
      <c r="DB354">
        <v>9</v>
      </c>
      <c r="DC354" t="s">
        <v>726</v>
      </c>
      <c r="DD354">
        <v>40039</v>
      </c>
      <c r="DE354">
        <v>8.6499999999999994E-2</v>
      </c>
      <c r="DM354">
        <v>82</v>
      </c>
    </row>
    <row r="355" spans="91:118" x14ac:dyDescent="0.25">
      <c r="CM355" t="s">
        <v>636</v>
      </c>
      <c r="CN355" t="s">
        <v>2</v>
      </c>
      <c r="CO355" t="s">
        <v>15</v>
      </c>
      <c r="CP355">
        <v>46106</v>
      </c>
      <c r="CQ355">
        <v>1</v>
      </c>
      <c r="CR355">
        <v>1</v>
      </c>
      <c r="CT355">
        <v>1</v>
      </c>
      <c r="CV355">
        <v>9.2592592592592588E-5</v>
      </c>
      <c r="CW355">
        <v>9.2592592592592588E-5</v>
      </c>
      <c r="CX355">
        <v>0.16462962962962963</v>
      </c>
      <c r="CY355">
        <v>0.17644675925925926</v>
      </c>
      <c r="CZ355">
        <v>131</v>
      </c>
      <c r="DA355">
        <v>153</v>
      </c>
      <c r="DB355">
        <v>7</v>
      </c>
      <c r="DC355" t="s">
        <v>730</v>
      </c>
      <c r="DD355">
        <v>33724</v>
      </c>
      <c r="DE355">
        <v>5.3400000000000003E-2</v>
      </c>
      <c r="DM355">
        <v>82</v>
      </c>
    </row>
    <row r="356" spans="91:118" x14ac:dyDescent="0.25">
      <c r="CM356" t="s">
        <v>636</v>
      </c>
      <c r="CN356" t="s">
        <v>2</v>
      </c>
      <c r="CO356" t="s">
        <v>377</v>
      </c>
      <c r="CP356">
        <v>46092</v>
      </c>
      <c r="CQ356">
        <v>1</v>
      </c>
      <c r="CR356">
        <v>1</v>
      </c>
      <c r="CT356">
        <v>1</v>
      </c>
      <c r="CV356">
        <v>0</v>
      </c>
      <c r="CW356">
        <v>0</v>
      </c>
      <c r="CX356">
        <v>0.23871527777777779</v>
      </c>
      <c r="CY356">
        <v>0.12457175925925926</v>
      </c>
      <c r="CZ356">
        <v>60</v>
      </c>
      <c r="DA356">
        <v>108</v>
      </c>
      <c r="DB356">
        <v>19</v>
      </c>
      <c r="DC356" t="s">
        <v>1034</v>
      </c>
      <c r="DD356">
        <v>37354</v>
      </c>
      <c r="DE356">
        <v>0.31669999999999998</v>
      </c>
      <c r="DM356">
        <v>82</v>
      </c>
    </row>
    <row r="357" spans="91:118" x14ac:dyDescent="0.25">
      <c r="CM357" t="s">
        <v>636</v>
      </c>
      <c r="CN357" t="s">
        <v>2</v>
      </c>
      <c r="CO357" t="s">
        <v>377</v>
      </c>
      <c r="CP357">
        <v>46094</v>
      </c>
      <c r="CQ357">
        <v>1</v>
      </c>
      <c r="CR357">
        <v>1</v>
      </c>
      <c r="CT357">
        <v>1</v>
      </c>
      <c r="CV357">
        <v>6.134259259259259E-4</v>
      </c>
      <c r="CW357">
        <v>6.134259259259259E-4</v>
      </c>
      <c r="CX357">
        <v>0.16024305555555557</v>
      </c>
      <c r="CY357">
        <v>0.18644675925925927</v>
      </c>
      <c r="CZ357">
        <v>70</v>
      </c>
      <c r="DA357">
        <v>137</v>
      </c>
      <c r="DB357">
        <v>32</v>
      </c>
      <c r="DC357">
        <v>1.71875</v>
      </c>
      <c r="DD357">
        <v>28388</v>
      </c>
      <c r="DE357">
        <v>0.45710000000000001</v>
      </c>
      <c r="DM357">
        <v>82</v>
      </c>
    </row>
    <row r="358" spans="91:118" x14ac:dyDescent="0.25">
      <c r="CM358" t="s">
        <v>636</v>
      </c>
      <c r="CN358" t="s">
        <v>2</v>
      </c>
      <c r="CO358" t="s">
        <v>377</v>
      </c>
      <c r="CP358">
        <v>46106</v>
      </c>
      <c r="CQ358">
        <v>1</v>
      </c>
      <c r="CR358">
        <v>1</v>
      </c>
      <c r="CT358">
        <v>1</v>
      </c>
      <c r="CV358">
        <v>0</v>
      </c>
      <c r="CW358">
        <v>0</v>
      </c>
      <c r="CX358">
        <v>0.11534722222222223</v>
      </c>
      <c r="CY358">
        <v>0.24349537037037036</v>
      </c>
      <c r="CZ358">
        <v>72</v>
      </c>
      <c r="DA358">
        <v>149</v>
      </c>
      <c r="DB358">
        <v>18</v>
      </c>
      <c r="DC358">
        <v>1.5</v>
      </c>
      <c r="DD358">
        <v>36611</v>
      </c>
      <c r="DE358">
        <v>0.25</v>
      </c>
      <c r="DM358">
        <v>82</v>
      </c>
    </row>
    <row r="359" spans="91:118" x14ac:dyDescent="0.25">
      <c r="CM359" t="s">
        <v>636</v>
      </c>
      <c r="CN359" t="s">
        <v>2</v>
      </c>
      <c r="CO359" t="s">
        <v>377</v>
      </c>
      <c r="CP359">
        <v>46107</v>
      </c>
      <c r="CQ359">
        <v>1</v>
      </c>
      <c r="CR359">
        <v>1</v>
      </c>
      <c r="CT359">
        <v>1</v>
      </c>
      <c r="CV359">
        <v>0</v>
      </c>
      <c r="CW359">
        <v>0</v>
      </c>
      <c r="CX359">
        <v>0.17707175925925925</v>
      </c>
      <c r="CY359">
        <v>0.10865740740740741</v>
      </c>
      <c r="CZ359">
        <v>79</v>
      </c>
      <c r="DA359">
        <v>155</v>
      </c>
      <c r="DB359">
        <v>25</v>
      </c>
      <c r="DC359">
        <v>1.76</v>
      </c>
      <c r="DD359">
        <v>21498</v>
      </c>
      <c r="DE359">
        <v>0.3165</v>
      </c>
      <c r="DF359">
        <v>1</v>
      </c>
      <c r="DG359">
        <v>0.04</v>
      </c>
      <c r="DH359">
        <v>2000</v>
      </c>
      <c r="DI359">
        <v>2000</v>
      </c>
      <c r="DJ359">
        <v>2000</v>
      </c>
      <c r="DK359">
        <v>1</v>
      </c>
      <c r="DL359">
        <v>0.1027</v>
      </c>
      <c r="DM359">
        <v>82</v>
      </c>
      <c r="DN359">
        <v>2000</v>
      </c>
    </row>
    <row r="360" spans="91:118" x14ac:dyDescent="0.25">
      <c r="CM360" t="s">
        <v>636</v>
      </c>
      <c r="CN360" t="s">
        <v>2</v>
      </c>
      <c r="CO360" t="s">
        <v>377</v>
      </c>
      <c r="CP360">
        <v>46108</v>
      </c>
      <c r="CQ360">
        <v>1</v>
      </c>
      <c r="CR360">
        <v>1</v>
      </c>
      <c r="CT360">
        <v>1</v>
      </c>
      <c r="CV360">
        <v>3.3564814814814812E-4</v>
      </c>
      <c r="CW360">
        <v>3.3564814814814812E-4</v>
      </c>
      <c r="CX360">
        <v>0.15224537037037036</v>
      </c>
      <c r="CY360">
        <v>0.19483796296296296</v>
      </c>
      <c r="CZ360">
        <v>88</v>
      </c>
      <c r="DA360">
        <v>172</v>
      </c>
      <c r="DB360">
        <v>27</v>
      </c>
      <c r="DC360" t="s">
        <v>927</v>
      </c>
      <c r="DD360">
        <v>30123</v>
      </c>
      <c r="DE360">
        <v>0.30680000000000002</v>
      </c>
      <c r="DF360">
        <v>1</v>
      </c>
      <c r="DG360">
        <v>3.6999999999999998E-2</v>
      </c>
      <c r="DH360">
        <v>1434</v>
      </c>
      <c r="DI360">
        <v>1434</v>
      </c>
      <c r="DJ360">
        <v>1434</v>
      </c>
      <c r="DK360">
        <v>1</v>
      </c>
      <c r="DM360">
        <v>82</v>
      </c>
      <c r="DN360">
        <v>1434</v>
      </c>
    </row>
    <row r="361" spans="91:118" x14ac:dyDescent="0.25">
      <c r="CM361" t="s">
        <v>636</v>
      </c>
      <c r="CN361" t="s">
        <v>2</v>
      </c>
      <c r="CO361" t="s">
        <v>22</v>
      </c>
      <c r="CP361">
        <v>46090</v>
      </c>
      <c r="CQ361">
        <v>1</v>
      </c>
      <c r="CR361">
        <v>1</v>
      </c>
      <c r="CT361">
        <v>1</v>
      </c>
      <c r="CV361">
        <v>0</v>
      </c>
      <c r="CW361">
        <v>0</v>
      </c>
      <c r="CX361">
        <v>0.22202546296296297</v>
      </c>
      <c r="CY361">
        <v>8.6458333333333331E-2</v>
      </c>
      <c r="CZ361">
        <v>42</v>
      </c>
      <c r="DA361">
        <v>95</v>
      </c>
      <c r="DB361">
        <v>17</v>
      </c>
      <c r="DC361" t="s">
        <v>821</v>
      </c>
      <c r="DD361">
        <v>27901</v>
      </c>
      <c r="DE361">
        <v>0.40479999999999999</v>
      </c>
      <c r="DF361">
        <v>1</v>
      </c>
      <c r="DG361">
        <v>5.8799999999999998E-2</v>
      </c>
      <c r="DH361">
        <v>1000</v>
      </c>
      <c r="DI361">
        <v>1000</v>
      </c>
      <c r="DJ361">
        <v>1000</v>
      </c>
      <c r="DK361">
        <v>1</v>
      </c>
      <c r="DL361">
        <v>0.1946</v>
      </c>
      <c r="DM361">
        <v>82</v>
      </c>
      <c r="DN361">
        <v>1000</v>
      </c>
    </row>
    <row r="362" spans="91:118" x14ac:dyDescent="0.25">
      <c r="CM362" t="s">
        <v>636</v>
      </c>
      <c r="CN362" t="s">
        <v>2</v>
      </c>
      <c r="CO362" t="s">
        <v>22</v>
      </c>
      <c r="CP362">
        <v>46092</v>
      </c>
      <c r="CQ362">
        <v>1</v>
      </c>
      <c r="CR362">
        <v>1</v>
      </c>
      <c r="CT362">
        <v>1</v>
      </c>
      <c r="CV362">
        <v>0</v>
      </c>
      <c r="CW362">
        <v>0</v>
      </c>
      <c r="CX362">
        <v>0.22956018518518517</v>
      </c>
      <c r="CY362">
        <v>7.4224537037037033E-2</v>
      </c>
      <c r="CZ362">
        <v>68</v>
      </c>
      <c r="DA362">
        <v>133</v>
      </c>
      <c r="DB362">
        <v>10</v>
      </c>
      <c r="DC362">
        <v>1.4</v>
      </c>
      <c r="DD362">
        <v>45767</v>
      </c>
      <c r="DE362">
        <v>0.14710000000000001</v>
      </c>
      <c r="DM362">
        <v>82</v>
      </c>
    </row>
    <row r="363" spans="91:118" x14ac:dyDescent="0.25">
      <c r="CM363" t="s">
        <v>636</v>
      </c>
      <c r="CN363" t="s">
        <v>2</v>
      </c>
      <c r="CO363" t="s">
        <v>22</v>
      </c>
      <c r="CP363">
        <v>46094</v>
      </c>
      <c r="CQ363">
        <v>1</v>
      </c>
      <c r="CR363">
        <v>1</v>
      </c>
      <c r="CT363">
        <v>1</v>
      </c>
      <c r="CV363">
        <v>1.7361111111111112E-4</v>
      </c>
      <c r="CW363">
        <v>1.7361111111111112E-4</v>
      </c>
      <c r="CX363">
        <v>0.20219907407407409</v>
      </c>
      <c r="CY363">
        <v>0.1391087962962963</v>
      </c>
      <c r="CZ363">
        <v>47</v>
      </c>
      <c r="DA363">
        <v>97</v>
      </c>
      <c r="DB363">
        <v>16</v>
      </c>
      <c r="DC363">
        <v>1.4375</v>
      </c>
      <c r="DD363">
        <v>33097</v>
      </c>
      <c r="DE363">
        <v>0.34039999999999998</v>
      </c>
      <c r="DM363">
        <v>82</v>
      </c>
    </row>
    <row r="364" spans="91:118" x14ac:dyDescent="0.25">
      <c r="CM364" t="s">
        <v>636</v>
      </c>
      <c r="CN364" t="s">
        <v>2</v>
      </c>
      <c r="CO364" t="s">
        <v>22</v>
      </c>
      <c r="CP364">
        <v>46101</v>
      </c>
      <c r="CQ364">
        <v>1</v>
      </c>
      <c r="CR364">
        <v>1</v>
      </c>
      <c r="CT364">
        <v>1</v>
      </c>
      <c r="CV364">
        <v>0</v>
      </c>
      <c r="CW364">
        <v>0</v>
      </c>
      <c r="CX364">
        <v>0.20531250000000001</v>
      </c>
      <c r="CY364">
        <v>0.15163194444444444</v>
      </c>
      <c r="CZ364">
        <v>63</v>
      </c>
      <c r="DA364">
        <v>113</v>
      </c>
      <c r="DB364">
        <v>15</v>
      </c>
      <c r="DC364">
        <v>1.4</v>
      </c>
      <c r="DD364">
        <v>38916</v>
      </c>
      <c r="DE364">
        <v>0.23810000000000001</v>
      </c>
      <c r="DF364">
        <v>1</v>
      </c>
      <c r="DG364">
        <v>6.6699999999999995E-2</v>
      </c>
      <c r="DH364">
        <v>1000</v>
      </c>
      <c r="DI364">
        <v>1000</v>
      </c>
      <c r="DJ364">
        <v>1000</v>
      </c>
      <c r="DK364">
        <v>1</v>
      </c>
      <c r="DM364">
        <v>82</v>
      </c>
      <c r="DN364">
        <v>1000</v>
      </c>
    </row>
    <row r="365" spans="91:118" x14ac:dyDescent="0.25">
      <c r="CM365" t="s">
        <v>636</v>
      </c>
      <c r="CN365" t="s">
        <v>2</v>
      </c>
      <c r="CO365" t="s">
        <v>22</v>
      </c>
      <c r="CP365">
        <v>46106</v>
      </c>
      <c r="CQ365">
        <v>1</v>
      </c>
      <c r="CR365">
        <v>1</v>
      </c>
      <c r="CT365">
        <v>1</v>
      </c>
      <c r="CV365">
        <v>0</v>
      </c>
      <c r="CW365">
        <v>0</v>
      </c>
      <c r="CX365">
        <v>0.16313657407407409</v>
      </c>
      <c r="CY365">
        <v>0.17880787037037038</v>
      </c>
      <c r="CZ365">
        <v>55</v>
      </c>
      <c r="DA365">
        <v>87</v>
      </c>
      <c r="DB365">
        <v>11</v>
      </c>
      <c r="DC365" t="s">
        <v>983</v>
      </c>
      <c r="DD365">
        <v>39894</v>
      </c>
      <c r="DE365">
        <v>0.2</v>
      </c>
      <c r="DM365">
        <v>82</v>
      </c>
    </row>
    <row r="366" spans="91:118" x14ac:dyDescent="0.25">
      <c r="CM366" t="s">
        <v>636</v>
      </c>
      <c r="CN366" t="s">
        <v>2</v>
      </c>
      <c r="CO366" t="s">
        <v>24</v>
      </c>
      <c r="CP366">
        <v>46092</v>
      </c>
      <c r="CQ366">
        <v>1</v>
      </c>
      <c r="CR366">
        <v>1</v>
      </c>
      <c r="CT366">
        <v>1</v>
      </c>
      <c r="CV366">
        <v>1.0416666666666667E-4</v>
      </c>
      <c r="CW366">
        <v>1.0416666666666667E-4</v>
      </c>
      <c r="CX366">
        <v>0.25658564814814816</v>
      </c>
      <c r="CY366">
        <v>9.5856481481481487E-2</v>
      </c>
      <c r="CZ366">
        <v>61</v>
      </c>
      <c r="DA366">
        <v>133</v>
      </c>
      <c r="DB366">
        <v>26</v>
      </c>
      <c r="DC366" t="s">
        <v>743</v>
      </c>
      <c r="DD366">
        <v>39347</v>
      </c>
      <c r="DE366">
        <v>0.42620000000000002</v>
      </c>
      <c r="DM366">
        <v>82</v>
      </c>
    </row>
    <row r="367" spans="91:118" x14ac:dyDescent="0.25">
      <c r="CM367" t="s">
        <v>636</v>
      </c>
      <c r="CN367" t="s">
        <v>2</v>
      </c>
      <c r="CO367" t="s">
        <v>24</v>
      </c>
      <c r="CP367">
        <v>46093</v>
      </c>
      <c r="CQ367">
        <v>1</v>
      </c>
      <c r="CR367">
        <v>1</v>
      </c>
      <c r="CT367">
        <v>1</v>
      </c>
      <c r="CV367">
        <v>9.2592592592592588E-5</v>
      </c>
      <c r="CW367">
        <v>9.2592592592592588E-5</v>
      </c>
      <c r="CX367">
        <v>0.24601851851851853</v>
      </c>
      <c r="CY367">
        <v>0.10813657407407408</v>
      </c>
      <c r="CZ367">
        <v>74</v>
      </c>
      <c r="DA367">
        <v>147</v>
      </c>
      <c r="DB367">
        <v>35</v>
      </c>
      <c r="DC367">
        <v>1.6</v>
      </c>
      <c r="DD367">
        <v>17975</v>
      </c>
      <c r="DE367">
        <v>0.47299999999999998</v>
      </c>
      <c r="DF367">
        <v>2</v>
      </c>
      <c r="DG367">
        <v>5.7099999999999998E-2</v>
      </c>
      <c r="DH367">
        <v>1000</v>
      </c>
      <c r="DI367">
        <v>500</v>
      </c>
      <c r="DJ367">
        <v>600</v>
      </c>
      <c r="DK367">
        <v>0.6</v>
      </c>
      <c r="DM367">
        <v>82</v>
      </c>
      <c r="DN367">
        <v>600</v>
      </c>
    </row>
    <row r="368" spans="91:118" x14ac:dyDescent="0.25">
      <c r="CM368" t="s">
        <v>636</v>
      </c>
      <c r="CN368" t="s">
        <v>2</v>
      </c>
      <c r="CO368" t="s">
        <v>24</v>
      </c>
      <c r="CP368">
        <v>46097</v>
      </c>
      <c r="CQ368">
        <v>1</v>
      </c>
      <c r="CR368">
        <v>1</v>
      </c>
      <c r="CT368">
        <v>1</v>
      </c>
      <c r="CV368">
        <v>1.25E-3</v>
      </c>
      <c r="CW368">
        <v>1.25E-3</v>
      </c>
      <c r="CX368">
        <v>0.28649305555555554</v>
      </c>
      <c r="CY368">
        <v>0.13324074074074074</v>
      </c>
      <c r="CZ368">
        <v>79</v>
      </c>
      <c r="DA368">
        <v>164</v>
      </c>
      <c r="DB368">
        <v>36</v>
      </c>
      <c r="DC368" t="s">
        <v>832</v>
      </c>
      <c r="DD368">
        <v>18177</v>
      </c>
      <c r="DE368">
        <v>0.45569999999999999</v>
      </c>
      <c r="DF368">
        <v>1</v>
      </c>
      <c r="DG368">
        <v>2.7799999999999998E-2</v>
      </c>
      <c r="DH368">
        <v>4000</v>
      </c>
      <c r="DI368">
        <v>4000</v>
      </c>
      <c r="DJ368">
        <v>4000</v>
      </c>
      <c r="DK368">
        <v>1</v>
      </c>
      <c r="DL368">
        <v>0.14929999999999999</v>
      </c>
      <c r="DM368">
        <v>82</v>
      </c>
      <c r="DN368">
        <v>4000</v>
      </c>
    </row>
    <row r="369" spans="91:118" x14ac:dyDescent="0.25">
      <c r="CM369" t="s">
        <v>636</v>
      </c>
      <c r="CN369" t="s">
        <v>2</v>
      </c>
      <c r="CO369" t="s">
        <v>13</v>
      </c>
      <c r="CP369">
        <v>46083</v>
      </c>
      <c r="CQ369">
        <v>1</v>
      </c>
      <c r="CR369">
        <v>1</v>
      </c>
      <c r="CT369">
        <v>1</v>
      </c>
      <c r="CV369">
        <v>5.7870370370370373E-5</v>
      </c>
      <c r="CW369">
        <v>5.7870370370370373E-5</v>
      </c>
      <c r="CX369">
        <v>0.25381944444444443</v>
      </c>
      <c r="CY369">
        <v>4.4363425925925924E-2</v>
      </c>
      <c r="CZ369">
        <v>81</v>
      </c>
      <c r="DA369">
        <v>155</v>
      </c>
      <c r="DB369">
        <v>25</v>
      </c>
      <c r="DC369">
        <v>1.52</v>
      </c>
      <c r="DD369">
        <v>26563</v>
      </c>
      <c r="DE369">
        <v>0.30859999999999999</v>
      </c>
      <c r="DF369">
        <v>6</v>
      </c>
      <c r="DG369">
        <v>0.24</v>
      </c>
      <c r="DH369">
        <v>8618</v>
      </c>
      <c r="DI369">
        <v>1436</v>
      </c>
      <c r="DJ369">
        <v>8098</v>
      </c>
      <c r="DK369">
        <v>0.93969999999999998</v>
      </c>
      <c r="DL369">
        <v>6.54E-2</v>
      </c>
      <c r="DM369">
        <v>82</v>
      </c>
      <c r="DN369">
        <v>1620</v>
      </c>
    </row>
    <row r="370" spans="91:118" x14ac:dyDescent="0.25">
      <c r="CM370" t="s">
        <v>636</v>
      </c>
      <c r="CN370" t="s">
        <v>2</v>
      </c>
      <c r="CO370" t="s">
        <v>13</v>
      </c>
      <c r="CP370">
        <v>46092</v>
      </c>
      <c r="CQ370">
        <v>1</v>
      </c>
      <c r="CR370">
        <v>1</v>
      </c>
      <c r="CT370">
        <v>1</v>
      </c>
      <c r="CV370">
        <v>1.7476851851851852E-3</v>
      </c>
      <c r="CW370">
        <v>1.7476851851851852E-3</v>
      </c>
      <c r="CX370">
        <v>0.25270833333333331</v>
      </c>
      <c r="CY370">
        <v>8.0775462962962966E-2</v>
      </c>
      <c r="CZ370">
        <v>68</v>
      </c>
      <c r="DA370">
        <v>167</v>
      </c>
      <c r="DB370">
        <v>13</v>
      </c>
      <c r="DC370" t="s">
        <v>743</v>
      </c>
      <c r="DD370">
        <v>59197</v>
      </c>
      <c r="DE370">
        <v>0.19120000000000001</v>
      </c>
      <c r="DM370">
        <v>82</v>
      </c>
    </row>
    <row r="371" spans="91:118" x14ac:dyDescent="0.25">
      <c r="CM371" t="s">
        <v>636</v>
      </c>
      <c r="CN371" t="s">
        <v>2</v>
      </c>
      <c r="CO371" t="s">
        <v>564</v>
      </c>
      <c r="CP371">
        <v>46094</v>
      </c>
      <c r="CQ371">
        <v>1</v>
      </c>
      <c r="CR371">
        <v>1</v>
      </c>
      <c r="CT371">
        <v>1</v>
      </c>
      <c r="CV371">
        <v>0</v>
      </c>
      <c r="CW371">
        <v>0</v>
      </c>
      <c r="CX371">
        <v>0.24527777777777779</v>
      </c>
      <c r="CY371">
        <v>8.1365740740740738E-2</v>
      </c>
      <c r="CZ371">
        <v>61</v>
      </c>
      <c r="DA371">
        <v>94</v>
      </c>
      <c r="DB371">
        <v>21</v>
      </c>
      <c r="DC371" t="s">
        <v>718</v>
      </c>
      <c r="DD371">
        <v>27852</v>
      </c>
      <c r="DE371">
        <v>0.34429999999999999</v>
      </c>
      <c r="DM371">
        <v>82</v>
      </c>
    </row>
    <row r="372" spans="91:118" x14ac:dyDescent="0.25">
      <c r="CM372" t="s">
        <v>636</v>
      </c>
      <c r="CN372" t="s">
        <v>2</v>
      </c>
      <c r="CO372" t="s">
        <v>564</v>
      </c>
      <c r="CP372">
        <v>46106</v>
      </c>
      <c r="CQ372">
        <v>1</v>
      </c>
      <c r="CR372">
        <v>1</v>
      </c>
      <c r="CT372">
        <v>1</v>
      </c>
      <c r="CV372">
        <v>0</v>
      </c>
      <c r="CW372">
        <v>0</v>
      </c>
      <c r="CX372">
        <v>0.17509259259259261</v>
      </c>
      <c r="CY372">
        <v>0.17914351851851851</v>
      </c>
      <c r="CZ372">
        <v>69</v>
      </c>
      <c r="DA372">
        <v>82</v>
      </c>
      <c r="DB372">
        <v>9</v>
      </c>
      <c r="DC372" t="s">
        <v>718</v>
      </c>
      <c r="DD372">
        <v>27792</v>
      </c>
      <c r="DE372">
        <v>0.13039999999999999</v>
      </c>
      <c r="DM372">
        <v>82</v>
      </c>
    </row>
    <row r="373" spans="91:118" x14ac:dyDescent="0.25">
      <c r="CM373" t="s">
        <v>636</v>
      </c>
      <c r="CN373" t="s">
        <v>2</v>
      </c>
      <c r="CO373" t="s">
        <v>65</v>
      </c>
      <c r="CP373">
        <v>46092</v>
      </c>
      <c r="CQ373">
        <v>1</v>
      </c>
      <c r="CR373">
        <v>1</v>
      </c>
      <c r="CT373">
        <v>1</v>
      </c>
      <c r="CV373">
        <v>2.7777777777777778E-4</v>
      </c>
      <c r="CW373">
        <v>2.7777777777777778E-4</v>
      </c>
      <c r="CX373">
        <v>0.25660879629629629</v>
      </c>
      <c r="CY373">
        <v>9.1817129629629624E-2</v>
      </c>
      <c r="CZ373">
        <v>49</v>
      </c>
      <c r="DA373">
        <v>122</v>
      </c>
      <c r="DB373">
        <v>13</v>
      </c>
      <c r="DC373">
        <v>1</v>
      </c>
      <c r="DD373">
        <v>20943</v>
      </c>
      <c r="DE373">
        <v>0.26529999999999998</v>
      </c>
      <c r="DM373">
        <v>82</v>
      </c>
    </row>
    <row r="374" spans="91:118" x14ac:dyDescent="0.25">
      <c r="CM374" t="s">
        <v>636</v>
      </c>
      <c r="CN374" t="s">
        <v>2</v>
      </c>
      <c r="CO374" t="s">
        <v>65</v>
      </c>
      <c r="CP374">
        <v>46094</v>
      </c>
      <c r="CQ374">
        <v>1</v>
      </c>
      <c r="CR374">
        <v>1</v>
      </c>
      <c r="CT374">
        <v>1</v>
      </c>
      <c r="CV374">
        <v>2.6620370370370372E-4</v>
      </c>
      <c r="CW374">
        <v>2.6620370370370372E-4</v>
      </c>
      <c r="CX374">
        <v>0.25893518518518521</v>
      </c>
      <c r="CY374">
        <v>9.4270833333333331E-2</v>
      </c>
      <c r="CZ374">
        <v>47</v>
      </c>
      <c r="DA374">
        <v>115</v>
      </c>
      <c r="DB374">
        <v>7</v>
      </c>
      <c r="DC374" t="s">
        <v>803</v>
      </c>
      <c r="DD374">
        <v>11237</v>
      </c>
      <c r="DE374">
        <v>0.1489</v>
      </c>
      <c r="DM374">
        <v>82</v>
      </c>
    </row>
    <row r="375" spans="91:118" x14ac:dyDescent="0.25">
      <c r="CM375" t="s">
        <v>636</v>
      </c>
      <c r="CN375" t="s">
        <v>2</v>
      </c>
      <c r="CO375" t="s">
        <v>23</v>
      </c>
      <c r="CP375">
        <v>46097</v>
      </c>
      <c r="CQ375">
        <v>1</v>
      </c>
      <c r="CR375">
        <v>1</v>
      </c>
      <c r="CT375">
        <v>1</v>
      </c>
      <c r="CV375">
        <v>0</v>
      </c>
      <c r="CW375">
        <v>0</v>
      </c>
      <c r="CX375">
        <v>0.27621527777777777</v>
      </c>
      <c r="CY375">
        <v>0.11847222222222223</v>
      </c>
      <c r="CZ375">
        <v>83</v>
      </c>
      <c r="DA375">
        <v>163</v>
      </c>
      <c r="DB375">
        <v>20</v>
      </c>
      <c r="DC375">
        <v>1.8</v>
      </c>
      <c r="DD375">
        <v>24921</v>
      </c>
      <c r="DE375">
        <v>0.24099999999999999</v>
      </c>
      <c r="DF375">
        <v>1</v>
      </c>
      <c r="DG375">
        <v>0.05</v>
      </c>
      <c r="DH375">
        <v>250</v>
      </c>
      <c r="DI375">
        <v>250</v>
      </c>
      <c r="DJ375">
        <v>250</v>
      </c>
      <c r="DK375">
        <v>1</v>
      </c>
      <c r="DM375">
        <v>82</v>
      </c>
      <c r="DN375">
        <v>250</v>
      </c>
    </row>
    <row r="376" spans="91:118" x14ac:dyDescent="0.25">
      <c r="CM376" t="s">
        <v>636</v>
      </c>
      <c r="CN376" t="s">
        <v>2</v>
      </c>
      <c r="CO376" t="s">
        <v>23</v>
      </c>
      <c r="CP376">
        <v>46098</v>
      </c>
      <c r="CQ376">
        <v>1</v>
      </c>
      <c r="CR376">
        <v>1</v>
      </c>
      <c r="CT376">
        <v>1</v>
      </c>
      <c r="CV376">
        <v>1.8518518518518518E-4</v>
      </c>
      <c r="CW376">
        <v>1.8518518518518518E-4</v>
      </c>
      <c r="CX376">
        <v>0.19387731481481482</v>
      </c>
      <c r="CY376">
        <v>3.6134259259259262E-2</v>
      </c>
      <c r="CZ376">
        <v>51</v>
      </c>
      <c r="DA376">
        <v>114</v>
      </c>
      <c r="DB376">
        <v>19</v>
      </c>
      <c r="DC376" t="s">
        <v>791</v>
      </c>
      <c r="DD376">
        <v>21938</v>
      </c>
      <c r="DE376">
        <v>0.3725</v>
      </c>
      <c r="DF376">
        <v>1</v>
      </c>
      <c r="DG376">
        <v>5.2600000000000001E-2</v>
      </c>
      <c r="DH376">
        <v>2200</v>
      </c>
      <c r="DI376">
        <v>2200</v>
      </c>
      <c r="DJ376">
        <v>2200</v>
      </c>
      <c r="DK376">
        <v>1</v>
      </c>
      <c r="DL376">
        <v>0.1022</v>
      </c>
      <c r="DM376">
        <v>82</v>
      </c>
      <c r="DN376">
        <v>2200</v>
      </c>
    </row>
    <row r="377" spans="91:118" x14ac:dyDescent="0.25">
      <c r="CM377" t="s">
        <v>636</v>
      </c>
      <c r="CN377" t="s">
        <v>2</v>
      </c>
      <c r="CO377" t="s">
        <v>23</v>
      </c>
      <c r="CP377">
        <v>46106</v>
      </c>
      <c r="CQ377">
        <v>1</v>
      </c>
      <c r="CR377">
        <v>1</v>
      </c>
      <c r="CT377">
        <v>1</v>
      </c>
      <c r="CV377">
        <v>0</v>
      </c>
      <c r="CW377">
        <v>0</v>
      </c>
      <c r="CX377">
        <v>0.17233796296296297</v>
      </c>
      <c r="CY377">
        <v>0.1875</v>
      </c>
      <c r="CZ377">
        <v>80</v>
      </c>
      <c r="DA377">
        <v>158</v>
      </c>
      <c r="DB377">
        <v>12</v>
      </c>
      <c r="DC377">
        <v>1.75</v>
      </c>
      <c r="DD377">
        <v>26677</v>
      </c>
      <c r="DE377">
        <v>0.15</v>
      </c>
      <c r="DM377">
        <v>82</v>
      </c>
    </row>
    <row r="378" spans="91:118" x14ac:dyDescent="0.25">
      <c r="CM378" t="s">
        <v>636</v>
      </c>
      <c r="CN378" t="s">
        <v>2</v>
      </c>
      <c r="CO378" t="s">
        <v>23</v>
      </c>
      <c r="CP378">
        <v>46112</v>
      </c>
      <c r="CQ378">
        <v>1</v>
      </c>
      <c r="CR378">
        <v>1</v>
      </c>
      <c r="CT378">
        <v>1</v>
      </c>
      <c r="CV378">
        <v>2.3148148148148147E-5</v>
      </c>
      <c r="CW378">
        <v>2.3148148148148147E-5</v>
      </c>
      <c r="CX378">
        <v>9.6643518518518517E-2</v>
      </c>
      <c r="CY378">
        <v>0.29961805555555554</v>
      </c>
      <c r="CZ378">
        <v>50</v>
      </c>
      <c r="DA378">
        <v>123</v>
      </c>
      <c r="DB378">
        <v>18</v>
      </c>
      <c r="DC378" t="s">
        <v>1017</v>
      </c>
      <c r="DD378">
        <v>22661</v>
      </c>
      <c r="DE378">
        <v>0.36</v>
      </c>
      <c r="DF378">
        <v>1</v>
      </c>
      <c r="DG378">
        <v>5.5599999999999997E-2</v>
      </c>
      <c r="DH378">
        <v>1850</v>
      </c>
      <c r="DI378">
        <v>1850</v>
      </c>
      <c r="DJ378">
        <v>1850</v>
      </c>
      <c r="DK378">
        <v>1</v>
      </c>
      <c r="DL378">
        <v>0.1</v>
      </c>
      <c r="DM378">
        <v>82</v>
      </c>
      <c r="DN378">
        <v>1850</v>
      </c>
    </row>
    <row r="379" spans="91:118" x14ac:dyDescent="0.25">
      <c r="CM379" t="s">
        <v>636</v>
      </c>
      <c r="CN379" t="s">
        <v>2</v>
      </c>
      <c r="CO379" t="s">
        <v>25</v>
      </c>
      <c r="CP379">
        <v>46104</v>
      </c>
      <c r="CQ379">
        <v>1</v>
      </c>
      <c r="CR379">
        <v>1</v>
      </c>
      <c r="CS379">
        <v>1</v>
      </c>
      <c r="CV379">
        <v>7.6273148148148151E-3</v>
      </c>
      <c r="CW379">
        <v>7.6273148148148151E-3</v>
      </c>
      <c r="CX379">
        <v>0.11976851851851852</v>
      </c>
      <c r="CY379">
        <v>0.15214120370370371</v>
      </c>
      <c r="CZ379">
        <v>31</v>
      </c>
      <c r="DA379">
        <v>72</v>
      </c>
      <c r="DB379">
        <v>9</v>
      </c>
      <c r="DC379" t="s">
        <v>749</v>
      </c>
      <c r="DD379">
        <v>38922</v>
      </c>
      <c r="DE379">
        <v>0.2903</v>
      </c>
      <c r="DF379">
        <v>1</v>
      </c>
      <c r="DG379">
        <v>0.1111</v>
      </c>
      <c r="DH379">
        <v>3400</v>
      </c>
      <c r="DI379">
        <v>3400</v>
      </c>
      <c r="DJ379">
        <v>3400</v>
      </c>
      <c r="DK379">
        <v>1</v>
      </c>
      <c r="DL379">
        <v>0.22839999999999999</v>
      </c>
      <c r="DM379">
        <v>82</v>
      </c>
      <c r="DN379">
        <v>3400</v>
      </c>
    </row>
    <row r="380" spans="91:118" x14ac:dyDescent="0.25">
      <c r="CM380" t="s">
        <v>636</v>
      </c>
      <c r="CN380" t="s">
        <v>2</v>
      </c>
      <c r="CO380" t="s">
        <v>25</v>
      </c>
      <c r="CP380">
        <v>46106</v>
      </c>
      <c r="CQ380">
        <v>1</v>
      </c>
      <c r="CR380">
        <v>1</v>
      </c>
      <c r="CT380">
        <v>1</v>
      </c>
      <c r="CV380">
        <v>0</v>
      </c>
      <c r="CW380">
        <v>0</v>
      </c>
      <c r="CX380">
        <v>0.14390046296296297</v>
      </c>
      <c r="CY380">
        <v>0.21562500000000001</v>
      </c>
      <c r="CZ380">
        <v>88</v>
      </c>
      <c r="DA380">
        <v>136</v>
      </c>
      <c r="DB380">
        <v>9</v>
      </c>
      <c r="DC380" t="s">
        <v>697</v>
      </c>
      <c r="DD380">
        <v>30706</v>
      </c>
      <c r="DE380">
        <v>0.1023</v>
      </c>
      <c r="DM380">
        <v>82</v>
      </c>
    </row>
    <row r="381" spans="91:118" x14ac:dyDescent="0.25">
      <c r="CM381" t="s">
        <v>636</v>
      </c>
      <c r="CN381" t="s">
        <v>2</v>
      </c>
      <c r="CO381" t="s">
        <v>17</v>
      </c>
      <c r="CP381">
        <v>46092</v>
      </c>
      <c r="CQ381">
        <v>1</v>
      </c>
      <c r="CR381">
        <v>1</v>
      </c>
      <c r="CT381">
        <v>1</v>
      </c>
      <c r="CV381">
        <v>2.6620370370370372E-4</v>
      </c>
      <c r="CW381">
        <v>2.6620370370370372E-4</v>
      </c>
      <c r="CX381">
        <v>0.22253472222222223</v>
      </c>
      <c r="CY381">
        <v>9.9618055555555557E-2</v>
      </c>
      <c r="CZ381">
        <v>63</v>
      </c>
      <c r="DA381">
        <v>129</v>
      </c>
      <c r="DB381">
        <v>11</v>
      </c>
      <c r="DC381" t="s">
        <v>1013</v>
      </c>
      <c r="DD381">
        <v>43335</v>
      </c>
      <c r="DE381">
        <v>0.17460000000000001</v>
      </c>
      <c r="DM381">
        <v>82</v>
      </c>
    </row>
    <row r="382" spans="91:118" x14ac:dyDescent="0.25">
      <c r="CM382" t="s">
        <v>636</v>
      </c>
      <c r="CN382" t="s">
        <v>2</v>
      </c>
      <c r="CO382" t="s">
        <v>17</v>
      </c>
      <c r="CP382">
        <v>46106</v>
      </c>
      <c r="CQ382">
        <v>1</v>
      </c>
      <c r="CR382">
        <v>1</v>
      </c>
      <c r="CT382">
        <v>1</v>
      </c>
      <c r="CV382">
        <v>2.7199074074074074E-3</v>
      </c>
      <c r="CW382">
        <v>2.7199074074074074E-3</v>
      </c>
      <c r="CX382">
        <v>0.17032407407407407</v>
      </c>
      <c r="CY382">
        <v>0.15342592592592594</v>
      </c>
      <c r="CZ382">
        <v>60</v>
      </c>
      <c r="DA382">
        <v>121</v>
      </c>
      <c r="DB382">
        <v>10</v>
      </c>
      <c r="DC382">
        <v>1.3</v>
      </c>
      <c r="DD382">
        <v>37890</v>
      </c>
      <c r="DE382">
        <v>0.16669999999999999</v>
      </c>
      <c r="DM382">
        <v>82</v>
      </c>
    </row>
    <row r="383" spans="91:118" x14ac:dyDescent="0.25">
      <c r="CM383" t="s">
        <v>636</v>
      </c>
      <c r="CN383" t="s">
        <v>2</v>
      </c>
      <c r="CO383" t="s">
        <v>207</v>
      </c>
      <c r="CP383">
        <v>46094</v>
      </c>
      <c r="CQ383">
        <v>1</v>
      </c>
      <c r="CR383">
        <v>1</v>
      </c>
      <c r="CT383">
        <v>1</v>
      </c>
      <c r="CV383">
        <v>1.273148148148148E-4</v>
      </c>
      <c r="CW383">
        <v>1.273148148148148E-4</v>
      </c>
      <c r="CX383">
        <v>0.26002314814814814</v>
      </c>
      <c r="CY383">
        <v>8.6967592592592596E-2</v>
      </c>
      <c r="CZ383">
        <v>161</v>
      </c>
      <c r="DA383">
        <v>238</v>
      </c>
      <c r="DB383">
        <v>25</v>
      </c>
      <c r="DC383">
        <v>1.48</v>
      </c>
      <c r="DD383">
        <v>24459</v>
      </c>
      <c r="DE383">
        <v>0.15529999999999999</v>
      </c>
      <c r="DM383">
        <v>82</v>
      </c>
    </row>
    <row r="384" spans="91:118" x14ac:dyDescent="0.25">
      <c r="CM384" t="s">
        <v>636</v>
      </c>
      <c r="CN384" t="s">
        <v>6</v>
      </c>
      <c r="CO384" t="s">
        <v>80</v>
      </c>
      <c r="CP384">
        <v>46091</v>
      </c>
      <c r="CQ384">
        <v>1</v>
      </c>
      <c r="CR384">
        <v>1</v>
      </c>
      <c r="CT384">
        <v>1</v>
      </c>
      <c r="CV384">
        <v>1.273148148148148E-4</v>
      </c>
      <c r="CW384">
        <v>1.273148148148148E-4</v>
      </c>
      <c r="CX384">
        <v>0.28304398148148147</v>
      </c>
      <c r="CY384">
        <v>0.10291666666666667</v>
      </c>
      <c r="CZ384">
        <v>123</v>
      </c>
      <c r="DA384">
        <v>152</v>
      </c>
      <c r="DB384">
        <v>12</v>
      </c>
      <c r="DC384">
        <v>1.5</v>
      </c>
      <c r="DD384">
        <v>60428</v>
      </c>
      <c r="DE384">
        <v>9.7600000000000006E-2</v>
      </c>
      <c r="DF384">
        <v>1</v>
      </c>
      <c r="DG384">
        <v>8.3299999999999999E-2</v>
      </c>
      <c r="DH384">
        <v>400</v>
      </c>
      <c r="DI384">
        <v>400</v>
      </c>
      <c r="DJ384">
        <v>400</v>
      </c>
      <c r="DK384">
        <v>1</v>
      </c>
      <c r="DM384">
        <v>82</v>
      </c>
      <c r="DN384">
        <v>400</v>
      </c>
    </row>
    <row r="385" spans="91:118" x14ac:dyDescent="0.25">
      <c r="CM385" t="s">
        <v>636</v>
      </c>
      <c r="CN385" t="s">
        <v>6</v>
      </c>
      <c r="CO385" t="s">
        <v>80</v>
      </c>
      <c r="CP385">
        <v>46106</v>
      </c>
      <c r="CQ385">
        <v>1</v>
      </c>
      <c r="CR385">
        <v>1</v>
      </c>
      <c r="CT385">
        <v>1</v>
      </c>
      <c r="CV385">
        <v>5.7870370370370373E-5</v>
      </c>
      <c r="CW385">
        <v>5.7870370370370373E-5</v>
      </c>
      <c r="CX385">
        <v>0.12987268518518519</v>
      </c>
      <c r="CY385">
        <v>0.17017361111111112</v>
      </c>
      <c r="CZ385">
        <v>54</v>
      </c>
      <c r="DA385">
        <v>91</v>
      </c>
      <c r="DB385">
        <v>12</v>
      </c>
      <c r="DC385" t="s">
        <v>1035</v>
      </c>
      <c r="DD385">
        <v>22486</v>
      </c>
      <c r="DE385">
        <v>0.22220000000000001</v>
      </c>
      <c r="DF385">
        <v>1</v>
      </c>
      <c r="DG385">
        <v>8.3299999999999999E-2</v>
      </c>
      <c r="DH385">
        <v>1000</v>
      </c>
      <c r="DI385">
        <v>1000</v>
      </c>
      <c r="DJ385">
        <v>1000</v>
      </c>
      <c r="DK385">
        <v>1</v>
      </c>
      <c r="DL385">
        <v>0.19</v>
      </c>
      <c r="DM385">
        <v>82</v>
      </c>
      <c r="DN385">
        <v>1000</v>
      </c>
    </row>
    <row r="386" spans="91:118" x14ac:dyDescent="0.25">
      <c r="CM386" t="s">
        <v>636</v>
      </c>
      <c r="CN386" t="s">
        <v>6</v>
      </c>
      <c r="CO386" t="s">
        <v>81</v>
      </c>
      <c r="CP386">
        <v>46099</v>
      </c>
      <c r="CQ386">
        <v>1</v>
      </c>
      <c r="CR386">
        <v>1</v>
      </c>
      <c r="CT386">
        <v>1</v>
      </c>
      <c r="CV386">
        <v>5.7870370370370373E-5</v>
      </c>
      <c r="CW386">
        <v>5.7870370370370373E-5</v>
      </c>
      <c r="CX386">
        <v>0.23488425925925926</v>
      </c>
      <c r="CY386">
        <v>0.14874999999999999</v>
      </c>
      <c r="CZ386">
        <v>107</v>
      </c>
      <c r="DA386">
        <v>198</v>
      </c>
      <c r="DB386">
        <v>14</v>
      </c>
      <c r="DC386" t="s">
        <v>729</v>
      </c>
      <c r="DD386">
        <v>14853</v>
      </c>
      <c r="DE386">
        <v>0.1308</v>
      </c>
      <c r="DF386">
        <v>1</v>
      </c>
      <c r="DG386">
        <v>7.1400000000000005E-2</v>
      </c>
      <c r="DH386">
        <v>150</v>
      </c>
      <c r="DI386">
        <v>150</v>
      </c>
      <c r="DJ386">
        <v>150</v>
      </c>
      <c r="DK386">
        <v>1</v>
      </c>
      <c r="DL386">
        <v>0.53410000000000002</v>
      </c>
      <c r="DM386">
        <v>82</v>
      </c>
      <c r="DN386">
        <v>150</v>
      </c>
    </row>
    <row r="387" spans="91:118" x14ac:dyDescent="0.25">
      <c r="CM387" t="s">
        <v>636</v>
      </c>
      <c r="CN387" t="s">
        <v>6</v>
      </c>
      <c r="CO387" t="s">
        <v>81</v>
      </c>
      <c r="CP387">
        <v>46100</v>
      </c>
      <c r="CQ387">
        <v>1</v>
      </c>
      <c r="CR387">
        <v>1</v>
      </c>
      <c r="CT387">
        <v>1</v>
      </c>
      <c r="CV387">
        <v>0</v>
      </c>
      <c r="CW387">
        <v>0</v>
      </c>
      <c r="CX387">
        <v>0.16608796296296297</v>
      </c>
      <c r="CY387">
        <v>0.11375</v>
      </c>
      <c r="CZ387">
        <v>71</v>
      </c>
      <c r="DA387">
        <v>121</v>
      </c>
      <c r="DB387">
        <v>12</v>
      </c>
      <c r="DC387" t="s">
        <v>712</v>
      </c>
      <c r="DD387">
        <v>18785</v>
      </c>
      <c r="DE387">
        <v>0.16900000000000001</v>
      </c>
      <c r="DF387">
        <v>1</v>
      </c>
      <c r="DG387">
        <v>8.3299999999999999E-2</v>
      </c>
      <c r="DH387">
        <v>398</v>
      </c>
      <c r="DI387">
        <v>398</v>
      </c>
      <c r="DJ387">
        <v>398</v>
      </c>
      <c r="DK387">
        <v>1</v>
      </c>
      <c r="DM387">
        <v>82</v>
      </c>
      <c r="DN387">
        <v>398</v>
      </c>
    </row>
    <row r="388" spans="91:118" x14ac:dyDescent="0.25">
      <c r="CM388" t="s">
        <v>636</v>
      </c>
      <c r="CN388" t="s">
        <v>6</v>
      </c>
      <c r="CO388" t="s">
        <v>35</v>
      </c>
      <c r="CP388">
        <v>46097</v>
      </c>
      <c r="CQ388">
        <v>1</v>
      </c>
      <c r="CR388">
        <v>1</v>
      </c>
      <c r="CT388">
        <v>1</v>
      </c>
      <c r="CV388">
        <v>1.8518518518518518E-4</v>
      </c>
      <c r="CW388">
        <v>1.8518518518518518E-4</v>
      </c>
      <c r="CX388">
        <v>0.2883101851851852</v>
      </c>
      <c r="CY388">
        <v>0.15041666666666667</v>
      </c>
      <c r="CZ388">
        <v>76</v>
      </c>
      <c r="DA388">
        <v>130</v>
      </c>
      <c r="DB388">
        <v>24</v>
      </c>
      <c r="DC388" t="s">
        <v>674</v>
      </c>
      <c r="DD388">
        <v>27773</v>
      </c>
      <c r="DE388">
        <v>0.31580000000000003</v>
      </c>
      <c r="DF388">
        <v>2</v>
      </c>
      <c r="DG388">
        <v>8.3299999999999999E-2</v>
      </c>
      <c r="DH388">
        <v>940</v>
      </c>
      <c r="DI388">
        <v>470</v>
      </c>
      <c r="DM388">
        <v>82</v>
      </c>
    </row>
    <row r="389" spans="91:118" x14ac:dyDescent="0.25">
      <c r="CM389" t="s">
        <v>636</v>
      </c>
      <c r="CN389" t="s">
        <v>6</v>
      </c>
      <c r="CO389" t="s">
        <v>50</v>
      </c>
      <c r="CP389">
        <v>46097</v>
      </c>
      <c r="CQ389">
        <v>1</v>
      </c>
      <c r="CR389">
        <v>1</v>
      </c>
      <c r="CS389">
        <v>1</v>
      </c>
      <c r="CV389">
        <v>8.6863425925925927E-2</v>
      </c>
      <c r="CW389">
        <v>8.6863425925925927E-2</v>
      </c>
      <c r="CX389">
        <v>0.22540509259259259</v>
      </c>
      <c r="CY389">
        <v>0.1328125</v>
      </c>
      <c r="CZ389">
        <v>58</v>
      </c>
      <c r="DA389">
        <v>92</v>
      </c>
      <c r="DB389">
        <v>18</v>
      </c>
      <c r="DC389" t="s">
        <v>749</v>
      </c>
      <c r="DD389">
        <v>13234</v>
      </c>
      <c r="DE389">
        <v>0.31030000000000002</v>
      </c>
      <c r="DF389">
        <v>1</v>
      </c>
      <c r="DG389">
        <v>5.5599999999999997E-2</v>
      </c>
      <c r="DH389">
        <v>1200</v>
      </c>
      <c r="DI389">
        <v>1200</v>
      </c>
      <c r="DJ389">
        <v>1200</v>
      </c>
      <c r="DK389">
        <v>1</v>
      </c>
      <c r="DL389">
        <v>0.13239999999999999</v>
      </c>
      <c r="DM389">
        <v>82</v>
      </c>
      <c r="DN389">
        <v>1200</v>
      </c>
    </row>
    <row r="390" spans="91:118" x14ac:dyDescent="0.25">
      <c r="CM390" t="s">
        <v>636</v>
      </c>
      <c r="CN390" t="s">
        <v>6</v>
      </c>
      <c r="CO390" t="s">
        <v>97</v>
      </c>
      <c r="CP390">
        <v>46105</v>
      </c>
      <c r="CQ390">
        <v>1</v>
      </c>
      <c r="CR390">
        <v>1</v>
      </c>
      <c r="CT390">
        <v>1</v>
      </c>
      <c r="CV390">
        <v>2.3148148148148147E-5</v>
      </c>
      <c r="CW390">
        <v>2.3148148148148147E-5</v>
      </c>
      <c r="CX390">
        <v>0.23065972222222222</v>
      </c>
      <c r="CY390">
        <v>0.17414351851851853</v>
      </c>
      <c r="CZ390">
        <v>148</v>
      </c>
      <c r="DA390">
        <v>230</v>
      </c>
      <c r="DB390">
        <v>32</v>
      </c>
      <c r="DC390">
        <v>1.71875</v>
      </c>
      <c r="DD390">
        <v>16996</v>
      </c>
      <c r="DE390">
        <v>0.2162</v>
      </c>
      <c r="DF390">
        <v>1</v>
      </c>
      <c r="DG390">
        <v>3.1300000000000001E-2</v>
      </c>
      <c r="DH390">
        <v>5000</v>
      </c>
      <c r="DI390">
        <v>5000</v>
      </c>
      <c r="DJ390">
        <v>5000</v>
      </c>
      <c r="DK390">
        <v>1</v>
      </c>
      <c r="DL390">
        <v>0.33150000000000002</v>
      </c>
      <c r="DM390">
        <v>82</v>
      </c>
      <c r="DN390">
        <v>5000</v>
      </c>
    </row>
    <row r="391" spans="91:118" x14ac:dyDescent="0.25">
      <c r="CM391" t="s">
        <v>636</v>
      </c>
      <c r="CN391" t="s">
        <v>6</v>
      </c>
      <c r="CO391" t="s">
        <v>34</v>
      </c>
      <c r="CP391">
        <v>46098</v>
      </c>
      <c r="CQ391">
        <v>1</v>
      </c>
      <c r="CR391">
        <v>1</v>
      </c>
      <c r="CT391">
        <v>1</v>
      </c>
      <c r="CV391">
        <v>2.8935185185185184E-4</v>
      </c>
      <c r="CW391">
        <v>2.8935185185185184E-4</v>
      </c>
      <c r="CX391">
        <v>0.21675925925925926</v>
      </c>
      <c r="CY391">
        <v>0.11574074074074074</v>
      </c>
      <c r="CZ391">
        <v>154</v>
      </c>
      <c r="DA391">
        <v>182</v>
      </c>
      <c r="DB391">
        <v>14</v>
      </c>
      <c r="DC391">
        <v>2</v>
      </c>
      <c r="DD391">
        <v>13317</v>
      </c>
      <c r="DE391">
        <v>9.0899999999999995E-2</v>
      </c>
      <c r="DF391">
        <v>1</v>
      </c>
      <c r="DG391">
        <v>7.1400000000000005E-2</v>
      </c>
      <c r="DH391">
        <v>2100</v>
      </c>
      <c r="DI391">
        <v>2100</v>
      </c>
      <c r="DJ391">
        <v>2100</v>
      </c>
      <c r="DK391">
        <v>1</v>
      </c>
      <c r="DL391">
        <v>0.18110000000000001</v>
      </c>
      <c r="DM391">
        <v>82</v>
      </c>
      <c r="DN391">
        <v>2100</v>
      </c>
    </row>
    <row r="392" spans="91:118" x14ac:dyDescent="0.25">
      <c r="CM392" t="s">
        <v>636</v>
      </c>
      <c r="CN392" t="s">
        <v>6</v>
      </c>
      <c r="CO392" t="s">
        <v>34</v>
      </c>
      <c r="CP392">
        <v>46105</v>
      </c>
      <c r="CQ392">
        <v>1</v>
      </c>
      <c r="CR392">
        <v>1</v>
      </c>
      <c r="CS392">
        <v>1</v>
      </c>
      <c r="CV392">
        <v>1.4039351851851851E-2</v>
      </c>
      <c r="CW392">
        <v>1.4039351851851851E-2</v>
      </c>
      <c r="CX392">
        <v>0.18836805555555555</v>
      </c>
      <c r="CY392">
        <v>0.18733796296296296</v>
      </c>
      <c r="CZ392">
        <v>132</v>
      </c>
      <c r="DA392">
        <v>149</v>
      </c>
      <c r="DB392">
        <v>10</v>
      </c>
      <c r="DC392">
        <v>1.9</v>
      </c>
      <c r="DD392">
        <v>29226</v>
      </c>
      <c r="DE392">
        <v>7.5800000000000006E-2</v>
      </c>
      <c r="DF392">
        <v>1</v>
      </c>
      <c r="DG392">
        <v>0.1</v>
      </c>
      <c r="DH392">
        <v>600</v>
      </c>
      <c r="DI392">
        <v>600</v>
      </c>
      <c r="DJ392">
        <v>600</v>
      </c>
      <c r="DK392">
        <v>1</v>
      </c>
      <c r="DL392">
        <v>0.32450000000000001</v>
      </c>
      <c r="DM392">
        <v>82</v>
      </c>
      <c r="DN392">
        <v>600</v>
      </c>
    </row>
    <row r="393" spans="91:118" x14ac:dyDescent="0.25">
      <c r="CM393" t="s">
        <v>636</v>
      </c>
      <c r="CN393" t="s">
        <v>7</v>
      </c>
      <c r="CO393" t="s">
        <v>41</v>
      </c>
      <c r="CP393">
        <v>46087</v>
      </c>
      <c r="CQ393">
        <v>1</v>
      </c>
      <c r="CR393">
        <v>1</v>
      </c>
      <c r="CV393">
        <v>0</v>
      </c>
      <c r="CW393">
        <v>0</v>
      </c>
      <c r="CX393">
        <v>0</v>
      </c>
      <c r="CY393">
        <v>0</v>
      </c>
      <c r="CZ393">
        <v>19</v>
      </c>
      <c r="DA393">
        <v>35</v>
      </c>
      <c r="DB393">
        <v>7</v>
      </c>
      <c r="DC393" t="s">
        <v>745</v>
      </c>
      <c r="DD393">
        <v>2906</v>
      </c>
      <c r="DE393">
        <v>0.36840000000000001</v>
      </c>
      <c r="DF393">
        <v>3</v>
      </c>
      <c r="DG393">
        <v>0.42859999999999998</v>
      </c>
      <c r="DH393">
        <v>2778</v>
      </c>
      <c r="DI393">
        <v>926</v>
      </c>
      <c r="DJ393">
        <v>2458</v>
      </c>
      <c r="DK393">
        <v>0.88480000000000003</v>
      </c>
      <c r="DL393">
        <v>0.19439999999999999</v>
      </c>
      <c r="DM393">
        <v>82</v>
      </c>
      <c r="DN393">
        <v>1229</v>
      </c>
    </row>
    <row r="394" spans="91:118" x14ac:dyDescent="0.25">
      <c r="CM394" t="s">
        <v>636</v>
      </c>
      <c r="CN394" t="s">
        <v>7</v>
      </c>
      <c r="CO394" t="s">
        <v>495</v>
      </c>
      <c r="CP394">
        <v>46097</v>
      </c>
      <c r="CQ394">
        <v>1</v>
      </c>
      <c r="CR394">
        <v>1</v>
      </c>
      <c r="CT394">
        <v>1</v>
      </c>
      <c r="CV394">
        <v>5.7870370370370373E-5</v>
      </c>
      <c r="CW394">
        <v>5.7870370370370373E-5</v>
      </c>
      <c r="CX394">
        <v>0.15761574074074075</v>
      </c>
      <c r="CY394">
        <v>0.28306712962962965</v>
      </c>
      <c r="CZ394">
        <v>121</v>
      </c>
      <c r="DA394">
        <v>293</v>
      </c>
      <c r="DB394">
        <v>55</v>
      </c>
      <c r="DC394" t="s">
        <v>1036</v>
      </c>
      <c r="DD394">
        <v>8894</v>
      </c>
      <c r="DE394">
        <v>0.45450000000000002</v>
      </c>
      <c r="DF394">
        <v>6</v>
      </c>
      <c r="DG394">
        <v>0.1091</v>
      </c>
      <c r="DH394">
        <v>1230</v>
      </c>
      <c r="DI394">
        <v>205</v>
      </c>
      <c r="DJ394">
        <v>730</v>
      </c>
      <c r="DK394">
        <v>0.59350000000000003</v>
      </c>
      <c r="DL394">
        <v>5.4100000000000002E-2</v>
      </c>
      <c r="DM394">
        <v>82</v>
      </c>
      <c r="DN394">
        <v>243</v>
      </c>
    </row>
    <row r="395" spans="91:118" x14ac:dyDescent="0.25">
      <c r="CM395" t="s">
        <v>636</v>
      </c>
      <c r="CN395" t="s">
        <v>7</v>
      </c>
      <c r="CO395" t="s">
        <v>495</v>
      </c>
      <c r="CP395">
        <v>46098</v>
      </c>
      <c r="CQ395">
        <v>1</v>
      </c>
      <c r="CR395">
        <v>1</v>
      </c>
      <c r="CV395">
        <v>4.0046296296296297E-3</v>
      </c>
      <c r="CW395">
        <v>4.0046296296296297E-3</v>
      </c>
      <c r="CX395">
        <v>0.13069444444444445</v>
      </c>
      <c r="CY395">
        <v>0.19733796296296297</v>
      </c>
      <c r="CZ395">
        <v>114</v>
      </c>
      <c r="DA395">
        <v>264</v>
      </c>
      <c r="DB395">
        <v>21</v>
      </c>
      <c r="DC395" t="s">
        <v>962</v>
      </c>
      <c r="DD395">
        <v>6269</v>
      </c>
      <c r="DE395">
        <v>0.1842</v>
      </c>
      <c r="DF395">
        <v>3</v>
      </c>
      <c r="DG395">
        <v>0.1429</v>
      </c>
      <c r="DH395">
        <v>850</v>
      </c>
      <c r="DI395">
        <v>283</v>
      </c>
      <c r="DJ395">
        <v>450</v>
      </c>
      <c r="DK395">
        <v>0.52939999999999998</v>
      </c>
      <c r="DL395">
        <v>0.18779999999999999</v>
      </c>
      <c r="DM395">
        <v>82</v>
      </c>
      <c r="DN395">
        <v>225</v>
      </c>
    </row>
    <row r="396" spans="91:118" x14ac:dyDescent="0.25">
      <c r="CM396" t="s">
        <v>636</v>
      </c>
      <c r="CN396" t="s">
        <v>7</v>
      </c>
      <c r="CO396" t="s">
        <v>51</v>
      </c>
      <c r="CP396">
        <v>46108</v>
      </c>
      <c r="CQ396">
        <v>1</v>
      </c>
      <c r="CR396">
        <v>1</v>
      </c>
      <c r="CT396">
        <v>1</v>
      </c>
      <c r="CV396">
        <v>8.1018518518518516E-5</v>
      </c>
      <c r="CW396">
        <v>8.1018518518518516E-5</v>
      </c>
      <c r="CX396">
        <v>0.1814236111111111</v>
      </c>
      <c r="CY396">
        <v>0.16408564814814816</v>
      </c>
      <c r="CZ396">
        <v>71</v>
      </c>
      <c r="DA396">
        <v>122</v>
      </c>
      <c r="DB396">
        <v>11</v>
      </c>
      <c r="DC396" t="s">
        <v>1013</v>
      </c>
      <c r="DD396">
        <v>23714</v>
      </c>
      <c r="DE396">
        <v>0.15490000000000001</v>
      </c>
      <c r="DF396">
        <v>1</v>
      </c>
      <c r="DG396">
        <v>9.0899999999999995E-2</v>
      </c>
      <c r="DH396">
        <v>300</v>
      </c>
      <c r="DI396">
        <v>300</v>
      </c>
      <c r="DJ396">
        <v>300</v>
      </c>
      <c r="DK396">
        <v>1</v>
      </c>
      <c r="DM396">
        <v>82</v>
      </c>
      <c r="DN396">
        <v>300</v>
      </c>
    </row>
    <row r="397" spans="91:118" x14ac:dyDescent="0.25">
      <c r="CM397" t="s">
        <v>636</v>
      </c>
      <c r="CN397" t="s">
        <v>7</v>
      </c>
      <c r="CO397" t="s">
        <v>51</v>
      </c>
      <c r="CP397">
        <v>46111</v>
      </c>
      <c r="CQ397">
        <v>1</v>
      </c>
      <c r="CR397">
        <v>1</v>
      </c>
      <c r="CS397">
        <v>1</v>
      </c>
      <c r="CV397">
        <v>9.4560185185185181E-3</v>
      </c>
      <c r="CW397">
        <v>9.4560185185185181E-3</v>
      </c>
      <c r="CX397">
        <v>0.18240740740740741</v>
      </c>
      <c r="CY397">
        <v>0.1746875</v>
      </c>
      <c r="CZ397">
        <v>107</v>
      </c>
      <c r="DA397">
        <v>179</v>
      </c>
      <c r="DB397">
        <v>21</v>
      </c>
      <c r="DC397" t="s">
        <v>1009</v>
      </c>
      <c r="DD397">
        <v>15805</v>
      </c>
      <c r="DE397">
        <v>0.1963</v>
      </c>
      <c r="DF397">
        <v>1</v>
      </c>
      <c r="DG397">
        <v>4.7600000000000003E-2</v>
      </c>
      <c r="DH397">
        <v>400</v>
      </c>
      <c r="DI397">
        <v>400</v>
      </c>
      <c r="DJ397">
        <v>400</v>
      </c>
      <c r="DK397">
        <v>1</v>
      </c>
      <c r="DM397">
        <v>82</v>
      </c>
      <c r="DN397">
        <v>400</v>
      </c>
    </row>
    <row r="398" spans="91:118" x14ac:dyDescent="0.25">
      <c r="CM398" t="s">
        <v>636</v>
      </c>
      <c r="CN398" t="s">
        <v>7</v>
      </c>
      <c r="CO398" t="s">
        <v>565</v>
      </c>
      <c r="CP398">
        <v>46086</v>
      </c>
      <c r="CQ398">
        <v>1</v>
      </c>
      <c r="CR398">
        <v>1</v>
      </c>
      <c r="CT398">
        <v>1</v>
      </c>
      <c r="CV398">
        <v>3.3564814814814812E-4</v>
      </c>
      <c r="CW398">
        <v>3.3564814814814812E-4</v>
      </c>
      <c r="CX398">
        <v>0.28421296296296295</v>
      </c>
      <c r="CY398">
        <v>0.14776620370370369</v>
      </c>
      <c r="CZ398">
        <v>122</v>
      </c>
      <c r="DA398">
        <v>198</v>
      </c>
      <c r="DB398">
        <v>42</v>
      </c>
      <c r="DC398" t="s">
        <v>925</v>
      </c>
      <c r="DD398">
        <v>7443</v>
      </c>
      <c r="DE398">
        <v>0.34429999999999999</v>
      </c>
      <c r="DF398">
        <v>1</v>
      </c>
      <c r="DG398">
        <v>2.3800000000000002E-2</v>
      </c>
      <c r="DH398">
        <v>200</v>
      </c>
      <c r="DI398">
        <v>200</v>
      </c>
      <c r="DM398">
        <v>82</v>
      </c>
    </row>
    <row r="399" spans="91:118" x14ac:dyDescent="0.25">
      <c r="CM399" t="s">
        <v>636</v>
      </c>
      <c r="CN399" t="s">
        <v>7</v>
      </c>
      <c r="CO399" t="s">
        <v>565</v>
      </c>
      <c r="CP399">
        <v>46094</v>
      </c>
      <c r="CQ399">
        <v>1</v>
      </c>
      <c r="CR399">
        <v>1</v>
      </c>
      <c r="CT399">
        <v>1</v>
      </c>
      <c r="CV399">
        <v>6.9444444444444444E-5</v>
      </c>
      <c r="CW399">
        <v>6.9444444444444444E-5</v>
      </c>
      <c r="CX399">
        <v>0.2053587962962963</v>
      </c>
      <c r="CY399">
        <v>0.15643518518518518</v>
      </c>
      <c r="CZ399">
        <v>100</v>
      </c>
      <c r="DA399">
        <v>177</v>
      </c>
      <c r="DB399">
        <v>38</v>
      </c>
      <c r="DC399" t="s">
        <v>791</v>
      </c>
      <c r="DD399">
        <v>6560</v>
      </c>
      <c r="DE399">
        <v>0.38</v>
      </c>
      <c r="DF399">
        <v>2</v>
      </c>
      <c r="DG399">
        <v>5.2600000000000001E-2</v>
      </c>
      <c r="DH399">
        <v>750</v>
      </c>
      <c r="DI399">
        <v>375</v>
      </c>
      <c r="DJ399">
        <v>450</v>
      </c>
      <c r="DK399">
        <v>0.6</v>
      </c>
      <c r="DL399">
        <v>0.21360000000000001</v>
      </c>
      <c r="DM399">
        <v>82</v>
      </c>
      <c r="DN399">
        <v>450</v>
      </c>
    </row>
    <row r="400" spans="91:118" x14ac:dyDescent="0.25">
      <c r="CM400" t="s">
        <v>636</v>
      </c>
      <c r="CN400" t="s">
        <v>7</v>
      </c>
      <c r="CO400" t="s">
        <v>565</v>
      </c>
      <c r="CP400">
        <v>46097</v>
      </c>
      <c r="CQ400">
        <v>1</v>
      </c>
      <c r="CR400">
        <v>1</v>
      </c>
      <c r="CT400">
        <v>1</v>
      </c>
      <c r="CV400">
        <v>5.2083333333333333E-4</v>
      </c>
      <c r="CW400">
        <v>5.2083333333333333E-4</v>
      </c>
      <c r="CX400">
        <v>0.27185185185185184</v>
      </c>
      <c r="CY400">
        <v>0.12695601851851851</v>
      </c>
      <c r="CZ400">
        <v>139</v>
      </c>
      <c r="DA400">
        <v>260</v>
      </c>
      <c r="DB400">
        <v>44</v>
      </c>
      <c r="DC400" t="s">
        <v>807</v>
      </c>
      <c r="DD400">
        <v>10135</v>
      </c>
      <c r="DE400">
        <v>0.3165</v>
      </c>
      <c r="DF400">
        <v>1</v>
      </c>
      <c r="DG400">
        <v>2.2700000000000001E-2</v>
      </c>
      <c r="DH400">
        <v>90</v>
      </c>
      <c r="DI400">
        <v>90</v>
      </c>
      <c r="DM400">
        <v>82</v>
      </c>
    </row>
    <row r="401" spans="91:118" x14ac:dyDescent="0.25">
      <c r="CM401" t="s">
        <v>636</v>
      </c>
      <c r="CN401" t="s">
        <v>7</v>
      </c>
      <c r="CO401" t="s">
        <v>77</v>
      </c>
      <c r="CP401">
        <v>46105</v>
      </c>
      <c r="CQ401">
        <v>1</v>
      </c>
      <c r="CR401">
        <v>1</v>
      </c>
      <c r="CT401">
        <v>1</v>
      </c>
      <c r="CV401">
        <v>0</v>
      </c>
      <c r="CW401">
        <v>0</v>
      </c>
      <c r="CX401">
        <v>0.23923611111111112</v>
      </c>
      <c r="CY401">
        <v>0.13800925925925925</v>
      </c>
      <c r="CZ401">
        <v>97</v>
      </c>
      <c r="DA401">
        <v>231</v>
      </c>
      <c r="DB401">
        <v>34</v>
      </c>
      <c r="DC401" t="s">
        <v>789</v>
      </c>
      <c r="DD401">
        <v>18905</v>
      </c>
      <c r="DE401">
        <v>0.35049999999999998</v>
      </c>
      <c r="DF401">
        <v>1</v>
      </c>
      <c r="DG401">
        <v>2.9399999999999999E-2</v>
      </c>
      <c r="DH401">
        <v>360</v>
      </c>
      <c r="DI401">
        <v>360</v>
      </c>
      <c r="DM401">
        <v>82</v>
      </c>
    </row>
    <row r="402" spans="91:118" x14ac:dyDescent="0.25">
      <c r="CM402" t="s">
        <v>636</v>
      </c>
      <c r="CN402" t="s">
        <v>7</v>
      </c>
      <c r="CO402" t="s">
        <v>77</v>
      </c>
      <c r="CP402">
        <v>46112</v>
      </c>
      <c r="CQ402">
        <v>1</v>
      </c>
      <c r="CR402">
        <v>1</v>
      </c>
      <c r="CS402">
        <v>1</v>
      </c>
      <c r="CV402">
        <v>1.6111111111111111E-2</v>
      </c>
      <c r="CW402">
        <v>1.6111111111111111E-2</v>
      </c>
      <c r="CX402">
        <v>0.11494212962962963</v>
      </c>
      <c r="CY402">
        <v>0.16673611111111111</v>
      </c>
      <c r="CZ402">
        <v>41</v>
      </c>
      <c r="DA402">
        <v>83</v>
      </c>
      <c r="DB402">
        <v>22</v>
      </c>
      <c r="DC402" t="s">
        <v>1037</v>
      </c>
      <c r="DD402">
        <v>22544</v>
      </c>
      <c r="DE402">
        <v>0.53659999999999997</v>
      </c>
      <c r="DF402">
        <v>2</v>
      </c>
      <c r="DG402">
        <v>9.0899999999999995E-2</v>
      </c>
      <c r="DH402">
        <v>10000</v>
      </c>
      <c r="DI402">
        <v>5000</v>
      </c>
      <c r="DJ402">
        <v>10000</v>
      </c>
      <c r="DK402">
        <v>1</v>
      </c>
      <c r="DL402">
        <v>0.11</v>
      </c>
      <c r="DM402">
        <v>82</v>
      </c>
      <c r="DN402">
        <v>5000</v>
      </c>
    </row>
    <row r="403" spans="91:118" x14ac:dyDescent="0.25">
      <c r="CM403" t="s">
        <v>636</v>
      </c>
      <c r="CN403" t="s">
        <v>7</v>
      </c>
      <c r="CO403" t="s">
        <v>566</v>
      </c>
      <c r="CP403">
        <v>46091</v>
      </c>
      <c r="CQ403">
        <v>1</v>
      </c>
      <c r="CR403">
        <v>1</v>
      </c>
      <c r="CS403">
        <v>1</v>
      </c>
      <c r="CV403">
        <v>1.0092592592592592E-2</v>
      </c>
      <c r="CW403">
        <v>1.0092592592592592E-2</v>
      </c>
      <c r="CX403">
        <v>0.23762731481481481</v>
      </c>
      <c r="CY403">
        <v>0.16975694444444445</v>
      </c>
      <c r="CZ403">
        <v>116</v>
      </c>
      <c r="DA403">
        <v>173</v>
      </c>
      <c r="DB403">
        <v>47</v>
      </c>
      <c r="DC403" t="s">
        <v>1038</v>
      </c>
      <c r="DD403">
        <v>7370</v>
      </c>
      <c r="DE403">
        <v>0.4052</v>
      </c>
      <c r="DF403">
        <v>2</v>
      </c>
      <c r="DG403">
        <v>4.2599999999999999E-2</v>
      </c>
      <c r="DH403">
        <v>715</v>
      </c>
      <c r="DI403">
        <v>358</v>
      </c>
      <c r="DJ403">
        <v>715</v>
      </c>
      <c r="DK403">
        <v>1</v>
      </c>
      <c r="DL403">
        <v>0.1898</v>
      </c>
      <c r="DM403">
        <v>82</v>
      </c>
      <c r="DN403">
        <v>358</v>
      </c>
    </row>
    <row r="404" spans="91:118" x14ac:dyDescent="0.25">
      <c r="CM404" t="s">
        <v>636</v>
      </c>
      <c r="CN404" t="s">
        <v>7</v>
      </c>
      <c r="CO404" t="s">
        <v>73</v>
      </c>
      <c r="CP404">
        <v>46106</v>
      </c>
      <c r="CQ404">
        <v>1</v>
      </c>
      <c r="CR404">
        <v>1</v>
      </c>
      <c r="CT404">
        <v>1</v>
      </c>
      <c r="CV404">
        <v>4.9768518518518521E-4</v>
      </c>
      <c r="CW404">
        <v>4.9768518518518521E-4</v>
      </c>
      <c r="CX404">
        <v>0.15774305555555557</v>
      </c>
      <c r="CY404">
        <v>0.19685185185185186</v>
      </c>
      <c r="CZ404">
        <v>60</v>
      </c>
      <c r="DA404">
        <v>110</v>
      </c>
      <c r="DB404">
        <v>21</v>
      </c>
      <c r="DC404" t="s">
        <v>1009</v>
      </c>
      <c r="DD404">
        <v>17257</v>
      </c>
      <c r="DE404">
        <v>0.35</v>
      </c>
      <c r="DF404">
        <v>1</v>
      </c>
      <c r="DG404">
        <v>4.7600000000000003E-2</v>
      </c>
      <c r="DH404">
        <v>1500</v>
      </c>
      <c r="DI404">
        <v>1500</v>
      </c>
      <c r="DJ404">
        <v>1500</v>
      </c>
      <c r="DK404">
        <v>1</v>
      </c>
      <c r="DL404">
        <v>0.13639999999999999</v>
      </c>
      <c r="DM404">
        <v>82</v>
      </c>
      <c r="DN404">
        <v>1500</v>
      </c>
    </row>
    <row r="405" spans="91:118" x14ac:dyDescent="0.25">
      <c r="CM405" t="s">
        <v>636</v>
      </c>
      <c r="CN405" t="s">
        <v>7</v>
      </c>
      <c r="CO405" t="s">
        <v>557</v>
      </c>
      <c r="CP405">
        <v>46085</v>
      </c>
      <c r="CQ405">
        <v>1</v>
      </c>
      <c r="CR405">
        <v>1</v>
      </c>
      <c r="CT405">
        <v>1</v>
      </c>
      <c r="CV405">
        <v>1.238425925925926E-3</v>
      </c>
      <c r="CW405">
        <v>1.238425925925926E-3</v>
      </c>
      <c r="CX405">
        <v>0.21077546296296296</v>
      </c>
      <c r="CY405">
        <v>0.15064814814814814</v>
      </c>
      <c r="CZ405">
        <v>94</v>
      </c>
      <c r="DA405">
        <v>188</v>
      </c>
      <c r="DB405">
        <v>41</v>
      </c>
      <c r="DC405" t="s">
        <v>813</v>
      </c>
      <c r="DD405">
        <v>7866</v>
      </c>
      <c r="DE405">
        <v>0.43619999999999998</v>
      </c>
      <c r="DF405">
        <v>3</v>
      </c>
      <c r="DG405">
        <v>7.3200000000000001E-2</v>
      </c>
      <c r="DH405">
        <v>674</v>
      </c>
      <c r="DI405">
        <v>225</v>
      </c>
      <c r="DM405">
        <v>82</v>
      </c>
    </row>
    <row r="406" spans="91:118" x14ac:dyDescent="0.25">
      <c r="CM406" t="s">
        <v>636</v>
      </c>
      <c r="CN406" t="s">
        <v>7</v>
      </c>
      <c r="CO406" t="s">
        <v>48</v>
      </c>
      <c r="CP406">
        <v>46100</v>
      </c>
      <c r="CQ406">
        <v>1</v>
      </c>
      <c r="CR406">
        <v>1</v>
      </c>
      <c r="CT406">
        <v>1</v>
      </c>
      <c r="CV406">
        <v>2.7777777777777778E-4</v>
      </c>
      <c r="CW406">
        <v>2.7777777777777778E-4</v>
      </c>
      <c r="CX406">
        <v>0.20587962962962963</v>
      </c>
      <c r="CY406">
        <v>0.13346064814814815</v>
      </c>
      <c r="CZ406">
        <v>98</v>
      </c>
      <c r="DA406">
        <v>135</v>
      </c>
      <c r="DB406">
        <v>16</v>
      </c>
      <c r="DC406">
        <v>1.1875</v>
      </c>
      <c r="DD406">
        <v>30243</v>
      </c>
      <c r="DE406">
        <v>0.1633</v>
      </c>
      <c r="DF406">
        <v>1</v>
      </c>
      <c r="DG406">
        <v>6.25E-2</v>
      </c>
      <c r="DH406">
        <v>300</v>
      </c>
      <c r="DI406">
        <v>300</v>
      </c>
      <c r="DJ406">
        <v>300</v>
      </c>
      <c r="DK406">
        <v>1</v>
      </c>
      <c r="DM406">
        <v>82</v>
      </c>
      <c r="DN406">
        <v>300</v>
      </c>
    </row>
    <row r="407" spans="91:118" x14ac:dyDescent="0.25">
      <c r="CM407" t="s">
        <v>636</v>
      </c>
      <c r="CN407" t="s">
        <v>7</v>
      </c>
      <c r="CO407" t="s">
        <v>48</v>
      </c>
      <c r="CP407">
        <v>46101</v>
      </c>
      <c r="CQ407">
        <v>1</v>
      </c>
      <c r="CR407">
        <v>1</v>
      </c>
      <c r="CT407">
        <v>1</v>
      </c>
      <c r="CV407">
        <v>1.0185185185185184E-3</v>
      </c>
      <c r="CW407">
        <v>1.0185185185185184E-3</v>
      </c>
      <c r="CX407">
        <v>0.18539351851851851</v>
      </c>
      <c r="CY407">
        <v>0.17300925925925925</v>
      </c>
      <c r="CZ407">
        <v>72</v>
      </c>
      <c r="DA407">
        <v>103</v>
      </c>
      <c r="DB407">
        <v>16</v>
      </c>
      <c r="DC407">
        <v>1.6875</v>
      </c>
      <c r="DD407">
        <v>16558</v>
      </c>
      <c r="DE407">
        <v>0.22220000000000001</v>
      </c>
      <c r="DF407">
        <v>1</v>
      </c>
      <c r="DG407">
        <v>6.25E-2</v>
      </c>
      <c r="DH407">
        <v>1000</v>
      </c>
      <c r="DI407">
        <v>1000</v>
      </c>
      <c r="DJ407">
        <v>1000</v>
      </c>
      <c r="DK407">
        <v>1</v>
      </c>
      <c r="DL407">
        <v>0.18759999999999999</v>
      </c>
      <c r="DM407">
        <v>82</v>
      </c>
      <c r="DN407">
        <v>1000</v>
      </c>
    </row>
    <row r="408" spans="91:118" x14ac:dyDescent="0.25">
      <c r="CM408" t="s">
        <v>636</v>
      </c>
      <c r="CN408" t="s">
        <v>3</v>
      </c>
      <c r="CO408" t="s">
        <v>493</v>
      </c>
      <c r="CP408">
        <v>46104</v>
      </c>
      <c r="CQ408">
        <v>1</v>
      </c>
      <c r="CR408">
        <v>1</v>
      </c>
      <c r="CT408">
        <v>1</v>
      </c>
      <c r="CV408">
        <v>0</v>
      </c>
      <c r="CW408">
        <v>0</v>
      </c>
      <c r="CX408">
        <v>0.22766203703703702</v>
      </c>
      <c r="CY408">
        <v>8.5243055555555558E-2</v>
      </c>
      <c r="CZ408">
        <v>159</v>
      </c>
      <c r="DA408">
        <v>204</v>
      </c>
      <c r="DB408">
        <v>24</v>
      </c>
      <c r="DC408">
        <v>1.625</v>
      </c>
      <c r="DD408">
        <v>13715</v>
      </c>
      <c r="DE408">
        <v>0.15090000000000001</v>
      </c>
      <c r="DF408">
        <v>1</v>
      </c>
      <c r="DG408">
        <v>4.1700000000000001E-2</v>
      </c>
      <c r="DH408">
        <v>1000</v>
      </c>
      <c r="DI408">
        <v>1000</v>
      </c>
      <c r="DM408">
        <v>82</v>
      </c>
    </row>
    <row r="409" spans="91:118" x14ac:dyDescent="0.25">
      <c r="CM409" t="s">
        <v>636</v>
      </c>
      <c r="CN409" t="s">
        <v>3</v>
      </c>
      <c r="CO409" t="s">
        <v>96</v>
      </c>
      <c r="CP409">
        <v>46098</v>
      </c>
      <c r="CQ409">
        <v>1</v>
      </c>
      <c r="CR409">
        <v>1</v>
      </c>
      <c r="CS409">
        <v>1</v>
      </c>
      <c r="CV409">
        <v>4.340277777777778E-3</v>
      </c>
      <c r="CW409">
        <v>4.340277777777778E-3</v>
      </c>
      <c r="CX409">
        <v>0.18606481481481482</v>
      </c>
      <c r="CY409">
        <v>0.14511574074074074</v>
      </c>
      <c r="CZ409">
        <v>83</v>
      </c>
      <c r="DA409">
        <v>180</v>
      </c>
      <c r="DB409">
        <v>20</v>
      </c>
      <c r="DC409">
        <v>1.85</v>
      </c>
      <c r="DD409">
        <v>17426</v>
      </c>
      <c r="DE409">
        <v>0.24099999999999999</v>
      </c>
      <c r="DF409">
        <v>1</v>
      </c>
      <c r="DG409">
        <v>0.05</v>
      </c>
      <c r="DH409">
        <v>1500</v>
      </c>
      <c r="DI409">
        <v>1500</v>
      </c>
      <c r="DJ409">
        <v>1500</v>
      </c>
      <c r="DK409">
        <v>1</v>
      </c>
      <c r="DL409">
        <v>0.30449999999999999</v>
      </c>
      <c r="DM409">
        <v>82</v>
      </c>
      <c r="DN409">
        <v>1500</v>
      </c>
    </row>
    <row r="410" spans="91:118" x14ac:dyDescent="0.25">
      <c r="CM410" t="s">
        <v>636</v>
      </c>
      <c r="CN410" t="s">
        <v>3</v>
      </c>
      <c r="CO410" t="s">
        <v>96</v>
      </c>
      <c r="CP410">
        <v>46100</v>
      </c>
      <c r="CQ410">
        <v>1</v>
      </c>
      <c r="CR410">
        <v>1</v>
      </c>
      <c r="CT410">
        <v>1</v>
      </c>
      <c r="CV410">
        <v>0</v>
      </c>
      <c r="CW410">
        <v>0</v>
      </c>
      <c r="CX410">
        <v>0.20054398148148148</v>
      </c>
      <c r="CY410">
        <v>0.13960648148148147</v>
      </c>
      <c r="CZ410">
        <v>89</v>
      </c>
      <c r="DA410">
        <v>183</v>
      </c>
      <c r="DB410">
        <v>17</v>
      </c>
      <c r="DC410" t="s">
        <v>772</v>
      </c>
      <c r="DD410">
        <v>23828</v>
      </c>
      <c r="DE410">
        <v>0.191</v>
      </c>
      <c r="DF410">
        <v>1</v>
      </c>
      <c r="DG410">
        <v>5.8799999999999998E-2</v>
      </c>
      <c r="DH410">
        <v>1285</v>
      </c>
      <c r="DI410">
        <v>1285</v>
      </c>
      <c r="DJ410">
        <v>1285</v>
      </c>
      <c r="DK410">
        <v>1</v>
      </c>
      <c r="DL410">
        <v>0.18190000000000001</v>
      </c>
      <c r="DM410">
        <v>82</v>
      </c>
      <c r="DN410">
        <v>1285</v>
      </c>
    </row>
    <row r="411" spans="91:118" x14ac:dyDescent="0.25">
      <c r="CM411" t="s">
        <v>636</v>
      </c>
      <c r="CN411" t="s">
        <v>3</v>
      </c>
      <c r="CO411" t="s">
        <v>29</v>
      </c>
      <c r="CP411">
        <v>46105</v>
      </c>
      <c r="CQ411">
        <v>1</v>
      </c>
      <c r="CR411">
        <v>1</v>
      </c>
      <c r="CS411">
        <v>1</v>
      </c>
      <c r="CV411">
        <v>5.9606481481481481E-3</v>
      </c>
      <c r="CW411">
        <v>5.9606481481481481E-3</v>
      </c>
      <c r="CX411">
        <v>0.22760416666666666</v>
      </c>
      <c r="CY411">
        <v>0.14649305555555556</v>
      </c>
      <c r="CZ411">
        <v>78</v>
      </c>
      <c r="DA411">
        <v>161</v>
      </c>
      <c r="DB411">
        <v>21</v>
      </c>
      <c r="DC411" t="s">
        <v>679</v>
      </c>
      <c r="DD411">
        <v>23184</v>
      </c>
      <c r="DE411">
        <v>0.26919999999999999</v>
      </c>
      <c r="DF411">
        <v>1</v>
      </c>
      <c r="DG411">
        <v>4.7600000000000003E-2</v>
      </c>
      <c r="DH411">
        <v>200</v>
      </c>
      <c r="DI411">
        <v>200</v>
      </c>
      <c r="DJ411">
        <v>200</v>
      </c>
      <c r="DK411">
        <v>1</v>
      </c>
      <c r="DL411">
        <v>0.70940000000000003</v>
      </c>
      <c r="DM411">
        <v>82</v>
      </c>
      <c r="DN411">
        <v>200</v>
      </c>
    </row>
    <row r="412" spans="91:118" x14ac:dyDescent="0.25">
      <c r="CM412" t="s">
        <v>636</v>
      </c>
      <c r="CN412" t="s">
        <v>3</v>
      </c>
      <c r="CO412" t="s">
        <v>29</v>
      </c>
      <c r="CP412">
        <v>46111</v>
      </c>
      <c r="CQ412">
        <v>1</v>
      </c>
      <c r="CR412">
        <v>1</v>
      </c>
      <c r="CT412">
        <v>1</v>
      </c>
      <c r="CV412">
        <v>2.4074074074074076E-3</v>
      </c>
      <c r="CW412">
        <v>2.4074074074074076E-3</v>
      </c>
      <c r="CX412">
        <v>0.20203703703703704</v>
      </c>
      <c r="CY412">
        <v>0.17156250000000001</v>
      </c>
      <c r="CZ412">
        <v>135</v>
      </c>
      <c r="DA412">
        <v>223</v>
      </c>
      <c r="DB412">
        <v>32</v>
      </c>
      <c r="DC412">
        <v>1.6875</v>
      </c>
      <c r="DD412">
        <v>22493</v>
      </c>
      <c r="DE412">
        <v>0.23699999999999999</v>
      </c>
      <c r="DF412">
        <v>1</v>
      </c>
      <c r="DG412">
        <v>3.1300000000000001E-2</v>
      </c>
      <c r="DH412">
        <v>2500</v>
      </c>
      <c r="DI412">
        <v>2500</v>
      </c>
      <c r="DJ412">
        <v>2500</v>
      </c>
      <c r="DK412">
        <v>1</v>
      </c>
      <c r="DL412">
        <v>0.1396</v>
      </c>
      <c r="DM412">
        <v>82</v>
      </c>
      <c r="DN412">
        <v>2500</v>
      </c>
    </row>
    <row r="413" spans="91:118" x14ac:dyDescent="0.25">
      <c r="CM413" t="s">
        <v>636</v>
      </c>
      <c r="CN413" t="s">
        <v>3</v>
      </c>
      <c r="CO413" t="s">
        <v>38</v>
      </c>
      <c r="CP413">
        <v>46083</v>
      </c>
      <c r="CQ413">
        <v>1</v>
      </c>
      <c r="CR413">
        <v>1</v>
      </c>
      <c r="CT413">
        <v>1</v>
      </c>
      <c r="CV413">
        <v>2.5462962962962961E-4</v>
      </c>
      <c r="CW413">
        <v>2.5462962962962961E-4</v>
      </c>
      <c r="CX413">
        <v>0.28846064814814815</v>
      </c>
      <c r="CY413">
        <v>5.0300925925925923E-2</v>
      </c>
      <c r="CZ413">
        <v>54</v>
      </c>
      <c r="DA413">
        <v>80</v>
      </c>
      <c r="DB413">
        <v>17</v>
      </c>
      <c r="DC413" t="s">
        <v>1025</v>
      </c>
      <c r="DD413">
        <v>11248</v>
      </c>
      <c r="DE413">
        <v>0.31480000000000002</v>
      </c>
      <c r="DF413">
        <v>2</v>
      </c>
      <c r="DG413">
        <v>0.1176</v>
      </c>
      <c r="DH413">
        <v>550</v>
      </c>
      <c r="DI413">
        <v>275</v>
      </c>
      <c r="DJ413">
        <v>550</v>
      </c>
      <c r="DK413">
        <v>1</v>
      </c>
      <c r="DL413">
        <v>0.79479999999999995</v>
      </c>
      <c r="DM413">
        <v>82</v>
      </c>
      <c r="DN413">
        <v>275</v>
      </c>
    </row>
    <row r="414" spans="91:118" x14ac:dyDescent="0.25">
      <c r="CM414" t="s">
        <v>636</v>
      </c>
      <c r="CN414" t="s">
        <v>3</v>
      </c>
      <c r="CO414" t="s">
        <v>38</v>
      </c>
      <c r="CP414">
        <v>46098</v>
      </c>
      <c r="CQ414">
        <v>1</v>
      </c>
      <c r="CR414">
        <v>1</v>
      </c>
      <c r="CT414">
        <v>1</v>
      </c>
      <c r="CV414">
        <v>2.5462962962962961E-4</v>
      </c>
      <c r="CW414">
        <v>2.5462962962962961E-4</v>
      </c>
      <c r="CX414">
        <v>0.19381944444444443</v>
      </c>
      <c r="CY414">
        <v>0.12428240740740741</v>
      </c>
      <c r="CZ414">
        <v>97</v>
      </c>
      <c r="DA414">
        <v>123</v>
      </c>
      <c r="DB414">
        <v>28</v>
      </c>
      <c r="DC414" t="s">
        <v>762</v>
      </c>
      <c r="DD414">
        <v>23850</v>
      </c>
      <c r="DE414">
        <v>0.28870000000000001</v>
      </c>
      <c r="DF414">
        <v>1</v>
      </c>
      <c r="DG414">
        <v>3.5700000000000003E-2</v>
      </c>
      <c r="DH414">
        <v>230</v>
      </c>
      <c r="DI414">
        <v>230</v>
      </c>
      <c r="DJ414">
        <v>230</v>
      </c>
      <c r="DK414">
        <v>1</v>
      </c>
      <c r="DL414">
        <v>0.89959999999999996</v>
      </c>
      <c r="DM414">
        <v>82</v>
      </c>
      <c r="DN414">
        <v>230</v>
      </c>
    </row>
    <row r="415" spans="91:118" x14ac:dyDescent="0.25">
      <c r="CM415" t="s">
        <v>636</v>
      </c>
      <c r="CN415" t="s">
        <v>3</v>
      </c>
      <c r="CO415" t="s">
        <v>38</v>
      </c>
      <c r="CP415">
        <v>46101</v>
      </c>
      <c r="CQ415">
        <v>1</v>
      </c>
      <c r="CR415">
        <v>1</v>
      </c>
      <c r="CT415">
        <v>1</v>
      </c>
      <c r="CV415">
        <v>2.6620370370370372E-4</v>
      </c>
      <c r="CW415">
        <v>2.6620370370370372E-4</v>
      </c>
      <c r="CX415">
        <v>0.20891203703703703</v>
      </c>
      <c r="CY415">
        <v>0.12831018518518519</v>
      </c>
      <c r="CZ415">
        <v>94</v>
      </c>
      <c r="DA415">
        <v>139</v>
      </c>
      <c r="DB415">
        <v>44</v>
      </c>
      <c r="DC415" t="s">
        <v>698</v>
      </c>
      <c r="DD415">
        <v>16655</v>
      </c>
      <c r="DE415">
        <v>0.46810000000000002</v>
      </c>
      <c r="DF415">
        <v>2</v>
      </c>
      <c r="DG415">
        <v>4.5499999999999999E-2</v>
      </c>
      <c r="DH415">
        <v>3450</v>
      </c>
      <c r="DI415">
        <v>1725</v>
      </c>
      <c r="DJ415">
        <v>3450</v>
      </c>
      <c r="DK415">
        <v>1</v>
      </c>
      <c r="DL415">
        <v>0.47439999999999999</v>
      </c>
      <c r="DM415">
        <v>82</v>
      </c>
      <c r="DN415">
        <v>1725</v>
      </c>
    </row>
    <row r="416" spans="91:118" x14ac:dyDescent="0.25">
      <c r="CM416" t="s">
        <v>636</v>
      </c>
      <c r="CN416" t="s">
        <v>3</v>
      </c>
      <c r="CO416" t="s">
        <v>78</v>
      </c>
      <c r="CP416">
        <v>46111</v>
      </c>
      <c r="CQ416">
        <v>1</v>
      </c>
      <c r="CR416">
        <v>1</v>
      </c>
      <c r="CT416">
        <v>1</v>
      </c>
      <c r="CV416">
        <v>5.3240740740740744E-4</v>
      </c>
      <c r="CW416">
        <v>5.3240740740740744E-4</v>
      </c>
      <c r="CX416">
        <v>0.12216435185185186</v>
      </c>
      <c r="CY416">
        <v>0.25935185185185183</v>
      </c>
      <c r="CZ416">
        <v>84</v>
      </c>
      <c r="DA416">
        <v>163</v>
      </c>
      <c r="DB416">
        <v>31</v>
      </c>
      <c r="DC416" t="s">
        <v>798</v>
      </c>
      <c r="DD416">
        <v>17271</v>
      </c>
      <c r="DE416">
        <v>0.36899999999999999</v>
      </c>
      <c r="DF416">
        <v>2</v>
      </c>
      <c r="DG416">
        <v>6.4500000000000002E-2</v>
      </c>
      <c r="DH416">
        <v>2900</v>
      </c>
      <c r="DI416">
        <v>1450</v>
      </c>
      <c r="DJ416">
        <v>2900</v>
      </c>
      <c r="DK416">
        <v>1</v>
      </c>
      <c r="DM416">
        <v>82</v>
      </c>
      <c r="DN416">
        <v>1450</v>
      </c>
    </row>
    <row r="417" spans="91:118" x14ac:dyDescent="0.25">
      <c r="CM417" t="s">
        <v>636</v>
      </c>
      <c r="CN417" t="s">
        <v>3</v>
      </c>
      <c r="CO417" t="s">
        <v>76</v>
      </c>
      <c r="CP417">
        <v>46086</v>
      </c>
      <c r="CQ417">
        <v>1</v>
      </c>
      <c r="CR417">
        <v>1</v>
      </c>
      <c r="CT417">
        <v>1</v>
      </c>
      <c r="CV417">
        <v>0</v>
      </c>
      <c r="CW417">
        <v>0</v>
      </c>
      <c r="CX417">
        <v>0.29318287037037039</v>
      </c>
      <c r="CY417">
        <v>9.0289351851851857E-2</v>
      </c>
      <c r="CZ417">
        <v>95</v>
      </c>
      <c r="DA417">
        <v>137</v>
      </c>
      <c r="DB417">
        <v>22</v>
      </c>
      <c r="DC417" t="s">
        <v>873</v>
      </c>
      <c r="DD417">
        <v>22876</v>
      </c>
      <c r="DE417">
        <v>0.2316</v>
      </c>
      <c r="DF417">
        <v>2</v>
      </c>
      <c r="DG417">
        <v>9.0899999999999995E-2</v>
      </c>
      <c r="DH417">
        <v>16440</v>
      </c>
      <c r="DI417">
        <v>8220</v>
      </c>
      <c r="DJ417">
        <v>16000</v>
      </c>
      <c r="DK417">
        <v>0.97319999999999995</v>
      </c>
      <c r="DL417">
        <v>0.27189999999999998</v>
      </c>
      <c r="DM417">
        <v>82</v>
      </c>
      <c r="DN417">
        <v>16000</v>
      </c>
    </row>
    <row r="418" spans="91:118" x14ac:dyDescent="0.25">
      <c r="CM418" t="s">
        <v>636</v>
      </c>
      <c r="CN418" t="s">
        <v>125</v>
      </c>
      <c r="CO418" t="s">
        <v>18</v>
      </c>
      <c r="CP418">
        <v>46101</v>
      </c>
      <c r="CQ418">
        <v>1</v>
      </c>
      <c r="CR418">
        <v>1</v>
      </c>
      <c r="CT418">
        <v>1</v>
      </c>
      <c r="CV418">
        <v>0</v>
      </c>
      <c r="CW418">
        <v>0</v>
      </c>
      <c r="CX418">
        <v>0.20686342592592594</v>
      </c>
      <c r="CY418">
        <v>0.13140046296296296</v>
      </c>
      <c r="CZ418">
        <v>116</v>
      </c>
      <c r="DA418">
        <v>297</v>
      </c>
      <c r="DB418">
        <v>16</v>
      </c>
      <c r="DC418">
        <v>1.5</v>
      </c>
      <c r="DD418">
        <v>23358</v>
      </c>
      <c r="DE418">
        <v>0.13789999999999999</v>
      </c>
      <c r="DF418">
        <v>1</v>
      </c>
      <c r="DG418">
        <v>6.25E-2</v>
      </c>
      <c r="DH418">
        <v>16000</v>
      </c>
      <c r="DI418">
        <v>16000</v>
      </c>
      <c r="DJ418">
        <v>16000</v>
      </c>
      <c r="DK418">
        <v>1</v>
      </c>
      <c r="DL418">
        <v>0.2132</v>
      </c>
      <c r="DM418">
        <v>80</v>
      </c>
      <c r="DN418">
        <v>16000</v>
      </c>
    </row>
    <row r="419" spans="91:118" x14ac:dyDescent="0.25">
      <c r="CM419" t="s">
        <v>636</v>
      </c>
      <c r="CN419" t="s">
        <v>125</v>
      </c>
      <c r="CO419" t="s">
        <v>61</v>
      </c>
      <c r="CP419">
        <v>46083</v>
      </c>
      <c r="CQ419">
        <v>1</v>
      </c>
      <c r="CR419">
        <v>1</v>
      </c>
      <c r="CT419">
        <v>1</v>
      </c>
      <c r="CV419">
        <v>1.0416666666666667E-4</v>
      </c>
      <c r="CW419">
        <v>1.0416666666666667E-4</v>
      </c>
      <c r="CX419">
        <v>0.26785879629629628</v>
      </c>
      <c r="CY419">
        <v>7.480324074074074E-2</v>
      </c>
      <c r="CZ419">
        <v>82</v>
      </c>
      <c r="DA419">
        <v>214</v>
      </c>
      <c r="DB419">
        <v>30</v>
      </c>
      <c r="DC419" t="s">
        <v>859</v>
      </c>
      <c r="DD419">
        <v>34647</v>
      </c>
      <c r="DE419">
        <v>0.3659</v>
      </c>
      <c r="DF419">
        <v>5</v>
      </c>
      <c r="DG419">
        <v>0.16669999999999999</v>
      </c>
      <c r="DH419">
        <v>6988</v>
      </c>
      <c r="DI419">
        <v>1398</v>
      </c>
      <c r="DJ419">
        <v>6988</v>
      </c>
      <c r="DK419">
        <v>1</v>
      </c>
      <c r="DL419">
        <v>0.2591</v>
      </c>
      <c r="DM419">
        <v>80</v>
      </c>
      <c r="DN419">
        <v>1398</v>
      </c>
    </row>
    <row r="420" spans="91:118" x14ac:dyDescent="0.25">
      <c r="CM420" t="s">
        <v>636</v>
      </c>
      <c r="CN420" t="s">
        <v>125</v>
      </c>
      <c r="CO420" t="s">
        <v>61</v>
      </c>
      <c r="CP420">
        <v>46084</v>
      </c>
      <c r="CQ420">
        <v>1</v>
      </c>
      <c r="CR420">
        <v>1</v>
      </c>
      <c r="CT420">
        <v>1</v>
      </c>
      <c r="CV420">
        <v>1.273148148148148E-4</v>
      </c>
      <c r="CW420">
        <v>1.273148148148148E-4</v>
      </c>
      <c r="CX420">
        <v>0.33631944444444445</v>
      </c>
      <c r="CY420">
        <v>5.2789351851851851E-2</v>
      </c>
      <c r="CZ420">
        <v>124</v>
      </c>
      <c r="DA420">
        <v>305</v>
      </c>
      <c r="DB420">
        <v>32</v>
      </c>
      <c r="DC420">
        <v>1.46875</v>
      </c>
      <c r="DD420">
        <v>38606</v>
      </c>
      <c r="DE420">
        <v>0.2581</v>
      </c>
      <c r="DF420">
        <v>2</v>
      </c>
      <c r="DG420">
        <v>6.25E-2</v>
      </c>
      <c r="DH420">
        <v>1965</v>
      </c>
      <c r="DI420">
        <v>983</v>
      </c>
      <c r="DJ420">
        <v>465</v>
      </c>
      <c r="DK420">
        <v>0.2366</v>
      </c>
      <c r="DM420">
        <v>80</v>
      </c>
      <c r="DN420">
        <v>465</v>
      </c>
    </row>
    <row r="421" spans="91:118" x14ac:dyDescent="0.25">
      <c r="CM421" t="s">
        <v>636</v>
      </c>
      <c r="CN421" t="s">
        <v>125</v>
      </c>
      <c r="CO421" t="s">
        <v>61</v>
      </c>
      <c r="CP421">
        <v>46108</v>
      </c>
      <c r="CQ421">
        <v>1</v>
      </c>
      <c r="CR421">
        <v>1</v>
      </c>
      <c r="CT421">
        <v>1</v>
      </c>
      <c r="CV421">
        <v>3.5879629629629629E-4</v>
      </c>
      <c r="CW421">
        <v>3.5879629629629629E-4</v>
      </c>
      <c r="CX421">
        <v>0.18971064814814814</v>
      </c>
      <c r="CY421">
        <v>0.16881944444444444</v>
      </c>
      <c r="CZ421">
        <v>88</v>
      </c>
      <c r="DA421">
        <v>218</v>
      </c>
      <c r="DB421">
        <v>19</v>
      </c>
      <c r="DC421" t="s">
        <v>725</v>
      </c>
      <c r="DD421">
        <v>37742</v>
      </c>
      <c r="DE421">
        <v>0.21590000000000001</v>
      </c>
      <c r="DF421">
        <v>1</v>
      </c>
      <c r="DG421">
        <v>5.2600000000000001E-2</v>
      </c>
      <c r="DH421">
        <v>5000</v>
      </c>
      <c r="DI421">
        <v>5000</v>
      </c>
      <c r="DJ421">
        <v>5000</v>
      </c>
      <c r="DK421">
        <v>1</v>
      </c>
      <c r="DL421">
        <v>0.1159</v>
      </c>
      <c r="DM421">
        <v>80</v>
      </c>
      <c r="DN421">
        <v>5000</v>
      </c>
    </row>
    <row r="422" spans="91:118" x14ac:dyDescent="0.25">
      <c r="CM422" t="s">
        <v>636</v>
      </c>
      <c r="CN422" t="s">
        <v>125</v>
      </c>
      <c r="CO422" t="s">
        <v>12</v>
      </c>
      <c r="CP422">
        <v>46099</v>
      </c>
      <c r="CQ422">
        <v>1</v>
      </c>
      <c r="CR422">
        <v>1</v>
      </c>
      <c r="CV422">
        <v>3.6689814814814814E-3</v>
      </c>
      <c r="CW422">
        <v>3.6689814814814814E-3</v>
      </c>
      <c r="CX422">
        <v>0.19942129629629629</v>
      </c>
      <c r="CY422">
        <v>0.13071759259259258</v>
      </c>
      <c r="CZ422">
        <v>107</v>
      </c>
      <c r="DA422">
        <v>259</v>
      </c>
      <c r="DB422">
        <v>15</v>
      </c>
      <c r="DC422" t="s">
        <v>672</v>
      </c>
      <c r="DD422">
        <v>24439</v>
      </c>
      <c r="DE422">
        <v>0.14019999999999999</v>
      </c>
      <c r="DF422">
        <v>1</v>
      </c>
      <c r="DG422">
        <v>6.6699999999999995E-2</v>
      </c>
      <c r="DH422">
        <v>1850</v>
      </c>
      <c r="DI422">
        <v>1850</v>
      </c>
      <c r="DJ422">
        <v>1850</v>
      </c>
      <c r="DK422">
        <v>1</v>
      </c>
      <c r="DL422">
        <v>0.11219999999999999</v>
      </c>
      <c r="DM422">
        <v>80</v>
      </c>
      <c r="DN422">
        <v>1850</v>
      </c>
    </row>
    <row r="423" spans="91:118" x14ac:dyDescent="0.25">
      <c r="CM423" t="s">
        <v>636</v>
      </c>
      <c r="CN423" t="s">
        <v>125</v>
      </c>
      <c r="CO423" t="s">
        <v>12</v>
      </c>
      <c r="CP423">
        <v>46108</v>
      </c>
      <c r="CQ423">
        <v>1</v>
      </c>
      <c r="CR423">
        <v>1</v>
      </c>
      <c r="CT423">
        <v>1</v>
      </c>
      <c r="CV423">
        <v>1.9675925925925926E-4</v>
      </c>
      <c r="CW423">
        <v>1.9675925925925926E-4</v>
      </c>
      <c r="CX423">
        <v>0.17987268518518518</v>
      </c>
      <c r="CY423">
        <v>0.15684027777777779</v>
      </c>
      <c r="CZ423">
        <v>83</v>
      </c>
      <c r="DA423">
        <v>205</v>
      </c>
      <c r="DB423">
        <v>22</v>
      </c>
      <c r="DC423" t="s">
        <v>698</v>
      </c>
      <c r="DD423">
        <v>25553</v>
      </c>
      <c r="DE423">
        <v>0.2651</v>
      </c>
      <c r="DF423">
        <v>1</v>
      </c>
      <c r="DG423">
        <v>4.5499999999999999E-2</v>
      </c>
      <c r="DH423">
        <v>1500</v>
      </c>
      <c r="DI423">
        <v>1500</v>
      </c>
      <c r="DJ423">
        <v>1500</v>
      </c>
      <c r="DK423">
        <v>1</v>
      </c>
      <c r="DL423">
        <v>0.1406</v>
      </c>
      <c r="DM423">
        <v>80</v>
      </c>
      <c r="DN423">
        <v>1500</v>
      </c>
    </row>
    <row r="424" spans="91:118" x14ac:dyDescent="0.25">
      <c r="CM424" t="s">
        <v>636</v>
      </c>
      <c r="CN424" t="s">
        <v>125</v>
      </c>
      <c r="CO424" t="s">
        <v>122</v>
      </c>
      <c r="CP424">
        <v>46097</v>
      </c>
      <c r="CQ424">
        <v>1</v>
      </c>
      <c r="CR424">
        <v>1</v>
      </c>
      <c r="CV424">
        <v>4.0393518518518521E-3</v>
      </c>
      <c r="CW424">
        <v>4.0393518518518521E-3</v>
      </c>
      <c r="CX424">
        <v>0.24660879629629628</v>
      </c>
      <c r="CY424">
        <v>0.13238425925925926</v>
      </c>
      <c r="CZ424">
        <v>57</v>
      </c>
      <c r="DA424">
        <v>182</v>
      </c>
      <c r="DB424">
        <v>14</v>
      </c>
      <c r="DC424" t="s">
        <v>745</v>
      </c>
      <c r="DD424">
        <v>28242</v>
      </c>
      <c r="DE424">
        <v>0.24560000000000001</v>
      </c>
      <c r="DF424">
        <v>1</v>
      </c>
      <c r="DG424">
        <v>7.1400000000000005E-2</v>
      </c>
      <c r="DH424">
        <v>15200</v>
      </c>
      <c r="DI424">
        <v>15200</v>
      </c>
      <c r="DJ424">
        <v>15200</v>
      </c>
      <c r="DK424">
        <v>1</v>
      </c>
      <c r="DL424">
        <v>0.26169999999999999</v>
      </c>
      <c r="DM424">
        <v>80</v>
      </c>
      <c r="DN424">
        <v>15200</v>
      </c>
    </row>
    <row r="425" spans="91:118" x14ac:dyDescent="0.25">
      <c r="CM425" t="s">
        <v>636</v>
      </c>
      <c r="CN425" t="s">
        <v>2</v>
      </c>
      <c r="CO425" t="s">
        <v>377</v>
      </c>
      <c r="CP425">
        <v>46101</v>
      </c>
      <c r="CQ425">
        <v>1</v>
      </c>
      <c r="CR425">
        <v>1</v>
      </c>
      <c r="CT425">
        <v>1</v>
      </c>
      <c r="CV425">
        <v>0</v>
      </c>
      <c r="CW425">
        <v>0</v>
      </c>
      <c r="CX425">
        <v>0.17153935185185185</v>
      </c>
      <c r="CY425">
        <v>0.18398148148148147</v>
      </c>
      <c r="CZ425">
        <v>68</v>
      </c>
      <c r="DA425">
        <v>123</v>
      </c>
      <c r="DB425">
        <v>18</v>
      </c>
      <c r="DC425" t="s">
        <v>674</v>
      </c>
      <c r="DD425">
        <v>24783</v>
      </c>
      <c r="DE425">
        <v>0.26469999999999999</v>
      </c>
      <c r="DF425">
        <v>2</v>
      </c>
      <c r="DG425">
        <v>0.1111</v>
      </c>
      <c r="DH425">
        <v>2210</v>
      </c>
      <c r="DI425">
        <v>1105</v>
      </c>
      <c r="DJ425">
        <v>1000</v>
      </c>
      <c r="DK425">
        <v>0.45250000000000001</v>
      </c>
      <c r="DL425">
        <v>0.15390000000000001</v>
      </c>
      <c r="DM425">
        <v>80</v>
      </c>
      <c r="DN425">
        <v>1000</v>
      </c>
    </row>
    <row r="426" spans="91:118" x14ac:dyDescent="0.25">
      <c r="CM426" t="s">
        <v>636</v>
      </c>
      <c r="CN426" t="s">
        <v>2</v>
      </c>
      <c r="CO426" t="s">
        <v>22</v>
      </c>
      <c r="CP426">
        <v>46084</v>
      </c>
      <c r="CQ426">
        <v>1</v>
      </c>
      <c r="CR426">
        <v>1</v>
      </c>
      <c r="CS426">
        <v>1</v>
      </c>
      <c r="CV426">
        <v>5.6481481481481478E-3</v>
      </c>
      <c r="CW426">
        <v>5.6481481481481478E-3</v>
      </c>
      <c r="CX426">
        <v>0.33758101851851852</v>
      </c>
      <c r="CY426">
        <v>7.5682870370370373E-2</v>
      </c>
      <c r="CZ426">
        <v>84</v>
      </c>
      <c r="DA426">
        <v>192</v>
      </c>
      <c r="DB426">
        <v>20</v>
      </c>
      <c r="DC426">
        <v>1.7</v>
      </c>
      <c r="DD426">
        <v>19745</v>
      </c>
      <c r="DE426">
        <v>0.23810000000000001</v>
      </c>
      <c r="DF426">
        <v>1</v>
      </c>
      <c r="DG426">
        <v>0.05</v>
      </c>
      <c r="DH426">
        <v>12500</v>
      </c>
      <c r="DI426">
        <v>12500</v>
      </c>
      <c r="DJ426">
        <v>12500</v>
      </c>
      <c r="DK426">
        <v>1</v>
      </c>
      <c r="DL426">
        <v>9.2999999999999999E-2</v>
      </c>
      <c r="DM426">
        <v>80</v>
      </c>
      <c r="DN426">
        <v>12500</v>
      </c>
    </row>
    <row r="427" spans="91:118" x14ac:dyDescent="0.25">
      <c r="CM427" t="s">
        <v>636</v>
      </c>
      <c r="CN427" t="s">
        <v>2</v>
      </c>
      <c r="CO427" t="s">
        <v>22</v>
      </c>
      <c r="CP427">
        <v>46091</v>
      </c>
      <c r="CQ427">
        <v>1</v>
      </c>
      <c r="CR427">
        <v>1</v>
      </c>
      <c r="CT427">
        <v>1</v>
      </c>
      <c r="CV427">
        <v>0</v>
      </c>
      <c r="CW427">
        <v>0</v>
      </c>
      <c r="CX427">
        <v>0.27880787037037036</v>
      </c>
      <c r="CY427">
        <v>9.6956018518518525E-2</v>
      </c>
      <c r="CZ427">
        <v>103</v>
      </c>
      <c r="DA427">
        <v>165</v>
      </c>
      <c r="DB427">
        <v>19</v>
      </c>
      <c r="DC427" t="s">
        <v>792</v>
      </c>
      <c r="DD427">
        <v>37219</v>
      </c>
      <c r="DE427">
        <v>0.1845</v>
      </c>
      <c r="DF427">
        <v>1</v>
      </c>
      <c r="DG427">
        <v>5.2600000000000001E-2</v>
      </c>
      <c r="DH427">
        <v>10000</v>
      </c>
      <c r="DI427">
        <v>10000</v>
      </c>
      <c r="DJ427">
        <v>10000</v>
      </c>
      <c r="DK427">
        <v>1</v>
      </c>
      <c r="DL427">
        <v>0.108</v>
      </c>
      <c r="DM427">
        <v>80</v>
      </c>
      <c r="DN427">
        <v>10000</v>
      </c>
    </row>
    <row r="428" spans="91:118" x14ac:dyDescent="0.25">
      <c r="CM428" t="s">
        <v>636</v>
      </c>
      <c r="CN428" t="s">
        <v>2</v>
      </c>
      <c r="CO428" t="s">
        <v>13</v>
      </c>
      <c r="CP428">
        <v>46087</v>
      </c>
      <c r="CQ428">
        <v>1</v>
      </c>
      <c r="CR428">
        <v>1</v>
      </c>
      <c r="CS428">
        <v>1</v>
      </c>
      <c r="CV428">
        <v>1.1111111111111112E-2</v>
      </c>
      <c r="CW428">
        <v>1.1111111111111112E-2</v>
      </c>
      <c r="CX428">
        <v>0.2557638888888889</v>
      </c>
      <c r="CY428">
        <v>6.3831018518518523E-2</v>
      </c>
      <c r="CZ428">
        <v>61</v>
      </c>
      <c r="DA428">
        <v>145</v>
      </c>
      <c r="DB428">
        <v>16</v>
      </c>
      <c r="DC428">
        <v>1.625</v>
      </c>
      <c r="DD428">
        <v>24231</v>
      </c>
      <c r="DE428">
        <v>0.26229999999999998</v>
      </c>
      <c r="DF428">
        <v>1</v>
      </c>
      <c r="DG428">
        <v>6.25E-2</v>
      </c>
      <c r="DH428">
        <v>400</v>
      </c>
      <c r="DI428">
        <v>400</v>
      </c>
      <c r="DJ428">
        <v>400</v>
      </c>
      <c r="DK428">
        <v>1</v>
      </c>
      <c r="DL428">
        <v>0.22370000000000001</v>
      </c>
      <c r="DM428">
        <v>80</v>
      </c>
      <c r="DN428">
        <v>400</v>
      </c>
    </row>
    <row r="429" spans="91:118" x14ac:dyDescent="0.25">
      <c r="CM429" t="s">
        <v>636</v>
      </c>
      <c r="CN429" t="s">
        <v>6</v>
      </c>
      <c r="CO429" t="s">
        <v>19</v>
      </c>
      <c r="CP429">
        <v>46112</v>
      </c>
      <c r="CQ429">
        <v>1</v>
      </c>
      <c r="CR429">
        <v>1</v>
      </c>
      <c r="CT429">
        <v>1</v>
      </c>
      <c r="CV429">
        <v>5.7870370370370373E-5</v>
      </c>
      <c r="CW429">
        <v>5.7870370370370373E-5</v>
      </c>
      <c r="CX429">
        <v>0.2167824074074074</v>
      </c>
      <c r="CY429">
        <v>0.17195601851851852</v>
      </c>
      <c r="CZ429">
        <v>92</v>
      </c>
      <c r="DA429">
        <v>183</v>
      </c>
      <c r="DB429">
        <v>14</v>
      </c>
      <c r="DC429">
        <v>1.5</v>
      </c>
      <c r="DD429">
        <v>42890</v>
      </c>
      <c r="DE429">
        <v>0.1522</v>
      </c>
      <c r="DF429">
        <v>1</v>
      </c>
      <c r="DG429">
        <v>7.1400000000000005E-2</v>
      </c>
      <c r="DH429">
        <v>17000</v>
      </c>
      <c r="DI429">
        <v>17000</v>
      </c>
      <c r="DJ429">
        <v>17000</v>
      </c>
      <c r="DK429">
        <v>1</v>
      </c>
      <c r="DL429">
        <v>0.113</v>
      </c>
      <c r="DM429">
        <v>80</v>
      </c>
      <c r="DN429">
        <v>17000</v>
      </c>
    </row>
    <row r="430" spans="91:118" x14ac:dyDescent="0.25">
      <c r="CM430" t="s">
        <v>636</v>
      </c>
      <c r="CN430" t="s">
        <v>6</v>
      </c>
      <c r="CO430" t="s">
        <v>81</v>
      </c>
      <c r="CP430">
        <v>46093</v>
      </c>
      <c r="CQ430">
        <v>1</v>
      </c>
      <c r="CR430">
        <v>1</v>
      </c>
      <c r="CT430">
        <v>1</v>
      </c>
      <c r="CV430">
        <v>8.1018518518518516E-5</v>
      </c>
      <c r="CW430">
        <v>8.1018518518518516E-5</v>
      </c>
      <c r="CX430">
        <v>0.26204861111111111</v>
      </c>
      <c r="CY430">
        <v>0.10361111111111111</v>
      </c>
      <c r="CZ430">
        <v>85</v>
      </c>
      <c r="DA430">
        <v>175</v>
      </c>
      <c r="DB430">
        <v>25</v>
      </c>
      <c r="DC430">
        <v>2.08</v>
      </c>
      <c r="DD430">
        <v>24874</v>
      </c>
      <c r="DE430">
        <v>0.29409999999999997</v>
      </c>
      <c r="DF430">
        <v>2</v>
      </c>
      <c r="DG430">
        <v>0.08</v>
      </c>
      <c r="DH430">
        <v>250</v>
      </c>
      <c r="DI430">
        <v>125</v>
      </c>
      <c r="DJ430">
        <v>250</v>
      </c>
      <c r="DK430">
        <v>1</v>
      </c>
      <c r="DL430">
        <v>0.30080000000000001</v>
      </c>
      <c r="DM430">
        <v>80</v>
      </c>
      <c r="DN430">
        <v>125</v>
      </c>
    </row>
    <row r="431" spans="91:118" x14ac:dyDescent="0.25">
      <c r="CM431" t="s">
        <v>636</v>
      </c>
      <c r="CN431" t="s">
        <v>6</v>
      </c>
      <c r="CO431" t="s">
        <v>37</v>
      </c>
      <c r="CP431">
        <v>46107</v>
      </c>
      <c r="CQ431">
        <v>1</v>
      </c>
      <c r="CR431">
        <v>1</v>
      </c>
      <c r="CT431">
        <v>1</v>
      </c>
      <c r="CV431">
        <v>1.1574074074074075E-4</v>
      </c>
      <c r="CW431">
        <v>1.1574074074074075E-4</v>
      </c>
      <c r="CX431">
        <v>0.19320601851851851</v>
      </c>
      <c r="CY431">
        <v>0.14785879629629631</v>
      </c>
      <c r="CZ431">
        <v>54</v>
      </c>
      <c r="DA431">
        <v>95</v>
      </c>
      <c r="DB431">
        <v>16</v>
      </c>
      <c r="DC431">
        <v>2.125</v>
      </c>
      <c r="DD431">
        <v>26769</v>
      </c>
      <c r="DE431">
        <v>0.29630000000000001</v>
      </c>
      <c r="DF431">
        <v>4</v>
      </c>
      <c r="DG431">
        <v>0.25</v>
      </c>
      <c r="DH431">
        <v>10600</v>
      </c>
      <c r="DI431">
        <v>2650</v>
      </c>
      <c r="DJ431">
        <v>3000</v>
      </c>
      <c r="DK431">
        <v>0.28299999999999997</v>
      </c>
      <c r="DL431">
        <v>5.28E-2</v>
      </c>
      <c r="DM431">
        <v>80</v>
      </c>
      <c r="DN431">
        <v>3000</v>
      </c>
    </row>
    <row r="432" spans="91:118" x14ac:dyDescent="0.25">
      <c r="CM432" t="s">
        <v>636</v>
      </c>
      <c r="CN432" t="s">
        <v>6</v>
      </c>
      <c r="CO432" t="s">
        <v>35</v>
      </c>
      <c r="CP432">
        <v>46112</v>
      </c>
      <c r="CQ432">
        <v>1</v>
      </c>
      <c r="CR432">
        <v>1</v>
      </c>
      <c r="CT432">
        <v>1</v>
      </c>
      <c r="CV432">
        <v>5.7870370370370373E-5</v>
      </c>
      <c r="CW432">
        <v>5.7870370370370373E-5</v>
      </c>
      <c r="CX432">
        <v>0.13149305555555554</v>
      </c>
      <c r="CY432">
        <v>0.25746527777777778</v>
      </c>
      <c r="CZ432">
        <v>54</v>
      </c>
      <c r="DA432">
        <v>93</v>
      </c>
      <c r="DB432">
        <v>21</v>
      </c>
      <c r="DC432" t="s">
        <v>718</v>
      </c>
      <c r="DD432">
        <v>38671</v>
      </c>
      <c r="DE432">
        <v>0.38890000000000002</v>
      </c>
      <c r="DF432">
        <v>1</v>
      </c>
      <c r="DG432">
        <v>4.7600000000000003E-2</v>
      </c>
      <c r="DH432">
        <v>2000</v>
      </c>
      <c r="DI432">
        <v>2000</v>
      </c>
      <c r="DJ432">
        <v>2000</v>
      </c>
      <c r="DK432">
        <v>1</v>
      </c>
      <c r="DL432">
        <v>0.1426</v>
      </c>
      <c r="DM432">
        <v>80</v>
      </c>
      <c r="DN432">
        <v>2000</v>
      </c>
    </row>
    <row r="433" spans="91:118" x14ac:dyDescent="0.25">
      <c r="CM433" t="s">
        <v>636</v>
      </c>
      <c r="CN433" t="s">
        <v>6</v>
      </c>
      <c r="CO433" t="s">
        <v>11</v>
      </c>
      <c r="CP433">
        <v>46101</v>
      </c>
      <c r="CQ433">
        <v>1</v>
      </c>
      <c r="CR433">
        <v>1</v>
      </c>
      <c r="CT433">
        <v>1</v>
      </c>
      <c r="CV433">
        <v>2.2222222222222222E-3</v>
      </c>
      <c r="CW433">
        <v>2.2222222222222222E-3</v>
      </c>
      <c r="CX433">
        <v>0.23452546296296295</v>
      </c>
      <c r="CY433">
        <v>0.12431712962962962</v>
      </c>
      <c r="CZ433">
        <v>142</v>
      </c>
      <c r="DA433">
        <v>216</v>
      </c>
      <c r="DB433">
        <v>28</v>
      </c>
      <c r="DC433" t="s">
        <v>871</v>
      </c>
      <c r="DD433">
        <v>30837</v>
      </c>
      <c r="DE433">
        <v>0.19719999999999999</v>
      </c>
      <c r="DF433">
        <v>1</v>
      </c>
      <c r="DG433">
        <v>3.5700000000000003E-2</v>
      </c>
      <c r="DH433">
        <v>2000</v>
      </c>
      <c r="DI433">
        <v>2000</v>
      </c>
      <c r="DJ433">
        <v>2000</v>
      </c>
      <c r="DK433">
        <v>1</v>
      </c>
      <c r="DM433">
        <v>80</v>
      </c>
      <c r="DN433">
        <v>2000</v>
      </c>
    </row>
    <row r="434" spans="91:118" x14ac:dyDescent="0.25">
      <c r="CM434" t="s">
        <v>636</v>
      </c>
      <c r="CN434" t="s">
        <v>6</v>
      </c>
      <c r="CO434" t="s">
        <v>97</v>
      </c>
      <c r="CP434">
        <v>46085</v>
      </c>
      <c r="CQ434">
        <v>1</v>
      </c>
      <c r="CR434">
        <v>1</v>
      </c>
      <c r="CT434">
        <v>1</v>
      </c>
      <c r="CV434">
        <v>2.3148148148148147E-5</v>
      </c>
      <c r="CW434">
        <v>2.3148148148148147E-5</v>
      </c>
      <c r="CX434">
        <v>0.19280092592592593</v>
      </c>
      <c r="CY434">
        <v>0.1648148148148148</v>
      </c>
      <c r="CZ434">
        <v>147</v>
      </c>
      <c r="DA434">
        <v>231</v>
      </c>
      <c r="DB434">
        <v>25</v>
      </c>
      <c r="DC434">
        <v>1.76</v>
      </c>
      <c r="DD434">
        <v>22216</v>
      </c>
      <c r="DE434">
        <v>0.1701</v>
      </c>
      <c r="DF434">
        <v>2</v>
      </c>
      <c r="DG434">
        <v>0.08</v>
      </c>
      <c r="DH434">
        <v>1195</v>
      </c>
      <c r="DI434">
        <v>598</v>
      </c>
      <c r="DJ434">
        <v>1195</v>
      </c>
      <c r="DK434">
        <v>1</v>
      </c>
      <c r="DL434">
        <v>0.62019999999999997</v>
      </c>
      <c r="DM434">
        <v>80</v>
      </c>
      <c r="DN434">
        <v>598</v>
      </c>
    </row>
    <row r="435" spans="91:118" x14ac:dyDescent="0.25">
      <c r="CM435" t="s">
        <v>636</v>
      </c>
      <c r="CN435" t="s">
        <v>7</v>
      </c>
      <c r="CO435" t="s">
        <v>41</v>
      </c>
      <c r="CP435">
        <v>46086</v>
      </c>
      <c r="CQ435">
        <v>1</v>
      </c>
      <c r="CR435">
        <v>1</v>
      </c>
      <c r="CT435">
        <v>1</v>
      </c>
      <c r="CV435">
        <v>2.8935185185185184E-4</v>
      </c>
      <c r="CW435">
        <v>2.8935185185185184E-4</v>
      </c>
      <c r="CX435">
        <v>0.28092592592592591</v>
      </c>
      <c r="CY435">
        <v>0.12550925925925926</v>
      </c>
      <c r="CZ435">
        <v>96</v>
      </c>
      <c r="DA435">
        <v>182</v>
      </c>
      <c r="DB435">
        <v>38</v>
      </c>
      <c r="DC435" t="s">
        <v>725</v>
      </c>
      <c r="DD435">
        <v>8873</v>
      </c>
      <c r="DE435">
        <v>0.39579999999999999</v>
      </c>
      <c r="DF435">
        <v>1</v>
      </c>
      <c r="DG435">
        <v>2.63E-2</v>
      </c>
      <c r="DH435">
        <v>75</v>
      </c>
      <c r="DI435">
        <v>75</v>
      </c>
      <c r="DM435">
        <v>80</v>
      </c>
    </row>
    <row r="436" spans="91:118" x14ac:dyDescent="0.25">
      <c r="CM436" t="s">
        <v>636</v>
      </c>
      <c r="CN436" t="s">
        <v>7</v>
      </c>
      <c r="CO436" t="s">
        <v>41</v>
      </c>
      <c r="CP436">
        <v>46104</v>
      </c>
      <c r="CQ436">
        <v>1</v>
      </c>
      <c r="CR436">
        <v>1</v>
      </c>
      <c r="CS436">
        <v>1</v>
      </c>
      <c r="CV436">
        <v>1.6701388888888891E-2</v>
      </c>
      <c r="CW436">
        <v>1.6701388888888891E-2</v>
      </c>
      <c r="CX436">
        <v>0.13938657407407407</v>
      </c>
      <c r="CY436">
        <v>0.17048611111111112</v>
      </c>
      <c r="CZ436">
        <v>74</v>
      </c>
      <c r="DA436">
        <v>166</v>
      </c>
      <c r="DB436">
        <v>29</v>
      </c>
      <c r="DC436" t="s">
        <v>866</v>
      </c>
      <c r="DD436">
        <v>7724</v>
      </c>
      <c r="DE436">
        <v>0.39190000000000003</v>
      </c>
      <c r="DF436">
        <v>3</v>
      </c>
      <c r="DG436">
        <v>0.10340000000000001</v>
      </c>
      <c r="DH436">
        <v>4070</v>
      </c>
      <c r="DI436">
        <v>1357</v>
      </c>
      <c r="DM436">
        <v>80</v>
      </c>
    </row>
    <row r="437" spans="91:118" x14ac:dyDescent="0.25">
      <c r="CM437" t="s">
        <v>636</v>
      </c>
      <c r="CN437" t="s">
        <v>7</v>
      </c>
      <c r="CO437" t="s">
        <v>495</v>
      </c>
      <c r="CP437">
        <v>46105</v>
      </c>
      <c r="CQ437">
        <v>1</v>
      </c>
      <c r="CR437">
        <v>1</v>
      </c>
      <c r="CT437">
        <v>1</v>
      </c>
      <c r="CV437">
        <v>1.9097222222222222E-3</v>
      </c>
      <c r="CW437">
        <v>1.9097222222222222E-3</v>
      </c>
      <c r="CX437">
        <v>0.19383101851851853</v>
      </c>
      <c r="CY437">
        <v>0.20554398148148148</v>
      </c>
      <c r="CZ437">
        <v>209</v>
      </c>
      <c r="DA437">
        <v>474</v>
      </c>
      <c r="DB437">
        <v>31</v>
      </c>
      <c r="DC437" t="s">
        <v>846</v>
      </c>
      <c r="DD437">
        <v>9041</v>
      </c>
      <c r="DE437">
        <v>0.14829999999999999</v>
      </c>
      <c r="DF437">
        <v>1</v>
      </c>
      <c r="DG437">
        <v>3.2300000000000002E-2</v>
      </c>
      <c r="DH437">
        <v>50</v>
      </c>
      <c r="DI437">
        <v>50</v>
      </c>
      <c r="DM437">
        <v>80</v>
      </c>
    </row>
    <row r="438" spans="91:118" x14ac:dyDescent="0.25">
      <c r="CM438" t="s">
        <v>636</v>
      </c>
      <c r="CN438" t="s">
        <v>7</v>
      </c>
      <c r="CO438" t="s">
        <v>495</v>
      </c>
      <c r="CP438">
        <v>46108</v>
      </c>
      <c r="CQ438">
        <v>1</v>
      </c>
      <c r="CR438">
        <v>1</v>
      </c>
      <c r="CV438">
        <v>3.5069444444444445E-3</v>
      </c>
      <c r="CW438">
        <v>3.5069444444444445E-3</v>
      </c>
      <c r="CX438">
        <v>0.14216435185185186</v>
      </c>
      <c r="CY438">
        <v>0.21605324074074075</v>
      </c>
      <c r="CZ438">
        <v>137</v>
      </c>
      <c r="DA438">
        <v>279</v>
      </c>
      <c r="DB438">
        <v>29</v>
      </c>
      <c r="DC438" t="s">
        <v>818</v>
      </c>
      <c r="DD438">
        <v>13313</v>
      </c>
      <c r="DE438">
        <v>0.2117</v>
      </c>
      <c r="DF438">
        <v>3</v>
      </c>
      <c r="DG438">
        <v>0.10340000000000001</v>
      </c>
      <c r="DH438">
        <v>3505</v>
      </c>
      <c r="DI438">
        <v>1168</v>
      </c>
      <c r="DJ438">
        <v>3505</v>
      </c>
      <c r="DK438">
        <v>1</v>
      </c>
      <c r="DL438">
        <v>0.1052</v>
      </c>
      <c r="DM438">
        <v>80</v>
      </c>
      <c r="DN438">
        <v>1168</v>
      </c>
    </row>
    <row r="439" spans="91:118" x14ac:dyDescent="0.25">
      <c r="CM439" t="s">
        <v>636</v>
      </c>
      <c r="CN439" t="s">
        <v>7</v>
      </c>
      <c r="CO439" t="s">
        <v>51</v>
      </c>
      <c r="CP439">
        <v>46083</v>
      </c>
      <c r="CQ439">
        <v>1</v>
      </c>
      <c r="CR439">
        <v>1</v>
      </c>
      <c r="CT439">
        <v>1</v>
      </c>
      <c r="CV439">
        <v>0</v>
      </c>
      <c r="CW439">
        <v>0</v>
      </c>
      <c r="CX439">
        <v>0.2722222222222222</v>
      </c>
      <c r="CY439">
        <v>4.3715277777777777E-2</v>
      </c>
      <c r="CZ439">
        <v>125</v>
      </c>
      <c r="DA439">
        <v>235</v>
      </c>
      <c r="DB439">
        <v>19</v>
      </c>
      <c r="DC439" t="s">
        <v>950</v>
      </c>
      <c r="DD439">
        <v>16953</v>
      </c>
      <c r="DE439">
        <v>0.152</v>
      </c>
      <c r="DF439">
        <v>8</v>
      </c>
      <c r="DG439">
        <v>0.42109999999999997</v>
      </c>
      <c r="DH439">
        <v>5183</v>
      </c>
      <c r="DI439">
        <v>648</v>
      </c>
      <c r="DJ439">
        <v>4083</v>
      </c>
      <c r="DK439">
        <v>0.78779999999999994</v>
      </c>
      <c r="DM439">
        <v>80</v>
      </c>
      <c r="DN439">
        <v>583</v>
      </c>
    </row>
    <row r="440" spans="91:118" x14ac:dyDescent="0.25">
      <c r="CM440" t="s">
        <v>636</v>
      </c>
      <c r="CN440" t="s">
        <v>7</v>
      </c>
      <c r="CO440" t="s">
        <v>565</v>
      </c>
      <c r="CP440">
        <v>46100</v>
      </c>
      <c r="CQ440">
        <v>1</v>
      </c>
      <c r="CR440">
        <v>1</v>
      </c>
      <c r="CT440">
        <v>1</v>
      </c>
      <c r="CV440">
        <v>9.2592592592592588E-5</v>
      </c>
      <c r="CW440">
        <v>9.2592592592592588E-5</v>
      </c>
      <c r="CX440">
        <v>0.20737268518518517</v>
      </c>
      <c r="CY440">
        <v>0.13842592592592592</v>
      </c>
      <c r="CZ440">
        <v>101</v>
      </c>
      <c r="DA440">
        <v>198</v>
      </c>
      <c r="DB440">
        <v>41</v>
      </c>
      <c r="DC440" t="s">
        <v>1014</v>
      </c>
      <c r="DD440">
        <v>11693</v>
      </c>
      <c r="DE440">
        <v>0.40589999999999998</v>
      </c>
      <c r="DF440">
        <v>2</v>
      </c>
      <c r="DG440">
        <v>4.8800000000000003E-2</v>
      </c>
      <c r="DH440">
        <v>670</v>
      </c>
      <c r="DI440">
        <v>335</v>
      </c>
      <c r="DJ440">
        <v>400</v>
      </c>
      <c r="DK440">
        <v>0.59699999999999998</v>
      </c>
      <c r="DL440">
        <v>0.18129999999999999</v>
      </c>
      <c r="DM440">
        <v>80</v>
      </c>
      <c r="DN440">
        <v>400</v>
      </c>
    </row>
    <row r="441" spans="91:118" x14ac:dyDescent="0.25">
      <c r="CM441" t="s">
        <v>636</v>
      </c>
      <c r="CN441" t="s">
        <v>7</v>
      </c>
      <c r="CO441" t="s">
        <v>549</v>
      </c>
      <c r="CP441">
        <v>46100</v>
      </c>
      <c r="CQ441">
        <v>1</v>
      </c>
      <c r="CR441">
        <v>1</v>
      </c>
      <c r="CS441">
        <v>1</v>
      </c>
      <c r="CV441">
        <v>4.7800925925925927E-3</v>
      </c>
      <c r="CW441">
        <v>4.7800925925925927E-3</v>
      </c>
      <c r="CX441">
        <v>0.22516203703703705</v>
      </c>
      <c r="CY441">
        <v>0.12347222222222222</v>
      </c>
      <c r="CZ441">
        <v>161</v>
      </c>
      <c r="DA441">
        <v>229</v>
      </c>
      <c r="DB441">
        <v>29</v>
      </c>
      <c r="DC441" t="s">
        <v>1039</v>
      </c>
      <c r="DD441">
        <v>12542</v>
      </c>
      <c r="DE441">
        <v>0.18010000000000001</v>
      </c>
      <c r="DF441">
        <v>1</v>
      </c>
      <c r="DG441">
        <v>3.4500000000000003E-2</v>
      </c>
      <c r="DH441">
        <v>3000</v>
      </c>
      <c r="DI441">
        <v>3000</v>
      </c>
      <c r="DJ441">
        <v>3000</v>
      </c>
      <c r="DK441">
        <v>1</v>
      </c>
      <c r="DL441">
        <v>0.17100000000000001</v>
      </c>
      <c r="DM441">
        <v>80</v>
      </c>
      <c r="DN441">
        <v>3000</v>
      </c>
    </row>
    <row r="442" spans="91:118" x14ac:dyDescent="0.25">
      <c r="CM442" t="s">
        <v>636</v>
      </c>
      <c r="CN442" t="s">
        <v>7</v>
      </c>
      <c r="CO442" t="s">
        <v>566</v>
      </c>
      <c r="CP442">
        <v>46105</v>
      </c>
      <c r="CQ442">
        <v>1</v>
      </c>
      <c r="CR442">
        <v>1</v>
      </c>
      <c r="CS442">
        <v>1</v>
      </c>
      <c r="CV442">
        <v>5.0578703703703706E-3</v>
      </c>
      <c r="CW442">
        <v>5.0578703703703706E-3</v>
      </c>
      <c r="CX442">
        <v>0.22476851851851851</v>
      </c>
      <c r="CY442">
        <v>0.15456018518518519</v>
      </c>
      <c r="CZ442">
        <v>150</v>
      </c>
      <c r="DA442">
        <v>249</v>
      </c>
      <c r="DB442">
        <v>42</v>
      </c>
      <c r="DC442" t="s">
        <v>1009</v>
      </c>
      <c r="DD442">
        <v>14559</v>
      </c>
      <c r="DE442">
        <v>0.28000000000000003</v>
      </c>
      <c r="DF442">
        <v>1</v>
      </c>
      <c r="DG442">
        <v>2.3800000000000002E-2</v>
      </c>
      <c r="DH442">
        <v>130</v>
      </c>
      <c r="DI442">
        <v>130</v>
      </c>
      <c r="DJ442">
        <v>130</v>
      </c>
      <c r="DK442">
        <v>1</v>
      </c>
      <c r="DL442">
        <v>0.19009999999999999</v>
      </c>
      <c r="DM442">
        <v>80</v>
      </c>
      <c r="DN442">
        <v>130</v>
      </c>
    </row>
    <row r="443" spans="91:118" x14ac:dyDescent="0.25">
      <c r="CM443" t="s">
        <v>636</v>
      </c>
      <c r="CN443" t="s">
        <v>3</v>
      </c>
      <c r="CO443" t="s">
        <v>174</v>
      </c>
      <c r="CP443">
        <v>46098</v>
      </c>
      <c r="CQ443">
        <v>1</v>
      </c>
      <c r="CR443">
        <v>1</v>
      </c>
      <c r="CT443">
        <v>1</v>
      </c>
      <c r="CV443">
        <v>1.1574074074074073E-5</v>
      </c>
      <c r="CW443">
        <v>1.1574074074074073E-5</v>
      </c>
      <c r="CX443">
        <v>0.19212962962962962</v>
      </c>
      <c r="CY443">
        <v>0.14400462962962962</v>
      </c>
      <c r="CZ443">
        <v>208</v>
      </c>
      <c r="DA443">
        <v>288</v>
      </c>
      <c r="DB443">
        <v>22</v>
      </c>
      <c r="DC443" t="s">
        <v>852</v>
      </c>
      <c r="DD443">
        <v>10054</v>
      </c>
      <c r="DE443">
        <v>0.10580000000000001</v>
      </c>
      <c r="DF443">
        <v>2</v>
      </c>
      <c r="DG443">
        <v>9.0899999999999995E-2</v>
      </c>
      <c r="DH443">
        <v>10683</v>
      </c>
      <c r="DI443">
        <v>5342</v>
      </c>
      <c r="DJ443">
        <v>10000</v>
      </c>
      <c r="DK443">
        <v>0.93610000000000004</v>
      </c>
      <c r="DL443">
        <v>0.2046</v>
      </c>
      <c r="DM443">
        <v>80</v>
      </c>
      <c r="DN443">
        <v>10000</v>
      </c>
    </row>
    <row r="444" spans="91:118" x14ac:dyDescent="0.25">
      <c r="CM444" t="s">
        <v>636</v>
      </c>
      <c r="CN444" t="s">
        <v>3</v>
      </c>
      <c r="CO444" t="s">
        <v>493</v>
      </c>
      <c r="CP444">
        <v>46101</v>
      </c>
      <c r="CQ444">
        <v>1</v>
      </c>
      <c r="CR444">
        <v>1</v>
      </c>
      <c r="CT444">
        <v>1</v>
      </c>
      <c r="CV444">
        <v>0</v>
      </c>
      <c r="CW444">
        <v>0</v>
      </c>
      <c r="CX444">
        <v>0.24568287037037037</v>
      </c>
      <c r="CY444">
        <v>0.10748842592592593</v>
      </c>
      <c r="CZ444">
        <v>126</v>
      </c>
      <c r="DA444">
        <v>249</v>
      </c>
      <c r="DB444">
        <v>21</v>
      </c>
      <c r="DC444" t="s">
        <v>803</v>
      </c>
      <c r="DD444">
        <v>30146</v>
      </c>
      <c r="DE444">
        <v>0.16669999999999999</v>
      </c>
      <c r="DF444">
        <v>1</v>
      </c>
      <c r="DG444">
        <v>4.7600000000000003E-2</v>
      </c>
      <c r="DH444">
        <v>500</v>
      </c>
      <c r="DI444">
        <v>500</v>
      </c>
      <c r="DJ444">
        <v>500</v>
      </c>
      <c r="DK444">
        <v>1</v>
      </c>
      <c r="DL444">
        <v>0.29649999999999999</v>
      </c>
      <c r="DM444">
        <v>80</v>
      </c>
      <c r="DN444">
        <v>500</v>
      </c>
    </row>
    <row r="445" spans="91:118" x14ac:dyDescent="0.25">
      <c r="CM445" t="s">
        <v>636</v>
      </c>
      <c r="CN445" t="s">
        <v>3</v>
      </c>
      <c r="CO445" t="s">
        <v>493</v>
      </c>
      <c r="CP445">
        <v>46112</v>
      </c>
      <c r="CQ445">
        <v>1</v>
      </c>
      <c r="CR445">
        <v>1</v>
      </c>
      <c r="CT445">
        <v>1</v>
      </c>
      <c r="CV445">
        <v>2.3148148148148149E-4</v>
      </c>
      <c r="CW445">
        <v>2.3148148148148149E-4</v>
      </c>
      <c r="CX445">
        <v>0.2553125</v>
      </c>
      <c r="CY445">
        <v>0.13398148148148148</v>
      </c>
      <c r="CZ445">
        <v>92</v>
      </c>
      <c r="DA445">
        <v>135</v>
      </c>
      <c r="DB445">
        <v>31</v>
      </c>
      <c r="DC445" t="s">
        <v>910</v>
      </c>
      <c r="DD445">
        <v>18591</v>
      </c>
      <c r="DE445">
        <v>0.33700000000000002</v>
      </c>
      <c r="DF445">
        <v>2</v>
      </c>
      <c r="DG445">
        <v>6.4500000000000002E-2</v>
      </c>
      <c r="DH445">
        <v>6000</v>
      </c>
      <c r="DI445">
        <v>3000</v>
      </c>
      <c r="DJ445">
        <v>6000</v>
      </c>
      <c r="DK445">
        <v>1</v>
      </c>
      <c r="DL445">
        <v>0.22070000000000001</v>
      </c>
      <c r="DM445">
        <v>80</v>
      </c>
      <c r="DN445">
        <v>3000</v>
      </c>
    </row>
    <row r="446" spans="91:118" x14ac:dyDescent="0.25">
      <c r="CM446" t="s">
        <v>636</v>
      </c>
      <c r="CN446" t="s">
        <v>3</v>
      </c>
      <c r="CO446" t="s">
        <v>32</v>
      </c>
      <c r="CP446">
        <v>46092</v>
      </c>
      <c r="CQ446">
        <v>1</v>
      </c>
      <c r="CR446">
        <v>1</v>
      </c>
      <c r="CT446">
        <v>1</v>
      </c>
      <c r="CV446">
        <v>1.1574074074074073E-5</v>
      </c>
      <c r="CW446">
        <v>1.1574074074074073E-5</v>
      </c>
      <c r="CX446">
        <v>0.21537037037037038</v>
      </c>
      <c r="CY446">
        <v>0.10151620370370371</v>
      </c>
      <c r="CZ446">
        <v>68</v>
      </c>
      <c r="DA446">
        <v>163</v>
      </c>
      <c r="DB446">
        <v>20</v>
      </c>
      <c r="DC446">
        <v>1.7</v>
      </c>
      <c r="DD446">
        <v>44755</v>
      </c>
      <c r="DE446">
        <v>0.29409999999999997</v>
      </c>
      <c r="DF446">
        <v>1</v>
      </c>
      <c r="DG446">
        <v>0.05</v>
      </c>
      <c r="DH446">
        <v>750</v>
      </c>
      <c r="DI446">
        <v>750</v>
      </c>
      <c r="DJ446">
        <v>750</v>
      </c>
      <c r="DK446">
        <v>1</v>
      </c>
      <c r="DL446">
        <v>0.30430000000000001</v>
      </c>
      <c r="DM446">
        <v>80</v>
      </c>
      <c r="DN446">
        <v>750</v>
      </c>
    </row>
    <row r="447" spans="91:118" x14ac:dyDescent="0.25">
      <c r="CM447" t="s">
        <v>636</v>
      </c>
      <c r="CN447" t="s">
        <v>3</v>
      </c>
      <c r="CO447" t="s">
        <v>32</v>
      </c>
      <c r="CP447">
        <v>46097</v>
      </c>
      <c r="CQ447">
        <v>1</v>
      </c>
      <c r="CR447">
        <v>1</v>
      </c>
      <c r="CT447">
        <v>1</v>
      </c>
      <c r="CV447">
        <v>6.9444444444444444E-5</v>
      </c>
      <c r="CW447">
        <v>6.9444444444444444E-5</v>
      </c>
      <c r="CX447">
        <v>0.31210648148148146</v>
      </c>
      <c r="CY447">
        <v>0.13282407407407407</v>
      </c>
      <c r="CZ447">
        <v>146</v>
      </c>
      <c r="DA447">
        <v>302</v>
      </c>
      <c r="DB447">
        <v>53</v>
      </c>
      <c r="DC447" t="s">
        <v>1040</v>
      </c>
      <c r="DD447">
        <v>28842</v>
      </c>
      <c r="DE447">
        <v>0.36299999999999999</v>
      </c>
      <c r="DF447">
        <v>1</v>
      </c>
      <c r="DG447">
        <v>1.89E-2</v>
      </c>
      <c r="DH447">
        <v>780</v>
      </c>
      <c r="DI447">
        <v>780</v>
      </c>
      <c r="DJ447">
        <v>780</v>
      </c>
      <c r="DK447">
        <v>1</v>
      </c>
      <c r="DM447">
        <v>80</v>
      </c>
      <c r="DN447">
        <v>780</v>
      </c>
    </row>
    <row r="448" spans="91:118" x14ac:dyDescent="0.25">
      <c r="CM448" t="s">
        <v>636</v>
      </c>
      <c r="CN448" t="s">
        <v>3</v>
      </c>
      <c r="CO448" t="s">
        <v>32</v>
      </c>
      <c r="CP448">
        <v>46111</v>
      </c>
      <c r="CQ448">
        <v>1</v>
      </c>
      <c r="CR448">
        <v>1</v>
      </c>
      <c r="CT448">
        <v>1</v>
      </c>
      <c r="CV448">
        <v>3.4722222222222222E-5</v>
      </c>
      <c r="CW448">
        <v>3.4722222222222222E-5</v>
      </c>
      <c r="CX448">
        <v>0.22736111111111112</v>
      </c>
      <c r="CY448">
        <v>0.15850694444444444</v>
      </c>
      <c r="CZ448">
        <v>134</v>
      </c>
      <c r="DA448">
        <v>259</v>
      </c>
      <c r="DB448">
        <v>41</v>
      </c>
      <c r="DC448" t="s">
        <v>1041</v>
      </c>
      <c r="DD448">
        <v>29708</v>
      </c>
      <c r="DE448">
        <v>0.30599999999999999</v>
      </c>
      <c r="DF448">
        <v>1</v>
      </c>
      <c r="DG448">
        <v>2.4400000000000002E-2</v>
      </c>
      <c r="DH448">
        <v>3000</v>
      </c>
      <c r="DI448">
        <v>3000</v>
      </c>
      <c r="DJ448">
        <v>3000</v>
      </c>
      <c r="DK448">
        <v>1</v>
      </c>
      <c r="DL448">
        <v>0.13519999999999999</v>
      </c>
      <c r="DM448">
        <v>80</v>
      </c>
      <c r="DN448">
        <v>3000</v>
      </c>
    </row>
    <row r="449" spans="91:118" x14ac:dyDescent="0.25">
      <c r="CM449" t="s">
        <v>636</v>
      </c>
      <c r="CN449" t="s">
        <v>3</v>
      </c>
      <c r="CO449" t="s">
        <v>96</v>
      </c>
      <c r="CP449">
        <v>46084</v>
      </c>
      <c r="CQ449">
        <v>1</v>
      </c>
      <c r="CR449">
        <v>1</v>
      </c>
      <c r="CT449">
        <v>1</v>
      </c>
      <c r="CV449">
        <v>0</v>
      </c>
      <c r="CW449">
        <v>0</v>
      </c>
      <c r="CX449">
        <v>0.31008101851851849</v>
      </c>
      <c r="CY449">
        <v>0.12064814814814814</v>
      </c>
      <c r="CZ449">
        <v>77</v>
      </c>
      <c r="DA449">
        <v>141</v>
      </c>
      <c r="DB449">
        <v>17</v>
      </c>
      <c r="DC449" t="s">
        <v>744</v>
      </c>
      <c r="DD449">
        <v>8204</v>
      </c>
      <c r="DE449">
        <v>0.2208</v>
      </c>
      <c r="DF449">
        <v>3</v>
      </c>
      <c r="DG449">
        <v>0.17649999999999999</v>
      </c>
      <c r="DH449">
        <v>1970</v>
      </c>
      <c r="DI449">
        <v>657</v>
      </c>
      <c r="DJ449">
        <v>1750</v>
      </c>
      <c r="DK449">
        <v>0.88829999999999998</v>
      </c>
      <c r="DL449">
        <v>0.33989999999999998</v>
      </c>
      <c r="DM449">
        <v>80</v>
      </c>
      <c r="DN449">
        <v>875</v>
      </c>
    </row>
    <row r="450" spans="91:118" x14ac:dyDescent="0.25">
      <c r="CM450" t="s">
        <v>636</v>
      </c>
      <c r="CN450" t="s">
        <v>3</v>
      </c>
      <c r="CO450" t="s">
        <v>68</v>
      </c>
      <c r="CP450">
        <v>46085</v>
      </c>
      <c r="CQ450">
        <v>1</v>
      </c>
      <c r="CR450">
        <v>1</v>
      </c>
      <c r="CT450">
        <v>1</v>
      </c>
      <c r="CV450">
        <v>1.0416666666666667E-4</v>
      </c>
      <c r="CW450">
        <v>1.0416666666666667E-4</v>
      </c>
      <c r="CX450">
        <v>0.23012731481481483</v>
      </c>
      <c r="CY450">
        <v>9.7743055555555555E-2</v>
      </c>
      <c r="CZ450">
        <v>66</v>
      </c>
      <c r="DA450">
        <v>123</v>
      </c>
      <c r="DB450">
        <v>20</v>
      </c>
      <c r="DC450">
        <v>1.9</v>
      </c>
      <c r="DD450">
        <v>45131</v>
      </c>
      <c r="DE450">
        <v>0.30299999999999999</v>
      </c>
      <c r="DF450">
        <v>1</v>
      </c>
      <c r="DG450">
        <v>0.05</v>
      </c>
      <c r="DH450">
        <v>5000</v>
      </c>
      <c r="DI450">
        <v>5000</v>
      </c>
      <c r="DJ450">
        <v>5000</v>
      </c>
      <c r="DK450">
        <v>1</v>
      </c>
      <c r="DM450">
        <v>80</v>
      </c>
      <c r="DN450">
        <v>5000</v>
      </c>
    </row>
    <row r="451" spans="91:118" x14ac:dyDescent="0.25">
      <c r="CM451" t="s">
        <v>636</v>
      </c>
      <c r="CN451" t="s">
        <v>3</v>
      </c>
      <c r="CO451" t="s">
        <v>68</v>
      </c>
      <c r="CP451">
        <v>46099</v>
      </c>
      <c r="CQ451">
        <v>1</v>
      </c>
      <c r="CR451">
        <v>1</v>
      </c>
      <c r="CS451">
        <v>1</v>
      </c>
      <c r="CV451">
        <v>9.6527777777777775E-3</v>
      </c>
      <c r="CW451">
        <v>9.6527777777777775E-3</v>
      </c>
      <c r="CX451">
        <v>0.13678240740740741</v>
      </c>
      <c r="CY451">
        <v>8.3055555555555549E-2</v>
      </c>
      <c r="CZ451">
        <v>58</v>
      </c>
      <c r="DA451">
        <v>105</v>
      </c>
      <c r="DB451">
        <v>8</v>
      </c>
      <c r="DC451">
        <v>1.5</v>
      </c>
      <c r="DD451">
        <v>37540</v>
      </c>
      <c r="DE451">
        <v>0.13789999999999999</v>
      </c>
      <c r="DF451">
        <v>1</v>
      </c>
      <c r="DG451">
        <v>0.125</v>
      </c>
      <c r="DH451">
        <v>450</v>
      </c>
      <c r="DI451">
        <v>450</v>
      </c>
      <c r="DJ451">
        <v>450</v>
      </c>
      <c r="DK451">
        <v>1</v>
      </c>
      <c r="DM451">
        <v>80</v>
      </c>
      <c r="DN451">
        <v>450</v>
      </c>
    </row>
    <row r="452" spans="91:118" x14ac:dyDescent="0.25">
      <c r="CM452" t="s">
        <v>636</v>
      </c>
      <c r="CN452" t="s">
        <v>3</v>
      </c>
      <c r="CO452" t="s">
        <v>29</v>
      </c>
      <c r="CP452">
        <v>46090</v>
      </c>
      <c r="CQ452">
        <v>1</v>
      </c>
      <c r="CR452">
        <v>1</v>
      </c>
      <c r="CT452">
        <v>1</v>
      </c>
      <c r="CV452">
        <v>3.4722222222222222E-5</v>
      </c>
      <c r="CW452">
        <v>3.4722222222222222E-5</v>
      </c>
      <c r="CX452">
        <v>0.2255787037037037</v>
      </c>
      <c r="CY452">
        <v>8.5347222222222227E-2</v>
      </c>
      <c r="CZ452">
        <v>86</v>
      </c>
      <c r="DA452">
        <v>166</v>
      </c>
      <c r="DB452">
        <v>11</v>
      </c>
      <c r="DC452" t="s">
        <v>786</v>
      </c>
      <c r="DD452">
        <v>19425</v>
      </c>
      <c r="DE452">
        <v>0.12790000000000001</v>
      </c>
      <c r="DF452">
        <v>1</v>
      </c>
      <c r="DG452">
        <v>9.0899999999999995E-2</v>
      </c>
      <c r="DH452">
        <v>20000</v>
      </c>
      <c r="DI452">
        <v>20000</v>
      </c>
      <c r="DJ452">
        <v>20000</v>
      </c>
      <c r="DK452">
        <v>1</v>
      </c>
      <c r="DL452">
        <v>0.22550000000000001</v>
      </c>
      <c r="DM452">
        <v>80</v>
      </c>
      <c r="DN452">
        <v>20000</v>
      </c>
    </row>
    <row r="453" spans="91:118" x14ac:dyDescent="0.25">
      <c r="CM453" t="s">
        <v>636</v>
      </c>
      <c r="CN453" t="s">
        <v>3</v>
      </c>
      <c r="CO453" t="s">
        <v>38</v>
      </c>
      <c r="CP453">
        <v>46093</v>
      </c>
      <c r="CQ453">
        <v>1</v>
      </c>
      <c r="CR453">
        <v>1</v>
      </c>
      <c r="CT453">
        <v>1</v>
      </c>
      <c r="CV453">
        <v>0</v>
      </c>
      <c r="CW453">
        <v>0</v>
      </c>
      <c r="CX453">
        <v>0.25427083333333333</v>
      </c>
      <c r="CY453">
        <v>0.10059027777777778</v>
      </c>
      <c r="CZ453">
        <v>82</v>
      </c>
      <c r="DA453">
        <v>123</v>
      </c>
      <c r="DB453">
        <v>34</v>
      </c>
      <c r="DC453" t="s">
        <v>795</v>
      </c>
      <c r="DD453">
        <v>9112</v>
      </c>
      <c r="DE453">
        <v>0.41460000000000002</v>
      </c>
      <c r="DF453">
        <v>1</v>
      </c>
      <c r="DG453">
        <v>2.9399999999999999E-2</v>
      </c>
      <c r="DH453">
        <v>2500</v>
      </c>
      <c r="DI453">
        <v>2500</v>
      </c>
      <c r="DJ453">
        <v>2500</v>
      </c>
      <c r="DK453">
        <v>1</v>
      </c>
      <c r="DL453">
        <v>0.55120000000000002</v>
      </c>
      <c r="DM453">
        <v>80</v>
      </c>
      <c r="DN453">
        <v>2500</v>
      </c>
    </row>
    <row r="454" spans="91:118" x14ac:dyDescent="0.25">
      <c r="CM454" t="s">
        <v>636</v>
      </c>
      <c r="CN454" t="s">
        <v>3</v>
      </c>
      <c r="CO454" t="s">
        <v>38</v>
      </c>
      <c r="CP454">
        <v>46105</v>
      </c>
      <c r="CQ454">
        <v>1</v>
      </c>
      <c r="CR454">
        <v>1</v>
      </c>
      <c r="CT454">
        <v>1</v>
      </c>
      <c r="CV454">
        <v>0</v>
      </c>
      <c r="CW454">
        <v>0</v>
      </c>
      <c r="CX454">
        <v>0.20927083333333332</v>
      </c>
      <c r="CY454">
        <v>0.13753472222222221</v>
      </c>
      <c r="CZ454">
        <v>127</v>
      </c>
      <c r="DA454">
        <v>163</v>
      </c>
      <c r="DB454">
        <v>45</v>
      </c>
      <c r="DC454" t="s">
        <v>1042</v>
      </c>
      <c r="DD454">
        <v>23915</v>
      </c>
      <c r="DE454">
        <v>0.3543</v>
      </c>
      <c r="DF454">
        <v>1</v>
      </c>
      <c r="DG454">
        <v>2.2200000000000001E-2</v>
      </c>
      <c r="DH454">
        <v>6000</v>
      </c>
      <c r="DI454">
        <v>6000</v>
      </c>
      <c r="DJ454">
        <v>6000</v>
      </c>
      <c r="DK454">
        <v>1</v>
      </c>
      <c r="DL454">
        <v>0.14119999999999999</v>
      </c>
      <c r="DM454">
        <v>80</v>
      </c>
      <c r="DN454">
        <v>6000</v>
      </c>
    </row>
    <row r="455" spans="91:118" x14ac:dyDescent="0.25">
      <c r="CM455" t="s">
        <v>636</v>
      </c>
      <c r="CN455" t="s">
        <v>3</v>
      </c>
      <c r="CO455" t="s">
        <v>38</v>
      </c>
      <c r="CP455">
        <v>46107</v>
      </c>
      <c r="CQ455">
        <v>1</v>
      </c>
      <c r="CR455">
        <v>1</v>
      </c>
      <c r="CT455">
        <v>1</v>
      </c>
      <c r="CV455">
        <v>4.5138888888888887E-4</v>
      </c>
      <c r="CW455">
        <v>4.5138888888888887E-4</v>
      </c>
      <c r="CX455">
        <v>0.19282407407407406</v>
      </c>
      <c r="CY455">
        <v>0.14659722222222221</v>
      </c>
      <c r="CZ455">
        <v>101</v>
      </c>
      <c r="DA455">
        <v>126</v>
      </c>
      <c r="DB455">
        <v>22</v>
      </c>
      <c r="DC455" t="s">
        <v>847</v>
      </c>
      <c r="DD455">
        <v>17884</v>
      </c>
      <c r="DE455">
        <v>0.21779999999999999</v>
      </c>
      <c r="DF455">
        <v>2</v>
      </c>
      <c r="DG455">
        <v>9.0899999999999995E-2</v>
      </c>
      <c r="DH455">
        <v>2500</v>
      </c>
      <c r="DI455">
        <v>1250</v>
      </c>
      <c r="DJ455">
        <v>2500</v>
      </c>
      <c r="DK455">
        <v>1</v>
      </c>
      <c r="DL455">
        <v>0.2707</v>
      </c>
      <c r="DM455">
        <v>80</v>
      </c>
      <c r="DN455">
        <v>1250</v>
      </c>
    </row>
    <row r="456" spans="91:118" x14ac:dyDescent="0.25">
      <c r="CM456" t="s">
        <v>636</v>
      </c>
      <c r="CN456" t="s">
        <v>3</v>
      </c>
      <c r="CO456" t="s">
        <v>38</v>
      </c>
      <c r="CP456">
        <v>46108</v>
      </c>
      <c r="CQ456">
        <v>1</v>
      </c>
      <c r="CR456">
        <v>1</v>
      </c>
      <c r="CT456">
        <v>1</v>
      </c>
      <c r="CV456">
        <v>3.5879629629629629E-4</v>
      </c>
      <c r="CW456">
        <v>3.5879629629629629E-4</v>
      </c>
      <c r="CX456">
        <v>0.2059375</v>
      </c>
      <c r="CY456">
        <v>0.14193287037037036</v>
      </c>
      <c r="CZ456">
        <v>115</v>
      </c>
      <c r="DA456">
        <v>157</v>
      </c>
      <c r="DB456">
        <v>46</v>
      </c>
      <c r="DC456" t="s">
        <v>1043</v>
      </c>
      <c r="DD456">
        <v>17223</v>
      </c>
      <c r="DE456">
        <v>0.4</v>
      </c>
      <c r="DF456">
        <v>2</v>
      </c>
      <c r="DG456">
        <v>4.3499999999999997E-2</v>
      </c>
      <c r="DH456">
        <v>11080</v>
      </c>
      <c r="DI456">
        <v>5540</v>
      </c>
      <c r="DJ456">
        <v>11080</v>
      </c>
      <c r="DK456">
        <v>1</v>
      </c>
      <c r="DL456">
        <v>0.43049999999999999</v>
      </c>
      <c r="DM456">
        <v>80</v>
      </c>
      <c r="DN456">
        <v>5540</v>
      </c>
    </row>
    <row r="457" spans="91:118" x14ac:dyDescent="0.25">
      <c r="CM457" t="s">
        <v>636</v>
      </c>
      <c r="CN457" t="s">
        <v>3</v>
      </c>
      <c r="CO457" t="s">
        <v>79</v>
      </c>
      <c r="CP457">
        <v>46094</v>
      </c>
      <c r="CQ457">
        <v>1</v>
      </c>
      <c r="CR457">
        <v>1</v>
      </c>
      <c r="CT457">
        <v>1</v>
      </c>
      <c r="CV457">
        <v>0</v>
      </c>
      <c r="CW457">
        <v>0</v>
      </c>
      <c r="CX457">
        <v>0.23284722222222223</v>
      </c>
      <c r="CY457">
        <v>0.10936342592592592</v>
      </c>
      <c r="CZ457">
        <v>51</v>
      </c>
      <c r="DA457">
        <v>121</v>
      </c>
      <c r="DB457">
        <v>23</v>
      </c>
      <c r="DC457" t="s">
        <v>853</v>
      </c>
      <c r="DD457">
        <v>50186</v>
      </c>
      <c r="DE457">
        <v>0.45100000000000001</v>
      </c>
      <c r="DF457">
        <v>3</v>
      </c>
      <c r="DG457">
        <v>0.13039999999999999</v>
      </c>
      <c r="DH457">
        <v>5100</v>
      </c>
      <c r="DI457">
        <v>1700</v>
      </c>
      <c r="DJ457">
        <v>4100</v>
      </c>
      <c r="DK457">
        <v>0.80389999999999995</v>
      </c>
      <c r="DL457">
        <v>0.16470000000000001</v>
      </c>
      <c r="DM457">
        <v>80</v>
      </c>
      <c r="DN457">
        <v>2050</v>
      </c>
    </row>
    <row r="458" spans="91:118" x14ac:dyDescent="0.25">
      <c r="CM458" t="s">
        <v>636</v>
      </c>
      <c r="CN458" t="s">
        <v>3</v>
      </c>
      <c r="CO458" t="s">
        <v>79</v>
      </c>
      <c r="CP458">
        <v>46099</v>
      </c>
      <c r="CQ458">
        <v>1</v>
      </c>
      <c r="CR458">
        <v>1</v>
      </c>
      <c r="CT458">
        <v>1</v>
      </c>
      <c r="CV458">
        <v>4.3981481481481481E-4</v>
      </c>
      <c r="CW458">
        <v>4.3981481481481481E-4</v>
      </c>
      <c r="CX458">
        <v>0.24508101851851852</v>
      </c>
      <c r="CY458">
        <v>9.4988425925925921E-2</v>
      </c>
      <c r="CZ458">
        <v>75</v>
      </c>
      <c r="DA458">
        <v>165</v>
      </c>
      <c r="DB458">
        <v>19</v>
      </c>
      <c r="DC458" t="s">
        <v>921</v>
      </c>
      <c r="DD458">
        <v>50848</v>
      </c>
      <c r="DE458">
        <v>0.25330000000000003</v>
      </c>
      <c r="DF458">
        <v>1</v>
      </c>
      <c r="DG458">
        <v>5.2600000000000001E-2</v>
      </c>
      <c r="DH458">
        <v>9000</v>
      </c>
      <c r="DI458">
        <v>9000</v>
      </c>
      <c r="DJ458">
        <v>9000</v>
      </c>
      <c r="DK458">
        <v>1</v>
      </c>
      <c r="DL458">
        <v>0.1026</v>
      </c>
      <c r="DM458">
        <v>80</v>
      </c>
      <c r="DN458">
        <v>9000</v>
      </c>
    </row>
    <row r="459" spans="91:118" x14ac:dyDescent="0.25">
      <c r="CM459" t="s">
        <v>636</v>
      </c>
      <c r="CN459" t="s">
        <v>3</v>
      </c>
      <c r="CO459" t="s">
        <v>79</v>
      </c>
      <c r="CP459">
        <v>46106</v>
      </c>
      <c r="CQ459">
        <v>1</v>
      </c>
      <c r="CR459">
        <v>1</v>
      </c>
      <c r="CT459">
        <v>1</v>
      </c>
      <c r="CV459">
        <v>1.273148148148148E-4</v>
      </c>
      <c r="CW459">
        <v>1.273148148148148E-4</v>
      </c>
      <c r="CX459">
        <v>0.17552083333333332</v>
      </c>
      <c r="CY459">
        <v>0.14649305555555556</v>
      </c>
      <c r="CZ459">
        <v>69</v>
      </c>
      <c r="DA459">
        <v>152</v>
      </c>
      <c r="DB459">
        <v>13</v>
      </c>
      <c r="DC459" t="s">
        <v>874</v>
      </c>
      <c r="DD459">
        <v>55328</v>
      </c>
      <c r="DE459">
        <v>0.18840000000000001</v>
      </c>
      <c r="DF459">
        <v>2</v>
      </c>
      <c r="DG459">
        <v>0.15379999999999999</v>
      </c>
      <c r="DH459">
        <v>18000</v>
      </c>
      <c r="DI459">
        <v>9000</v>
      </c>
      <c r="DJ459">
        <v>18000</v>
      </c>
      <c r="DK459">
        <v>1</v>
      </c>
      <c r="DL459">
        <v>0.10249999999999999</v>
      </c>
      <c r="DM459">
        <v>80</v>
      </c>
      <c r="DN459">
        <v>9000</v>
      </c>
    </row>
    <row r="460" spans="91:118" x14ac:dyDescent="0.25">
      <c r="CM460" t="s">
        <v>636</v>
      </c>
      <c r="CN460" t="s">
        <v>3</v>
      </c>
      <c r="CO460" t="s">
        <v>78</v>
      </c>
      <c r="CP460">
        <v>46105</v>
      </c>
      <c r="CQ460">
        <v>1</v>
      </c>
      <c r="CR460">
        <v>1</v>
      </c>
      <c r="CT460">
        <v>1</v>
      </c>
      <c r="CV460">
        <v>8.1018518518518516E-5</v>
      </c>
      <c r="CW460">
        <v>8.1018518518518516E-5</v>
      </c>
      <c r="CX460">
        <v>0.18734953703703705</v>
      </c>
      <c r="CY460">
        <v>0.17075231481481482</v>
      </c>
      <c r="CZ460">
        <v>80</v>
      </c>
      <c r="DA460">
        <v>152</v>
      </c>
      <c r="DB460">
        <v>29</v>
      </c>
      <c r="DC460" t="s">
        <v>947</v>
      </c>
      <c r="DD460">
        <v>25732</v>
      </c>
      <c r="DE460">
        <v>0.36249999999999999</v>
      </c>
      <c r="DF460">
        <v>5</v>
      </c>
      <c r="DG460">
        <v>0.1724</v>
      </c>
      <c r="DH460">
        <v>20570</v>
      </c>
      <c r="DI460">
        <v>4114</v>
      </c>
      <c r="DM460">
        <v>80</v>
      </c>
    </row>
    <row r="461" spans="91:118" x14ac:dyDescent="0.25">
      <c r="CM461" t="s">
        <v>636</v>
      </c>
      <c r="CN461" t="s">
        <v>125</v>
      </c>
      <c r="CO461" t="s">
        <v>72</v>
      </c>
      <c r="CP461">
        <v>46098</v>
      </c>
      <c r="CQ461">
        <v>1</v>
      </c>
      <c r="CR461">
        <v>1</v>
      </c>
      <c r="CT461">
        <v>1</v>
      </c>
      <c r="CV461">
        <v>2.3148148148148147E-5</v>
      </c>
      <c r="CW461">
        <v>2.3148148148148147E-5</v>
      </c>
      <c r="CX461">
        <v>0.1794212962962963</v>
      </c>
      <c r="CY461">
        <v>0.16643518518518519</v>
      </c>
      <c r="CZ461">
        <v>145</v>
      </c>
      <c r="DA461">
        <v>373</v>
      </c>
      <c r="DB461">
        <v>17</v>
      </c>
      <c r="DC461" t="s">
        <v>821</v>
      </c>
      <c r="DD461">
        <v>45699</v>
      </c>
      <c r="DE461">
        <v>0.1172</v>
      </c>
      <c r="DF461">
        <v>3</v>
      </c>
      <c r="DG461">
        <v>0.17649999999999999</v>
      </c>
      <c r="DH461">
        <v>6500</v>
      </c>
      <c r="DI461">
        <v>2167</v>
      </c>
      <c r="DJ461">
        <v>5500</v>
      </c>
      <c r="DK461">
        <v>0.84619999999999995</v>
      </c>
      <c r="DL461">
        <v>0.10050000000000001</v>
      </c>
      <c r="DM461">
        <v>78</v>
      </c>
      <c r="DN461">
        <v>2750</v>
      </c>
    </row>
    <row r="462" spans="91:118" x14ac:dyDescent="0.25">
      <c r="CM462" t="s">
        <v>636</v>
      </c>
      <c r="CN462" t="s">
        <v>125</v>
      </c>
      <c r="CO462" t="s">
        <v>122</v>
      </c>
      <c r="CP462">
        <v>46112</v>
      </c>
      <c r="CQ462">
        <v>1</v>
      </c>
      <c r="CR462">
        <v>1</v>
      </c>
      <c r="CS462">
        <v>1</v>
      </c>
      <c r="CV462">
        <v>4.5833333333333334E-3</v>
      </c>
      <c r="CW462">
        <v>4.5833333333333334E-3</v>
      </c>
      <c r="CX462">
        <v>0.21643518518518517</v>
      </c>
      <c r="CY462">
        <v>0.14005787037037037</v>
      </c>
      <c r="CZ462">
        <v>49</v>
      </c>
      <c r="DA462">
        <v>240</v>
      </c>
      <c r="DB462">
        <v>14</v>
      </c>
      <c r="DC462">
        <v>1.5</v>
      </c>
      <c r="DD462">
        <v>19322</v>
      </c>
      <c r="DE462">
        <v>0.28570000000000001</v>
      </c>
      <c r="DF462">
        <v>1</v>
      </c>
      <c r="DG462">
        <v>7.1400000000000005E-2</v>
      </c>
      <c r="DH462">
        <v>245</v>
      </c>
      <c r="DI462">
        <v>245</v>
      </c>
      <c r="DJ462">
        <v>245</v>
      </c>
      <c r="DK462">
        <v>1</v>
      </c>
      <c r="DL462">
        <v>0.69799999999999995</v>
      </c>
      <c r="DM462">
        <v>78</v>
      </c>
      <c r="DN462">
        <v>245</v>
      </c>
    </row>
    <row r="463" spans="91:118" x14ac:dyDescent="0.25">
      <c r="CM463" t="s">
        <v>636</v>
      </c>
      <c r="CN463" t="s">
        <v>125</v>
      </c>
      <c r="CO463" t="s">
        <v>59</v>
      </c>
      <c r="CP463">
        <v>46101</v>
      </c>
      <c r="CQ463">
        <v>1</v>
      </c>
      <c r="CR463">
        <v>1</v>
      </c>
      <c r="CT463">
        <v>1</v>
      </c>
      <c r="CV463">
        <v>0</v>
      </c>
      <c r="CW463">
        <v>0</v>
      </c>
      <c r="CX463">
        <v>0.20878472222222222</v>
      </c>
      <c r="CY463">
        <v>0.14209490740740741</v>
      </c>
      <c r="CZ463">
        <v>197</v>
      </c>
      <c r="DA463">
        <v>361</v>
      </c>
      <c r="DB463">
        <v>15</v>
      </c>
      <c r="DC463" t="s">
        <v>742</v>
      </c>
      <c r="DD463">
        <v>46750</v>
      </c>
      <c r="DE463">
        <v>7.6100000000000001E-2</v>
      </c>
      <c r="DF463">
        <v>2</v>
      </c>
      <c r="DG463">
        <v>0.1333</v>
      </c>
      <c r="DH463">
        <v>3600</v>
      </c>
      <c r="DI463">
        <v>1800</v>
      </c>
      <c r="DJ463">
        <v>3600</v>
      </c>
      <c r="DK463">
        <v>1</v>
      </c>
      <c r="DL463">
        <v>0.1017</v>
      </c>
      <c r="DM463">
        <v>78</v>
      </c>
      <c r="DN463">
        <v>1800</v>
      </c>
    </row>
    <row r="464" spans="91:118" x14ac:dyDescent="0.25">
      <c r="CM464" t="s">
        <v>636</v>
      </c>
      <c r="CN464" t="s">
        <v>2</v>
      </c>
      <c r="CO464" t="s">
        <v>13</v>
      </c>
      <c r="CP464">
        <v>46093</v>
      </c>
      <c r="CQ464">
        <v>1</v>
      </c>
      <c r="CR464">
        <v>1</v>
      </c>
      <c r="CT464">
        <v>1</v>
      </c>
      <c r="CV464">
        <v>4.6296296296296294E-5</v>
      </c>
      <c r="CW464">
        <v>4.6296296296296294E-5</v>
      </c>
      <c r="CX464">
        <v>0.28469907407407408</v>
      </c>
      <c r="CY464">
        <v>5.0706018518518518E-2</v>
      </c>
      <c r="CZ464">
        <v>55</v>
      </c>
      <c r="DA464">
        <v>122</v>
      </c>
      <c r="DB464">
        <v>20</v>
      </c>
      <c r="DC464">
        <v>1.65</v>
      </c>
      <c r="DD464">
        <v>21321</v>
      </c>
      <c r="DE464">
        <v>0.36359999999999998</v>
      </c>
      <c r="DF464">
        <v>1</v>
      </c>
      <c r="DG464">
        <v>0.05</v>
      </c>
      <c r="DH464">
        <v>1000</v>
      </c>
      <c r="DI464">
        <v>1000</v>
      </c>
      <c r="DM464">
        <v>78</v>
      </c>
    </row>
    <row r="465" spans="91:118" x14ac:dyDescent="0.25">
      <c r="CM465" t="s">
        <v>636</v>
      </c>
      <c r="CN465" t="s">
        <v>2</v>
      </c>
      <c r="CO465" t="s">
        <v>13</v>
      </c>
      <c r="CP465">
        <v>46094</v>
      </c>
      <c r="CQ465">
        <v>1</v>
      </c>
      <c r="CR465">
        <v>1</v>
      </c>
      <c r="CU465">
        <v>1</v>
      </c>
      <c r="CV465">
        <v>0</v>
      </c>
      <c r="CW465">
        <v>0</v>
      </c>
      <c r="CX465">
        <v>0</v>
      </c>
      <c r="CY465">
        <v>0</v>
      </c>
      <c r="DM465">
        <v>78</v>
      </c>
    </row>
    <row r="466" spans="91:118" x14ac:dyDescent="0.25">
      <c r="CM466" t="s">
        <v>636</v>
      </c>
      <c r="CN466" t="s">
        <v>2</v>
      </c>
      <c r="CO466" t="s">
        <v>42</v>
      </c>
      <c r="CP466">
        <v>46094</v>
      </c>
      <c r="CQ466">
        <v>1</v>
      </c>
      <c r="CR466">
        <v>1</v>
      </c>
      <c r="CV466">
        <v>0</v>
      </c>
      <c r="CW466">
        <v>0</v>
      </c>
      <c r="CX466">
        <v>0</v>
      </c>
      <c r="CY466">
        <v>0</v>
      </c>
      <c r="DM466">
        <v>78</v>
      </c>
    </row>
    <row r="467" spans="91:118" x14ac:dyDescent="0.25">
      <c r="CM467" t="s">
        <v>636</v>
      </c>
      <c r="CN467" t="s">
        <v>2</v>
      </c>
      <c r="CO467" t="s">
        <v>564</v>
      </c>
      <c r="CP467">
        <v>46108</v>
      </c>
      <c r="CQ467">
        <v>1</v>
      </c>
      <c r="CR467">
        <v>1</v>
      </c>
      <c r="CT467">
        <v>1</v>
      </c>
      <c r="CV467">
        <v>0</v>
      </c>
      <c r="CW467">
        <v>0</v>
      </c>
      <c r="CX467">
        <v>0.15106481481481482</v>
      </c>
      <c r="CY467">
        <v>0.14583333333333334</v>
      </c>
      <c r="CZ467">
        <v>94</v>
      </c>
      <c r="DA467">
        <v>131</v>
      </c>
      <c r="DB467">
        <v>13</v>
      </c>
      <c r="DC467" t="s">
        <v>704</v>
      </c>
      <c r="DD467">
        <v>18220</v>
      </c>
      <c r="DE467">
        <v>0.13830000000000001</v>
      </c>
      <c r="DF467">
        <v>1</v>
      </c>
      <c r="DG467">
        <v>7.6899999999999996E-2</v>
      </c>
      <c r="DH467">
        <v>10000</v>
      </c>
      <c r="DI467">
        <v>10000</v>
      </c>
      <c r="DM467">
        <v>78</v>
      </c>
    </row>
    <row r="468" spans="91:118" x14ac:dyDescent="0.25">
      <c r="CM468" t="s">
        <v>636</v>
      </c>
      <c r="CN468" t="s">
        <v>2</v>
      </c>
      <c r="CO468" t="s">
        <v>65</v>
      </c>
      <c r="CP468">
        <v>46084</v>
      </c>
      <c r="CQ468">
        <v>1</v>
      </c>
      <c r="CR468">
        <v>1</v>
      </c>
      <c r="CT468">
        <v>1</v>
      </c>
      <c r="CV468">
        <v>2.3148148148148147E-5</v>
      </c>
      <c r="CW468">
        <v>2.3148148148148147E-5</v>
      </c>
      <c r="CX468">
        <v>0.36070601851851852</v>
      </c>
      <c r="CY468">
        <v>6.9814814814814816E-2</v>
      </c>
      <c r="CZ468">
        <v>82</v>
      </c>
      <c r="DA468">
        <v>196</v>
      </c>
      <c r="DB468">
        <v>9</v>
      </c>
      <c r="DC468" t="s">
        <v>718</v>
      </c>
      <c r="DD468">
        <v>39779</v>
      </c>
      <c r="DE468">
        <v>0.10979999999999999</v>
      </c>
      <c r="DF468">
        <v>2</v>
      </c>
      <c r="DG468">
        <v>0.22220000000000001</v>
      </c>
      <c r="DH468">
        <v>1088</v>
      </c>
      <c r="DI468">
        <v>544</v>
      </c>
      <c r="DJ468">
        <v>308</v>
      </c>
      <c r="DK468">
        <v>0.28310000000000002</v>
      </c>
      <c r="DM468">
        <v>78</v>
      </c>
      <c r="DN468">
        <v>308</v>
      </c>
    </row>
    <row r="469" spans="91:118" x14ac:dyDescent="0.25">
      <c r="CM469" t="s">
        <v>636</v>
      </c>
      <c r="CN469" t="s">
        <v>2</v>
      </c>
      <c r="CO469" t="s">
        <v>23</v>
      </c>
      <c r="CP469">
        <v>46094</v>
      </c>
      <c r="CQ469">
        <v>1</v>
      </c>
      <c r="CR469">
        <v>1</v>
      </c>
      <c r="CU469">
        <v>1</v>
      </c>
      <c r="CV469">
        <v>0</v>
      </c>
      <c r="CW469">
        <v>0</v>
      </c>
      <c r="CX469">
        <v>0</v>
      </c>
      <c r="CY469">
        <v>0</v>
      </c>
      <c r="DM469">
        <v>78</v>
      </c>
    </row>
    <row r="470" spans="91:118" x14ac:dyDescent="0.25">
      <c r="CM470" t="s">
        <v>636</v>
      </c>
      <c r="CN470" t="s">
        <v>2</v>
      </c>
      <c r="CO470" t="s">
        <v>25</v>
      </c>
      <c r="CP470">
        <v>46083</v>
      </c>
      <c r="CQ470">
        <v>1</v>
      </c>
      <c r="CR470">
        <v>1</v>
      </c>
      <c r="CT470">
        <v>1</v>
      </c>
      <c r="CV470">
        <v>0</v>
      </c>
      <c r="CW470">
        <v>0</v>
      </c>
      <c r="CX470">
        <v>0.23175925925925925</v>
      </c>
      <c r="CY470">
        <v>7.5092592592592586E-2</v>
      </c>
      <c r="CZ470">
        <v>53</v>
      </c>
      <c r="DA470">
        <v>101</v>
      </c>
      <c r="DB470">
        <v>20</v>
      </c>
      <c r="DC470">
        <v>1.6</v>
      </c>
      <c r="DD470">
        <v>26664</v>
      </c>
      <c r="DE470">
        <v>0.37740000000000001</v>
      </c>
      <c r="DF470">
        <v>5</v>
      </c>
      <c r="DG470">
        <v>0.25</v>
      </c>
      <c r="DH470">
        <v>4140</v>
      </c>
      <c r="DI470">
        <v>828</v>
      </c>
      <c r="DJ470">
        <v>4790</v>
      </c>
      <c r="DK470">
        <v>1.157</v>
      </c>
      <c r="DM470">
        <v>78</v>
      </c>
      <c r="DN470">
        <v>1198</v>
      </c>
    </row>
    <row r="471" spans="91:118" x14ac:dyDescent="0.25">
      <c r="CM471" t="s">
        <v>636</v>
      </c>
      <c r="CN471" t="s">
        <v>2</v>
      </c>
      <c r="CO471" t="s">
        <v>17</v>
      </c>
      <c r="CP471">
        <v>46094</v>
      </c>
      <c r="CQ471">
        <v>1</v>
      </c>
      <c r="CR471">
        <v>1</v>
      </c>
      <c r="CS471">
        <v>1</v>
      </c>
      <c r="CV471">
        <v>5.6365740740740742E-3</v>
      </c>
      <c r="CW471">
        <v>5.6365740740740742E-3</v>
      </c>
      <c r="CX471">
        <v>0.19035879629629629</v>
      </c>
      <c r="CY471">
        <v>0.12027777777777778</v>
      </c>
      <c r="CZ471">
        <v>49</v>
      </c>
      <c r="DA471">
        <v>88</v>
      </c>
      <c r="DB471">
        <v>14</v>
      </c>
      <c r="DC471" t="s">
        <v>745</v>
      </c>
      <c r="DD471">
        <v>46362</v>
      </c>
      <c r="DE471">
        <v>0.28570000000000001</v>
      </c>
      <c r="DM471">
        <v>78</v>
      </c>
    </row>
    <row r="472" spans="91:118" x14ac:dyDescent="0.25">
      <c r="CM472" t="s">
        <v>636</v>
      </c>
      <c r="CN472" t="s">
        <v>2</v>
      </c>
      <c r="CO472" t="s">
        <v>17</v>
      </c>
      <c r="CP472">
        <v>46105</v>
      </c>
      <c r="CQ472">
        <v>1</v>
      </c>
      <c r="CR472">
        <v>1</v>
      </c>
      <c r="CS472">
        <v>1</v>
      </c>
      <c r="CV472">
        <v>7.9861111111111105E-3</v>
      </c>
      <c r="CW472">
        <v>7.9861111111111105E-3</v>
      </c>
      <c r="CX472">
        <v>0.25563657407407409</v>
      </c>
      <c r="CY472">
        <v>8.7222222222222229E-2</v>
      </c>
      <c r="CZ472">
        <v>63</v>
      </c>
      <c r="DA472">
        <v>147</v>
      </c>
      <c r="DB472">
        <v>16</v>
      </c>
      <c r="DC472">
        <v>1.625</v>
      </c>
      <c r="DD472">
        <v>43416</v>
      </c>
      <c r="DE472">
        <v>0.254</v>
      </c>
      <c r="DF472">
        <v>1</v>
      </c>
      <c r="DG472">
        <v>6.25E-2</v>
      </c>
      <c r="DH472">
        <v>600</v>
      </c>
      <c r="DI472">
        <v>600</v>
      </c>
      <c r="DJ472">
        <v>600</v>
      </c>
      <c r="DK472">
        <v>1</v>
      </c>
      <c r="DM472">
        <v>78</v>
      </c>
      <c r="DN472">
        <v>600</v>
      </c>
    </row>
    <row r="473" spans="91:118" x14ac:dyDescent="0.25">
      <c r="CM473" t="s">
        <v>636</v>
      </c>
      <c r="CN473" t="s">
        <v>6</v>
      </c>
      <c r="CO473" t="s">
        <v>19</v>
      </c>
      <c r="CP473">
        <v>46083</v>
      </c>
      <c r="CQ473">
        <v>1</v>
      </c>
      <c r="CR473">
        <v>1</v>
      </c>
      <c r="CT473">
        <v>1</v>
      </c>
      <c r="CV473">
        <v>5.7870370370370373E-5</v>
      </c>
      <c r="CW473">
        <v>5.7870370370370373E-5</v>
      </c>
      <c r="CX473">
        <v>0.23920138888888889</v>
      </c>
      <c r="CY473">
        <v>0.10914351851851851</v>
      </c>
      <c r="CZ473">
        <v>164</v>
      </c>
      <c r="DA473">
        <v>254</v>
      </c>
      <c r="DB473">
        <v>33</v>
      </c>
      <c r="DC473" t="s">
        <v>974</v>
      </c>
      <c r="DD473">
        <v>19978</v>
      </c>
      <c r="DE473">
        <v>0.20119999999999999</v>
      </c>
      <c r="DF473">
        <v>4</v>
      </c>
      <c r="DG473">
        <v>0.1212</v>
      </c>
      <c r="DH473">
        <v>20375</v>
      </c>
      <c r="DI473">
        <v>5094</v>
      </c>
      <c r="DJ473">
        <v>20375</v>
      </c>
      <c r="DK473">
        <v>1</v>
      </c>
      <c r="DL473">
        <v>0.1613</v>
      </c>
      <c r="DM473">
        <v>78</v>
      </c>
      <c r="DN473">
        <v>5094</v>
      </c>
    </row>
    <row r="474" spans="91:118" x14ac:dyDescent="0.25">
      <c r="CM474" t="s">
        <v>636</v>
      </c>
      <c r="CN474" t="s">
        <v>6</v>
      </c>
      <c r="CO474" t="s">
        <v>81</v>
      </c>
      <c r="CP474">
        <v>46101</v>
      </c>
      <c r="CQ474">
        <v>1</v>
      </c>
      <c r="CR474">
        <v>1</v>
      </c>
      <c r="CT474">
        <v>1</v>
      </c>
      <c r="CV474">
        <v>3.4722222222222224E-4</v>
      </c>
      <c r="CW474">
        <v>3.4722222222222224E-4</v>
      </c>
      <c r="CX474">
        <v>0.21075231481481482</v>
      </c>
      <c r="CY474">
        <v>0.14348379629629629</v>
      </c>
      <c r="CZ474">
        <v>53</v>
      </c>
      <c r="DA474">
        <v>102</v>
      </c>
      <c r="DB474">
        <v>7</v>
      </c>
      <c r="DC474" t="s">
        <v>700</v>
      </c>
      <c r="DD474">
        <v>28457</v>
      </c>
      <c r="DE474">
        <v>0.1321</v>
      </c>
      <c r="DF474">
        <v>1</v>
      </c>
      <c r="DG474">
        <v>0.1429</v>
      </c>
      <c r="DH474">
        <v>1000</v>
      </c>
      <c r="DI474">
        <v>1000</v>
      </c>
      <c r="DJ474">
        <v>500</v>
      </c>
      <c r="DK474">
        <v>0.5</v>
      </c>
      <c r="DL474">
        <v>6.7900000000000002E-2</v>
      </c>
      <c r="DM474">
        <v>78</v>
      </c>
      <c r="DN474">
        <v>500</v>
      </c>
    </row>
    <row r="475" spans="91:118" x14ac:dyDescent="0.25">
      <c r="CM475" t="s">
        <v>636</v>
      </c>
      <c r="CN475" t="s">
        <v>6</v>
      </c>
      <c r="CO475" t="s">
        <v>37</v>
      </c>
      <c r="CP475">
        <v>46086</v>
      </c>
      <c r="CQ475">
        <v>1</v>
      </c>
      <c r="CR475">
        <v>1</v>
      </c>
      <c r="CT475">
        <v>1</v>
      </c>
      <c r="CV475">
        <v>6.9444444444444444E-5</v>
      </c>
      <c r="CW475">
        <v>6.9444444444444444E-5</v>
      </c>
      <c r="CX475">
        <v>0.28537037037037039</v>
      </c>
      <c r="CY475">
        <v>0.12315972222222223</v>
      </c>
      <c r="CZ475">
        <v>85</v>
      </c>
      <c r="DA475">
        <v>123</v>
      </c>
      <c r="DB475">
        <v>18</v>
      </c>
      <c r="DC475" t="s">
        <v>703</v>
      </c>
      <c r="DD475">
        <v>30348</v>
      </c>
      <c r="DE475">
        <v>0.21179999999999999</v>
      </c>
      <c r="DF475">
        <v>4</v>
      </c>
      <c r="DG475">
        <v>0.22220000000000001</v>
      </c>
      <c r="DH475">
        <v>4262</v>
      </c>
      <c r="DI475">
        <v>1066</v>
      </c>
      <c r="DJ475">
        <v>3700</v>
      </c>
      <c r="DK475">
        <v>0.86809999999999998</v>
      </c>
      <c r="DL475">
        <v>0.13969999999999999</v>
      </c>
      <c r="DM475">
        <v>78</v>
      </c>
      <c r="DN475">
        <v>1233</v>
      </c>
    </row>
    <row r="476" spans="91:118" x14ac:dyDescent="0.25">
      <c r="CM476" t="s">
        <v>636</v>
      </c>
      <c r="CN476" t="s">
        <v>6</v>
      </c>
      <c r="CO476" t="s">
        <v>37</v>
      </c>
      <c r="CP476">
        <v>46101</v>
      </c>
      <c r="CQ476">
        <v>1</v>
      </c>
      <c r="CR476">
        <v>1</v>
      </c>
      <c r="CS476">
        <v>1</v>
      </c>
      <c r="CV476">
        <v>5.9016203703703703E-2</v>
      </c>
      <c r="CW476">
        <v>5.9016203703703703E-2</v>
      </c>
      <c r="CX476">
        <v>0.15144675925925927</v>
      </c>
      <c r="CY476">
        <v>0.1315162037037037</v>
      </c>
      <c r="CZ476">
        <v>72</v>
      </c>
      <c r="DA476">
        <v>97</v>
      </c>
      <c r="DB476">
        <v>14</v>
      </c>
      <c r="DC476" t="s">
        <v>745</v>
      </c>
      <c r="DD476">
        <v>34115</v>
      </c>
      <c r="DE476">
        <v>0.19439999999999999</v>
      </c>
      <c r="DF476">
        <v>2</v>
      </c>
      <c r="DG476">
        <v>0.1429</v>
      </c>
      <c r="DH476">
        <v>3758</v>
      </c>
      <c r="DI476">
        <v>1879</v>
      </c>
      <c r="DJ476">
        <v>2822</v>
      </c>
      <c r="DK476">
        <v>0.75090000000000001</v>
      </c>
      <c r="DL476">
        <v>0.75129999999999997</v>
      </c>
      <c r="DM476">
        <v>78</v>
      </c>
      <c r="DN476">
        <v>2822</v>
      </c>
    </row>
    <row r="477" spans="91:118" x14ac:dyDescent="0.25">
      <c r="CM477" t="s">
        <v>636</v>
      </c>
      <c r="CN477" t="s">
        <v>6</v>
      </c>
      <c r="CO477" t="s">
        <v>50</v>
      </c>
      <c r="CP477">
        <v>46087</v>
      </c>
      <c r="CQ477">
        <v>1</v>
      </c>
      <c r="CR477">
        <v>1</v>
      </c>
      <c r="CV477">
        <v>4.0509259259259257E-3</v>
      </c>
      <c r="CW477">
        <v>4.0509259259259257E-3</v>
      </c>
      <c r="CX477">
        <v>0.17239583333333333</v>
      </c>
      <c r="CY477">
        <v>0.15753472222222223</v>
      </c>
      <c r="CZ477">
        <v>65</v>
      </c>
      <c r="DA477">
        <v>146</v>
      </c>
      <c r="DB477">
        <v>16</v>
      </c>
      <c r="DC477">
        <v>1.625</v>
      </c>
      <c r="DD477">
        <v>8746</v>
      </c>
      <c r="DE477">
        <v>0.2462</v>
      </c>
      <c r="DF477">
        <v>2</v>
      </c>
      <c r="DG477">
        <v>0.125</v>
      </c>
      <c r="DH477">
        <v>600</v>
      </c>
      <c r="DI477">
        <v>300</v>
      </c>
      <c r="DJ477">
        <v>120</v>
      </c>
      <c r="DK477">
        <v>0.2</v>
      </c>
      <c r="DL477">
        <v>0.1178</v>
      </c>
      <c r="DM477">
        <v>78</v>
      </c>
      <c r="DN477">
        <v>120</v>
      </c>
    </row>
    <row r="478" spans="91:118" x14ac:dyDescent="0.25">
      <c r="CM478" t="s">
        <v>636</v>
      </c>
      <c r="CN478" t="s">
        <v>6</v>
      </c>
      <c r="CO478" t="s">
        <v>11</v>
      </c>
      <c r="CP478">
        <v>46092</v>
      </c>
      <c r="CQ478">
        <v>1</v>
      </c>
      <c r="CR478">
        <v>1</v>
      </c>
      <c r="CT478">
        <v>1</v>
      </c>
      <c r="CV478">
        <v>2.1527777777777778E-3</v>
      </c>
      <c r="CW478">
        <v>2.1527777777777778E-3</v>
      </c>
      <c r="CX478">
        <v>0.27259259259259261</v>
      </c>
      <c r="CY478">
        <v>7.8680555555555559E-2</v>
      </c>
      <c r="CZ478">
        <v>112</v>
      </c>
      <c r="DA478">
        <v>190</v>
      </c>
      <c r="DB478">
        <v>22</v>
      </c>
      <c r="DC478" t="s">
        <v>873</v>
      </c>
      <c r="DD478">
        <v>26698</v>
      </c>
      <c r="DE478">
        <v>0.19639999999999999</v>
      </c>
      <c r="DF478">
        <v>2</v>
      </c>
      <c r="DG478">
        <v>9.0899999999999995E-2</v>
      </c>
      <c r="DH478">
        <v>8400</v>
      </c>
      <c r="DI478">
        <v>4200</v>
      </c>
      <c r="DJ478">
        <v>8000</v>
      </c>
      <c r="DK478">
        <v>0.95240000000000002</v>
      </c>
      <c r="DL478">
        <v>0.11269999999999999</v>
      </c>
      <c r="DM478">
        <v>78</v>
      </c>
      <c r="DN478">
        <v>8000</v>
      </c>
    </row>
    <row r="479" spans="91:118" x14ac:dyDescent="0.25">
      <c r="CM479" t="s">
        <v>636</v>
      </c>
      <c r="CN479" t="s">
        <v>6</v>
      </c>
      <c r="CO479" t="s">
        <v>97</v>
      </c>
      <c r="CP479">
        <v>46093</v>
      </c>
      <c r="CQ479">
        <v>1</v>
      </c>
      <c r="CR479">
        <v>1</v>
      </c>
      <c r="CT479">
        <v>1</v>
      </c>
      <c r="CV479">
        <v>8.1018518518518516E-5</v>
      </c>
      <c r="CW479">
        <v>8.1018518518518516E-5</v>
      </c>
      <c r="CX479">
        <v>0.25208333333333333</v>
      </c>
      <c r="CY479">
        <v>0.11030092592592593</v>
      </c>
      <c r="CZ479">
        <v>160</v>
      </c>
      <c r="DA479">
        <v>252</v>
      </c>
      <c r="DB479">
        <v>43</v>
      </c>
      <c r="DC479" t="s">
        <v>1044</v>
      </c>
      <c r="DD479">
        <v>12064</v>
      </c>
      <c r="DE479">
        <v>0.26879999999999998</v>
      </c>
      <c r="DF479">
        <v>5</v>
      </c>
      <c r="DG479">
        <v>0.1163</v>
      </c>
      <c r="DH479">
        <v>6050</v>
      </c>
      <c r="DI479">
        <v>1210</v>
      </c>
      <c r="DJ479">
        <v>5500</v>
      </c>
      <c r="DK479">
        <v>0.90910000000000002</v>
      </c>
      <c r="DL479">
        <v>0.1176</v>
      </c>
      <c r="DM479">
        <v>78</v>
      </c>
      <c r="DN479">
        <v>2750</v>
      </c>
    </row>
    <row r="480" spans="91:118" x14ac:dyDescent="0.25">
      <c r="CM480" t="s">
        <v>636</v>
      </c>
      <c r="CN480" t="s">
        <v>7</v>
      </c>
      <c r="CO480" t="s">
        <v>41</v>
      </c>
      <c r="CP480">
        <v>46112</v>
      </c>
      <c r="CQ480">
        <v>1</v>
      </c>
      <c r="CR480">
        <v>1</v>
      </c>
      <c r="CT480">
        <v>1</v>
      </c>
      <c r="CV480">
        <v>9.2592592592592588E-5</v>
      </c>
      <c r="CW480">
        <v>9.2592592592592588E-5</v>
      </c>
      <c r="CX480">
        <v>0.10668981481481482</v>
      </c>
      <c r="CY480">
        <v>0.14394675925925926</v>
      </c>
      <c r="CZ480">
        <v>65</v>
      </c>
      <c r="DA480">
        <v>142</v>
      </c>
      <c r="DB480">
        <v>21</v>
      </c>
      <c r="DC480" t="s">
        <v>718</v>
      </c>
      <c r="DD480">
        <v>14201</v>
      </c>
      <c r="DE480">
        <v>0.3231</v>
      </c>
      <c r="DF480">
        <v>1</v>
      </c>
      <c r="DG480">
        <v>4.7600000000000003E-2</v>
      </c>
      <c r="DH480">
        <v>500</v>
      </c>
      <c r="DI480">
        <v>500</v>
      </c>
      <c r="DJ480">
        <v>500</v>
      </c>
      <c r="DK480">
        <v>1</v>
      </c>
      <c r="DL480">
        <v>0.27529999999999999</v>
      </c>
      <c r="DM480">
        <v>78</v>
      </c>
      <c r="DN480">
        <v>500</v>
      </c>
    </row>
    <row r="481" spans="91:118" x14ac:dyDescent="0.25">
      <c r="CM481" t="s">
        <v>636</v>
      </c>
      <c r="CN481" t="s">
        <v>7</v>
      </c>
      <c r="CO481" t="s">
        <v>51</v>
      </c>
      <c r="CP481">
        <v>46090</v>
      </c>
      <c r="CQ481">
        <v>1</v>
      </c>
      <c r="CR481">
        <v>1</v>
      </c>
      <c r="CT481">
        <v>1</v>
      </c>
      <c r="CV481">
        <v>4.861111111111111E-4</v>
      </c>
      <c r="CW481">
        <v>4.861111111111111E-4</v>
      </c>
      <c r="CX481">
        <v>0.23341435185185186</v>
      </c>
      <c r="CY481">
        <v>7.048611111111111E-2</v>
      </c>
      <c r="CZ481">
        <v>129</v>
      </c>
      <c r="DA481">
        <v>219</v>
      </c>
      <c r="DB481">
        <v>15</v>
      </c>
      <c r="DC481" t="s">
        <v>898</v>
      </c>
      <c r="DD481">
        <v>27472</v>
      </c>
      <c r="DE481">
        <v>0.1163</v>
      </c>
      <c r="DF481">
        <v>1</v>
      </c>
      <c r="DG481">
        <v>6.6699999999999995E-2</v>
      </c>
      <c r="DH481">
        <v>600</v>
      </c>
      <c r="DI481">
        <v>600</v>
      </c>
      <c r="DJ481">
        <v>600</v>
      </c>
      <c r="DK481">
        <v>1</v>
      </c>
      <c r="DM481">
        <v>78</v>
      </c>
      <c r="DN481">
        <v>600</v>
      </c>
    </row>
    <row r="482" spans="91:118" x14ac:dyDescent="0.25">
      <c r="CM482" t="s">
        <v>636</v>
      </c>
      <c r="CN482" t="s">
        <v>7</v>
      </c>
      <c r="CO482" t="s">
        <v>549</v>
      </c>
      <c r="CP482">
        <v>46091</v>
      </c>
      <c r="CQ482">
        <v>1</v>
      </c>
      <c r="CR482">
        <v>1</v>
      </c>
      <c r="CT482">
        <v>1</v>
      </c>
      <c r="CV482">
        <v>0</v>
      </c>
      <c r="CW482">
        <v>0</v>
      </c>
      <c r="CX482">
        <v>0.34121527777777777</v>
      </c>
      <c r="CY482">
        <v>9.0682870370370372E-2</v>
      </c>
      <c r="CZ482">
        <v>218</v>
      </c>
      <c r="DA482">
        <v>308</v>
      </c>
      <c r="DB482">
        <v>64</v>
      </c>
      <c r="DC482">
        <v>1.375</v>
      </c>
      <c r="DD482">
        <v>7171</v>
      </c>
      <c r="DE482">
        <v>0.29360000000000003</v>
      </c>
      <c r="DF482">
        <v>1</v>
      </c>
      <c r="DG482">
        <v>1.5599999999999999E-2</v>
      </c>
      <c r="DH482">
        <v>300</v>
      </c>
      <c r="DI482">
        <v>300</v>
      </c>
      <c r="DJ482">
        <v>300</v>
      </c>
      <c r="DK482">
        <v>1</v>
      </c>
      <c r="DL482">
        <v>0.54090000000000005</v>
      </c>
      <c r="DM482">
        <v>78</v>
      </c>
      <c r="DN482">
        <v>300</v>
      </c>
    </row>
    <row r="483" spans="91:118" x14ac:dyDescent="0.25">
      <c r="CM483" t="s">
        <v>636</v>
      </c>
      <c r="CN483" t="s">
        <v>3</v>
      </c>
      <c r="CO483" t="s">
        <v>174</v>
      </c>
      <c r="CP483">
        <v>46106</v>
      </c>
      <c r="CQ483">
        <v>1</v>
      </c>
      <c r="CR483">
        <v>1</v>
      </c>
      <c r="CT483">
        <v>1</v>
      </c>
      <c r="CV483">
        <v>3.4722222222222222E-5</v>
      </c>
      <c r="CW483">
        <v>3.4722222222222222E-5</v>
      </c>
      <c r="CX483">
        <v>0.18134259259259258</v>
      </c>
      <c r="CY483">
        <v>0.15125</v>
      </c>
      <c r="CZ483">
        <v>106</v>
      </c>
      <c r="DA483">
        <v>171</v>
      </c>
      <c r="DB483">
        <v>19</v>
      </c>
      <c r="DC483" t="s">
        <v>683</v>
      </c>
      <c r="DD483">
        <v>16156</v>
      </c>
      <c r="DE483">
        <v>0.1792</v>
      </c>
      <c r="DF483">
        <v>1</v>
      </c>
      <c r="DG483">
        <v>5.2600000000000001E-2</v>
      </c>
      <c r="DH483">
        <v>1200</v>
      </c>
      <c r="DI483">
        <v>1200</v>
      </c>
      <c r="DJ483">
        <v>1200</v>
      </c>
      <c r="DK483">
        <v>1</v>
      </c>
      <c r="DL483">
        <v>0.3261</v>
      </c>
      <c r="DM483">
        <v>78</v>
      </c>
      <c r="DN483">
        <v>1200</v>
      </c>
    </row>
    <row r="484" spans="91:118" x14ac:dyDescent="0.25">
      <c r="CM484" t="s">
        <v>636</v>
      </c>
      <c r="CN484" t="s">
        <v>3</v>
      </c>
      <c r="CO484" t="s">
        <v>493</v>
      </c>
      <c r="CP484">
        <v>46108</v>
      </c>
      <c r="CQ484">
        <v>1</v>
      </c>
      <c r="CR484">
        <v>1</v>
      </c>
      <c r="CT484">
        <v>1</v>
      </c>
      <c r="CV484">
        <v>5.7870370370370373E-5</v>
      </c>
      <c r="CW484">
        <v>5.7870370370370373E-5</v>
      </c>
      <c r="CX484">
        <v>0.20695601851851853</v>
      </c>
      <c r="CY484">
        <v>0.14861111111111111</v>
      </c>
      <c r="CZ484">
        <v>134</v>
      </c>
      <c r="DA484">
        <v>198</v>
      </c>
      <c r="DB484">
        <v>36</v>
      </c>
      <c r="DC484" t="s">
        <v>716</v>
      </c>
      <c r="DD484">
        <v>23498</v>
      </c>
      <c r="DE484">
        <v>0.26869999999999999</v>
      </c>
      <c r="DF484">
        <v>4</v>
      </c>
      <c r="DG484">
        <v>0.1111</v>
      </c>
      <c r="DH484">
        <v>7740</v>
      </c>
      <c r="DI484">
        <v>1935</v>
      </c>
      <c r="DJ484">
        <v>4740</v>
      </c>
      <c r="DK484">
        <v>0.61240000000000006</v>
      </c>
      <c r="DL484">
        <v>0.11840000000000001</v>
      </c>
      <c r="DM484">
        <v>78</v>
      </c>
      <c r="DN484">
        <v>1580</v>
      </c>
    </row>
    <row r="485" spans="91:118" x14ac:dyDescent="0.25">
      <c r="CM485" t="s">
        <v>636</v>
      </c>
      <c r="CN485" t="s">
        <v>3</v>
      </c>
      <c r="CO485" t="s">
        <v>32</v>
      </c>
      <c r="CP485">
        <v>46090</v>
      </c>
      <c r="CQ485">
        <v>1</v>
      </c>
      <c r="CR485">
        <v>1</v>
      </c>
      <c r="CT485">
        <v>1</v>
      </c>
      <c r="CV485">
        <v>1.273148148148148E-4</v>
      </c>
      <c r="CW485">
        <v>1.273148148148148E-4</v>
      </c>
      <c r="CX485">
        <v>0.22195601851851851</v>
      </c>
      <c r="CY485">
        <v>8.2037037037037033E-2</v>
      </c>
      <c r="CZ485">
        <v>81</v>
      </c>
      <c r="DA485">
        <v>202</v>
      </c>
      <c r="DB485">
        <v>23</v>
      </c>
      <c r="DC485" t="s">
        <v>826</v>
      </c>
      <c r="DD485">
        <v>32273</v>
      </c>
      <c r="DE485">
        <v>0.28399999999999997</v>
      </c>
      <c r="DF485">
        <v>2</v>
      </c>
      <c r="DG485">
        <v>8.6999999999999994E-2</v>
      </c>
      <c r="DH485">
        <v>1545</v>
      </c>
      <c r="DI485">
        <v>773</v>
      </c>
      <c r="DJ485">
        <v>1545</v>
      </c>
      <c r="DK485">
        <v>1</v>
      </c>
      <c r="DL485">
        <v>0.43469999999999998</v>
      </c>
      <c r="DM485">
        <v>78</v>
      </c>
      <c r="DN485">
        <v>773</v>
      </c>
    </row>
    <row r="486" spans="91:118" x14ac:dyDescent="0.25">
      <c r="CM486" t="s">
        <v>636</v>
      </c>
      <c r="CN486" t="s">
        <v>3</v>
      </c>
      <c r="CO486" t="s">
        <v>38</v>
      </c>
      <c r="CP486">
        <v>46091</v>
      </c>
      <c r="CQ486">
        <v>1</v>
      </c>
      <c r="CR486">
        <v>1</v>
      </c>
      <c r="CT486">
        <v>1</v>
      </c>
      <c r="CV486">
        <v>2.4305555555555555E-4</v>
      </c>
      <c r="CW486">
        <v>2.4305555555555555E-4</v>
      </c>
      <c r="CX486">
        <v>0.31115740740740738</v>
      </c>
      <c r="CY486">
        <v>0.10568287037037037</v>
      </c>
      <c r="CZ486">
        <v>111</v>
      </c>
      <c r="DA486">
        <v>166</v>
      </c>
      <c r="DB486">
        <v>41</v>
      </c>
      <c r="DC486" t="s">
        <v>1002</v>
      </c>
      <c r="DD486">
        <v>25550</v>
      </c>
      <c r="DE486">
        <v>0.36940000000000001</v>
      </c>
      <c r="DF486">
        <v>2</v>
      </c>
      <c r="DG486">
        <v>4.8800000000000003E-2</v>
      </c>
      <c r="DH486">
        <v>1980</v>
      </c>
      <c r="DI486">
        <v>990</v>
      </c>
      <c r="DJ486">
        <v>280</v>
      </c>
      <c r="DK486">
        <v>0.1414</v>
      </c>
      <c r="DL486">
        <v>0.1016</v>
      </c>
      <c r="DM486">
        <v>78</v>
      </c>
      <c r="DN486">
        <v>280</v>
      </c>
    </row>
    <row r="487" spans="91:118" x14ac:dyDescent="0.25">
      <c r="CM487" t="s">
        <v>636</v>
      </c>
      <c r="CN487" t="s">
        <v>3</v>
      </c>
      <c r="CO487" t="s">
        <v>79</v>
      </c>
      <c r="CP487">
        <v>46090</v>
      </c>
      <c r="CQ487">
        <v>1</v>
      </c>
      <c r="CR487">
        <v>1</v>
      </c>
      <c r="CS487">
        <v>1</v>
      </c>
      <c r="CV487">
        <v>8.4375000000000006E-3</v>
      </c>
      <c r="CW487">
        <v>8.4375000000000006E-3</v>
      </c>
      <c r="CX487">
        <v>0.22686342592592593</v>
      </c>
      <c r="CY487">
        <v>0.10001157407407407</v>
      </c>
      <c r="CZ487">
        <v>55</v>
      </c>
      <c r="DA487">
        <v>112</v>
      </c>
      <c r="DB487">
        <v>13</v>
      </c>
      <c r="DC487" t="s">
        <v>754</v>
      </c>
      <c r="DD487">
        <v>30406</v>
      </c>
      <c r="DE487">
        <v>0.2364</v>
      </c>
      <c r="DF487">
        <v>2</v>
      </c>
      <c r="DG487">
        <v>0.15379999999999999</v>
      </c>
      <c r="DH487">
        <v>10000</v>
      </c>
      <c r="DI487">
        <v>5000</v>
      </c>
      <c r="DJ487">
        <v>10000</v>
      </c>
      <c r="DK487">
        <v>1</v>
      </c>
      <c r="DL487">
        <v>0.1661</v>
      </c>
      <c r="DM487">
        <v>78</v>
      </c>
      <c r="DN487">
        <v>5000</v>
      </c>
    </row>
    <row r="488" spans="91:118" x14ac:dyDescent="0.25">
      <c r="CM488" t="s">
        <v>636</v>
      </c>
      <c r="CN488" t="s">
        <v>3</v>
      </c>
      <c r="CO488" t="s">
        <v>79</v>
      </c>
      <c r="CP488">
        <v>46105</v>
      </c>
      <c r="CQ488">
        <v>1</v>
      </c>
      <c r="CR488">
        <v>1</v>
      </c>
      <c r="CV488">
        <v>4.0393518518518521E-3</v>
      </c>
      <c r="CW488">
        <v>4.0393518518518521E-3</v>
      </c>
      <c r="CX488">
        <v>0.21515046296296297</v>
      </c>
      <c r="CY488">
        <v>0.12561342592592592</v>
      </c>
      <c r="CZ488">
        <v>78</v>
      </c>
      <c r="DA488">
        <v>153</v>
      </c>
      <c r="DB488">
        <v>15</v>
      </c>
      <c r="DC488">
        <v>2</v>
      </c>
      <c r="DD488">
        <v>20536</v>
      </c>
      <c r="DE488">
        <v>0.1923</v>
      </c>
      <c r="DF488">
        <v>1</v>
      </c>
      <c r="DG488">
        <v>6.6699999999999995E-2</v>
      </c>
      <c r="DH488">
        <v>1600</v>
      </c>
      <c r="DI488">
        <v>1600</v>
      </c>
      <c r="DJ488">
        <v>1600</v>
      </c>
      <c r="DK488">
        <v>1</v>
      </c>
      <c r="DL488">
        <v>0.30640000000000001</v>
      </c>
      <c r="DM488">
        <v>78</v>
      </c>
      <c r="DN488">
        <v>1600</v>
      </c>
    </row>
    <row r="489" spans="91:118" x14ac:dyDescent="0.25">
      <c r="CM489" t="s">
        <v>636</v>
      </c>
      <c r="CN489" t="s">
        <v>3</v>
      </c>
      <c r="CO489" t="s">
        <v>76</v>
      </c>
      <c r="CP489">
        <v>46093</v>
      </c>
      <c r="CQ489">
        <v>1</v>
      </c>
      <c r="CR489">
        <v>1</v>
      </c>
      <c r="CT489">
        <v>1</v>
      </c>
      <c r="CV489">
        <v>0</v>
      </c>
      <c r="CW489">
        <v>0</v>
      </c>
      <c r="CX489">
        <v>0.23118055555555556</v>
      </c>
      <c r="CY489">
        <v>9.554398148148148E-2</v>
      </c>
      <c r="CZ489">
        <v>56</v>
      </c>
      <c r="DA489">
        <v>81</v>
      </c>
      <c r="DB489">
        <v>23</v>
      </c>
      <c r="DC489" t="s">
        <v>827</v>
      </c>
      <c r="DD489">
        <v>18895</v>
      </c>
      <c r="DE489">
        <v>0.41070000000000001</v>
      </c>
      <c r="DF489">
        <v>1</v>
      </c>
      <c r="DG489">
        <v>4.3499999999999997E-2</v>
      </c>
      <c r="DH489">
        <v>3000</v>
      </c>
      <c r="DI489">
        <v>3000</v>
      </c>
      <c r="DJ489">
        <v>3000</v>
      </c>
      <c r="DK489">
        <v>1</v>
      </c>
      <c r="DM489">
        <v>78</v>
      </c>
      <c r="DN489">
        <v>3000</v>
      </c>
    </row>
    <row r="490" spans="91:118" x14ac:dyDescent="0.25">
      <c r="CM490" t="s">
        <v>636</v>
      </c>
      <c r="CN490" t="s">
        <v>125</v>
      </c>
      <c r="CO490" t="s">
        <v>109</v>
      </c>
      <c r="CP490">
        <v>46087</v>
      </c>
      <c r="CQ490">
        <v>1</v>
      </c>
      <c r="CR490">
        <v>1</v>
      </c>
      <c r="CT490">
        <v>1</v>
      </c>
      <c r="CV490">
        <v>3.1250000000000001E-4</v>
      </c>
      <c r="CW490">
        <v>3.1250000000000001E-4</v>
      </c>
      <c r="CX490">
        <v>0.28356481481481483</v>
      </c>
      <c r="CY490">
        <v>6.6342592592592592E-2</v>
      </c>
      <c r="CZ490">
        <v>82</v>
      </c>
      <c r="DA490">
        <v>165</v>
      </c>
      <c r="DB490">
        <v>4</v>
      </c>
      <c r="DC490">
        <v>1.75</v>
      </c>
      <c r="DD490">
        <v>21964</v>
      </c>
      <c r="DE490">
        <v>4.8800000000000003E-2</v>
      </c>
      <c r="DF490">
        <v>1</v>
      </c>
      <c r="DG490">
        <v>0.25</v>
      </c>
      <c r="DH490">
        <v>600</v>
      </c>
      <c r="DI490">
        <v>600</v>
      </c>
      <c r="DM490">
        <v>76</v>
      </c>
    </row>
    <row r="491" spans="91:118" x14ac:dyDescent="0.25">
      <c r="CM491" t="s">
        <v>636</v>
      </c>
      <c r="CN491" t="s">
        <v>125</v>
      </c>
      <c r="CO491" t="s">
        <v>109</v>
      </c>
      <c r="CP491">
        <v>46090</v>
      </c>
      <c r="CQ491">
        <v>1</v>
      </c>
      <c r="CR491">
        <v>1</v>
      </c>
      <c r="CT491">
        <v>1</v>
      </c>
      <c r="CV491">
        <v>4.861111111111111E-4</v>
      </c>
      <c r="CW491">
        <v>4.861111111111111E-4</v>
      </c>
      <c r="CX491">
        <v>0.24738425925925925</v>
      </c>
      <c r="CY491">
        <v>8.1585648148148143E-2</v>
      </c>
      <c r="CZ491">
        <v>42</v>
      </c>
      <c r="DA491">
        <v>98</v>
      </c>
      <c r="DB491">
        <v>9</v>
      </c>
      <c r="DC491" t="s">
        <v>1045</v>
      </c>
      <c r="DD491">
        <v>45023</v>
      </c>
      <c r="DE491">
        <v>0.21429999999999999</v>
      </c>
      <c r="DF491">
        <v>2</v>
      </c>
      <c r="DG491">
        <v>0.22220000000000001</v>
      </c>
      <c r="DH491">
        <v>2220</v>
      </c>
      <c r="DI491">
        <v>1110</v>
      </c>
      <c r="DJ491">
        <v>610</v>
      </c>
      <c r="DK491">
        <v>0.27479999999999999</v>
      </c>
      <c r="DL491">
        <v>7.8399999999999997E-2</v>
      </c>
      <c r="DM491">
        <v>76</v>
      </c>
      <c r="DN491">
        <v>610</v>
      </c>
    </row>
    <row r="492" spans="91:118" x14ac:dyDescent="0.25">
      <c r="CM492" t="s">
        <v>636</v>
      </c>
      <c r="CN492" t="s">
        <v>125</v>
      </c>
      <c r="CO492" t="s">
        <v>85</v>
      </c>
      <c r="CP492">
        <v>46083</v>
      </c>
      <c r="CQ492">
        <v>1</v>
      </c>
      <c r="CR492">
        <v>1</v>
      </c>
      <c r="CT492">
        <v>1</v>
      </c>
      <c r="CV492">
        <v>0</v>
      </c>
      <c r="CW492">
        <v>0</v>
      </c>
      <c r="CX492">
        <v>0.30049768518518516</v>
      </c>
      <c r="CY492">
        <v>3.7962962962962962E-2</v>
      </c>
      <c r="CZ492">
        <v>107</v>
      </c>
      <c r="DA492">
        <v>190</v>
      </c>
      <c r="DB492">
        <v>27</v>
      </c>
      <c r="DC492" t="s">
        <v>829</v>
      </c>
      <c r="DD492">
        <v>39467</v>
      </c>
      <c r="DE492">
        <v>0.25230000000000002</v>
      </c>
      <c r="DF492">
        <v>2</v>
      </c>
      <c r="DG492">
        <v>7.4099999999999999E-2</v>
      </c>
      <c r="DH492">
        <v>5500</v>
      </c>
      <c r="DI492">
        <v>2750</v>
      </c>
      <c r="DJ492">
        <v>5500</v>
      </c>
      <c r="DK492">
        <v>1</v>
      </c>
      <c r="DL492">
        <v>0.32440000000000002</v>
      </c>
      <c r="DM492">
        <v>76</v>
      </c>
      <c r="DN492">
        <v>2750</v>
      </c>
    </row>
    <row r="493" spans="91:118" x14ac:dyDescent="0.25">
      <c r="CM493" t="s">
        <v>636</v>
      </c>
      <c r="CN493" t="s">
        <v>125</v>
      </c>
      <c r="CO493" t="s">
        <v>85</v>
      </c>
      <c r="CP493">
        <v>46112</v>
      </c>
      <c r="CQ493">
        <v>1</v>
      </c>
      <c r="CR493">
        <v>1</v>
      </c>
      <c r="CT493">
        <v>1</v>
      </c>
      <c r="CV493">
        <v>4.1666666666666669E-4</v>
      </c>
      <c r="CW493">
        <v>4.1666666666666669E-4</v>
      </c>
      <c r="CX493">
        <v>0.20712962962962964</v>
      </c>
      <c r="CY493">
        <v>0.19133101851851853</v>
      </c>
      <c r="CZ493">
        <v>67</v>
      </c>
      <c r="DA493">
        <v>213</v>
      </c>
      <c r="DB493">
        <v>6</v>
      </c>
      <c r="DC493">
        <v>1</v>
      </c>
      <c r="DD493">
        <v>32209</v>
      </c>
      <c r="DE493">
        <v>8.9599999999999999E-2</v>
      </c>
      <c r="DF493">
        <v>1</v>
      </c>
      <c r="DG493">
        <v>0.16669999999999999</v>
      </c>
      <c r="DH493">
        <v>500</v>
      </c>
      <c r="DI493">
        <v>500</v>
      </c>
      <c r="DM493">
        <v>76</v>
      </c>
    </row>
    <row r="494" spans="91:118" x14ac:dyDescent="0.25">
      <c r="CM494" t="s">
        <v>636</v>
      </c>
      <c r="CN494" t="s">
        <v>125</v>
      </c>
      <c r="CO494" t="s">
        <v>12</v>
      </c>
      <c r="CP494">
        <v>46098</v>
      </c>
      <c r="CQ494">
        <v>1</v>
      </c>
      <c r="CR494">
        <v>1</v>
      </c>
      <c r="CS494">
        <v>1</v>
      </c>
      <c r="CV494">
        <v>8.4004629629629624E-2</v>
      </c>
      <c r="CW494">
        <v>8.4004629629629624E-2</v>
      </c>
      <c r="CX494">
        <v>0.13925925925925925</v>
      </c>
      <c r="CY494">
        <v>0.12221064814814815</v>
      </c>
      <c r="CZ494">
        <v>93</v>
      </c>
      <c r="DA494">
        <v>218</v>
      </c>
      <c r="DB494">
        <v>24</v>
      </c>
      <c r="DC494" t="s">
        <v>716</v>
      </c>
      <c r="DD494">
        <v>46568</v>
      </c>
      <c r="DE494">
        <v>0.2581</v>
      </c>
      <c r="DF494">
        <v>2</v>
      </c>
      <c r="DG494">
        <v>8.3299999999999999E-2</v>
      </c>
      <c r="DH494">
        <v>2850</v>
      </c>
      <c r="DI494">
        <v>1425</v>
      </c>
      <c r="DJ494">
        <v>2850</v>
      </c>
      <c r="DK494">
        <v>1</v>
      </c>
      <c r="DL494">
        <v>0.14799999999999999</v>
      </c>
      <c r="DM494">
        <v>76</v>
      </c>
      <c r="DN494">
        <v>1425</v>
      </c>
    </row>
    <row r="495" spans="91:118" x14ac:dyDescent="0.25">
      <c r="CM495" t="s">
        <v>636</v>
      </c>
      <c r="CN495" t="s">
        <v>125</v>
      </c>
      <c r="CO495" t="s">
        <v>122</v>
      </c>
      <c r="CP495">
        <v>46086</v>
      </c>
      <c r="CQ495">
        <v>1</v>
      </c>
      <c r="CR495">
        <v>1</v>
      </c>
      <c r="CT495">
        <v>1</v>
      </c>
      <c r="CV495">
        <v>0</v>
      </c>
      <c r="CW495">
        <v>0</v>
      </c>
      <c r="CX495">
        <v>0.26299768518518518</v>
      </c>
      <c r="CY495">
        <v>0.14424768518518519</v>
      </c>
      <c r="CZ495">
        <v>41</v>
      </c>
      <c r="DA495">
        <v>176</v>
      </c>
      <c r="DB495">
        <v>10</v>
      </c>
      <c r="DC495">
        <v>2.1</v>
      </c>
      <c r="DD495">
        <v>28389</v>
      </c>
      <c r="DE495">
        <v>0.24390000000000001</v>
      </c>
      <c r="DF495">
        <v>1</v>
      </c>
      <c r="DG495">
        <v>0.1</v>
      </c>
      <c r="DH495">
        <v>250</v>
      </c>
      <c r="DI495">
        <v>250</v>
      </c>
      <c r="DM495">
        <v>76</v>
      </c>
    </row>
    <row r="496" spans="91:118" x14ac:dyDescent="0.25">
      <c r="CM496" t="s">
        <v>636</v>
      </c>
      <c r="CN496" t="s">
        <v>125</v>
      </c>
      <c r="CO496" t="s">
        <v>75</v>
      </c>
      <c r="CP496">
        <v>46112</v>
      </c>
      <c r="CQ496">
        <v>1</v>
      </c>
      <c r="CR496">
        <v>1</v>
      </c>
      <c r="CS496">
        <v>1</v>
      </c>
      <c r="CV496">
        <v>1.0138888888888888E-2</v>
      </c>
      <c r="CW496">
        <v>1.0138888888888888E-2</v>
      </c>
      <c r="CX496">
        <v>0.21172453703703703</v>
      </c>
      <c r="CY496">
        <v>0.15159722222222222</v>
      </c>
      <c r="CZ496">
        <v>70</v>
      </c>
      <c r="DA496">
        <v>137</v>
      </c>
      <c r="DB496">
        <v>19</v>
      </c>
      <c r="DC496" t="s">
        <v>682</v>
      </c>
      <c r="DD496">
        <v>26064</v>
      </c>
      <c r="DE496">
        <v>0.27139999999999997</v>
      </c>
      <c r="DF496">
        <v>2</v>
      </c>
      <c r="DG496">
        <v>0.1053</v>
      </c>
      <c r="DH496">
        <v>4600</v>
      </c>
      <c r="DI496">
        <v>2300</v>
      </c>
      <c r="DJ496">
        <v>4600</v>
      </c>
      <c r="DK496">
        <v>1</v>
      </c>
      <c r="DL496">
        <v>0.13519999999999999</v>
      </c>
      <c r="DM496">
        <v>76</v>
      </c>
      <c r="DN496">
        <v>2300</v>
      </c>
    </row>
    <row r="497" spans="91:118" x14ac:dyDescent="0.25">
      <c r="CM497" t="s">
        <v>636</v>
      </c>
      <c r="CN497" t="s">
        <v>125</v>
      </c>
      <c r="CO497" t="s">
        <v>59</v>
      </c>
      <c r="CP497">
        <v>46112</v>
      </c>
      <c r="CQ497">
        <v>1</v>
      </c>
      <c r="CR497">
        <v>1</v>
      </c>
      <c r="CV497">
        <v>3.8888888888888888E-3</v>
      </c>
      <c r="CW497">
        <v>3.8888888888888888E-3</v>
      </c>
      <c r="CX497">
        <v>0.25710648148148146</v>
      </c>
      <c r="CY497">
        <v>9.3159722222222227E-2</v>
      </c>
      <c r="CZ497">
        <v>202</v>
      </c>
      <c r="DA497">
        <v>351</v>
      </c>
      <c r="DB497">
        <v>26</v>
      </c>
      <c r="DC497" t="s">
        <v>780</v>
      </c>
      <c r="DD497">
        <v>38161</v>
      </c>
      <c r="DE497">
        <v>0.12870000000000001</v>
      </c>
      <c r="DF497">
        <v>2</v>
      </c>
      <c r="DG497">
        <v>7.6899999999999996E-2</v>
      </c>
      <c r="DH497">
        <v>6380</v>
      </c>
      <c r="DI497">
        <v>3190</v>
      </c>
      <c r="DJ497">
        <v>6380</v>
      </c>
      <c r="DK497">
        <v>1</v>
      </c>
      <c r="DL497">
        <v>0.1807</v>
      </c>
      <c r="DM497">
        <v>76</v>
      </c>
      <c r="DN497">
        <v>3190</v>
      </c>
    </row>
    <row r="498" spans="91:118" x14ac:dyDescent="0.25">
      <c r="CM498" t="s">
        <v>636</v>
      </c>
      <c r="CN498" t="s">
        <v>2</v>
      </c>
      <c r="CO498" t="s">
        <v>377</v>
      </c>
      <c r="CP498">
        <v>46097</v>
      </c>
      <c r="CQ498">
        <v>1</v>
      </c>
      <c r="CR498">
        <v>1</v>
      </c>
      <c r="CT498">
        <v>1</v>
      </c>
      <c r="CV498">
        <v>2.5694444444444445E-3</v>
      </c>
      <c r="CW498">
        <v>2.5694444444444445E-3</v>
      </c>
      <c r="CX498">
        <v>0.14877314814814815</v>
      </c>
      <c r="CY498">
        <v>0.24405092592592592</v>
      </c>
      <c r="CZ498">
        <v>61</v>
      </c>
      <c r="DA498">
        <v>136</v>
      </c>
      <c r="DB498">
        <v>22</v>
      </c>
      <c r="DC498" t="s">
        <v>852</v>
      </c>
      <c r="DD498">
        <v>32118</v>
      </c>
      <c r="DE498">
        <v>0.36070000000000002</v>
      </c>
      <c r="DF498">
        <v>2</v>
      </c>
      <c r="DG498">
        <v>9.0899999999999995E-2</v>
      </c>
      <c r="DH498">
        <v>1020</v>
      </c>
      <c r="DI498">
        <v>510</v>
      </c>
      <c r="DJ498">
        <v>220</v>
      </c>
      <c r="DK498">
        <v>0.2157</v>
      </c>
      <c r="DL498">
        <v>7.9500000000000001E-2</v>
      </c>
      <c r="DM498">
        <v>76</v>
      </c>
      <c r="DN498">
        <v>220</v>
      </c>
    </row>
    <row r="499" spans="91:118" x14ac:dyDescent="0.25">
      <c r="CM499" t="s">
        <v>636</v>
      </c>
      <c r="CN499" t="s">
        <v>2</v>
      </c>
      <c r="CO499" t="s">
        <v>22</v>
      </c>
      <c r="CP499">
        <v>46083</v>
      </c>
      <c r="CQ499">
        <v>1</v>
      </c>
      <c r="CR499">
        <v>1</v>
      </c>
      <c r="CT499">
        <v>1</v>
      </c>
      <c r="CV499">
        <v>0</v>
      </c>
      <c r="CW499">
        <v>0</v>
      </c>
      <c r="CX499">
        <v>0.23353009259259258</v>
      </c>
      <c r="CY499">
        <v>7.2986111111111113E-2</v>
      </c>
      <c r="CZ499">
        <v>46</v>
      </c>
      <c r="DA499">
        <v>93</v>
      </c>
      <c r="DB499">
        <v>17</v>
      </c>
      <c r="DC499" t="s">
        <v>782</v>
      </c>
      <c r="DD499">
        <v>51232</v>
      </c>
      <c r="DE499">
        <v>0.36959999999999998</v>
      </c>
      <c r="DF499">
        <v>3</v>
      </c>
      <c r="DG499">
        <v>0.17649999999999999</v>
      </c>
      <c r="DH499">
        <v>2480</v>
      </c>
      <c r="DI499">
        <v>827</v>
      </c>
      <c r="DJ499">
        <v>2480</v>
      </c>
      <c r="DK499">
        <v>1</v>
      </c>
      <c r="DL499">
        <v>2.41E-2</v>
      </c>
      <c r="DM499">
        <v>76</v>
      </c>
      <c r="DN499">
        <v>827</v>
      </c>
    </row>
    <row r="500" spans="91:118" x14ac:dyDescent="0.25">
      <c r="CM500" t="s">
        <v>636</v>
      </c>
      <c r="CN500" t="s">
        <v>2</v>
      </c>
      <c r="CO500" t="s">
        <v>22</v>
      </c>
      <c r="CP500">
        <v>46112</v>
      </c>
      <c r="CQ500">
        <v>1</v>
      </c>
      <c r="CR500">
        <v>1</v>
      </c>
      <c r="CT500">
        <v>1</v>
      </c>
      <c r="CV500">
        <v>0</v>
      </c>
      <c r="CW500">
        <v>0</v>
      </c>
      <c r="CX500">
        <v>0.11483796296296296</v>
      </c>
      <c r="CY500">
        <v>0.2767013888888889</v>
      </c>
      <c r="CZ500">
        <v>41</v>
      </c>
      <c r="DA500">
        <v>87</v>
      </c>
      <c r="DB500">
        <v>11</v>
      </c>
      <c r="DC500" t="s">
        <v>695</v>
      </c>
      <c r="DD500">
        <v>36682</v>
      </c>
      <c r="DE500">
        <v>0.26829999999999998</v>
      </c>
      <c r="DF500">
        <v>1</v>
      </c>
      <c r="DG500">
        <v>9.0899999999999995E-2</v>
      </c>
      <c r="DH500">
        <v>1000</v>
      </c>
      <c r="DI500">
        <v>1000</v>
      </c>
      <c r="DM500">
        <v>76</v>
      </c>
    </row>
    <row r="501" spans="91:118" x14ac:dyDescent="0.25">
      <c r="CM501" t="s">
        <v>636</v>
      </c>
      <c r="CN501" t="s">
        <v>2</v>
      </c>
      <c r="CO501" t="s">
        <v>42</v>
      </c>
      <c r="CP501">
        <v>46092</v>
      </c>
      <c r="CQ501">
        <v>1</v>
      </c>
      <c r="CR501">
        <v>1</v>
      </c>
      <c r="CV501">
        <v>0</v>
      </c>
      <c r="CW501">
        <v>0</v>
      </c>
      <c r="CX501">
        <v>0</v>
      </c>
      <c r="CY501">
        <v>0</v>
      </c>
      <c r="DM501">
        <v>76</v>
      </c>
    </row>
    <row r="502" spans="91:118" x14ac:dyDescent="0.25">
      <c r="CM502" t="s">
        <v>636</v>
      </c>
      <c r="CN502" t="s">
        <v>2</v>
      </c>
      <c r="CO502" t="s">
        <v>65</v>
      </c>
      <c r="CP502">
        <v>46083</v>
      </c>
      <c r="CQ502">
        <v>1</v>
      </c>
      <c r="CR502">
        <v>1</v>
      </c>
      <c r="CT502">
        <v>1</v>
      </c>
      <c r="CV502">
        <v>3.4722222222222222E-5</v>
      </c>
      <c r="CW502">
        <v>3.4722222222222222E-5</v>
      </c>
      <c r="CX502">
        <v>0.26025462962962964</v>
      </c>
      <c r="CY502">
        <v>4.6203703703703705E-2</v>
      </c>
      <c r="CZ502">
        <v>33</v>
      </c>
      <c r="DA502">
        <v>90</v>
      </c>
      <c r="DB502">
        <v>10</v>
      </c>
      <c r="DC502">
        <v>1.9</v>
      </c>
      <c r="DD502">
        <v>8841</v>
      </c>
      <c r="DE502">
        <v>0.30299999999999999</v>
      </c>
      <c r="DF502">
        <v>5</v>
      </c>
      <c r="DG502">
        <v>0.5</v>
      </c>
      <c r="DH502">
        <v>3055</v>
      </c>
      <c r="DI502">
        <v>611</v>
      </c>
      <c r="DJ502">
        <v>1781</v>
      </c>
      <c r="DK502">
        <v>0.58299999999999996</v>
      </c>
      <c r="DM502">
        <v>76</v>
      </c>
      <c r="DN502">
        <v>594</v>
      </c>
    </row>
    <row r="503" spans="91:118" x14ac:dyDescent="0.25">
      <c r="CM503" t="s">
        <v>636</v>
      </c>
      <c r="CN503" t="s">
        <v>2</v>
      </c>
      <c r="CO503" t="s">
        <v>25</v>
      </c>
      <c r="CP503">
        <v>46084</v>
      </c>
      <c r="CQ503">
        <v>1</v>
      </c>
      <c r="CR503">
        <v>1</v>
      </c>
      <c r="CT503">
        <v>1</v>
      </c>
      <c r="CV503">
        <v>0</v>
      </c>
      <c r="CW503">
        <v>0</v>
      </c>
      <c r="CX503">
        <v>0.31851851851851853</v>
      </c>
      <c r="CY503">
        <v>9.2199074074074072E-2</v>
      </c>
      <c r="CZ503">
        <v>78</v>
      </c>
      <c r="DA503">
        <v>137</v>
      </c>
      <c r="DB503">
        <v>22</v>
      </c>
      <c r="DC503" t="s">
        <v>740</v>
      </c>
      <c r="DD503">
        <v>17738</v>
      </c>
      <c r="DE503">
        <v>0.28210000000000002</v>
      </c>
      <c r="DF503">
        <v>1</v>
      </c>
      <c r="DG503">
        <v>4.5499999999999999E-2</v>
      </c>
      <c r="DH503">
        <v>500</v>
      </c>
      <c r="DI503">
        <v>500</v>
      </c>
      <c r="DJ503">
        <v>500</v>
      </c>
      <c r="DK503">
        <v>1</v>
      </c>
      <c r="DM503">
        <v>76</v>
      </c>
      <c r="DN503">
        <v>500</v>
      </c>
    </row>
    <row r="504" spans="91:118" x14ac:dyDescent="0.25">
      <c r="CM504" t="s">
        <v>636</v>
      </c>
      <c r="CN504" t="s">
        <v>2</v>
      </c>
      <c r="CO504" t="s">
        <v>25</v>
      </c>
      <c r="CP504">
        <v>46085</v>
      </c>
      <c r="CQ504">
        <v>1</v>
      </c>
      <c r="CR504">
        <v>1</v>
      </c>
      <c r="CT504">
        <v>1</v>
      </c>
      <c r="CV504">
        <v>0</v>
      </c>
      <c r="CW504">
        <v>0</v>
      </c>
      <c r="CX504">
        <v>0.26313657407407409</v>
      </c>
      <c r="CY504">
        <v>8.9513888888888893E-2</v>
      </c>
      <c r="CZ504">
        <v>74</v>
      </c>
      <c r="DA504">
        <v>133</v>
      </c>
      <c r="DB504">
        <v>21</v>
      </c>
      <c r="DC504" t="s">
        <v>752</v>
      </c>
      <c r="DD504">
        <v>25507</v>
      </c>
      <c r="DE504">
        <v>0.2838</v>
      </c>
      <c r="DF504">
        <v>1</v>
      </c>
      <c r="DG504">
        <v>4.7600000000000003E-2</v>
      </c>
      <c r="DH504">
        <v>813</v>
      </c>
      <c r="DI504">
        <v>813</v>
      </c>
      <c r="DJ504">
        <v>813</v>
      </c>
      <c r="DK504">
        <v>1</v>
      </c>
      <c r="DM504">
        <v>76</v>
      </c>
      <c r="DN504">
        <v>813</v>
      </c>
    </row>
    <row r="505" spans="91:118" x14ac:dyDescent="0.25">
      <c r="CM505" t="s">
        <v>636</v>
      </c>
      <c r="CN505" t="s">
        <v>2</v>
      </c>
      <c r="CO505" t="s">
        <v>25</v>
      </c>
      <c r="CP505">
        <v>46092</v>
      </c>
      <c r="CQ505">
        <v>1</v>
      </c>
      <c r="CR505">
        <v>1</v>
      </c>
      <c r="CV505">
        <v>0</v>
      </c>
      <c r="CW505">
        <v>0</v>
      </c>
      <c r="CX505">
        <v>0</v>
      </c>
      <c r="CY505">
        <v>0</v>
      </c>
      <c r="DM505">
        <v>76</v>
      </c>
    </row>
    <row r="506" spans="91:118" x14ac:dyDescent="0.25">
      <c r="CM506" t="s">
        <v>636</v>
      </c>
      <c r="CN506" t="s">
        <v>2</v>
      </c>
      <c r="CO506" t="s">
        <v>207</v>
      </c>
      <c r="CP506">
        <v>46092</v>
      </c>
      <c r="CQ506">
        <v>1</v>
      </c>
      <c r="CR506">
        <v>1</v>
      </c>
      <c r="CS506">
        <v>1</v>
      </c>
      <c r="CV506">
        <v>1.1863425925925927E-2</v>
      </c>
      <c r="CW506">
        <v>1.1863425925925927E-2</v>
      </c>
      <c r="CX506">
        <v>0.25449074074074074</v>
      </c>
      <c r="CY506">
        <v>8.4062499999999998E-2</v>
      </c>
      <c r="CZ506">
        <v>138</v>
      </c>
      <c r="DA506">
        <v>241</v>
      </c>
      <c r="DB506">
        <v>16</v>
      </c>
      <c r="DC506">
        <v>1.375</v>
      </c>
      <c r="DD506">
        <v>58050</v>
      </c>
      <c r="DE506">
        <v>0.1159</v>
      </c>
      <c r="DM506">
        <v>76</v>
      </c>
    </row>
    <row r="507" spans="91:118" x14ac:dyDescent="0.25">
      <c r="CM507" t="s">
        <v>636</v>
      </c>
      <c r="CN507" t="s">
        <v>6</v>
      </c>
      <c r="CO507" t="s">
        <v>19</v>
      </c>
      <c r="CP507">
        <v>46086</v>
      </c>
      <c r="CQ507">
        <v>1</v>
      </c>
      <c r="CR507">
        <v>1</v>
      </c>
      <c r="CT507">
        <v>1</v>
      </c>
      <c r="CV507">
        <v>8.1018518518518516E-5</v>
      </c>
      <c r="CW507">
        <v>8.1018518518518516E-5</v>
      </c>
      <c r="CX507">
        <v>0.35842592592592593</v>
      </c>
      <c r="CY507">
        <v>8.1319444444444444E-2</v>
      </c>
      <c r="CZ507">
        <v>193</v>
      </c>
      <c r="DA507">
        <v>269</v>
      </c>
      <c r="DB507">
        <v>25</v>
      </c>
      <c r="DC507">
        <v>1.68</v>
      </c>
      <c r="DD507">
        <v>18247</v>
      </c>
      <c r="DE507">
        <v>0.1295</v>
      </c>
      <c r="DF507">
        <v>1</v>
      </c>
      <c r="DG507">
        <v>0.04</v>
      </c>
      <c r="DH507">
        <v>200</v>
      </c>
      <c r="DI507">
        <v>200</v>
      </c>
      <c r="DJ507">
        <v>200</v>
      </c>
      <c r="DK507">
        <v>1</v>
      </c>
      <c r="DL507">
        <v>0.78410000000000002</v>
      </c>
      <c r="DM507">
        <v>76</v>
      </c>
      <c r="DN507">
        <v>200</v>
      </c>
    </row>
    <row r="508" spans="91:118" x14ac:dyDescent="0.25">
      <c r="CM508" t="s">
        <v>636</v>
      </c>
      <c r="CN508" t="s">
        <v>6</v>
      </c>
      <c r="CO508" t="s">
        <v>19</v>
      </c>
      <c r="CP508">
        <v>46111</v>
      </c>
      <c r="CQ508">
        <v>1</v>
      </c>
      <c r="CR508">
        <v>1</v>
      </c>
      <c r="CT508">
        <v>1</v>
      </c>
      <c r="CV508">
        <v>2.4305555555555555E-4</v>
      </c>
      <c r="CW508">
        <v>2.4305555555555555E-4</v>
      </c>
      <c r="CX508">
        <v>0.25662037037037039</v>
      </c>
      <c r="CY508">
        <v>0.14218749999999999</v>
      </c>
      <c r="CZ508">
        <v>185</v>
      </c>
      <c r="DA508">
        <v>280</v>
      </c>
      <c r="DB508">
        <v>21</v>
      </c>
      <c r="DC508" t="s">
        <v>700</v>
      </c>
      <c r="DD508">
        <v>31330</v>
      </c>
      <c r="DE508">
        <v>0.1135</v>
      </c>
      <c r="DF508">
        <v>2</v>
      </c>
      <c r="DG508">
        <v>9.5200000000000007E-2</v>
      </c>
      <c r="DH508">
        <v>6500</v>
      </c>
      <c r="DI508">
        <v>3250</v>
      </c>
      <c r="DJ508">
        <v>6500</v>
      </c>
      <c r="DK508">
        <v>1</v>
      </c>
      <c r="DL508">
        <v>0.15459999999999999</v>
      </c>
      <c r="DM508">
        <v>76</v>
      </c>
      <c r="DN508">
        <v>3250</v>
      </c>
    </row>
    <row r="509" spans="91:118" x14ac:dyDescent="0.25">
      <c r="CM509" t="s">
        <v>636</v>
      </c>
      <c r="CN509" t="s">
        <v>6</v>
      </c>
      <c r="CO509" t="s">
        <v>81</v>
      </c>
      <c r="CP509">
        <v>46106</v>
      </c>
      <c r="CQ509">
        <v>1</v>
      </c>
      <c r="CR509">
        <v>1</v>
      </c>
      <c r="CS509">
        <v>1</v>
      </c>
      <c r="CV509">
        <v>7.013888888888889E-3</v>
      </c>
      <c r="CW509">
        <v>7.013888888888889E-3</v>
      </c>
      <c r="CX509">
        <v>0.18708333333333332</v>
      </c>
      <c r="CY509">
        <v>0.12607638888888889</v>
      </c>
      <c r="CZ509">
        <v>50</v>
      </c>
      <c r="DA509">
        <v>101</v>
      </c>
      <c r="DB509">
        <v>7</v>
      </c>
      <c r="DC509" t="s">
        <v>679</v>
      </c>
      <c r="DD509">
        <v>35983</v>
      </c>
      <c r="DE509">
        <v>0.14000000000000001</v>
      </c>
      <c r="DF509">
        <v>1</v>
      </c>
      <c r="DG509">
        <v>0.1429</v>
      </c>
      <c r="DH509">
        <v>3500</v>
      </c>
      <c r="DI509">
        <v>3500</v>
      </c>
      <c r="DJ509">
        <v>3500</v>
      </c>
      <c r="DK509">
        <v>1</v>
      </c>
      <c r="DM509">
        <v>76</v>
      </c>
      <c r="DN509">
        <v>3500</v>
      </c>
    </row>
    <row r="510" spans="91:118" x14ac:dyDescent="0.25">
      <c r="CM510" t="s">
        <v>636</v>
      </c>
      <c r="CN510" t="s">
        <v>6</v>
      </c>
      <c r="CO510" t="s">
        <v>105</v>
      </c>
      <c r="CP510">
        <v>46086</v>
      </c>
      <c r="CQ510">
        <v>1</v>
      </c>
      <c r="CR510">
        <v>1</v>
      </c>
      <c r="CT510">
        <v>1</v>
      </c>
      <c r="CV510">
        <v>4.6296296296296294E-5</v>
      </c>
      <c r="CW510">
        <v>4.6296296296296294E-5</v>
      </c>
      <c r="CX510">
        <v>0.36149305555555555</v>
      </c>
      <c r="CY510">
        <v>6.6226851851851856E-2</v>
      </c>
      <c r="CZ510">
        <v>89</v>
      </c>
      <c r="DA510">
        <v>214</v>
      </c>
      <c r="DB510">
        <v>19</v>
      </c>
      <c r="DC510" t="s">
        <v>963</v>
      </c>
      <c r="DD510">
        <v>19995</v>
      </c>
      <c r="DE510">
        <v>0.2135</v>
      </c>
      <c r="DF510">
        <v>1</v>
      </c>
      <c r="DG510">
        <v>5.2600000000000001E-2</v>
      </c>
      <c r="DH510">
        <v>250</v>
      </c>
      <c r="DI510">
        <v>250</v>
      </c>
      <c r="DJ510">
        <v>253</v>
      </c>
      <c r="DK510">
        <v>1.01</v>
      </c>
      <c r="DM510">
        <v>76</v>
      </c>
      <c r="DN510">
        <v>253</v>
      </c>
    </row>
    <row r="511" spans="91:118" x14ac:dyDescent="0.25">
      <c r="CM511" t="s">
        <v>636</v>
      </c>
      <c r="CN511" t="s">
        <v>6</v>
      </c>
      <c r="CO511" t="s">
        <v>35</v>
      </c>
      <c r="CP511">
        <v>46085</v>
      </c>
      <c r="CQ511">
        <v>1</v>
      </c>
      <c r="CR511">
        <v>1</v>
      </c>
      <c r="CT511">
        <v>1</v>
      </c>
      <c r="CV511">
        <v>1.3888888888888889E-4</v>
      </c>
      <c r="CW511">
        <v>1.3888888888888889E-4</v>
      </c>
      <c r="CX511">
        <v>0.17145833333333332</v>
      </c>
      <c r="CY511">
        <v>0.19045138888888888</v>
      </c>
      <c r="CZ511">
        <v>45</v>
      </c>
      <c r="DA511">
        <v>85</v>
      </c>
      <c r="DB511">
        <v>18</v>
      </c>
      <c r="DC511" t="s">
        <v>703</v>
      </c>
      <c r="DD511">
        <v>31355</v>
      </c>
      <c r="DE511">
        <v>0.4</v>
      </c>
      <c r="DF511">
        <v>2</v>
      </c>
      <c r="DG511">
        <v>0.1111</v>
      </c>
      <c r="DH511">
        <v>760</v>
      </c>
      <c r="DI511">
        <v>380</v>
      </c>
      <c r="DJ511">
        <v>2000</v>
      </c>
      <c r="DK511">
        <v>2.6316000000000002</v>
      </c>
      <c r="DL511">
        <v>0.13969999999999999</v>
      </c>
      <c r="DM511">
        <v>76</v>
      </c>
      <c r="DN511">
        <v>2000</v>
      </c>
    </row>
    <row r="512" spans="91:118" x14ac:dyDescent="0.25">
      <c r="CM512" t="s">
        <v>636</v>
      </c>
      <c r="CN512" t="s">
        <v>6</v>
      </c>
      <c r="CO512" t="s">
        <v>35</v>
      </c>
      <c r="CP512">
        <v>46098</v>
      </c>
      <c r="CQ512">
        <v>1</v>
      </c>
      <c r="CR512">
        <v>1</v>
      </c>
      <c r="CT512">
        <v>1</v>
      </c>
      <c r="CV512">
        <v>1.273148148148148E-4</v>
      </c>
      <c r="CW512">
        <v>1.273148148148148E-4</v>
      </c>
      <c r="CX512">
        <v>0.20096064814814815</v>
      </c>
      <c r="CY512">
        <v>0.1471412037037037</v>
      </c>
      <c r="CZ512">
        <v>78</v>
      </c>
      <c r="DA512">
        <v>134</v>
      </c>
      <c r="DB512">
        <v>18</v>
      </c>
      <c r="DC512" t="s">
        <v>690</v>
      </c>
      <c r="DD512">
        <v>30000</v>
      </c>
      <c r="DE512">
        <v>0.23080000000000001</v>
      </c>
      <c r="DF512">
        <v>1</v>
      </c>
      <c r="DG512">
        <v>5.5599999999999997E-2</v>
      </c>
      <c r="DH512">
        <v>8500</v>
      </c>
      <c r="DI512">
        <v>8500</v>
      </c>
      <c r="DJ512">
        <v>8500</v>
      </c>
      <c r="DK512">
        <v>1</v>
      </c>
      <c r="DL512">
        <v>0.1114</v>
      </c>
      <c r="DM512">
        <v>76</v>
      </c>
      <c r="DN512">
        <v>8500</v>
      </c>
    </row>
    <row r="513" spans="91:118" x14ac:dyDescent="0.25">
      <c r="CM513" t="s">
        <v>636</v>
      </c>
      <c r="CN513" t="s">
        <v>6</v>
      </c>
      <c r="CO513" t="s">
        <v>35</v>
      </c>
      <c r="CP513">
        <v>46105</v>
      </c>
      <c r="CQ513">
        <v>1</v>
      </c>
      <c r="CR513">
        <v>1</v>
      </c>
      <c r="CT513">
        <v>1</v>
      </c>
      <c r="CV513">
        <v>2.199074074074074E-4</v>
      </c>
      <c r="CW513">
        <v>2.199074074074074E-4</v>
      </c>
      <c r="CX513">
        <v>0.22096064814814814</v>
      </c>
      <c r="CY513">
        <v>0.18281249999999999</v>
      </c>
      <c r="CZ513">
        <v>71</v>
      </c>
      <c r="DA513">
        <v>136</v>
      </c>
      <c r="DB513">
        <v>24</v>
      </c>
      <c r="DC513" t="s">
        <v>811</v>
      </c>
      <c r="DD513">
        <v>42966</v>
      </c>
      <c r="DE513">
        <v>0.33800000000000002</v>
      </c>
      <c r="DF513">
        <v>1</v>
      </c>
      <c r="DG513">
        <v>4.1700000000000001E-2</v>
      </c>
      <c r="DH513">
        <v>600</v>
      </c>
      <c r="DI513">
        <v>600</v>
      </c>
      <c r="DJ513">
        <v>600</v>
      </c>
      <c r="DK513">
        <v>1</v>
      </c>
      <c r="DM513">
        <v>76</v>
      </c>
      <c r="DN513">
        <v>600</v>
      </c>
    </row>
    <row r="514" spans="91:118" x14ac:dyDescent="0.25">
      <c r="CM514" t="s">
        <v>636</v>
      </c>
      <c r="CN514" t="s">
        <v>6</v>
      </c>
      <c r="CO514" t="s">
        <v>97</v>
      </c>
      <c r="CP514">
        <v>46084</v>
      </c>
      <c r="CQ514">
        <v>1</v>
      </c>
      <c r="CR514">
        <v>1</v>
      </c>
      <c r="CT514">
        <v>1</v>
      </c>
      <c r="CV514">
        <v>0</v>
      </c>
      <c r="CW514">
        <v>0</v>
      </c>
      <c r="CX514">
        <v>0.18337962962962964</v>
      </c>
      <c r="CY514">
        <v>0.22968749999999999</v>
      </c>
      <c r="CZ514">
        <v>187</v>
      </c>
      <c r="DA514">
        <v>321</v>
      </c>
      <c r="DB514">
        <v>39</v>
      </c>
      <c r="DC514" t="s">
        <v>711</v>
      </c>
      <c r="DD514">
        <v>15595</v>
      </c>
      <c r="DE514">
        <v>0.20860000000000001</v>
      </c>
      <c r="DF514">
        <v>4</v>
      </c>
      <c r="DG514">
        <v>0.1026</v>
      </c>
      <c r="DH514">
        <v>2125</v>
      </c>
      <c r="DI514">
        <v>531</v>
      </c>
      <c r="DJ514">
        <v>1225</v>
      </c>
      <c r="DK514">
        <v>0.57650000000000001</v>
      </c>
      <c r="DM514">
        <v>76</v>
      </c>
      <c r="DN514">
        <v>408</v>
      </c>
    </row>
    <row r="515" spans="91:118" x14ac:dyDescent="0.25">
      <c r="CM515" t="s">
        <v>636</v>
      </c>
      <c r="CN515" t="s">
        <v>7</v>
      </c>
      <c r="CO515" t="s">
        <v>41</v>
      </c>
      <c r="CP515">
        <v>46085</v>
      </c>
      <c r="CQ515">
        <v>1</v>
      </c>
      <c r="CR515">
        <v>1</v>
      </c>
      <c r="CT515">
        <v>1</v>
      </c>
      <c r="CV515">
        <v>4.1666666666666669E-4</v>
      </c>
      <c r="CW515">
        <v>4.1666666666666669E-4</v>
      </c>
      <c r="CX515">
        <v>0.1867361111111111</v>
      </c>
      <c r="CY515">
        <v>0.1463888888888889</v>
      </c>
      <c r="CZ515">
        <v>63</v>
      </c>
      <c r="DA515">
        <v>150</v>
      </c>
      <c r="DB515">
        <v>38</v>
      </c>
      <c r="DC515" t="s">
        <v>721</v>
      </c>
      <c r="DD515">
        <v>6746</v>
      </c>
      <c r="DE515">
        <v>0.60319999999999996</v>
      </c>
      <c r="DF515">
        <v>1</v>
      </c>
      <c r="DG515">
        <v>2.63E-2</v>
      </c>
      <c r="DH515">
        <v>360</v>
      </c>
      <c r="DI515">
        <v>360</v>
      </c>
      <c r="DM515">
        <v>76</v>
      </c>
    </row>
    <row r="516" spans="91:118" x14ac:dyDescent="0.25">
      <c r="CM516" t="s">
        <v>636</v>
      </c>
      <c r="CN516" t="s">
        <v>7</v>
      </c>
      <c r="CO516" t="s">
        <v>41</v>
      </c>
      <c r="CP516">
        <v>46093</v>
      </c>
      <c r="CQ516">
        <v>1</v>
      </c>
      <c r="CR516">
        <v>1</v>
      </c>
      <c r="CT516">
        <v>1</v>
      </c>
      <c r="CV516">
        <v>2.0833333333333335E-4</v>
      </c>
      <c r="CW516">
        <v>2.0833333333333335E-4</v>
      </c>
      <c r="CX516">
        <v>0.1988425925925926</v>
      </c>
      <c r="CY516">
        <v>0.13947916666666665</v>
      </c>
      <c r="CZ516">
        <v>80</v>
      </c>
      <c r="DA516">
        <v>150</v>
      </c>
      <c r="DB516">
        <v>27</v>
      </c>
      <c r="DC516" t="s">
        <v>777</v>
      </c>
      <c r="DD516">
        <v>6746</v>
      </c>
      <c r="DE516">
        <v>0.33750000000000002</v>
      </c>
      <c r="DF516">
        <v>2</v>
      </c>
      <c r="DG516">
        <v>7.4099999999999999E-2</v>
      </c>
      <c r="DH516">
        <v>1298</v>
      </c>
      <c r="DI516">
        <v>649</v>
      </c>
      <c r="DJ516">
        <v>500</v>
      </c>
      <c r="DK516">
        <v>0.38519999999999999</v>
      </c>
      <c r="DL516">
        <v>0.20830000000000001</v>
      </c>
      <c r="DM516">
        <v>76</v>
      </c>
      <c r="DN516">
        <v>500</v>
      </c>
    </row>
    <row r="517" spans="91:118" x14ac:dyDescent="0.25">
      <c r="CM517" t="s">
        <v>636</v>
      </c>
      <c r="CN517" t="s">
        <v>7</v>
      </c>
      <c r="CO517" t="s">
        <v>41</v>
      </c>
      <c r="CP517">
        <v>46101</v>
      </c>
      <c r="CQ517">
        <v>1</v>
      </c>
      <c r="CR517">
        <v>1</v>
      </c>
      <c r="CT517">
        <v>1</v>
      </c>
      <c r="CV517">
        <v>3.9351851851851852E-4</v>
      </c>
      <c r="CW517">
        <v>3.9351851851851852E-4</v>
      </c>
      <c r="CX517">
        <v>0.1774537037037037</v>
      </c>
      <c r="CY517">
        <v>0.16471064814814815</v>
      </c>
      <c r="CZ517">
        <v>83</v>
      </c>
      <c r="DA517">
        <v>158</v>
      </c>
      <c r="DB517">
        <v>18</v>
      </c>
      <c r="DC517" t="s">
        <v>783</v>
      </c>
      <c r="DD517">
        <v>8580</v>
      </c>
      <c r="DE517">
        <v>0.21690000000000001</v>
      </c>
      <c r="DF517">
        <v>2</v>
      </c>
      <c r="DG517">
        <v>0.1111</v>
      </c>
      <c r="DH517">
        <v>500</v>
      </c>
      <c r="DI517">
        <v>250</v>
      </c>
      <c r="DJ517">
        <v>250</v>
      </c>
      <c r="DK517">
        <v>0.5</v>
      </c>
      <c r="DM517">
        <v>76</v>
      </c>
      <c r="DN517">
        <v>250</v>
      </c>
    </row>
    <row r="518" spans="91:118" x14ac:dyDescent="0.25">
      <c r="CM518" t="s">
        <v>636</v>
      </c>
      <c r="CN518" t="s">
        <v>7</v>
      </c>
      <c r="CO518" t="s">
        <v>495</v>
      </c>
      <c r="CP518">
        <v>46090</v>
      </c>
      <c r="CQ518">
        <v>1</v>
      </c>
      <c r="CR518">
        <v>1</v>
      </c>
      <c r="CT518">
        <v>1</v>
      </c>
      <c r="CV518">
        <v>1.1342592592592593E-3</v>
      </c>
      <c r="CW518">
        <v>1.1342592592592593E-3</v>
      </c>
      <c r="CX518">
        <v>0.19061342592592592</v>
      </c>
      <c r="CY518">
        <v>0.13291666666666666</v>
      </c>
      <c r="CZ518">
        <v>132</v>
      </c>
      <c r="DA518">
        <v>256</v>
      </c>
      <c r="DB518">
        <v>33</v>
      </c>
      <c r="DC518" t="s">
        <v>847</v>
      </c>
      <c r="DD518">
        <v>6761</v>
      </c>
      <c r="DE518">
        <v>0.25</v>
      </c>
      <c r="DF518">
        <v>3</v>
      </c>
      <c r="DG518">
        <v>9.0899999999999995E-2</v>
      </c>
      <c r="DH518">
        <v>1350</v>
      </c>
      <c r="DI518">
        <v>450</v>
      </c>
      <c r="DJ518">
        <v>350</v>
      </c>
      <c r="DK518">
        <v>0.25929999999999997</v>
      </c>
      <c r="DL518">
        <v>1.6400000000000001E-2</v>
      </c>
      <c r="DM518">
        <v>76</v>
      </c>
      <c r="DN518">
        <v>175</v>
      </c>
    </row>
    <row r="519" spans="91:118" x14ac:dyDescent="0.25">
      <c r="CM519" t="s">
        <v>636</v>
      </c>
      <c r="CN519" t="s">
        <v>7</v>
      </c>
      <c r="CO519" t="s">
        <v>495</v>
      </c>
      <c r="CP519">
        <v>46091</v>
      </c>
      <c r="CQ519">
        <v>1</v>
      </c>
      <c r="CR519">
        <v>1</v>
      </c>
      <c r="CS519">
        <v>1</v>
      </c>
      <c r="CV519">
        <v>5.4745370370370373E-3</v>
      </c>
      <c r="CW519">
        <v>5.4745370370370373E-3</v>
      </c>
      <c r="CX519">
        <v>0.24636574074074075</v>
      </c>
      <c r="CY519">
        <v>0.11797453703703703</v>
      </c>
      <c r="CZ519">
        <v>162</v>
      </c>
      <c r="DA519">
        <v>320</v>
      </c>
      <c r="DB519">
        <v>44</v>
      </c>
      <c r="DC519" t="s">
        <v>1046</v>
      </c>
      <c r="DD519">
        <v>7427</v>
      </c>
      <c r="DE519">
        <v>0.27160000000000001</v>
      </c>
      <c r="DF519">
        <v>6</v>
      </c>
      <c r="DG519">
        <v>0.13639999999999999</v>
      </c>
      <c r="DH519">
        <v>1400</v>
      </c>
      <c r="DI519">
        <v>233</v>
      </c>
      <c r="DJ519">
        <v>1000</v>
      </c>
      <c r="DK519">
        <v>0.71430000000000005</v>
      </c>
      <c r="DL519">
        <v>0.23400000000000001</v>
      </c>
      <c r="DM519">
        <v>76</v>
      </c>
      <c r="DN519">
        <v>250</v>
      </c>
    </row>
    <row r="520" spans="91:118" x14ac:dyDescent="0.25">
      <c r="CM520" t="s">
        <v>636</v>
      </c>
      <c r="CN520" t="s">
        <v>7</v>
      </c>
      <c r="CO520" t="s">
        <v>495</v>
      </c>
      <c r="CP520">
        <v>46100</v>
      </c>
      <c r="CQ520">
        <v>1</v>
      </c>
      <c r="CR520">
        <v>1</v>
      </c>
      <c r="CT520">
        <v>1</v>
      </c>
      <c r="CV520">
        <v>2.4537037037037036E-3</v>
      </c>
      <c r="CW520">
        <v>2.4537037037037036E-3</v>
      </c>
      <c r="CX520">
        <v>0.15944444444444444</v>
      </c>
      <c r="CY520">
        <v>0.21682870370370369</v>
      </c>
      <c r="CZ520">
        <v>158</v>
      </c>
      <c r="DA520">
        <v>324</v>
      </c>
      <c r="DB520">
        <v>30</v>
      </c>
      <c r="DC520" t="s">
        <v>781</v>
      </c>
      <c r="DD520">
        <v>7615</v>
      </c>
      <c r="DE520">
        <v>0.18990000000000001</v>
      </c>
      <c r="DF520">
        <v>2</v>
      </c>
      <c r="DG520">
        <v>6.6699999999999995E-2</v>
      </c>
      <c r="DH520">
        <v>450</v>
      </c>
      <c r="DI520">
        <v>225</v>
      </c>
      <c r="DM520">
        <v>76</v>
      </c>
    </row>
    <row r="521" spans="91:118" x14ac:dyDescent="0.25">
      <c r="CM521" t="s">
        <v>636</v>
      </c>
      <c r="CN521" t="s">
        <v>7</v>
      </c>
      <c r="CO521" t="s">
        <v>49</v>
      </c>
      <c r="CP521">
        <v>46108</v>
      </c>
      <c r="CQ521">
        <v>1</v>
      </c>
      <c r="CR521">
        <v>1</v>
      </c>
      <c r="CS521">
        <v>1</v>
      </c>
      <c r="CV521">
        <v>2.5555555555555557E-2</v>
      </c>
      <c r="CW521">
        <v>2.5555555555555557E-2</v>
      </c>
      <c r="CX521">
        <v>0.16252314814814814</v>
      </c>
      <c r="CY521">
        <v>0.15868055555555555</v>
      </c>
      <c r="CZ521">
        <v>51</v>
      </c>
      <c r="DA521">
        <v>92</v>
      </c>
      <c r="DB521">
        <v>10</v>
      </c>
      <c r="DC521">
        <v>2.4</v>
      </c>
      <c r="DD521">
        <v>20329</v>
      </c>
      <c r="DE521">
        <v>0.1961</v>
      </c>
      <c r="DF521">
        <v>3</v>
      </c>
      <c r="DG521">
        <v>0.3</v>
      </c>
      <c r="DH521">
        <v>2300</v>
      </c>
      <c r="DI521">
        <v>767</v>
      </c>
      <c r="DJ521">
        <v>1700</v>
      </c>
      <c r="DK521">
        <v>0.73909999999999998</v>
      </c>
      <c r="DL521">
        <v>0.1381</v>
      </c>
      <c r="DM521">
        <v>76</v>
      </c>
      <c r="DN521">
        <v>850</v>
      </c>
    </row>
    <row r="522" spans="91:118" x14ac:dyDescent="0.25">
      <c r="CM522" t="s">
        <v>636</v>
      </c>
      <c r="CN522" t="s">
        <v>7</v>
      </c>
      <c r="CO522" t="s">
        <v>77</v>
      </c>
      <c r="CP522">
        <v>46091</v>
      </c>
      <c r="CQ522">
        <v>1</v>
      </c>
      <c r="CR522">
        <v>1</v>
      </c>
      <c r="CS522">
        <v>1</v>
      </c>
      <c r="CV522">
        <v>1.7627314814814814E-2</v>
      </c>
      <c r="CW522">
        <v>1.7627314814814814E-2</v>
      </c>
      <c r="CX522">
        <v>0.19712962962962963</v>
      </c>
      <c r="CY522">
        <v>0.1501736111111111</v>
      </c>
      <c r="CZ522">
        <v>124</v>
      </c>
      <c r="DA522">
        <v>304</v>
      </c>
      <c r="DB522">
        <v>42</v>
      </c>
      <c r="DC522" t="s">
        <v>1010</v>
      </c>
      <c r="DD522">
        <v>23947</v>
      </c>
      <c r="DE522">
        <v>0.3387</v>
      </c>
      <c r="DF522">
        <v>1</v>
      </c>
      <c r="DG522">
        <v>2.3800000000000002E-2</v>
      </c>
      <c r="DH522">
        <v>5954</v>
      </c>
      <c r="DI522">
        <v>5954</v>
      </c>
      <c r="DJ522">
        <v>5954</v>
      </c>
      <c r="DK522">
        <v>1</v>
      </c>
      <c r="DL522">
        <v>0.1179</v>
      </c>
      <c r="DM522">
        <v>76</v>
      </c>
      <c r="DN522">
        <v>5954</v>
      </c>
    </row>
    <row r="523" spans="91:118" x14ac:dyDescent="0.25">
      <c r="CM523" t="s">
        <v>636</v>
      </c>
      <c r="CN523" t="s">
        <v>7</v>
      </c>
      <c r="CO523" t="s">
        <v>557</v>
      </c>
      <c r="CP523">
        <v>46084</v>
      </c>
      <c r="CQ523">
        <v>1</v>
      </c>
      <c r="CR523">
        <v>1</v>
      </c>
      <c r="CV523">
        <v>3.6226851851851854E-3</v>
      </c>
      <c r="CW523">
        <v>3.6226851851851854E-3</v>
      </c>
      <c r="CX523">
        <v>0.36348379629629629</v>
      </c>
      <c r="CY523">
        <v>8.5833333333333331E-2</v>
      </c>
      <c r="CZ523">
        <v>118</v>
      </c>
      <c r="DA523">
        <v>189</v>
      </c>
      <c r="DB523">
        <v>46</v>
      </c>
      <c r="DC523" t="s">
        <v>849</v>
      </c>
      <c r="DD523">
        <v>5025</v>
      </c>
      <c r="DE523">
        <v>0.38979999999999998</v>
      </c>
      <c r="DF523">
        <v>3</v>
      </c>
      <c r="DG523">
        <v>6.5199999999999994E-2</v>
      </c>
      <c r="DH523">
        <v>790</v>
      </c>
      <c r="DI523">
        <v>263</v>
      </c>
      <c r="DM523">
        <v>76</v>
      </c>
    </row>
    <row r="524" spans="91:118" x14ac:dyDescent="0.25">
      <c r="CM524" t="s">
        <v>636</v>
      </c>
      <c r="CN524" t="s">
        <v>7</v>
      </c>
      <c r="CO524" t="s">
        <v>557</v>
      </c>
      <c r="CP524">
        <v>46105</v>
      </c>
      <c r="CQ524">
        <v>1</v>
      </c>
      <c r="CR524">
        <v>1</v>
      </c>
      <c r="CT524">
        <v>1</v>
      </c>
      <c r="CV524">
        <v>0</v>
      </c>
      <c r="CW524">
        <v>0</v>
      </c>
      <c r="CX524">
        <v>0.24060185185185184</v>
      </c>
      <c r="CY524">
        <v>0.15684027777777779</v>
      </c>
      <c r="CZ524">
        <v>158</v>
      </c>
      <c r="DA524">
        <v>321</v>
      </c>
      <c r="DB524">
        <v>44</v>
      </c>
      <c r="DC524" t="s">
        <v>740</v>
      </c>
      <c r="DD524">
        <v>9609</v>
      </c>
      <c r="DE524">
        <v>0.27850000000000003</v>
      </c>
      <c r="DF524">
        <v>1</v>
      </c>
      <c r="DG524">
        <v>2.2700000000000001E-2</v>
      </c>
      <c r="DH524">
        <v>385</v>
      </c>
      <c r="DI524">
        <v>385</v>
      </c>
      <c r="DM524">
        <v>76</v>
      </c>
    </row>
    <row r="525" spans="91:118" x14ac:dyDescent="0.25">
      <c r="CM525" t="s">
        <v>636</v>
      </c>
      <c r="CN525" t="s">
        <v>7</v>
      </c>
      <c r="CO525" t="s">
        <v>557</v>
      </c>
      <c r="CP525">
        <v>46111</v>
      </c>
      <c r="CQ525">
        <v>1</v>
      </c>
      <c r="CR525">
        <v>1</v>
      </c>
      <c r="CT525">
        <v>1</v>
      </c>
      <c r="CV525">
        <v>7.8703703703703705E-4</v>
      </c>
      <c r="CW525">
        <v>7.8703703703703705E-4</v>
      </c>
      <c r="CX525">
        <v>0.18381944444444445</v>
      </c>
      <c r="CY525">
        <v>0.1854513888888889</v>
      </c>
      <c r="CZ525">
        <v>139</v>
      </c>
      <c r="DA525">
        <v>274</v>
      </c>
      <c r="DB525">
        <v>40</v>
      </c>
      <c r="DC525">
        <v>1.55</v>
      </c>
      <c r="DD525">
        <v>15666</v>
      </c>
      <c r="DE525">
        <v>0.2878</v>
      </c>
      <c r="DF525">
        <v>2</v>
      </c>
      <c r="DG525">
        <v>0.05</v>
      </c>
      <c r="DH525">
        <v>995</v>
      </c>
      <c r="DI525">
        <v>498</v>
      </c>
      <c r="DM525">
        <v>76</v>
      </c>
    </row>
    <row r="526" spans="91:118" x14ac:dyDescent="0.25">
      <c r="CM526" t="s">
        <v>636</v>
      </c>
      <c r="CN526" t="s">
        <v>3</v>
      </c>
      <c r="CO526" t="s">
        <v>174</v>
      </c>
      <c r="CP526">
        <v>46100</v>
      </c>
      <c r="CQ526">
        <v>1</v>
      </c>
      <c r="CR526">
        <v>1</v>
      </c>
      <c r="CT526">
        <v>1</v>
      </c>
      <c r="CV526">
        <v>1.1574074074074073E-5</v>
      </c>
      <c r="CW526">
        <v>1.1574074074074073E-5</v>
      </c>
      <c r="CX526">
        <v>0.16377314814814814</v>
      </c>
      <c r="CY526">
        <v>0.13760416666666667</v>
      </c>
      <c r="CZ526">
        <v>240</v>
      </c>
      <c r="DA526">
        <v>287</v>
      </c>
      <c r="DB526">
        <v>19</v>
      </c>
      <c r="DC526" t="s">
        <v>791</v>
      </c>
      <c r="DD526">
        <v>22309</v>
      </c>
      <c r="DE526">
        <v>7.9200000000000007E-2</v>
      </c>
      <c r="DF526">
        <v>1</v>
      </c>
      <c r="DG526">
        <v>5.2600000000000001E-2</v>
      </c>
      <c r="DH526">
        <v>250</v>
      </c>
      <c r="DI526">
        <v>250</v>
      </c>
      <c r="DJ526">
        <v>250</v>
      </c>
      <c r="DK526">
        <v>1</v>
      </c>
      <c r="DL526">
        <v>0.51</v>
      </c>
      <c r="DM526">
        <v>76</v>
      </c>
      <c r="DN526">
        <v>250</v>
      </c>
    </row>
    <row r="527" spans="91:118" x14ac:dyDescent="0.25">
      <c r="CM527" t="s">
        <v>636</v>
      </c>
      <c r="CN527" t="s">
        <v>3</v>
      </c>
      <c r="CO527" t="s">
        <v>96</v>
      </c>
      <c r="CP527">
        <v>46083</v>
      </c>
      <c r="CQ527">
        <v>1</v>
      </c>
      <c r="CR527">
        <v>1</v>
      </c>
      <c r="CT527">
        <v>1</v>
      </c>
      <c r="CV527">
        <v>0</v>
      </c>
      <c r="CW527">
        <v>0</v>
      </c>
      <c r="CX527">
        <v>4.8379629629629627E-2</v>
      </c>
      <c r="CY527">
        <v>3.6689814814814814E-3</v>
      </c>
      <c r="CZ527">
        <v>75</v>
      </c>
      <c r="DA527">
        <v>125</v>
      </c>
      <c r="DB527">
        <v>25</v>
      </c>
      <c r="DC527">
        <v>1.84</v>
      </c>
      <c r="DD527">
        <v>28416</v>
      </c>
      <c r="DE527">
        <v>0.33329999999999999</v>
      </c>
      <c r="DF527">
        <v>4</v>
      </c>
      <c r="DG527">
        <v>0.16</v>
      </c>
      <c r="DH527">
        <v>6350</v>
      </c>
      <c r="DI527">
        <v>1588</v>
      </c>
      <c r="DJ527">
        <v>1400</v>
      </c>
      <c r="DK527">
        <v>0.2205</v>
      </c>
      <c r="DL527">
        <v>0.39479999999999998</v>
      </c>
      <c r="DM527">
        <v>76</v>
      </c>
      <c r="DN527">
        <v>700</v>
      </c>
    </row>
    <row r="528" spans="91:118" x14ac:dyDescent="0.25">
      <c r="CM528" t="s">
        <v>636</v>
      </c>
      <c r="CN528" t="s">
        <v>3</v>
      </c>
      <c r="CO528" t="s">
        <v>29</v>
      </c>
      <c r="CP528">
        <v>46106</v>
      </c>
      <c r="CQ528">
        <v>1</v>
      </c>
      <c r="CR528">
        <v>1</v>
      </c>
      <c r="CT528">
        <v>1</v>
      </c>
      <c r="CV528">
        <v>5.0925925925925921E-4</v>
      </c>
      <c r="CW528">
        <v>5.0925925925925921E-4</v>
      </c>
      <c r="CX528">
        <v>0.14440972222222223</v>
      </c>
      <c r="CY528">
        <v>0.1781712962962963</v>
      </c>
      <c r="CZ528">
        <v>75</v>
      </c>
      <c r="DA528">
        <v>136</v>
      </c>
      <c r="DB528">
        <v>16</v>
      </c>
      <c r="DC528">
        <v>2.1875</v>
      </c>
      <c r="DD528">
        <v>12858</v>
      </c>
      <c r="DE528">
        <v>0.21329999999999999</v>
      </c>
      <c r="DF528">
        <v>5</v>
      </c>
      <c r="DG528">
        <v>0.3125</v>
      </c>
      <c r="DH528">
        <v>1742</v>
      </c>
      <c r="DI528">
        <v>348</v>
      </c>
      <c r="DJ528">
        <v>1185</v>
      </c>
      <c r="DK528">
        <v>0.68030000000000002</v>
      </c>
      <c r="DL528">
        <v>0.2485</v>
      </c>
      <c r="DM528">
        <v>76</v>
      </c>
      <c r="DN528">
        <v>395</v>
      </c>
    </row>
    <row r="529" spans="91:118" x14ac:dyDescent="0.25">
      <c r="CM529" t="s">
        <v>636</v>
      </c>
      <c r="CN529" t="s">
        <v>3</v>
      </c>
      <c r="CO529" t="s">
        <v>38</v>
      </c>
      <c r="CP529">
        <v>46112</v>
      </c>
      <c r="CQ529">
        <v>1</v>
      </c>
      <c r="CR529">
        <v>1</v>
      </c>
      <c r="CS529">
        <v>1</v>
      </c>
      <c r="CV529">
        <v>1.0613425925925925E-2</v>
      </c>
      <c r="CW529">
        <v>1.0613425925925925E-2</v>
      </c>
      <c r="CX529">
        <v>0.21065972222222223</v>
      </c>
      <c r="CY529">
        <v>0.15349537037037037</v>
      </c>
      <c r="CZ529">
        <v>78</v>
      </c>
      <c r="DA529">
        <v>96</v>
      </c>
      <c r="DB529">
        <v>31</v>
      </c>
      <c r="DC529" t="s">
        <v>970</v>
      </c>
      <c r="DD529">
        <v>16357</v>
      </c>
      <c r="DE529">
        <v>0.39739999999999998</v>
      </c>
      <c r="DF529">
        <v>1</v>
      </c>
      <c r="DG529">
        <v>3.2300000000000002E-2</v>
      </c>
      <c r="DH529">
        <v>10000</v>
      </c>
      <c r="DI529">
        <v>10000</v>
      </c>
      <c r="DJ529">
        <v>10000</v>
      </c>
      <c r="DK529">
        <v>1</v>
      </c>
      <c r="DL529">
        <v>0.3896</v>
      </c>
      <c r="DM529">
        <v>76</v>
      </c>
      <c r="DN529">
        <v>10000</v>
      </c>
    </row>
    <row r="530" spans="91:118" x14ac:dyDescent="0.25">
      <c r="CM530" t="s">
        <v>636</v>
      </c>
      <c r="CN530" t="s">
        <v>3</v>
      </c>
      <c r="CO530" t="s">
        <v>78</v>
      </c>
      <c r="CP530">
        <v>46093</v>
      </c>
      <c r="CQ530">
        <v>1</v>
      </c>
      <c r="CR530">
        <v>1</v>
      </c>
      <c r="CT530">
        <v>1</v>
      </c>
      <c r="CV530">
        <v>1.9675925925925926E-4</v>
      </c>
      <c r="CW530">
        <v>1.9675925925925926E-4</v>
      </c>
      <c r="CX530">
        <v>0.21033564814814815</v>
      </c>
      <c r="CY530">
        <v>0.13321759259259258</v>
      </c>
      <c r="CZ530">
        <v>55</v>
      </c>
      <c r="DA530">
        <v>132</v>
      </c>
      <c r="DB530">
        <v>29</v>
      </c>
      <c r="DC530" t="s">
        <v>981</v>
      </c>
      <c r="DD530">
        <v>16467</v>
      </c>
      <c r="DE530">
        <v>0.52729999999999999</v>
      </c>
      <c r="DF530">
        <v>4</v>
      </c>
      <c r="DG530">
        <v>0.13789999999999999</v>
      </c>
      <c r="DH530">
        <v>5550</v>
      </c>
      <c r="DI530">
        <v>1388</v>
      </c>
      <c r="DJ530">
        <v>2150</v>
      </c>
      <c r="DK530">
        <v>0.38740000000000002</v>
      </c>
      <c r="DL530">
        <v>7.2300000000000003E-2</v>
      </c>
      <c r="DM530">
        <v>76</v>
      </c>
      <c r="DN530">
        <v>1075</v>
      </c>
    </row>
    <row r="531" spans="91:118" x14ac:dyDescent="0.25">
      <c r="CM531" t="s">
        <v>636</v>
      </c>
      <c r="CN531" t="s">
        <v>3</v>
      </c>
      <c r="CO531" t="s">
        <v>78</v>
      </c>
      <c r="CP531">
        <v>46094</v>
      </c>
      <c r="CQ531">
        <v>1</v>
      </c>
      <c r="CR531">
        <v>1</v>
      </c>
      <c r="CV531">
        <v>2.6620370370370372E-4</v>
      </c>
      <c r="CW531">
        <v>2.6620370370370372E-4</v>
      </c>
      <c r="CX531">
        <v>0.10986111111111112</v>
      </c>
      <c r="CY531">
        <v>0.27807870370370369</v>
      </c>
      <c r="CZ531">
        <v>47</v>
      </c>
      <c r="DA531">
        <v>115</v>
      </c>
      <c r="DB531">
        <v>16</v>
      </c>
      <c r="DC531">
        <v>1.6875</v>
      </c>
      <c r="DD531">
        <v>24003</v>
      </c>
      <c r="DE531">
        <v>0.34039999999999998</v>
      </c>
      <c r="DF531">
        <v>2</v>
      </c>
      <c r="DG531">
        <v>0.125</v>
      </c>
      <c r="DH531">
        <v>1500</v>
      </c>
      <c r="DI531">
        <v>750</v>
      </c>
      <c r="DJ531">
        <v>1000</v>
      </c>
      <c r="DK531">
        <v>0.66669999999999996</v>
      </c>
      <c r="DL531">
        <v>0.79569999999999996</v>
      </c>
      <c r="DM531">
        <v>76</v>
      </c>
      <c r="DN531">
        <v>1000</v>
      </c>
    </row>
    <row r="532" spans="91:118" x14ac:dyDescent="0.25">
      <c r="CM532" t="s">
        <v>636</v>
      </c>
      <c r="CN532" t="s">
        <v>3</v>
      </c>
      <c r="CO532" t="s">
        <v>78</v>
      </c>
      <c r="CP532">
        <v>46106</v>
      </c>
      <c r="CQ532">
        <v>1</v>
      </c>
      <c r="CR532">
        <v>1</v>
      </c>
      <c r="CT532">
        <v>1</v>
      </c>
      <c r="CV532">
        <v>4.7453703703703704E-4</v>
      </c>
      <c r="CW532">
        <v>4.7453703703703704E-4</v>
      </c>
      <c r="CX532">
        <v>0.21265046296296297</v>
      </c>
      <c r="CY532">
        <v>0.11108796296296296</v>
      </c>
      <c r="CZ532">
        <v>68</v>
      </c>
      <c r="DA532">
        <v>122</v>
      </c>
      <c r="DB532">
        <v>25</v>
      </c>
      <c r="DC532">
        <v>1.88</v>
      </c>
      <c r="DD532">
        <v>17224</v>
      </c>
      <c r="DE532">
        <v>0.36759999999999998</v>
      </c>
      <c r="DF532">
        <v>3</v>
      </c>
      <c r="DG532">
        <v>0.12</v>
      </c>
      <c r="DH532">
        <v>5550</v>
      </c>
      <c r="DI532">
        <v>1850</v>
      </c>
      <c r="DJ532">
        <v>4000</v>
      </c>
      <c r="DK532">
        <v>0.72070000000000001</v>
      </c>
      <c r="DL532">
        <v>0.20430000000000001</v>
      </c>
      <c r="DM532">
        <v>76</v>
      </c>
      <c r="DN532">
        <v>4000</v>
      </c>
    </row>
    <row r="533" spans="91:118" x14ac:dyDescent="0.25">
      <c r="CM533" t="s">
        <v>636</v>
      </c>
      <c r="CN533" t="s">
        <v>3</v>
      </c>
      <c r="CO533" t="s">
        <v>76</v>
      </c>
      <c r="CP533">
        <v>46085</v>
      </c>
      <c r="CQ533">
        <v>1</v>
      </c>
      <c r="CR533">
        <v>1</v>
      </c>
      <c r="CT533">
        <v>1</v>
      </c>
      <c r="CV533">
        <v>0</v>
      </c>
      <c r="CW533">
        <v>0</v>
      </c>
      <c r="CX533">
        <v>0.20722222222222222</v>
      </c>
      <c r="CY533">
        <v>0.16527777777777777</v>
      </c>
      <c r="CZ533">
        <v>45</v>
      </c>
      <c r="DA533">
        <v>81</v>
      </c>
      <c r="DB533">
        <v>25</v>
      </c>
      <c r="DC533">
        <v>1.76</v>
      </c>
      <c r="DD533">
        <v>20334</v>
      </c>
      <c r="DE533">
        <v>0.55559999999999998</v>
      </c>
      <c r="DF533">
        <v>3</v>
      </c>
      <c r="DG533">
        <v>0.12</v>
      </c>
      <c r="DH533">
        <v>11110</v>
      </c>
      <c r="DI533">
        <v>3703</v>
      </c>
      <c r="DJ533">
        <v>8110</v>
      </c>
      <c r="DK533">
        <v>0.73</v>
      </c>
      <c r="DL533">
        <v>0.2676</v>
      </c>
      <c r="DM533">
        <v>76</v>
      </c>
      <c r="DN533">
        <v>4055</v>
      </c>
    </row>
    <row r="534" spans="91:118" x14ac:dyDescent="0.25">
      <c r="CM534" t="s">
        <v>636</v>
      </c>
      <c r="CN534" t="s">
        <v>125</v>
      </c>
      <c r="CO534" t="s">
        <v>18</v>
      </c>
      <c r="CP534">
        <v>46092</v>
      </c>
      <c r="CQ534">
        <v>1</v>
      </c>
      <c r="CR534">
        <v>1</v>
      </c>
      <c r="CT534">
        <v>1</v>
      </c>
      <c r="CV534">
        <v>2.0833333333333335E-4</v>
      </c>
      <c r="CW534">
        <v>2.0833333333333335E-4</v>
      </c>
      <c r="CX534">
        <v>0.24765046296296298</v>
      </c>
      <c r="CY534">
        <v>8.9305555555555555E-2</v>
      </c>
      <c r="CZ534">
        <v>130</v>
      </c>
      <c r="DA534">
        <v>267</v>
      </c>
      <c r="DB534">
        <v>14</v>
      </c>
      <c r="DC534">
        <v>1.5</v>
      </c>
      <c r="DD534">
        <v>38638</v>
      </c>
      <c r="DE534">
        <v>0.1077</v>
      </c>
      <c r="DM534">
        <v>74</v>
      </c>
    </row>
    <row r="535" spans="91:118" x14ac:dyDescent="0.25">
      <c r="CM535" t="s">
        <v>636</v>
      </c>
      <c r="CN535" t="s">
        <v>125</v>
      </c>
      <c r="CO535" t="s">
        <v>18</v>
      </c>
      <c r="CP535">
        <v>46106</v>
      </c>
      <c r="CQ535">
        <v>1</v>
      </c>
      <c r="CR535">
        <v>1</v>
      </c>
      <c r="CT535">
        <v>1</v>
      </c>
      <c r="CV535">
        <v>9.2592592592592588E-5</v>
      </c>
      <c r="CW535">
        <v>9.2592592592592588E-5</v>
      </c>
      <c r="CX535">
        <v>0.15659722222222222</v>
      </c>
      <c r="CY535">
        <v>0.17292824074074073</v>
      </c>
      <c r="CZ535">
        <v>106</v>
      </c>
      <c r="DA535">
        <v>224</v>
      </c>
      <c r="DB535">
        <v>10</v>
      </c>
      <c r="DC535">
        <v>1.2</v>
      </c>
      <c r="DD535">
        <v>24964</v>
      </c>
      <c r="DE535">
        <v>9.4299999999999995E-2</v>
      </c>
      <c r="DM535">
        <v>74</v>
      </c>
    </row>
    <row r="536" spans="91:118" x14ac:dyDescent="0.25">
      <c r="CM536" t="s">
        <v>636</v>
      </c>
      <c r="CN536" t="s">
        <v>125</v>
      </c>
      <c r="CO536" t="s">
        <v>18</v>
      </c>
      <c r="CP536">
        <v>46107</v>
      </c>
      <c r="CQ536">
        <v>1</v>
      </c>
      <c r="CR536">
        <v>1</v>
      </c>
      <c r="CT536">
        <v>1</v>
      </c>
      <c r="CV536">
        <v>1.0416666666666667E-4</v>
      </c>
      <c r="CW536">
        <v>1.0416666666666667E-4</v>
      </c>
      <c r="CX536">
        <v>0.19021990740740741</v>
      </c>
      <c r="CY536">
        <v>0.14902777777777779</v>
      </c>
      <c r="CZ536">
        <v>136</v>
      </c>
      <c r="DA536">
        <v>275</v>
      </c>
      <c r="DB536">
        <v>12</v>
      </c>
      <c r="DC536">
        <v>1.25</v>
      </c>
      <c r="DD536">
        <v>32563</v>
      </c>
      <c r="DE536">
        <v>8.8200000000000001E-2</v>
      </c>
      <c r="DM536">
        <v>74</v>
      </c>
    </row>
    <row r="537" spans="91:118" x14ac:dyDescent="0.25">
      <c r="CM537" t="s">
        <v>636</v>
      </c>
      <c r="CN537" t="s">
        <v>125</v>
      </c>
      <c r="CO537" t="s">
        <v>18</v>
      </c>
      <c r="CP537">
        <v>46111</v>
      </c>
      <c r="CQ537">
        <v>1</v>
      </c>
      <c r="CR537">
        <v>1</v>
      </c>
      <c r="CT537">
        <v>1</v>
      </c>
      <c r="CV537">
        <v>0</v>
      </c>
      <c r="CW537">
        <v>0</v>
      </c>
      <c r="CX537">
        <v>0.20731481481481481</v>
      </c>
      <c r="CY537">
        <v>0.16715277777777779</v>
      </c>
      <c r="CZ537">
        <v>149</v>
      </c>
      <c r="DA537">
        <v>278</v>
      </c>
      <c r="DB537">
        <v>13</v>
      </c>
      <c r="DC537" t="s">
        <v>734</v>
      </c>
      <c r="DD537">
        <v>32820</v>
      </c>
      <c r="DE537">
        <v>8.72E-2</v>
      </c>
      <c r="DM537">
        <v>74</v>
      </c>
    </row>
    <row r="538" spans="91:118" x14ac:dyDescent="0.25">
      <c r="CM538" t="s">
        <v>636</v>
      </c>
      <c r="CN538" t="s">
        <v>125</v>
      </c>
      <c r="CO538" t="s">
        <v>18</v>
      </c>
      <c r="CP538">
        <v>46112</v>
      </c>
      <c r="CQ538">
        <v>1</v>
      </c>
      <c r="CR538">
        <v>1</v>
      </c>
      <c r="CS538">
        <v>1</v>
      </c>
      <c r="CV538">
        <v>5.8333333333333336E-3</v>
      </c>
      <c r="CW538">
        <v>5.8333333333333336E-3</v>
      </c>
      <c r="CX538">
        <v>0.21568287037037037</v>
      </c>
      <c r="CY538">
        <v>0.1569675925925926</v>
      </c>
      <c r="CZ538">
        <v>117</v>
      </c>
      <c r="DA538">
        <v>233</v>
      </c>
      <c r="DB538">
        <v>16</v>
      </c>
      <c r="DC538">
        <v>1.3125</v>
      </c>
      <c r="DD538">
        <v>31579</v>
      </c>
      <c r="DE538">
        <v>0.1368</v>
      </c>
      <c r="DF538">
        <v>1</v>
      </c>
      <c r="DG538">
        <v>6.25E-2</v>
      </c>
      <c r="DH538">
        <v>4000</v>
      </c>
      <c r="DI538">
        <v>4000</v>
      </c>
      <c r="DJ538">
        <v>4000</v>
      </c>
      <c r="DK538">
        <v>1</v>
      </c>
      <c r="DL538">
        <v>0.15509999999999999</v>
      </c>
      <c r="DM538">
        <v>74</v>
      </c>
      <c r="DN538">
        <v>4000</v>
      </c>
    </row>
    <row r="539" spans="91:118" x14ac:dyDescent="0.25">
      <c r="CM539" t="s">
        <v>636</v>
      </c>
      <c r="CN539" t="s">
        <v>125</v>
      </c>
      <c r="CO539" t="s">
        <v>109</v>
      </c>
      <c r="CP539">
        <v>46083</v>
      </c>
      <c r="CQ539">
        <v>1</v>
      </c>
      <c r="CR539">
        <v>1</v>
      </c>
      <c r="CT539">
        <v>1</v>
      </c>
      <c r="CV539">
        <v>6.134259259259259E-4</v>
      </c>
      <c r="CW539">
        <v>6.134259259259259E-4</v>
      </c>
      <c r="CX539">
        <v>0.23053240740740741</v>
      </c>
      <c r="CY539">
        <v>5.6631944444444443E-2</v>
      </c>
      <c r="CZ539">
        <v>110</v>
      </c>
      <c r="DA539">
        <v>196</v>
      </c>
      <c r="DB539">
        <v>12</v>
      </c>
      <c r="DC539" t="s">
        <v>811</v>
      </c>
      <c r="DD539">
        <v>38941</v>
      </c>
      <c r="DE539">
        <v>0.1091</v>
      </c>
      <c r="DF539">
        <v>2</v>
      </c>
      <c r="DG539">
        <v>0.16669999999999999</v>
      </c>
      <c r="DH539">
        <v>4350</v>
      </c>
      <c r="DI539">
        <v>2175</v>
      </c>
      <c r="DJ539">
        <v>4350</v>
      </c>
      <c r="DK539">
        <v>1</v>
      </c>
      <c r="DM539">
        <v>74</v>
      </c>
      <c r="DN539">
        <v>2175</v>
      </c>
    </row>
    <row r="540" spans="91:118" x14ac:dyDescent="0.25">
      <c r="CM540" t="s">
        <v>636</v>
      </c>
      <c r="CN540" t="s">
        <v>125</v>
      </c>
      <c r="CO540" t="s">
        <v>109</v>
      </c>
      <c r="CP540">
        <v>46107</v>
      </c>
      <c r="CQ540">
        <v>1</v>
      </c>
      <c r="CR540">
        <v>1</v>
      </c>
      <c r="CT540">
        <v>1</v>
      </c>
      <c r="CV540">
        <v>2.199074074074074E-4</v>
      </c>
      <c r="CW540">
        <v>2.199074074074074E-4</v>
      </c>
      <c r="CX540">
        <v>0.20563657407407407</v>
      </c>
      <c r="CY540">
        <v>0.14399305555555555</v>
      </c>
      <c r="CZ540">
        <v>135</v>
      </c>
      <c r="DA540">
        <v>210</v>
      </c>
      <c r="DB540">
        <v>10</v>
      </c>
      <c r="DC540">
        <v>2.2000000000000002</v>
      </c>
      <c r="DD540">
        <v>26468</v>
      </c>
      <c r="DE540">
        <v>7.4099999999999999E-2</v>
      </c>
      <c r="DM540">
        <v>74</v>
      </c>
    </row>
    <row r="541" spans="91:118" x14ac:dyDescent="0.25">
      <c r="CM541" t="s">
        <v>636</v>
      </c>
      <c r="CN541" t="s">
        <v>125</v>
      </c>
      <c r="CO541" t="s">
        <v>109</v>
      </c>
      <c r="CP541">
        <v>46111</v>
      </c>
      <c r="CQ541">
        <v>1</v>
      </c>
      <c r="CR541">
        <v>1</v>
      </c>
      <c r="CT541">
        <v>1</v>
      </c>
      <c r="CV541">
        <v>3.0092592592592593E-3</v>
      </c>
      <c r="CW541">
        <v>3.0092592592592593E-3</v>
      </c>
      <c r="CX541">
        <v>0.23056712962962964</v>
      </c>
      <c r="CY541">
        <v>0.15346064814814814</v>
      </c>
      <c r="CZ541">
        <v>107</v>
      </c>
      <c r="DA541">
        <v>201</v>
      </c>
      <c r="DB541">
        <v>17</v>
      </c>
      <c r="DC541" t="s">
        <v>728</v>
      </c>
      <c r="DD541">
        <v>20771</v>
      </c>
      <c r="DE541">
        <v>0.15890000000000001</v>
      </c>
      <c r="DM541">
        <v>74</v>
      </c>
    </row>
    <row r="542" spans="91:118" x14ac:dyDescent="0.25">
      <c r="CM542" t="s">
        <v>636</v>
      </c>
      <c r="CN542" t="s">
        <v>125</v>
      </c>
      <c r="CO542" t="s">
        <v>60</v>
      </c>
      <c r="CP542">
        <v>46106</v>
      </c>
      <c r="CQ542">
        <v>1</v>
      </c>
      <c r="CR542">
        <v>1</v>
      </c>
      <c r="CT542">
        <v>1</v>
      </c>
      <c r="CV542">
        <v>1.1574074074074073E-5</v>
      </c>
      <c r="CW542">
        <v>1.1574074074074073E-5</v>
      </c>
      <c r="CX542">
        <v>0.16013888888888889</v>
      </c>
      <c r="CY542">
        <v>0.17164351851851853</v>
      </c>
      <c r="CZ542">
        <v>88</v>
      </c>
      <c r="DA542">
        <v>117</v>
      </c>
      <c r="DB542">
        <v>6</v>
      </c>
      <c r="DC542" t="s">
        <v>703</v>
      </c>
      <c r="DD542">
        <v>53847</v>
      </c>
      <c r="DE542">
        <v>6.8199999999999997E-2</v>
      </c>
      <c r="DM542">
        <v>74</v>
      </c>
    </row>
    <row r="543" spans="91:118" x14ac:dyDescent="0.25">
      <c r="CM543" t="s">
        <v>636</v>
      </c>
      <c r="CN543" t="s">
        <v>125</v>
      </c>
      <c r="CO543" t="s">
        <v>85</v>
      </c>
      <c r="CP543">
        <v>46087</v>
      </c>
      <c r="CQ543">
        <v>1</v>
      </c>
      <c r="CR543">
        <v>1</v>
      </c>
      <c r="CS543">
        <v>1</v>
      </c>
      <c r="CV543">
        <v>4.4444444444444444E-3</v>
      </c>
      <c r="CW543">
        <v>4.4444444444444444E-3</v>
      </c>
      <c r="CX543">
        <v>0.27789351851851851</v>
      </c>
      <c r="CY543">
        <v>6.4722222222222223E-2</v>
      </c>
      <c r="CZ543">
        <v>70</v>
      </c>
      <c r="DA543">
        <v>144</v>
      </c>
      <c r="DB543">
        <v>18</v>
      </c>
      <c r="DC543" t="s">
        <v>749</v>
      </c>
      <c r="DD543">
        <v>23781</v>
      </c>
      <c r="DE543">
        <v>0.2571</v>
      </c>
      <c r="DF543">
        <v>1</v>
      </c>
      <c r="DG543">
        <v>5.5599999999999997E-2</v>
      </c>
      <c r="DH543">
        <v>1000</v>
      </c>
      <c r="DI543">
        <v>1000</v>
      </c>
      <c r="DJ543">
        <v>1000</v>
      </c>
      <c r="DK543">
        <v>1</v>
      </c>
      <c r="DL543">
        <v>0.33810000000000001</v>
      </c>
      <c r="DM543">
        <v>74</v>
      </c>
      <c r="DN543">
        <v>1000</v>
      </c>
    </row>
    <row r="544" spans="91:118" x14ac:dyDescent="0.25">
      <c r="CM544" t="s">
        <v>636</v>
      </c>
      <c r="CN544" t="s">
        <v>125</v>
      </c>
      <c r="CO544" t="s">
        <v>85</v>
      </c>
      <c r="CP544">
        <v>46090</v>
      </c>
      <c r="CQ544">
        <v>1</v>
      </c>
      <c r="CR544">
        <v>1</v>
      </c>
      <c r="CS544">
        <v>1</v>
      </c>
      <c r="CV544">
        <v>1.2048611111111111E-2</v>
      </c>
      <c r="CW544">
        <v>1.2048611111111111E-2</v>
      </c>
      <c r="CX544">
        <v>0.2479513888888889</v>
      </c>
      <c r="CY544">
        <v>6.1446759259259257E-2</v>
      </c>
      <c r="CZ544">
        <v>96</v>
      </c>
      <c r="DA544">
        <v>168</v>
      </c>
      <c r="DB544">
        <v>14</v>
      </c>
      <c r="DC544" t="s">
        <v>730</v>
      </c>
      <c r="DD544">
        <v>37995</v>
      </c>
      <c r="DE544">
        <v>0.14580000000000001</v>
      </c>
      <c r="DF544">
        <v>1</v>
      </c>
      <c r="DG544">
        <v>7.1400000000000005E-2</v>
      </c>
      <c r="DH544">
        <v>1150</v>
      </c>
      <c r="DI544">
        <v>1150</v>
      </c>
      <c r="DJ544">
        <v>1150</v>
      </c>
      <c r="DK544">
        <v>1</v>
      </c>
      <c r="DL544">
        <v>0.1951</v>
      </c>
      <c r="DM544">
        <v>74</v>
      </c>
      <c r="DN544">
        <v>1150</v>
      </c>
    </row>
    <row r="545" spans="91:118" x14ac:dyDescent="0.25">
      <c r="CM545" t="s">
        <v>636</v>
      </c>
      <c r="CN545" t="s">
        <v>125</v>
      </c>
      <c r="CO545" t="s">
        <v>85</v>
      </c>
      <c r="CP545">
        <v>46107</v>
      </c>
      <c r="CQ545">
        <v>1</v>
      </c>
      <c r="CR545">
        <v>1</v>
      </c>
      <c r="CT545">
        <v>1</v>
      </c>
      <c r="CV545">
        <v>0</v>
      </c>
      <c r="CW545">
        <v>0</v>
      </c>
      <c r="CX545">
        <v>0.20748842592592592</v>
      </c>
      <c r="CY545">
        <v>0.14523148148148149</v>
      </c>
      <c r="CZ545">
        <v>72</v>
      </c>
      <c r="DA545">
        <v>182</v>
      </c>
      <c r="DB545">
        <v>14</v>
      </c>
      <c r="DC545">
        <v>1.5</v>
      </c>
      <c r="DD545">
        <v>25826</v>
      </c>
      <c r="DE545">
        <v>0.19439999999999999</v>
      </c>
      <c r="DM545">
        <v>74</v>
      </c>
    </row>
    <row r="546" spans="91:118" x14ac:dyDescent="0.25">
      <c r="CM546" t="s">
        <v>636</v>
      </c>
      <c r="CN546" t="s">
        <v>125</v>
      </c>
      <c r="CO546" t="s">
        <v>85</v>
      </c>
      <c r="CP546">
        <v>46108</v>
      </c>
      <c r="CQ546">
        <v>1</v>
      </c>
      <c r="CR546">
        <v>1</v>
      </c>
      <c r="CT546">
        <v>1</v>
      </c>
      <c r="CV546">
        <v>0</v>
      </c>
      <c r="CW546">
        <v>0</v>
      </c>
      <c r="CX546">
        <v>0.24184027777777778</v>
      </c>
      <c r="CY546">
        <v>0.12011574074074075</v>
      </c>
      <c r="CZ546">
        <v>55</v>
      </c>
      <c r="DA546">
        <v>163</v>
      </c>
      <c r="DB546">
        <v>14</v>
      </c>
      <c r="DC546" t="s">
        <v>705</v>
      </c>
      <c r="DD546">
        <v>26171</v>
      </c>
      <c r="DE546">
        <v>0.2545</v>
      </c>
      <c r="DF546">
        <v>1</v>
      </c>
      <c r="DG546">
        <v>7.1400000000000005E-2</v>
      </c>
      <c r="DH546">
        <v>6600</v>
      </c>
      <c r="DI546">
        <v>6600</v>
      </c>
      <c r="DM546">
        <v>74</v>
      </c>
    </row>
    <row r="547" spans="91:118" x14ac:dyDescent="0.25">
      <c r="CM547" t="s">
        <v>636</v>
      </c>
      <c r="CN547" t="s">
        <v>125</v>
      </c>
      <c r="CO547" t="s">
        <v>85</v>
      </c>
      <c r="CP547">
        <v>46111</v>
      </c>
      <c r="CQ547">
        <v>1</v>
      </c>
      <c r="CR547">
        <v>1</v>
      </c>
      <c r="CT547">
        <v>1</v>
      </c>
      <c r="CV547">
        <v>2.3148148148148149E-4</v>
      </c>
      <c r="CW547">
        <v>2.3148148148148149E-4</v>
      </c>
      <c r="CX547">
        <v>0.2008449074074074</v>
      </c>
      <c r="CY547">
        <v>0.18665509259259258</v>
      </c>
      <c r="CZ547">
        <v>93</v>
      </c>
      <c r="DA547">
        <v>258</v>
      </c>
      <c r="DB547">
        <v>22</v>
      </c>
      <c r="DC547" t="s">
        <v>680</v>
      </c>
      <c r="DD547">
        <v>52999</v>
      </c>
      <c r="DE547">
        <v>0.2366</v>
      </c>
      <c r="DM547">
        <v>74</v>
      </c>
    </row>
    <row r="548" spans="91:118" x14ac:dyDescent="0.25">
      <c r="CM548" t="s">
        <v>636</v>
      </c>
      <c r="CN548" t="s">
        <v>125</v>
      </c>
      <c r="CO548" t="s">
        <v>61</v>
      </c>
      <c r="CP548">
        <v>46092</v>
      </c>
      <c r="CQ548">
        <v>1</v>
      </c>
      <c r="CR548">
        <v>1</v>
      </c>
      <c r="CT548">
        <v>1</v>
      </c>
      <c r="CV548">
        <v>1.273148148148148E-4</v>
      </c>
      <c r="CW548">
        <v>1.273148148148148E-4</v>
      </c>
      <c r="CX548">
        <v>0.21253472222222222</v>
      </c>
      <c r="CY548">
        <v>8.3611111111111108E-2</v>
      </c>
      <c r="CZ548">
        <v>100</v>
      </c>
      <c r="DA548">
        <v>270</v>
      </c>
      <c r="DB548">
        <v>12</v>
      </c>
      <c r="DC548">
        <v>1.5</v>
      </c>
      <c r="DD548">
        <v>61553</v>
      </c>
      <c r="DE548">
        <v>0.12</v>
      </c>
      <c r="DM548">
        <v>74</v>
      </c>
    </row>
    <row r="549" spans="91:118" x14ac:dyDescent="0.25">
      <c r="CM549" t="s">
        <v>636</v>
      </c>
      <c r="CN549" t="s">
        <v>125</v>
      </c>
      <c r="CO549" t="s">
        <v>61</v>
      </c>
      <c r="CP549">
        <v>46107</v>
      </c>
      <c r="CQ549">
        <v>1</v>
      </c>
      <c r="CR549">
        <v>1</v>
      </c>
      <c r="CT549">
        <v>1</v>
      </c>
      <c r="CV549">
        <v>2.4305555555555555E-4</v>
      </c>
      <c r="CW549">
        <v>2.4305555555555555E-4</v>
      </c>
      <c r="CX549">
        <v>0.20321759259259259</v>
      </c>
      <c r="CY549">
        <v>0.16519675925925925</v>
      </c>
      <c r="CZ549">
        <v>124</v>
      </c>
      <c r="DA549">
        <v>275</v>
      </c>
      <c r="DB549">
        <v>20</v>
      </c>
      <c r="DC549">
        <v>1.45</v>
      </c>
      <c r="DD549">
        <v>31989</v>
      </c>
      <c r="DE549">
        <v>0.1613</v>
      </c>
      <c r="DM549">
        <v>74</v>
      </c>
    </row>
    <row r="550" spans="91:118" x14ac:dyDescent="0.25">
      <c r="CM550" t="s">
        <v>636</v>
      </c>
      <c r="CN550" t="s">
        <v>125</v>
      </c>
      <c r="CO550" t="s">
        <v>72</v>
      </c>
      <c r="CP550">
        <v>46111</v>
      </c>
      <c r="CQ550">
        <v>1</v>
      </c>
      <c r="CR550">
        <v>1</v>
      </c>
      <c r="CT550">
        <v>1</v>
      </c>
      <c r="CV550">
        <v>6.9444444444444444E-5</v>
      </c>
      <c r="CW550">
        <v>6.9444444444444444E-5</v>
      </c>
      <c r="CX550">
        <v>0.16348379629629631</v>
      </c>
      <c r="CY550">
        <v>0.21587962962962962</v>
      </c>
      <c r="CZ550">
        <v>154</v>
      </c>
      <c r="DA550">
        <v>384</v>
      </c>
      <c r="DB550">
        <v>20</v>
      </c>
      <c r="DC550">
        <v>1.2</v>
      </c>
      <c r="DD550">
        <v>55131</v>
      </c>
      <c r="DE550">
        <v>0.12989999999999999</v>
      </c>
      <c r="DM550">
        <v>74</v>
      </c>
    </row>
    <row r="551" spans="91:118" x14ac:dyDescent="0.25">
      <c r="CM551" t="s">
        <v>636</v>
      </c>
      <c r="CN551" t="s">
        <v>125</v>
      </c>
      <c r="CO551" t="s">
        <v>12</v>
      </c>
      <c r="CP551">
        <v>46097</v>
      </c>
      <c r="CQ551">
        <v>1</v>
      </c>
      <c r="CR551">
        <v>1</v>
      </c>
      <c r="CS551">
        <v>1</v>
      </c>
      <c r="CV551">
        <v>9.9733796296296293E-2</v>
      </c>
      <c r="CW551">
        <v>9.9733796296296293E-2</v>
      </c>
      <c r="CX551">
        <v>0.22888888888888889</v>
      </c>
      <c r="CY551">
        <v>0.11313657407407407</v>
      </c>
      <c r="CZ551">
        <v>53</v>
      </c>
      <c r="DA551">
        <v>119</v>
      </c>
      <c r="DB551">
        <v>17</v>
      </c>
      <c r="DC551" t="s">
        <v>1047</v>
      </c>
      <c r="DD551">
        <v>26097</v>
      </c>
      <c r="DE551">
        <v>0.32079999999999997</v>
      </c>
      <c r="DF551">
        <v>1</v>
      </c>
      <c r="DG551">
        <v>5.8799999999999998E-2</v>
      </c>
      <c r="DH551">
        <v>3000</v>
      </c>
      <c r="DI551">
        <v>3000</v>
      </c>
      <c r="DJ551">
        <v>3000</v>
      </c>
      <c r="DK551">
        <v>1</v>
      </c>
      <c r="DL551">
        <v>0.26329999999999998</v>
      </c>
      <c r="DM551">
        <v>74</v>
      </c>
      <c r="DN551">
        <v>3000</v>
      </c>
    </row>
    <row r="552" spans="91:118" x14ac:dyDescent="0.25">
      <c r="CM552" t="s">
        <v>636</v>
      </c>
      <c r="CN552" t="s">
        <v>125</v>
      </c>
      <c r="CO552" t="s">
        <v>122</v>
      </c>
      <c r="CP552">
        <v>46104</v>
      </c>
      <c r="CQ552">
        <v>1</v>
      </c>
      <c r="CR552">
        <v>1</v>
      </c>
      <c r="CS552">
        <v>1</v>
      </c>
      <c r="CV552">
        <v>1.6597222222222222E-2</v>
      </c>
      <c r="CW552">
        <v>1.6597222222222222E-2</v>
      </c>
      <c r="CX552">
        <v>0.17587962962962964</v>
      </c>
      <c r="CY552">
        <v>0.13015046296296295</v>
      </c>
      <c r="CZ552">
        <v>50</v>
      </c>
      <c r="DA552">
        <v>191</v>
      </c>
      <c r="DB552">
        <v>13</v>
      </c>
      <c r="DC552" t="s">
        <v>787</v>
      </c>
      <c r="DD552">
        <v>33725</v>
      </c>
      <c r="DE552">
        <v>0.26</v>
      </c>
      <c r="DM552">
        <v>74</v>
      </c>
    </row>
    <row r="553" spans="91:118" x14ac:dyDescent="0.25">
      <c r="CM553" t="s">
        <v>636</v>
      </c>
      <c r="CN553" t="s">
        <v>125</v>
      </c>
      <c r="CO553" t="s">
        <v>122</v>
      </c>
      <c r="CP553">
        <v>46107</v>
      </c>
      <c r="CQ553">
        <v>1</v>
      </c>
      <c r="CR553">
        <v>1</v>
      </c>
      <c r="CT553">
        <v>1</v>
      </c>
      <c r="CV553">
        <v>3.4027777777777776E-3</v>
      </c>
      <c r="CW553">
        <v>3.4027777777777776E-3</v>
      </c>
      <c r="CX553">
        <v>0.17141203703703703</v>
      </c>
      <c r="CY553">
        <v>0.14839120370370371</v>
      </c>
      <c r="CZ553">
        <v>63</v>
      </c>
      <c r="DA553">
        <v>212</v>
      </c>
      <c r="DB553">
        <v>9</v>
      </c>
      <c r="DC553" t="s">
        <v>674</v>
      </c>
      <c r="DD553">
        <v>24367</v>
      </c>
      <c r="DE553">
        <v>0.1429</v>
      </c>
      <c r="DM553">
        <v>74</v>
      </c>
    </row>
    <row r="554" spans="91:118" x14ac:dyDescent="0.25">
      <c r="CM554" t="s">
        <v>636</v>
      </c>
      <c r="CN554" t="s">
        <v>125</v>
      </c>
      <c r="CO554" t="s">
        <v>75</v>
      </c>
      <c r="CP554">
        <v>46106</v>
      </c>
      <c r="CQ554">
        <v>1</v>
      </c>
      <c r="CR554">
        <v>1</v>
      </c>
      <c r="CT554">
        <v>1</v>
      </c>
      <c r="CV554">
        <v>1.2152777777777778E-3</v>
      </c>
      <c r="CW554">
        <v>1.2152777777777778E-3</v>
      </c>
      <c r="CX554">
        <v>0.14894675925925926</v>
      </c>
      <c r="CY554">
        <v>0.18724537037037037</v>
      </c>
      <c r="CZ554">
        <v>85</v>
      </c>
      <c r="DA554">
        <v>161</v>
      </c>
      <c r="DB554">
        <v>11</v>
      </c>
      <c r="DC554" t="s">
        <v>1013</v>
      </c>
      <c r="DD554">
        <v>15650</v>
      </c>
      <c r="DE554">
        <v>0.12939999999999999</v>
      </c>
      <c r="DM554">
        <v>74</v>
      </c>
    </row>
    <row r="555" spans="91:118" x14ac:dyDescent="0.25">
      <c r="CM555" t="s">
        <v>636</v>
      </c>
      <c r="CN555" t="s">
        <v>125</v>
      </c>
      <c r="CO555" t="s">
        <v>75</v>
      </c>
      <c r="CP555">
        <v>46107</v>
      </c>
      <c r="CQ555">
        <v>1</v>
      </c>
      <c r="CR555">
        <v>1</v>
      </c>
      <c r="CT555">
        <v>1</v>
      </c>
      <c r="CV555">
        <v>1.9675925925925926E-4</v>
      </c>
      <c r="CW555">
        <v>1.9675925925925926E-4</v>
      </c>
      <c r="CX555">
        <v>0.1897800925925926</v>
      </c>
      <c r="CY555">
        <v>0.14575231481481482</v>
      </c>
      <c r="CZ555">
        <v>85</v>
      </c>
      <c r="DA555">
        <v>170</v>
      </c>
      <c r="DB555">
        <v>14</v>
      </c>
      <c r="DC555" t="s">
        <v>735</v>
      </c>
      <c r="DD555">
        <v>27042</v>
      </c>
      <c r="DE555">
        <v>0.16470000000000001</v>
      </c>
      <c r="DM555">
        <v>74</v>
      </c>
    </row>
    <row r="556" spans="91:118" x14ac:dyDescent="0.25">
      <c r="CM556" t="s">
        <v>636</v>
      </c>
      <c r="CN556" t="s">
        <v>125</v>
      </c>
      <c r="CO556" t="s">
        <v>206</v>
      </c>
      <c r="CP556">
        <v>46092</v>
      </c>
      <c r="CQ556">
        <v>1</v>
      </c>
      <c r="CR556">
        <v>1</v>
      </c>
      <c r="CT556">
        <v>1</v>
      </c>
      <c r="CV556">
        <v>1.1574074074074075E-4</v>
      </c>
      <c r="CW556">
        <v>1.1574074074074075E-4</v>
      </c>
      <c r="CX556">
        <v>0.26871527777777776</v>
      </c>
      <c r="CY556">
        <v>8.0868055555555554E-2</v>
      </c>
      <c r="CZ556">
        <v>175</v>
      </c>
      <c r="DA556">
        <v>373</v>
      </c>
      <c r="DB556">
        <v>11</v>
      </c>
      <c r="DC556">
        <v>2</v>
      </c>
      <c r="DD556">
        <v>26147</v>
      </c>
      <c r="DE556">
        <v>6.2899999999999998E-2</v>
      </c>
      <c r="DM556">
        <v>74</v>
      </c>
    </row>
    <row r="557" spans="91:118" x14ac:dyDescent="0.25">
      <c r="CM557" t="s">
        <v>636</v>
      </c>
      <c r="CN557" t="s">
        <v>125</v>
      </c>
      <c r="CO557" t="s">
        <v>206</v>
      </c>
      <c r="CP557">
        <v>46106</v>
      </c>
      <c r="CQ557">
        <v>1</v>
      </c>
      <c r="CR557">
        <v>1</v>
      </c>
      <c r="CT557">
        <v>1</v>
      </c>
      <c r="CV557">
        <v>1.5046296296296297E-4</v>
      </c>
      <c r="CW557">
        <v>1.5046296296296297E-4</v>
      </c>
      <c r="CX557">
        <v>0.17819444444444443</v>
      </c>
      <c r="CY557">
        <v>0.17989583333333334</v>
      </c>
      <c r="CZ557">
        <v>115</v>
      </c>
      <c r="DA557">
        <v>332</v>
      </c>
      <c r="DB557">
        <v>18</v>
      </c>
      <c r="DC557" t="s">
        <v>715</v>
      </c>
      <c r="DD557">
        <v>40088</v>
      </c>
      <c r="DE557">
        <v>0.1565</v>
      </c>
      <c r="DM557">
        <v>74</v>
      </c>
    </row>
    <row r="558" spans="91:118" x14ac:dyDescent="0.25">
      <c r="CM558" t="s">
        <v>636</v>
      </c>
      <c r="CN558" t="s">
        <v>125</v>
      </c>
      <c r="CO558" t="s">
        <v>206</v>
      </c>
      <c r="CP558">
        <v>46107</v>
      </c>
      <c r="CQ558">
        <v>1</v>
      </c>
      <c r="CR558">
        <v>1</v>
      </c>
      <c r="CT558">
        <v>1</v>
      </c>
      <c r="CV558">
        <v>5.7870370370370373E-5</v>
      </c>
      <c r="CW558">
        <v>5.7870370370370373E-5</v>
      </c>
      <c r="CX558">
        <v>0.19246527777777778</v>
      </c>
      <c r="CY558">
        <v>0.16193287037037038</v>
      </c>
      <c r="CZ558">
        <v>131</v>
      </c>
      <c r="DA558">
        <v>358</v>
      </c>
      <c r="DB558">
        <v>29</v>
      </c>
      <c r="DC558" t="s">
        <v>902</v>
      </c>
      <c r="DD558">
        <v>16504</v>
      </c>
      <c r="DE558">
        <v>0.22140000000000001</v>
      </c>
      <c r="DM558">
        <v>74</v>
      </c>
    </row>
    <row r="559" spans="91:118" x14ac:dyDescent="0.25">
      <c r="CM559" t="s">
        <v>636</v>
      </c>
      <c r="CN559" t="s">
        <v>125</v>
      </c>
      <c r="CO559" t="s">
        <v>59</v>
      </c>
      <c r="CP559">
        <v>46092</v>
      </c>
      <c r="CQ559">
        <v>1</v>
      </c>
      <c r="CR559">
        <v>1</v>
      </c>
      <c r="CT559">
        <v>1</v>
      </c>
      <c r="CV559">
        <v>1.5046296296296297E-4</v>
      </c>
      <c r="CW559">
        <v>1.5046296296296297E-4</v>
      </c>
      <c r="CX559">
        <v>0.25172453703703701</v>
      </c>
      <c r="CY559">
        <v>8.756944444444445E-2</v>
      </c>
      <c r="CZ559">
        <v>119</v>
      </c>
      <c r="DA559">
        <v>228</v>
      </c>
      <c r="DB559">
        <v>15</v>
      </c>
      <c r="DC559" t="s">
        <v>742</v>
      </c>
      <c r="DD559">
        <v>33942</v>
      </c>
      <c r="DE559">
        <v>0.12609999999999999</v>
      </c>
      <c r="DM559">
        <v>74</v>
      </c>
    </row>
    <row r="560" spans="91:118" x14ac:dyDescent="0.25">
      <c r="CM560" t="s">
        <v>636</v>
      </c>
      <c r="CN560" t="s">
        <v>125</v>
      </c>
      <c r="CO560" t="s">
        <v>59</v>
      </c>
      <c r="CP560">
        <v>46111</v>
      </c>
      <c r="CQ560">
        <v>1</v>
      </c>
      <c r="CR560">
        <v>1</v>
      </c>
      <c r="CT560">
        <v>1</v>
      </c>
      <c r="CV560">
        <v>4.6296296296296294E-5</v>
      </c>
      <c r="CW560">
        <v>4.6296296296296294E-5</v>
      </c>
      <c r="CX560">
        <v>0.26938657407407407</v>
      </c>
      <c r="CY560">
        <v>0.11174768518518519</v>
      </c>
      <c r="CZ560">
        <v>237</v>
      </c>
      <c r="DA560">
        <v>364</v>
      </c>
      <c r="DB560">
        <v>20</v>
      </c>
      <c r="DC560">
        <v>1.7</v>
      </c>
      <c r="DD560">
        <v>33279</v>
      </c>
      <c r="DE560">
        <v>8.4400000000000003E-2</v>
      </c>
      <c r="DM560">
        <v>74</v>
      </c>
    </row>
    <row r="561" spans="91:118" x14ac:dyDescent="0.25">
      <c r="CM561" t="s">
        <v>636</v>
      </c>
      <c r="CN561" t="s">
        <v>125</v>
      </c>
      <c r="CO561" t="s">
        <v>10</v>
      </c>
      <c r="CP561">
        <v>46085</v>
      </c>
      <c r="CQ561">
        <v>1</v>
      </c>
      <c r="CR561">
        <v>1</v>
      </c>
      <c r="CV561">
        <v>0</v>
      </c>
      <c r="CW561">
        <v>0</v>
      </c>
      <c r="CX561">
        <v>0</v>
      </c>
      <c r="CY561">
        <v>0</v>
      </c>
      <c r="DM561">
        <v>74</v>
      </c>
    </row>
    <row r="562" spans="91:118" x14ac:dyDescent="0.25">
      <c r="CM562" t="s">
        <v>636</v>
      </c>
      <c r="CN562" t="s">
        <v>125</v>
      </c>
      <c r="CO562" t="s">
        <v>10</v>
      </c>
      <c r="CP562">
        <v>46091</v>
      </c>
      <c r="CQ562">
        <v>1</v>
      </c>
      <c r="CR562">
        <v>1</v>
      </c>
      <c r="CV562">
        <v>0</v>
      </c>
      <c r="CW562">
        <v>0</v>
      </c>
      <c r="CX562">
        <v>0</v>
      </c>
      <c r="CY562">
        <v>0</v>
      </c>
      <c r="DM562">
        <v>74</v>
      </c>
    </row>
    <row r="563" spans="91:118" x14ac:dyDescent="0.25">
      <c r="CM563" t="s">
        <v>636</v>
      </c>
      <c r="CN563" t="s">
        <v>125</v>
      </c>
      <c r="CO563" t="s">
        <v>10</v>
      </c>
      <c r="CP563">
        <v>46104</v>
      </c>
      <c r="CQ563">
        <v>1</v>
      </c>
      <c r="CR563">
        <v>1</v>
      </c>
      <c r="CV563">
        <v>0</v>
      </c>
      <c r="CW563">
        <v>0</v>
      </c>
      <c r="CX563">
        <v>0</v>
      </c>
      <c r="CY563">
        <v>0</v>
      </c>
      <c r="DM563">
        <v>74</v>
      </c>
    </row>
    <row r="564" spans="91:118" x14ac:dyDescent="0.25">
      <c r="CM564" t="s">
        <v>636</v>
      </c>
      <c r="CN564" t="s">
        <v>2</v>
      </c>
      <c r="CO564" t="s">
        <v>15</v>
      </c>
      <c r="CP564">
        <v>46099</v>
      </c>
      <c r="CQ564">
        <v>1</v>
      </c>
      <c r="CR564">
        <v>1</v>
      </c>
      <c r="CT564">
        <v>1</v>
      </c>
      <c r="CV564">
        <v>6.9444444444444444E-5</v>
      </c>
      <c r="CW564">
        <v>6.9444444444444444E-5</v>
      </c>
      <c r="CX564">
        <v>0.19150462962962964</v>
      </c>
      <c r="CY564">
        <v>0.15033564814814815</v>
      </c>
      <c r="CZ564">
        <v>101</v>
      </c>
      <c r="DA564">
        <v>128</v>
      </c>
      <c r="DB564">
        <v>16</v>
      </c>
      <c r="DC564">
        <v>1.375</v>
      </c>
      <c r="DD564">
        <v>32865</v>
      </c>
      <c r="DE564">
        <v>0.15840000000000001</v>
      </c>
      <c r="DM564">
        <v>74</v>
      </c>
    </row>
    <row r="565" spans="91:118" x14ac:dyDescent="0.25">
      <c r="CM565" t="s">
        <v>636</v>
      </c>
      <c r="CN565" t="s">
        <v>2</v>
      </c>
      <c r="CO565" t="s">
        <v>22</v>
      </c>
      <c r="CP565">
        <v>46099</v>
      </c>
      <c r="CQ565">
        <v>1</v>
      </c>
      <c r="CR565">
        <v>1</v>
      </c>
      <c r="CT565">
        <v>1</v>
      </c>
      <c r="CV565">
        <v>0</v>
      </c>
      <c r="CW565">
        <v>0</v>
      </c>
      <c r="CX565">
        <v>0.17355324074074074</v>
      </c>
      <c r="CY565">
        <v>0.1690625</v>
      </c>
      <c r="CZ565">
        <v>75</v>
      </c>
      <c r="DA565">
        <v>151</v>
      </c>
      <c r="DB565">
        <v>24</v>
      </c>
      <c r="DC565" t="s">
        <v>703</v>
      </c>
      <c r="DD565">
        <v>43276</v>
      </c>
      <c r="DE565">
        <v>0.32</v>
      </c>
      <c r="DM565">
        <v>74</v>
      </c>
    </row>
    <row r="566" spans="91:118" x14ac:dyDescent="0.25">
      <c r="CM566" t="s">
        <v>636</v>
      </c>
      <c r="CN566" t="s">
        <v>2</v>
      </c>
      <c r="CO566" t="s">
        <v>24</v>
      </c>
      <c r="CP566">
        <v>46083</v>
      </c>
      <c r="CQ566">
        <v>1</v>
      </c>
      <c r="CR566">
        <v>1</v>
      </c>
      <c r="CS566">
        <v>1</v>
      </c>
      <c r="CV566">
        <v>1.0983796296296297E-2</v>
      </c>
      <c r="CW566">
        <v>1.0983796296296297E-2</v>
      </c>
      <c r="CX566">
        <v>0.14284722222222221</v>
      </c>
      <c r="CY566">
        <v>0.16934027777777777</v>
      </c>
      <c r="CZ566">
        <v>36</v>
      </c>
      <c r="DA566">
        <v>73</v>
      </c>
      <c r="DB566">
        <v>16</v>
      </c>
      <c r="DC566">
        <v>1.5625</v>
      </c>
      <c r="DD566">
        <v>21336</v>
      </c>
      <c r="DE566">
        <v>0.44440000000000002</v>
      </c>
      <c r="DF566">
        <v>7</v>
      </c>
      <c r="DG566">
        <v>0.4375</v>
      </c>
      <c r="DH566">
        <v>3954</v>
      </c>
      <c r="DI566">
        <v>565</v>
      </c>
      <c r="DJ566">
        <v>3954</v>
      </c>
      <c r="DK566">
        <v>1</v>
      </c>
      <c r="DM566">
        <v>74</v>
      </c>
      <c r="DN566">
        <v>565</v>
      </c>
    </row>
    <row r="567" spans="91:118" x14ac:dyDescent="0.25">
      <c r="CM567" t="s">
        <v>636</v>
      </c>
      <c r="CN567" t="s">
        <v>2</v>
      </c>
      <c r="CO567" t="s">
        <v>13</v>
      </c>
      <c r="CP567">
        <v>46099</v>
      </c>
      <c r="CQ567">
        <v>1</v>
      </c>
      <c r="CR567">
        <v>1</v>
      </c>
      <c r="CT567">
        <v>1</v>
      </c>
      <c r="CV567">
        <v>1.1574074074074075E-4</v>
      </c>
      <c r="CW567">
        <v>1.1574074074074075E-4</v>
      </c>
      <c r="CX567">
        <v>0.22403935185185186</v>
      </c>
      <c r="CY567">
        <v>0.11857638888888888</v>
      </c>
      <c r="CZ567">
        <v>75</v>
      </c>
      <c r="DA567">
        <v>162</v>
      </c>
      <c r="DB567">
        <v>23</v>
      </c>
      <c r="DC567" t="s">
        <v>747</v>
      </c>
      <c r="DD567">
        <v>50171</v>
      </c>
      <c r="DE567">
        <v>0.30669999999999997</v>
      </c>
      <c r="DM567">
        <v>74</v>
      </c>
    </row>
    <row r="568" spans="91:118" x14ac:dyDescent="0.25">
      <c r="CM568" t="s">
        <v>636</v>
      </c>
      <c r="CN568" t="s">
        <v>2</v>
      </c>
      <c r="CO568" t="s">
        <v>42</v>
      </c>
      <c r="CP568">
        <v>46106</v>
      </c>
      <c r="CQ568">
        <v>1</v>
      </c>
      <c r="CR568">
        <v>1</v>
      </c>
      <c r="CV568">
        <v>0</v>
      </c>
      <c r="CW568">
        <v>0</v>
      </c>
      <c r="CX568">
        <v>0</v>
      </c>
      <c r="CY568">
        <v>0</v>
      </c>
      <c r="DM568">
        <v>74</v>
      </c>
    </row>
    <row r="569" spans="91:118" x14ac:dyDescent="0.25">
      <c r="CM569" t="s">
        <v>636</v>
      </c>
      <c r="CN569" t="s">
        <v>2</v>
      </c>
      <c r="CO569" t="s">
        <v>65</v>
      </c>
      <c r="CP569">
        <v>46099</v>
      </c>
      <c r="CQ569">
        <v>1</v>
      </c>
      <c r="CR569">
        <v>1</v>
      </c>
      <c r="CT569">
        <v>1</v>
      </c>
      <c r="CV569">
        <v>1.273148148148148E-4</v>
      </c>
      <c r="CW569">
        <v>1.273148148148148E-4</v>
      </c>
      <c r="CX569">
        <v>0.19893518518518519</v>
      </c>
      <c r="CY569">
        <v>0.15104166666666666</v>
      </c>
      <c r="CZ569">
        <v>57</v>
      </c>
      <c r="DA569">
        <v>128</v>
      </c>
      <c r="DB569">
        <v>9</v>
      </c>
      <c r="DC569" t="s">
        <v>769</v>
      </c>
      <c r="DD569">
        <v>26492</v>
      </c>
      <c r="DE569">
        <v>0.15790000000000001</v>
      </c>
      <c r="DM569">
        <v>74</v>
      </c>
    </row>
    <row r="570" spans="91:118" x14ac:dyDescent="0.25">
      <c r="CM570" t="s">
        <v>636</v>
      </c>
      <c r="CN570" t="s">
        <v>2</v>
      </c>
      <c r="CO570" t="s">
        <v>23</v>
      </c>
      <c r="CP570">
        <v>46084</v>
      </c>
      <c r="CQ570">
        <v>1</v>
      </c>
      <c r="CR570">
        <v>1</v>
      </c>
      <c r="CS570">
        <v>1</v>
      </c>
      <c r="CV570">
        <v>0.14432870370370371</v>
      </c>
      <c r="CW570">
        <v>0.14432870370370371</v>
      </c>
      <c r="CX570">
        <v>0.22555555555555556</v>
      </c>
      <c r="CY570">
        <v>2.6643518518518518E-2</v>
      </c>
      <c r="CZ570">
        <v>84</v>
      </c>
      <c r="DA570">
        <v>166</v>
      </c>
      <c r="DB570">
        <v>11</v>
      </c>
      <c r="DC570" t="s">
        <v>1020</v>
      </c>
      <c r="DD570">
        <v>11593</v>
      </c>
      <c r="DE570">
        <v>0.13100000000000001</v>
      </c>
      <c r="DF570">
        <v>3</v>
      </c>
      <c r="DG570">
        <v>0.2727</v>
      </c>
      <c r="DH570">
        <v>3480</v>
      </c>
      <c r="DI570">
        <v>1160</v>
      </c>
      <c r="DJ570">
        <v>3205</v>
      </c>
      <c r="DK570">
        <v>0.92100000000000004</v>
      </c>
      <c r="DM570">
        <v>74</v>
      </c>
      <c r="DN570">
        <v>1603</v>
      </c>
    </row>
    <row r="571" spans="91:118" x14ac:dyDescent="0.25">
      <c r="CM571" t="s">
        <v>636</v>
      </c>
      <c r="CN571" t="s">
        <v>2</v>
      </c>
      <c r="CO571" t="s">
        <v>25</v>
      </c>
      <c r="CP571">
        <v>46086</v>
      </c>
      <c r="CQ571">
        <v>1</v>
      </c>
      <c r="CR571">
        <v>1</v>
      </c>
      <c r="CS571">
        <v>1</v>
      </c>
      <c r="CV571">
        <v>1.1666666666666667E-2</v>
      </c>
      <c r="CW571">
        <v>1.1666666666666667E-2</v>
      </c>
      <c r="CX571">
        <v>0.30603009259259262</v>
      </c>
      <c r="CY571">
        <v>9.3599537037037037E-2</v>
      </c>
      <c r="CZ571">
        <v>101</v>
      </c>
      <c r="DA571">
        <v>161</v>
      </c>
      <c r="DB571">
        <v>25</v>
      </c>
      <c r="DC571">
        <v>1.56</v>
      </c>
      <c r="DD571">
        <v>42811</v>
      </c>
      <c r="DE571">
        <v>0.2475</v>
      </c>
      <c r="DF571">
        <v>1</v>
      </c>
      <c r="DG571">
        <v>0.04</v>
      </c>
      <c r="DH571">
        <v>280</v>
      </c>
      <c r="DI571">
        <v>280</v>
      </c>
      <c r="DJ571">
        <v>280</v>
      </c>
      <c r="DK571">
        <v>1</v>
      </c>
      <c r="DL571">
        <v>0.875</v>
      </c>
      <c r="DM571">
        <v>74</v>
      </c>
      <c r="DN571">
        <v>280</v>
      </c>
    </row>
    <row r="572" spans="91:118" x14ac:dyDescent="0.25">
      <c r="CM572" t="s">
        <v>636</v>
      </c>
      <c r="CN572" t="s">
        <v>6</v>
      </c>
      <c r="CO572" t="s">
        <v>105</v>
      </c>
      <c r="CP572">
        <v>46111</v>
      </c>
      <c r="CQ572">
        <v>1</v>
      </c>
      <c r="CR572">
        <v>1</v>
      </c>
      <c r="CV572">
        <v>3.7499999999999999E-3</v>
      </c>
      <c r="CW572">
        <v>3.7499999999999999E-3</v>
      </c>
      <c r="CX572">
        <v>0.20991898148148147</v>
      </c>
      <c r="CY572">
        <v>0.16390046296296296</v>
      </c>
      <c r="CZ572">
        <v>114</v>
      </c>
      <c r="DA572">
        <v>177</v>
      </c>
      <c r="DB572">
        <v>32</v>
      </c>
      <c r="DC572">
        <v>1.6875</v>
      </c>
      <c r="DD572">
        <v>22886</v>
      </c>
      <c r="DE572">
        <v>0.28070000000000001</v>
      </c>
      <c r="DF572">
        <v>3</v>
      </c>
      <c r="DG572">
        <v>9.3799999999999994E-2</v>
      </c>
      <c r="DH572">
        <v>8760</v>
      </c>
      <c r="DI572">
        <v>2920</v>
      </c>
      <c r="DJ572">
        <v>9365</v>
      </c>
      <c r="DK572">
        <v>1.0690999999999999</v>
      </c>
      <c r="DL572">
        <v>0.17910000000000001</v>
      </c>
      <c r="DM572">
        <v>74</v>
      </c>
      <c r="DN572">
        <v>3122</v>
      </c>
    </row>
    <row r="573" spans="91:118" x14ac:dyDescent="0.25">
      <c r="CM573" t="s">
        <v>636</v>
      </c>
      <c r="CN573" t="s">
        <v>6</v>
      </c>
      <c r="CO573" t="s">
        <v>37</v>
      </c>
      <c r="CP573">
        <v>46087</v>
      </c>
      <c r="CQ573">
        <v>1</v>
      </c>
      <c r="CR573">
        <v>1</v>
      </c>
      <c r="CT573">
        <v>1</v>
      </c>
      <c r="CV573">
        <v>2.5694444444444445E-3</v>
      </c>
      <c r="CW573">
        <v>2.5694444444444445E-3</v>
      </c>
      <c r="CX573">
        <v>0.19550925925925927</v>
      </c>
      <c r="CY573">
        <v>0.11784722222222223</v>
      </c>
      <c r="CZ573">
        <v>67</v>
      </c>
      <c r="DA573">
        <v>90</v>
      </c>
      <c r="DB573">
        <v>9</v>
      </c>
      <c r="DC573" t="s">
        <v>674</v>
      </c>
      <c r="DD573">
        <v>22685</v>
      </c>
      <c r="DE573">
        <v>0.1343</v>
      </c>
      <c r="DF573">
        <v>1</v>
      </c>
      <c r="DG573">
        <v>0.1111</v>
      </c>
      <c r="DH573">
        <v>550</v>
      </c>
      <c r="DI573">
        <v>550</v>
      </c>
      <c r="DJ573">
        <v>100</v>
      </c>
      <c r="DK573">
        <v>0.18179999999999999</v>
      </c>
      <c r="DL573">
        <v>0.10150000000000001</v>
      </c>
      <c r="DM573">
        <v>74</v>
      </c>
      <c r="DN573">
        <v>100</v>
      </c>
    </row>
    <row r="574" spans="91:118" x14ac:dyDescent="0.25">
      <c r="CM574" t="s">
        <v>636</v>
      </c>
      <c r="CN574" t="s">
        <v>6</v>
      </c>
      <c r="CO574" t="s">
        <v>50</v>
      </c>
      <c r="CP574">
        <v>46099</v>
      </c>
      <c r="CQ574">
        <v>1</v>
      </c>
      <c r="CR574">
        <v>1</v>
      </c>
      <c r="CT574">
        <v>1</v>
      </c>
      <c r="CV574">
        <v>1.0416666666666667E-3</v>
      </c>
      <c r="CW574">
        <v>1.0416666666666667E-3</v>
      </c>
      <c r="CX574">
        <v>0.21226851851851852</v>
      </c>
      <c r="CY574">
        <v>0.18435185185185185</v>
      </c>
      <c r="CZ574">
        <v>92</v>
      </c>
      <c r="DA574">
        <v>163</v>
      </c>
      <c r="DB574">
        <v>15</v>
      </c>
      <c r="DC574" t="s">
        <v>742</v>
      </c>
      <c r="DD574">
        <v>21468</v>
      </c>
      <c r="DE574">
        <v>0.16300000000000001</v>
      </c>
      <c r="DF574">
        <v>1</v>
      </c>
      <c r="DG574">
        <v>6.6699999999999995E-2</v>
      </c>
      <c r="DH574">
        <v>900</v>
      </c>
      <c r="DI574">
        <v>900</v>
      </c>
      <c r="DJ574">
        <v>900</v>
      </c>
      <c r="DK574">
        <v>1</v>
      </c>
      <c r="DM574">
        <v>74</v>
      </c>
      <c r="DN574">
        <v>900</v>
      </c>
    </row>
    <row r="575" spans="91:118" x14ac:dyDescent="0.25">
      <c r="CM575" t="s">
        <v>636</v>
      </c>
      <c r="CN575" t="s">
        <v>6</v>
      </c>
      <c r="CO575" t="s">
        <v>11</v>
      </c>
      <c r="CP575">
        <v>46091</v>
      </c>
      <c r="CQ575">
        <v>1</v>
      </c>
      <c r="CR575">
        <v>1</v>
      </c>
      <c r="CT575">
        <v>1</v>
      </c>
      <c r="CV575">
        <v>3.8194444444444446E-4</v>
      </c>
      <c r="CW575">
        <v>3.8194444444444446E-4</v>
      </c>
      <c r="CX575">
        <v>0.31013888888888891</v>
      </c>
      <c r="CY575">
        <v>9.3425925925925926E-2</v>
      </c>
      <c r="CZ575">
        <v>152</v>
      </c>
      <c r="DA575">
        <v>268</v>
      </c>
      <c r="DB575">
        <v>27</v>
      </c>
      <c r="DC575" t="s">
        <v>676</v>
      </c>
      <c r="DD575">
        <v>19056</v>
      </c>
      <c r="DE575">
        <v>0.17760000000000001</v>
      </c>
      <c r="DF575">
        <v>1</v>
      </c>
      <c r="DG575">
        <v>3.6999999999999998E-2</v>
      </c>
      <c r="DH575">
        <v>250</v>
      </c>
      <c r="DI575">
        <v>250</v>
      </c>
      <c r="DJ575">
        <v>250</v>
      </c>
      <c r="DK575">
        <v>1</v>
      </c>
      <c r="DL575">
        <v>0.49940000000000001</v>
      </c>
      <c r="DM575">
        <v>74</v>
      </c>
      <c r="DN575">
        <v>250</v>
      </c>
    </row>
    <row r="576" spans="91:118" x14ac:dyDescent="0.25">
      <c r="CM576" t="s">
        <v>636</v>
      </c>
      <c r="CN576" t="s">
        <v>6</v>
      </c>
      <c r="CO576" t="s">
        <v>11</v>
      </c>
      <c r="CP576">
        <v>46097</v>
      </c>
      <c r="CQ576">
        <v>1</v>
      </c>
      <c r="CR576">
        <v>1</v>
      </c>
      <c r="CT576">
        <v>1</v>
      </c>
      <c r="CV576">
        <v>5.7870370370370373E-5</v>
      </c>
      <c r="CW576">
        <v>5.7870370370370373E-5</v>
      </c>
      <c r="CX576">
        <v>0.3137847222222222</v>
      </c>
      <c r="CY576">
        <v>0.12802083333333333</v>
      </c>
      <c r="CZ576">
        <v>136</v>
      </c>
      <c r="DA576">
        <v>265</v>
      </c>
      <c r="DB576">
        <v>47</v>
      </c>
      <c r="DC576" t="s">
        <v>1048</v>
      </c>
      <c r="DD576">
        <v>14818</v>
      </c>
      <c r="DE576">
        <v>0.34560000000000002</v>
      </c>
      <c r="DF576">
        <v>2</v>
      </c>
      <c r="DG576">
        <v>4.2599999999999999E-2</v>
      </c>
      <c r="DH576">
        <v>320</v>
      </c>
      <c r="DI576">
        <v>160</v>
      </c>
      <c r="DJ576">
        <v>230</v>
      </c>
      <c r="DK576">
        <v>0.71879999999999999</v>
      </c>
      <c r="DM576">
        <v>74</v>
      </c>
      <c r="DN576">
        <v>230</v>
      </c>
    </row>
    <row r="577" spans="91:118" x14ac:dyDescent="0.25">
      <c r="CM577" t="s">
        <v>636</v>
      </c>
      <c r="CN577" t="s">
        <v>6</v>
      </c>
      <c r="CO577" t="s">
        <v>97</v>
      </c>
      <c r="CP577">
        <v>46083</v>
      </c>
      <c r="CQ577">
        <v>1</v>
      </c>
      <c r="CR577">
        <v>1</v>
      </c>
      <c r="CT577">
        <v>1</v>
      </c>
      <c r="CV577">
        <v>1.1574074074074073E-5</v>
      </c>
      <c r="CW577">
        <v>1.1574074074074073E-5</v>
      </c>
      <c r="CX577">
        <v>0.22318287037037038</v>
      </c>
      <c r="CY577">
        <v>0.10622685185185185</v>
      </c>
      <c r="CZ577">
        <v>80</v>
      </c>
      <c r="DA577">
        <v>144</v>
      </c>
      <c r="DB577">
        <v>51</v>
      </c>
      <c r="DC577" t="s">
        <v>674</v>
      </c>
      <c r="DD577">
        <v>21194</v>
      </c>
      <c r="DE577">
        <v>0.63749999999999996</v>
      </c>
      <c r="DF577">
        <v>11</v>
      </c>
      <c r="DG577">
        <v>0.2157</v>
      </c>
      <c r="DH577">
        <v>17245</v>
      </c>
      <c r="DI577">
        <v>1568</v>
      </c>
      <c r="DJ577">
        <v>8530</v>
      </c>
      <c r="DK577">
        <v>0.49459999999999998</v>
      </c>
      <c r="DL577">
        <v>0.1643</v>
      </c>
      <c r="DM577">
        <v>74</v>
      </c>
      <c r="DN577">
        <v>1066</v>
      </c>
    </row>
    <row r="578" spans="91:118" x14ac:dyDescent="0.25">
      <c r="CM578" t="s">
        <v>636</v>
      </c>
      <c r="CN578" t="s">
        <v>7</v>
      </c>
      <c r="CO578" t="s">
        <v>41</v>
      </c>
      <c r="CP578">
        <v>46097</v>
      </c>
      <c r="CQ578">
        <v>1</v>
      </c>
      <c r="CR578">
        <v>1</v>
      </c>
      <c r="CT578">
        <v>1</v>
      </c>
      <c r="CV578">
        <v>1.8865740740740742E-3</v>
      </c>
      <c r="CW578">
        <v>1.8865740740740742E-3</v>
      </c>
      <c r="CX578">
        <v>0.2316087962962963</v>
      </c>
      <c r="CY578">
        <v>0.17824074074074073</v>
      </c>
      <c r="CZ578">
        <v>97</v>
      </c>
      <c r="DA578">
        <v>207</v>
      </c>
      <c r="DB578">
        <v>36</v>
      </c>
      <c r="DC578" t="s">
        <v>674</v>
      </c>
      <c r="DD578">
        <v>10745</v>
      </c>
      <c r="DE578">
        <v>0.37109999999999999</v>
      </c>
      <c r="DM578">
        <v>74</v>
      </c>
    </row>
    <row r="579" spans="91:118" x14ac:dyDescent="0.25">
      <c r="CM579" t="s">
        <v>636</v>
      </c>
      <c r="CN579" t="s">
        <v>7</v>
      </c>
      <c r="CO579" t="s">
        <v>51</v>
      </c>
      <c r="CP579">
        <v>46085</v>
      </c>
      <c r="CQ579">
        <v>1</v>
      </c>
      <c r="CR579">
        <v>1</v>
      </c>
      <c r="CT579">
        <v>1</v>
      </c>
      <c r="CV579">
        <v>0</v>
      </c>
      <c r="CW579">
        <v>0</v>
      </c>
      <c r="CX579">
        <v>0.24766203703703704</v>
      </c>
      <c r="CY579">
        <v>8.0648148148148149E-2</v>
      </c>
      <c r="CZ579">
        <v>151</v>
      </c>
      <c r="DA579">
        <v>299</v>
      </c>
      <c r="DB579">
        <v>19</v>
      </c>
      <c r="DC579" t="s">
        <v>682</v>
      </c>
      <c r="DD579">
        <v>22279</v>
      </c>
      <c r="DE579">
        <v>0.1258</v>
      </c>
      <c r="DM579">
        <v>74</v>
      </c>
    </row>
    <row r="580" spans="91:118" x14ac:dyDescent="0.25">
      <c r="CM580" t="s">
        <v>636</v>
      </c>
      <c r="CN580" t="s">
        <v>7</v>
      </c>
      <c r="CO580" t="s">
        <v>51</v>
      </c>
      <c r="CP580">
        <v>46106</v>
      </c>
      <c r="CQ580">
        <v>1</v>
      </c>
      <c r="CR580">
        <v>1</v>
      </c>
      <c r="CT580">
        <v>1</v>
      </c>
      <c r="CV580">
        <v>2.0254629629629629E-3</v>
      </c>
      <c r="CW580">
        <v>2.0254629629629629E-3</v>
      </c>
      <c r="CX580">
        <v>0.16664351851851852</v>
      </c>
      <c r="CY580">
        <v>0.1254861111111111</v>
      </c>
      <c r="CZ580">
        <v>98</v>
      </c>
      <c r="DA580">
        <v>185</v>
      </c>
      <c r="DB580">
        <v>16</v>
      </c>
      <c r="DC580">
        <v>1.4375</v>
      </c>
      <c r="DD580">
        <v>17285</v>
      </c>
      <c r="DE580">
        <v>0.1633</v>
      </c>
      <c r="DF580">
        <v>1</v>
      </c>
      <c r="DG580">
        <v>6.25E-2</v>
      </c>
      <c r="DH580">
        <v>4000</v>
      </c>
      <c r="DI580">
        <v>4000</v>
      </c>
      <c r="DM580">
        <v>74</v>
      </c>
    </row>
    <row r="581" spans="91:118" x14ac:dyDescent="0.25">
      <c r="CM581" t="s">
        <v>636</v>
      </c>
      <c r="CN581" t="s">
        <v>7</v>
      </c>
      <c r="CO581" t="s">
        <v>549</v>
      </c>
      <c r="CP581">
        <v>46085</v>
      </c>
      <c r="CQ581">
        <v>1</v>
      </c>
      <c r="CR581">
        <v>1</v>
      </c>
      <c r="CT581">
        <v>1</v>
      </c>
      <c r="CV581">
        <v>0</v>
      </c>
      <c r="CW581">
        <v>0</v>
      </c>
      <c r="CX581">
        <v>0.25549768518518517</v>
      </c>
      <c r="CY581">
        <v>0.10137731481481481</v>
      </c>
      <c r="CZ581">
        <v>162</v>
      </c>
      <c r="DA581">
        <v>259</v>
      </c>
      <c r="DB581">
        <v>56</v>
      </c>
      <c r="DC581" t="s">
        <v>1049</v>
      </c>
      <c r="DD581">
        <v>10283</v>
      </c>
      <c r="DE581">
        <v>0.34570000000000001</v>
      </c>
      <c r="DM581">
        <v>74</v>
      </c>
    </row>
    <row r="582" spans="91:118" x14ac:dyDescent="0.25">
      <c r="CM582" t="s">
        <v>636</v>
      </c>
      <c r="CN582" t="s">
        <v>7</v>
      </c>
      <c r="CO582" t="s">
        <v>549</v>
      </c>
      <c r="CP582">
        <v>46097</v>
      </c>
      <c r="CQ582">
        <v>1</v>
      </c>
      <c r="CR582">
        <v>1</v>
      </c>
      <c r="CT582">
        <v>1</v>
      </c>
      <c r="CV582">
        <v>0</v>
      </c>
      <c r="CW582">
        <v>0</v>
      </c>
      <c r="CX582">
        <v>0.25837962962962963</v>
      </c>
      <c r="CY582">
        <v>0.10990740740740741</v>
      </c>
      <c r="CZ582">
        <v>232</v>
      </c>
      <c r="DA582">
        <v>372</v>
      </c>
      <c r="DB582">
        <v>69</v>
      </c>
      <c r="DC582" t="s">
        <v>1050</v>
      </c>
      <c r="DD582">
        <v>8090</v>
      </c>
      <c r="DE582">
        <v>0.2974</v>
      </c>
      <c r="DM582">
        <v>74</v>
      </c>
    </row>
    <row r="583" spans="91:118" x14ac:dyDescent="0.25">
      <c r="CM583" t="s">
        <v>636</v>
      </c>
      <c r="CN583" t="s">
        <v>7</v>
      </c>
      <c r="CO583" t="s">
        <v>549</v>
      </c>
      <c r="CP583">
        <v>46104</v>
      </c>
      <c r="CQ583">
        <v>1</v>
      </c>
      <c r="CR583">
        <v>1</v>
      </c>
      <c r="CT583">
        <v>1</v>
      </c>
      <c r="CV583">
        <v>9.7222222222222219E-4</v>
      </c>
      <c r="CW583">
        <v>9.7222222222222219E-4</v>
      </c>
      <c r="CX583">
        <v>0.20603009259259258</v>
      </c>
      <c r="CY583">
        <v>0.13145833333333334</v>
      </c>
      <c r="CZ583">
        <v>182</v>
      </c>
      <c r="DA583">
        <v>260</v>
      </c>
      <c r="DB583">
        <v>26</v>
      </c>
      <c r="DC583" t="s">
        <v>886</v>
      </c>
      <c r="DD583">
        <v>7987</v>
      </c>
      <c r="DE583">
        <v>0.1429</v>
      </c>
      <c r="DM583">
        <v>74</v>
      </c>
    </row>
    <row r="584" spans="91:118" x14ac:dyDescent="0.25">
      <c r="CM584" t="s">
        <v>636</v>
      </c>
      <c r="CN584" t="s">
        <v>7</v>
      </c>
      <c r="CO584" t="s">
        <v>77</v>
      </c>
      <c r="CP584">
        <v>46085</v>
      </c>
      <c r="CQ584">
        <v>1</v>
      </c>
      <c r="CR584">
        <v>1</v>
      </c>
      <c r="CT584">
        <v>1</v>
      </c>
      <c r="CV584">
        <v>0</v>
      </c>
      <c r="CW584">
        <v>0</v>
      </c>
      <c r="CX584">
        <v>0.23872685185185186</v>
      </c>
      <c r="CY584">
        <v>9.8668981481481483E-2</v>
      </c>
      <c r="CZ584">
        <v>95</v>
      </c>
      <c r="DA584">
        <v>226</v>
      </c>
      <c r="DB584">
        <v>39</v>
      </c>
      <c r="DC584" t="s">
        <v>1051</v>
      </c>
      <c r="DD584">
        <v>15256</v>
      </c>
      <c r="DE584">
        <v>0.41049999999999998</v>
      </c>
      <c r="DM584">
        <v>74</v>
      </c>
    </row>
    <row r="585" spans="91:118" x14ac:dyDescent="0.25">
      <c r="CM585" t="s">
        <v>636</v>
      </c>
      <c r="CN585" t="s">
        <v>7</v>
      </c>
      <c r="CO585" t="s">
        <v>77</v>
      </c>
      <c r="CP585">
        <v>46086</v>
      </c>
      <c r="CQ585">
        <v>1</v>
      </c>
      <c r="CR585">
        <v>1</v>
      </c>
      <c r="CT585">
        <v>1</v>
      </c>
      <c r="CV585">
        <v>0</v>
      </c>
      <c r="CW585">
        <v>0</v>
      </c>
      <c r="CX585">
        <v>0.33371527777777776</v>
      </c>
      <c r="CY585">
        <v>9.8171296296296298E-2</v>
      </c>
      <c r="CZ585">
        <v>110</v>
      </c>
      <c r="DA585">
        <v>216</v>
      </c>
      <c r="DB585">
        <v>43</v>
      </c>
      <c r="DC585" t="s">
        <v>814</v>
      </c>
      <c r="DD585">
        <v>14412</v>
      </c>
      <c r="DE585">
        <v>0.39090000000000003</v>
      </c>
      <c r="DM585">
        <v>74</v>
      </c>
    </row>
    <row r="586" spans="91:118" x14ac:dyDescent="0.25">
      <c r="CM586" t="s">
        <v>636</v>
      </c>
      <c r="CN586" t="s">
        <v>7</v>
      </c>
      <c r="CO586" t="s">
        <v>77</v>
      </c>
      <c r="CP586">
        <v>46097</v>
      </c>
      <c r="CQ586">
        <v>1</v>
      </c>
      <c r="CR586">
        <v>1</v>
      </c>
      <c r="CT586">
        <v>1</v>
      </c>
      <c r="CV586">
        <v>3.3217592592592591E-3</v>
      </c>
      <c r="CW586">
        <v>3.3217592592592591E-3</v>
      </c>
      <c r="CX586">
        <v>0.32239583333333333</v>
      </c>
      <c r="CY586">
        <v>6.2615740740740736E-2</v>
      </c>
      <c r="CZ586">
        <v>100</v>
      </c>
      <c r="DA586">
        <v>225</v>
      </c>
      <c r="DB586">
        <v>48</v>
      </c>
      <c r="DC586" t="s">
        <v>731</v>
      </c>
      <c r="DD586">
        <v>17705</v>
      </c>
      <c r="DE586">
        <v>0.48</v>
      </c>
      <c r="DM586">
        <v>74</v>
      </c>
    </row>
    <row r="587" spans="91:118" x14ac:dyDescent="0.25">
      <c r="CM587" t="s">
        <v>636</v>
      </c>
      <c r="CN587" t="s">
        <v>7</v>
      </c>
      <c r="CO587" t="s">
        <v>77</v>
      </c>
      <c r="CP587">
        <v>46100</v>
      </c>
      <c r="CQ587">
        <v>1</v>
      </c>
      <c r="CR587">
        <v>1</v>
      </c>
      <c r="CS587">
        <v>1</v>
      </c>
      <c r="CV587">
        <v>7.5462962962962966E-3</v>
      </c>
      <c r="CW587">
        <v>7.5462962962962966E-3</v>
      </c>
      <c r="CX587">
        <v>0.20998842592592593</v>
      </c>
      <c r="CY587">
        <v>0.14623842592592592</v>
      </c>
      <c r="CZ587">
        <v>124</v>
      </c>
      <c r="DA587">
        <v>229</v>
      </c>
      <c r="DB587">
        <v>26</v>
      </c>
      <c r="DC587" t="s">
        <v>779</v>
      </c>
      <c r="DD587">
        <v>30227</v>
      </c>
      <c r="DE587">
        <v>0.2097</v>
      </c>
      <c r="DF587">
        <v>1</v>
      </c>
      <c r="DG587">
        <v>3.85E-2</v>
      </c>
      <c r="DH587">
        <v>364</v>
      </c>
      <c r="DI587">
        <v>364</v>
      </c>
      <c r="DJ587">
        <v>364</v>
      </c>
      <c r="DK587">
        <v>1</v>
      </c>
      <c r="DM587">
        <v>74</v>
      </c>
      <c r="DN587">
        <v>364</v>
      </c>
    </row>
    <row r="588" spans="91:118" x14ac:dyDescent="0.25">
      <c r="CM588" t="s">
        <v>636</v>
      </c>
      <c r="CN588" t="s">
        <v>7</v>
      </c>
      <c r="CO588" t="s">
        <v>566</v>
      </c>
      <c r="CP588">
        <v>46090</v>
      </c>
      <c r="CQ588">
        <v>1</v>
      </c>
      <c r="CR588">
        <v>1</v>
      </c>
      <c r="CS588">
        <v>1</v>
      </c>
      <c r="CV588">
        <v>6.3541666666666668E-3</v>
      </c>
      <c r="CW588">
        <v>6.3541666666666668E-3</v>
      </c>
      <c r="CX588">
        <v>0.24469907407407407</v>
      </c>
      <c r="CY588">
        <v>8.3402777777777784E-2</v>
      </c>
      <c r="CZ588">
        <v>113</v>
      </c>
      <c r="DA588">
        <v>169</v>
      </c>
      <c r="DB588">
        <v>31</v>
      </c>
      <c r="DC588" t="s">
        <v>934</v>
      </c>
      <c r="DD588">
        <v>7215</v>
      </c>
      <c r="DE588">
        <v>0.27429999999999999</v>
      </c>
      <c r="DF588">
        <v>1</v>
      </c>
      <c r="DG588">
        <v>3.2300000000000002E-2</v>
      </c>
      <c r="DH588">
        <v>300</v>
      </c>
      <c r="DI588">
        <v>300</v>
      </c>
      <c r="DJ588">
        <v>300</v>
      </c>
      <c r="DK588">
        <v>1</v>
      </c>
      <c r="DL588">
        <v>0.12759999999999999</v>
      </c>
      <c r="DM588">
        <v>74</v>
      </c>
      <c r="DN588">
        <v>300</v>
      </c>
    </row>
    <row r="589" spans="91:118" x14ac:dyDescent="0.25">
      <c r="CM589" t="s">
        <v>636</v>
      </c>
      <c r="CN589" t="s">
        <v>7</v>
      </c>
      <c r="CO589" t="s">
        <v>557</v>
      </c>
      <c r="CP589">
        <v>46086</v>
      </c>
      <c r="CQ589">
        <v>1</v>
      </c>
      <c r="CR589">
        <v>1</v>
      </c>
      <c r="CT589">
        <v>1</v>
      </c>
      <c r="CV589">
        <v>2.3148148148148147E-5</v>
      </c>
      <c r="CW589">
        <v>2.3148148148148147E-5</v>
      </c>
      <c r="CX589">
        <v>0.32202546296296297</v>
      </c>
      <c r="CY589">
        <v>9.1817129629629624E-2</v>
      </c>
      <c r="CZ589">
        <v>144</v>
      </c>
      <c r="DA589">
        <v>282</v>
      </c>
      <c r="DB589">
        <v>71</v>
      </c>
      <c r="DC589" t="s">
        <v>1052</v>
      </c>
      <c r="DD589">
        <v>6097</v>
      </c>
      <c r="DE589">
        <v>0.49309999999999998</v>
      </c>
      <c r="DM589">
        <v>74</v>
      </c>
    </row>
    <row r="590" spans="91:118" x14ac:dyDescent="0.25">
      <c r="CM590" t="s">
        <v>636</v>
      </c>
      <c r="CN590" t="s">
        <v>7</v>
      </c>
      <c r="CO590" t="s">
        <v>557</v>
      </c>
      <c r="CP590">
        <v>46093</v>
      </c>
      <c r="CQ590">
        <v>1</v>
      </c>
      <c r="CR590">
        <v>1</v>
      </c>
      <c r="CS590">
        <v>1</v>
      </c>
      <c r="CV590">
        <v>7.2222222222222219E-3</v>
      </c>
      <c r="CW590">
        <v>7.2222222222222219E-3</v>
      </c>
      <c r="CX590">
        <v>0.22460648148148149</v>
      </c>
      <c r="CY590">
        <v>8.9490740740740746E-2</v>
      </c>
      <c r="CZ590">
        <v>85</v>
      </c>
      <c r="DA590">
        <v>161</v>
      </c>
      <c r="DB590">
        <v>46</v>
      </c>
      <c r="DC590" t="s">
        <v>954</v>
      </c>
      <c r="DD590">
        <v>5709</v>
      </c>
      <c r="DE590">
        <v>0.54120000000000001</v>
      </c>
      <c r="DF590">
        <v>1</v>
      </c>
      <c r="DG590">
        <v>2.1700000000000001E-2</v>
      </c>
      <c r="DH590">
        <v>200</v>
      </c>
      <c r="DI590">
        <v>200</v>
      </c>
      <c r="DJ590">
        <v>200</v>
      </c>
      <c r="DK590">
        <v>1</v>
      </c>
      <c r="DL590">
        <v>0.14319999999999999</v>
      </c>
      <c r="DM590">
        <v>74</v>
      </c>
      <c r="DN590">
        <v>200</v>
      </c>
    </row>
    <row r="591" spans="91:118" x14ac:dyDescent="0.25">
      <c r="CM591" t="s">
        <v>636</v>
      </c>
      <c r="CN591" t="s">
        <v>7</v>
      </c>
      <c r="CO591" t="s">
        <v>557</v>
      </c>
      <c r="CP591">
        <v>46104</v>
      </c>
      <c r="CQ591">
        <v>1</v>
      </c>
      <c r="CR591">
        <v>1</v>
      </c>
      <c r="CT591">
        <v>1</v>
      </c>
      <c r="CV591">
        <v>4.1666666666666669E-4</v>
      </c>
      <c r="CW591">
        <v>4.1666666666666669E-4</v>
      </c>
      <c r="CX591">
        <v>0.19965277777777779</v>
      </c>
      <c r="CY591">
        <v>0.13768518518518519</v>
      </c>
      <c r="CZ591">
        <v>129</v>
      </c>
      <c r="DA591">
        <v>266</v>
      </c>
      <c r="DB591">
        <v>23</v>
      </c>
      <c r="DC591" t="s">
        <v>856</v>
      </c>
      <c r="DD591">
        <v>16609</v>
      </c>
      <c r="DE591">
        <v>0.17829999999999999</v>
      </c>
      <c r="DM591">
        <v>74</v>
      </c>
    </row>
    <row r="592" spans="91:118" x14ac:dyDescent="0.25">
      <c r="CM592" t="s">
        <v>636</v>
      </c>
      <c r="CN592" t="s">
        <v>7</v>
      </c>
      <c r="CO592" t="s">
        <v>48</v>
      </c>
      <c r="CP592">
        <v>46083</v>
      </c>
      <c r="CQ592">
        <v>1</v>
      </c>
      <c r="CR592">
        <v>1</v>
      </c>
      <c r="CT592">
        <v>1</v>
      </c>
      <c r="CV592">
        <v>0</v>
      </c>
      <c r="CW592">
        <v>0</v>
      </c>
      <c r="CX592">
        <v>0.23400462962962962</v>
      </c>
      <c r="CY592">
        <v>9.2789351851851845E-2</v>
      </c>
      <c r="CZ592">
        <v>65</v>
      </c>
      <c r="DA592">
        <v>91</v>
      </c>
      <c r="DB592">
        <v>30</v>
      </c>
      <c r="DC592" t="s">
        <v>723</v>
      </c>
      <c r="DD592">
        <v>14978</v>
      </c>
      <c r="DE592">
        <v>0.46150000000000002</v>
      </c>
      <c r="DF592">
        <v>8</v>
      </c>
      <c r="DG592">
        <v>0.26669999999999999</v>
      </c>
      <c r="DH592">
        <v>6083</v>
      </c>
      <c r="DI592">
        <v>760</v>
      </c>
      <c r="DJ592">
        <v>4430</v>
      </c>
      <c r="DK592">
        <v>0.72829999999999995</v>
      </c>
      <c r="DM592">
        <v>74</v>
      </c>
      <c r="DN592">
        <v>886</v>
      </c>
    </row>
    <row r="593" spans="91:118" x14ac:dyDescent="0.25">
      <c r="CM593" t="s">
        <v>636</v>
      </c>
      <c r="CN593" t="s">
        <v>7</v>
      </c>
      <c r="CO593" t="s">
        <v>48</v>
      </c>
      <c r="CP593">
        <v>46086</v>
      </c>
      <c r="CQ593">
        <v>1</v>
      </c>
      <c r="CR593">
        <v>1</v>
      </c>
      <c r="CT593">
        <v>1</v>
      </c>
      <c r="CV593">
        <v>2.7083333333333334E-3</v>
      </c>
      <c r="CW593">
        <v>2.7083333333333334E-3</v>
      </c>
      <c r="CX593">
        <v>0.29703703703703704</v>
      </c>
      <c r="CY593">
        <v>0.13159722222222223</v>
      </c>
      <c r="CZ593">
        <v>110</v>
      </c>
      <c r="DA593">
        <v>161</v>
      </c>
      <c r="DB593">
        <v>38</v>
      </c>
      <c r="DC593" t="s">
        <v>792</v>
      </c>
      <c r="DD593">
        <v>23161</v>
      </c>
      <c r="DE593">
        <v>0.34549999999999997</v>
      </c>
      <c r="DM593">
        <v>74</v>
      </c>
    </row>
    <row r="594" spans="91:118" x14ac:dyDescent="0.25">
      <c r="CM594" t="s">
        <v>636</v>
      </c>
      <c r="CN594" t="s">
        <v>7</v>
      </c>
      <c r="CO594" t="s">
        <v>48</v>
      </c>
      <c r="CP594">
        <v>46097</v>
      </c>
      <c r="CQ594">
        <v>1</v>
      </c>
      <c r="CR594">
        <v>1</v>
      </c>
      <c r="CT594">
        <v>1</v>
      </c>
      <c r="CV594">
        <v>8.4490740740740739E-4</v>
      </c>
      <c r="CW594">
        <v>8.4490740740740739E-4</v>
      </c>
      <c r="CX594">
        <v>0.21140046296296297</v>
      </c>
      <c r="CY594">
        <v>0.19474537037037037</v>
      </c>
      <c r="CZ594">
        <v>79</v>
      </c>
      <c r="DA594">
        <v>135</v>
      </c>
      <c r="DB594">
        <v>29</v>
      </c>
      <c r="DC594" t="s">
        <v>1006</v>
      </c>
      <c r="DD594">
        <v>19373</v>
      </c>
      <c r="DE594">
        <v>0.36709999999999998</v>
      </c>
      <c r="DM594">
        <v>74</v>
      </c>
    </row>
    <row r="595" spans="91:118" x14ac:dyDescent="0.25">
      <c r="CM595" t="s">
        <v>636</v>
      </c>
      <c r="CN595" t="s">
        <v>7</v>
      </c>
      <c r="CO595" t="s">
        <v>48</v>
      </c>
      <c r="CP595">
        <v>46104</v>
      </c>
      <c r="CQ595">
        <v>1</v>
      </c>
      <c r="CR595">
        <v>1</v>
      </c>
      <c r="CT595">
        <v>1</v>
      </c>
      <c r="CV595">
        <v>1.8518518518518518E-4</v>
      </c>
      <c r="CW595">
        <v>1.8518518518518518E-4</v>
      </c>
      <c r="CX595">
        <v>0.22086805555555555</v>
      </c>
      <c r="CY595">
        <v>0.10666666666666667</v>
      </c>
      <c r="CZ595">
        <v>91</v>
      </c>
      <c r="DA595">
        <v>128</v>
      </c>
      <c r="DB595">
        <v>22</v>
      </c>
      <c r="DC595" t="s">
        <v>680</v>
      </c>
      <c r="DD595">
        <v>16141</v>
      </c>
      <c r="DE595">
        <v>0.24179999999999999</v>
      </c>
      <c r="DM595">
        <v>74</v>
      </c>
    </row>
    <row r="596" spans="91:118" x14ac:dyDescent="0.25">
      <c r="CM596" t="s">
        <v>636</v>
      </c>
      <c r="CN596" t="s">
        <v>3</v>
      </c>
      <c r="CO596" t="s">
        <v>174</v>
      </c>
      <c r="CP596">
        <v>46104</v>
      </c>
      <c r="CQ596">
        <v>1</v>
      </c>
      <c r="CR596">
        <v>1</v>
      </c>
      <c r="CT596">
        <v>1</v>
      </c>
      <c r="CV596">
        <v>0</v>
      </c>
      <c r="CW596">
        <v>0</v>
      </c>
      <c r="CX596">
        <v>0.19560185185185186</v>
      </c>
      <c r="CY596">
        <v>0.12893518518518518</v>
      </c>
      <c r="CZ596">
        <v>139</v>
      </c>
      <c r="DA596">
        <v>204</v>
      </c>
      <c r="DB596">
        <v>21</v>
      </c>
      <c r="DC596" t="s">
        <v>962</v>
      </c>
      <c r="DD596">
        <v>21453</v>
      </c>
      <c r="DE596">
        <v>0.15110000000000001</v>
      </c>
      <c r="DM596">
        <v>74</v>
      </c>
    </row>
    <row r="597" spans="91:118" x14ac:dyDescent="0.25">
      <c r="CM597" t="s">
        <v>636</v>
      </c>
      <c r="CN597" t="s">
        <v>3</v>
      </c>
      <c r="CO597" t="s">
        <v>174</v>
      </c>
      <c r="CP597">
        <v>46112</v>
      </c>
      <c r="CQ597">
        <v>1</v>
      </c>
      <c r="CR597">
        <v>1</v>
      </c>
      <c r="CT597">
        <v>1</v>
      </c>
      <c r="CV597">
        <v>1.1574074074074073E-5</v>
      </c>
      <c r="CW597">
        <v>1.1574074074074073E-5</v>
      </c>
      <c r="CX597">
        <v>0.21519675925925927</v>
      </c>
      <c r="CY597">
        <v>0.17178240740740741</v>
      </c>
      <c r="CZ597">
        <v>76</v>
      </c>
      <c r="DA597">
        <v>134</v>
      </c>
      <c r="DB597">
        <v>22</v>
      </c>
      <c r="DC597" t="s">
        <v>695</v>
      </c>
      <c r="DD597">
        <v>35305</v>
      </c>
      <c r="DE597">
        <v>0.28949999999999998</v>
      </c>
      <c r="DF597">
        <v>2</v>
      </c>
      <c r="DG597">
        <v>9.0899999999999995E-2</v>
      </c>
      <c r="DH597">
        <v>1500</v>
      </c>
      <c r="DI597">
        <v>750</v>
      </c>
      <c r="DJ597">
        <v>1000</v>
      </c>
      <c r="DK597">
        <v>0.66669999999999996</v>
      </c>
      <c r="DL597">
        <v>0.2225</v>
      </c>
      <c r="DM597">
        <v>74</v>
      </c>
      <c r="DN597">
        <v>1000</v>
      </c>
    </row>
    <row r="598" spans="91:118" x14ac:dyDescent="0.25">
      <c r="CM598" t="s">
        <v>636</v>
      </c>
      <c r="CN598" t="s">
        <v>3</v>
      </c>
      <c r="CO598" t="s">
        <v>493</v>
      </c>
      <c r="CP598">
        <v>46098</v>
      </c>
      <c r="CQ598">
        <v>1</v>
      </c>
      <c r="CR598">
        <v>1</v>
      </c>
      <c r="CT598">
        <v>1</v>
      </c>
      <c r="CV598">
        <v>0</v>
      </c>
      <c r="CW598">
        <v>0</v>
      </c>
      <c r="CX598">
        <v>0.21990740740740741</v>
      </c>
      <c r="CY598">
        <v>0.10357638888888888</v>
      </c>
      <c r="CZ598">
        <v>147</v>
      </c>
      <c r="DA598">
        <v>192</v>
      </c>
      <c r="DB598">
        <v>37</v>
      </c>
      <c r="DC598" t="s">
        <v>1053</v>
      </c>
      <c r="DD598">
        <v>28305</v>
      </c>
      <c r="DE598">
        <v>0.25169999999999998</v>
      </c>
      <c r="DF598">
        <v>1</v>
      </c>
      <c r="DG598">
        <v>2.7E-2</v>
      </c>
      <c r="DH598">
        <v>1000</v>
      </c>
      <c r="DI598">
        <v>1000</v>
      </c>
      <c r="DJ598">
        <v>1000</v>
      </c>
      <c r="DK598">
        <v>1</v>
      </c>
      <c r="DL598">
        <v>0.38490000000000002</v>
      </c>
      <c r="DM598">
        <v>74</v>
      </c>
      <c r="DN598">
        <v>1000</v>
      </c>
    </row>
    <row r="599" spans="91:118" x14ac:dyDescent="0.25">
      <c r="CM599" t="s">
        <v>636</v>
      </c>
      <c r="CN599" t="s">
        <v>3</v>
      </c>
      <c r="CO599" t="s">
        <v>32</v>
      </c>
      <c r="CP599">
        <v>46104</v>
      </c>
      <c r="CQ599">
        <v>1</v>
      </c>
      <c r="CR599">
        <v>1</v>
      </c>
      <c r="CT599">
        <v>1</v>
      </c>
      <c r="CV599">
        <v>1.9675925925925926E-4</v>
      </c>
      <c r="CW599">
        <v>1.9675925925925926E-4</v>
      </c>
      <c r="CX599">
        <v>0.21164351851851851</v>
      </c>
      <c r="CY599">
        <v>0.10340277777777777</v>
      </c>
      <c r="CZ599">
        <v>76</v>
      </c>
      <c r="DA599">
        <v>169</v>
      </c>
      <c r="DB599">
        <v>25</v>
      </c>
      <c r="DC599">
        <v>1.6</v>
      </c>
      <c r="DD599">
        <v>44148</v>
      </c>
      <c r="DE599">
        <v>0.32890000000000003</v>
      </c>
      <c r="DM599">
        <v>74</v>
      </c>
    </row>
    <row r="600" spans="91:118" x14ac:dyDescent="0.25">
      <c r="CM600" t="s">
        <v>636</v>
      </c>
      <c r="CN600" t="s">
        <v>3</v>
      </c>
      <c r="CO600" t="s">
        <v>32</v>
      </c>
      <c r="CP600">
        <v>46106</v>
      </c>
      <c r="CQ600">
        <v>1</v>
      </c>
      <c r="CR600">
        <v>1</v>
      </c>
      <c r="CT600">
        <v>1</v>
      </c>
      <c r="CV600">
        <v>3.7037037037037035E-4</v>
      </c>
      <c r="CW600">
        <v>3.7037037037037035E-4</v>
      </c>
      <c r="CX600">
        <v>0.18494212962962964</v>
      </c>
      <c r="CY600">
        <v>0.14304398148148148</v>
      </c>
      <c r="CZ600">
        <v>77</v>
      </c>
      <c r="DA600">
        <v>163</v>
      </c>
      <c r="DB600">
        <v>26</v>
      </c>
      <c r="DC600" t="s">
        <v>779</v>
      </c>
      <c r="DD600">
        <v>36836</v>
      </c>
      <c r="DE600">
        <v>0.3377</v>
      </c>
      <c r="DF600">
        <v>2</v>
      </c>
      <c r="DG600">
        <v>7.6899999999999996E-2</v>
      </c>
      <c r="DH600">
        <v>1575</v>
      </c>
      <c r="DI600">
        <v>788</v>
      </c>
      <c r="DJ600">
        <v>1575</v>
      </c>
      <c r="DK600">
        <v>1</v>
      </c>
      <c r="DL600">
        <v>0.13519999999999999</v>
      </c>
      <c r="DM600">
        <v>74</v>
      </c>
      <c r="DN600">
        <v>788</v>
      </c>
    </row>
    <row r="601" spans="91:118" x14ac:dyDescent="0.25">
      <c r="CM601" t="s">
        <v>636</v>
      </c>
      <c r="CN601" t="s">
        <v>3</v>
      </c>
      <c r="CO601" t="s">
        <v>68</v>
      </c>
      <c r="CP601">
        <v>46106</v>
      </c>
      <c r="CQ601">
        <v>1</v>
      </c>
      <c r="CR601">
        <v>1</v>
      </c>
      <c r="CT601">
        <v>1</v>
      </c>
      <c r="CV601">
        <v>2.7777777777777778E-4</v>
      </c>
      <c r="CW601">
        <v>2.7777777777777778E-4</v>
      </c>
      <c r="CX601">
        <v>0.1724074074074074</v>
      </c>
      <c r="CY601">
        <v>0.13717592592592592</v>
      </c>
      <c r="CZ601">
        <v>80</v>
      </c>
      <c r="DA601">
        <v>111</v>
      </c>
      <c r="DB601">
        <v>24</v>
      </c>
      <c r="DC601">
        <v>1.5</v>
      </c>
      <c r="DD601">
        <v>40067</v>
      </c>
      <c r="DE601">
        <v>0.3</v>
      </c>
      <c r="DF601">
        <v>1</v>
      </c>
      <c r="DG601">
        <v>4.1700000000000001E-2</v>
      </c>
      <c r="DH601">
        <v>11000</v>
      </c>
      <c r="DI601">
        <v>11000</v>
      </c>
      <c r="DJ601">
        <v>11000</v>
      </c>
      <c r="DK601">
        <v>1</v>
      </c>
      <c r="DL601">
        <v>0.1077</v>
      </c>
      <c r="DM601">
        <v>74</v>
      </c>
      <c r="DN601">
        <v>11000</v>
      </c>
    </row>
    <row r="602" spans="91:118" x14ac:dyDescent="0.25">
      <c r="CM602" t="s">
        <v>636</v>
      </c>
      <c r="CN602" t="s">
        <v>3</v>
      </c>
      <c r="CO602" t="s">
        <v>29</v>
      </c>
      <c r="CP602">
        <v>46104</v>
      </c>
      <c r="CQ602">
        <v>1</v>
      </c>
      <c r="CR602">
        <v>1</v>
      </c>
      <c r="CT602">
        <v>1</v>
      </c>
      <c r="CV602">
        <v>2.3148148148148149E-4</v>
      </c>
      <c r="CW602">
        <v>2.3148148148148149E-4</v>
      </c>
      <c r="CX602">
        <v>0.20148148148148148</v>
      </c>
      <c r="CY602">
        <v>0.11217592592592593</v>
      </c>
      <c r="CZ602">
        <v>87</v>
      </c>
      <c r="DA602">
        <v>166</v>
      </c>
      <c r="DB602">
        <v>16</v>
      </c>
      <c r="DC602">
        <v>1.625</v>
      </c>
      <c r="DD602">
        <v>24876</v>
      </c>
      <c r="DE602">
        <v>0.18390000000000001</v>
      </c>
      <c r="DM602">
        <v>74</v>
      </c>
    </row>
    <row r="603" spans="91:118" x14ac:dyDescent="0.25">
      <c r="CM603" t="s">
        <v>636</v>
      </c>
      <c r="CN603" t="s">
        <v>3</v>
      </c>
      <c r="CO603" t="s">
        <v>79</v>
      </c>
      <c r="CP603">
        <v>46101</v>
      </c>
      <c r="CQ603">
        <v>1</v>
      </c>
      <c r="CR603">
        <v>1</v>
      </c>
      <c r="CS603">
        <v>1</v>
      </c>
      <c r="CV603">
        <v>9.6226851851851855E-2</v>
      </c>
      <c r="CW603">
        <v>9.6226851851851855E-2</v>
      </c>
      <c r="CX603">
        <v>3.471064814814815E-2</v>
      </c>
      <c r="CY603">
        <v>0.15162037037037038</v>
      </c>
      <c r="CZ603">
        <v>48</v>
      </c>
      <c r="DA603">
        <v>103</v>
      </c>
      <c r="DB603">
        <v>16</v>
      </c>
      <c r="DC603">
        <v>1.875</v>
      </c>
      <c r="DD603">
        <v>29451</v>
      </c>
      <c r="DE603">
        <v>0.33329999999999999</v>
      </c>
      <c r="DF603">
        <v>3</v>
      </c>
      <c r="DG603">
        <v>0.1875</v>
      </c>
      <c r="DH603">
        <v>12410</v>
      </c>
      <c r="DI603">
        <v>4137</v>
      </c>
      <c r="DJ603">
        <v>10810</v>
      </c>
      <c r="DK603">
        <v>0.87109999999999999</v>
      </c>
      <c r="DL603">
        <v>0.11600000000000001</v>
      </c>
      <c r="DM603">
        <v>74</v>
      </c>
      <c r="DN603">
        <v>5405</v>
      </c>
    </row>
    <row r="604" spans="91:118" x14ac:dyDescent="0.25">
      <c r="CM604" t="s">
        <v>636</v>
      </c>
      <c r="CN604" t="s">
        <v>3</v>
      </c>
      <c r="CO604" t="s">
        <v>79</v>
      </c>
      <c r="CP604">
        <v>46104</v>
      </c>
      <c r="CQ604">
        <v>1</v>
      </c>
      <c r="CR604">
        <v>1</v>
      </c>
      <c r="CT604">
        <v>1</v>
      </c>
      <c r="CV604">
        <v>2.6620370370370372E-4</v>
      </c>
      <c r="CW604">
        <v>2.6620370370370372E-4</v>
      </c>
      <c r="CX604">
        <v>0.20246527777777779</v>
      </c>
      <c r="CY604">
        <v>0.10164351851851852</v>
      </c>
      <c r="CZ604">
        <v>41</v>
      </c>
      <c r="DA604">
        <v>96</v>
      </c>
      <c r="DB604">
        <v>13</v>
      </c>
      <c r="DC604">
        <v>2</v>
      </c>
      <c r="DD604">
        <v>43184</v>
      </c>
      <c r="DE604">
        <v>0.31709999999999999</v>
      </c>
      <c r="DM604">
        <v>74</v>
      </c>
    </row>
    <row r="605" spans="91:118" x14ac:dyDescent="0.25">
      <c r="CM605" t="s">
        <v>636</v>
      </c>
      <c r="CN605" t="s">
        <v>3</v>
      </c>
      <c r="CO605" t="s">
        <v>76</v>
      </c>
      <c r="CP605">
        <v>46112</v>
      </c>
      <c r="CQ605">
        <v>1</v>
      </c>
      <c r="CR605">
        <v>1</v>
      </c>
      <c r="CS605">
        <v>1</v>
      </c>
      <c r="CV605">
        <v>7.7326388888888889E-2</v>
      </c>
      <c r="CW605">
        <v>7.7326388888888889E-2</v>
      </c>
      <c r="CX605">
        <v>0.12091435185185186</v>
      </c>
      <c r="CY605">
        <v>0.18868055555555555</v>
      </c>
      <c r="CZ605">
        <v>44</v>
      </c>
      <c r="DA605">
        <v>81</v>
      </c>
      <c r="DB605">
        <v>7</v>
      </c>
      <c r="DC605" t="s">
        <v>850</v>
      </c>
      <c r="DD605">
        <v>29257</v>
      </c>
      <c r="DE605">
        <v>0.15909999999999999</v>
      </c>
      <c r="DF605">
        <v>1</v>
      </c>
      <c r="DG605">
        <v>0.1429</v>
      </c>
      <c r="DH605">
        <v>254</v>
      </c>
      <c r="DI605">
        <v>254</v>
      </c>
      <c r="DJ605">
        <v>254</v>
      </c>
      <c r="DK605">
        <v>1.0012000000000001</v>
      </c>
      <c r="DM605">
        <v>74</v>
      </c>
      <c r="DN605">
        <v>254</v>
      </c>
    </row>
    <row r="606" spans="91:118" x14ac:dyDescent="0.25">
      <c r="CM606" t="s">
        <v>636</v>
      </c>
      <c r="CN606" t="s">
        <v>125</v>
      </c>
      <c r="CO606" t="s">
        <v>72</v>
      </c>
      <c r="CP606">
        <v>46097</v>
      </c>
      <c r="CQ606">
        <v>1</v>
      </c>
      <c r="CR606">
        <v>1</v>
      </c>
      <c r="CS606">
        <v>1</v>
      </c>
      <c r="CV606">
        <v>8.7962962962962968E-3</v>
      </c>
      <c r="CW606">
        <v>8.7962962962962968E-3</v>
      </c>
      <c r="CX606">
        <v>0.24324074074074073</v>
      </c>
      <c r="CY606">
        <v>0.15225694444444443</v>
      </c>
      <c r="CZ606">
        <v>117</v>
      </c>
      <c r="DA606">
        <v>336</v>
      </c>
      <c r="DB606">
        <v>27</v>
      </c>
      <c r="DC606" t="s">
        <v>1021</v>
      </c>
      <c r="DD606">
        <v>35898</v>
      </c>
      <c r="DE606">
        <v>0.23080000000000001</v>
      </c>
      <c r="DF606">
        <v>3</v>
      </c>
      <c r="DG606">
        <v>0.1111</v>
      </c>
      <c r="DH606">
        <v>12500</v>
      </c>
      <c r="DI606">
        <v>4167</v>
      </c>
      <c r="DJ606">
        <v>12000</v>
      </c>
      <c r="DK606">
        <v>0.96</v>
      </c>
      <c r="DL606">
        <v>0.1227</v>
      </c>
      <c r="DM606">
        <v>72</v>
      </c>
      <c r="DN606">
        <v>6000</v>
      </c>
    </row>
    <row r="607" spans="91:118" x14ac:dyDescent="0.25">
      <c r="CM607" t="s">
        <v>636</v>
      </c>
      <c r="CN607" t="s">
        <v>125</v>
      </c>
      <c r="CO607" t="s">
        <v>12</v>
      </c>
      <c r="CP607">
        <v>46101</v>
      </c>
      <c r="CQ607">
        <v>1</v>
      </c>
      <c r="CR607">
        <v>1</v>
      </c>
      <c r="CT607">
        <v>1</v>
      </c>
      <c r="CV607">
        <v>1.7361111111111112E-4</v>
      </c>
      <c r="CW607">
        <v>1.7361111111111112E-4</v>
      </c>
      <c r="CX607">
        <v>0.20248842592592592</v>
      </c>
      <c r="CY607">
        <v>0.14252314814814815</v>
      </c>
      <c r="CZ607">
        <v>79</v>
      </c>
      <c r="DA607">
        <v>198</v>
      </c>
      <c r="DB607">
        <v>17</v>
      </c>
      <c r="DC607" t="s">
        <v>821</v>
      </c>
      <c r="DD607">
        <v>33748</v>
      </c>
      <c r="DE607">
        <v>0.2152</v>
      </c>
      <c r="DF607">
        <v>1</v>
      </c>
      <c r="DG607">
        <v>5.8799999999999998E-2</v>
      </c>
      <c r="DH607">
        <v>350</v>
      </c>
      <c r="DI607">
        <v>350</v>
      </c>
      <c r="DJ607">
        <v>350</v>
      </c>
      <c r="DK607">
        <v>1</v>
      </c>
      <c r="DL607">
        <v>0.2477</v>
      </c>
      <c r="DM607">
        <v>72</v>
      </c>
      <c r="DN607">
        <v>350</v>
      </c>
    </row>
    <row r="608" spans="91:118" x14ac:dyDescent="0.25">
      <c r="CM608" t="s">
        <v>636</v>
      </c>
      <c r="CN608" t="s">
        <v>125</v>
      </c>
      <c r="CO608" t="s">
        <v>206</v>
      </c>
      <c r="CP608">
        <v>46097</v>
      </c>
      <c r="CQ608">
        <v>1</v>
      </c>
      <c r="CR608">
        <v>1</v>
      </c>
      <c r="CT608">
        <v>1</v>
      </c>
      <c r="CV608">
        <v>2.199074074074074E-4</v>
      </c>
      <c r="CW608">
        <v>2.199074074074074E-4</v>
      </c>
      <c r="CX608">
        <v>0.30609953703703702</v>
      </c>
      <c r="CY608">
        <v>0.11667824074074074</v>
      </c>
      <c r="CZ608">
        <v>159</v>
      </c>
      <c r="DA608">
        <v>420</v>
      </c>
      <c r="DB608">
        <v>34</v>
      </c>
      <c r="DC608" t="s">
        <v>966</v>
      </c>
      <c r="DD608">
        <v>30680</v>
      </c>
      <c r="DE608">
        <v>0.21379999999999999</v>
      </c>
      <c r="DF608">
        <v>1</v>
      </c>
      <c r="DG608">
        <v>2.9399999999999999E-2</v>
      </c>
      <c r="DH608">
        <v>3050</v>
      </c>
      <c r="DI608">
        <v>3050</v>
      </c>
      <c r="DJ608">
        <v>3050</v>
      </c>
      <c r="DK608">
        <v>1</v>
      </c>
      <c r="DL608">
        <v>0.18140000000000001</v>
      </c>
      <c r="DM608">
        <v>72</v>
      </c>
      <c r="DN608">
        <v>3050</v>
      </c>
    </row>
    <row r="609" spans="91:118" x14ac:dyDescent="0.25">
      <c r="CM609" t="s">
        <v>636</v>
      </c>
      <c r="CN609" t="s">
        <v>125</v>
      </c>
      <c r="CO609" t="s">
        <v>59</v>
      </c>
      <c r="CP609">
        <v>46098</v>
      </c>
      <c r="CQ609">
        <v>1</v>
      </c>
      <c r="CR609">
        <v>1</v>
      </c>
      <c r="CS609">
        <v>1</v>
      </c>
      <c r="CV609">
        <v>7.0486111111111114E-3</v>
      </c>
      <c r="CW609">
        <v>7.0486111111111114E-3</v>
      </c>
      <c r="CX609">
        <v>0.2026388888888889</v>
      </c>
      <c r="CY609">
        <v>0.13663194444444443</v>
      </c>
      <c r="CZ609">
        <v>144</v>
      </c>
      <c r="DA609">
        <v>231</v>
      </c>
      <c r="DB609">
        <v>20</v>
      </c>
      <c r="DC609">
        <v>1.7</v>
      </c>
      <c r="DD609">
        <v>50050</v>
      </c>
      <c r="DE609">
        <v>0.1389</v>
      </c>
      <c r="DF609">
        <v>1</v>
      </c>
      <c r="DG609">
        <v>0.05</v>
      </c>
      <c r="DH609">
        <v>2200</v>
      </c>
      <c r="DI609">
        <v>2200</v>
      </c>
      <c r="DJ609">
        <v>2200</v>
      </c>
      <c r="DK609">
        <v>1</v>
      </c>
      <c r="DL609">
        <v>0.10489999999999999</v>
      </c>
      <c r="DM609">
        <v>72</v>
      </c>
      <c r="DN609">
        <v>2200</v>
      </c>
    </row>
    <row r="610" spans="91:118" x14ac:dyDescent="0.25">
      <c r="CM610" t="s">
        <v>636</v>
      </c>
      <c r="CN610" t="s">
        <v>2</v>
      </c>
      <c r="CO610" t="s">
        <v>15</v>
      </c>
      <c r="CP610">
        <v>46085</v>
      </c>
      <c r="CQ610">
        <v>1</v>
      </c>
      <c r="CR610">
        <v>1</v>
      </c>
      <c r="CT610">
        <v>1</v>
      </c>
      <c r="CV610">
        <v>0</v>
      </c>
      <c r="CW610">
        <v>0</v>
      </c>
      <c r="CX610">
        <v>0.2467361111111111</v>
      </c>
      <c r="CY610">
        <v>8.7789351851851855E-2</v>
      </c>
      <c r="CZ610">
        <v>130</v>
      </c>
      <c r="DA610">
        <v>156</v>
      </c>
      <c r="DB610">
        <v>14</v>
      </c>
      <c r="DC610">
        <v>1.5</v>
      </c>
      <c r="DD610">
        <v>26376</v>
      </c>
      <c r="DE610">
        <v>0.1077</v>
      </c>
      <c r="DF610">
        <v>1</v>
      </c>
      <c r="DG610">
        <v>7.1400000000000005E-2</v>
      </c>
      <c r="DH610">
        <v>1440</v>
      </c>
      <c r="DI610">
        <v>1440</v>
      </c>
      <c r="DJ610">
        <v>720</v>
      </c>
      <c r="DK610">
        <v>0.5</v>
      </c>
      <c r="DM610">
        <v>72</v>
      </c>
      <c r="DN610">
        <v>720</v>
      </c>
    </row>
    <row r="611" spans="91:118" x14ac:dyDescent="0.25">
      <c r="CM611" t="s">
        <v>636</v>
      </c>
      <c r="CN611" t="s">
        <v>2</v>
      </c>
      <c r="CO611" t="s">
        <v>23</v>
      </c>
      <c r="CP611">
        <v>46083</v>
      </c>
      <c r="CQ611">
        <v>1</v>
      </c>
      <c r="CR611">
        <v>1</v>
      </c>
      <c r="CT611">
        <v>1</v>
      </c>
      <c r="CV611">
        <v>0</v>
      </c>
      <c r="CW611">
        <v>0</v>
      </c>
      <c r="CX611">
        <v>0.2512152777777778</v>
      </c>
      <c r="CY611">
        <v>4.6157407407407404E-2</v>
      </c>
      <c r="CZ611">
        <v>80</v>
      </c>
      <c r="DA611">
        <v>138</v>
      </c>
      <c r="DB611">
        <v>31</v>
      </c>
      <c r="DC611" t="s">
        <v>1019</v>
      </c>
      <c r="DD611">
        <v>29115</v>
      </c>
      <c r="DE611">
        <v>0.38750000000000001</v>
      </c>
      <c r="DF611">
        <v>14</v>
      </c>
      <c r="DG611">
        <v>0.4516</v>
      </c>
      <c r="DH611">
        <v>17258</v>
      </c>
      <c r="DI611">
        <v>1233</v>
      </c>
      <c r="DJ611">
        <v>7008</v>
      </c>
      <c r="DK611">
        <v>0.40610000000000002</v>
      </c>
      <c r="DL611">
        <v>9.4999999999999998E-3</v>
      </c>
      <c r="DM611">
        <v>72</v>
      </c>
      <c r="DN611">
        <v>637</v>
      </c>
    </row>
    <row r="612" spans="91:118" x14ac:dyDescent="0.25">
      <c r="CM612" t="s">
        <v>636</v>
      </c>
      <c r="CN612" t="s">
        <v>2</v>
      </c>
      <c r="CO612" t="s">
        <v>23</v>
      </c>
      <c r="CP612">
        <v>46087</v>
      </c>
      <c r="CQ612">
        <v>1</v>
      </c>
      <c r="CR612">
        <v>1</v>
      </c>
      <c r="CS612">
        <v>1</v>
      </c>
      <c r="CV612">
        <v>1.1203703703703704E-2</v>
      </c>
      <c r="CW612">
        <v>1.1203703703703704E-2</v>
      </c>
      <c r="CX612">
        <v>0.25666666666666665</v>
      </c>
      <c r="CY612">
        <v>6.1851851851851852E-2</v>
      </c>
      <c r="CZ612">
        <v>61</v>
      </c>
      <c r="DA612">
        <v>104</v>
      </c>
      <c r="DB612">
        <v>10</v>
      </c>
      <c r="DC612">
        <v>1.9</v>
      </c>
      <c r="DD612">
        <v>23606</v>
      </c>
      <c r="DE612">
        <v>0.16389999999999999</v>
      </c>
      <c r="DF612">
        <v>1</v>
      </c>
      <c r="DG612">
        <v>0.1</v>
      </c>
      <c r="DH612">
        <v>1800</v>
      </c>
      <c r="DI612">
        <v>1800</v>
      </c>
      <c r="DJ612">
        <v>1350</v>
      </c>
      <c r="DK612">
        <v>0.75</v>
      </c>
      <c r="DL612">
        <v>0.15709999999999999</v>
      </c>
      <c r="DM612">
        <v>72</v>
      </c>
      <c r="DN612">
        <v>1350</v>
      </c>
    </row>
    <row r="613" spans="91:118" x14ac:dyDescent="0.25">
      <c r="CM613" t="s">
        <v>636</v>
      </c>
      <c r="CN613" t="s">
        <v>6</v>
      </c>
      <c r="CO613" t="s">
        <v>19</v>
      </c>
      <c r="CP613">
        <v>46098</v>
      </c>
      <c r="CQ613">
        <v>1</v>
      </c>
      <c r="CR613">
        <v>1</v>
      </c>
      <c r="CT613">
        <v>1</v>
      </c>
      <c r="CV613">
        <v>1.7361111111111112E-4</v>
      </c>
      <c r="CW613">
        <v>1.7361111111111112E-4</v>
      </c>
      <c r="CX613">
        <v>0.21907407407407409</v>
      </c>
      <c r="CY613">
        <v>0.13202546296296297</v>
      </c>
      <c r="CZ613">
        <v>199</v>
      </c>
      <c r="DA613">
        <v>341</v>
      </c>
      <c r="DB613">
        <v>30</v>
      </c>
      <c r="DC613" t="s">
        <v>1054</v>
      </c>
      <c r="DD613">
        <v>21894</v>
      </c>
      <c r="DE613">
        <v>0.15079999999999999</v>
      </c>
      <c r="DF613">
        <v>1</v>
      </c>
      <c r="DG613">
        <v>3.3300000000000003E-2</v>
      </c>
      <c r="DH613">
        <v>3800</v>
      </c>
      <c r="DI613">
        <v>3800</v>
      </c>
      <c r="DJ613">
        <v>3800</v>
      </c>
      <c r="DK613">
        <v>1</v>
      </c>
      <c r="DL613">
        <v>0.16139999999999999</v>
      </c>
      <c r="DM613">
        <v>72</v>
      </c>
      <c r="DN613">
        <v>3800</v>
      </c>
    </row>
    <row r="614" spans="91:118" x14ac:dyDescent="0.25">
      <c r="CM614" t="s">
        <v>636</v>
      </c>
      <c r="CN614" t="s">
        <v>6</v>
      </c>
      <c r="CO614" t="s">
        <v>80</v>
      </c>
      <c r="CP614">
        <v>46093</v>
      </c>
      <c r="CQ614">
        <v>1</v>
      </c>
      <c r="CR614">
        <v>1</v>
      </c>
      <c r="CT614">
        <v>1</v>
      </c>
      <c r="CV614">
        <v>1.1574074074074075E-4</v>
      </c>
      <c r="CW614">
        <v>1.1574074074074075E-4</v>
      </c>
      <c r="CX614">
        <v>0.16163194444444445</v>
      </c>
      <c r="CY614">
        <v>0.15327546296296296</v>
      </c>
      <c r="CZ614">
        <v>60</v>
      </c>
      <c r="DA614">
        <v>98</v>
      </c>
      <c r="DB614">
        <v>10</v>
      </c>
      <c r="DC614">
        <v>2</v>
      </c>
      <c r="DD614">
        <v>41052</v>
      </c>
      <c r="DE614">
        <v>0.16669999999999999</v>
      </c>
      <c r="DF614">
        <v>1</v>
      </c>
      <c r="DG614">
        <v>0.1</v>
      </c>
      <c r="DH614">
        <v>500</v>
      </c>
      <c r="DI614">
        <v>500</v>
      </c>
      <c r="DM614">
        <v>72</v>
      </c>
    </row>
    <row r="615" spans="91:118" x14ac:dyDescent="0.25">
      <c r="CM615" t="s">
        <v>636</v>
      </c>
      <c r="CN615" t="s">
        <v>6</v>
      </c>
      <c r="CO615" t="s">
        <v>80</v>
      </c>
      <c r="CP615">
        <v>46104</v>
      </c>
      <c r="CQ615">
        <v>1</v>
      </c>
      <c r="CR615">
        <v>1</v>
      </c>
      <c r="CT615">
        <v>1</v>
      </c>
      <c r="CV615">
        <v>8.1018518518518516E-5</v>
      </c>
      <c r="CW615">
        <v>8.1018518518518516E-5</v>
      </c>
      <c r="CX615">
        <v>0.16697916666666668</v>
      </c>
      <c r="CY615">
        <v>0.15664351851851852</v>
      </c>
      <c r="CZ615">
        <v>58</v>
      </c>
      <c r="DA615">
        <v>102</v>
      </c>
      <c r="DB615">
        <v>14</v>
      </c>
      <c r="DC615">
        <v>2.5</v>
      </c>
      <c r="DD615">
        <v>42596</v>
      </c>
      <c r="DE615">
        <v>0.2414</v>
      </c>
      <c r="DF615">
        <v>2</v>
      </c>
      <c r="DG615">
        <v>0.1429</v>
      </c>
      <c r="DH615">
        <v>2989</v>
      </c>
      <c r="DI615">
        <v>1495</v>
      </c>
      <c r="DJ615">
        <v>2500</v>
      </c>
      <c r="DK615">
        <v>0.83640000000000003</v>
      </c>
      <c r="DL615">
        <v>0.1719</v>
      </c>
      <c r="DM615">
        <v>72</v>
      </c>
      <c r="DN615">
        <v>2500</v>
      </c>
    </row>
    <row r="616" spans="91:118" x14ac:dyDescent="0.25">
      <c r="CM616" t="s">
        <v>636</v>
      </c>
      <c r="CN616" t="s">
        <v>6</v>
      </c>
      <c r="CO616" t="s">
        <v>105</v>
      </c>
      <c r="CP616">
        <v>46094</v>
      </c>
      <c r="CQ616">
        <v>1</v>
      </c>
      <c r="CR616">
        <v>1</v>
      </c>
      <c r="CT616">
        <v>1</v>
      </c>
      <c r="CV616">
        <v>1.7361111111111112E-4</v>
      </c>
      <c r="CW616">
        <v>1.7361111111111112E-4</v>
      </c>
      <c r="CX616">
        <v>0.21465277777777778</v>
      </c>
      <c r="CY616">
        <v>0.14608796296296298</v>
      </c>
      <c r="CZ616">
        <v>73</v>
      </c>
      <c r="DA616">
        <v>160</v>
      </c>
      <c r="DB616">
        <v>22</v>
      </c>
      <c r="DC616" t="s">
        <v>864</v>
      </c>
      <c r="DD616">
        <v>19985</v>
      </c>
      <c r="DE616">
        <v>0.3014</v>
      </c>
      <c r="DF616">
        <v>2</v>
      </c>
      <c r="DG616">
        <v>9.0899999999999995E-2</v>
      </c>
      <c r="DH616">
        <v>2810</v>
      </c>
      <c r="DI616">
        <v>1405</v>
      </c>
      <c r="DJ616">
        <v>550</v>
      </c>
      <c r="DK616">
        <v>0.19570000000000001</v>
      </c>
      <c r="DL616">
        <v>4.1700000000000001E-2</v>
      </c>
      <c r="DM616">
        <v>72</v>
      </c>
      <c r="DN616">
        <v>550</v>
      </c>
    </row>
    <row r="617" spans="91:118" x14ac:dyDescent="0.25">
      <c r="CM617" t="s">
        <v>636</v>
      </c>
      <c r="CN617" t="s">
        <v>6</v>
      </c>
      <c r="CO617" t="s">
        <v>105</v>
      </c>
      <c r="CP617">
        <v>46099</v>
      </c>
      <c r="CQ617">
        <v>1</v>
      </c>
      <c r="CR617">
        <v>1</v>
      </c>
      <c r="CS617">
        <v>1</v>
      </c>
      <c r="CV617">
        <v>4.6759259259259263E-3</v>
      </c>
      <c r="CW617">
        <v>4.6759259259259263E-3</v>
      </c>
      <c r="CX617">
        <v>0.23646990740740742</v>
      </c>
      <c r="CY617">
        <v>0.13895833333333332</v>
      </c>
      <c r="CZ617">
        <v>98</v>
      </c>
      <c r="DA617">
        <v>185</v>
      </c>
      <c r="DB617">
        <v>15</v>
      </c>
      <c r="DC617">
        <v>2</v>
      </c>
      <c r="DD617">
        <v>30931</v>
      </c>
      <c r="DE617">
        <v>0.15310000000000001</v>
      </c>
      <c r="DF617">
        <v>1</v>
      </c>
      <c r="DG617">
        <v>6.6699999999999995E-2</v>
      </c>
      <c r="DH617">
        <v>4000</v>
      </c>
      <c r="DI617">
        <v>4000</v>
      </c>
      <c r="DJ617">
        <v>4000</v>
      </c>
      <c r="DK617">
        <v>1</v>
      </c>
      <c r="DL617">
        <v>0.11840000000000001</v>
      </c>
      <c r="DM617">
        <v>72</v>
      </c>
      <c r="DN617">
        <v>4000</v>
      </c>
    </row>
    <row r="618" spans="91:118" x14ac:dyDescent="0.25">
      <c r="CM618" t="s">
        <v>636</v>
      </c>
      <c r="CN618" t="s">
        <v>6</v>
      </c>
      <c r="CO618" t="s">
        <v>37</v>
      </c>
      <c r="CP618">
        <v>46083</v>
      </c>
      <c r="CQ618">
        <v>1</v>
      </c>
      <c r="CR618">
        <v>1</v>
      </c>
      <c r="CT618">
        <v>1</v>
      </c>
      <c r="CV618">
        <v>4.1666666666666669E-4</v>
      </c>
      <c r="CW618">
        <v>4.1666666666666669E-4</v>
      </c>
      <c r="CX618">
        <v>0.24347222222222223</v>
      </c>
      <c r="CY618">
        <v>0.10506944444444444</v>
      </c>
      <c r="CZ618">
        <v>49</v>
      </c>
      <c r="DA618">
        <v>79</v>
      </c>
      <c r="DB618">
        <v>27</v>
      </c>
      <c r="DC618" t="s">
        <v>829</v>
      </c>
      <c r="DD618">
        <v>15237</v>
      </c>
      <c r="DE618">
        <v>0.55100000000000005</v>
      </c>
      <c r="DF618">
        <v>7</v>
      </c>
      <c r="DG618">
        <v>0.25929999999999997</v>
      </c>
      <c r="DH618">
        <v>4376</v>
      </c>
      <c r="DI618">
        <v>625</v>
      </c>
      <c r="DJ618">
        <v>2950</v>
      </c>
      <c r="DK618">
        <v>0.67410000000000003</v>
      </c>
      <c r="DL618">
        <v>0.13320000000000001</v>
      </c>
      <c r="DM618">
        <v>72</v>
      </c>
      <c r="DN618">
        <v>738</v>
      </c>
    </row>
    <row r="619" spans="91:118" x14ac:dyDescent="0.25">
      <c r="CM619" t="s">
        <v>636</v>
      </c>
      <c r="CN619" t="s">
        <v>6</v>
      </c>
      <c r="CO619" t="s">
        <v>50</v>
      </c>
      <c r="CP619">
        <v>46085</v>
      </c>
      <c r="CQ619">
        <v>1</v>
      </c>
      <c r="CR619">
        <v>1</v>
      </c>
      <c r="CT619">
        <v>1</v>
      </c>
      <c r="CV619">
        <v>1.273148148148148E-4</v>
      </c>
      <c r="CW619">
        <v>1.273148148148148E-4</v>
      </c>
      <c r="CX619">
        <v>0.22320601851851851</v>
      </c>
      <c r="CY619">
        <v>0.12061342592592593</v>
      </c>
      <c r="CZ619">
        <v>103</v>
      </c>
      <c r="DA619">
        <v>204</v>
      </c>
      <c r="DB619">
        <v>17</v>
      </c>
      <c r="DC619" t="s">
        <v>772</v>
      </c>
      <c r="DD619">
        <v>16777</v>
      </c>
      <c r="DE619">
        <v>0.16500000000000001</v>
      </c>
      <c r="DF619">
        <v>1</v>
      </c>
      <c r="DG619">
        <v>5.8799999999999998E-2</v>
      </c>
      <c r="DH619">
        <v>300</v>
      </c>
      <c r="DI619">
        <v>300</v>
      </c>
      <c r="DJ619">
        <v>300</v>
      </c>
      <c r="DK619">
        <v>1</v>
      </c>
      <c r="DL619">
        <v>0.30370000000000003</v>
      </c>
      <c r="DM619">
        <v>72</v>
      </c>
      <c r="DN619">
        <v>300</v>
      </c>
    </row>
    <row r="620" spans="91:118" x14ac:dyDescent="0.25">
      <c r="CM620" t="s">
        <v>636</v>
      </c>
      <c r="CN620" t="s">
        <v>6</v>
      </c>
      <c r="CO620" t="s">
        <v>50</v>
      </c>
      <c r="CP620">
        <v>46111</v>
      </c>
      <c r="CQ620">
        <v>1</v>
      </c>
      <c r="CR620">
        <v>1</v>
      </c>
      <c r="CS620">
        <v>1</v>
      </c>
      <c r="CV620">
        <v>1.3356481481481481E-2</v>
      </c>
      <c r="CW620">
        <v>1.3356481481481481E-2</v>
      </c>
      <c r="CX620">
        <v>0.18975694444444444</v>
      </c>
      <c r="CY620">
        <v>0.1930787037037037</v>
      </c>
      <c r="CZ620">
        <v>110</v>
      </c>
      <c r="DA620">
        <v>195</v>
      </c>
      <c r="DB620">
        <v>19</v>
      </c>
      <c r="DC620" t="s">
        <v>683</v>
      </c>
      <c r="DD620">
        <v>17595</v>
      </c>
      <c r="DE620">
        <v>0.17269999999999999</v>
      </c>
      <c r="DF620">
        <v>2</v>
      </c>
      <c r="DG620">
        <v>0.1053</v>
      </c>
      <c r="DH620">
        <v>8100</v>
      </c>
      <c r="DI620">
        <v>4050</v>
      </c>
      <c r="DJ620">
        <v>8100</v>
      </c>
      <c r="DK620">
        <v>1</v>
      </c>
      <c r="DL620">
        <v>0.1203</v>
      </c>
      <c r="DM620">
        <v>72</v>
      </c>
      <c r="DN620">
        <v>4050</v>
      </c>
    </row>
    <row r="621" spans="91:118" x14ac:dyDescent="0.25">
      <c r="CM621" t="s">
        <v>636</v>
      </c>
      <c r="CN621" t="s">
        <v>6</v>
      </c>
      <c r="CO621" t="s">
        <v>11</v>
      </c>
      <c r="CP621">
        <v>46090</v>
      </c>
      <c r="CQ621">
        <v>1</v>
      </c>
      <c r="CR621">
        <v>1</v>
      </c>
      <c r="CT621">
        <v>1</v>
      </c>
      <c r="CV621">
        <v>4.6296296296296294E-5</v>
      </c>
      <c r="CW621">
        <v>4.6296296296296294E-5</v>
      </c>
      <c r="CX621">
        <v>0.27266203703703706</v>
      </c>
      <c r="CY621">
        <v>5.1724537037037034E-2</v>
      </c>
      <c r="CZ621">
        <v>86</v>
      </c>
      <c r="DA621">
        <v>182</v>
      </c>
      <c r="DB621">
        <v>24</v>
      </c>
      <c r="DC621" t="s">
        <v>1055</v>
      </c>
      <c r="DD621">
        <v>11892</v>
      </c>
      <c r="DE621">
        <v>0.27910000000000001</v>
      </c>
      <c r="DF621">
        <v>3</v>
      </c>
      <c r="DG621">
        <v>0.125</v>
      </c>
      <c r="DH621">
        <v>6000</v>
      </c>
      <c r="DI621">
        <v>2000</v>
      </c>
      <c r="DJ621">
        <v>5200</v>
      </c>
      <c r="DK621">
        <v>0.86670000000000003</v>
      </c>
      <c r="DL621">
        <v>0.1195</v>
      </c>
      <c r="DM621">
        <v>72</v>
      </c>
      <c r="DN621">
        <v>2600</v>
      </c>
    </row>
    <row r="622" spans="91:118" x14ac:dyDescent="0.25">
      <c r="CM622" t="s">
        <v>636</v>
      </c>
      <c r="CN622" t="s">
        <v>6</v>
      </c>
      <c r="CO622" t="s">
        <v>11</v>
      </c>
      <c r="CP622">
        <v>46105</v>
      </c>
      <c r="CQ622">
        <v>1</v>
      </c>
      <c r="CR622">
        <v>1</v>
      </c>
      <c r="CT622">
        <v>1</v>
      </c>
      <c r="CV622">
        <v>1.7361111111111112E-4</v>
      </c>
      <c r="CW622">
        <v>1.7361111111111112E-4</v>
      </c>
      <c r="CX622">
        <v>0.25702546296296297</v>
      </c>
      <c r="CY622">
        <v>0.13582175925925927</v>
      </c>
      <c r="CZ622">
        <v>124</v>
      </c>
      <c r="DA622">
        <v>229</v>
      </c>
      <c r="DB622">
        <v>34</v>
      </c>
      <c r="DC622" t="s">
        <v>785</v>
      </c>
      <c r="DD622">
        <v>27687</v>
      </c>
      <c r="DE622">
        <v>0.2742</v>
      </c>
      <c r="DF622">
        <v>2</v>
      </c>
      <c r="DG622">
        <v>5.8799999999999998E-2</v>
      </c>
      <c r="DH622">
        <v>5053</v>
      </c>
      <c r="DI622">
        <v>2527</v>
      </c>
      <c r="DJ622">
        <v>2000</v>
      </c>
      <c r="DK622">
        <v>0.39579999999999999</v>
      </c>
      <c r="DL622">
        <v>0.1241</v>
      </c>
      <c r="DM622">
        <v>72</v>
      </c>
      <c r="DN622">
        <v>2000</v>
      </c>
    </row>
    <row r="623" spans="91:118" x14ac:dyDescent="0.25">
      <c r="CM623" t="s">
        <v>636</v>
      </c>
      <c r="CN623" t="s">
        <v>6</v>
      </c>
      <c r="CO623" t="s">
        <v>97</v>
      </c>
      <c r="CP623">
        <v>46092</v>
      </c>
      <c r="CQ623">
        <v>1</v>
      </c>
      <c r="CR623">
        <v>1</v>
      </c>
      <c r="CT623">
        <v>1</v>
      </c>
      <c r="CV623">
        <v>5.7870370370370373E-5</v>
      </c>
      <c r="CW623">
        <v>5.7870370370370373E-5</v>
      </c>
      <c r="CX623">
        <v>0.23212962962962963</v>
      </c>
      <c r="CY623">
        <v>0.11182870370370371</v>
      </c>
      <c r="CZ623">
        <v>86</v>
      </c>
      <c r="DA623">
        <v>167</v>
      </c>
      <c r="DB623">
        <v>20</v>
      </c>
      <c r="DC623">
        <v>1.75</v>
      </c>
      <c r="DD623">
        <v>27411</v>
      </c>
      <c r="DE623">
        <v>0.2326</v>
      </c>
      <c r="DF623">
        <v>2</v>
      </c>
      <c r="DG623">
        <v>0.1</v>
      </c>
      <c r="DH623">
        <v>5400</v>
      </c>
      <c r="DI623">
        <v>2700</v>
      </c>
      <c r="DJ623">
        <v>4000</v>
      </c>
      <c r="DK623">
        <v>0.74070000000000003</v>
      </c>
      <c r="DM623">
        <v>72</v>
      </c>
      <c r="DN623">
        <v>4000</v>
      </c>
    </row>
    <row r="624" spans="91:118" x14ac:dyDescent="0.25">
      <c r="CM624" t="s">
        <v>636</v>
      </c>
      <c r="CN624" t="s">
        <v>6</v>
      </c>
      <c r="CO624" t="s">
        <v>34</v>
      </c>
      <c r="CP624">
        <v>46086</v>
      </c>
      <c r="CQ624">
        <v>1</v>
      </c>
      <c r="CR624">
        <v>1</v>
      </c>
      <c r="CT624">
        <v>1</v>
      </c>
      <c r="CV624">
        <v>2.3148148148148147E-5</v>
      </c>
      <c r="CW624">
        <v>2.3148148148148147E-5</v>
      </c>
      <c r="CX624">
        <v>0.24686342592592592</v>
      </c>
      <c r="CY624">
        <v>0.17508101851851851</v>
      </c>
      <c r="CZ624">
        <v>142</v>
      </c>
      <c r="DA624">
        <v>160</v>
      </c>
      <c r="DB624">
        <v>8</v>
      </c>
      <c r="DC624">
        <v>1.625</v>
      </c>
      <c r="DD624">
        <v>21097</v>
      </c>
      <c r="DE624">
        <v>5.6300000000000003E-2</v>
      </c>
      <c r="DF624">
        <v>1</v>
      </c>
      <c r="DG624">
        <v>0.125</v>
      </c>
      <c r="DH624">
        <v>1050</v>
      </c>
      <c r="DI624">
        <v>1050</v>
      </c>
      <c r="DM624">
        <v>72</v>
      </c>
    </row>
    <row r="625" spans="91:118" x14ac:dyDescent="0.25">
      <c r="CM625" t="s">
        <v>636</v>
      </c>
      <c r="CN625" t="s">
        <v>7</v>
      </c>
      <c r="CO625" t="s">
        <v>41</v>
      </c>
      <c r="CP625">
        <v>46090</v>
      </c>
      <c r="CQ625">
        <v>1</v>
      </c>
      <c r="CR625">
        <v>1</v>
      </c>
      <c r="CT625">
        <v>1</v>
      </c>
      <c r="CV625">
        <v>0</v>
      </c>
      <c r="CW625">
        <v>0</v>
      </c>
      <c r="CX625">
        <v>0.206875</v>
      </c>
      <c r="CY625">
        <v>0.10331018518518519</v>
      </c>
      <c r="CZ625">
        <v>75</v>
      </c>
      <c r="DA625">
        <v>150</v>
      </c>
      <c r="DB625">
        <v>22</v>
      </c>
      <c r="DC625" t="s">
        <v>740</v>
      </c>
      <c r="DD625">
        <v>4008</v>
      </c>
      <c r="DE625">
        <v>0.29330000000000001</v>
      </c>
      <c r="DF625">
        <v>2</v>
      </c>
      <c r="DG625">
        <v>9.0899999999999995E-2</v>
      </c>
      <c r="DH625">
        <v>1200</v>
      </c>
      <c r="DI625">
        <v>600</v>
      </c>
      <c r="DM625">
        <v>72</v>
      </c>
    </row>
    <row r="626" spans="91:118" x14ac:dyDescent="0.25">
      <c r="CM626" t="s">
        <v>636</v>
      </c>
      <c r="CN626" t="s">
        <v>7</v>
      </c>
      <c r="CO626" t="s">
        <v>566</v>
      </c>
      <c r="CP626">
        <v>46112</v>
      </c>
      <c r="CQ626">
        <v>1</v>
      </c>
      <c r="CR626">
        <v>1</v>
      </c>
      <c r="CS626">
        <v>1</v>
      </c>
      <c r="CV626">
        <v>7.9282407407407409E-3</v>
      </c>
      <c r="CW626">
        <v>7.9282407407407409E-3</v>
      </c>
      <c r="CX626">
        <v>0.20553240740740741</v>
      </c>
      <c r="CY626">
        <v>0.18927083333333333</v>
      </c>
      <c r="CZ626">
        <v>60</v>
      </c>
      <c r="DA626">
        <v>190</v>
      </c>
      <c r="DB626">
        <v>30</v>
      </c>
      <c r="DC626" t="s">
        <v>985</v>
      </c>
      <c r="DD626">
        <v>25380</v>
      </c>
      <c r="DE626">
        <v>0.5</v>
      </c>
      <c r="DF626">
        <v>1</v>
      </c>
      <c r="DG626">
        <v>3.3300000000000003E-2</v>
      </c>
      <c r="DH626">
        <v>400</v>
      </c>
      <c r="DI626">
        <v>400</v>
      </c>
      <c r="DJ626">
        <v>400</v>
      </c>
      <c r="DK626">
        <v>1</v>
      </c>
      <c r="DL626">
        <v>0.36299999999999999</v>
      </c>
      <c r="DM626">
        <v>72</v>
      </c>
      <c r="DN626">
        <v>400</v>
      </c>
    </row>
    <row r="627" spans="91:118" x14ac:dyDescent="0.25">
      <c r="CM627" t="s">
        <v>636</v>
      </c>
      <c r="CN627" t="s">
        <v>3</v>
      </c>
      <c r="CO627" t="s">
        <v>174</v>
      </c>
      <c r="CP627">
        <v>46091</v>
      </c>
      <c r="CQ627">
        <v>1</v>
      </c>
      <c r="CR627">
        <v>1</v>
      </c>
      <c r="CS627">
        <v>1</v>
      </c>
      <c r="CV627">
        <v>9.5231481481481486E-2</v>
      </c>
      <c r="CW627">
        <v>9.5231481481481486E-2</v>
      </c>
      <c r="CX627">
        <v>0.24560185185185185</v>
      </c>
      <c r="CY627">
        <v>0.10084490740740741</v>
      </c>
      <c r="CZ627">
        <v>209</v>
      </c>
      <c r="DA627">
        <v>271</v>
      </c>
      <c r="DB627">
        <v>37</v>
      </c>
      <c r="DC627" t="s">
        <v>995</v>
      </c>
      <c r="DD627">
        <v>25879</v>
      </c>
      <c r="DE627">
        <v>0.17699999999999999</v>
      </c>
      <c r="DF627">
        <v>1</v>
      </c>
      <c r="DG627">
        <v>2.7E-2</v>
      </c>
      <c r="DH627">
        <v>4000</v>
      </c>
      <c r="DI627">
        <v>4000</v>
      </c>
      <c r="DJ627">
        <v>4000</v>
      </c>
      <c r="DK627">
        <v>1</v>
      </c>
      <c r="DL627">
        <v>0.377</v>
      </c>
      <c r="DM627">
        <v>72</v>
      </c>
      <c r="DN627">
        <v>4000</v>
      </c>
    </row>
    <row r="628" spans="91:118" x14ac:dyDescent="0.25">
      <c r="CM628" t="s">
        <v>636</v>
      </c>
      <c r="CN628" t="s">
        <v>3</v>
      </c>
      <c r="CO628" t="s">
        <v>32</v>
      </c>
      <c r="CP628">
        <v>46083</v>
      </c>
      <c r="CQ628">
        <v>1</v>
      </c>
      <c r="CR628">
        <v>1</v>
      </c>
      <c r="CT628">
        <v>1</v>
      </c>
      <c r="CV628">
        <v>0</v>
      </c>
      <c r="CW628">
        <v>0</v>
      </c>
      <c r="CX628">
        <v>0.23072916666666668</v>
      </c>
      <c r="CY628">
        <v>0.10376157407407408</v>
      </c>
      <c r="CZ628">
        <v>75</v>
      </c>
      <c r="DA628">
        <v>152</v>
      </c>
      <c r="DB628">
        <v>37</v>
      </c>
      <c r="DC628" t="s">
        <v>1056</v>
      </c>
      <c r="DD628">
        <v>19014</v>
      </c>
      <c r="DE628">
        <v>0.49330000000000002</v>
      </c>
      <c r="DF628">
        <v>6</v>
      </c>
      <c r="DG628">
        <v>0.16220000000000001</v>
      </c>
      <c r="DH628">
        <v>6398</v>
      </c>
      <c r="DI628">
        <v>1066</v>
      </c>
      <c r="DJ628">
        <v>3280</v>
      </c>
      <c r="DK628">
        <v>0.51270000000000004</v>
      </c>
      <c r="DL628">
        <v>6.8699999999999997E-2</v>
      </c>
      <c r="DM628">
        <v>72</v>
      </c>
      <c r="DN628">
        <v>1640</v>
      </c>
    </row>
    <row r="629" spans="91:118" x14ac:dyDescent="0.25">
      <c r="CM629" t="s">
        <v>636</v>
      </c>
      <c r="CN629" t="s">
        <v>3</v>
      </c>
      <c r="CO629" t="s">
        <v>32</v>
      </c>
      <c r="CP629">
        <v>46101</v>
      </c>
      <c r="CQ629">
        <v>1</v>
      </c>
      <c r="CR629">
        <v>1</v>
      </c>
      <c r="CT629">
        <v>1</v>
      </c>
      <c r="CV629">
        <v>1.1574074074074075E-4</v>
      </c>
      <c r="CW629">
        <v>1.1574074074074075E-4</v>
      </c>
      <c r="CX629">
        <v>0.21318287037037037</v>
      </c>
      <c r="CY629">
        <v>0.14123842592592592</v>
      </c>
      <c r="CZ629">
        <v>88</v>
      </c>
      <c r="DA629">
        <v>180</v>
      </c>
      <c r="DB629">
        <v>25</v>
      </c>
      <c r="DC629">
        <v>1.72</v>
      </c>
      <c r="DD629">
        <v>29891</v>
      </c>
      <c r="DE629">
        <v>0.28410000000000002</v>
      </c>
      <c r="DF629">
        <v>2</v>
      </c>
      <c r="DG629">
        <v>0.08</v>
      </c>
      <c r="DH629">
        <v>2900</v>
      </c>
      <c r="DI629">
        <v>1450</v>
      </c>
      <c r="DJ629">
        <v>2500</v>
      </c>
      <c r="DK629">
        <v>0.86209999999999998</v>
      </c>
      <c r="DL629">
        <v>0.12590000000000001</v>
      </c>
      <c r="DM629">
        <v>72</v>
      </c>
      <c r="DN629">
        <v>2500</v>
      </c>
    </row>
    <row r="630" spans="91:118" x14ac:dyDescent="0.25">
      <c r="CM630" t="s">
        <v>636</v>
      </c>
      <c r="CN630" t="s">
        <v>3</v>
      </c>
      <c r="CO630" t="s">
        <v>32</v>
      </c>
      <c r="CP630">
        <v>46108</v>
      </c>
      <c r="CQ630">
        <v>1</v>
      </c>
      <c r="CR630">
        <v>1</v>
      </c>
      <c r="CT630">
        <v>1</v>
      </c>
      <c r="CV630">
        <v>1.273148148148148E-4</v>
      </c>
      <c r="CW630">
        <v>1.273148148148148E-4</v>
      </c>
      <c r="CX630">
        <v>0.22449074074074074</v>
      </c>
      <c r="CY630">
        <v>0.12952546296296297</v>
      </c>
      <c r="CZ630">
        <v>112</v>
      </c>
      <c r="DA630">
        <v>197</v>
      </c>
      <c r="DB630">
        <v>30</v>
      </c>
      <c r="DC630">
        <v>1.8</v>
      </c>
      <c r="DD630">
        <v>28084</v>
      </c>
      <c r="DE630">
        <v>0.26790000000000003</v>
      </c>
      <c r="DF630">
        <v>1</v>
      </c>
      <c r="DG630">
        <v>3.3300000000000003E-2</v>
      </c>
      <c r="DH630">
        <v>8000</v>
      </c>
      <c r="DI630">
        <v>8000</v>
      </c>
      <c r="DJ630">
        <v>8000</v>
      </c>
      <c r="DK630">
        <v>1</v>
      </c>
      <c r="DL630">
        <v>0.1414</v>
      </c>
      <c r="DM630">
        <v>72</v>
      </c>
      <c r="DN630">
        <v>8000</v>
      </c>
    </row>
    <row r="631" spans="91:118" x14ac:dyDescent="0.25">
      <c r="CM631" t="s">
        <v>636</v>
      </c>
      <c r="CN631" t="s">
        <v>3</v>
      </c>
      <c r="CO631" t="s">
        <v>29</v>
      </c>
      <c r="CP631">
        <v>46087</v>
      </c>
      <c r="CQ631">
        <v>1</v>
      </c>
      <c r="CR631">
        <v>1</v>
      </c>
      <c r="CS631">
        <v>1</v>
      </c>
      <c r="CV631">
        <v>7.2453703703703708E-3</v>
      </c>
      <c r="CW631">
        <v>7.2453703703703708E-3</v>
      </c>
      <c r="CX631">
        <v>0.23869212962962963</v>
      </c>
      <c r="CY631">
        <v>6.8020833333333336E-2</v>
      </c>
      <c r="CZ631">
        <v>91</v>
      </c>
      <c r="DA631">
        <v>172</v>
      </c>
      <c r="DB631">
        <v>12</v>
      </c>
      <c r="DC631">
        <v>2.25</v>
      </c>
      <c r="DD631">
        <v>14998</v>
      </c>
      <c r="DE631">
        <v>0.13189999999999999</v>
      </c>
      <c r="DF631">
        <v>2</v>
      </c>
      <c r="DG631">
        <v>0.16669999999999999</v>
      </c>
      <c r="DH631">
        <v>1820</v>
      </c>
      <c r="DI631">
        <v>910</v>
      </c>
      <c r="DJ631">
        <v>1220</v>
      </c>
      <c r="DK631">
        <v>0.67030000000000001</v>
      </c>
      <c r="DL631">
        <v>0.69359999999999999</v>
      </c>
      <c r="DM631">
        <v>72</v>
      </c>
      <c r="DN631">
        <v>610</v>
      </c>
    </row>
    <row r="632" spans="91:118" x14ac:dyDescent="0.25">
      <c r="CM632" t="s">
        <v>636</v>
      </c>
      <c r="CN632" t="s">
        <v>3</v>
      </c>
      <c r="CO632" t="s">
        <v>29</v>
      </c>
      <c r="CP632">
        <v>46094</v>
      </c>
      <c r="CQ632">
        <v>1</v>
      </c>
      <c r="CR632">
        <v>1</v>
      </c>
      <c r="CS632">
        <v>1</v>
      </c>
      <c r="CV632">
        <v>1.1168981481481481E-2</v>
      </c>
      <c r="CW632">
        <v>1.1168981481481481E-2</v>
      </c>
      <c r="CX632">
        <v>0.22163194444444445</v>
      </c>
      <c r="CY632">
        <v>0.12005787037037037</v>
      </c>
      <c r="CZ632">
        <v>108</v>
      </c>
      <c r="DA632">
        <v>191</v>
      </c>
      <c r="DB632">
        <v>20</v>
      </c>
      <c r="DC632">
        <v>1.85</v>
      </c>
      <c r="DD632">
        <v>17354</v>
      </c>
      <c r="DE632">
        <v>0.1852</v>
      </c>
      <c r="DF632">
        <v>1</v>
      </c>
      <c r="DG632">
        <v>0.05</v>
      </c>
      <c r="DH632">
        <v>83</v>
      </c>
      <c r="DI632">
        <v>83</v>
      </c>
      <c r="DJ632">
        <v>83</v>
      </c>
      <c r="DK632">
        <v>1</v>
      </c>
      <c r="DL632">
        <v>0.73440000000000005</v>
      </c>
      <c r="DM632">
        <v>72</v>
      </c>
      <c r="DN632">
        <v>83</v>
      </c>
    </row>
    <row r="633" spans="91:118" x14ac:dyDescent="0.25">
      <c r="CM633" t="s">
        <v>636</v>
      </c>
      <c r="CN633" t="s">
        <v>3</v>
      </c>
      <c r="CO633" t="s">
        <v>79</v>
      </c>
      <c r="CP633">
        <v>46092</v>
      </c>
      <c r="CQ633">
        <v>1</v>
      </c>
      <c r="CR633">
        <v>1</v>
      </c>
      <c r="CT633">
        <v>1</v>
      </c>
      <c r="CV633">
        <v>0</v>
      </c>
      <c r="CW633">
        <v>0</v>
      </c>
      <c r="CX633">
        <v>9.8518518518518519E-2</v>
      </c>
      <c r="CY633">
        <v>6.7280092592592586E-2</v>
      </c>
      <c r="CZ633">
        <v>63</v>
      </c>
      <c r="DA633">
        <v>165</v>
      </c>
      <c r="DB633">
        <v>14</v>
      </c>
      <c r="DC633" t="s">
        <v>762</v>
      </c>
      <c r="DD633">
        <v>9457</v>
      </c>
      <c r="DE633">
        <v>0.22220000000000001</v>
      </c>
      <c r="DF633">
        <v>1</v>
      </c>
      <c r="DG633">
        <v>7.1400000000000005E-2</v>
      </c>
      <c r="DH633">
        <v>1000</v>
      </c>
      <c r="DI633">
        <v>1000</v>
      </c>
      <c r="DM633">
        <v>72</v>
      </c>
    </row>
    <row r="634" spans="91:118" x14ac:dyDescent="0.25">
      <c r="CM634" t="s">
        <v>636</v>
      </c>
      <c r="CN634" t="s">
        <v>3</v>
      </c>
      <c r="CO634" t="s">
        <v>78</v>
      </c>
      <c r="CP634">
        <v>46091</v>
      </c>
      <c r="CQ634">
        <v>1</v>
      </c>
      <c r="CR634">
        <v>1</v>
      </c>
      <c r="CT634">
        <v>1</v>
      </c>
      <c r="CV634">
        <v>2.3148148148148149E-4</v>
      </c>
      <c r="CW634">
        <v>2.3148148148148149E-4</v>
      </c>
      <c r="CX634">
        <v>0.34369212962962964</v>
      </c>
      <c r="CY634">
        <v>7.6377314814814815E-2</v>
      </c>
      <c r="CZ634">
        <v>97</v>
      </c>
      <c r="DA634">
        <v>200</v>
      </c>
      <c r="DB634">
        <v>51</v>
      </c>
      <c r="DC634">
        <v>2</v>
      </c>
      <c r="DD634">
        <v>32558</v>
      </c>
      <c r="DE634">
        <v>0.52580000000000005</v>
      </c>
      <c r="DF634">
        <v>2</v>
      </c>
      <c r="DG634">
        <v>3.9199999999999999E-2</v>
      </c>
      <c r="DH634">
        <v>2000</v>
      </c>
      <c r="DI634">
        <v>1000</v>
      </c>
      <c r="DM634">
        <v>72</v>
      </c>
    </row>
    <row r="635" spans="91:118" x14ac:dyDescent="0.25">
      <c r="CM635" t="s">
        <v>636</v>
      </c>
      <c r="CN635" t="s">
        <v>125</v>
      </c>
      <c r="CO635" t="s">
        <v>12</v>
      </c>
      <c r="CP635">
        <v>46090</v>
      </c>
      <c r="CQ635">
        <v>1</v>
      </c>
      <c r="CR635">
        <v>1</v>
      </c>
      <c r="CT635">
        <v>1</v>
      </c>
      <c r="CV635">
        <v>1.7361111111111112E-4</v>
      </c>
      <c r="CW635">
        <v>1.7361111111111112E-4</v>
      </c>
      <c r="CX635">
        <v>0.22940972222222222</v>
      </c>
      <c r="CY635">
        <v>8.5833333333333331E-2</v>
      </c>
      <c r="CZ635">
        <v>49</v>
      </c>
      <c r="DA635">
        <v>147</v>
      </c>
      <c r="DB635">
        <v>10</v>
      </c>
      <c r="DC635">
        <v>1.5</v>
      </c>
      <c r="DD635">
        <v>17056</v>
      </c>
      <c r="DE635">
        <v>0.2041</v>
      </c>
      <c r="DF635">
        <v>1</v>
      </c>
      <c r="DG635">
        <v>0.1</v>
      </c>
      <c r="DH635">
        <v>500</v>
      </c>
      <c r="DI635">
        <v>500</v>
      </c>
      <c r="DM635">
        <v>70</v>
      </c>
    </row>
    <row r="636" spans="91:118" x14ac:dyDescent="0.25">
      <c r="CM636" t="s">
        <v>636</v>
      </c>
      <c r="CN636" t="s">
        <v>125</v>
      </c>
      <c r="CO636" t="s">
        <v>59</v>
      </c>
      <c r="CP636">
        <v>46083</v>
      </c>
      <c r="CQ636">
        <v>1</v>
      </c>
      <c r="CR636">
        <v>1</v>
      </c>
      <c r="CT636">
        <v>1</v>
      </c>
      <c r="CV636">
        <v>5.7870370370370373E-5</v>
      </c>
      <c r="CW636">
        <v>5.7870370370370373E-5</v>
      </c>
      <c r="CX636">
        <v>0.28708333333333336</v>
      </c>
      <c r="CY636">
        <v>5.7060185185185186E-2</v>
      </c>
      <c r="CZ636">
        <v>188</v>
      </c>
      <c r="DA636">
        <v>368</v>
      </c>
      <c r="DB636">
        <v>28</v>
      </c>
      <c r="DC636">
        <v>1.75</v>
      </c>
      <c r="DD636">
        <v>37386</v>
      </c>
      <c r="DE636">
        <v>0.1489</v>
      </c>
      <c r="DF636">
        <v>10</v>
      </c>
      <c r="DG636">
        <v>0.35709999999999997</v>
      </c>
      <c r="DH636">
        <v>11562</v>
      </c>
      <c r="DI636">
        <v>1156</v>
      </c>
      <c r="DJ636">
        <v>8192</v>
      </c>
      <c r="DK636">
        <v>0.70850000000000002</v>
      </c>
      <c r="DL636">
        <v>0.1678</v>
      </c>
      <c r="DM636">
        <v>70</v>
      </c>
      <c r="DN636">
        <v>1024</v>
      </c>
    </row>
    <row r="637" spans="91:118" x14ac:dyDescent="0.25">
      <c r="CM637" t="s">
        <v>636</v>
      </c>
      <c r="CN637" t="s">
        <v>2</v>
      </c>
      <c r="CO637" t="s">
        <v>24</v>
      </c>
      <c r="CP637">
        <v>46086</v>
      </c>
      <c r="CQ637">
        <v>1</v>
      </c>
      <c r="CR637">
        <v>1</v>
      </c>
      <c r="CS637">
        <v>1</v>
      </c>
      <c r="CV637">
        <v>4.6643518518518518E-3</v>
      </c>
      <c r="CW637">
        <v>4.6643518518518518E-3</v>
      </c>
      <c r="CX637">
        <v>0.34851851851851851</v>
      </c>
      <c r="CY637">
        <v>7.6574074074074072E-2</v>
      </c>
      <c r="CZ637">
        <v>91</v>
      </c>
      <c r="DA637">
        <v>165</v>
      </c>
      <c r="DB637">
        <v>24</v>
      </c>
      <c r="DC637" t="s">
        <v>811</v>
      </c>
      <c r="DD637">
        <v>32001</v>
      </c>
      <c r="DE637">
        <v>0.26369999999999999</v>
      </c>
      <c r="DF637">
        <v>1</v>
      </c>
      <c r="DG637">
        <v>4.1700000000000001E-2</v>
      </c>
      <c r="DH637">
        <v>265</v>
      </c>
      <c r="DI637">
        <v>265</v>
      </c>
      <c r="DJ637">
        <v>265</v>
      </c>
      <c r="DK637">
        <v>1</v>
      </c>
      <c r="DM637">
        <v>70</v>
      </c>
      <c r="DN637">
        <v>265</v>
      </c>
    </row>
    <row r="638" spans="91:118" x14ac:dyDescent="0.25">
      <c r="CM638" t="s">
        <v>636</v>
      </c>
      <c r="CN638" t="s">
        <v>2</v>
      </c>
      <c r="CO638" t="s">
        <v>13</v>
      </c>
      <c r="CP638">
        <v>46104</v>
      </c>
      <c r="CQ638">
        <v>1</v>
      </c>
      <c r="CR638">
        <v>1</v>
      </c>
      <c r="CT638">
        <v>1</v>
      </c>
      <c r="CV638">
        <v>9.2592592592592588E-5</v>
      </c>
      <c r="CW638">
        <v>9.2592592592592588E-5</v>
      </c>
      <c r="CX638">
        <v>0.19084490740740739</v>
      </c>
      <c r="CY638">
        <v>0.10979166666666666</v>
      </c>
      <c r="CZ638">
        <v>73</v>
      </c>
      <c r="DA638">
        <v>157</v>
      </c>
      <c r="DB638">
        <v>18</v>
      </c>
      <c r="DC638">
        <v>2</v>
      </c>
      <c r="DD638">
        <v>16121</v>
      </c>
      <c r="DE638">
        <v>0.24660000000000001</v>
      </c>
      <c r="DF638">
        <v>2</v>
      </c>
      <c r="DG638">
        <v>0.1111</v>
      </c>
      <c r="DH638">
        <v>2600</v>
      </c>
      <c r="DI638">
        <v>1300</v>
      </c>
      <c r="DJ638">
        <v>1100</v>
      </c>
      <c r="DK638">
        <v>0.42309999999999998</v>
      </c>
      <c r="DL638">
        <v>7.5600000000000001E-2</v>
      </c>
      <c r="DM638">
        <v>70</v>
      </c>
      <c r="DN638">
        <v>1100</v>
      </c>
    </row>
    <row r="639" spans="91:118" x14ac:dyDescent="0.25">
      <c r="CM639" t="s">
        <v>636</v>
      </c>
      <c r="CN639" t="s">
        <v>6</v>
      </c>
      <c r="CO639" t="s">
        <v>19</v>
      </c>
      <c r="CP639">
        <v>46091</v>
      </c>
      <c r="CQ639">
        <v>1</v>
      </c>
      <c r="CR639">
        <v>1</v>
      </c>
      <c r="CT639">
        <v>1</v>
      </c>
      <c r="CV639">
        <v>1.273148148148148E-4</v>
      </c>
      <c r="CW639">
        <v>1.273148148148148E-4</v>
      </c>
      <c r="CX639">
        <v>0.30609953703703702</v>
      </c>
      <c r="CY639">
        <v>0.10320601851851852</v>
      </c>
      <c r="CZ639">
        <v>168</v>
      </c>
      <c r="DA639">
        <v>296</v>
      </c>
      <c r="DB639">
        <v>23</v>
      </c>
      <c r="DC639" t="s">
        <v>954</v>
      </c>
      <c r="DD639">
        <v>55861</v>
      </c>
      <c r="DE639">
        <v>0.13689999999999999</v>
      </c>
      <c r="DF639">
        <v>1</v>
      </c>
      <c r="DG639">
        <v>4.3499999999999997E-2</v>
      </c>
      <c r="DH639">
        <v>400</v>
      </c>
      <c r="DI639">
        <v>400</v>
      </c>
      <c r="DJ639">
        <v>400</v>
      </c>
      <c r="DK639">
        <v>1</v>
      </c>
      <c r="DM639">
        <v>70</v>
      </c>
      <c r="DN639">
        <v>400</v>
      </c>
    </row>
    <row r="640" spans="91:118" x14ac:dyDescent="0.25">
      <c r="CM640" t="s">
        <v>636</v>
      </c>
      <c r="CN640" t="s">
        <v>6</v>
      </c>
      <c r="CO640" t="s">
        <v>81</v>
      </c>
      <c r="CP640">
        <v>46104</v>
      </c>
      <c r="CQ640">
        <v>1</v>
      </c>
      <c r="CR640">
        <v>1</v>
      </c>
      <c r="CS640">
        <v>1</v>
      </c>
      <c r="CV640">
        <v>1.0069444444444445E-2</v>
      </c>
      <c r="CW640">
        <v>1.0069444444444445E-2</v>
      </c>
      <c r="CX640">
        <v>0.1980787037037037</v>
      </c>
      <c r="CY640">
        <v>0.12313657407407408</v>
      </c>
      <c r="CZ640">
        <v>52</v>
      </c>
      <c r="DA640">
        <v>87</v>
      </c>
      <c r="DB640">
        <v>12</v>
      </c>
      <c r="DC640" t="s">
        <v>703</v>
      </c>
      <c r="DD640">
        <v>20219</v>
      </c>
      <c r="DE640">
        <v>0.23080000000000001</v>
      </c>
      <c r="DF640">
        <v>1</v>
      </c>
      <c r="DG640">
        <v>8.3299999999999999E-2</v>
      </c>
      <c r="DH640">
        <v>315</v>
      </c>
      <c r="DI640">
        <v>315</v>
      </c>
      <c r="DJ640">
        <v>315</v>
      </c>
      <c r="DK640">
        <v>1</v>
      </c>
      <c r="DL640">
        <v>0.1799</v>
      </c>
      <c r="DM640">
        <v>70</v>
      </c>
      <c r="DN640">
        <v>315</v>
      </c>
    </row>
    <row r="641" spans="91:118" x14ac:dyDescent="0.25">
      <c r="CM641" t="s">
        <v>636</v>
      </c>
      <c r="CN641" t="s">
        <v>6</v>
      </c>
      <c r="CO641" t="s">
        <v>81</v>
      </c>
      <c r="CP641">
        <v>46111</v>
      </c>
      <c r="CQ641">
        <v>1</v>
      </c>
      <c r="CR641">
        <v>1</v>
      </c>
      <c r="CT641">
        <v>1</v>
      </c>
      <c r="CV641">
        <v>3.4722222222222222E-5</v>
      </c>
      <c r="CW641">
        <v>3.4722222222222222E-5</v>
      </c>
      <c r="CX641">
        <v>0.24539351851851851</v>
      </c>
      <c r="CY641">
        <v>0.15053240740740742</v>
      </c>
      <c r="CZ641">
        <v>112</v>
      </c>
      <c r="DA641">
        <v>176</v>
      </c>
      <c r="DB641">
        <v>18</v>
      </c>
      <c r="DC641" t="s">
        <v>690</v>
      </c>
      <c r="DD641">
        <v>24909</v>
      </c>
      <c r="DE641">
        <v>0.16070000000000001</v>
      </c>
      <c r="DF641">
        <v>4</v>
      </c>
      <c r="DG641">
        <v>0.22220000000000001</v>
      </c>
      <c r="DH641">
        <v>5400</v>
      </c>
      <c r="DI641">
        <v>1350</v>
      </c>
      <c r="DJ641">
        <v>4409</v>
      </c>
      <c r="DK641">
        <v>0.8165</v>
      </c>
      <c r="DL641">
        <v>0.14180000000000001</v>
      </c>
      <c r="DM641">
        <v>70</v>
      </c>
      <c r="DN641">
        <v>1470</v>
      </c>
    </row>
    <row r="642" spans="91:118" x14ac:dyDescent="0.25">
      <c r="CM642" t="s">
        <v>636</v>
      </c>
      <c r="CN642" t="s">
        <v>6</v>
      </c>
      <c r="CO642" t="s">
        <v>37</v>
      </c>
      <c r="CP642">
        <v>46084</v>
      </c>
      <c r="CQ642">
        <v>1</v>
      </c>
      <c r="CR642">
        <v>1</v>
      </c>
      <c r="CT642">
        <v>1</v>
      </c>
      <c r="CV642">
        <v>6.9444444444444444E-5</v>
      </c>
      <c r="CW642">
        <v>6.9444444444444444E-5</v>
      </c>
      <c r="CX642">
        <v>0.17229166666666668</v>
      </c>
      <c r="CY642">
        <v>0.17003472222222221</v>
      </c>
      <c r="CZ642">
        <v>114</v>
      </c>
      <c r="DA642">
        <v>157</v>
      </c>
      <c r="DB642">
        <v>15</v>
      </c>
      <c r="DC642" t="s">
        <v>859</v>
      </c>
      <c r="DD642">
        <v>19568</v>
      </c>
      <c r="DE642">
        <v>0.13159999999999999</v>
      </c>
      <c r="DF642">
        <v>2</v>
      </c>
      <c r="DG642">
        <v>0.1333</v>
      </c>
      <c r="DH642">
        <v>430</v>
      </c>
      <c r="DI642">
        <v>215</v>
      </c>
      <c r="DJ642">
        <v>150</v>
      </c>
      <c r="DK642">
        <v>0.3488</v>
      </c>
      <c r="DL642">
        <v>0.2009</v>
      </c>
      <c r="DM642">
        <v>70</v>
      </c>
      <c r="DN642">
        <v>150</v>
      </c>
    </row>
    <row r="643" spans="91:118" x14ac:dyDescent="0.25">
      <c r="CM643" t="s">
        <v>636</v>
      </c>
      <c r="CN643" t="s">
        <v>6</v>
      </c>
      <c r="CO643" t="s">
        <v>35</v>
      </c>
      <c r="CP643">
        <v>46092</v>
      </c>
      <c r="CQ643">
        <v>1</v>
      </c>
      <c r="CR643">
        <v>1</v>
      </c>
      <c r="CT643">
        <v>1</v>
      </c>
      <c r="CV643">
        <v>8.1018518518518516E-5</v>
      </c>
      <c r="CW643">
        <v>8.1018518518518516E-5</v>
      </c>
      <c r="CX643">
        <v>0.19515046296296296</v>
      </c>
      <c r="CY643">
        <v>0.15937499999999999</v>
      </c>
      <c r="CZ643">
        <v>50</v>
      </c>
      <c r="DA643">
        <v>95</v>
      </c>
      <c r="DB643">
        <v>13</v>
      </c>
      <c r="DC643" t="s">
        <v>704</v>
      </c>
      <c r="DD643">
        <v>20120</v>
      </c>
      <c r="DE643">
        <v>0.26</v>
      </c>
      <c r="DF643">
        <v>2</v>
      </c>
      <c r="DG643">
        <v>0.15379999999999999</v>
      </c>
      <c r="DH643">
        <v>1510</v>
      </c>
      <c r="DI643">
        <v>755</v>
      </c>
      <c r="DJ643">
        <v>410</v>
      </c>
      <c r="DK643">
        <v>0.27150000000000002</v>
      </c>
      <c r="DM643">
        <v>70</v>
      </c>
      <c r="DN643">
        <v>410</v>
      </c>
    </row>
    <row r="644" spans="91:118" x14ac:dyDescent="0.25">
      <c r="CM644" t="s">
        <v>636</v>
      </c>
      <c r="CN644" t="s">
        <v>6</v>
      </c>
      <c r="CO644" t="s">
        <v>35</v>
      </c>
      <c r="CP644">
        <v>46106</v>
      </c>
      <c r="CQ644">
        <v>1</v>
      </c>
      <c r="CR644">
        <v>1</v>
      </c>
      <c r="CT644">
        <v>1</v>
      </c>
      <c r="CV644">
        <v>1.6203703703703703E-4</v>
      </c>
      <c r="CW644">
        <v>1.6203703703703703E-4</v>
      </c>
      <c r="CX644">
        <v>0.13870370370370369</v>
      </c>
      <c r="CY644">
        <v>0.1806712962962963</v>
      </c>
      <c r="CZ644">
        <v>46</v>
      </c>
      <c r="DA644">
        <v>79</v>
      </c>
      <c r="DB644">
        <v>15</v>
      </c>
      <c r="DC644" t="s">
        <v>898</v>
      </c>
      <c r="DD644">
        <v>22749</v>
      </c>
      <c r="DE644">
        <v>0.3261</v>
      </c>
      <c r="DF644">
        <v>1</v>
      </c>
      <c r="DG644">
        <v>6.6699999999999995E-2</v>
      </c>
      <c r="DH644">
        <v>500</v>
      </c>
      <c r="DI644">
        <v>500</v>
      </c>
      <c r="DJ644">
        <v>500</v>
      </c>
      <c r="DK644">
        <v>1</v>
      </c>
      <c r="DL644">
        <v>0.1862</v>
      </c>
      <c r="DM644">
        <v>70</v>
      </c>
      <c r="DN644">
        <v>500</v>
      </c>
    </row>
    <row r="645" spans="91:118" x14ac:dyDescent="0.25">
      <c r="CM645" t="s">
        <v>636</v>
      </c>
      <c r="CN645" t="s">
        <v>6</v>
      </c>
      <c r="CO645" t="s">
        <v>50</v>
      </c>
      <c r="CP645">
        <v>46107</v>
      </c>
      <c r="CQ645">
        <v>1</v>
      </c>
      <c r="CR645">
        <v>1</v>
      </c>
      <c r="CT645">
        <v>1</v>
      </c>
      <c r="CV645">
        <v>1.8518518518518518E-4</v>
      </c>
      <c r="CW645">
        <v>1.8518518518518518E-4</v>
      </c>
      <c r="CX645">
        <v>0.17825231481481482</v>
      </c>
      <c r="CY645">
        <v>0.17954861111111112</v>
      </c>
      <c r="CZ645">
        <v>84</v>
      </c>
      <c r="DA645">
        <v>152</v>
      </c>
      <c r="DB645">
        <v>15</v>
      </c>
      <c r="DC645">
        <v>1.6</v>
      </c>
      <c r="DD645">
        <v>30507</v>
      </c>
      <c r="DE645">
        <v>0.17860000000000001</v>
      </c>
      <c r="DF645">
        <v>1</v>
      </c>
      <c r="DG645">
        <v>6.6699999999999995E-2</v>
      </c>
      <c r="DH645">
        <v>1000</v>
      </c>
      <c r="DI645">
        <v>1000</v>
      </c>
      <c r="DM645">
        <v>70</v>
      </c>
    </row>
    <row r="646" spans="91:118" x14ac:dyDescent="0.25">
      <c r="CM646" t="s">
        <v>636</v>
      </c>
      <c r="CN646" t="s">
        <v>6</v>
      </c>
      <c r="CO646" t="s">
        <v>97</v>
      </c>
      <c r="CP646">
        <v>46094</v>
      </c>
      <c r="CQ646">
        <v>1</v>
      </c>
      <c r="CR646">
        <v>1</v>
      </c>
      <c r="CT646">
        <v>1</v>
      </c>
      <c r="CV646">
        <v>3.4722222222222222E-5</v>
      </c>
      <c r="CW646">
        <v>3.4722222222222222E-5</v>
      </c>
      <c r="CX646">
        <v>0.23766203703703703</v>
      </c>
      <c r="CY646">
        <v>0.12914351851851852</v>
      </c>
      <c r="CZ646">
        <v>157</v>
      </c>
      <c r="DA646">
        <v>220</v>
      </c>
      <c r="DB646">
        <v>35</v>
      </c>
      <c r="DC646" t="s">
        <v>906</v>
      </c>
      <c r="DD646">
        <v>23384</v>
      </c>
      <c r="DE646">
        <v>0.22289999999999999</v>
      </c>
      <c r="DF646">
        <v>1</v>
      </c>
      <c r="DG646">
        <v>2.86E-2</v>
      </c>
      <c r="DH646">
        <v>410</v>
      </c>
      <c r="DI646">
        <v>410</v>
      </c>
      <c r="DJ646">
        <v>410</v>
      </c>
      <c r="DK646">
        <v>1</v>
      </c>
      <c r="DM646">
        <v>70</v>
      </c>
      <c r="DN646">
        <v>410</v>
      </c>
    </row>
    <row r="647" spans="91:118" x14ac:dyDescent="0.25">
      <c r="CM647" t="s">
        <v>636</v>
      </c>
      <c r="CN647" t="s">
        <v>6</v>
      </c>
      <c r="CO647" t="s">
        <v>97</v>
      </c>
      <c r="CP647">
        <v>46104</v>
      </c>
      <c r="CQ647">
        <v>1</v>
      </c>
      <c r="CR647">
        <v>1</v>
      </c>
      <c r="CT647">
        <v>1</v>
      </c>
      <c r="CV647">
        <v>0</v>
      </c>
      <c r="CW647">
        <v>0</v>
      </c>
      <c r="CX647">
        <v>0.16037037037037036</v>
      </c>
      <c r="CY647">
        <v>0.21398148148148149</v>
      </c>
      <c r="CZ647">
        <v>139</v>
      </c>
      <c r="DA647">
        <v>225</v>
      </c>
      <c r="DB647">
        <v>28</v>
      </c>
      <c r="DC647" t="s">
        <v>796</v>
      </c>
      <c r="DD647">
        <v>19383</v>
      </c>
      <c r="DE647">
        <v>0.2014</v>
      </c>
      <c r="DF647">
        <v>1</v>
      </c>
      <c r="DG647">
        <v>3.5700000000000003E-2</v>
      </c>
      <c r="DH647">
        <v>1000</v>
      </c>
      <c r="DI647">
        <v>1000</v>
      </c>
      <c r="DJ647">
        <v>1000</v>
      </c>
      <c r="DK647">
        <v>1</v>
      </c>
      <c r="DL647">
        <v>0.1195</v>
      </c>
      <c r="DM647">
        <v>70</v>
      </c>
      <c r="DN647">
        <v>1000</v>
      </c>
    </row>
    <row r="648" spans="91:118" x14ac:dyDescent="0.25">
      <c r="CM648" t="s">
        <v>636</v>
      </c>
      <c r="CN648" t="s">
        <v>7</v>
      </c>
      <c r="CO648" t="s">
        <v>58</v>
      </c>
      <c r="CP648">
        <v>46085</v>
      </c>
      <c r="CQ648">
        <v>1</v>
      </c>
      <c r="CR648">
        <v>1</v>
      </c>
      <c r="CV648">
        <v>0</v>
      </c>
      <c r="CW648">
        <v>0</v>
      </c>
      <c r="CX648">
        <v>0</v>
      </c>
      <c r="CY648">
        <v>0</v>
      </c>
      <c r="DM648">
        <v>70</v>
      </c>
    </row>
    <row r="649" spans="91:118" x14ac:dyDescent="0.25">
      <c r="CM649" t="s">
        <v>636</v>
      </c>
      <c r="CN649" t="s">
        <v>7</v>
      </c>
      <c r="CO649" t="s">
        <v>58</v>
      </c>
      <c r="CP649">
        <v>46104</v>
      </c>
      <c r="CQ649">
        <v>1</v>
      </c>
      <c r="CR649">
        <v>1</v>
      </c>
      <c r="CV649">
        <v>0</v>
      </c>
      <c r="CW649">
        <v>0</v>
      </c>
      <c r="CX649">
        <v>0</v>
      </c>
      <c r="CY649">
        <v>0</v>
      </c>
      <c r="DM649">
        <v>70</v>
      </c>
    </row>
    <row r="650" spans="91:118" x14ac:dyDescent="0.25">
      <c r="CM650" t="s">
        <v>636</v>
      </c>
      <c r="CN650" t="s">
        <v>7</v>
      </c>
      <c r="CO650" t="s">
        <v>58</v>
      </c>
      <c r="CP650">
        <v>46105</v>
      </c>
      <c r="CQ650">
        <v>1</v>
      </c>
      <c r="CR650">
        <v>1</v>
      </c>
      <c r="CV650">
        <v>0</v>
      </c>
      <c r="CW650">
        <v>0</v>
      </c>
      <c r="CX650">
        <v>0</v>
      </c>
      <c r="CY650">
        <v>0</v>
      </c>
      <c r="DM650">
        <v>70</v>
      </c>
    </row>
    <row r="651" spans="91:118" x14ac:dyDescent="0.25">
      <c r="CM651" t="s">
        <v>636</v>
      </c>
      <c r="CN651" t="s">
        <v>7</v>
      </c>
      <c r="CO651" t="s">
        <v>41</v>
      </c>
      <c r="CP651">
        <v>46094</v>
      </c>
      <c r="CQ651">
        <v>1</v>
      </c>
      <c r="CR651">
        <v>1</v>
      </c>
      <c r="CT651">
        <v>1</v>
      </c>
      <c r="CV651">
        <v>3.4722222222222224E-4</v>
      </c>
      <c r="CW651">
        <v>3.4722222222222224E-4</v>
      </c>
      <c r="CX651">
        <v>0.19525462962962964</v>
      </c>
      <c r="CY651">
        <v>0.14219907407407406</v>
      </c>
      <c r="CZ651">
        <v>77</v>
      </c>
      <c r="DA651">
        <v>141</v>
      </c>
      <c r="DB651">
        <v>29</v>
      </c>
      <c r="DC651" t="s">
        <v>984</v>
      </c>
      <c r="DD651">
        <v>4875</v>
      </c>
      <c r="DE651">
        <v>0.37659999999999999</v>
      </c>
      <c r="DF651">
        <v>1</v>
      </c>
      <c r="DG651">
        <v>3.4500000000000003E-2</v>
      </c>
      <c r="DH651">
        <v>255</v>
      </c>
      <c r="DI651">
        <v>255</v>
      </c>
      <c r="DM651">
        <v>70</v>
      </c>
    </row>
    <row r="652" spans="91:118" x14ac:dyDescent="0.25">
      <c r="CM652" t="s">
        <v>636</v>
      </c>
      <c r="CN652" t="s">
        <v>7</v>
      </c>
      <c r="CO652" t="s">
        <v>51</v>
      </c>
      <c r="CP652">
        <v>46104</v>
      </c>
      <c r="CQ652">
        <v>1</v>
      </c>
      <c r="CR652">
        <v>1</v>
      </c>
      <c r="CV652">
        <v>3.4837962962962965E-3</v>
      </c>
      <c r="CW652">
        <v>3.4837962962962965E-3</v>
      </c>
      <c r="CX652">
        <v>0.17537037037037037</v>
      </c>
      <c r="CY652">
        <v>0.1441550925925926</v>
      </c>
      <c r="CZ652">
        <v>107</v>
      </c>
      <c r="DA652">
        <v>199</v>
      </c>
      <c r="DB652">
        <v>14</v>
      </c>
      <c r="DC652" t="s">
        <v>745</v>
      </c>
      <c r="DD652">
        <v>20422</v>
      </c>
      <c r="DE652">
        <v>0.1308</v>
      </c>
      <c r="DM652">
        <v>70</v>
      </c>
    </row>
    <row r="653" spans="91:118" x14ac:dyDescent="0.25">
      <c r="CM653" t="s">
        <v>636</v>
      </c>
      <c r="CN653" t="s">
        <v>7</v>
      </c>
      <c r="CO653" t="s">
        <v>49</v>
      </c>
      <c r="CP653">
        <v>46105</v>
      </c>
      <c r="CQ653">
        <v>1</v>
      </c>
      <c r="CR653">
        <v>1</v>
      </c>
      <c r="CS653">
        <v>1</v>
      </c>
      <c r="CV653">
        <v>9.3865740740740732E-3</v>
      </c>
      <c r="CW653">
        <v>9.3865740740740732E-3</v>
      </c>
      <c r="CX653">
        <v>0.20686342592592594</v>
      </c>
      <c r="CY653">
        <v>0.1660300925925926</v>
      </c>
      <c r="CZ653">
        <v>68</v>
      </c>
      <c r="DA653">
        <v>117</v>
      </c>
      <c r="DB653">
        <v>13</v>
      </c>
      <c r="DC653" t="s">
        <v>843</v>
      </c>
      <c r="DD653">
        <v>21708</v>
      </c>
      <c r="DE653">
        <v>0.19120000000000001</v>
      </c>
      <c r="DM653">
        <v>70</v>
      </c>
    </row>
    <row r="654" spans="91:118" x14ac:dyDescent="0.25">
      <c r="CM654" t="s">
        <v>636</v>
      </c>
      <c r="CN654" t="s">
        <v>7</v>
      </c>
      <c r="CO654" t="s">
        <v>563</v>
      </c>
      <c r="CP654">
        <v>46085</v>
      </c>
      <c r="CQ654">
        <v>1</v>
      </c>
      <c r="CR654">
        <v>1</v>
      </c>
      <c r="CU654">
        <v>1</v>
      </c>
      <c r="CV654">
        <v>0</v>
      </c>
      <c r="CW654">
        <v>0</v>
      </c>
      <c r="CX654">
        <v>0</v>
      </c>
      <c r="CY654">
        <v>0</v>
      </c>
      <c r="DM654">
        <v>70</v>
      </c>
    </row>
    <row r="655" spans="91:118" x14ac:dyDescent="0.25">
      <c r="CM655" t="s">
        <v>636</v>
      </c>
      <c r="CN655" t="s">
        <v>7</v>
      </c>
      <c r="CO655" t="s">
        <v>565</v>
      </c>
      <c r="CP655">
        <v>46085</v>
      </c>
      <c r="CQ655">
        <v>1</v>
      </c>
      <c r="CR655">
        <v>1</v>
      </c>
      <c r="CS655">
        <v>1</v>
      </c>
      <c r="CV655">
        <v>0.22863425925925926</v>
      </c>
      <c r="CW655">
        <v>0.22863425925925926</v>
      </c>
      <c r="CX655">
        <v>9.8796296296296299E-2</v>
      </c>
      <c r="CY655">
        <v>1.3032407407407407E-2</v>
      </c>
      <c r="CZ655">
        <v>60</v>
      </c>
      <c r="DA655">
        <v>89</v>
      </c>
      <c r="DB655">
        <v>15</v>
      </c>
      <c r="DC655" t="s">
        <v>742</v>
      </c>
      <c r="DD655">
        <v>9580</v>
      </c>
      <c r="DE655">
        <v>0.25</v>
      </c>
      <c r="DM655">
        <v>70</v>
      </c>
    </row>
    <row r="656" spans="91:118" x14ac:dyDescent="0.25">
      <c r="CM656" t="s">
        <v>636</v>
      </c>
      <c r="CN656" t="s">
        <v>7</v>
      </c>
      <c r="CO656" t="s">
        <v>565</v>
      </c>
      <c r="CP656">
        <v>46093</v>
      </c>
      <c r="CQ656">
        <v>1</v>
      </c>
      <c r="CR656">
        <v>1</v>
      </c>
      <c r="CT656">
        <v>1</v>
      </c>
      <c r="CV656">
        <v>3.9351851851851852E-4</v>
      </c>
      <c r="CW656">
        <v>3.9351851851851852E-4</v>
      </c>
      <c r="CX656">
        <v>0.23722222222222222</v>
      </c>
      <c r="CY656">
        <v>0.12481481481481481</v>
      </c>
      <c r="CZ656">
        <v>101</v>
      </c>
      <c r="DA656">
        <v>190</v>
      </c>
      <c r="DB656">
        <v>49</v>
      </c>
      <c r="DC656" t="s">
        <v>1057</v>
      </c>
      <c r="DD656">
        <v>6308</v>
      </c>
      <c r="DE656">
        <v>0.48509999999999998</v>
      </c>
      <c r="DF656">
        <v>2</v>
      </c>
      <c r="DG656">
        <v>4.0800000000000003E-2</v>
      </c>
      <c r="DH656">
        <v>600</v>
      </c>
      <c r="DI656">
        <v>300</v>
      </c>
      <c r="DJ656">
        <v>300</v>
      </c>
      <c r="DK656">
        <v>0.5</v>
      </c>
      <c r="DL656">
        <v>9.9400000000000002E-2</v>
      </c>
      <c r="DM656">
        <v>70</v>
      </c>
      <c r="DN656">
        <v>300</v>
      </c>
    </row>
    <row r="657" spans="91:118" x14ac:dyDescent="0.25">
      <c r="CM657" t="s">
        <v>636</v>
      </c>
      <c r="CN657" t="s">
        <v>7</v>
      </c>
      <c r="CO657" t="s">
        <v>565</v>
      </c>
      <c r="CP657">
        <v>46104</v>
      </c>
      <c r="CQ657">
        <v>1</v>
      </c>
      <c r="CR657">
        <v>1</v>
      </c>
      <c r="CU657">
        <v>1</v>
      </c>
      <c r="CV657">
        <v>0</v>
      </c>
      <c r="CW657">
        <v>0</v>
      </c>
      <c r="CX657">
        <v>0</v>
      </c>
      <c r="CY657">
        <v>0</v>
      </c>
      <c r="DM657">
        <v>70</v>
      </c>
    </row>
    <row r="658" spans="91:118" x14ac:dyDescent="0.25">
      <c r="CM658" t="s">
        <v>636</v>
      </c>
      <c r="CN658" t="s">
        <v>7</v>
      </c>
      <c r="CO658" t="s">
        <v>565</v>
      </c>
      <c r="CP658">
        <v>46105</v>
      </c>
      <c r="CQ658">
        <v>1</v>
      </c>
      <c r="CR658">
        <v>1</v>
      </c>
      <c r="CU658">
        <v>1</v>
      </c>
      <c r="CV658">
        <v>0</v>
      </c>
      <c r="CW658">
        <v>0</v>
      </c>
      <c r="CX658">
        <v>0</v>
      </c>
      <c r="CY658">
        <v>0</v>
      </c>
      <c r="DM658">
        <v>70</v>
      </c>
    </row>
    <row r="659" spans="91:118" x14ac:dyDescent="0.25">
      <c r="CM659" t="s">
        <v>636</v>
      </c>
      <c r="CN659" t="s">
        <v>7</v>
      </c>
      <c r="CO659" t="s">
        <v>549</v>
      </c>
      <c r="CP659">
        <v>46105</v>
      </c>
      <c r="CQ659">
        <v>1</v>
      </c>
      <c r="CR659">
        <v>1</v>
      </c>
      <c r="CS659">
        <v>1</v>
      </c>
      <c r="CV659">
        <v>1.2083333333333333E-2</v>
      </c>
      <c r="CW659">
        <v>1.2083333333333333E-2</v>
      </c>
      <c r="CX659">
        <v>0.25482638888888887</v>
      </c>
      <c r="CY659">
        <v>0.13243055555555555</v>
      </c>
      <c r="CZ659">
        <v>211</v>
      </c>
      <c r="DA659">
        <v>345</v>
      </c>
      <c r="DB659">
        <v>42</v>
      </c>
      <c r="DC659" t="s">
        <v>730</v>
      </c>
      <c r="DD659">
        <v>12285</v>
      </c>
      <c r="DE659">
        <v>0.1991</v>
      </c>
      <c r="DM659">
        <v>70</v>
      </c>
    </row>
    <row r="660" spans="91:118" x14ac:dyDescent="0.25">
      <c r="CM660" t="s">
        <v>636</v>
      </c>
      <c r="CN660" t="s">
        <v>7</v>
      </c>
      <c r="CO660" t="s">
        <v>566</v>
      </c>
      <c r="CP660">
        <v>46085</v>
      </c>
      <c r="CQ660">
        <v>1</v>
      </c>
      <c r="CR660">
        <v>1</v>
      </c>
      <c r="CU660">
        <v>1</v>
      </c>
      <c r="CV660">
        <v>0</v>
      </c>
      <c r="CW660">
        <v>0</v>
      </c>
      <c r="CX660">
        <v>0</v>
      </c>
      <c r="CY660">
        <v>0</v>
      </c>
      <c r="DM660">
        <v>70</v>
      </c>
    </row>
    <row r="661" spans="91:118" x14ac:dyDescent="0.25">
      <c r="CM661" t="s">
        <v>636</v>
      </c>
      <c r="CN661" t="s">
        <v>7</v>
      </c>
      <c r="CO661" t="s">
        <v>73</v>
      </c>
      <c r="CP661">
        <v>46104</v>
      </c>
      <c r="CQ661">
        <v>1</v>
      </c>
      <c r="CR661">
        <v>1</v>
      </c>
      <c r="CS661">
        <v>1</v>
      </c>
      <c r="CV661">
        <v>7.5115740740740742E-3</v>
      </c>
      <c r="CW661">
        <v>7.5115740740740742E-3</v>
      </c>
      <c r="CX661">
        <v>0.1635300925925926</v>
      </c>
      <c r="CY661">
        <v>0.15292824074074074</v>
      </c>
      <c r="CZ661">
        <v>57</v>
      </c>
      <c r="DA661">
        <v>99</v>
      </c>
      <c r="DB661">
        <v>10</v>
      </c>
      <c r="DC661">
        <v>1.4</v>
      </c>
      <c r="DD661">
        <v>15369</v>
      </c>
      <c r="DE661">
        <v>0.1754</v>
      </c>
      <c r="DM661">
        <v>70</v>
      </c>
    </row>
    <row r="662" spans="91:118" x14ac:dyDescent="0.25">
      <c r="CM662" t="s">
        <v>636</v>
      </c>
      <c r="CN662" t="s">
        <v>7</v>
      </c>
      <c r="CO662" t="s">
        <v>557</v>
      </c>
      <c r="CP662">
        <v>46101</v>
      </c>
      <c r="CQ662">
        <v>1</v>
      </c>
      <c r="CR662">
        <v>1</v>
      </c>
      <c r="CT662">
        <v>1</v>
      </c>
      <c r="CV662">
        <v>1.8518518518518518E-4</v>
      </c>
      <c r="CW662">
        <v>1.8518518518518518E-4</v>
      </c>
      <c r="CX662">
        <v>0.19969907407407408</v>
      </c>
      <c r="CY662">
        <v>0.14326388888888889</v>
      </c>
      <c r="CZ662">
        <v>102</v>
      </c>
      <c r="DA662">
        <v>169</v>
      </c>
      <c r="DB662">
        <v>23</v>
      </c>
      <c r="DC662" t="s">
        <v>797</v>
      </c>
      <c r="DD662">
        <v>13493</v>
      </c>
      <c r="DE662">
        <v>0.22550000000000001</v>
      </c>
      <c r="DF662">
        <v>2</v>
      </c>
      <c r="DG662">
        <v>8.6999999999999994E-2</v>
      </c>
      <c r="DH662">
        <v>500</v>
      </c>
      <c r="DI662">
        <v>250</v>
      </c>
      <c r="DM662">
        <v>70</v>
      </c>
    </row>
    <row r="663" spans="91:118" x14ac:dyDescent="0.25">
      <c r="CM663" t="s">
        <v>636</v>
      </c>
      <c r="CN663" t="s">
        <v>7</v>
      </c>
      <c r="CO663" t="s">
        <v>48</v>
      </c>
      <c r="CP663">
        <v>46105</v>
      </c>
      <c r="CQ663">
        <v>1</v>
      </c>
      <c r="CR663">
        <v>1</v>
      </c>
      <c r="CU663">
        <v>1</v>
      </c>
      <c r="CV663">
        <v>0</v>
      </c>
      <c r="CW663">
        <v>0</v>
      </c>
      <c r="CX663">
        <v>0</v>
      </c>
      <c r="CY663">
        <v>0</v>
      </c>
      <c r="DM663">
        <v>70</v>
      </c>
    </row>
    <row r="664" spans="91:118" x14ac:dyDescent="0.25">
      <c r="CM664" t="s">
        <v>636</v>
      </c>
      <c r="CN664" t="s">
        <v>7</v>
      </c>
      <c r="CO664" t="s">
        <v>48</v>
      </c>
      <c r="CP664">
        <v>46107</v>
      </c>
      <c r="CQ664">
        <v>1</v>
      </c>
      <c r="CR664">
        <v>1</v>
      </c>
      <c r="CT664">
        <v>1</v>
      </c>
      <c r="CV664">
        <v>1.273148148148148E-4</v>
      </c>
      <c r="CW664">
        <v>1.273148148148148E-4</v>
      </c>
      <c r="CX664">
        <v>0.2038425925925926</v>
      </c>
      <c r="CY664">
        <v>0.14196759259259259</v>
      </c>
      <c r="CZ664">
        <v>75</v>
      </c>
      <c r="DA664">
        <v>97</v>
      </c>
      <c r="DB664">
        <v>19</v>
      </c>
      <c r="DC664" t="s">
        <v>936</v>
      </c>
      <c r="DD664">
        <v>15543</v>
      </c>
      <c r="DE664">
        <v>0.25330000000000003</v>
      </c>
      <c r="DF664">
        <v>1</v>
      </c>
      <c r="DG664">
        <v>5.2600000000000001E-2</v>
      </c>
      <c r="DH664">
        <v>240</v>
      </c>
      <c r="DI664">
        <v>240</v>
      </c>
      <c r="DM664">
        <v>70</v>
      </c>
    </row>
    <row r="665" spans="91:118" x14ac:dyDescent="0.25">
      <c r="CM665" t="s">
        <v>636</v>
      </c>
      <c r="CN665" t="s">
        <v>3</v>
      </c>
      <c r="CO665" t="s">
        <v>174</v>
      </c>
      <c r="CP665">
        <v>46094</v>
      </c>
      <c r="CQ665">
        <v>1</v>
      </c>
      <c r="CR665">
        <v>1</v>
      </c>
      <c r="CT665">
        <v>1</v>
      </c>
      <c r="CV665">
        <v>0</v>
      </c>
      <c r="CW665">
        <v>0</v>
      </c>
      <c r="CX665">
        <v>0.21979166666666666</v>
      </c>
      <c r="CY665">
        <v>0.14644675925925926</v>
      </c>
      <c r="CZ665">
        <v>202</v>
      </c>
      <c r="DA665">
        <v>298</v>
      </c>
      <c r="DB665">
        <v>25</v>
      </c>
      <c r="DC665">
        <v>2.2000000000000002</v>
      </c>
      <c r="DD665">
        <v>8952</v>
      </c>
      <c r="DE665">
        <v>0.12379999999999999</v>
      </c>
      <c r="DF665">
        <v>1</v>
      </c>
      <c r="DG665">
        <v>0.04</v>
      </c>
      <c r="DH665">
        <v>200</v>
      </c>
      <c r="DI665">
        <v>200</v>
      </c>
      <c r="DJ665">
        <v>200</v>
      </c>
      <c r="DK665">
        <v>1</v>
      </c>
      <c r="DL665">
        <v>0.42970000000000003</v>
      </c>
      <c r="DM665">
        <v>70</v>
      </c>
      <c r="DN665">
        <v>200</v>
      </c>
    </row>
    <row r="666" spans="91:118" x14ac:dyDescent="0.25">
      <c r="CM666" t="s">
        <v>636</v>
      </c>
      <c r="CN666" t="s">
        <v>3</v>
      </c>
      <c r="CO666" t="s">
        <v>32</v>
      </c>
      <c r="CP666">
        <v>46084</v>
      </c>
      <c r="CQ666">
        <v>1</v>
      </c>
      <c r="CR666">
        <v>1</v>
      </c>
      <c r="CT666">
        <v>1</v>
      </c>
      <c r="CV666">
        <v>1.6203703703703703E-4</v>
      </c>
      <c r="CW666">
        <v>1.6203703703703703E-4</v>
      </c>
      <c r="CX666">
        <v>0.32120370370370371</v>
      </c>
      <c r="CY666">
        <v>8.8715277777777782E-2</v>
      </c>
      <c r="CZ666">
        <v>96</v>
      </c>
      <c r="DA666">
        <v>203</v>
      </c>
      <c r="DB666">
        <v>39</v>
      </c>
      <c r="DC666" t="s">
        <v>1058</v>
      </c>
      <c r="DD666">
        <v>19707</v>
      </c>
      <c r="DE666">
        <v>0.40629999999999999</v>
      </c>
      <c r="DF666">
        <v>2</v>
      </c>
      <c r="DG666">
        <v>5.1299999999999998E-2</v>
      </c>
      <c r="DH666">
        <v>8500</v>
      </c>
      <c r="DI666">
        <v>4250</v>
      </c>
      <c r="DJ666">
        <v>8500</v>
      </c>
      <c r="DK666">
        <v>1</v>
      </c>
      <c r="DL666">
        <v>0.1731</v>
      </c>
      <c r="DM666">
        <v>70</v>
      </c>
      <c r="DN666">
        <v>4250</v>
      </c>
    </row>
    <row r="667" spans="91:118" x14ac:dyDescent="0.25">
      <c r="CM667" t="s">
        <v>636</v>
      </c>
      <c r="CN667" t="s">
        <v>3</v>
      </c>
      <c r="CO667" t="s">
        <v>32</v>
      </c>
      <c r="CP667">
        <v>46100</v>
      </c>
      <c r="CQ667">
        <v>1</v>
      </c>
      <c r="CR667">
        <v>1</v>
      </c>
      <c r="CT667">
        <v>1</v>
      </c>
      <c r="CV667">
        <v>1.1574074074074075E-4</v>
      </c>
      <c r="CW667">
        <v>1.1574074074074075E-4</v>
      </c>
      <c r="CX667">
        <v>0.22003472222222223</v>
      </c>
      <c r="CY667">
        <v>0.11912037037037038</v>
      </c>
      <c r="CZ667">
        <v>106</v>
      </c>
      <c r="DA667">
        <v>189</v>
      </c>
      <c r="DB667">
        <v>24</v>
      </c>
      <c r="DC667">
        <v>1.375</v>
      </c>
      <c r="DD667">
        <v>45249</v>
      </c>
      <c r="DE667">
        <v>0.22639999999999999</v>
      </c>
      <c r="DF667">
        <v>1</v>
      </c>
      <c r="DG667">
        <v>4.1700000000000001E-2</v>
      </c>
      <c r="DH667">
        <v>680</v>
      </c>
      <c r="DI667">
        <v>680</v>
      </c>
      <c r="DJ667">
        <v>680</v>
      </c>
      <c r="DK667">
        <v>1</v>
      </c>
      <c r="DM667">
        <v>70</v>
      </c>
      <c r="DN667">
        <v>680</v>
      </c>
    </row>
    <row r="668" spans="91:118" x14ac:dyDescent="0.25">
      <c r="CM668" t="s">
        <v>636</v>
      </c>
      <c r="CN668" t="s">
        <v>3</v>
      </c>
      <c r="CO668" t="s">
        <v>96</v>
      </c>
      <c r="CP668">
        <v>46090</v>
      </c>
      <c r="CQ668">
        <v>1</v>
      </c>
      <c r="CR668">
        <v>1</v>
      </c>
      <c r="CT668">
        <v>1</v>
      </c>
      <c r="CV668">
        <v>1.8055555555555555E-3</v>
      </c>
      <c r="CW668">
        <v>1.8055555555555555E-3</v>
      </c>
      <c r="CX668">
        <v>0.24562500000000001</v>
      </c>
      <c r="CY668">
        <v>7.5937500000000005E-2</v>
      </c>
      <c r="CZ668">
        <v>62</v>
      </c>
      <c r="DA668">
        <v>136</v>
      </c>
      <c r="DB668">
        <v>14</v>
      </c>
      <c r="DC668" t="s">
        <v>729</v>
      </c>
      <c r="DD668">
        <v>14802</v>
      </c>
      <c r="DE668">
        <v>0.2258</v>
      </c>
      <c r="DF668">
        <v>1</v>
      </c>
      <c r="DG668">
        <v>7.1400000000000005E-2</v>
      </c>
      <c r="DH668">
        <v>19000</v>
      </c>
      <c r="DI668">
        <v>19000</v>
      </c>
      <c r="DJ668">
        <v>19000</v>
      </c>
      <c r="DK668">
        <v>1</v>
      </c>
      <c r="DL668">
        <v>0.16020000000000001</v>
      </c>
      <c r="DM668">
        <v>70</v>
      </c>
      <c r="DN668">
        <v>19000</v>
      </c>
    </row>
    <row r="669" spans="91:118" x14ac:dyDescent="0.25">
      <c r="CM669" t="s">
        <v>636</v>
      </c>
      <c r="CN669" t="s">
        <v>3</v>
      </c>
      <c r="CO669" t="s">
        <v>68</v>
      </c>
      <c r="CP669">
        <v>46083</v>
      </c>
      <c r="CQ669">
        <v>1</v>
      </c>
      <c r="CR669">
        <v>1</v>
      </c>
      <c r="CS669">
        <v>1</v>
      </c>
      <c r="CV669">
        <v>5.0578703703703706E-3</v>
      </c>
      <c r="CW669">
        <v>5.0578703703703706E-3</v>
      </c>
      <c r="CX669">
        <v>0.24421296296296297</v>
      </c>
      <c r="CY669">
        <v>4.9189814814814818E-2</v>
      </c>
      <c r="CZ669">
        <v>69</v>
      </c>
      <c r="DA669">
        <v>138</v>
      </c>
      <c r="DB669">
        <v>40</v>
      </c>
      <c r="DC669">
        <v>1.4750000000000001</v>
      </c>
      <c r="DD669">
        <v>37716</v>
      </c>
      <c r="DE669">
        <v>0.57969999999999999</v>
      </c>
      <c r="DF669">
        <v>2</v>
      </c>
      <c r="DG669">
        <v>0.05</v>
      </c>
      <c r="DH669">
        <v>2950</v>
      </c>
      <c r="DI669">
        <v>1475</v>
      </c>
      <c r="DJ669">
        <v>2950</v>
      </c>
      <c r="DK669">
        <v>1</v>
      </c>
      <c r="DL669">
        <v>0.1404</v>
      </c>
      <c r="DM669">
        <v>70</v>
      </c>
      <c r="DN669">
        <v>1475</v>
      </c>
    </row>
    <row r="670" spans="91:118" x14ac:dyDescent="0.25">
      <c r="CM670" t="s">
        <v>636</v>
      </c>
      <c r="CN670" t="s">
        <v>3</v>
      </c>
      <c r="CO670" t="s">
        <v>68</v>
      </c>
      <c r="CP670">
        <v>46100</v>
      </c>
      <c r="CQ670">
        <v>1</v>
      </c>
      <c r="CR670">
        <v>1</v>
      </c>
      <c r="CT670">
        <v>1</v>
      </c>
      <c r="CV670">
        <v>2.6620370370370372E-4</v>
      </c>
      <c r="CW670">
        <v>2.6620370370370372E-4</v>
      </c>
      <c r="CX670">
        <v>0.20480324074074074</v>
      </c>
      <c r="CY670">
        <v>0.11335648148148147</v>
      </c>
      <c r="CZ670">
        <v>105</v>
      </c>
      <c r="DA670">
        <v>218</v>
      </c>
      <c r="DB670">
        <v>15</v>
      </c>
      <c r="DC670" t="s">
        <v>718</v>
      </c>
      <c r="DD670">
        <v>40714</v>
      </c>
      <c r="DE670">
        <v>0.1429</v>
      </c>
      <c r="DF670">
        <v>2</v>
      </c>
      <c r="DG670">
        <v>0.1333</v>
      </c>
      <c r="DH670">
        <v>1285</v>
      </c>
      <c r="DI670">
        <v>643</v>
      </c>
      <c r="DJ670">
        <v>1000</v>
      </c>
      <c r="DK670">
        <v>0.7782</v>
      </c>
      <c r="DM670">
        <v>70</v>
      </c>
      <c r="DN670">
        <v>1000</v>
      </c>
    </row>
    <row r="671" spans="91:118" x14ac:dyDescent="0.25">
      <c r="CM671" t="s">
        <v>636</v>
      </c>
      <c r="CN671" t="s">
        <v>3</v>
      </c>
      <c r="CO671" t="s">
        <v>68</v>
      </c>
      <c r="CP671">
        <v>46107</v>
      </c>
      <c r="CQ671">
        <v>1</v>
      </c>
      <c r="CR671">
        <v>1</v>
      </c>
      <c r="CT671">
        <v>1</v>
      </c>
      <c r="CV671">
        <v>3.0092592592592595E-4</v>
      </c>
      <c r="CW671">
        <v>3.0092592592592595E-4</v>
      </c>
      <c r="CX671">
        <v>0.20608796296296297</v>
      </c>
      <c r="CY671">
        <v>0.12541666666666668</v>
      </c>
      <c r="CZ671">
        <v>73</v>
      </c>
      <c r="DA671">
        <v>104</v>
      </c>
      <c r="DB671">
        <v>13</v>
      </c>
      <c r="DC671" t="s">
        <v>764</v>
      </c>
      <c r="DD671">
        <v>41795</v>
      </c>
      <c r="DE671">
        <v>0.17810000000000001</v>
      </c>
      <c r="DF671">
        <v>1</v>
      </c>
      <c r="DG671">
        <v>7.6899999999999996E-2</v>
      </c>
      <c r="DH671">
        <v>10000</v>
      </c>
      <c r="DI671">
        <v>10000</v>
      </c>
      <c r="DJ671">
        <v>10000</v>
      </c>
      <c r="DK671">
        <v>1</v>
      </c>
      <c r="DL671">
        <v>9.35E-2</v>
      </c>
      <c r="DM671">
        <v>70</v>
      </c>
      <c r="DN671">
        <v>10000</v>
      </c>
    </row>
    <row r="672" spans="91:118" x14ac:dyDescent="0.25">
      <c r="CM672" t="s">
        <v>636</v>
      </c>
      <c r="CN672" t="s">
        <v>3</v>
      </c>
      <c r="CO672" t="s">
        <v>38</v>
      </c>
      <c r="CP672">
        <v>46090</v>
      </c>
      <c r="CQ672">
        <v>1</v>
      </c>
      <c r="CR672">
        <v>1</v>
      </c>
      <c r="CT672">
        <v>1</v>
      </c>
      <c r="CV672">
        <v>1.7361111111111112E-4</v>
      </c>
      <c r="CW672">
        <v>1.7361111111111112E-4</v>
      </c>
      <c r="CX672">
        <v>0.21714120370370371</v>
      </c>
      <c r="CY672">
        <v>9.7569444444444445E-2</v>
      </c>
      <c r="CZ672">
        <v>55</v>
      </c>
      <c r="DA672">
        <v>85</v>
      </c>
      <c r="DB672">
        <v>24</v>
      </c>
      <c r="DC672">
        <v>1.875</v>
      </c>
      <c r="DD672">
        <v>14794</v>
      </c>
      <c r="DE672">
        <v>0.43640000000000001</v>
      </c>
      <c r="DF672">
        <v>7</v>
      </c>
      <c r="DG672">
        <v>0.29170000000000001</v>
      </c>
      <c r="DH672">
        <v>15057</v>
      </c>
      <c r="DI672">
        <v>2151</v>
      </c>
      <c r="DJ672">
        <v>12707</v>
      </c>
      <c r="DK672">
        <v>0.84389999999999998</v>
      </c>
      <c r="DL672">
        <v>0.27760000000000001</v>
      </c>
      <c r="DM672">
        <v>70</v>
      </c>
      <c r="DN672">
        <v>2118</v>
      </c>
    </row>
    <row r="673" spans="91:118" x14ac:dyDescent="0.25">
      <c r="CM673" t="s">
        <v>636</v>
      </c>
      <c r="CN673" t="s">
        <v>3</v>
      </c>
      <c r="CO673" t="s">
        <v>78</v>
      </c>
      <c r="CP673">
        <v>46090</v>
      </c>
      <c r="CQ673">
        <v>1</v>
      </c>
      <c r="CR673">
        <v>1</v>
      </c>
      <c r="CV673">
        <v>1.273148148148148E-4</v>
      </c>
      <c r="CW673">
        <v>1.273148148148148E-4</v>
      </c>
      <c r="CX673">
        <v>0.16887731481481483</v>
      </c>
      <c r="CY673">
        <v>0.16005787037037036</v>
      </c>
      <c r="CZ673">
        <v>55</v>
      </c>
      <c r="DA673">
        <v>98</v>
      </c>
      <c r="DB673">
        <v>29</v>
      </c>
      <c r="DC673" t="s">
        <v>866</v>
      </c>
      <c r="DD673">
        <v>15040</v>
      </c>
      <c r="DE673">
        <v>0.52729999999999999</v>
      </c>
      <c r="DF673">
        <v>2</v>
      </c>
      <c r="DG673">
        <v>6.9000000000000006E-2</v>
      </c>
      <c r="DH673">
        <v>4400</v>
      </c>
      <c r="DI673">
        <v>2200</v>
      </c>
      <c r="DJ673">
        <v>4400</v>
      </c>
      <c r="DK673">
        <v>1</v>
      </c>
      <c r="DL673">
        <v>0.6331</v>
      </c>
      <c r="DM673">
        <v>70</v>
      </c>
      <c r="DN673">
        <v>2200</v>
      </c>
    </row>
    <row r="674" spans="91:118" x14ac:dyDescent="0.25">
      <c r="CM674" t="s">
        <v>636</v>
      </c>
      <c r="CN674" t="s">
        <v>3</v>
      </c>
      <c r="CO674" t="s">
        <v>76</v>
      </c>
      <c r="CP674">
        <v>46106</v>
      </c>
      <c r="CQ674">
        <v>1</v>
      </c>
      <c r="CR674">
        <v>1</v>
      </c>
      <c r="CT674">
        <v>1</v>
      </c>
      <c r="CV674">
        <v>0</v>
      </c>
      <c r="CW674">
        <v>0</v>
      </c>
      <c r="CX674">
        <v>0.19586805555555556</v>
      </c>
      <c r="CY674">
        <v>0.12219907407407407</v>
      </c>
      <c r="CZ674">
        <v>73</v>
      </c>
      <c r="DA674">
        <v>92</v>
      </c>
      <c r="DB674">
        <v>11</v>
      </c>
      <c r="DC674" t="s">
        <v>807</v>
      </c>
      <c r="DD674">
        <v>29188</v>
      </c>
      <c r="DE674">
        <v>0.1507</v>
      </c>
      <c r="DF674">
        <v>2</v>
      </c>
      <c r="DG674">
        <v>0.18179999999999999</v>
      </c>
      <c r="DH674">
        <v>27000</v>
      </c>
      <c r="DI674">
        <v>13500</v>
      </c>
      <c r="DJ674">
        <v>7000</v>
      </c>
      <c r="DK674">
        <v>0.25929999999999997</v>
      </c>
      <c r="DL674">
        <v>5.5300000000000002E-2</v>
      </c>
      <c r="DM674">
        <v>70</v>
      </c>
      <c r="DN674">
        <v>7000</v>
      </c>
    </row>
    <row r="675" spans="91:118" x14ac:dyDescent="0.25">
      <c r="CM675" t="s">
        <v>636</v>
      </c>
      <c r="CN675" t="s">
        <v>125</v>
      </c>
      <c r="CO675" t="s">
        <v>60</v>
      </c>
      <c r="CP675">
        <v>46083</v>
      </c>
      <c r="CQ675">
        <v>1</v>
      </c>
      <c r="CR675">
        <v>1</v>
      </c>
      <c r="CT675">
        <v>1</v>
      </c>
      <c r="CV675">
        <v>3.4722222222222222E-5</v>
      </c>
      <c r="CW675">
        <v>3.4722222222222222E-5</v>
      </c>
      <c r="CX675">
        <v>0.28417824074074072</v>
      </c>
      <c r="CY675">
        <v>4.2604166666666665E-2</v>
      </c>
      <c r="CZ675">
        <v>73</v>
      </c>
      <c r="DA675">
        <v>108</v>
      </c>
      <c r="DB675">
        <v>18</v>
      </c>
      <c r="DC675" t="s">
        <v>726</v>
      </c>
      <c r="DD675">
        <v>24366</v>
      </c>
      <c r="DE675">
        <v>0.24660000000000001</v>
      </c>
      <c r="DF675">
        <v>15</v>
      </c>
      <c r="DG675">
        <v>0.83330000000000004</v>
      </c>
      <c r="DH675">
        <v>17289</v>
      </c>
      <c r="DI675">
        <v>1153</v>
      </c>
      <c r="DJ675">
        <v>13920</v>
      </c>
      <c r="DK675">
        <v>0.80510000000000004</v>
      </c>
      <c r="DL675">
        <v>0.24909999999999999</v>
      </c>
      <c r="DM675">
        <v>68</v>
      </c>
      <c r="DN675">
        <v>994</v>
      </c>
    </row>
    <row r="676" spans="91:118" x14ac:dyDescent="0.25">
      <c r="CM676" t="s">
        <v>636</v>
      </c>
      <c r="CN676" t="s">
        <v>125</v>
      </c>
      <c r="CO676" t="s">
        <v>60</v>
      </c>
      <c r="CP676">
        <v>46092</v>
      </c>
      <c r="CQ676">
        <v>1</v>
      </c>
      <c r="CR676">
        <v>1</v>
      </c>
      <c r="CS676">
        <v>1</v>
      </c>
      <c r="CV676">
        <v>4.9652777777777777E-3</v>
      </c>
      <c r="CW676">
        <v>4.9652777777777777E-3</v>
      </c>
      <c r="CX676">
        <v>0.24259259259259258</v>
      </c>
      <c r="CY676">
        <v>7.0844907407407412E-2</v>
      </c>
      <c r="CZ676">
        <v>134</v>
      </c>
      <c r="DA676">
        <v>164</v>
      </c>
      <c r="DB676">
        <v>5</v>
      </c>
      <c r="DC676">
        <v>1.8</v>
      </c>
      <c r="DD676">
        <v>13940</v>
      </c>
      <c r="DE676">
        <v>3.73E-2</v>
      </c>
      <c r="DM676">
        <v>68</v>
      </c>
    </row>
    <row r="677" spans="91:118" x14ac:dyDescent="0.25">
      <c r="CM677" t="s">
        <v>636</v>
      </c>
      <c r="CN677" t="s">
        <v>125</v>
      </c>
      <c r="CO677" t="s">
        <v>85</v>
      </c>
      <c r="CP677">
        <v>46092</v>
      </c>
      <c r="CQ677">
        <v>1</v>
      </c>
      <c r="CR677">
        <v>1</v>
      </c>
      <c r="CS677">
        <v>1</v>
      </c>
      <c r="CV677">
        <v>4.9884259259259257E-3</v>
      </c>
      <c r="CW677">
        <v>4.9884259259259257E-3</v>
      </c>
      <c r="CX677">
        <v>0.26549768518518518</v>
      </c>
      <c r="CY677">
        <v>8.1122685185185187E-2</v>
      </c>
      <c r="CZ677">
        <v>101</v>
      </c>
      <c r="DA677">
        <v>217</v>
      </c>
      <c r="DB677">
        <v>13</v>
      </c>
      <c r="DC677" t="s">
        <v>879</v>
      </c>
      <c r="DD677">
        <v>22937</v>
      </c>
      <c r="DE677">
        <v>0.12870000000000001</v>
      </c>
      <c r="DM677">
        <v>68</v>
      </c>
    </row>
    <row r="678" spans="91:118" x14ac:dyDescent="0.25">
      <c r="CM678" t="s">
        <v>636</v>
      </c>
      <c r="CN678" t="s">
        <v>125</v>
      </c>
      <c r="CO678" t="s">
        <v>12</v>
      </c>
      <c r="CP678">
        <v>46084</v>
      </c>
      <c r="CQ678">
        <v>1</v>
      </c>
      <c r="CR678">
        <v>1</v>
      </c>
      <c r="CT678">
        <v>1</v>
      </c>
      <c r="CV678">
        <v>1.7361111111111112E-4</v>
      </c>
      <c r="CW678">
        <v>1.7361111111111112E-4</v>
      </c>
      <c r="CX678">
        <v>0.32550925925925928</v>
      </c>
      <c r="CY678">
        <v>8.3750000000000005E-2</v>
      </c>
      <c r="CZ678">
        <v>103</v>
      </c>
      <c r="DA678">
        <v>253</v>
      </c>
      <c r="DB678">
        <v>25</v>
      </c>
      <c r="DC678">
        <v>1.4</v>
      </c>
      <c r="DD678">
        <v>25723</v>
      </c>
      <c r="DE678">
        <v>0.2427</v>
      </c>
      <c r="DM678">
        <v>68</v>
      </c>
    </row>
    <row r="679" spans="91:118" x14ac:dyDescent="0.25">
      <c r="CM679" t="s">
        <v>636</v>
      </c>
      <c r="CN679" t="s">
        <v>125</v>
      </c>
      <c r="CO679" t="s">
        <v>122</v>
      </c>
      <c r="CP679">
        <v>46084</v>
      </c>
      <c r="CQ679">
        <v>1</v>
      </c>
      <c r="CR679">
        <v>1</v>
      </c>
      <c r="CT679">
        <v>1</v>
      </c>
      <c r="CV679">
        <v>0</v>
      </c>
      <c r="CW679">
        <v>0</v>
      </c>
      <c r="CX679">
        <v>0.28538194444444442</v>
      </c>
      <c r="CY679">
        <v>7.8148148148148147E-2</v>
      </c>
      <c r="CZ679">
        <v>52</v>
      </c>
      <c r="DA679">
        <v>146</v>
      </c>
      <c r="DB679">
        <v>14</v>
      </c>
      <c r="DC679" t="s">
        <v>988</v>
      </c>
      <c r="DD679">
        <v>48129</v>
      </c>
      <c r="DE679">
        <v>0.26919999999999999</v>
      </c>
      <c r="DM679">
        <v>68</v>
      </c>
    </row>
    <row r="680" spans="91:118" x14ac:dyDescent="0.25">
      <c r="CM680" t="s">
        <v>636</v>
      </c>
      <c r="CN680" t="s">
        <v>125</v>
      </c>
      <c r="CO680" t="s">
        <v>75</v>
      </c>
      <c r="CP680">
        <v>46092</v>
      </c>
      <c r="CQ680">
        <v>1</v>
      </c>
      <c r="CR680">
        <v>1</v>
      </c>
      <c r="CS680">
        <v>1</v>
      </c>
      <c r="CV680">
        <v>7.789351851851852E-3</v>
      </c>
      <c r="CW680">
        <v>7.789351851851852E-3</v>
      </c>
      <c r="CX680">
        <v>0.21769675925925927</v>
      </c>
      <c r="CY680">
        <v>0.10478009259259259</v>
      </c>
      <c r="CZ680">
        <v>63</v>
      </c>
      <c r="DA680">
        <v>156</v>
      </c>
      <c r="DB680">
        <v>8</v>
      </c>
      <c r="DC680">
        <v>1.875</v>
      </c>
      <c r="DD680">
        <v>23504</v>
      </c>
      <c r="DE680">
        <v>0.127</v>
      </c>
      <c r="DM680">
        <v>68</v>
      </c>
    </row>
    <row r="681" spans="91:118" x14ac:dyDescent="0.25">
      <c r="CM681" t="s">
        <v>636</v>
      </c>
      <c r="CN681" t="s">
        <v>125</v>
      </c>
      <c r="CO681" t="s">
        <v>206</v>
      </c>
      <c r="CP681">
        <v>46084</v>
      </c>
      <c r="CQ681">
        <v>1</v>
      </c>
      <c r="CR681">
        <v>1</v>
      </c>
      <c r="CT681">
        <v>1</v>
      </c>
      <c r="CV681">
        <v>1.0416666666666667E-4</v>
      </c>
      <c r="CW681">
        <v>1.0416666666666667E-4</v>
      </c>
      <c r="CX681">
        <v>0.33189814814814816</v>
      </c>
      <c r="CY681">
        <v>7.5219907407407402E-2</v>
      </c>
      <c r="CZ681">
        <v>140</v>
      </c>
      <c r="DA681">
        <v>365</v>
      </c>
      <c r="DB681">
        <v>34</v>
      </c>
      <c r="DC681" t="s">
        <v>821</v>
      </c>
      <c r="DD681">
        <v>25952</v>
      </c>
      <c r="DE681">
        <v>0.2429</v>
      </c>
      <c r="DM681">
        <v>68</v>
      </c>
    </row>
    <row r="682" spans="91:118" x14ac:dyDescent="0.25">
      <c r="CM682" t="s">
        <v>636</v>
      </c>
      <c r="CN682" t="s">
        <v>125</v>
      </c>
      <c r="CO682" t="s">
        <v>59</v>
      </c>
      <c r="CP682">
        <v>46084</v>
      </c>
      <c r="CQ682">
        <v>1</v>
      </c>
      <c r="CR682">
        <v>1</v>
      </c>
      <c r="CT682">
        <v>1</v>
      </c>
      <c r="CV682">
        <v>9.2592592592592588E-5</v>
      </c>
      <c r="CW682">
        <v>9.2592592592592588E-5</v>
      </c>
      <c r="CX682">
        <v>0.32515046296296296</v>
      </c>
      <c r="CY682">
        <v>8.8159722222222223E-2</v>
      </c>
      <c r="CZ682">
        <v>194</v>
      </c>
      <c r="DA682">
        <v>333</v>
      </c>
      <c r="DB682">
        <v>27</v>
      </c>
      <c r="DC682" t="s">
        <v>676</v>
      </c>
      <c r="DD682">
        <v>46292</v>
      </c>
      <c r="DE682">
        <v>0.13919999999999999</v>
      </c>
      <c r="DM682">
        <v>68</v>
      </c>
    </row>
    <row r="683" spans="91:118" x14ac:dyDescent="0.25">
      <c r="CM683" t="s">
        <v>636</v>
      </c>
      <c r="CN683" t="s">
        <v>125</v>
      </c>
      <c r="CO683" t="s">
        <v>10</v>
      </c>
      <c r="CP683">
        <v>46092</v>
      </c>
      <c r="CQ683">
        <v>1</v>
      </c>
      <c r="CR683">
        <v>1</v>
      </c>
      <c r="CV683">
        <v>0</v>
      </c>
      <c r="CW683">
        <v>0</v>
      </c>
      <c r="CX683">
        <v>0</v>
      </c>
      <c r="CY683">
        <v>0</v>
      </c>
      <c r="DM683">
        <v>68</v>
      </c>
    </row>
    <row r="684" spans="91:118" x14ac:dyDescent="0.25">
      <c r="CM684" t="s">
        <v>636</v>
      </c>
      <c r="CN684" t="s">
        <v>2</v>
      </c>
      <c r="CO684" t="s">
        <v>15</v>
      </c>
      <c r="CP684">
        <v>46101</v>
      </c>
      <c r="CQ684">
        <v>1</v>
      </c>
      <c r="CR684">
        <v>1</v>
      </c>
      <c r="CT684">
        <v>1</v>
      </c>
      <c r="CV684">
        <v>1.2268518518518518E-3</v>
      </c>
      <c r="CW684">
        <v>1.2268518518518518E-3</v>
      </c>
      <c r="CX684">
        <v>0.18003472222222222</v>
      </c>
      <c r="CY684">
        <v>0.16733796296296297</v>
      </c>
      <c r="CZ684">
        <v>87</v>
      </c>
      <c r="DA684">
        <v>115</v>
      </c>
      <c r="DB684">
        <v>14</v>
      </c>
      <c r="DC684" t="s">
        <v>803</v>
      </c>
      <c r="DD684">
        <v>18330</v>
      </c>
      <c r="DE684">
        <v>0.16089999999999999</v>
      </c>
      <c r="DM684">
        <v>68</v>
      </c>
    </row>
    <row r="685" spans="91:118" x14ac:dyDescent="0.25">
      <c r="CM685" t="s">
        <v>636</v>
      </c>
      <c r="CN685" t="s">
        <v>2</v>
      </c>
      <c r="CO685" t="s">
        <v>15</v>
      </c>
      <c r="CP685">
        <v>46107</v>
      </c>
      <c r="CQ685">
        <v>1</v>
      </c>
      <c r="CR685">
        <v>1</v>
      </c>
      <c r="CT685">
        <v>1</v>
      </c>
      <c r="CV685">
        <v>1.5046296296296297E-4</v>
      </c>
      <c r="CW685">
        <v>1.5046296296296297E-4</v>
      </c>
      <c r="CX685">
        <v>0.1723726851851852</v>
      </c>
      <c r="CY685">
        <v>0.16769675925925925</v>
      </c>
      <c r="CZ685">
        <v>93</v>
      </c>
      <c r="DA685">
        <v>124</v>
      </c>
      <c r="DB685">
        <v>5</v>
      </c>
      <c r="DC685">
        <v>1.8</v>
      </c>
      <c r="DD685">
        <v>43844</v>
      </c>
      <c r="DE685">
        <v>5.3800000000000001E-2</v>
      </c>
      <c r="DM685">
        <v>68</v>
      </c>
    </row>
    <row r="686" spans="91:118" x14ac:dyDescent="0.25">
      <c r="CM686" t="s">
        <v>636</v>
      </c>
      <c r="CN686" t="s">
        <v>2</v>
      </c>
      <c r="CO686" t="s">
        <v>15</v>
      </c>
      <c r="CP686">
        <v>46108</v>
      </c>
      <c r="CQ686">
        <v>1</v>
      </c>
      <c r="CR686">
        <v>1</v>
      </c>
      <c r="CT686">
        <v>1</v>
      </c>
      <c r="CV686">
        <v>6.9444444444444444E-5</v>
      </c>
      <c r="CW686">
        <v>6.9444444444444444E-5</v>
      </c>
      <c r="CX686">
        <v>0.1928125</v>
      </c>
      <c r="CY686">
        <v>0.15262731481481481</v>
      </c>
      <c r="CZ686">
        <v>111</v>
      </c>
      <c r="DA686">
        <v>144</v>
      </c>
      <c r="DB686">
        <v>13</v>
      </c>
      <c r="DC686" t="s">
        <v>727</v>
      </c>
      <c r="DD686">
        <v>13753</v>
      </c>
      <c r="DE686">
        <v>0.1171</v>
      </c>
      <c r="DM686">
        <v>68</v>
      </c>
    </row>
    <row r="687" spans="91:118" x14ac:dyDescent="0.25">
      <c r="CM687" t="s">
        <v>636</v>
      </c>
      <c r="CN687" t="s">
        <v>2</v>
      </c>
      <c r="CO687" t="s">
        <v>22</v>
      </c>
      <c r="CP687">
        <v>46093</v>
      </c>
      <c r="CQ687">
        <v>1</v>
      </c>
      <c r="CR687">
        <v>1</v>
      </c>
      <c r="CT687">
        <v>1</v>
      </c>
      <c r="CV687">
        <v>0</v>
      </c>
      <c r="CW687">
        <v>0</v>
      </c>
      <c r="CX687">
        <v>0.2399074074074074</v>
      </c>
      <c r="CY687">
        <v>9.7210648148148143E-2</v>
      </c>
      <c r="CZ687">
        <v>80</v>
      </c>
      <c r="DA687">
        <v>122</v>
      </c>
      <c r="DB687">
        <v>12</v>
      </c>
      <c r="DC687" t="s">
        <v>811</v>
      </c>
      <c r="DD687">
        <v>25572</v>
      </c>
      <c r="DE687">
        <v>0.15</v>
      </c>
      <c r="DM687">
        <v>68</v>
      </c>
    </row>
    <row r="688" spans="91:118" x14ac:dyDescent="0.25">
      <c r="CM688" t="s">
        <v>636</v>
      </c>
      <c r="CN688" t="s">
        <v>2</v>
      </c>
      <c r="CO688" t="s">
        <v>22</v>
      </c>
      <c r="CP688">
        <v>46108</v>
      </c>
      <c r="CQ688">
        <v>1</v>
      </c>
      <c r="CR688">
        <v>1</v>
      </c>
      <c r="CT688">
        <v>1</v>
      </c>
      <c r="CV688">
        <v>9.9537037037037042E-4</v>
      </c>
      <c r="CW688">
        <v>9.9537037037037042E-4</v>
      </c>
      <c r="CX688">
        <v>0.17564814814814814</v>
      </c>
      <c r="CY688">
        <v>0.13886574074074073</v>
      </c>
      <c r="CZ688">
        <v>71</v>
      </c>
      <c r="DA688">
        <v>116</v>
      </c>
      <c r="DB688">
        <v>19</v>
      </c>
      <c r="DC688" t="s">
        <v>691</v>
      </c>
      <c r="DD688">
        <v>32357</v>
      </c>
      <c r="DE688">
        <v>0.2676</v>
      </c>
      <c r="DF688">
        <v>1</v>
      </c>
      <c r="DG688">
        <v>5.2600000000000001E-2</v>
      </c>
      <c r="DH688">
        <v>600</v>
      </c>
      <c r="DI688">
        <v>600</v>
      </c>
      <c r="DM688">
        <v>68</v>
      </c>
    </row>
    <row r="689" spans="91:118" x14ac:dyDescent="0.25">
      <c r="CM689" t="s">
        <v>636</v>
      </c>
      <c r="CN689" t="s">
        <v>2</v>
      </c>
      <c r="CO689" t="s">
        <v>24</v>
      </c>
      <c r="CP689">
        <v>46101</v>
      </c>
      <c r="CQ689">
        <v>1</v>
      </c>
      <c r="CR689">
        <v>1</v>
      </c>
      <c r="CT689">
        <v>1</v>
      </c>
      <c r="CV689">
        <v>1.273148148148148E-4</v>
      </c>
      <c r="CW689">
        <v>1.273148148148148E-4</v>
      </c>
      <c r="CX689">
        <v>0.23552083333333335</v>
      </c>
      <c r="CY689">
        <v>0.12363425925925926</v>
      </c>
      <c r="CZ689">
        <v>64</v>
      </c>
      <c r="DA689">
        <v>135</v>
      </c>
      <c r="DB689">
        <v>23</v>
      </c>
      <c r="DC689" t="s">
        <v>895</v>
      </c>
      <c r="DD689">
        <v>42487</v>
      </c>
      <c r="DE689">
        <v>0.3594</v>
      </c>
      <c r="DF689">
        <v>1</v>
      </c>
      <c r="DG689">
        <v>4.3499999999999997E-2</v>
      </c>
      <c r="DH689">
        <v>600</v>
      </c>
      <c r="DI689">
        <v>600</v>
      </c>
      <c r="DM689">
        <v>68</v>
      </c>
    </row>
    <row r="690" spans="91:118" x14ac:dyDescent="0.25">
      <c r="CM690" t="s">
        <v>636</v>
      </c>
      <c r="CN690" t="s">
        <v>2</v>
      </c>
      <c r="CO690" t="s">
        <v>24</v>
      </c>
      <c r="CP690">
        <v>46107</v>
      </c>
      <c r="CQ690">
        <v>1</v>
      </c>
      <c r="CR690">
        <v>1</v>
      </c>
      <c r="CT690">
        <v>1</v>
      </c>
      <c r="CV690">
        <v>2.3148148148148147E-5</v>
      </c>
      <c r="CW690">
        <v>2.3148148148148147E-5</v>
      </c>
      <c r="CX690">
        <v>0.20030092592592594</v>
      </c>
      <c r="CY690">
        <v>0.15216435185185184</v>
      </c>
      <c r="CZ690">
        <v>68</v>
      </c>
      <c r="DA690">
        <v>120</v>
      </c>
      <c r="DB690">
        <v>13</v>
      </c>
      <c r="DC690" t="s">
        <v>743</v>
      </c>
      <c r="DD690">
        <v>50316</v>
      </c>
      <c r="DE690">
        <v>0.19120000000000001</v>
      </c>
      <c r="DM690">
        <v>68</v>
      </c>
    </row>
    <row r="691" spans="91:118" x14ac:dyDescent="0.25">
      <c r="CM691" t="s">
        <v>636</v>
      </c>
      <c r="CN691" t="s">
        <v>2</v>
      </c>
      <c r="CO691" t="s">
        <v>13</v>
      </c>
      <c r="CP691">
        <v>46101</v>
      </c>
      <c r="CQ691">
        <v>1</v>
      </c>
      <c r="CR691">
        <v>1</v>
      </c>
      <c r="CT691">
        <v>1</v>
      </c>
      <c r="CV691">
        <v>2.0833333333333335E-4</v>
      </c>
      <c r="CW691">
        <v>2.0833333333333335E-4</v>
      </c>
      <c r="CX691">
        <v>0.22491898148148148</v>
      </c>
      <c r="CY691">
        <v>0.11085648148148149</v>
      </c>
      <c r="CZ691">
        <v>90</v>
      </c>
      <c r="DA691">
        <v>212</v>
      </c>
      <c r="DB691">
        <v>12</v>
      </c>
      <c r="DC691" t="s">
        <v>811</v>
      </c>
      <c r="DD691">
        <v>33181</v>
      </c>
      <c r="DE691">
        <v>0.1333</v>
      </c>
      <c r="DM691">
        <v>68</v>
      </c>
    </row>
    <row r="692" spans="91:118" x14ac:dyDescent="0.25">
      <c r="CM692" t="s">
        <v>636</v>
      </c>
      <c r="CN692" t="s">
        <v>2</v>
      </c>
      <c r="CO692" t="s">
        <v>42</v>
      </c>
      <c r="CP692">
        <v>46099</v>
      </c>
      <c r="CQ692">
        <v>1</v>
      </c>
      <c r="CR692">
        <v>1</v>
      </c>
      <c r="CV692">
        <v>0</v>
      </c>
      <c r="CW692">
        <v>0</v>
      </c>
      <c r="CX692">
        <v>0</v>
      </c>
      <c r="CY692">
        <v>0</v>
      </c>
      <c r="DM692">
        <v>68</v>
      </c>
    </row>
    <row r="693" spans="91:118" x14ac:dyDescent="0.25">
      <c r="CM693" t="s">
        <v>636</v>
      </c>
      <c r="CN693" t="s">
        <v>2</v>
      </c>
      <c r="CO693" t="s">
        <v>65</v>
      </c>
      <c r="CP693">
        <v>46093</v>
      </c>
      <c r="CQ693">
        <v>1</v>
      </c>
      <c r="CR693">
        <v>1</v>
      </c>
      <c r="CT693">
        <v>1</v>
      </c>
      <c r="CV693">
        <v>1.1574074074074073E-5</v>
      </c>
      <c r="CW693">
        <v>1.1574074074074073E-5</v>
      </c>
      <c r="CX693">
        <v>0.23142361111111112</v>
      </c>
      <c r="CY693">
        <v>0.10597222222222222</v>
      </c>
      <c r="CZ693">
        <v>45</v>
      </c>
      <c r="DA693">
        <v>106</v>
      </c>
      <c r="DB693">
        <v>6</v>
      </c>
      <c r="DC693" t="s">
        <v>674</v>
      </c>
      <c r="DD693">
        <v>25563</v>
      </c>
      <c r="DE693">
        <v>0.1333</v>
      </c>
      <c r="DM693">
        <v>68</v>
      </c>
    </row>
    <row r="694" spans="91:118" x14ac:dyDescent="0.25">
      <c r="CM694" t="s">
        <v>636</v>
      </c>
      <c r="CN694" t="s">
        <v>2</v>
      </c>
      <c r="CO694" t="s">
        <v>65</v>
      </c>
      <c r="CP694">
        <v>46107</v>
      </c>
      <c r="CQ694">
        <v>1</v>
      </c>
      <c r="CR694">
        <v>1</v>
      </c>
      <c r="CT694">
        <v>1</v>
      </c>
      <c r="CV694">
        <v>9.2592592592592588E-5</v>
      </c>
      <c r="CW694">
        <v>9.2592592592592588E-5</v>
      </c>
      <c r="CX694">
        <v>0.20123842592592592</v>
      </c>
      <c r="CY694">
        <v>0.15042824074074074</v>
      </c>
      <c r="CZ694">
        <v>52</v>
      </c>
      <c r="DA694">
        <v>116</v>
      </c>
      <c r="DB694">
        <v>10</v>
      </c>
      <c r="DC694">
        <v>1.7</v>
      </c>
      <c r="DD694">
        <v>24131</v>
      </c>
      <c r="DE694">
        <v>0.1923</v>
      </c>
      <c r="DM694">
        <v>68</v>
      </c>
    </row>
    <row r="695" spans="91:118" x14ac:dyDescent="0.25">
      <c r="CM695" t="s">
        <v>636</v>
      </c>
      <c r="CN695" t="s">
        <v>2</v>
      </c>
      <c r="CO695" t="s">
        <v>23</v>
      </c>
      <c r="CP695">
        <v>46099</v>
      </c>
      <c r="CQ695">
        <v>1</v>
      </c>
      <c r="CR695">
        <v>1</v>
      </c>
      <c r="CS695">
        <v>1</v>
      </c>
      <c r="CV695">
        <v>0.11599537037037037</v>
      </c>
      <c r="CW695">
        <v>0.11599537037037037</v>
      </c>
      <c r="CX695">
        <v>7.7708333333333338E-2</v>
      </c>
      <c r="CY695">
        <v>0.17374999999999999</v>
      </c>
      <c r="CZ695">
        <v>53</v>
      </c>
      <c r="DA695">
        <v>103</v>
      </c>
      <c r="DB695">
        <v>7</v>
      </c>
      <c r="DC695" t="s">
        <v>700</v>
      </c>
      <c r="DD695">
        <v>17817</v>
      </c>
      <c r="DE695">
        <v>0.1321</v>
      </c>
      <c r="DM695">
        <v>68</v>
      </c>
    </row>
    <row r="696" spans="91:118" x14ac:dyDescent="0.25">
      <c r="CM696" t="s">
        <v>636</v>
      </c>
      <c r="CN696" t="s">
        <v>2</v>
      </c>
      <c r="CO696" t="s">
        <v>23</v>
      </c>
      <c r="CP696">
        <v>46108</v>
      </c>
      <c r="CQ696">
        <v>1</v>
      </c>
      <c r="CR696">
        <v>1</v>
      </c>
      <c r="CT696">
        <v>1</v>
      </c>
      <c r="CV696">
        <v>8.1018518518518516E-5</v>
      </c>
      <c r="CW696">
        <v>8.1018518518518516E-5</v>
      </c>
      <c r="CX696">
        <v>0.19293981481481481</v>
      </c>
      <c r="CY696">
        <v>0.13261574074074073</v>
      </c>
      <c r="CZ696">
        <v>76</v>
      </c>
      <c r="DA696">
        <v>147</v>
      </c>
      <c r="DB696">
        <v>21</v>
      </c>
      <c r="DC696" t="s">
        <v>745</v>
      </c>
      <c r="DD696">
        <v>24887</v>
      </c>
      <c r="DE696">
        <v>0.27629999999999999</v>
      </c>
      <c r="DM696">
        <v>68</v>
      </c>
    </row>
    <row r="697" spans="91:118" x14ac:dyDescent="0.25">
      <c r="CM697" t="s">
        <v>636</v>
      </c>
      <c r="CN697" t="s">
        <v>2</v>
      </c>
      <c r="CO697" t="s">
        <v>25</v>
      </c>
      <c r="CP697">
        <v>46090</v>
      </c>
      <c r="CQ697">
        <v>1</v>
      </c>
      <c r="CR697">
        <v>1</v>
      </c>
      <c r="CS697">
        <v>1</v>
      </c>
      <c r="CV697">
        <v>5.5324074074074078E-3</v>
      </c>
      <c r="CW697">
        <v>5.5324074074074078E-3</v>
      </c>
      <c r="CX697">
        <v>0.20805555555555555</v>
      </c>
      <c r="CY697">
        <v>8.9305555555555555E-2</v>
      </c>
      <c r="CZ697">
        <v>47</v>
      </c>
      <c r="DA697">
        <v>97</v>
      </c>
      <c r="DB697">
        <v>14</v>
      </c>
      <c r="DC697" t="s">
        <v>762</v>
      </c>
      <c r="DD697">
        <v>44547</v>
      </c>
      <c r="DE697">
        <v>0.2979</v>
      </c>
      <c r="DF697">
        <v>1</v>
      </c>
      <c r="DG697">
        <v>7.1400000000000005E-2</v>
      </c>
      <c r="DH697">
        <v>500</v>
      </c>
      <c r="DI697">
        <v>500</v>
      </c>
      <c r="DJ697">
        <v>500</v>
      </c>
      <c r="DK697">
        <v>1</v>
      </c>
      <c r="DM697">
        <v>68</v>
      </c>
      <c r="DN697">
        <v>500</v>
      </c>
    </row>
    <row r="698" spans="91:118" x14ac:dyDescent="0.25">
      <c r="CM698" t="s">
        <v>636</v>
      </c>
      <c r="CN698" t="s">
        <v>2</v>
      </c>
      <c r="CO698" t="s">
        <v>17</v>
      </c>
      <c r="CP698">
        <v>46099</v>
      </c>
      <c r="CQ698">
        <v>1</v>
      </c>
      <c r="CR698">
        <v>1</v>
      </c>
      <c r="CS698">
        <v>1</v>
      </c>
      <c r="CV698">
        <v>6.5277777777777782E-3</v>
      </c>
      <c r="CW698">
        <v>6.5277777777777782E-3</v>
      </c>
      <c r="CX698">
        <v>0.15640046296296295</v>
      </c>
      <c r="CY698">
        <v>0.17809027777777778</v>
      </c>
      <c r="CZ698">
        <v>83</v>
      </c>
      <c r="DA698">
        <v>188</v>
      </c>
      <c r="DB698">
        <v>14</v>
      </c>
      <c r="DC698" t="s">
        <v>850</v>
      </c>
      <c r="DD698">
        <v>70394</v>
      </c>
      <c r="DE698">
        <v>0.16869999999999999</v>
      </c>
      <c r="DM698">
        <v>68</v>
      </c>
    </row>
    <row r="699" spans="91:118" x14ac:dyDescent="0.25">
      <c r="CM699" t="s">
        <v>636</v>
      </c>
      <c r="CN699" t="s">
        <v>2</v>
      </c>
      <c r="CO699" t="s">
        <v>17</v>
      </c>
      <c r="CP699">
        <v>46101</v>
      </c>
      <c r="CQ699">
        <v>1</v>
      </c>
      <c r="CR699">
        <v>1</v>
      </c>
      <c r="CT699">
        <v>1</v>
      </c>
      <c r="CV699">
        <v>4.6296296296296298E-4</v>
      </c>
      <c r="CW699">
        <v>4.6296296296296298E-4</v>
      </c>
      <c r="CX699">
        <v>0.18630787037037036</v>
      </c>
      <c r="CY699">
        <v>0.15180555555555555</v>
      </c>
      <c r="CZ699">
        <v>64</v>
      </c>
      <c r="DA699">
        <v>116</v>
      </c>
      <c r="DB699">
        <v>9</v>
      </c>
      <c r="DC699" t="s">
        <v>767</v>
      </c>
      <c r="DD699">
        <v>76537</v>
      </c>
      <c r="DE699">
        <v>0.1406</v>
      </c>
      <c r="DM699">
        <v>68</v>
      </c>
    </row>
    <row r="700" spans="91:118" x14ac:dyDescent="0.25">
      <c r="CM700" t="s">
        <v>636</v>
      </c>
      <c r="CN700" t="s">
        <v>2</v>
      </c>
      <c r="CO700" t="s">
        <v>17</v>
      </c>
      <c r="CP700">
        <v>46107</v>
      </c>
      <c r="CQ700">
        <v>1</v>
      </c>
      <c r="CR700">
        <v>1</v>
      </c>
      <c r="CT700">
        <v>1</v>
      </c>
      <c r="CV700">
        <v>2.3032407407407407E-3</v>
      </c>
      <c r="CW700">
        <v>2.3032407407407407E-3</v>
      </c>
      <c r="CX700">
        <v>0.17578703703703705</v>
      </c>
      <c r="CY700">
        <v>0.15217592592592594</v>
      </c>
      <c r="CZ700">
        <v>58</v>
      </c>
      <c r="DA700">
        <v>104</v>
      </c>
      <c r="DB700">
        <v>14</v>
      </c>
      <c r="DC700" t="s">
        <v>850</v>
      </c>
      <c r="DD700">
        <v>42036</v>
      </c>
      <c r="DE700">
        <v>0.2414</v>
      </c>
      <c r="DM700">
        <v>68</v>
      </c>
    </row>
    <row r="701" spans="91:118" x14ac:dyDescent="0.25">
      <c r="CM701" t="s">
        <v>636</v>
      </c>
      <c r="CN701" t="s">
        <v>2</v>
      </c>
      <c r="CO701" t="s">
        <v>207</v>
      </c>
      <c r="CP701">
        <v>46086</v>
      </c>
      <c r="CQ701">
        <v>1</v>
      </c>
      <c r="CR701">
        <v>1</v>
      </c>
      <c r="CT701">
        <v>1</v>
      </c>
      <c r="CV701">
        <v>1.1574074074074073E-5</v>
      </c>
      <c r="CW701">
        <v>1.1574074074074073E-5</v>
      </c>
      <c r="CX701">
        <v>0.3278935185185185</v>
      </c>
      <c r="CY701">
        <v>0.10879629629629629</v>
      </c>
      <c r="CZ701">
        <v>168</v>
      </c>
      <c r="DA701">
        <v>211</v>
      </c>
      <c r="DB701">
        <v>20</v>
      </c>
      <c r="DC701">
        <v>1.45</v>
      </c>
      <c r="DD701">
        <v>29604</v>
      </c>
      <c r="DE701">
        <v>0.11899999999999999</v>
      </c>
      <c r="DF701">
        <v>1</v>
      </c>
      <c r="DG701">
        <v>0.05</v>
      </c>
      <c r="DH701">
        <v>10000</v>
      </c>
      <c r="DI701">
        <v>10000</v>
      </c>
      <c r="DM701">
        <v>68</v>
      </c>
    </row>
    <row r="702" spans="91:118" x14ac:dyDescent="0.25">
      <c r="CM702" t="s">
        <v>636</v>
      </c>
      <c r="CN702" t="s">
        <v>2</v>
      </c>
      <c r="CO702" t="s">
        <v>207</v>
      </c>
      <c r="CP702">
        <v>46093</v>
      </c>
      <c r="CQ702">
        <v>1</v>
      </c>
      <c r="CR702">
        <v>1</v>
      </c>
      <c r="CT702">
        <v>1</v>
      </c>
      <c r="CV702">
        <v>0</v>
      </c>
      <c r="CW702">
        <v>0</v>
      </c>
      <c r="CX702">
        <v>0.24743055555555554</v>
      </c>
      <c r="CY702">
        <v>9.418981481481481E-2</v>
      </c>
      <c r="CZ702">
        <v>184</v>
      </c>
      <c r="DA702">
        <v>280</v>
      </c>
      <c r="DB702">
        <v>23</v>
      </c>
      <c r="DC702" t="s">
        <v>1059</v>
      </c>
      <c r="DD702">
        <v>44011</v>
      </c>
      <c r="DE702">
        <v>0.125</v>
      </c>
      <c r="DM702">
        <v>68</v>
      </c>
    </row>
    <row r="703" spans="91:118" x14ac:dyDescent="0.25">
      <c r="CM703" t="s">
        <v>636</v>
      </c>
      <c r="CN703" t="s">
        <v>6</v>
      </c>
      <c r="CO703" t="s">
        <v>19</v>
      </c>
      <c r="CP703">
        <v>46108</v>
      </c>
      <c r="CQ703">
        <v>1</v>
      </c>
      <c r="CR703">
        <v>1</v>
      </c>
      <c r="CT703">
        <v>1</v>
      </c>
      <c r="CV703">
        <v>1.0416666666666667E-4</v>
      </c>
      <c r="CW703">
        <v>1.0416666666666667E-4</v>
      </c>
      <c r="CX703">
        <v>0.23121527777777778</v>
      </c>
      <c r="CY703">
        <v>0.13980324074074074</v>
      </c>
      <c r="CZ703">
        <v>145</v>
      </c>
      <c r="DA703">
        <v>202</v>
      </c>
      <c r="DB703">
        <v>27</v>
      </c>
      <c r="DC703" t="s">
        <v>1060</v>
      </c>
      <c r="DD703">
        <v>18558</v>
      </c>
      <c r="DE703">
        <v>0.1862</v>
      </c>
      <c r="DM703">
        <v>68</v>
      </c>
    </row>
    <row r="704" spans="91:118" x14ac:dyDescent="0.25">
      <c r="CM704" t="s">
        <v>636</v>
      </c>
      <c r="CN704" t="s">
        <v>6</v>
      </c>
      <c r="CO704" t="s">
        <v>105</v>
      </c>
      <c r="CP704">
        <v>46108</v>
      </c>
      <c r="CQ704">
        <v>1</v>
      </c>
      <c r="CR704">
        <v>1</v>
      </c>
      <c r="CT704">
        <v>1</v>
      </c>
      <c r="CV704">
        <v>1.273148148148148E-4</v>
      </c>
      <c r="CW704">
        <v>1.273148148148148E-4</v>
      </c>
      <c r="CX704">
        <v>0.20119212962962962</v>
      </c>
      <c r="CY704">
        <v>0.14296296296296296</v>
      </c>
      <c r="CZ704">
        <v>96</v>
      </c>
      <c r="DA704">
        <v>145</v>
      </c>
      <c r="DB704">
        <v>24</v>
      </c>
      <c r="DC704">
        <v>1.5</v>
      </c>
      <c r="DD704">
        <v>29373</v>
      </c>
      <c r="DE704">
        <v>0.25</v>
      </c>
      <c r="DM704">
        <v>68</v>
      </c>
    </row>
    <row r="705" spans="91:118" x14ac:dyDescent="0.25">
      <c r="CM705" t="s">
        <v>636</v>
      </c>
      <c r="CN705" t="s">
        <v>6</v>
      </c>
      <c r="CO705" t="s">
        <v>37</v>
      </c>
      <c r="CP705">
        <v>46108</v>
      </c>
      <c r="CQ705">
        <v>1</v>
      </c>
      <c r="CR705">
        <v>1</v>
      </c>
      <c r="CT705">
        <v>1</v>
      </c>
      <c r="CV705">
        <v>1.0416666666666667E-4</v>
      </c>
      <c r="CW705">
        <v>1.0416666666666667E-4</v>
      </c>
      <c r="CX705">
        <v>0.20783564814814814</v>
      </c>
      <c r="CY705">
        <v>0.13725694444444445</v>
      </c>
      <c r="CZ705">
        <v>83</v>
      </c>
      <c r="DA705">
        <v>117</v>
      </c>
      <c r="DB705">
        <v>12</v>
      </c>
      <c r="DC705" t="s">
        <v>716</v>
      </c>
      <c r="DD705">
        <v>41063</v>
      </c>
      <c r="DE705">
        <v>0.14460000000000001</v>
      </c>
      <c r="DM705">
        <v>68</v>
      </c>
    </row>
    <row r="706" spans="91:118" x14ac:dyDescent="0.25">
      <c r="CM706" t="s">
        <v>636</v>
      </c>
      <c r="CN706" t="s">
        <v>6</v>
      </c>
      <c r="CO706" t="s">
        <v>50</v>
      </c>
      <c r="CP706">
        <v>46108</v>
      </c>
      <c r="CQ706">
        <v>1</v>
      </c>
      <c r="CR706">
        <v>1</v>
      </c>
      <c r="CT706">
        <v>1</v>
      </c>
      <c r="CV706">
        <v>6.9444444444444444E-5</v>
      </c>
      <c r="CW706">
        <v>6.9444444444444444E-5</v>
      </c>
      <c r="CX706">
        <v>0.23406250000000001</v>
      </c>
      <c r="CY706">
        <v>0.12481481481481481</v>
      </c>
      <c r="CZ706">
        <v>115</v>
      </c>
      <c r="DA706">
        <v>214</v>
      </c>
      <c r="DB706">
        <v>18</v>
      </c>
      <c r="DC706" t="s">
        <v>755</v>
      </c>
      <c r="DD706">
        <v>34143</v>
      </c>
      <c r="DE706">
        <v>0.1565</v>
      </c>
      <c r="DM706">
        <v>68</v>
      </c>
    </row>
    <row r="707" spans="91:118" x14ac:dyDescent="0.25">
      <c r="CM707" t="s">
        <v>636</v>
      </c>
      <c r="CN707" t="s">
        <v>6</v>
      </c>
      <c r="CO707" t="s">
        <v>11</v>
      </c>
      <c r="CP707">
        <v>46108</v>
      </c>
      <c r="CQ707">
        <v>1</v>
      </c>
      <c r="CR707">
        <v>1</v>
      </c>
      <c r="CT707">
        <v>1</v>
      </c>
      <c r="CV707">
        <v>2.4305555555555555E-4</v>
      </c>
      <c r="CW707">
        <v>2.4305555555555555E-4</v>
      </c>
      <c r="CX707">
        <v>0.24378472222222222</v>
      </c>
      <c r="CY707">
        <v>0.12255787037037037</v>
      </c>
      <c r="CZ707">
        <v>159</v>
      </c>
      <c r="DA707">
        <v>234</v>
      </c>
      <c r="DB707">
        <v>40</v>
      </c>
      <c r="DC707">
        <v>1.65</v>
      </c>
      <c r="DD707">
        <v>24275</v>
      </c>
      <c r="DE707">
        <v>0.25159999999999999</v>
      </c>
      <c r="DM707">
        <v>68</v>
      </c>
    </row>
    <row r="708" spans="91:118" x14ac:dyDescent="0.25">
      <c r="CM708" t="s">
        <v>636</v>
      </c>
      <c r="CN708" t="s">
        <v>6</v>
      </c>
      <c r="CO708" t="s">
        <v>34</v>
      </c>
      <c r="CP708">
        <v>46108</v>
      </c>
      <c r="CQ708">
        <v>1</v>
      </c>
      <c r="CR708">
        <v>1</v>
      </c>
      <c r="CT708">
        <v>1</v>
      </c>
      <c r="CV708">
        <v>4.6296296296296294E-5</v>
      </c>
      <c r="CW708">
        <v>4.6296296296296294E-5</v>
      </c>
      <c r="CX708">
        <v>0.21096064814814816</v>
      </c>
      <c r="CY708">
        <v>0.15125</v>
      </c>
      <c r="CZ708">
        <v>180</v>
      </c>
      <c r="DA708">
        <v>205</v>
      </c>
      <c r="DB708">
        <v>14</v>
      </c>
      <c r="DC708" t="s">
        <v>679</v>
      </c>
      <c r="DD708">
        <v>28694</v>
      </c>
      <c r="DE708">
        <v>7.7799999999999994E-2</v>
      </c>
      <c r="DM708">
        <v>68</v>
      </c>
    </row>
    <row r="709" spans="91:118" x14ac:dyDescent="0.25">
      <c r="CM709" t="s">
        <v>636</v>
      </c>
      <c r="CN709" t="s">
        <v>7</v>
      </c>
      <c r="CO709" t="s">
        <v>58</v>
      </c>
      <c r="CP709">
        <v>46086</v>
      </c>
      <c r="CQ709">
        <v>1</v>
      </c>
      <c r="CR709">
        <v>1</v>
      </c>
      <c r="CV709">
        <v>0</v>
      </c>
      <c r="CW709">
        <v>0</v>
      </c>
      <c r="CX709">
        <v>0</v>
      </c>
      <c r="CY709">
        <v>0</v>
      </c>
      <c r="DM709">
        <v>68</v>
      </c>
    </row>
    <row r="710" spans="91:118" x14ac:dyDescent="0.25">
      <c r="CM710" t="s">
        <v>636</v>
      </c>
      <c r="CN710" t="s">
        <v>7</v>
      </c>
      <c r="CO710" t="s">
        <v>58</v>
      </c>
      <c r="CP710">
        <v>46097</v>
      </c>
      <c r="CQ710">
        <v>1</v>
      </c>
      <c r="CR710">
        <v>1</v>
      </c>
      <c r="CV710">
        <v>0</v>
      </c>
      <c r="CW710">
        <v>0</v>
      </c>
      <c r="CX710">
        <v>0</v>
      </c>
      <c r="CY710">
        <v>0</v>
      </c>
      <c r="DM710">
        <v>68</v>
      </c>
    </row>
    <row r="711" spans="91:118" x14ac:dyDescent="0.25">
      <c r="CM711" t="s">
        <v>636</v>
      </c>
      <c r="CN711" t="s">
        <v>7</v>
      </c>
      <c r="CO711" t="s">
        <v>495</v>
      </c>
      <c r="CP711">
        <v>46084</v>
      </c>
      <c r="CQ711">
        <v>1</v>
      </c>
      <c r="CR711">
        <v>1</v>
      </c>
      <c r="CT711">
        <v>1</v>
      </c>
      <c r="CV711">
        <v>8.564814814814815E-4</v>
      </c>
      <c r="CW711">
        <v>8.564814814814815E-4</v>
      </c>
      <c r="CX711">
        <v>0.28998842592592594</v>
      </c>
      <c r="CY711">
        <v>0.13968749999999999</v>
      </c>
      <c r="CZ711">
        <v>165</v>
      </c>
      <c r="DA711">
        <v>323</v>
      </c>
      <c r="DB711">
        <v>49</v>
      </c>
      <c r="DC711" t="s">
        <v>803</v>
      </c>
      <c r="DD711">
        <v>9310</v>
      </c>
      <c r="DE711">
        <v>0.29699999999999999</v>
      </c>
      <c r="DM711">
        <v>68</v>
      </c>
    </row>
    <row r="712" spans="91:118" x14ac:dyDescent="0.25">
      <c r="CM712" t="s">
        <v>636</v>
      </c>
      <c r="CN712" t="s">
        <v>7</v>
      </c>
      <c r="CO712" t="s">
        <v>495</v>
      </c>
      <c r="CP712">
        <v>46106</v>
      </c>
      <c r="CQ712">
        <v>1</v>
      </c>
      <c r="CR712">
        <v>1</v>
      </c>
      <c r="CT712">
        <v>1</v>
      </c>
      <c r="CV712">
        <v>0</v>
      </c>
      <c r="CW712">
        <v>0</v>
      </c>
      <c r="CX712">
        <v>0.12748842592592594</v>
      </c>
      <c r="CY712">
        <v>0.18800925925925926</v>
      </c>
      <c r="CZ712">
        <v>122</v>
      </c>
      <c r="DA712">
        <v>258</v>
      </c>
      <c r="DB712">
        <v>29</v>
      </c>
      <c r="DC712" t="s">
        <v>1039</v>
      </c>
      <c r="DD712">
        <v>11207</v>
      </c>
      <c r="DE712">
        <v>0.23769999999999999</v>
      </c>
      <c r="DF712">
        <v>2</v>
      </c>
      <c r="DG712">
        <v>6.9000000000000006E-2</v>
      </c>
      <c r="DH712">
        <v>400</v>
      </c>
      <c r="DI712">
        <v>200</v>
      </c>
      <c r="DJ712">
        <v>200</v>
      </c>
      <c r="DK712">
        <v>0.5</v>
      </c>
      <c r="DM712">
        <v>68</v>
      </c>
      <c r="DN712">
        <v>200</v>
      </c>
    </row>
    <row r="713" spans="91:118" x14ac:dyDescent="0.25">
      <c r="CM713" t="s">
        <v>636</v>
      </c>
      <c r="CN713" t="s">
        <v>7</v>
      </c>
      <c r="CO713" t="s">
        <v>51</v>
      </c>
      <c r="CP713">
        <v>46084</v>
      </c>
      <c r="CQ713">
        <v>1</v>
      </c>
      <c r="CR713">
        <v>1</v>
      </c>
      <c r="CT713">
        <v>1</v>
      </c>
      <c r="CV713">
        <v>8.1018518518518516E-5</v>
      </c>
      <c r="CW713">
        <v>8.1018518518518516E-5</v>
      </c>
      <c r="CX713">
        <v>0.34469907407407407</v>
      </c>
      <c r="CY713">
        <v>5.5266203703703706E-2</v>
      </c>
      <c r="CZ713">
        <v>160</v>
      </c>
      <c r="DA713">
        <v>311</v>
      </c>
      <c r="DB713">
        <v>18</v>
      </c>
      <c r="DC713" t="s">
        <v>715</v>
      </c>
      <c r="DD713">
        <v>14738</v>
      </c>
      <c r="DE713">
        <v>0.1125</v>
      </c>
      <c r="DM713">
        <v>68</v>
      </c>
    </row>
    <row r="714" spans="91:118" x14ac:dyDescent="0.25">
      <c r="CM714" t="s">
        <v>636</v>
      </c>
      <c r="CN714" t="s">
        <v>7</v>
      </c>
      <c r="CO714" t="s">
        <v>51</v>
      </c>
      <c r="CP714">
        <v>46094</v>
      </c>
      <c r="CQ714">
        <v>1</v>
      </c>
      <c r="CR714">
        <v>1</v>
      </c>
      <c r="CT714">
        <v>1</v>
      </c>
      <c r="CV714">
        <v>0</v>
      </c>
      <c r="CW714">
        <v>0</v>
      </c>
      <c r="CX714">
        <v>0.25126157407407407</v>
      </c>
      <c r="CY714">
        <v>8.5300925925925933E-2</v>
      </c>
      <c r="CZ714">
        <v>69</v>
      </c>
      <c r="DA714">
        <v>171</v>
      </c>
      <c r="DB714">
        <v>15</v>
      </c>
      <c r="DC714" t="s">
        <v>674</v>
      </c>
      <c r="DD714">
        <v>30142</v>
      </c>
      <c r="DE714">
        <v>0.21740000000000001</v>
      </c>
      <c r="DM714">
        <v>68</v>
      </c>
    </row>
    <row r="715" spans="91:118" x14ac:dyDescent="0.25">
      <c r="CM715" t="s">
        <v>636</v>
      </c>
      <c r="CN715" t="s">
        <v>7</v>
      </c>
      <c r="CO715" t="s">
        <v>49</v>
      </c>
      <c r="CP715">
        <v>46086</v>
      </c>
      <c r="CQ715">
        <v>1</v>
      </c>
      <c r="CR715">
        <v>1</v>
      </c>
      <c r="CS715">
        <v>1</v>
      </c>
      <c r="CV715">
        <v>4.363425925925926E-3</v>
      </c>
      <c r="CW715">
        <v>4.363425925925926E-3</v>
      </c>
      <c r="CX715">
        <v>0.29905092592592591</v>
      </c>
      <c r="CY715">
        <v>8.8784722222222223E-2</v>
      </c>
      <c r="CZ715">
        <v>70</v>
      </c>
      <c r="DA715">
        <v>113</v>
      </c>
      <c r="DB715">
        <v>15</v>
      </c>
      <c r="DC715" t="s">
        <v>672</v>
      </c>
      <c r="DD715">
        <v>12228</v>
      </c>
      <c r="DE715">
        <v>0.21429999999999999</v>
      </c>
      <c r="DM715">
        <v>68</v>
      </c>
    </row>
    <row r="716" spans="91:118" x14ac:dyDescent="0.25">
      <c r="CM716" t="s">
        <v>636</v>
      </c>
      <c r="CN716" t="s">
        <v>7</v>
      </c>
      <c r="CO716" t="s">
        <v>49</v>
      </c>
      <c r="CP716">
        <v>46106</v>
      </c>
      <c r="CQ716">
        <v>1</v>
      </c>
      <c r="CR716">
        <v>1</v>
      </c>
      <c r="CT716">
        <v>1</v>
      </c>
      <c r="CV716">
        <v>2.1875000000000002E-3</v>
      </c>
      <c r="CW716">
        <v>2.1875000000000002E-3</v>
      </c>
      <c r="CX716">
        <v>0.1690625</v>
      </c>
      <c r="CY716">
        <v>0.11201388888888889</v>
      </c>
      <c r="CZ716">
        <v>38</v>
      </c>
      <c r="DA716">
        <v>66</v>
      </c>
      <c r="DB716">
        <v>10</v>
      </c>
      <c r="DC716">
        <v>1.6</v>
      </c>
      <c r="DD716">
        <v>20736</v>
      </c>
      <c r="DE716">
        <v>0.26319999999999999</v>
      </c>
      <c r="DF716">
        <v>1</v>
      </c>
      <c r="DG716">
        <v>0.1</v>
      </c>
      <c r="DH716">
        <v>300</v>
      </c>
      <c r="DI716">
        <v>300</v>
      </c>
      <c r="DM716">
        <v>68</v>
      </c>
    </row>
    <row r="717" spans="91:118" x14ac:dyDescent="0.25">
      <c r="CM717" t="s">
        <v>636</v>
      </c>
      <c r="CN717" t="s">
        <v>7</v>
      </c>
      <c r="CO717" t="s">
        <v>49</v>
      </c>
      <c r="CP717">
        <v>46111</v>
      </c>
      <c r="CQ717">
        <v>1</v>
      </c>
      <c r="CR717">
        <v>1</v>
      </c>
      <c r="CT717">
        <v>1</v>
      </c>
      <c r="CV717">
        <v>2.7546296296296294E-3</v>
      </c>
      <c r="CW717">
        <v>2.7546296296296294E-3</v>
      </c>
      <c r="CX717">
        <v>0.20256944444444444</v>
      </c>
      <c r="CY717">
        <v>0.15894675925925925</v>
      </c>
      <c r="CZ717">
        <v>59</v>
      </c>
      <c r="DA717">
        <v>92</v>
      </c>
      <c r="DB717">
        <v>13</v>
      </c>
      <c r="DC717" t="s">
        <v>711</v>
      </c>
      <c r="DD717">
        <v>17923</v>
      </c>
      <c r="DE717">
        <v>0.2203</v>
      </c>
      <c r="DM717">
        <v>68</v>
      </c>
    </row>
    <row r="718" spans="91:118" x14ac:dyDescent="0.25">
      <c r="CM718" t="s">
        <v>636</v>
      </c>
      <c r="CN718" t="s">
        <v>7</v>
      </c>
      <c r="CO718" t="s">
        <v>563</v>
      </c>
      <c r="CP718">
        <v>46084</v>
      </c>
      <c r="CQ718">
        <v>1</v>
      </c>
      <c r="CR718">
        <v>1</v>
      </c>
      <c r="CT718">
        <v>1</v>
      </c>
      <c r="CV718">
        <v>2.8935185185185184E-4</v>
      </c>
      <c r="CW718">
        <v>2.8935185185185184E-4</v>
      </c>
      <c r="CX718">
        <v>0.15461805555555555</v>
      </c>
      <c r="CY718">
        <v>8.3645833333333336E-2</v>
      </c>
      <c r="CZ718">
        <v>106</v>
      </c>
      <c r="DA718">
        <v>178</v>
      </c>
      <c r="DB718">
        <v>12</v>
      </c>
      <c r="DC718" t="s">
        <v>781</v>
      </c>
      <c r="DD718">
        <v>2017</v>
      </c>
      <c r="DE718">
        <v>0.1132</v>
      </c>
      <c r="DM718">
        <v>68</v>
      </c>
    </row>
    <row r="719" spans="91:118" x14ac:dyDescent="0.25">
      <c r="CM719" t="s">
        <v>636</v>
      </c>
      <c r="CN719" t="s">
        <v>7</v>
      </c>
      <c r="CO719" t="s">
        <v>563</v>
      </c>
      <c r="CP719">
        <v>46086</v>
      </c>
      <c r="CQ719">
        <v>1</v>
      </c>
      <c r="CR719">
        <v>1</v>
      </c>
      <c r="CU719">
        <v>1</v>
      </c>
      <c r="CV719">
        <v>0</v>
      </c>
      <c r="CW719">
        <v>0</v>
      </c>
      <c r="CX719">
        <v>0</v>
      </c>
      <c r="CY719">
        <v>0</v>
      </c>
      <c r="DM719">
        <v>68</v>
      </c>
    </row>
    <row r="720" spans="91:118" x14ac:dyDescent="0.25">
      <c r="CM720" t="s">
        <v>636</v>
      </c>
      <c r="CN720" t="s">
        <v>7</v>
      </c>
      <c r="CO720" t="s">
        <v>565</v>
      </c>
      <c r="CP720">
        <v>46111</v>
      </c>
      <c r="CQ720">
        <v>1</v>
      </c>
      <c r="CR720">
        <v>1</v>
      </c>
      <c r="CT720">
        <v>1</v>
      </c>
      <c r="CV720">
        <v>7.6388888888888893E-4</v>
      </c>
      <c r="CW720">
        <v>7.6388888888888893E-4</v>
      </c>
      <c r="CX720">
        <v>0.20386574074074074</v>
      </c>
      <c r="CY720">
        <v>0.16120370370370371</v>
      </c>
      <c r="CZ720">
        <v>136</v>
      </c>
      <c r="DA720">
        <v>267</v>
      </c>
      <c r="DB720">
        <v>44</v>
      </c>
      <c r="DC720" t="s">
        <v>1061</v>
      </c>
      <c r="DD720">
        <v>14331</v>
      </c>
      <c r="DE720">
        <v>0.32350000000000001</v>
      </c>
      <c r="DM720">
        <v>68</v>
      </c>
    </row>
    <row r="721" spans="91:118" x14ac:dyDescent="0.25">
      <c r="CM721" t="s">
        <v>636</v>
      </c>
      <c r="CN721" t="s">
        <v>7</v>
      </c>
      <c r="CO721" t="s">
        <v>549</v>
      </c>
      <c r="CP721">
        <v>46094</v>
      </c>
      <c r="CQ721">
        <v>1</v>
      </c>
      <c r="CR721">
        <v>1</v>
      </c>
      <c r="CT721">
        <v>1</v>
      </c>
      <c r="CV721">
        <v>0</v>
      </c>
      <c r="CW721">
        <v>0</v>
      </c>
      <c r="CX721">
        <v>0.25853009259259258</v>
      </c>
      <c r="CY721">
        <v>8.9641203703703709E-2</v>
      </c>
      <c r="CZ721">
        <v>173</v>
      </c>
      <c r="DA721">
        <v>241</v>
      </c>
      <c r="DB721">
        <v>48</v>
      </c>
      <c r="DC721" t="s">
        <v>712</v>
      </c>
      <c r="DD721">
        <v>4932</v>
      </c>
      <c r="DE721">
        <v>0.27750000000000002</v>
      </c>
      <c r="DM721">
        <v>68</v>
      </c>
    </row>
    <row r="722" spans="91:118" x14ac:dyDescent="0.25">
      <c r="CM722" t="s">
        <v>636</v>
      </c>
      <c r="CN722" t="s">
        <v>7</v>
      </c>
      <c r="CO722" t="s">
        <v>77</v>
      </c>
      <c r="CP722">
        <v>46087</v>
      </c>
      <c r="CQ722">
        <v>1</v>
      </c>
      <c r="CR722">
        <v>1</v>
      </c>
      <c r="CT722">
        <v>1</v>
      </c>
      <c r="CV722">
        <v>0</v>
      </c>
      <c r="CW722">
        <v>0</v>
      </c>
      <c r="CX722">
        <v>0.23730324074074075</v>
      </c>
      <c r="CY722">
        <v>9.8657407407407402E-2</v>
      </c>
      <c r="CZ722">
        <v>92</v>
      </c>
      <c r="DA722">
        <v>202</v>
      </c>
      <c r="DB722">
        <v>25</v>
      </c>
      <c r="DC722">
        <v>1.68</v>
      </c>
      <c r="DD722">
        <v>20349</v>
      </c>
      <c r="DE722">
        <v>0.2717</v>
      </c>
      <c r="DF722">
        <v>1</v>
      </c>
      <c r="DG722">
        <v>0.04</v>
      </c>
      <c r="DH722">
        <v>1034</v>
      </c>
      <c r="DI722">
        <v>1034</v>
      </c>
      <c r="DJ722">
        <v>1034</v>
      </c>
      <c r="DK722">
        <v>1</v>
      </c>
      <c r="DM722">
        <v>68</v>
      </c>
      <c r="DN722">
        <v>1034</v>
      </c>
    </row>
    <row r="723" spans="91:118" x14ac:dyDescent="0.25">
      <c r="CM723" t="s">
        <v>636</v>
      </c>
      <c r="CN723" t="s">
        <v>7</v>
      </c>
      <c r="CO723" t="s">
        <v>77</v>
      </c>
      <c r="CP723">
        <v>46098</v>
      </c>
      <c r="CQ723">
        <v>1</v>
      </c>
      <c r="CR723">
        <v>1</v>
      </c>
      <c r="CS723">
        <v>1</v>
      </c>
      <c r="CV723">
        <v>5.9606481481481481E-3</v>
      </c>
      <c r="CW723">
        <v>5.9606481481481481E-3</v>
      </c>
      <c r="CX723">
        <v>0.21738425925925925</v>
      </c>
      <c r="CY723">
        <v>0.12559027777777779</v>
      </c>
      <c r="CZ723">
        <v>82</v>
      </c>
      <c r="DA723">
        <v>183</v>
      </c>
      <c r="DB723">
        <v>29</v>
      </c>
      <c r="DC723" t="s">
        <v>945</v>
      </c>
      <c r="DD723">
        <v>16865</v>
      </c>
      <c r="DE723">
        <v>0.35370000000000001</v>
      </c>
      <c r="DF723">
        <v>1</v>
      </c>
      <c r="DG723">
        <v>3.4500000000000003E-2</v>
      </c>
      <c r="DH723">
        <v>390</v>
      </c>
      <c r="DI723">
        <v>390</v>
      </c>
      <c r="DM723">
        <v>68</v>
      </c>
    </row>
    <row r="724" spans="91:118" x14ac:dyDescent="0.25">
      <c r="CM724" t="s">
        <v>636</v>
      </c>
      <c r="CN724" t="s">
        <v>7</v>
      </c>
      <c r="CO724" t="s">
        <v>566</v>
      </c>
      <c r="CP724">
        <v>46086</v>
      </c>
      <c r="CQ724">
        <v>1</v>
      </c>
      <c r="CR724">
        <v>1</v>
      </c>
      <c r="CU724">
        <v>1</v>
      </c>
      <c r="CV724">
        <v>0</v>
      </c>
      <c r="CW724">
        <v>0</v>
      </c>
      <c r="CX724">
        <v>0</v>
      </c>
      <c r="CY724">
        <v>0</v>
      </c>
      <c r="DM724">
        <v>68</v>
      </c>
    </row>
    <row r="725" spans="91:118" x14ac:dyDescent="0.25">
      <c r="CM725" t="s">
        <v>636</v>
      </c>
      <c r="CN725" t="s">
        <v>7</v>
      </c>
      <c r="CO725" t="s">
        <v>566</v>
      </c>
      <c r="CP725">
        <v>46097</v>
      </c>
      <c r="CQ725">
        <v>1</v>
      </c>
      <c r="CR725">
        <v>1</v>
      </c>
      <c r="CS725">
        <v>1</v>
      </c>
      <c r="CV725">
        <v>1.800925925925926E-2</v>
      </c>
      <c r="CW725">
        <v>1.800925925925926E-2</v>
      </c>
      <c r="CX725">
        <v>0.23024305555555555</v>
      </c>
      <c r="CY725">
        <v>0.14829861111111112</v>
      </c>
      <c r="CZ725">
        <v>134</v>
      </c>
      <c r="DA725">
        <v>218</v>
      </c>
      <c r="DB725">
        <v>42</v>
      </c>
      <c r="DC725" t="s">
        <v>1062</v>
      </c>
      <c r="DD725">
        <v>14165</v>
      </c>
      <c r="DE725">
        <v>0.31340000000000001</v>
      </c>
      <c r="DM725">
        <v>68</v>
      </c>
    </row>
    <row r="726" spans="91:118" x14ac:dyDescent="0.25">
      <c r="CM726" t="s">
        <v>636</v>
      </c>
      <c r="CN726" t="s">
        <v>7</v>
      </c>
      <c r="CO726" t="s">
        <v>73</v>
      </c>
      <c r="CP726">
        <v>46097</v>
      </c>
      <c r="CQ726">
        <v>1</v>
      </c>
      <c r="CR726">
        <v>1</v>
      </c>
      <c r="CS726">
        <v>1</v>
      </c>
      <c r="CV726">
        <v>9.9074074074074082E-3</v>
      </c>
      <c r="CW726">
        <v>9.9074074074074082E-3</v>
      </c>
      <c r="CX726">
        <v>0.27148148148148149</v>
      </c>
      <c r="CY726">
        <v>0.12282407407407407</v>
      </c>
      <c r="CZ726">
        <v>67</v>
      </c>
      <c r="DA726">
        <v>116</v>
      </c>
      <c r="DB726">
        <v>11</v>
      </c>
      <c r="DC726" t="s">
        <v>695</v>
      </c>
      <c r="DD726">
        <v>24495</v>
      </c>
      <c r="DE726">
        <v>0.16420000000000001</v>
      </c>
      <c r="DM726">
        <v>68</v>
      </c>
    </row>
    <row r="727" spans="91:118" x14ac:dyDescent="0.25">
      <c r="CM727" t="s">
        <v>636</v>
      </c>
      <c r="CN727" t="s">
        <v>7</v>
      </c>
      <c r="CO727" t="s">
        <v>73</v>
      </c>
      <c r="CP727">
        <v>46111</v>
      </c>
      <c r="CQ727">
        <v>1</v>
      </c>
      <c r="CR727">
        <v>1</v>
      </c>
      <c r="CT727">
        <v>1</v>
      </c>
      <c r="CV727">
        <v>2.5115740740740741E-3</v>
      </c>
      <c r="CW727">
        <v>2.5115740740740741E-3</v>
      </c>
      <c r="CX727">
        <v>0.2036574074074074</v>
      </c>
      <c r="CY727">
        <v>0.17390046296296297</v>
      </c>
      <c r="CZ727">
        <v>58</v>
      </c>
      <c r="DA727">
        <v>90</v>
      </c>
      <c r="DB727">
        <v>19</v>
      </c>
      <c r="DC727" t="s">
        <v>1034</v>
      </c>
      <c r="DD727">
        <v>27765</v>
      </c>
      <c r="DE727">
        <v>0.3276</v>
      </c>
      <c r="DM727">
        <v>68</v>
      </c>
    </row>
    <row r="728" spans="91:118" x14ac:dyDescent="0.25">
      <c r="CM728" t="s">
        <v>636</v>
      </c>
      <c r="CN728" t="s">
        <v>7</v>
      </c>
      <c r="CO728" t="s">
        <v>557</v>
      </c>
      <c r="CP728">
        <v>46094</v>
      </c>
      <c r="CQ728">
        <v>1</v>
      </c>
      <c r="CR728">
        <v>1</v>
      </c>
      <c r="CT728">
        <v>1</v>
      </c>
      <c r="CV728">
        <v>0</v>
      </c>
      <c r="CW728">
        <v>0</v>
      </c>
      <c r="CX728">
        <v>0.21781249999999999</v>
      </c>
      <c r="CY728">
        <v>0.13466435185185185</v>
      </c>
      <c r="CZ728">
        <v>109</v>
      </c>
      <c r="DA728">
        <v>200</v>
      </c>
      <c r="DB728">
        <v>43</v>
      </c>
      <c r="DC728" t="s">
        <v>1063</v>
      </c>
      <c r="DD728">
        <v>6801</v>
      </c>
      <c r="DE728">
        <v>0.39450000000000002</v>
      </c>
      <c r="DM728">
        <v>68</v>
      </c>
    </row>
    <row r="729" spans="91:118" x14ac:dyDescent="0.25">
      <c r="CM729" t="s">
        <v>636</v>
      </c>
      <c r="CN729" t="s">
        <v>7</v>
      </c>
      <c r="CO729" t="s">
        <v>48</v>
      </c>
      <c r="CP729">
        <v>46094</v>
      </c>
      <c r="CQ729">
        <v>1</v>
      </c>
      <c r="CR729">
        <v>1</v>
      </c>
      <c r="CS729">
        <v>1</v>
      </c>
      <c r="CV729">
        <v>3.2928240740740744E-2</v>
      </c>
      <c r="CW729">
        <v>3.2928240740740744E-2</v>
      </c>
      <c r="CX729">
        <v>0.16449074074074074</v>
      </c>
      <c r="CY729">
        <v>0.14759259259259258</v>
      </c>
      <c r="CZ729">
        <v>56</v>
      </c>
      <c r="DA729">
        <v>88</v>
      </c>
      <c r="DB729">
        <v>18</v>
      </c>
      <c r="DC729" t="s">
        <v>960</v>
      </c>
      <c r="DD729">
        <v>26976</v>
      </c>
      <c r="DE729">
        <v>0.32140000000000002</v>
      </c>
      <c r="DF729">
        <v>1</v>
      </c>
      <c r="DG729">
        <v>5.5599999999999997E-2</v>
      </c>
      <c r="DH729">
        <v>200</v>
      </c>
      <c r="DI729">
        <v>200</v>
      </c>
      <c r="DM729">
        <v>68</v>
      </c>
    </row>
    <row r="730" spans="91:118" x14ac:dyDescent="0.25">
      <c r="CM730" t="s">
        <v>636</v>
      </c>
      <c r="CN730" t="s">
        <v>3</v>
      </c>
      <c r="CO730" t="s">
        <v>174</v>
      </c>
      <c r="CP730">
        <v>46097</v>
      </c>
      <c r="CQ730">
        <v>1</v>
      </c>
      <c r="CR730">
        <v>1</v>
      </c>
      <c r="CT730">
        <v>1</v>
      </c>
      <c r="CV730">
        <v>1.1574074074074073E-5</v>
      </c>
      <c r="CW730">
        <v>1.1574074074074073E-5</v>
      </c>
      <c r="CX730">
        <v>0.28859953703703706</v>
      </c>
      <c r="CY730">
        <v>0.12664351851851852</v>
      </c>
      <c r="CZ730">
        <v>259</v>
      </c>
      <c r="DA730">
        <v>396</v>
      </c>
      <c r="DB730">
        <v>43</v>
      </c>
      <c r="DC730" t="s">
        <v>1064</v>
      </c>
      <c r="DD730">
        <v>22010</v>
      </c>
      <c r="DE730">
        <v>0.16600000000000001</v>
      </c>
      <c r="DM730">
        <v>68</v>
      </c>
    </row>
    <row r="731" spans="91:118" x14ac:dyDescent="0.25">
      <c r="CM731" t="s">
        <v>636</v>
      </c>
      <c r="CN731" t="s">
        <v>3</v>
      </c>
      <c r="CO731" t="s">
        <v>493</v>
      </c>
      <c r="CP731">
        <v>46097</v>
      </c>
      <c r="CQ731">
        <v>1</v>
      </c>
      <c r="CR731">
        <v>1</v>
      </c>
      <c r="CT731">
        <v>1</v>
      </c>
      <c r="CV731">
        <v>0</v>
      </c>
      <c r="CW731">
        <v>0</v>
      </c>
      <c r="CX731">
        <v>0.32726851851851851</v>
      </c>
      <c r="CY731">
        <v>9.4861111111111104E-2</v>
      </c>
      <c r="CZ731">
        <v>266</v>
      </c>
      <c r="DA731">
        <v>337</v>
      </c>
      <c r="DB731">
        <v>55</v>
      </c>
      <c r="DC731" t="s">
        <v>1065</v>
      </c>
      <c r="DD731">
        <v>15749</v>
      </c>
      <c r="DE731">
        <v>0.20680000000000001</v>
      </c>
      <c r="DM731">
        <v>68</v>
      </c>
    </row>
    <row r="732" spans="91:118" x14ac:dyDescent="0.25">
      <c r="CM732" t="s">
        <v>636</v>
      </c>
      <c r="CN732" t="s">
        <v>3</v>
      </c>
      <c r="CO732" t="s">
        <v>32</v>
      </c>
      <c r="CP732">
        <v>46112</v>
      </c>
      <c r="CQ732">
        <v>1</v>
      </c>
      <c r="CR732">
        <v>1</v>
      </c>
      <c r="CT732">
        <v>1</v>
      </c>
      <c r="CV732">
        <v>1.5046296296296297E-4</v>
      </c>
      <c r="CW732">
        <v>1.5046296296296297E-4</v>
      </c>
      <c r="CX732">
        <v>0.21074074074074073</v>
      </c>
      <c r="CY732">
        <v>0.22755787037037037</v>
      </c>
      <c r="CZ732">
        <v>78</v>
      </c>
      <c r="DA732">
        <v>158</v>
      </c>
      <c r="DB732">
        <v>31</v>
      </c>
      <c r="DC732" t="s">
        <v>1019</v>
      </c>
      <c r="DD732">
        <v>20810</v>
      </c>
      <c r="DE732">
        <v>0.39739999999999998</v>
      </c>
      <c r="DF732">
        <v>1</v>
      </c>
      <c r="DG732">
        <v>3.2300000000000002E-2</v>
      </c>
      <c r="DH732">
        <v>600</v>
      </c>
      <c r="DI732">
        <v>600</v>
      </c>
      <c r="DJ732">
        <v>600</v>
      </c>
      <c r="DK732">
        <v>1</v>
      </c>
      <c r="DL732">
        <v>0.19289999999999999</v>
      </c>
      <c r="DM732">
        <v>68</v>
      </c>
      <c r="DN732">
        <v>600</v>
      </c>
    </row>
    <row r="733" spans="91:118" x14ac:dyDescent="0.25">
      <c r="CM733" t="s">
        <v>636</v>
      </c>
      <c r="CN733" t="s">
        <v>3</v>
      </c>
      <c r="CO733" t="s">
        <v>68</v>
      </c>
      <c r="CP733">
        <v>46097</v>
      </c>
      <c r="CQ733">
        <v>1</v>
      </c>
      <c r="CR733">
        <v>1</v>
      </c>
      <c r="CT733">
        <v>1</v>
      </c>
      <c r="CV733">
        <v>2.6967592592592594E-3</v>
      </c>
      <c r="CW733">
        <v>2.6967592592592594E-3</v>
      </c>
      <c r="CX733">
        <v>0.27925925925925926</v>
      </c>
      <c r="CY733">
        <v>9.7939814814814813E-2</v>
      </c>
      <c r="CZ733">
        <v>124</v>
      </c>
      <c r="DA733">
        <v>239</v>
      </c>
      <c r="DB733">
        <v>21</v>
      </c>
      <c r="DC733" t="s">
        <v>1009</v>
      </c>
      <c r="DD733">
        <v>23168</v>
      </c>
      <c r="DE733">
        <v>0.1694</v>
      </c>
      <c r="DM733">
        <v>68</v>
      </c>
    </row>
    <row r="734" spans="91:118" x14ac:dyDescent="0.25">
      <c r="CM734" t="s">
        <v>636</v>
      </c>
      <c r="CN734" t="s">
        <v>3</v>
      </c>
      <c r="CO734" t="s">
        <v>68</v>
      </c>
      <c r="CP734">
        <v>46104</v>
      </c>
      <c r="CQ734">
        <v>1</v>
      </c>
      <c r="CR734">
        <v>1</v>
      </c>
      <c r="CS734">
        <v>1</v>
      </c>
      <c r="CV734">
        <v>9.7337962962962959E-3</v>
      </c>
      <c r="CW734">
        <v>9.7337962962962959E-3</v>
      </c>
      <c r="CX734">
        <v>0.18964120370370371</v>
      </c>
      <c r="CY734">
        <v>8.969907407407407E-2</v>
      </c>
      <c r="CZ734">
        <v>88</v>
      </c>
      <c r="DA734">
        <v>115</v>
      </c>
      <c r="DB734">
        <v>14</v>
      </c>
      <c r="DC734" t="s">
        <v>745</v>
      </c>
      <c r="DD734">
        <v>56273</v>
      </c>
      <c r="DE734">
        <v>0.15909999999999999</v>
      </c>
      <c r="DM734">
        <v>68</v>
      </c>
    </row>
    <row r="735" spans="91:118" x14ac:dyDescent="0.25">
      <c r="CM735" t="s">
        <v>636</v>
      </c>
      <c r="CN735" t="s">
        <v>3</v>
      </c>
      <c r="CO735" t="s">
        <v>29</v>
      </c>
      <c r="CP735">
        <v>46107</v>
      </c>
      <c r="CQ735">
        <v>1</v>
      </c>
      <c r="CR735">
        <v>1</v>
      </c>
      <c r="CT735">
        <v>1</v>
      </c>
      <c r="CV735">
        <v>2.2106481481481482E-3</v>
      </c>
      <c r="CW735">
        <v>2.2106481481481482E-3</v>
      </c>
      <c r="CX735">
        <v>0.19844907407407408</v>
      </c>
      <c r="CY735">
        <v>7.3715277777777782E-2</v>
      </c>
      <c r="CZ735">
        <v>106</v>
      </c>
      <c r="DA735">
        <v>174</v>
      </c>
      <c r="DB735">
        <v>21</v>
      </c>
      <c r="DC735" t="s">
        <v>745</v>
      </c>
      <c r="DD735">
        <v>14447</v>
      </c>
      <c r="DE735">
        <v>0.1981</v>
      </c>
      <c r="DF735">
        <v>5</v>
      </c>
      <c r="DG735">
        <v>0.23810000000000001</v>
      </c>
      <c r="DH735">
        <v>1395</v>
      </c>
      <c r="DI735">
        <v>279</v>
      </c>
      <c r="DJ735">
        <v>318</v>
      </c>
      <c r="DK735">
        <v>0.22800000000000001</v>
      </c>
      <c r="DL735">
        <v>0.2359</v>
      </c>
      <c r="DM735">
        <v>68</v>
      </c>
      <c r="DN735">
        <v>159</v>
      </c>
    </row>
    <row r="736" spans="91:118" x14ac:dyDescent="0.25">
      <c r="CM736" t="s">
        <v>636</v>
      </c>
      <c r="CN736" t="s">
        <v>3</v>
      </c>
      <c r="CO736" t="s">
        <v>79</v>
      </c>
      <c r="CP736">
        <v>46107</v>
      </c>
      <c r="CQ736">
        <v>1</v>
      </c>
      <c r="CR736">
        <v>1</v>
      </c>
      <c r="CS736">
        <v>1</v>
      </c>
      <c r="CV736">
        <v>5.0115740740740737E-3</v>
      </c>
      <c r="CW736">
        <v>5.0115740740740737E-3</v>
      </c>
      <c r="CX736">
        <v>0.18998842592592594</v>
      </c>
      <c r="CY736">
        <v>0.14878472222222222</v>
      </c>
      <c r="CZ736">
        <v>74</v>
      </c>
      <c r="DA736">
        <v>152</v>
      </c>
      <c r="DB736">
        <v>14</v>
      </c>
      <c r="DC736" t="s">
        <v>803</v>
      </c>
      <c r="DD736">
        <v>34007</v>
      </c>
      <c r="DE736">
        <v>0.18920000000000001</v>
      </c>
      <c r="DF736">
        <v>1</v>
      </c>
      <c r="DG736">
        <v>7.1400000000000005E-2</v>
      </c>
      <c r="DH736">
        <v>290</v>
      </c>
      <c r="DI736">
        <v>290</v>
      </c>
      <c r="DJ736">
        <v>290</v>
      </c>
      <c r="DK736">
        <v>1</v>
      </c>
      <c r="DL736">
        <v>0.68169999999999997</v>
      </c>
      <c r="DM736">
        <v>68</v>
      </c>
      <c r="DN736">
        <v>290</v>
      </c>
    </row>
    <row r="737" spans="91:118" x14ac:dyDescent="0.25">
      <c r="CM737" t="s">
        <v>636</v>
      </c>
      <c r="CN737" t="s">
        <v>3</v>
      </c>
      <c r="CO737" t="s">
        <v>78</v>
      </c>
      <c r="CP737">
        <v>46104</v>
      </c>
      <c r="CQ737">
        <v>1</v>
      </c>
      <c r="CR737">
        <v>1</v>
      </c>
      <c r="CS737">
        <v>1</v>
      </c>
      <c r="CV737">
        <v>0.15167824074074074</v>
      </c>
      <c r="CW737">
        <v>0.15167824074074074</v>
      </c>
      <c r="CX737">
        <v>0.11100694444444445</v>
      </c>
      <c r="CY737">
        <v>6.6655092592592599E-2</v>
      </c>
      <c r="CZ737">
        <v>48</v>
      </c>
      <c r="DA737">
        <v>90</v>
      </c>
      <c r="DB737">
        <v>11</v>
      </c>
      <c r="DC737" t="s">
        <v>786</v>
      </c>
      <c r="DD737">
        <v>22782</v>
      </c>
      <c r="DE737">
        <v>0.22919999999999999</v>
      </c>
      <c r="DM737">
        <v>68</v>
      </c>
    </row>
    <row r="738" spans="91:118" x14ac:dyDescent="0.25">
      <c r="CM738" t="s">
        <v>636</v>
      </c>
      <c r="CN738" t="s">
        <v>125</v>
      </c>
      <c r="CO738" t="s">
        <v>109</v>
      </c>
      <c r="CP738">
        <v>46106</v>
      </c>
      <c r="CQ738">
        <v>1</v>
      </c>
      <c r="CR738">
        <v>1</v>
      </c>
      <c r="CU738">
        <v>1</v>
      </c>
      <c r="CV738">
        <v>0</v>
      </c>
      <c r="CW738">
        <v>0</v>
      </c>
      <c r="CX738">
        <v>0</v>
      </c>
      <c r="CY738">
        <v>0</v>
      </c>
      <c r="DM738">
        <v>66</v>
      </c>
    </row>
    <row r="739" spans="91:118" x14ac:dyDescent="0.25">
      <c r="CM739" t="s">
        <v>636</v>
      </c>
      <c r="CN739" t="s">
        <v>125</v>
      </c>
      <c r="CO739" t="s">
        <v>61</v>
      </c>
      <c r="CP739">
        <v>46111</v>
      </c>
      <c r="CQ739">
        <v>1</v>
      </c>
      <c r="CR739">
        <v>1</v>
      </c>
      <c r="CS739">
        <v>1</v>
      </c>
      <c r="CV739">
        <v>1.9849537037037037E-2</v>
      </c>
      <c r="CW739">
        <v>1.9849537037037037E-2</v>
      </c>
      <c r="CX739">
        <v>0.19006944444444446</v>
      </c>
      <c r="CY739">
        <v>0.18913194444444445</v>
      </c>
      <c r="CZ739">
        <v>110</v>
      </c>
      <c r="DA739">
        <v>271</v>
      </c>
      <c r="DB739">
        <v>22</v>
      </c>
      <c r="DC739" t="s">
        <v>847</v>
      </c>
      <c r="DD739">
        <v>38224</v>
      </c>
      <c r="DE739">
        <v>0.2</v>
      </c>
      <c r="DM739">
        <v>66</v>
      </c>
    </row>
    <row r="740" spans="91:118" x14ac:dyDescent="0.25">
      <c r="CM740" t="s">
        <v>636</v>
      </c>
      <c r="CN740" t="s">
        <v>125</v>
      </c>
      <c r="CO740" t="s">
        <v>122</v>
      </c>
      <c r="CP740">
        <v>46111</v>
      </c>
      <c r="CQ740">
        <v>1</v>
      </c>
      <c r="CR740">
        <v>1</v>
      </c>
      <c r="CS740">
        <v>1</v>
      </c>
      <c r="CV740">
        <v>1.1134259259259259E-2</v>
      </c>
      <c r="CW740">
        <v>1.1134259259259259E-2</v>
      </c>
      <c r="CX740">
        <v>0.17444444444444446</v>
      </c>
      <c r="CY740">
        <v>0.18023148148148149</v>
      </c>
      <c r="CZ740">
        <v>77</v>
      </c>
      <c r="DA740">
        <v>302</v>
      </c>
      <c r="DB740">
        <v>16</v>
      </c>
      <c r="DC740">
        <v>1.5</v>
      </c>
      <c r="DD740">
        <v>23611</v>
      </c>
      <c r="DE740">
        <v>0.20780000000000001</v>
      </c>
      <c r="DM740">
        <v>66</v>
      </c>
    </row>
    <row r="741" spans="91:118" x14ac:dyDescent="0.25">
      <c r="CM741" t="s">
        <v>636</v>
      </c>
      <c r="CN741" t="s">
        <v>125</v>
      </c>
      <c r="CO741" t="s">
        <v>59</v>
      </c>
      <c r="CP741">
        <v>46086</v>
      </c>
      <c r="CQ741">
        <v>1</v>
      </c>
      <c r="CR741">
        <v>1</v>
      </c>
      <c r="CT741">
        <v>1</v>
      </c>
      <c r="CV741">
        <v>0</v>
      </c>
      <c r="CW741">
        <v>0</v>
      </c>
      <c r="CX741">
        <v>0.30811342592592594</v>
      </c>
      <c r="CY741">
        <v>0.10746527777777778</v>
      </c>
      <c r="CZ741">
        <v>223</v>
      </c>
      <c r="DA741">
        <v>371</v>
      </c>
      <c r="DB741">
        <v>24</v>
      </c>
      <c r="DC741" t="s">
        <v>811</v>
      </c>
      <c r="DD741">
        <v>25354</v>
      </c>
      <c r="DE741">
        <v>0.1076</v>
      </c>
      <c r="DF741">
        <v>1</v>
      </c>
      <c r="DG741">
        <v>4.1700000000000001E-2</v>
      </c>
      <c r="DH741">
        <v>1000</v>
      </c>
      <c r="DI741">
        <v>1000</v>
      </c>
      <c r="DM741">
        <v>66</v>
      </c>
    </row>
    <row r="742" spans="91:118" x14ac:dyDescent="0.25">
      <c r="CM742" t="s">
        <v>636</v>
      </c>
      <c r="CN742" t="s">
        <v>125</v>
      </c>
      <c r="CO742" t="s">
        <v>59</v>
      </c>
      <c r="CP742">
        <v>46106</v>
      </c>
      <c r="CQ742">
        <v>1</v>
      </c>
      <c r="CR742">
        <v>1</v>
      </c>
      <c r="CV742">
        <v>3.9583333333333337E-3</v>
      </c>
      <c r="CW742">
        <v>3.9583333333333337E-3</v>
      </c>
      <c r="CX742">
        <v>0.27853009259259259</v>
      </c>
      <c r="CY742">
        <v>9.8634259259259255E-2</v>
      </c>
      <c r="CZ742">
        <v>200</v>
      </c>
      <c r="DA742">
        <v>337</v>
      </c>
      <c r="DB742">
        <v>21</v>
      </c>
      <c r="DC742" t="s">
        <v>694</v>
      </c>
      <c r="DD742">
        <v>41642</v>
      </c>
      <c r="DE742">
        <v>0.105</v>
      </c>
      <c r="DM742">
        <v>66</v>
      </c>
    </row>
    <row r="743" spans="91:118" x14ac:dyDescent="0.25">
      <c r="CM743" t="s">
        <v>636</v>
      </c>
      <c r="CN743" t="s">
        <v>125</v>
      </c>
      <c r="CO743" t="s">
        <v>10</v>
      </c>
      <c r="CP743">
        <v>46106</v>
      </c>
      <c r="CQ743">
        <v>1</v>
      </c>
      <c r="CR743">
        <v>1</v>
      </c>
      <c r="CV743">
        <v>0</v>
      </c>
      <c r="CW743">
        <v>0</v>
      </c>
      <c r="CX743">
        <v>0</v>
      </c>
      <c r="CY743">
        <v>0</v>
      </c>
      <c r="DM743">
        <v>66</v>
      </c>
    </row>
    <row r="744" spans="91:118" x14ac:dyDescent="0.25">
      <c r="CM744" t="s">
        <v>636</v>
      </c>
      <c r="CN744" t="s">
        <v>125</v>
      </c>
      <c r="CO744" t="s">
        <v>10</v>
      </c>
      <c r="CP744">
        <v>46107</v>
      </c>
      <c r="CQ744">
        <v>1</v>
      </c>
      <c r="CR744">
        <v>1</v>
      </c>
      <c r="CV744">
        <v>0</v>
      </c>
      <c r="CW744">
        <v>0</v>
      </c>
      <c r="CX744">
        <v>0</v>
      </c>
      <c r="CY744">
        <v>0</v>
      </c>
      <c r="DM744">
        <v>66</v>
      </c>
    </row>
    <row r="745" spans="91:118" x14ac:dyDescent="0.25">
      <c r="CM745" t="s">
        <v>636</v>
      </c>
      <c r="CN745" t="s">
        <v>125</v>
      </c>
      <c r="CO745" t="s">
        <v>10</v>
      </c>
      <c r="CP745">
        <v>46111</v>
      </c>
      <c r="CQ745">
        <v>1</v>
      </c>
      <c r="CR745">
        <v>1</v>
      </c>
      <c r="CV745">
        <v>0</v>
      </c>
      <c r="CW745">
        <v>0</v>
      </c>
      <c r="CX745">
        <v>0</v>
      </c>
      <c r="CY745">
        <v>0</v>
      </c>
      <c r="DM745">
        <v>66</v>
      </c>
    </row>
    <row r="746" spans="91:118" x14ac:dyDescent="0.25">
      <c r="CM746" t="s">
        <v>636</v>
      </c>
      <c r="CN746" t="s">
        <v>2</v>
      </c>
      <c r="CO746" t="s">
        <v>22</v>
      </c>
      <c r="CP746">
        <v>46097</v>
      </c>
      <c r="CQ746">
        <v>1</v>
      </c>
      <c r="CR746">
        <v>1</v>
      </c>
      <c r="CT746">
        <v>1</v>
      </c>
      <c r="CV746">
        <v>0</v>
      </c>
      <c r="CW746">
        <v>0</v>
      </c>
      <c r="CX746">
        <v>0.27090277777777777</v>
      </c>
      <c r="CY746">
        <v>0.12509259259259259</v>
      </c>
      <c r="CZ746">
        <v>75</v>
      </c>
      <c r="DA746">
        <v>152</v>
      </c>
      <c r="DB746">
        <v>24</v>
      </c>
      <c r="DC746" t="s">
        <v>674</v>
      </c>
      <c r="DD746">
        <v>21411</v>
      </c>
      <c r="DE746">
        <v>0.32</v>
      </c>
      <c r="DF746">
        <v>1</v>
      </c>
      <c r="DG746">
        <v>4.1700000000000001E-2</v>
      </c>
      <c r="DH746">
        <v>1000</v>
      </c>
      <c r="DI746">
        <v>1000</v>
      </c>
      <c r="DM746">
        <v>66</v>
      </c>
    </row>
    <row r="747" spans="91:118" x14ac:dyDescent="0.25">
      <c r="CM747" t="s">
        <v>636</v>
      </c>
      <c r="CN747" t="s">
        <v>6</v>
      </c>
      <c r="CO747" t="s">
        <v>80</v>
      </c>
      <c r="CP747">
        <v>46111</v>
      </c>
      <c r="CQ747">
        <v>1</v>
      </c>
      <c r="CR747">
        <v>1</v>
      </c>
      <c r="CT747">
        <v>1</v>
      </c>
      <c r="CV747">
        <v>6.9444444444444444E-5</v>
      </c>
      <c r="CW747">
        <v>6.9444444444444444E-5</v>
      </c>
      <c r="CX747">
        <v>0.23930555555555555</v>
      </c>
      <c r="CY747">
        <v>0.13804398148148148</v>
      </c>
      <c r="CZ747">
        <v>103</v>
      </c>
      <c r="DA747">
        <v>145</v>
      </c>
      <c r="DB747">
        <v>10</v>
      </c>
      <c r="DC747">
        <v>1.9</v>
      </c>
      <c r="DD747">
        <v>30152</v>
      </c>
      <c r="DE747">
        <v>9.7100000000000006E-2</v>
      </c>
      <c r="DF747">
        <v>1</v>
      </c>
      <c r="DG747">
        <v>0.1</v>
      </c>
      <c r="DH747">
        <v>900</v>
      </c>
      <c r="DI747">
        <v>900</v>
      </c>
      <c r="DJ747">
        <v>900</v>
      </c>
      <c r="DK747">
        <v>1</v>
      </c>
      <c r="DL747">
        <v>0.13969999999999999</v>
      </c>
      <c r="DM747">
        <v>66</v>
      </c>
      <c r="DN747">
        <v>900</v>
      </c>
    </row>
    <row r="748" spans="91:118" x14ac:dyDescent="0.25">
      <c r="CM748" t="s">
        <v>636</v>
      </c>
      <c r="CN748" t="s">
        <v>6</v>
      </c>
      <c r="CO748" t="s">
        <v>35</v>
      </c>
      <c r="CP748">
        <v>46087</v>
      </c>
      <c r="CQ748">
        <v>1</v>
      </c>
      <c r="CR748">
        <v>1</v>
      </c>
      <c r="CT748">
        <v>1</v>
      </c>
      <c r="CV748">
        <v>9.2592592592592588E-5</v>
      </c>
      <c r="CW748">
        <v>9.2592592592592588E-5</v>
      </c>
      <c r="CX748">
        <v>0.19928240740740741</v>
      </c>
      <c r="CY748">
        <v>0.16756944444444444</v>
      </c>
      <c r="CZ748">
        <v>56</v>
      </c>
      <c r="DA748">
        <v>113</v>
      </c>
      <c r="DB748">
        <v>18</v>
      </c>
      <c r="DC748" t="s">
        <v>755</v>
      </c>
      <c r="DD748">
        <v>24392</v>
      </c>
      <c r="DE748">
        <v>0.32140000000000002</v>
      </c>
      <c r="DF748">
        <v>1</v>
      </c>
      <c r="DG748">
        <v>5.5599999999999997E-2</v>
      </c>
      <c r="DH748">
        <v>500</v>
      </c>
      <c r="DI748">
        <v>500</v>
      </c>
      <c r="DM748">
        <v>66</v>
      </c>
    </row>
    <row r="749" spans="91:118" x14ac:dyDescent="0.25">
      <c r="CM749" t="s">
        <v>636</v>
      </c>
      <c r="CN749" t="s">
        <v>6</v>
      </c>
      <c r="CO749" t="s">
        <v>11</v>
      </c>
      <c r="CP749">
        <v>46099</v>
      </c>
      <c r="CQ749">
        <v>1</v>
      </c>
      <c r="CR749">
        <v>1</v>
      </c>
      <c r="CT749">
        <v>1</v>
      </c>
      <c r="CV749">
        <v>1.1574074074074075E-4</v>
      </c>
      <c r="CW749">
        <v>1.1574074074074075E-4</v>
      </c>
      <c r="CX749">
        <v>0.27061342592592591</v>
      </c>
      <c r="CY749">
        <v>0.12981481481481483</v>
      </c>
      <c r="CZ749">
        <v>188</v>
      </c>
      <c r="DA749">
        <v>296</v>
      </c>
      <c r="DB749">
        <v>41</v>
      </c>
      <c r="DC749" t="s">
        <v>908</v>
      </c>
      <c r="DD749">
        <v>21594</v>
      </c>
      <c r="DE749">
        <v>0.21809999999999999</v>
      </c>
      <c r="DF749">
        <v>3</v>
      </c>
      <c r="DG749">
        <v>7.3200000000000001E-2</v>
      </c>
      <c r="DH749">
        <v>2220</v>
      </c>
      <c r="DI749">
        <v>740</v>
      </c>
      <c r="DJ749">
        <v>1200</v>
      </c>
      <c r="DK749">
        <v>0.54049999999999998</v>
      </c>
      <c r="DL749">
        <v>0.16550000000000001</v>
      </c>
      <c r="DM749">
        <v>66</v>
      </c>
      <c r="DN749">
        <v>1200</v>
      </c>
    </row>
    <row r="750" spans="91:118" x14ac:dyDescent="0.25">
      <c r="CM750" t="s">
        <v>636</v>
      </c>
      <c r="CN750" t="s">
        <v>6</v>
      </c>
      <c r="CO750" t="s">
        <v>97</v>
      </c>
      <c r="CP750">
        <v>46106</v>
      </c>
      <c r="CQ750">
        <v>1</v>
      </c>
      <c r="CR750">
        <v>1</v>
      </c>
      <c r="CT750">
        <v>1</v>
      </c>
      <c r="CV750">
        <v>0</v>
      </c>
      <c r="CW750">
        <v>0</v>
      </c>
      <c r="CX750">
        <v>0.16891203703703703</v>
      </c>
      <c r="CY750">
        <v>0.15628472222222223</v>
      </c>
      <c r="CZ750">
        <v>117</v>
      </c>
      <c r="DA750">
        <v>184</v>
      </c>
      <c r="DB750">
        <v>17</v>
      </c>
      <c r="DC750" t="s">
        <v>670</v>
      </c>
      <c r="DD750">
        <v>15060</v>
      </c>
      <c r="DE750">
        <v>0.14530000000000001</v>
      </c>
      <c r="DF750">
        <v>2</v>
      </c>
      <c r="DG750">
        <v>0.1176</v>
      </c>
      <c r="DH750">
        <v>770</v>
      </c>
      <c r="DI750">
        <v>385</v>
      </c>
      <c r="DJ750">
        <v>500</v>
      </c>
      <c r="DK750">
        <v>0.64939999999999998</v>
      </c>
      <c r="DL750">
        <v>0.20569999999999999</v>
      </c>
      <c r="DM750">
        <v>66</v>
      </c>
      <c r="DN750">
        <v>500</v>
      </c>
    </row>
    <row r="751" spans="91:118" x14ac:dyDescent="0.25">
      <c r="CM751" t="s">
        <v>636</v>
      </c>
      <c r="CN751" t="s">
        <v>6</v>
      </c>
      <c r="CO751" t="s">
        <v>97</v>
      </c>
      <c r="CP751">
        <v>46112</v>
      </c>
      <c r="CQ751">
        <v>1</v>
      </c>
      <c r="CR751">
        <v>1</v>
      </c>
      <c r="CT751">
        <v>1</v>
      </c>
      <c r="CV751">
        <v>1.0416666666666667E-4</v>
      </c>
      <c r="CW751">
        <v>1.0416666666666667E-4</v>
      </c>
      <c r="CX751">
        <v>0.21668981481481481</v>
      </c>
      <c r="CY751">
        <v>0.17707175925925925</v>
      </c>
      <c r="CZ751">
        <v>71</v>
      </c>
      <c r="DA751">
        <v>111</v>
      </c>
      <c r="DB751">
        <v>20</v>
      </c>
      <c r="DC751">
        <v>1.8</v>
      </c>
      <c r="DD751">
        <v>32048</v>
      </c>
      <c r="DE751">
        <v>0.28170000000000001</v>
      </c>
      <c r="DF751">
        <v>1</v>
      </c>
      <c r="DG751">
        <v>0.05</v>
      </c>
      <c r="DH751">
        <v>1025</v>
      </c>
      <c r="DI751">
        <v>1025</v>
      </c>
      <c r="DJ751">
        <v>1025</v>
      </c>
      <c r="DK751">
        <v>1</v>
      </c>
      <c r="DM751">
        <v>66</v>
      </c>
      <c r="DN751">
        <v>1025</v>
      </c>
    </row>
    <row r="752" spans="91:118" x14ac:dyDescent="0.25">
      <c r="CM752" t="s">
        <v>636</v>
      </c>
      <c r="CN752" t="s">
        <v>7</v>
      </c>
      <c r="CO752" t="s">
        <v>565</v>
      </c>
      <c r="CP752">
        <v>46107</v>
      </c>
      <c r="CQ752">
        <v>1</v>
      </c>
      <c r="CR752">
        <v>1</v>
      </c>
      <c r="CT752">
        <v>1</v>
      </c>
      <c r="CV752">
        <v>1.273148148148148E-4</v>
      </c>
      <c r="CW752">
        <v>1.273148148148148E-4</v>
      </c>
      <c r="CX752">
        <v>0.13164351851851852</v>
      </c>
      <c r="CY752">
        <v>0.19001157407407407</v>
      </c>
      <c r="CZ752">
        <v>95</v>
      </c>
      <c r="DA752">
        <v>182</v>
      </c>
      <c r="DB752">
        <v>38</v>
      </c>
      <c r="DC752" t="s">
        <v>993</v>
      </c>
      <c r="DD752">
        <v>11623</v>
      </c>
      <c r="DE752">
        <v>0.4</v>
      </c>
      <c r="DF752">
        <v>1</v>
      </c>
      <c r="DG752">
        <v>2.63E-2</v>
      </c>
      <c r="DH752">
        <v>1000</v>
      </c>
      <c r="DI752">
        <v>1000</v>
      </c>
      <c r="DM752">
        <v>66</v>
      </c>
    </row>
    <row r="753" spans="91:118" x14ac:dyDescent="0.25">
      <c r="CM753" t="s">
        <v>636</v>
      </c>
      <c r="CN753" t="s">
        <v>7</v>
      </c>
      <c r="CO753" t="s">
        <v>549</v>
      </c>
      <c r="CP753">
        <v>46092</v>
      </c>
      <c r="CQ753">
        <v>1</v>
      </c>
      <c r="CR753">
        <v>1</v>
      </c>
      <c r="CT753">
        <v>1</v>
      </c>
      <c r="CV753">
        <v>0</v>
      </c>
      <c r="CW753">
        <v>0</v>
      </c>
      <c r="CX753">
        <v>0.26280092592592591</v>
      </c>
      <c r="CY753">
        <v>9.2314814814814808E-2</v>
      </c>
      <c r="CZ753">
        <v>179</v>
      </c>
      <c r="DA753">
        <v>238</v>
      </c>
      <c r="DB753">
        <v>34</v>
      </c>
      <c r="DC753" t="s">
        <v>677</v>
      </c>
      <c r="DD753">
        <v>6271</v>
      </c>
      <c r="DE753">
        <v>0.18990000000000001</v>
      </c>
      <c r="DF753">
        <v>1</v>
      </c>
      <c r="DG753">
        <v>2.9399999999999999E-2</v>
      </c>
      <c r="DH753">
        <v>400</v>
      </c>
      <c r="DI753">
        <v>400</v>
      </c>
      <c r="DM753">
        <v>66</v>
      </c>
    </row>
    <row r="754" spans="91:118" x14ac:dyDescent="0.25">
      <c r="CM754" t="s">
        <v>636</v>
      </c>
      <c r="CN754" t="s">
        <v>7</v>
      </c>
      <c r="CO754" t="s">
        <v>77</v>
      </c>
      <c r="CP754">
        <v>46093</v>
      </c>
      <c r="CQ754">
        <v>1</v>
      </c>
      <c r="CR754">
        <v>1</v>
      </c>
      <c r="CT754">
        <v>1</v>
      </c>
      <c r="CV754">
        <v>0</v>
      </c>
      <c r="CW754">
        <v>0</v>
      </c>
      <c r="CX754">
        <v>0.24222222222222223</v>
      </c>
      <c r="CY754">
        <v>9.9004629629629623E-2</v>
      </c>
      <c r="CZ754">
        <v>84</v>
      </c>
      <c r="DA754">
        <v>181</v>
      </c>
      <c r="DB754">
        <v>52</v>
      </c>
      <c r="DC754" t="s">
        <v>1066</v>
      </c>
      <c r="DD754">
        <v>14246</v>
      </c>
      <c r="DE754">
        <v>0.61899999999999999</v>
      </c>
      <c r="DF754">
        <v>1</v>
      </c>
      <c r="DG754">
        <v>1.9199999999999998E-2</v>
      </c>
      <c r="DH754">
        <v>310</v>
      </c>
      <c r="DI754">
        <v>310</v>
      </c>
      <c r="DM754">
        <v>66</v>
      </c>
    </row>
    <row r="755" spans="91:118" x14ac:dyDescent="0.25">
      <c r="CM755" t="s">
        <v>636</v>
      </c>
      <c r="CN755" t="s">
        <v>7</v>
      </c>
      <c r="CO755" t="s">
        <v>557</v>
      </c>
      <c r="CP755">
        <v>46091</v>
      </c>
      <c r="CQ755">
        <v>1</v>
      </c>
      <c r="CR755">
        <v>1</v>
      </c>
      <c r="CT755">
        <v>1</v>
      </c>
      <c r="CV755">
        <v>0</v>
      </c>
      <c r="CW755">
        <v>0</v>
      </c>
      <c r="CX755">
        <v>0.26494212962962965</v>
      </c>
      <c r="CY755">
        <v>0.1698611111111111</v>
      </c>
      <c r="CZ755">
        <v>118</v>
      </c>
      <c r="DA755">
        <v>219</v>
      </c>
      <c r="DB755">
        <v>38</v>
      </c>
      <c r="DC755" t="s">
        <v>963</v>
      </c>
      <c r="DD755">
        <v>7976</v>
      </c>
      <c r="DE755">
        <v>0.32200000000000001</v>
      </c>
      <c r="DF755">
        <v>1</v>
      </c>
      <c r="DG755">
        <v>2.63E-2</v>
      </c>
      <c r="DH755">
        <v>2000</v>
      </c>
      <c r="DI755">
        <v>2000</v>
      </c>
      <c r="DM755">
        <v>66</v>
      </c>
    </row>
    <row r="756" spans="91:118" x14ac:dyDescent="0.25">
      <c r="CM756" t="s">
        <v>636</v>
      </c>
      <c r="CN756" t="s">
        <v>3</v>
      </c>
      <c r="CO756" t="s">
        <v>174</v>
      </c>
      <c r="CP756">
        <v>46090</v>
      </c>
      <c r="CQ756">
        <v>1</v>
      </c>
      <c r="CR756">
        <v>1</v>
      </c>
      <c r="CT756">
        <v>1</v>
      </c>
      <c r="CV756">
        <v>1.1574074074074073E-5</v>
      </c>
      <c r="CW756">
        <v>1.1574074074074073E-5</v>
      </c>
      <c r="CX756">
        <v>0.2225</v>
      </c>
      <c r="CY756">
        <v>9.4722222222222222E-2</v>
      </c>
      <c r="CZ756">
        <v>195</v>
      </c>
      <c r="DA756">
        <v>245</v>
      </c>
      <c r="DB756">
        <v>16</v>
      </c>
      <c r="DC756">
        <v>2.375</v>
      </c>
      <c r="DD756">
        <v>22868</v>
      </c>
      <c r="DE756">
        <v>8.2100000000000006E-2</v>
      </c>
      <c r="DF756">
        <v>2</v>
      </c>
      <c r="DG756">
        <v>0.125</v>
      </c>
      <c r="DH756">
        <v>830</v>
      </c>
      <c r="DI756">
        <v>415</v>
      </c>
      <c r="DJ756">
        <v>350</v>
      </c>
      <c r="DK756">
        <v>0.42170000000000002</v>
      </c>
      <c r="DL756">
        <v>0.28589999999999999</v>
      </c>
      <c r="DM756">
        <v>66</v>
      </c>
      <c r="DN756">
        <v>350</v>
      </c>
    </row>
    <row r="757" spans="91:118" x14ac:dyDescent="0.25">
      <c r="CM757" t="s">
        <v>636</v>
      </c>
      <c r="CN757" t="s">
        <v>3</v>
      </c>
      <c r="CO757" t="s">
        <v>68</v>
      </c>
      <c r="CP757">
        <v>46108</v>
      </c>
      <c r="CQ757">
        <v>1</v>
      </c>
      <c r="CR757">
        <v>1</v>
      </c>
      <c r="CS757">
        <v>1</v>
      </c>
      <c r="CV757">
        <v>6.6087962962962966E-3</v>
      </c>
      <c r="CW757">
        <v>6.6087962962962966E-3</v>
      </c>
      <c r="CX757">
        <v>0.19395833333333334</v>
      </c>
      <c r="CY757">
        <v>0.1237037037037037</v>
      </c>
      <c r="CZ757">
        <v>76</v>
      </c>
      <c r="DA757">
        <v>106</v>
      </c>
      <c r="DB757">
        <v>14</v>
      </c>
      <c r="DC757" t="s">
        <v>803</v>
      </c>
      <c r="DD757">
        <v>58514</v>
      </c>
      <c r="DE757">
        <v>0.1842</v>
      </c>
      <c r="DF757">
        <v>1</v>
      </c>
      <c r="DG757">
        <v>7.1400000000000005E-2</v>
      </c>
      <c r="DH757">
        <v>8000</v>
      </c>
      <c r="DI757">
        <v>8000</v>
      </c>
      <c r="DJ757">
        <v>2000</v>
      </c>
      <c r="DK757">
        <v>0.25</v>
      </c>
      <c r="DL757">
        <v>2.5499999999999998E-2</v>
      </c>
      <c r="DM757">
        <v>66</v>
      </c>
      <c r="DN757">
        <v>2000</v>
      </c>
    </row>
    <row r="758" spans="91:118" x14ac:dyDescent="0.25">
      <c r="CM758" t="s">
        <v>636</v>
      </c>
      <c r="CN758" t="s">
        <v>3</v>
      </c>
      <c r="CO758" t="s">
        <v>79</v>
      </c>
      <c r="CP758">
        <v>46084</v>
      </c>
      <c r="CQ758">
        <v>1</v>
      </c>
      <c r="CR758">
        <v>1</v>
      </c>
      <c r="CS758">
        <v>1</v>
      </c>
      <c r="CV758">
        <v>1.037037037037037E-2</v>
      </c>
      <c r="CW758">
        <v>1.037037037037037E-2</v>
      </c>
      <c r="CX758">
        <v>0.28592592592592592</v>
      </c>
      <c r="CY758">
        <v>0.10847222222222222</v>
      </c>
      <c r="CZ758">
        <v>103</v>
      </c>
      <c r="DA758">
        <v>224</v>
      </c>
      <c r="DB758">
        <v>27</v>
      </c>
      <c r="DC758" t="s">
        <v>777</v>
      </c>
      <c r="DD758">
        <v>20345</v>
      </c>
      <c r="DE758">
        <v>0.2621</v>
      </c>
      <c r="DF758">
        <v>1</v>
      </c>
      <c r="DG758">
        <v>3.6999999999999998E-2</v>
      </c>
      <c r="DH758">
        <v>270</v>
      </c>
      <c r="DI758">
        <v>270</v>
      </c>
      <c r="DJ758">
        <v>270</v>
      </c>
      <c r="DK758">
        <v>1</v>
      </c>
      <c r="DL758">
        <v>0.87019999999999997</v>
      </c>
      <c r="DM758">
        <v>66</v>
      </c>
      <c r="DN758">
        <v>270</v>
      </c>
    </row>
    <row r="759" spans="91:118" x14ac:dyDescent="0.25">
      <c r="CM759" t="s">
        <v>636</v>
      </c>
      <c r="CN759" t="s">
        <v>125</v>
      </c>
      <c r="CO759" t="s">
        <v>18</v>
      </c>
      <c r="CP759">
        <v>46087</v>
      </c>
      <c r="CQ759">
        <v>1</v>
      </c>
      <c r="CR759">
        <v>1</v>
      </c>
      <c r="CT759">
        <v>1</v>
      </c>
      <c r="CV759">
        <v>1.0416666666666667E-4</v>
      </c>
      <c r="CW759">
        <v>1.0416666666666667E-4</v>
      </c>
      <c r="CX759">
        <v>0.1802199074074074</v>
      </c>
      <c r="CY759">
        <v>4.9050925925925928E-2</v>
      </c>
      <c r="CZ759">
        <v>139</v>
      </c>
      <c r="DA759">
        <v>281</v>
      </c>
      <c r="DB759">
        <v>10</v>
      </c>
      <c r="DC759">
        <v>1.2</v>
      </c>
      <c r="DD759">
        <v>58096</v>
      </c>
      <c r="DE759">
        <v>7.1900000000000006E-2</v>
      </c>
      <c r="DM759">
        <v>64</v>
      </c>
    </row>
    <row r="760" spans="91:118" x14ac:dyDescent="0.25">
      <c r="CM760" t="s">
        <v>636</v>
      </c>
      <c r="CN760" t="s">
        <v>125</v>
      </c>
      <c r="CO760" t="s">
        <v>18</v>
      </c>
      <c r="CP760">
        <v>46093</v>
      </c>
      <c r="CQ760">
        <v>1</v>
      </c>
      <c r="CR760">
        <v>1</v>
      </c>
      <c r="CT760">
        <v>1</v>
      </c>
      <c r="CV760">
        <v>4.6296296296296294E-5</v>
      </c>
      <c r="CW760">
        <v>4.6296296296296294E-5</v>
      </c>
      <c r="CX760">
        <v>0.25835648148148149</v>
      </c>
      <c r="CY760">
        <v>7.9745370370370369E-2</v>
      </c>
      <c r="CZ760">
        <v>139</v>
      </c>
      <c r="DA760">
        <v>268</v>
      </c>
      <c r="DB760">
        <v>19</v>
      </c>
      <c r="DC760" t="s">
        <v>936</v>
      </c>
      <c r="DD760">
        <v>23322</v>
      </c>
      <c r="DE760">
        <v>0.13669999999999999</v>
      </c>
      <c r="DM760">
        <v>64</v>
      </c>
    </row>
    <row r="761" spans="91:118" x14ac:dyDescent="0.25">
      <c r="CM761" t="s">
        <v>636</v>
      </c>
      <c r="CN761" t="s">
        <v>125</v>
      </c>
      <c r="CO761" t="s">
        <v>18</v>
      </c>
      <c r="CP761">
        <v>46099</v>
      </c>
      <c r="CQ761">
        <v>1</v>
      </c>
      <c r="CR761">
        <v>1</v>
      </c>
      <c r="CT761">
        <v>1</v>
      </c>
      <c r="CV761">
        <v>3.3564814814814816E-3</v>
      </c>
      <c r="CW761">
        <v>3.3564814814814816E-3</v>
      </c>
      <c r="CX761">
        <v>0.21190972222222224</v>
      </c>
      <c r="CY761">
        <v>0.11614583333333334</v>
      </c>
      <c r="CZ761">
        <v>168</v>
      </c>
      <c r="DA761">
        <v>283</v>
      </c>
      <c r="DB761">
        <v>17</v>
      </c>
      <c r="DC761" t="s">
        <v>804</v>
      </c>
      <c r="DD761">
        <v>33518</v>
      </c>
      <c r="DE761">
        <v>0.1012</v>
      </c>
      <c r="DM761">
        <v>64</v>
      </c>
    </row>
    <row r="762" spans="91:118" x14ac:dyDescent="0.25">
      <c r="CM762" t="s">
        <v>636</v>
      </c>
      <c r="CN762" t="s">
        <v>125</v>
      </c>
      <c r="CO762" t="s">
        <v>18</v>
      </c>
      <c r="CP762">
        <v>46100</v>
      </c>
      <c r="CQ762">
        <v>1</v>
      </c>
      <c r="CR762">
        <v>1</v>
      </c>
      <c r="CT762">
        <v>1</v>
      </c>
      <c r="CV762">
        <v>6.9444444444444444E-5</v>
      </c>
      <c r="CW762">
        <v>6.9444444444444444E-5</v>
      </c>
      <c r="CX762">
        <v>0.20425925925925925</v>
      </c>
      <c r="CY762">
        <v>0.13592592592592592</v>
      </c>
      <c r="CZ762">
        <v>135</v>
      </c>
      <c r="DA762">
        <v>265</v>
      </c>
      <c r="DB762">
        <v>11</v>
      </c>
      <c r="DC762" t="s">
        <v>680</v>
      </c>
      <c r="DD762">
        <v>38075</v>
      </c>
      <c r="DE762">
        <v>8.1500000000000003E-2</v>
      </c>
      <c r="DM762">
        <v>64</v>
      </c>
    </row>
    <row r="763" spans="91:118" x14ac:dyDescent="0.25">
      <c r="CM763" t="s">
        <v>636</v>
      </c>
      <c r="CN763" t="s">
        <v>125</v>
      </c>
      <c r="CO763" t="s">
        <v>109</v>
      </c>
      <c r="CP763">
        <v>46086</v>
      </c>
      <c r="CQ763">
        <v>1</v>
      </c>
      <c r="CR763">
        <v>1</v>
      </c>
      <c r="CT763">
        <v>1</v>
      </c>
      <c r="CV763">
        <v>4.0509259259259258E-4</v>
      </c>
      <c r="CW763">
        <v>4.0509259259259258E-4</v>
      </c>
      <c r="CX763">
        <v>0.36254629629629631</v>
      </c>
      <c r="CY763">
        <v>5.8865740740740739E-2</v>
      </c>
      <c r="CZ763">
        <v>96</v>
      </c>
      <c r="DA763">
        <v>181</v>
      </c>
      <c r="DB763">
        <v>10</v>
      </c>
      <c r="DC763">
        <v>1.5</v>
      </c>
      <c r="DD763">
        <v>21487</v>
      </c>
      <c r="DE763">
        <v>0.1042</v>
      </c>
      <c r="DM763">
        <v>64</v>
      </c>
    </row>
    <row r="764" spans="91:118" x14ac:dyDescent="0.25">
      <c r="CM764" t="s">
        <v>636</v>
      </c>
      <c r="CN764" t="s">
        <v>125</v>
      </c>
      <c r="CO764" t="s">
        <v>109</v>
      </c>
      <c r="CP764">
        <v>46093</v>
      </c>
      <c r="CQ764">
        <v>1</v>
      </c>
      <c r="CR764">
        <v>1</v>
      </c>
      <c r="CT764">
        <v>1</v>
      </c>
      <c r="CV764">
        <v>3.0092592592592595E-4</v>
      </c>
      <c r="CW764">
        <v>3.0092592592592595E-4</v>
      </c>
      <c r="CX764">
        <v>0.25733796296296296</v>
      </c>
      <c r="CY764">
        <v>9.3148148148148147E-2</v>
      </c>
      <c r="CZ764">
        <v>86</v>
      </c>
      <c r="DA764">
        <v>170</v>
      </c>
      <c r="DB764">
        <v>13</v>
      </c>
      <c r="DC764" t="s">
        <v>799</v>
      </c>
      <c r="DD764">
        <v>19271</v>
      </c>
      <c r="DE764">
        <v>0.1512</v>
      </c>
      <c r="DM764">
        <v>64</v>
      </c>
    </row>
    <row r="765" spans="91:118" x14ac:dyDescent="0.25">
      <c r="CM765" t="s">
        <v>636</v>
      </c>
      <c r="CN765" t="s">
        <v>125</v>
      </c>
      <c r="CO765" t="s">
        <v>109</v>
      </c>
      <c r="CP765">
        <v>46094</v>
      </c>
      <c r="CQ765">
        <v>1</v>
      </c>
      <c r="CR765">
        <v>1</v>
      </c>
      <c r="CT765">
        <v>1</v>
      </c>
      <c r="CV765">
        <v>2.7777777777777778E-4</v>
      </c>
      <c r="CW765">
        <v>2.7777777777777778E-4</v>
      </c>
      <c r="CX765">
        <v>0.24692129629629631</v>
      </c>
      <c r="CY765">
        <v>0.10128472222222222</v>
      </c>
      <c r="CZ765">
        <v>95</v>
      </c>
      <c r="DA765">
        <v>176</v>
      </c>
      <c r="DB765">
        <v>6</v>
      </c>
      <c r="DC765" t="s">
        <v>718</v>
      </c>
      <c r="DD765">
        <v>33002</v>
      </c>
      <c r="DE765">
        <v>6.3200000000000006E-2</v>
      </c>
      <c r="DM765">
        <v>64</v>
      </c>
    </row>
    <row r="766" spans="91:118" x14ac:dyDescent="0.25">
      <c r="CM766" t="s">
        <v>636</v>
      </c>
      <c r="CN766" t="s">
        <v>125</v>
      </c>
      <c r="CO766" t="s">
        <v>109</v>
      </c>
      <c r="CP766">
        <v>46099</v>
      </c>
      <c r="CQ766">
        <v>1</v>
      </c>
      <c r="CR766">
        <v>1</v>
      </c>
      <c r="CT766">
        <v>1</v>
      </c>
      <c r="CV766">
        <v>3.0208333333333333E-3</v>
      </c>
      <c r="CW766">
        <v>3.0208333333333333E-3</v>
      </c>
      <c r="CX766">
        <v>0.22282407407407406</v>
      </c>
      <c r="CY766">
        <v>0.12111111111111111</v>
      </c>
      <c r="CZ766">
        <v>117</v>
      </c>
      <c r="DA766">
        <v>220</v>
      </c>
      <c r="DB766">
        <v>18</v>
      </c>
      <c r="DC766" t="s">
        <v>783</v>
      </c>
      <c r="DD766">
        <v>44777</v>
      </c>
      <c r="DE766">
        <v>0.15379999999999999</v>
      </c>
      <c r="DM766">
        <v>64</v>
      </c>
    </row>
    <row r="767" spans="91:118" x14ac:dyDescent="0.25">
      <c r="CM767" t="s">
        <v>636</v>
      </c>
      <c r="CN767" t="s">
        <v>125</v>
      </c>
      <c r="CO767" t="s">
        <v>109</v>
      </c>
      <c r="CP767">
        <v>46108</v>
      </c>
      <c r="CQ767">
        <v>1</v>
      </c>
      <c r="CR767">
        <v>1</v>
      </c>
      <c r="CT767">
        <v>1</v>
      </c>
      <c r="CV767">
        <v>1.7592592592592592E-3</v>
      </c>
      <c r="CW767">
        <v>1.7592592592592592E-3</v>
      </c>
      <c r="CX767">
        <v>0.19633101851851853</v>
      </c>
      <c r="CY767">
        <v>0.14964120370370371</v>
      </c>
      <c r="CZ767">
        <v>115</v>
      </c>
      <c r="DA767">
        <v>191</v>
      </c>
      <c r="DB767">
        <v>15</v>
      </c>
      <c r="DC767">
        <v>1.2</v>
      </c>
      <c r="DD767">
        <v>34938</v>
      </c>
      <c r="DE767">
        <v>0.13039999999999999</v>
      </c>
      <c r="DM767">
        <v>64</v>
      </c>
    </row>
    <row r="768" spans="91:118" x14ac:dyDescent="0.25">
      <c r="CM768" t="s">
        <v>636</v>
      </c>
      <c r="CN768" t="s">
        <v>125</v>
      </c>
      <c r="CO768" t="s">
        <v>60</v>
      </c>
      <c r="CP768">
        <v>46093</v>
      </c>
      <c r="CQ768">
        <v>1</v>
      </c>
      <c r="CR768">
        <v>1</v>
      </c>
      <c r="CT768">
        <v>1</v>
      </c>
      <c r="CV768">
        <v>3.4722222222222222E-5</v>
      </c>
      <c r="CW768">
        <v>3.4722222222222222E-5</v>
      </c>
      <c r="CX768">
        <v>0.24666666666666667</v>
      </c>
      <c r="CY768">
        <v>8.0462962962962958E-2</v>
      </c>
      <c r="CZ768">
        <v>110</v>
      </c>
      <c r="DA768">
        <v>132</v>
      </c>
      <c r="DB768">
        <v>7</v>
      </c>
      <c r="DC768" t="s">
        <v>803</v>
      </c>
      <c r="DD768">
        <v>22111</v>
      </c>
      <c r="DE768">
        <v>6.3600000000000004E-2</v>
      </c>
      <c r="DM768">
        <v>64</v>
      </c>
    </row>
    <row r="769" spans="91:117" x14ac:dyDescent="0.25">
      <c r="CM769" t="s">
        <v>636</v>
      </c>
      <c r="CN769" t="s">
        <v>125</v>
      </c>
      <c r="CO769" t="s">
        <v>60</v>
      </c>
      <c r="CP769">
        <v>46094</v>
      </c>
      <c r="CQ769">
        <v>1</v>
      </c>
      <c r="CR769">
        <v>1</v>
      </c>
      <c r="CT769">
        <v>1</v>
      </c>
      <c r="CV769">
        <v>2.5462962962962961E-4</v>
      </c>
      <c r="CW769">
        <v>2.5462962962962961E-4</v>
      </c>
      <c r="CX769">
        <v>0.23163194444444443</v>
      </c>
      <c r="CY769">
        <v>9.2881944444444448E-2</v>
      </c>
      <c r="CZ769">
        <v>115</v>
      </c>
      <c r="DA769">
        <v>134</v>
      </c>
      <c r="DB769">
        <v>9</v>
      </c>
      <c r="DC769">
        <v>2</v>
      </c>
      <c r="DD769">
        <v>34598</v>
      </c>
      <c r="DE769">
        <v>7.8299999999999995E-2</v>
      </c>
      <c r="DM769">
        <v>64</v>
      </c>
    </row>
    <row r="770" spans="91:117" x14ac:dyDescent="0.25">
      <c r="CM770" t="s">
        <v>636</v>
      </c>
      <c r="CN770" t="s">
        <v>125</v>
      </c>
      <c r="CO770" t="s">
        <v>60</v>
      </c>
      <c r="CP770">
        <v>46099</v>
      </c>
      <c r="CQ770">
        <v>1</v>
      </c>
      <c r="CR770">
        <v>1</v>
      </c>
      <c r="CT770">
        <v>1</v>
      </c>
      <c r="CV770">
        <v>9.2592592592592588E-5</v>
      </c>
      <c r="CW770">
        <v>9.2592592592592588E-5</v>
      </c>
      <c r="CX770">
        <v>0.20635416666666667</v>
      </c>
      <c r="CY770">
        <v>0.12556712962962963</v>
      </c>
      <c r="CZ770">
        <v>76</v>
      </c>
      <c r="DA770">
        <v>117</v>
      </c>
      <c r="DB770">
        <v>9</v>
      </c>
      <c r="DC770" t="s">
        <v>674</v>
      </c>
      <c r="DD770">
        <v>37341</v>
      </c>
      <c r="DE770">
        <v>0.11840000000000001</v>
      </c>
      <c r="DM770">
        <v>64</v>
      </c>
    </row>
    <row r="771" spans="91:117" x14ac:dyDescent="0.25">
      <c r="CM771" t="s">
        <v>636</v>
      </c>
      <c r="CN771" t="s">
        <v>125</v>
      </c>
      <c r="CO771" t="s">
        <v>60</v>
      </c>
      <c r="CP771">
        <v>46100</v>
      </c>
      <c r="CQ771">
        <v>1</v>
      </c>
      <c r="CR771">
        <v>1</v>
      </c>
      <c r="CT771">
        <v>1</v>
      </c>
      <c r="CV771">
        <v>4.6296296296296294E-5</v>
      </c>
      <c r="CW771">
        <v>4.6296296296296294E-5</v>
      </c>
      <c r="CX771">
        <v>0.19678240740740741</v>
      </c>
      <c r="CY771">
        <v>0.12973379629629631</v>
      </c>
      <c r="CZ771">
        <v>90</v>
      </c>
      <c r="DA771">
        <v>133</v>
      </c>
      <c r="DB771">
        <v>6</v>
      </c>
      <c r="DC771" t="s">
        <v>689</v>
      </c>
      <c r="DD771">
        <v>50141</v>
      </c>
      <c r="DE771">
        <v>6.6699999999999995E-2</v>
      </c>
      <c r="DM771">
        <v>64</v>
      </c>
    </row>
    <row r="772" spans="91:117" x14ac:dyDescent="0.25">
      <c r="CM772" t="s">
        <v>636</v>
      </c>
      <c r="CN772" t="s">
        <v>125</v>
      </c>
      <c r="CO772" t="s">
        <v>85</v>
      </c>
      <c r="CP772">
        <v>46093</v>
      </c>
      <c r="CQ772">
        <v>1</v>
      </c>
      <c r="CR772">
        <v>1</v>
      </c>
      <c r="CT772">
        <v>1</v>
      </c>
      <c r="CV772">
        <v>5.7870370370370373E-5</v>
      </c>
      <c r="CW772">
        <v>5.7870370370370373E-5</v>
      </c>
      <c r="CX772">
        <v>0.26608796296296294</v>
      </c>
      <c r="CY772">
        <v>7.2337962962962965E-2</v>
      </c>
      <c r="CZ772">
        <v>60</v>
      </c>
      <c r="DA772">
        <v>138</v>
      </c>
      <c r="DB772">
        <v>19</v>
      </c>
      <c r="DC772" t="s">
        <v>791</v>
      </c>
      <c r="DD772">
        <v>12780</v>
      </c>
      <c r="DE772">
        <v>0.31669999999999998</v>
      </c>
      <c r="DM772">
        <v>64</v>
      </c>
    </row>
    <row r="773" spans="91:117" x14ac:dyDescent="0.25">
      <c r="CM773" t="s">
        <v>636</v>
      </c>
      <c r="CN773" t="s">
        <v>125</v>
      </c>
      <c r="CO773" t="s">
        <v>85</v>
      </c>
      <c r="CP773">
        <v>46094</v>
      </c>
      <c r="CQ773">
        <v>1</v>
      </c>
      <c r="CR773">
        <v>1</v>
      </c>
      <c r="CT773">
        <v>1</v>
      </c>
      <c r="CV773">
        <v>0</v>
      </c>
      <c r="CW773">
        <v>0</v>
      </c>
      <c r="CX773">
        <v>0.26708333333333334</v>
      </c>
      <c r="CY773">
        <v>7.8888888888888883E-2</v>
      </c>
      <c r="CZ773">
        <v>95</v>
      </c>
      <c r="DA773">
        <v>223</v>
      </c>
      <c r="DB773">
        <v>15</v>
      </c>
      <c r="DC773" t="s">
        <v>723</v>
      </c>
      <c r="DD773">
        <v>33625</v>
      </c>
      <c r="DE773">
        <v>0.15790000000000001</v>
      </c>
      <c r="DM773">
        <v>64</v>
      </c>
    </row>
    <row r="774" spans="91:117" x14ac:dyDescent="0.25">
      <c r="CM774" t="s">
        <v>636</v>
      </c>
      <c r="CN774" t="s">
        <v>125</v>
      </c>
      <c r="CO774" t="s">
        <v>85</v>
      </c>
      <c r="CP774">
        <v>46099</v>
      </c>
      <c r="CQ774">
        <v>1</v>
      </c>
      <c r="CR774">
        <v>1</v>
      </c>
      <c r="CT774">
        <v>1</v>
      </c>
      <c r="CV774">
        <v>2.199074074074074E-4</v>
      </c>
      <c r="CW774">
        <v>2.199074074074074E-4</v>
      </c>
      <c r="CX774">
        <v>0.22688657407407409</v>
      </c>
      <c r="CY774">
        <v>0.1305787037037037</v>
      </c>
      <c r="CZ774">
        <v>83</v>
      </c>
      <c r="DA774">
        <v>161</v>
      </c>
      <c r="DB774">
        <v>14</v>
      </c>
      <c r="DC774">
        <v>1.5</v>
      </c>
      <c r="DD774">
        <v>29745</v>
      </c>
      <c r="DE774">
        <v>0.16869999999999999</v>
      </c>
      <c r="DM774">
        <v>64</v>
      </c>
    </row>
    <row r="775" spans="91:117" x14ac:dyDescent="0.25">
      <c r="CM775" t="s">
        <v>636</v>
      </c>
      <c r="CN775" t="s">
        <v>125</v>
      </c>
      <c r="CO775" t="s">
        <v>85</v>
      </c>
      <c r="CP775">
        <v>46100</v>
      </c>
      <c r="CQ775">
        <v>1</v>
      </c>
      <c r="CR775">
        <v>1</v>
      </c>
      <c r="CT775">
        <v>1</v>
      </c>
      <c r="CV775">
        <v>6.9444444444444444E-5</v>
      </c>
      <c r="CW775">
        <v>6.9444444444444444E-5</v>
      </c>
      <c r="CX775">
        <v>0.21236111111111111</v>
      </c>
      <c r="CY775">
        <v>0.11496527777777778</v>
      </c>
      <c r="CZ775">
        <v>66</v>
      </c>
      <c r="DA775">
        <v>142</v>
      </c>
      <c r="DB775">
        <v>10</v>
      </c>
      <c r="DC775">
        <v>1.2</v>
      </c>
      <c r="DD775">
        <v>30433</v>
      </c>
      <c r="DE775">
        <v>0.1515</v>
      </c>
      <c r="DM775">
        <v>64</v>
      </c>
    </row>
    <row r="776" spans="91:117" x14ac:dyDescent="0.25">
      <c r="CM776" t="s">
        <v>636</v>
      </c>
      <c r="CN776" t="s">
        <v>125</v>
      </c>
      <c r="CO776" t="s">
        <v>61</v>
      </c>
      <c r="CP776">
        <v>46087</v>
      </c>
      <c r="CQ776">
        <v>1</v>
      </c>
      <c r="CR776">
        <v>1</v>
      </c>
      <c r="CT776">
        <v>1</v>
      </c>
      <c r="CV776">
        <v>5.7870370370370373E-5</v>
      </c>
      <c r="CW776">
        <v>5.7870370370370373E-5</v>
      </c>
      <c r="CX776">
        <v>0.25332175925925926</v>
      </c>
      <c r="CY776">
        <v>8.8368055555555561E-2</v>
      </c>
      <c r="CZ776">
        <v>86</v>
      </c>
      <c r="DA776">
        <v>214</v>
      </c>
      <c r="DB776">
        <v>17</v>
      </c>
      <c r="DC776" t="s">
        <v>677</v>
      </c>
      <c r="DD776">
        <v>37961</v>
      </c>
      <c r="DE776">
        <v>0.19769999999999999</v>
      </c>
      <c r="DM776">
        <v>64</v>
      </c>
    </row>
    <row r="777" spans="91:117" x14ac:dyDescent="0.25">
      <c r="CM777" t="s">
        <v>636</v>
      </c>
      <c r="CN777" t="s">
        <v>125</v>
      </c>
      <c r="CO777" t="s">
        <v>61</v>
      </c>
      <c r="CP777">
        <v>46099</v>
      </c>
      <c r="CQ777">
        <v>1</v>
      </c>
      <c r="CR777">
        <v>1</v>
      </c>
      <c r="CT777">
        <v>1</v>
      </c>
      <c r="CV777">
        <v>4.6296296296296294E-5</v>
      </c>
      <c r="CW777">
        <v>4.6296296296296294E-5</v>
      </c>
      <c r="CX777">
        <v>0.20211805555555556</v>
      </c>
      <c r="CY777">
        <v>0.14141203703703703</v>
      </c>
      <c r="CZ777">
        <v>99</v>
      </c>
      <c r="DA777">
        <v>229</v>
      </c>
      <c r="DB777">
        <v>29</v>
      </c>
      <c r="DC777" t="s">
        <v>1067</v>
      </c>
      <c r="DD777">
        <v>50259</v>
      </c>
      <c r="DE777">
        <v>0.29289999999999999</v>
      </c>
      <c r="DM777">
        <v>64</v>
      </c>
    </row>
    <row r="778" spans="91:117" x14ac:dyDescent="0.25">
      <c r="CM778" t="s">
        <v>636</v>
      </c>
      <c r="CN778" t="s">
        <v>125</v>
      </c>
      <c r="CO778" t="s">
        <v>72</v>
      </c>
      <c r="CP778">
        <v>46086</v>
      </c>
      <c r="CQ778">
        <v>1</v>
      </c>
      <c r="CR778">
        <v>1</v>
      </c>
      <c r="CT778">
        <v>1</v>
      </c>
      <c r="CV778">
        <v>1.1574074074074075E-4</v>
      </c>
      <c r="CW778">
        <v>1.1574074074074075E-4</v>
      </c>
      <c r="CX778">
        <v>0.34715277777777775</v>
      </c>
      <c r="CY778">
        <v>7.2233796296296296E-2</v>
      </c>
      <c r="CZ778">
        <v>161</v>
      </c>
      <c r="DA778">
        <v>348</v>
      </c>
      <c r="DB778">
        <v>19</v>
      </c>
      <c r="DC778" t="s">
        <v>950</v>
      </c>
      <c r="DD778">
        <v>31889</v>
      </c>
      <c r="DE778">
        <v>0.11799999999999999</v>
      </c>
      <c r="DM778">
        <v>64</v>
      </c>
    </row>
    <row r="779" spans="91:117" x14ac:dyDescent="0.25">
      <c r="CM779" t="s">
        <v>636</v>
      </c>
      <c r="CN779" t="s">
        <v>125</v>
      </c>
      <c r="CO779" t="s">
        <v>72</v>
      </c>
      <c r="CP779">
        <v>46087</v>
      </c>
      <c r="CQ779">
        <v>1</v>
      </c>
      <c r="CR779">
        <v>1</v>
      </c>
      <c r="CT779">
        <v>1</v>
      </c>
      <c r="CV779">
        <v>0</v>
      </c>
      <c r="CW779">
        <v>0</v>
      </c>
      <c r="CX779">
        <v>0.23053240740740741</v>
      </c>
      <c r="CY779">
        <v>0.1031712962962963</v>
      </c>
      <c r="CZ779">
        <v>114</v>
      </c>
      <c r="DA779">
        <v>308</v>
      </c>
      <c r="DB779">
        <v>18</v>
      </c>
      <c r="DC779" t="s">
        <v>794</v>
      </c>
      <c r="DD779">
        <v>21229</v>
      </c>
      <c r="DE779">
        <v>0.15790000000000001</v>
      </c>
      <c r="DM779">
        <v>64</v>
      </c>
    </row>
    <row r="780" spans="91:117" x14ac:dyDescent="0.25">
      <c r="CM780" t="s">
        <v>636</v>
      </c>
      <c r="CN780" t="s">
        <v>125</v>
      </c>
      <c r="CO780" t="s">
        <v>72</v>
      </c>
      <c r="CP780">
        <v>46099</v>
      </c>
      <c r="CQ780">
        <v>1</v>
      </c>
      <c r="CR780">
        <v>1</v>
      </c>
      <c r="CT780">
        <v>1</v>
      </c>
      <c r="CV780">
        <v>1.7361111111111112E-4</v>
      </c>
      <c r="CW780">
        <v>1.7361111111111112E-4</v>
      </c>
      <c r="CX780">
        <v>0.19900462962962964</v>
      </c>
      <c r="CY780">
        <v>0.14027777777777778</v>
      </c>
      <c r="CZ780">
        <v>194</v>
      </c>
      <c r="DA780">
        <v>401</v>
      </c>
      <c r="DB780">
        <v>17</v>
      </c>
      <c r="DC780" t="s">
        <v>728</v>
      </c>
      <c r="DD780">
        <v>46568</v>
      </c>
      <c r="DE780">
        <v>8.7599999999999997E-2</v>
      </c>
      <c r="DM780">
        <v>64</v>
      </c>
    </row>
    <row r="781" spans="91:117" x14ac:dyDescent="0.25">
      <c r="CM781" t="s">
        <v>636</v>
      </c>
      <c r="CN781" t="s">
        <v>125</v>
      </c>
      <c r="CO781" t="s">
        <v>72</v>
      </c>
      <c r="CP781">
        <v>46108</v>
      </c>
      <c r="CQ781">
        <v>1</v>
      </c>
      <c r="CR781">
        <v>1</v>
      </c>
      <c r="CT781">
        <v>1</v>
      </c>
      <c r="CV781">
        <v>1.0416666666666667E-4</v>
      </c>
      <c r="CW781">
        <v>1.0416666666666667E-4</v>
      </c>
      <c r="CX781">
        <v>0.1776736111111111</v>
      </c>
      <c r="CY781">
        <v>0.17847222222222223</v>
      </c>
      <c r="CZ781">
        <v>125</v>
      </c>
      <c r="DA781">
        <v>309</v>
      </c>
      <c r="DB781">
        <v>23</v>
      </c>
      <c r="DC781" t="s">
        <v>975</v>
      </c>
      <c r="DD781">
        <v>29582</v>
      </c>
      <c r="DE781">
        <v>0.184</v>
      </c>
      <c r="DM781">
        <v>64</v>
      </c>
    </row>
    <row r="782" spans="91:117" x14ac:dyDescent="0.25">
      <c r="CM782" t="s">
        <v>636</v>
      </c>
      <c r="CN782" t="s">
        <v>125</v>
      </c>
      <c r="CO782" t="s">
        <v>12</v>
      </c>
      <c r="CP782">
        <v>46086</v>
      </c>
      <c r="CQ782">
        <v>1</v>
      </c>
      <c r="CR782">
        <v>1</v>
      </c>
      <c r="CT782">
        <v>1</v>
      </c>
      <c r="CV782">
        <v>2.199074074074074E-4</v>
      </c>
      <c r="CW782">
        <v>2.199074074074074E-4</v>
      </c>
      <c r="CX782">
        <v>0.34096064814814814</v>
      </c>
      <c r="CY782">
        <v>7.6261574074074079E-2</v>
      </c>
      <c r="CZ782">
        <v>113</v>
      </c>
      <c r="DA782">
        <v>273</v>
      </c>
      <c r="DB782">
        <v>12</v>
      </c>
      <c r="DC782" t="s">
        <v>712</v>
      </c>
      <c r="DD782">
        <v>42627</v>
      </c>
      <c r="DE782">
        <v>0.1062</v>
      </c>
      <c r="DM782">
        <v>64</v>
      </c>
    </row>
    <row r="783" spans="91:117" x14ac:dyDescent="0.25">
      <c r="CM783" t="s">
        <v>636</v>
      </c>
      <c r="CN783" t="s">
        <v>125</v>
      </c>
      <c r="CO783" t="s">
        <v>12</v>
      </c>
      <c r="CP783">
        <v>46093</v>
      </c>
      <c r="CQ783">
        <v>1</v>
      </c>
      <c r="CR783">
        <v>1</v>
      </c>
      <c r="CT783">
        <v>1</v>
      </c>
      <c r="CV783">
        <v>1.6203703703703703E-4</v>
      </c>
      <c r="CW783">
        <v>1.6203703703703703E-4</v>
      </c>
      <c r="CX783">
        <v>0.24140046296296297</v>
      </c>
      <c r="CY783">
        <v>9.1851851851851851E-2</v>
      </c>
      <c r="CZ783">
        <v>76</v>
      </c>
      <c r="DA783">
        <v>190</v>
      </c>
      <c r="DB783">
        <v>25</v>
      </c>
      <c r="DC783">
        <v>1.72</v>
      </c>
      <c r="DD783">
        <v>24854</v>
      </c>
      <c r="DE783">
        <v>0.32890000000000003</v>
      </c>
      <c r="DM783">
        <v>64</v>
      </c>
    </row>
    <row r="784" spans="91:117" x14ac:dyDescent="0.25">
      <c r="CM784" t="s">
        <v>636</v>
      </c>
      <c r="CN784" t="s">
        <v>125</v>
      </c>
      <c r="CO784" t="s">
        <v>12</v>
      </c>
      <c r="CP784">
        <v>46094</v>
      </c>
      <c r="CQ784">
        <v>1</v>
      </c>
      <c r="CR784">
        <v>1</v>
      </c>
      <c r="CT784">
        <v>1</v>
      </c>
      <c r="CV784">
        <v>1.6203703703703703E-4</v>
      </c>
      <c r="CW784">
        <v>1.6203703703703703E-4</v>
      </c>
      <c r="CX784">
        <v>0.2192476851851852</v>
      </c>
      <c r="CY784">
        <v>0.13023148148148148</v>
      </c>
      <c r="CZ784">
        <v>80</v>
      </c>
      <c r="DA784">
        <v>178</v>
      </c>
      <c r="DB784">
        <v>18</v>
      </c>
      <c r="DC784" t="s">
        <v>703</v>
      </c>
      <c r="DD784">
        <v>18553</v>
      </c>
      <c r="DE784">
        <v>0.22500000000000001</v>
      </c>
      <c r="DM784">
        <v>64</v>
      </c>
    </row>
    <row r="785" spans="91:117" x14ac:dyDescent="0.25">
      <c r="CM785" t="s">
        <v>636</v>
      </c>
      <c r="CN785" t="s">
        <v>125</v>
      </c>
      <c r="CO785" t="s">
        <v>122</v>
      </c>
      <c r="CP785">
        <v>46100</v>
      </c>
      <c r="CQ785">
        <v>1</v>
      </c>
      <c r="CR785">
        <v>1</v>
      </c>
      <c r="CT785">
        <v>1</v>
      </c>
      <c r="CV785">
        <v>2.8935185185185184E-3</v>
      </c>
      <c r="CW785">
        <v>2.8935185185185184E-3</v>
      </c>
      <c r="CX785">
        <v>0.20173611111111112</v>
      </c>
      <c r="CY785">
        <v>0.1353125</v>
      </c>
      <c r="CZ785">
        <v>64</v>
      </c>
      <c r="DA785">
        <v>188</v>
      </c>
      <c r="DB785">
        <v>12</v>
      </c>
      <c r="DC785" t="s">
        <v>756</v>
      </c>
      <c r="DD785">
        <v>30817</v>
      </c>
      <c r="DE785">
        <v>0.1875</v>
      </c>
      <c r="DM785">
        <v>64</v>
      </c>
    </row>
    <row r="786" spans="91:117" x14ac:dyDescent="0.25">
      <c r="CM786" t="s">
        <v>636</v>
      </c>
      <c r="CN786" t="s">
        <v>125</v>
      </c>
      <c r="CO786" t="s">
        <v>122</v>
      </c>
      <c r="CP786">
        <v>46105</v>
      </c>
      <c r="CQ786">
        <v>1</v>
      </c>
      <c r="CR786">
        <v>1</v>
      </c>
      <c r="CT786">
        <v>1</v>
      </c>
      <c r="CV786">
        <v>2.8935185185185184E-4</v>
      </c>
      <c r="CW786">
        <v>2.8935185185185184E-4</v>
      </c>
      <c r="CX786">
        <v>0.15068287037037037</v>
      </c>
      <c r="CY786">
        <v>0.1567824074074074</v>
      </c>
      <c r="CZ786">
        <v>59</v>
      </c>
      <c r="DA786">
        <v>192</v>
      </c>
      <c r="DB786">
        <v>16</v>
      </c>
      <c r="DC786">
        <v>1.125</v>
      </c>
      <c r="DD786">
        <v>24712</v>
      </c>
      <c r="DE786">
        <v>0.2712</v>
      </c>
      <c r="DM786">
        <v>64</v>
      </c>
    </row>
    <row r="787" spans="91:117" x14ac:dyDescent="0.25">
      <c r="CM787" t="s">
        <v>636</v>
      </c>
      <c r="CN787" t="s">
        <v>125</v>
      </c>
      <c r="CO787" t="s">
        <v>122</v>
      </c>
      <c r="CP787">
        <v>46108</v>
      </c>
      <c r="CQ787">
        <v>1</v>
      </c>
      <c r="CR787">
        <v>1</v>
      </c>
      <c r="CT787">
        <v>1</v>
      </c>
      <c r="CV787">
        <v>0</v>
      </c>
      <c r="CW787">
        <v>0</v>
      </c>
      <c r="CX787">
        <v>0.18635416666666665</v>
      </c>
      <c r="CY787">
        <v>0.14412037037037037</v>
      </c>
      <c r="CZ787">
        <v>52</v>
      </c>
      <c r="DA787">
        <v>168</v>
      </c>
      <c r="DB787">
        <v>9</v>
      </c>
      <c r="DC787" t="s">
        <v>697</v>
      </c>
      <c r="DD787">
        <v>19460</v>
      </c>
      <c r="DE787">
        <v>0.1731</v>
      </c>
      <c r="DM787">
        <v>64</v>
      </c>
    </row>
    <row r="788" spans="91:117" x14ac:dyDescent="0.25">
      <c r="CM788" t="s">
        <v>636</v>
      </c>
      <c r="CN788" t="s">
        <v>125</v>
      </c>
      <c r="CO788" t="s">
        <v>75</v>
      </c>
      <c r="CP788">
        <v>46086</v>
      </c>
      <c r="CQ788">
        <v>1</v>
      </c>
      <c r="CR788">
        <v>1</v>
      </c>
      <c r="CT788">
        <v>1</v>
      </c>
      <c r="CV788">
        <v>3.9351851851851852E-4</v>
      </c>
      <c r="CW788">
        <v>3.9351851851851852E-4</v>
      </c>
      <c r="CX788">
        <v>0.33652777777777776</v>
      </c>
      <c r="CY788">
        <v>6.1898148148148147E-2</v>
      </c>
      <c r="CZ788">
        <v>108</v>
      </c>
      <c r="DA788">
        <v>222</v>
      </c>
      <c r="DB788">
        <v>15</v>
      </c>
      <c r="DC788" t="s">
        <v>742</v>
      </c>
      <c r="DD788">
        <v>16940</v>
      </c>
      <c r="DE788">
        <v>0.1389</v>
      </c>
      <c r="DM788">
        <v>64</v>
      </c>
    </row>
    <row r="789" spans="91:117" x14ac:dyDescent="0.25">
      <c r="CM789" t="s">
        <v>636</v>
      </c>
      <c r="CN789" t="s">
        <v>125</v>
      </c>
      <c r="CO789" t="s">
        <v>75</v>
      </c>
      <c r="CP789">
        <v>46087</v>
      </c>
      <c r="CQ789">
        <v>1</v>
      </c>
      <c r="CR789">
        <v>1</v>
      </c>
      <c r="CT789">
        <v>1</v>
      </c>
      <c r="CV789">
        <v>1.0879629629629629E-3</v>
      </c>
      <c r="CW789">
        <v>1.0879629629629629E-3</v>
      </c>
      <c r="CX789">
        <v>0.25355324074074076</v>
      </c>
      <c r="CY789">
        <v>8.127314814814815E-2</v>
      </c>
      <c r="CZ789">
        <v>67</v>
      </c>
      <c r="DA789">
        <v>132</v>
      </c>
      <c r="DB789">
        <v>9</v>
      </c>
      <c r="DC789" t="s">
        <v>674</v>
      </c>
      <c r="DD789">
        <v>28481</v>
      </c>
      <c r="DE789">
        <v>0.1343</v>
      </c>
      <c r="DM789">
        <v>64</v>
      </c>
    </row>
    <row r="790" spans="91:117" x14ac:dyDescent="0.25">
      <c r="CM790" t="s">
        <v>636</v>
      </c>
      <c r="CN790" t="s">
        <v>125</v>
      </c>
      <c r="CO790" t="s">
        <v>75</v>
      </c>
      <c r="CP790">
        <v>46093</v>
      </c>
      <c r="CQ790">
        <v>1</v>
      </c>
      <c r="CR790">
        <v>1</v>
      </c>
      <c r="CT790">
        <v>1</v>
      </c>
      <c r="CV790">
        <v>6.9444444444444444E-5</v>
      </c>
      <c r="CW790">
        <v>6.9444444444444444E-5</v>
      </c>
      <c r="CX790">
        <v>0.23950231481481482</v>
      </c>
      <c r="CY790">
        <v>9.5405092592592597E-2</v>
      </c>
      <c r="CZ790">
        <v>77</v>
      </c>
      <c r="DA790">
        <v>166</v>
      </c>
      <c r="DB790">
        <v>23</v>
      </c>
      <c r="DC790" t="s">
        <v>714</v>
      </c>
      <c r="DD790">
        <v>26429</v>
      </c>
      <c r="DE790">
        <v>0.29870000000000002</v>
      </c>
      <c r="DM790">
        <v>64</v>
      </c>
    </row>
    <row r="791" spans="91:117" x14ac:dyDescent="0.25">
      <c r="CM791" t="s">
        <v>636</v>
      </c>
      <c r="CN791" t="s">
        <v>125</v>
      </c>
      <c r="CO791" t="s">
        <v>75</v>
      </c>
      <c r="CP791">
        <v>46100</v>
      </c>
      <c r="CQ791">
        <v>1</v>
      </c>
      <c r="CR791">
        <v>1</v>
      </c>
      <c r="CT791">
        <v>1</v>
      </c>
      <c r="CV791">
        <v>8.1018518518518516E-5</v>
      </c>
      <c r="CW791">
        <v>8.1018518518518516E-5</v>
      </c>
      <c r="CX791">
        <v>0.21292824074074074</v>
      </c>
      <c r="CY791">
        <v>0.12283564814814815</v>
      </c>
      <c r="CZ791">
        <v>122</v>
      </c>
      <c r="DA791">
        <v>206</v>
      </c>
      <c r="DB791">
        <v>15</v>
      </c>
      <c r="DC791" t="s">
        <v>674</v>
      </c>
      <c r="DD791">
        <v>25750</v>
      </c>
      <c r="DE791">
        <v>0.123</v>
      </c>
      <c r="DM791">
        <v>64</v>
      </c>
    </row>
    <row r="792" spans="91:117" x14ac:dyDescent="0.25">
      <c r="CM792" t="s">
        <v>636</v>
      </c>
      <c r="CN792" t="s">
        <v>125</v>
      </c>
      <c r="CO792" t="s">
        <v>75</v>
      </c>
      <c r="CP792">
        <v>46105</v>
      </c>
      <c r="CQ792">
        <v>1</v>
      </c>
      <c r="CR792">
        <v>1</v>
      </c>
      <c r="CT792">
        <v>1</v>
      </c>
      <c r="CV792">
        <v>1.0416666666666667E-4</v>
      </c>
      <c r="CW792">
        <v>1.0416666666666667E-4</v>
      </c>
      <c r="CX792">
        <v>0.20373842592592592</v>
      </c>
      <c r="CY792">
        <v>0.14535879629629631</v>
      </c>
      <c r="CZ792">
        <v>106</v>
      </c>
      <c r="DA792">
        <v>227</v>
      </c>
      <c r="DB792">
        <v>20</v>
      </c>
      <c r="DC792">
        <v>2.0499999999999998</v>
      </c>
      <c r="DD792">
        <v>25489</v>
      </c>
      <c r="DE792">
        <v>0.18870000000000001</v>
      </c>
      <c r="DM792">
        <v>64</v>
      </c>
    </row>
    <row r="793" spans="91:117" x14ac:dyDescent="0.25">
      <c r="CM793" t="s">
        <v>636</v>
      </c>
      <c r="CN793" t="s">
        <v>125</v>
      </c>
      <c r="CO793" t="s">
        <v>206</v>
      </c>
      <c r="CP793">
        <v>46086</v>
      </c>
      <c r="CQ793">
        <v>1</v>
      </c>
      <c r="CR793">
        <v>1</v>
      </c>
      <c r="CT793">
        <v>1</v>
      </c>
      <c r="CV793">
        <v>6.9444444444444444E-5</v>
      </c>
      <c r="CW793">
        <v>6.9444444444444444E-5</v>
      </c>
      <c r="CX793">
        <v>0.35260416666666666</v>
      </c>
      <c r="CY793">
        <v>7.5034722222222225E-2</v>
      </c>
      <c r="CZ793">
        <v>173</v>
      </c>
      <c r="DA793">
        <v>414</v>
      </c>
      <c r="DB793">
        <v>24</v>
      </c>
      <c r="DC793" t="s">
        <v>869</v>
      </c>
      <c r="DD793">
        <v>36815</v>
      </c>
      <c r="DE793">
        <v>0.13869999999999999</v>
      </c>
      <c r="DM793">
        <v>64</v>
      </c>
    </row>
    <row r="794" spans="91:117" x14ac:dyDescent="0.25">
      <c r="CM794" t="s">
        <v>636</v>
      </c>
      <c r="CN794" t="s">
        <v>125</v>
      </c>
      <c r="CO794" t="s">
        <v>206</v>
      </c>
      <c r="CP794">
        <v>46093</v>
      </c>
      <c r="CQ794">
        <v>1</v>
      </c>
      <c r="CR794">
        <v>1</v>
      </c>
      <c r="CT794">
        <v>1</v>
      </c>
      <c r="CV794">
        <v>8.1018518518518516E-5</v>
      </c>
      <c r="CW794">
        <v>8.1018518518518516E-5</v>
      </c>
      <c r="CX794">
        <v>0.26680555555555557</v>
      </c>
      <c r="CY794">
        <v>0.10202546296296296</v>
      </c>
      <c r="CZ794">
        <v>147</v>
      </c>
      <c r="DA794">
        <v>345</v>
      </c>
      <c r="DB794">
        <v>28</v>
      </c>
      <c r="DC794">
        <v>1.75</v>
      </c>
      <c r="DD794">
        <v>20554</v>
      </c>
      <c r="DE794">
        <v>0.1905</v>
      </c>
      <c r="DM794">
        <v>64</v>
      </c>
    </row>
    <row r="795" spans="91:117" x14ac:dyDescent="0.25">
      <c r="CM795" t="s">
        <v>636</v>
      </c>
      <c r="CN795" t="s">
        <v>125</v>
      </c>
      <c r="CO795" t="s">
        <v>206</v>
      </c>
      <c r="CP795">
        <v>46094</v>
      </c>
      <c r="CQ795">
        <v>1</v>
      </c>
      <c r="CR795">
        <v>1</v>
      </c>
      <c r="CT795">
        <v>1</v>
      </c>
      <c r="CV795">
        <v>1.8518518518518518E-4</v>
      </c>
      <c r="CW795">
        <v>1.8518518518518518E-4</v>
      </c>
      <c r="CX795">
        <v>0.24612268518518518</v>
      </c>
      <c r="CY795">
        <v>0.10407407407407407</v>
      </c>
      <c r="CZ795">
        <v>124</v>
      </c>
      <c r="DA795">
        <v>329</v>
      </c>
      <c r="DB795">
        <v>21</v>
      </c>
      <c r="DC795" t="s">
        <v>679</v>
      </c>
      <c r="DD795">
        <v>29528</v>
      </c>
      <c r="DE795">
        <v>0.1694</v>
      </c>
      <c r="DM795">
        <v>64</v>
      </c>
    </row>
    <row r="796" spans="91:117" x14ac:dyDescent="0.25">
      <c r="CM796" t="s">
        <v>636</v>
      </c>
      <c r="CN796" t="s">
        <v>125</v>
      </c>
      <c r="CO796" t="s">
        <v>206</v>
      </c>
      <c r="CP796">
        <v>46100</v>
      </c>
      <c r="CQ796">
        <v>1</v>
      </c>
      <c r="CR796">
        <v>1</v>
      </c>
      <c r="CT796">
        <v>1</v>
      </c>
      <c r="CV796">
        <v>1.0416666666666667E-4</v>
      </c>
      <c r="CW796">
        <v>1.0416666666666667E-4</v>
      </c>
      <c r="CX796">
        <v>0.22207175925925926</v>
      </c>
      <c r="CY796">
        <v>0.10105324074074074</v>
      </c>
      <c r="CZ796">
        <v>145</v>
      </c>
      <c r="DA796">
        <v>302</v>
      </c>
      <c r="DB796">
        <v>20</v>
      </c>
      <c r="DC796">
        <v>1.75</v>
      </c>
      <c r="DD796">
        <v>38412</v>
      </c>
      <c r="DE796">
        <v>0.13789999999999999</v>
      </c>
      <c r="DM796">
        <v>64</v>
      </c>
    </row>
    <row r="797" spans="91:117" x14ac:dyDescent="0.25">
      <c r="CM797" t="s">
        <v>636</v>
      </c>
      <c r="CN797" t="s">
        <v>125</v>
      </c>
      <c r="CO797" t="s">
        <v>206</v>
      </c>
      <c r="CP797">
        <v>46105</v>
      </c>
      <c r="CQ797">
        <v>1</v>
      </c>
      <c r="CR797">
        <v>1</v>
      </c>
      <c r="CT797">
        <v>1</v>
      </c>
      <c r="CV797">
        <v>1.1574074074074075E-4</v>
      </c>
      <c r="CW797">
        <v>1.1574074074074075E-4</v>
      </c>
      <c r="CX797">
        <v>0.20194444444444445</v>
      </c>
      <c r="CY797">
        <v>0.15069444444444444</v>
      </c>
      <c r="CZ797">
        <v>165</v>
      </c>
      <c r="DA797">
        <v>404</v>
      </c>
      <c r="DB797">
        <v>50</v>
      </c>
      <c r="DC797">
        <v>1.66</v>
      </c>
      <c r="DD797">
        <v>19348</v>
      </c>
      <c r="DE797">
        <v>0.30299999999999999</v>
      </c>
      <c r="DM797">
        <v>64</v>
      </c>
    </row>
    <row r="798" spans="91:117" x14ac:dyDescent="0.25">
      <c r="CM798" t="s">
        <v>636</v>
      </c>
      <c r="CN798" t="s">
        <v>125</v>
      </c>
      <c r="CO798" t="s">
        <v>206</v>
      </c>
      <c r="CP798">
        <v>46108</v>
      </c>
      <c r="CQ798">
        <v>1</v>
      </c>
      <c r="CR798">
        <v>1</v>
      </c>
      <c r="CT798">
        <v>1</v>
      </c>
      <c r="CV798">
        <v>1.1574074074074075E-4</v>
      </c>
      <c r="CW798">
        <v>1.1574074074074075E-4</v>
      </c>
      <c r="CX798">
        <v>0.24782407407407409</v>
      </c>
      <c r="CY798">
        <v>0.1111111111111111</v>
      </c>
      <c r="CZ798">
        <v>142</v>
      </c>
      <c r="DA798">
        <v>342</v>
      </c>
      <c r="DB798">
        <v>29</v>
      </c>
      <c r="DC798" t="s">
        <v>947</v>
      </c>
      <c r="DD798">
        <v>31153</v>
      </c>
      <c r="DE798">
        <v>0.20419999999999999</v>
      </c>
      <c r="DM798">
        <v>64</v>
      </c>
    </row>
    <row r="799" spans="91:117" x14ac:dyDescent="0.25">
      <c r="CM799" t="s">
        <v>636</v>
      </c>
      <c r="CN799" t="s">
        <v>125</v>
      </c>
      <c r="CO799" t="s">
        <v>59</v>
      </c>
      <c r="CP799">
        <v>46087</v>
      </c>
      <c r="CQ799">
        <v>1</v>
      </c>
      <c r="CR799">
        <v>1</v>
      </c>
      <c r="CT799">
        <v>1</v>
      </c>
      <c r="CV799">
        <v>2.3148148148148147E-5</v>
      </c>
      <c r="CW799">
        <v>2.3148148148148147E-5</v>
      </c>
      <c r="CX799">
        <v>0.25462962962962965</v>
      </c>
      <c r="CY799">
        <v>0.11949074074074074</v>
      </c>
      <c r="CZ799">
        <v>151</v>
      </c>
      <c r="DA799">
        <v>274</v>
      </c>
      <c r="DB799">
        <v>16</v>
      </c>
      <c r="DC799">
        <v>1.3125</v>
      </c>
      <c r="DD799">
        <v>29488</v>
      </c>
      <c r="DE799">
        <v>0.106</v>
      </c>
      <c r="DM799">
        <v>64</v>
      </c>
    </row>
    <row r="800" spans="91:117" x14ac:dyDescent="0.25">
      <c r="CM800" t="s">
        <v>636</v>
      </c>
      <c r="CN800" t="s">
        <v>125</v>
      </c>
      <c r="CO800" t="s">
        <v>59</v>
      </c>
      <c r="CP800">
        <v>46094</v>
      </c>
      <c r="CQ800">
        <v>1</v>
      </c>
      <c r="CR800">
        <v>1</v>
      </c>
      <c r="CT800">
        <v>1</v>
      </c>
      <c r="CV800">
        <v>1.7361111111111112E-4</v>
      </c>
      <c r="CW800">
        <v>1.7361111111111112E-4</v>
      </c>
      <c r="CX800">
        <v>0.23923611111111112</v>
      </c>
      <c r="CY800">
        <v>0.10381944444444445</v>
      </c>
      <c r="CZ800">
        <v>133</v>
      </c>
      <c r="DA800">
        <v>245</v>
      </c>
      <c r="DB800">
        <v>25</v>
      </c>
      <c r="DC800">
        <v>1.64</v>
      </c>
      <c r="DD800">
        <v>32359</v>
      </c>
      <c r="DE800">
        <v>0.188</v>
      </c>
      <c r="DF800">
        <v>1</v>
      </c>
      <c r="DG800">
        <v>0.04</v>
      </c>
      <c r="DH800">
        <v>300</v>
      </c>
      <c r="DI800">
        <v>300</v>
      </c>
      <c r="DM800">
        <v>64</v>
      </c>
    </row>
    <row r="801" spans="91:117" x14ac:dyDescent="0.25">
      <c r="CM801" t="s">
        <v>636</v>
      </c>
      <c r="CN801" t="s">
        <v>2</v>
      </c>
      <c r="CO801" t="s">
        <v>15</v>
      </c>
      <c r="CP801">
        <v>46087</v>
      </c>
      <c r="CQ801">
        <v>1</v>
      </c>
      <c r="CR801">
        <v>1</v>
      </c>
      <c r="CT801">
        <v>1</v>
      </c>
      <c r="CV801">
        <v>9.2592592592592588E-5</v>
      </c>
      <c r="CW801">
        <v>9.2592592592592588E-5</v>
      </c>
      <c r="CX801">
        <v>0.26555555555555554</v>
      </c>
      <c r="CY801">
        <v>6.8587962962962962E-2</v>
      </c>
      <c r="CZ801">
        <v>74</v>
      </c>
      <c r="DA801">
        <v>90</v>
      </c>
      <c r="DB801">
        <v>10</v>
      </c>
      <c r="DC801">
        <v>1.6</v>
      </c>
      <c r="DD801">
        <v>18452</v>
      </c>
      <c r="DE801">
        <v>0.1351</v>
      </c>
      <c r="DM801">
        <v>64</v>
      </c>
    </row>
    <row r="802" spans="91:117" x14ac:dyDescent="0.25">
      <c r="CM802" t="s">
        <v>636</v>
      </c>
      <c r="CN802" t="s">
        <v>2</v>
      </c>
      <c r="CO802" t="s">
        <v>15</v>
      </c>
      <c r="CP802">
        <v>46090</v>
      </c>
      <c r="CQ802">
        <v>1</v>
      </c>
      <c r="CR802">
        <v>1</v>
      </c>
      <c r="CT802">
        <v>1</v>
      </c>
      <c r="CV802">
        <v>2.0833333333333335E-4</v>
      </c>
      <c r="CW802">
        <v>2.0833333333333335E-4</v>
      </c>
      <c r="CX802">
        <v>0.2165162037037037</v>
      </c>
      <c r="CY802">
        <v>7.4791666666666673E-2</v>
      </c>
      <c r="CZ802">
        <v>109</v>
      </c>
      <c r="DA802">
        <v>135</v>
      </c>
      <c r="DB802">
        <v>9</v>
      </c>
      <c r="DC802" t="s">
        <v>726</v>
      </c>
      <c r="DD802">
        <v>18891</v>
      </c>
      <c r="DE802">
        <v>8.2600000000000007E-2</v>
      </c>
      <c r="DM802">
        <v>64</v>
      </c>
    </row>
    <row r="803" spans="91:117" x14ac:dyDescent="0.25">
      <c r="CM803" t="s">
        <v>636</v>
      </c>
      <c r="CN803" t="s">
        <v>2</v>
      </c>
      <c r="CO803" t="s">
        <v>15</v>
      </c>
      <c r="CP803">
        <v>46098</v>
      </c>
      <c r="CQ803">
        <v>1</v>
      </c>
      <c r="CR803">
        <v>1</v>
      </c>
      <c r="CT803">
        <v>1</v>
      </c>
      <c r="CV803">
        <v>1.5046296296296297E-4</v>
      </c>
      <c r="CW803">
        <v>1.5046296296296297E-4</v>
      </c>
      <c r="CX803">
        <v>0.20267361111111112</v>
      </c>
      <c r="CY803">
        <v>0.12538194444444445</v>
      </c>
      <c r="CZ803">
        <v>121</v>
      </c>
      <c r="DA803">
        <v>141</v>
      </c>
      <c r="DB803">
        <v>9</v>
      </c>
      <c r="DC803" t="s">
        <v>674</v>
      </c>
      <c r="DD803">
        <v>43818</v>
      </c>
      <c r="DE803">
        <v>7.4399999999999994E-2</v>
      </c>
      <c r="DM803">
        <v>64</v>
      </c>
    </row>
    <row r="804" spans="91:117" x14ac:dyDescent="0.25">
      <c r="CM804" t="s">
        <v>636</v>
      </c>
      <c r="CN804" t="s">
        <v>2</v>
      </c>
      <c r="CO804" t="s">
        <v>15</v>
      </c>
      <c r="CP804">
        <v>46100</v>
      </c>
      <c r="CQ804">
        <v>1</v>
      </c>
      <c r="CR804">
        <v>1</v>
      </c>
      <c r="CT804">
        <v>1</v>
      </c>
      <c r="CV804">
        <v>1.1574074074074075E-4</v>
      </c>
      <c r="CW804">
        <v>1.1574074074074075E-4</v>
      </c>
      <c r="CX804">
        <v>0.19399305555555554</v>
      </c>
      <c r="CY804">
        <v>0.16268518518518518</v>
      </c>
      <c r="CZ804">
        <v>90</v>
      </c>
      <c r="DA804">
        <v>126</v>
      </c>
      <c r="DB804">
        <v>10</v>
      </c>
      <c r="DC804">
        <v>1.7</v>
      </c>
      <c r="DD804">
        <v>40662</v>
      </c>
      <c r="DE804">
        <v>0.1111</v>
      </c>
      <c r="DM804">
        <v>64</v>
      </c>
    </row>
    <row r="805" spans="91:117" x14ac:dyDescent="0.25">
      <c r="CM805" t="s">
        <v>636</v>
      </c>
      <c r="CN805" t="s">
        <v>2</v>
      </c>
      <c r="CO805" t="s">
        <v>15</v>
      </c>
      <c r="CP805">
        <v>46105</v>
      </c>
      <c r="CQ805">
        <v>1</v>
      </c>
      <c r="CR805">
        <v>1</v>
      </c>
      <c r="CT805">
        <v>1</v>
      </c>
      <c r="CV805">
        <v>9.2592592592592588E-5</v>
      </c>
      <c r="CW805">
        <v>9.2592592592592588E-5</v>
      </c>
      <c r="CX805">
        <v>0.20021990740740742</v>
      </c>
      <c r="CY805">
        <v>0.15371527777777777</v>
      </c>
      <c r="CZ805">
        <v>85</v>
      </c>
      <c r="DA805">
        <v>118</v>
      </c>
      <c r="DB805">
        <v>19</v>
      </c>
      <c r="DC805" t="s">
        <v>691</v>
      </c>
      <c r="DD805">
        <v>28694</v>
      </c>
      <c r="DE805">
        <v>0.2235</v>
      </c>
      <c r="DM805">
        <v>64</v>
      </c>
    </row>
    <row r="806" spans="91:117" x14ac:dyDescent="0.25">
      <c r="CM806" t="s">
        <v>636</v>
      </c>
      <c r="CN806" t="s">
        <v>2</v>
      </c>
      <c r="CO806" t="s">
        <v>15</v>
      </c>
      <c r="CP806">
        <v>46112</v>
      </c>
      <c r="CQ806">
        <v>1</v>
      </c>
      <c r="CR806">
        <v>1</v>
      </c>
      <c r="CT806">
        <v>1</v>
      </c>
      <c r="CV806">
        <v>1.3888888888888889E-4</v>
      </c>
      <c r="CW806">
        <v>1.3888888888888889E-4</v>
      </c>
      <c r="CX806">
        <v>0.12116898148148147</v>
      </c>
      <c r="CY806">
        <v>0.25134259259259262</v>
      </c>
      <c r="CZ806">
        <v>131</v>
      </c>
      <c r="DA806">
        <v>173</v>
      </c>
      <c r="DB806">
        <v>22</v>
      </c>
      <c r="DC806" t="s">
        <v>1013</v>
      </c>
      <c r="DD806">
        <v>27477</v>
      </c>
      <c r="DE806">
        <v>0.16789999999999999</v>
      </c>
      <c r="DM806">
        <v>64</v>
      </c>
    </row>
    <row r="807" spans="91:117" x14ac:dyDescent="0.25">
      <c r="CM807" t="s">
        <v>636</v>
      </c>
      <c r="CN807" t="s">
        <v>2</v>
      </c>
      <c r="CO807" t="s">
        <v>377</v>
      </c>
      <c r="CP807">
        <v>46090</v>
      </c>
      <c r="CQ807">
        <v>1</v>
      </c>
      <c r="CR807">
        <v>1</v>
      </c>
      <c r="CT807">
        <v>1</v>
      </c>
      <c r="CV807">
        <v>1.4467592592592592E-3</v>
      </c>
      <c r="CW807">
        <v>1.4467592592592592E-3</v>
      </c>
      <c r="CX807">
        <v>0.18892361111111111</v>
      </c>
      <c r="CY807">
        <v>0.12254629629629629</v>
      </c>
      <c r="CZ807">
        <v>72</v>
      </c>
      <c r="DA807">
        <v>128</v>
      </c>
      <c r="DB807">
        <v>9</v>
      </c>
      <c r="DC807" t="s">
        <v>769</v>
      </c>
      <c r="DD807">
        <v>18154</v>
      </c>
      <c r="DE807">
        <v>0.125</v>
      </c>
      <c r="DM807">
        <v>64</v>
      </c>
    </row>
    <row r="808" spans="91:117" x14ac:dyDescent="0.25">
      <c r="CM808" t="s">
        <v>636</v>
      </c>
      <c r="CN808" t="s">
        <v>2</v>
      </c>
      <c r="CO808" t="s">
        <v>377</v>
      </c>
      <c r="CP808">
        <v>46098</v>
      </c>
      <c r="CQ808">
        <v>1</v>
      </c>
      <c r="CR808">
        <v>1</v>
      </c>
      <c r="CT808">
        <v>1</v>
      </c>
      <c r="CV808">
        <v>8.564814814814815E-4</v>
      </c>
      <c r="CW808">
        <v>8.564814814814815E-4</v>
      </c>
      <c r="CX808">
        <v>0.13638888888888889</v>
      </c>
      <c r="CY808">
        <v>0.18623842592592593</v>
      </c>
      <c r="CZ808">
        <v>66</v>
      </c>
      <c r="DA808">
        <v>150</v>
      </c>
      <c r="DB808">
        <v>26</v>
      </c>
      <c r="DC808">
        <v>1.5</v>
      </c>
      <c r="DD808">
        <v>36803</v>
      </c>
      <c r="DE808">
        <v>0.39389999999999997</v>
      </c>
      <c r="DM808">
        <v>64</v>
      </c>
    </row>
    <row r="809" spans="91:117" x14ac:dyDescent="0.25">
      <c r="CM809" t="s">
        <v>636</v>
      </c>
      <c r="CN809" t="s">
        <v>2</v>
      </c>
      <c r="CO809" t="s">
        <v>377</v>
      </c>
      <c r="CP809">
        <v>46111</v>
      </c>
      <c r="CQ809">
        <v>1</v>
      </c>
      <c r="CR809">
        <v>1</v>
      </c>
      <c r="CT809">
        <v>1</v>
      </c>
      <c r="CV809">
        <v>1.5393518518518519E-3</v>
      </c>
      <c r="CW809">
        <v>1.5393518518518519E-3</v>
      </c>
      <c r="CX809">
        <v>0.1766550925925926</v>
      </c>
      <c r="CY809">
        <v>0.18834490740740742</v>
      </c>
      <c r="CZ809">
        <v>102</v>
      </c>
      <c r="DA809">
        <v>188</v>
      </c>
      <c r="DB809">
        <v>24</v>
      </c>
      <c r="DC809">
        <v>1.5</v>
      </c>
      <c r="DD809">
        <v>19654</v>
      </c>
      <c r="DE809">
        <v>0.23530000000000001</v>
      </c>
      <c r="DM809">
        <v>64</v>
      </c>
    </row>
    <row r="810" spans="91:117" x14ac:dyDescent="0.25">
      <c r="CM810" t="s">
        <v>636</v>
      </c>
      <c r="CN810" t="s">
        <v>2</v>
      </c>
      <c r="CO810" t="s">
        <v>22</v>
      </c>
      <c r="CP810">
        <v>46100</v>
      </c>
      <c r="CQ810">
        <v>1</v>
      </c>
      <c r="CR810">
        <v>1</v>
      </c>
      <c r="CT810">
        <v>1</v>
      </c>
      <c r="CV810">
        <v>0</v>
      </c>
      <c r="CW810">
        <v>0</v>
      </c>
      <c r="CX810">
        <v>0.17481481481481481</v>
      </c>
      <c r="CY810">
        <v>0.16136574074074075</v>
      </c>
      <c r="CZ810">
        <v>81</v>
      </c>
      <c r="DA810">
        <v>159</v>
      </c>
      <c r="DB810">
        <v>14</v>
      </c>
      <c r="DC810" t="s">
        <v>850</v>
      </c>
      <c r="DD810">
        <v>34055</v>
      </c>
      <c r="DE810">
        <v>0.17280000000000001</v>
      </c>
      <c r="DM810">
        <v>64</v>
      </c>
    </row>
    <row r="811" spans="91:117" x14ac:dyDescent="0.25">
      <c r="CM811" t="s">
        <v>636</v>
      </c>
      <c r="CN811" t="s">
        <v>2</v>
      </c>
      <c r="CO811" t="s">
        <v>24</v>
      </c>
      <c r="CP811">
        <v>46085</v>
      </c>
      <c r="CQ811">
        <v>1</v>
      </c>
      <c r="CR811">
        <v>1</v>
      </c>
      <c r="CT811">
        <v>1</v>
      </c>
      <c r="CV811">
        <v>1.8518518518518518E-4</v>
      </c>
      <c r="CW811">
        <v>1.8518518518518518E-4</v>
      </c>
      <c r="CX811">
        <v>0.26401620370370371</v>
      </c>
      <c r="CY811">
        <v>8.7465277777777781E-2</v>
      </c>
      <c r="CZ811">
        <v>52</v>
      </c>
      <c r="DA811">
        <v>112</v>
      </c>
      <c r="DB811">
        <v>22</v>
      </c>
      <c r="DC811" t="s">
        <v>864</v>
      </c>
      <c r="DD811">
        <v>22291</v>
      </c>
      <c r="DE811">
        <v>0.42309999999999998</v>
      </c>
      <c r="DM811">
        <v>64</v>
      </c>
    </row>
    <row r="812" spans="91:117" x14ac:dyDescent="0.25">
      <c r="CM812" t="s">
        <v>636</v>
      </c>
      <c r="CN812" t="s">
        <v>2</v>
      </c>
      <c r="CO812" t="s">
        <v>24</v>
      </c>
      <c r="CP812">
        <v>46087</v>
      </c>
      <c r="CQ812">
        <v>1</v>
      </c>
      <c r="CR812">
        <v>1</v>
      </c>
      <c r="CT812">
        <v>1</v>
      </c>
      <c r="CV812">
        <v>3.4722222222222224E-4</v>
      </c>
      <c r="CW812">
        <v>3.4722222222222224E-4</v>
      </c>
      <c r="CX812">
        <v>0.24403935185185185</v>
      </c>
      <c r="CY812">
        <v>9.9456018518518513E-2</v>
      </c>
      <c r="CZ812">
        <v>48</v>
      </c>
      <c r="DA812">
        <v>124</v>
      </c>
      <c r="DB812">
        <v>8</v>
      </c>
      <c r="DC812">
        <v>2</v>
      </c>
      <c r="DD812">
        <v>22714</v>
      </c>
      <c r="DE812">
        <v>0.16669999999999999</v>
      </c>
      <c r="DM812">
        <v>64</v>
      </c>
    </row>
    <row r="813" spans="91:117" x14ac:dyDescent="0.25">
      <c r="CM813" t="s">
        <v>636</v>
      </c>
      <c r="CN813" t="s">
        <v>2</v>
      </c>
      <c r="CO813" t="s">
        <v>13</v>
      </c>
      <c r="CP813">
        <v>46090</v>
      </c>
      <c r="CQ813">
        <v>1</v>
      </c>
      <c r="CR813">
        <v>1</v>
      </c>
      <c r="CT813">
        <v>1</v>
      </c>
      <c r="CV813">
        <v>6.9444444444444444E-5</v>
      </c>
      <c r="CW813">
        <v>6.9444444444444444E-5</v>
      </c>
      <c r="CX813">
        <v>0.23427083333333334</v>
      </c>
      <c r="CY813">
        <v>7.6631944444444447E-2</v>
      </c>
      <c r="CZ813">
        <v>80</v>
      </c>
      <c r="DA813">
        <v>174</v>
      </c>
      <c r="DB813">
        <v>14</v>
      </c>
      <c r="DC813" t="s">
        <v>988</v>
      </c>
      <c r="DD813">
        <v>26824</v>
      </c>
      <c r="DE813">
        <v>0.17499999999999999</v>
      </c>
      <c r="DM813">
        <v>64</v>
      </c>
    </row>
    <row r="814" spans="91:117" x14ac:dyDescent="0.25">
      <c r="CM814" t="s">
        <v>636</v>
      </c>
      <c r="CN814" t="s">
        <v>2</v>
      </c>
      <c r="CO814" t="s">
        <v>13</v>
      </c>
      <c r="CP814">
        <v>46100</v>
      </c>
      <c r="CQ814">
        <v>1</v>
      </c>
      <c r="CR814">
        <v>1</v>
      </c>
      <c r="CT814">
        <v>1</v>
      </c>
      <c r="CV814">
        <v>4.6296296296296294E-5</v>
      </c>
      <c r="CW814">
        <v>4.6296296296296294E-5</v>
      </c>
      <c r="CX814">
        <v>0.21560185185185185</v>
      </c>
      <c r="CY814">
        <v>0.12686342592592592</v>
      </c>
      <c r="CZ814">
        <v>88</v>
      </c>
      <c r="DA814">
        <v>184</v>
      </c>
      <c r="DB814">
        <v>22</v>
      </c>
      <c r="DC814" t="s">
        <v>847</v>
      </c>
      <c r="DD814">
        <v>31651</v>
      </c>
      <c r="DE814">
        <v>0.25</v>
      </c>
      <c r="DM814">
        <v>64</v>
      </c>
    </row>
    <row r="815" spans="91:117" x14ac:dyDescent="0.25">
      <c r="CM815" t="s">
        <v>636</v>
      </c>
      <c r="CN815" t="s">
        <v>2</v>
      </c>
      <c r="CO815" t="s">
        <v>42</v>
      </c>
      <c r="CP815">
        <v>46112</v>
      </c>
      <c r="CQ815">
        <v>1</v>
      </c>
      <c r="CR815">
        <v>1</v>
      </c>
      <c r="CT815">
        <v>1</v>
      </c>
      <c r="CV815">
        <v>8.564814814814815E-4</v>
      </c>
      <c r="CW815">
        <v>8.564814814814815E-4</v>
      </c>
      <c r="CX815">
        <v>0.15329861111111112</v>
      </c>
      <c r="CY815">
        <v>0.22555555555555556</v>
      </c>
      <c r="CZ815">
        <v>159</v>
      </c>
      <c r="DA815">
        <v>264</v>
      </c>
      <c r="DB815">
        <v>13</v>
      </c>
      <c r="DC815" t="s">
        <v>1068</v>
      </c>
      <c r="DD815">
        <v>77303</v>
      </c>
      <c r="DE815">
        <v>8.1799999999999998E-2</v>
      </c>
      <c r="DM815">
        <v>64</v>
      </c>
    </row>
    <row r="816" spans="91:117" x14ac:dyDescent="0.25">
      <c r="CM816" t="s">
        <v>636</v>
      </c>
      <c r="CN816" t="s">
        <v>2</v>
      </c>
      <c r="CO816" t="s">
        <v>564</v>
      </c>
      <c r="CP816">
        <v>46087</v>
      </c>
      <c r="CQ816">
        <v>1</v>
      </c>
      <c r="CR816">
        <v>1</v>
      </c>
      <c r="CT816">
        <v>1</v>
      </c>
      <c r="CV816">
        <v>3.3564814814814812E-4</v>
      </c>
      <c r="CW816">
        <v>3.3564814814814812E-4</v>
      </c>
      <c r="CX816">
        <v>0.25611111111111112</v>
      </c>
      <c r="CY816">
        <v>3.9745370370370368E-2</v>
      </c>
      <c r="CZ816">
        <v>58</v>
      </c>
      <c r="DA816">
        <v>88</v>
      </c>
      <c r="DB816">
        <v>3</v>
      </c>
      <c r="DC816">
        <v>1</v>
      </c>
      <c r="DD816">
        <v>16495</v>
      </c>
      <c r="DE816">
        <v>5.1700000000000003E-2</v>
      </c>
      <c r="DM816">
        <v>64</v>
      </c>
    </row>
    <row r="817" spans="91:118" x14ac:dyDescent="0.25">
      <c r="CM817" t="s">
        <v>636</v>
      </c>
      <c r="CN817" t="s">
        <v>2</v>
      </c>
      <c r="CO817" t="s">
        <v>564</v>
      </c>
      <c r="CP817">
        <v>46098</v>
      </c>
      <c r="CQ817">
        <v>1</v>
      </c>
      <c r="CR817">
        <v>1</v>
      </c>
      <c r="CT817">
        <v>1</v>
      </c>
      <c r="CV817">
        <v>0</v>
      </c>
      <c r="CW817">
        <v>0</v>
      </c>
      <c r="CX817">
        <v>0.19827546296296297</v>
      </c>
      <c r="CY817">
        <v>0.11447916666666667</v>
      </c>
      <c r="CZ817">
        <v>58</v>
      </c>
      <c r="DA817">
        <v>96</v>
      </c>
      <c r="DB817">
        <v>16</v>
      </c>
      <c r="DC817">
        <v>1.6875</v>
      </c>
      <c r="DD817">
        <v>30392</v>
      </c>
      <c r="DE817">
        <v>0.27589999999999998</v>
      </c>
      <c r="DM817">
        <v>64</v>
      </c>
    </row>
    <row r="818" spans="91:118" x14ac:dyDescent="0.25">
      <c r="CM818" t="s">
        <v>636</v>
      </c>
      <c r="CN818" t="s">
        <v>2</v>
      </c>
      <c r="CO818" t="s">
        <v>564</v>
      </c>
      <c r="CP818">
        <v>46100</v>
      </c>
      <c r="CQ818">
        <v>1</v>
      </c>
      <c r="CR818">
        <v>1</v>
      </c>
      <c r="CT818">
        <v>1</v>
      </c>
      <c r="CV818">
        <v>0</v>
      </c>
      <c r="CW818">
        <v>0</v>
      </c>
      <c r="CX818">
        <v>0.17383101851851851</v>
      </c>
      <c r="CY818">
        <v>0.10241898148148149</v>
      </c>
      <c r="CZ818">
        <v>77</v>
      </c>
      <c r="DA818">
        <v>132</v>
      </c>
      <c r="DB818">
        <v>8</v>
      </c>
      <c r="DC818">
        <v>1.625</v>
      </c>
      <c r="DD818">
        <v>39700</v>
      </c>
      <c r="DE818">
        <v>0.10390000000000001</v>
      </c>
      <c r="DM818">
        <v>64</v>
      </c>
    </row>
    <row r="819" spans="91:118" x14ac:dyDescent="0.25">
      <c r="CM819" t="s">
        <v>636</v>
      </c>
      <c r="CN819" t="s">
        <v>2</v>
      </c>
      <c r="CO819" t="s">
        <v>564</v>
      </c>
      <c r="CP819">
        <v>46111</v>
      </c>
      <c r="CQ819">
        <v>1</v>
      </c>
      <c r="CR819">
        <v>1</v>
      </c>
      <c r="CT819">
        <v>1</v>
      </c>
      <c r="CV819">
        <v>0</v>
      </c>
      <c r="CW819">
        <v>0</v>
      </c>
      <c r="CX819">
        <v>0.20489583333333333</v>
      </c>
      <c r="CY819">
        <v>0.19039351851851852</v>
      </c>
      <c r="CZ819">
        <v>97</v>
      </c>
      <c r="DA819">
        <v>166</v>
      </c>
      <c r="DB819">
        <v>24</v>
      </c>
      <c r="DC819" t="s">
        <v>674</v>
      </c>
      <c r="DD819">
        <v>26950</v>
      </c>
      <c r="DE819">
        <v>0.24740000000000001</v>
      </c>
      <c r="DM819">
        <v>64</v>
      </c>
    </row>
    <row r="820" spans="91:118" x14ac:dyDescent="0.25">
      <c r="CM820" t="s">
        <v>636</v>
      </c>
      <c r="CN820" t="s">
        <v>2</v>
      </c>
      <c r="CO820" t="s">
        <v>564</v>
      </c>
      <c r="CP820">
        <v>46112</v>
      </c>
      <c r="CQ820">
        <v>1</v>
      </c>
      <c r="CR820">
        <v>1</v>
      </c>
      <c r="CT820">
        <v>1</v>
      </c>
      <c r="CV820">
        <v>0</v>
      </c>
      <c r="CW820">
        <v>0</v>
      </c>
      <c r="CX820">
        <v>8.4120370370370373E-2</v>
      </c>
      <c r="CY820">
        <v>0.27459490740740738</v>
      </c>
      <c r="CZ820">
        <v>56</v>
      </c>
      <c r="DA820">
        <v>68</v>
      </c>
      <c r="DB820">
        <v>9</v>
      </c>
      <c r="DC820">
        <v>1</v>
      </c>
      <c r="DD820">
        <v>19149</v>
      </c>
      <c r="DE820">
        <v>0.16070000000000001</v>
      </c>
      <c r="DM820">
        <v>64</v>
      </c>
    </row>
    <row r="821" spans="91:118" x14ac:dyDescent="0.25">
      <c r="CM821" t="s">
        <v>636</v>
      </c>
      <c r="CN821" t="s">
        <v>2</v>
      </c>
      <c r="CO821" t="s">
        <v>65</v>
      </c>
      <c r="CP821">
        <v>46085</v>
      </c>
      <c r="CQ821">
        <v>1</v>
      </c>
      <c r="CR821">
        <v>1</v>
      </c>
      <c r="CT821">
        <v>1</v>
      </c>
      <c r="CV821">
        <v>8.1018518518518516E-5</v>
      </c>
      <c r="CW821">
        <v>8.1018518518518516E-5</v>
      </c>
      <c r="CX821">
        <v>0.26827546296296295</v>
      </c>
      <c r="CY821">
        <v>7.6967592592592587E-2</v>
      </c>
      <c r="CZ821">
        <v>58</v>
      </c>
      <c r="DA821">
        <v>139</v>
      </c>
      <c r="DB821">
        <v>14</v>
      </c>
      <c r="DC821">
        <v>1.5</v>
      </c>
      <c r="DD821">
        <v>15766</v>
      </c>
      <c r="DE821">
        <v>0.2414</v>
      </c>
      <c r="DM821">
        <v>64</v>
      </c>
    </row>
    <row r="822" spans="91:118" x14ac:dyDescent="0.25">
      <c r="CM822" t="s">
        <v>636</v>
      </c>
      <c r="CN822" t="s">
        <v>2</v>
      </c>
      <c r="CO822" t="s">
        <v>65</v>
      </c>
      <c r="CP822">
        <v>46090</v>
      </c>
      <c r="CQ822">
        <v>1</v>
      </c>
      <c r="CR822">
        <v>1</v>
      </c>
      <c r="CT822">
        <v>1</v>
      </c>
      <c r="CV822">
        <v>2.8935185185185184E-4</v>
      </c>
      <c r="CW822">
        <v>2.8935185185185184E-4</v>
      </c>
      <c r="CX822">
        <v>0.255</v>
      </c>
      <c r="CY822">
        <v>6.8182870370370366E-2</v>
      </c>
      <c r="CZ822">
        <v>41</v>
      </c>
      <c r="DA822">
        <v>100</v>
      </c>
      <c r="DB822">
        <v>2</v>
      </c>
      <c r="DC822">
        <v>1.5</v>
      </c>
      <c r="DD822">
        <v>7766</v>
      </c>
      <c r="DE822">
        <v>4.8800000000000003E-2</v>
      </c>
      <c r="DM822">
        <v>64</v>
      </c>
    </row>
    <row r="823" spans="91:118" x14ac:dyDescent="0.25">
      <c r="CM823" t="s">
        <v>636</v>
      </c>
      <c r="CN823" t="s">
        <v>2</v>
      </c>
      <c r="CO823" t="s">
        <v>65</v>
      </c>
      <c r="CP823">
        <v>46100</v>
      </c>
      <c r="CQ823">
        <v>1</v>
      </c>
      <c r="CR823">
        <v>1</v>
      </c>
      <c r="CT823">
        <v>1</v>
      </c>
      <c r="CV823">
        <v>1.1574074074074075E-4</v>
      </c>
      <c r="CW823">
        <v>1.1574074074074075E-4</v>
      </c>
      <c r="CX823">
        <v>0.2165162037037037</v>
      </c>
      <c r="CY823">
        <v>0.14374999999999999</v>
      </c>
      <c r="CZ823">
        <v>59</v>
      </c>
      <c r="DA823">
        <v>140</v>
      </c>
      <c r="DB823">
        <v>5</v>
      </c>
      <c r="DC823">
        <v>1</v>
      </c>
      <c r="DD823">
        <v>34191</v>
      </c>
      <c r="DE823">
        <v>8.4699999999999998E-2</v>
      </c>
      <c r="DM823">
        <v>64</v>
      </c>
    </row>
    <row r="824" spans="91:118" x14ac:dyDescent="0.25">
      <c r="CM824" t="s">
        <v>636</v>
      </c>
      <c r="CN824" t="s">
        <v>2</v>
      </c>
      <c r="CO824" t="s">
        <v>65</v>
      </c>
      <c r="CP824">
        <v>46105</v>
      </c>
      <c r="CQ824">
        <v>1</v>
      </c>
      <c r="CR824">
        <v>1</v>
      </c>
      <c r="CT824">
        <v>1</v>
      </c>
      <c r="CV824">
        <v>5.7870370370370373E-5</v>
      </c>
      <c r="CW824">
        <v>5.7870370370370373E-5</v>
      </c>
      <c r="CX824">
        <v>0.19973379629629628</v>
      </c>
      <c r="CY824">
        <v>0.12037037037037036</v>
      </c>
      <c r="CZ824">
        <v>59</v>
      </c>
      <c r="DA824">
        <v>154</v>
      </c>
      <c r="DB824">
        <v>11</v>
      </c>
      <c r="DC824" t="s">
        <v>847</v>
      </c>
      <c r="DD824">
        <v>26460</v>
      </c>
      <c r="DE824">
        <v>0.18640000000000001</v>
      </c>
      <c r="DM824">
        <v>64</v>
      </c>
    </row>
    <row r="825" spans="91:118" x14ac:dyDescent="0.25">
      <c r="CM825" t="s">
        <v>636</v>
      </c>
      <c r="CN825" t="s">
        <v>2</v>
      </c>
      <c r="CO825" t="s">
        <v>25</v>
      </c>
      <c r="CP825">
        <v>46087</v>
      </c>
      <c r="CQ825">
        <v>1</v>
      </c>
      <c r="CR825">
        <v>1</v>
      </c>
      <c r="CT825">
        <v>1</v>
      </c>
      <c r="CV825">
        <v>2.9050925925925928E-3</v>
      </c>
      <c r="CW825">
        <v>2.9050925925925928E-3</v>
      </c>
      <c r="CX825">
        <v>0.23402777777777778</v>
      </c>
      <c r="CY825">
        <v>8.8148148148148142E-2</v>
      </c>
      <c r="CZ825">
        <v>68</v>
      </c>
      <c r="DA825">
        <v>156</v>
      </c>
      <c r="DB825">
        <v>13</v>
      </c>
      <c r="DC825" t="s">
        <v>704</v>
      </c>
      <c r="DD825">
        <v>30293</v>
      </c>
      <c r="DE825">
        <v>0.19120000000000001</v>
      </c>
      <c r="DM825">
        <v>64</v>
      </c>
    </row>
    <row r="826" spans="91:118" x14ac:dyDescent="0.25">
      <c r="CM826" t="s">
        <v>636</v>
      </c>
      <c r="CN826" t="s">
        <v>2</v>
      </c>
      <c r="CO826" t="s">
        <v>17</v>
      </c>
      <c r="CP826">
        <v>46083</v>
      </c>
      <c r="CQ826">
        <v>1</v>
      </c>
      <c r="CR826">
        <v>1</v>
      </c>
      <c r="CT826">
        <v>1</v>
      </c>
      <c r="CV826">
        <v>1.3888888888888889E-4</v>
      </c>
      <c r="CW826">
        <v>1.3888888888888889E-4</v>
      </c>
      <c r="CX826">
        <v>0.23059027777777777</v>
      </c>
      <c r="CY826">
        <v>7.5231481481481483E-2</v>
      </c>
      <c r="CZ826">
        <v>51</v>
      </c>
      <c r="DA826">
        <v>94</v>
      </c>
      <c r="DB826">
        <v>22</v>
      </c>
      <c r="DC826" t="s">
        <v>680</v>
      </c>
      <c r="DD826">
        <v>22097</v>
      </c>
      <c r="DE826">
        <v>0.43140000000000001</v>
      </c>
      <c r="DF826">
        <v>8</v>
      </c>
      <c r="DG826">
        <v>0.36359999999999998</v>
      </c>
      <c r="DH826">
        <v>5715</v>
      </c>
      <c r="DI826">
        <v>714</v>
      </c>
      <c r="DJ826">
        <v>3335</v>
      </c>
      <c r="DK826">
        <v>0.58350000000000002</v>
      </c>
      <c r="DM826">
        <v>64</v>
      </c>
      <c r="DN826">
        <v>556</v>
      </c>
    </row>
    <row r="827" spans="91:118" x14ac:dyDescent="0.25">
      <c r="CM827" t="s">
        <v>636</v>
      </c>
      <c r="CN827" t="s">
        <v>2</v>
      </c>
      <c r="CO827" t="s">
        <v>17</v>
      </c>
      <c r="CP827">
        <v>46085</v>
      </c>
      <c r="CQ827">
        <v>1</v>
      </c>
      <c r="CR827">
        <v>1</v>
      </c>
      <c r="CT827">
        <v>1</v>
      </c>
      <c r="CV827">
        <v>1.273148148148148E-4</v>
      </c>
      <c r="CW827">
        <v>1.273148148148148E-4</v>
      </c>
      <c r="CX827">
        <v>0.24479166666666666</v>
      </c>
      <c r="CY827">
        <v>8.9594907407407401E-2</v>
      </c>
      <c r="CZ827">
        <v>76</v>
      </c>
      <c r="DA827">
        <v>161</v>
      </c>
      <c r="DB827">
        <v>19</v>
      </c>
      <c r="DC827" t="s">
        <v>861</v>
      </c>
      <c r="DD827">
        <v>56123</v>
      </c>
      <c r="DE827">
        <v>0.25</v>
      </c>
      <c r="DM827">
        <v>64</v>
      </c>
    </row>
    <row r="828" spans="91:118" x14ac:dyDescent="0.25">
      <c r="CM828" t="s">
        <v>636</v>
      </c>
      <c r="CN828" t="s">
        <v>2</v>
      </c>
      <c r="CO828" t="s">
        <v>17</v>
      </c>
      <c r="CP828">
        <v>46090</v>
      </c>
      <c r="CQ828">
        <v>1</v>
      </c>
      <c r="CR828">
        <v>1</v>
      </c>
      <c r="CT828">
        <v>1</v>
      </c>
      <c r="CV828">
        <v>5.0925925925925921E-4</v>
      </c>
      <c r="CW828">
        <v>5.0925925925925921E-4</v>
      </c>
      <c r="CX828">
        <v>0.24004629629629629</v>
      </c>
      <c r="CY828">
        <v>7.1851851851851847E-2</v>
      </c>
      <c r="CZ828">
        <v>73</v>
      </c>
      <c r="DA828">
        <v>157</v>
      </c>
      <c r="DB828">
        <v>6</v>
      </c>
      <c r="DC828">
        <v>1</v>
      </c>
      <c r="DD828">
        <v>95341</v>
      </c>
      <c r="DE828">
        <v>8.2199999999999995E-2</v>
      </c>
      <c r="DM828">
        <v>64</v>
      </c>
    </row>
    <row r="829" spans="91:118" x14ac:dyDescent="0.25">
      <c r="CM829" t="s">
        <v>636</v>
      </c>
      <c r="CN829" t="s">
        <v>2</v>
      </c>
      <c r="CO829" t="s">
        <v>17</v>
      </c>
      <c r="CP829">
        <v>46098</v>
      </c>
      <c r="CQ829">
        <v>1</v>
      </c>
      <c r="CR829">
        <v>1</v>
      </c>
      <c r="CT829">
        <v>1</v>
      </c>
      <c r="CV829">
        <v>4.0509259259259258E-4</v>
      </c>
      <c r="CW829">
        <v>4.0509259259259258E-4</v>
      </c>
      <c r="CX829">
        <v>0.19831018518518517</v>
      </c>
      <c r="CY829">
        <v>0.11055555555555556</v>
      </c>
      <c r="CZ829">
        <v>58</v>
      </c>
      <c r="DA829">
        <v>99</v>
      </c>
      <c r="DB829">
        <v>14</v>
      </c>
      <c r="DC829" t="s">
        <v>745</v>
      </c>
      <c r="DD829">
        <v>36724</v>
      </c>
      <c r="DE829">
        <v>0.2414</v>
      </c>
      <c r="DM829">
        <v>64</v>
      </c>
    </row>
    <row r="830" spans="91:118" x14ac:dyDescent="0.25">
      <c r="CM830" t="s">
        <v>636</v>
      </c>
      <c r="CN830" t="s">
        <v>2</v>
      </c>
      <c r="CO830" t="s">
        <v>17</v>
      </c>
      <c r="CP830">
        <v>46112</v>
      </c>
      <c r="CQ830">
        <v>1</v>
      </c>
      <c r="CR830">
        <v>1</v>
      </c>
      <c r="CT830">
        <v>1</v>
      </c>
      <c r="CV830">
        <v>3.2638888888888891E-3</v>
      </c>
      <c r="CW830">
        <v>3.2638888888888891E-3</v>
      </c>
      <c r="CX830">
        <v>0.11737268518518519</v>
      </c>
      <c r="CY830">
        <v>0.21741898148148148</v>
      </c>
      <c r="CZ830">
        <v>70</v>
      </c>
      <c r="DA830">
        <v>132</v>
      </c>
      <c r="DB830">
        <v>10</v>
      </c>
      <c r="DC830">
        <v>1</v>
      </c>
      <c r="DD830">
        <v>22279</v>
      </c>
      <c r="DE830">
        <v>0.1429</v>
      </c>
      <c r="DM830">
        <v>64</v>
      </c>
    </row>
    <row r="831" spans="91:118" x14ac:dyDescent="0.25">
      <c r="CM831" t="s">
        <v>636</v>
      </c>
      <c r="CN831" t="s">
        <v>2</v>
      </c>
      <c r="CO831" t="s">
        <v>207</v>
      </c>
      <c r="CP831">
        <v>46085</v>
      </c>
      <c r="CQ831">
        <v>1</v>
      </c>
      <c r="CR831">
        <v>1</v>
      </c>
      <c r="CT831">
        <v>1</v>
      </c>
      <c r="CV831">
        <v>1.1574074074074073E-5</v>
      </c>
      <c r="CW831">
        <v>1.1574074074074073E-5</v>
      </c>
      <c r="CX831">
        <v>0.24508101851851852</v>
      </c>
      <c r="CY831">
        <v>8.6354166666666662E-2</v>
      </c>
      <c r="CZ831">
        <v>180</v>
      </c>
      <c r="DA831">
        <v>265</v>
      </c>
      <c r="DB831">
        <v>21</v>
      </c>
      <c r="DC831" t="s">
        <v>1009</v>
      </c>
      <c r="DD831">
        <v>22812</v>
      </c>
      <c r="DE831">
        <v>0.1167</v>
      </c>
      <c r="DM831">
        <v>64</v>
      </c>
    </row>
    <row r="832" spans="91:118" x14ac:dyDescent="0.25">
      <c r="CM832" t="s">
        <v>636</v>
      </c>
      <c r="CN832" t="s">
        <v>2</v>
      </c>
      <c r="CO832" t="s">
        <v>207</v>
      </c>
      <c r="CP832">
        <v>46087</v>
      </c>
      <c r="CQ832">
        <v>1</v>
      </c>
      <c r="CR832">
        <v>1</v>
      </c>
      <c r="CT832">
        <v>1</v>
      </c>
      <c r="CV832">
        <v>2.3148148148148147E-5</v>
      </c>
      <c r="CW832">
        <v>2.3148148148148147E-5</v>
      </c>
      <c r="CX832">
        <v>0.25771990740740741</v>
      </c>
      <c r="CY832">
        <v>8.8298611111111105E-2</v>
      </c>
      <c r="CZ832">
        <v>153</v>
      </c>
      <c r="DA832">
        <v>254</v>
      </c>
      <c r="DB832">
        <v>11</v>
      </c>
      <c r="DC832" t="s">
        <v>693</v>
      </c>
      <c r="DD832">
        <v>69276</v>
      </c>
      <c r="DE832">
        <v>7.1900000000000006E-2</v>
      </c>
      <c r="DM832">
        <v>64</v>
      </c>
    </row>
    <row r="833" spans="91:118" x14ac:dyDescent="0.25">
      <c r="CM833" t="s">
        <v>636</v>
      </c>
      <c r="CN833" t="s">
        <v>6</v>
      </c>
      <c r="CO833" t="s">
        <v>19</v>
      </c>
      <c r="CP833">
        <v>46084</v>
      </c>
      <c r="CQ833">
        <v>1</v>
      </c>
      <c r="CR833">
        <v>1</v>
      </c>
      <c r="CT833">
        <v>1</v>
      </c>
      <c r="CV833">
        <v>0</v>
      </c>
      <c r="CW833">
        <v>0</v>
      </c>
      <c r="CX833">
        <v>0.29618055555555556</v>
      </c>
      <c r="CY833">
        <v>0.11769675925925926</v>
      </c>
      <c r="CZ833">
        <v>219</v>
      </c>
      <c r="DA833">
        <v>330</v>
      </c>
      <c r="DB833">
        <v>26</v>
      </c>
      <c r="DC833" t="s">
        <v>704</v>
      </c>
      <c r="DD833">
        <v>21603</v>
      </c>
      <c r="DE833">
        <v>0.1187</v>
      </c>
      <c r="DF833">
        <v>1</v>
      </c>
      <c r="DG833">
        <v>3.85E-2</v>
      </c>
      <c r="DH833">
        <v>566</v>
      </c>
      <c r="DI833">
        <v>566</v>
      </c>
      <c r="DJ833">
        <v>566</v>
      </c>
      <c r="DK833">
        <v>1</v>
      </c>
      <c r="DM833">
        <v>64</v>
      </c>
      <c r="DN833">
        <v>566</v>
      </c>
    </row>
    <row r="834" spans="91:118" x14ac:dyDescent="0.25">
      <c r="CM834" t="s">
        <v>636</v>
      </c>
      <c r="CN834" t="s">
        <v>6</v>
      </c>
      <c r="CO834" t="s">
        <v>80</v>
      </c>
      <c r="CP834">
        <v>46100</v>
      </c>
      <c r="CQ834">
        <v>1</v>
      </c>
      <c r="CR834">
        <v>1</v>
      </c>
      <c r="CT834">
        <v>1</v>
      </c>
      <c r="CV834">
        <v>1.273148148148148E-4</v>
      </c>
      <c r="CW834">
        <v>1.273148148148148E-4</v>
      </c>
      <c r="CX834">
        <v>0.16138888888888889</v>
      </c>
      <c r="CY834">
        <v>0.1368287037037037</v>
      </c>
      <c r="CZ834">
        <v>58</v>
      </c>
      <c r="DA834">
        <v>82</v>
      </c>
      <c r="DB834">
        <v>9</v>
      </c>
      <c r="DC834" t="s">
        <v>1017</v>
      </c>
      <c r="DD834">
        <v>33326</v>
      </c>
      <c r="DE834">
        <v>0.1552</v>
      </c>
      <c r="DM834">
        <v>64</v>
      </c>
    </row>
    <row r="835" spans="91:118" x14ac:dyDescent="0.25">
      <c r="CM835" t="s">
        <v>636</v>
      </c>
      <c r="CN835" t="s">
        <v>6</v>
      </c>
      <c r="CO835" t="s">
        <v>81</v>
      </c>
      <c r="CP835">
        <v>46083</v>
      </c>
      <c r="CQ835">
        <v>1</v>
      </c>
      <c r="CR835">
        <v>1</v>
      </c>
      <c r="CT835">
        <v>1</v>
      </c>
      <c r="CV835">
        <v>2.3148148148148147E-5</v>
      </c>
      <c r="CW835">
        <v>2.3148148148148147E-5</v>
      </c>
      <c r="CX835">
        <v>0.22535879629629629</v>
      </c>
      <c r="CY835">
        <v>9.7013888888888886E-2</v>
      </c>
      <c r="CZ835">
        <v>87</v>
      </c>
      <c r="DA835">
        <v>141</v>
      </c>
      <c r="DB835">
        <v>15</v>
      </c>
      <c r="DC835" t="s">
        <v>723</v>
      </c>
      <c r="DD835">
        <v>24777</v>
      </c>
      <c r="DE835">
        <v>0.1724</v>
      </c>
      <c r="DF835">
        <v>3</v>
      </c>
      <c r="DG835">
        <v>0.2</v>
      </c>
      <c r="DH835">
        <v>2533</v>
      </c>
      <c r="DI835">
        <v>844</v>
      </c>
      <c r="DJ835">
        <v>2024</v>
      </c>
      <c r="DK835">
        <v>0.79910000000000003</v>
      </c>
      <c r="DM835">
        <v>64</v>
      </c>
      <c r="DN835">
        <v>1012</v>
      </c>
    </row>
    <row r="836" spans="91:118" x14ac:dyDescent="0.25">
      <c r="CM836" t="s">
        <v>636</v>
      </c>
      <c r="CN836" t="s">
        <v>6</v>
      </c>
      <c r="CO836" t="s">
        <v>81</v>
      </c>
      <c r="CP836">
        <v>46098</v>
      </c>
      <c r="CQ836">
        <v>1</v>
      </c>
      <c r="CR836">
        <v>1</v>
      </c>
      <c r="CT836">
        <v>1</v>
      </c>
      <c r="CV836">
        <v>9.2592592592592588E-5</v>
      </c>
      <c r="CW836">
        <v>9.2592592592592588E-5</v>
      </c>
      <c r="CX836">
        <v>0.23559027777777777</v>
      </c>
      <c r="CY836">
        <v>0.10126157407407407</v>
      </c>
      <c r="CZ836">
        <v>81</v>
      </c>
      <c r="DA836">
        <v>156</v>
      </c>
      <c r="DB836">
        <v>25</v>
      </c>
      <c r="DC836">
        <v>1.68</v>
      </c>
      <c r="DD836">
        <v>10241</v>
      </c>
      <c r="DE836">
        <v>0.30859999999999999</v>
      </c>
      <c r="DF836">
        <v>2</v>
      </c>
      <c r="DG836">
        <v>0.08</v>
      </c>
      <c r="DH836">
        <v>535</v>
      </c>
      <c r="DI836">
        <v>268</v>
      </c>
      <c r="DJ836">
        <v>285</v>
      </c>
      <c r="DK836">
        <v>0.53269999999999995</v>
      </c>
      <c r="DM836">
        <v>64</v>
      </c>
      <c r="DN836">
        <v>285</v>
      </c>
    </row>
    <row r="837" spans="91:118" x14ac:dyDescent="0.25">
      <c r="CM837" t="s">
        <v>636</v>
      </c>
      <c r="CN837" t="s">
        <v>6</v>
      </c>
      <c r="CO837" t="s">
        <v>105</v>
      </c>
      <c r="CP837">
        <v>46100</v>
      </c>
      <c r="CQ837">
        <v>1</v>
      </c>
      <c r="CR837">
        <v>1</v>
      </c>
      <c r="CT837">
        <v>1</v>
      </c>
      <c r="CV837">
        <v>3.0439814814814813E-3</v>
      </c>
      <c r="CW837">
        <v>3.0439814814814813E-3</v>
      </c>
      <c r="CX837">
        <v>0.1502199074074074</v>
      </c>
      <c r="CY837">
        <v>0.1252199074074074</v>
      </c>
      <c r="CZ837">
        <v>65</v>
      </c>
      <c r="DA837">
        <v>111</v>
      </c>
      <c r="DB837">
        <v>13</v>
      </c>
      <c r="DC837" t="s">
        <v>708</v>
      </c>
      <c r="DD837">
        <v>22818</v>
      </c>
      <c r="DE837">
        <v>0.2</v>
      </c>
      <c r="DM837">
        <v>64</v>
      </c>
    </row>
    <row r="838" spans="91:118" x14ac:dyDescent="0.25">
      <c r="CM838" t="s">
        <v>636</v>
      </c>
      <c r="CN838" t="s">
        <v>6</v>
      </c>
      <c r="CO838" t="s">
        <v>105</v>
      </c>
      <c r="CP838">
        <v>46112</v>
      </c>
      <c r="CQ838">
        <v>1</v>
      </c>
      <c r="CR838">
        <v>1</v>
      </c>
      <c r="CS838">
        <v>1</v>
      </c>
      <c r="CV838">
        <v>8.2291666666666659E-3</v>
      </c>
      <c r="CW838">
        <v>8.2291666666666659E-3</v>
      </c>
      <c r="CX838">
        <v>0.18739583333333334</v>
      </c>
      <c r="CY838">
        <v>0.18815972222222221</v>
      </c>
      <c r="CZ838">
        <v>29</v>
      </c>
      <c r="DA838">
        <v>58</v>
      </c>
      <c r="DB838">
        <v>11</v>
      </c>
      <c r="DC838" t="s">
        <v>673</v>
      </c>
      <c r="DD838">
        <v>16276</v>
      </c>
      <c r="DE838">
        <v>0.37930000000000003</v>
      </c>
      <c r="DF838">
        <v>2</v>
      </c>
      <c r="DG838">
        <v>0.18179999999999999</v>
      </c>
      <c r="DH838">
        <v>5000</v>
      </c>
      <c r="DI838">
        <v>2500</v>
      </c>
      <c r="DJ838">
        <v>1000</v>
      </c>
      <c r="DK838">
        <v>0.2</v>
      </c>
      <c r="DL838">
        <v>2.23E-2</v>
      </c>
      <c r="DM838">
        <v>64</v>
      </c>
      <c r="DN838">
        <v>1000</v>
      </c>
    </row>
    <row r="839" spans="91:118" x14ac:dyDescent="0.25">
      <c r="CM839" t="s">
        <v>636</v>
      </c>
      <c r="CN839" t="s">
        <v>6</v>
      </c>
      <c r="CO839" t="s">
        <v>11</v>
      </c>
      <c r="CP839">
        <v>46084</v>
      </c>
      <c r="CQ839">
        <v>1</v>
      </c>
      <c r="CR839">
        <v>1</v>
      </c>
      <c r="CT839">
        <v>1</v>
      </c>
      <c r="CV839">
        <v>1.273148148148148E-4</v>
      </c>
      <c r="CW839">
        <v>1.273148148148148E-4</v>
      </c>
      <c r="CX839">
        <v>0.28987268518518516</v>
      </c>
      <c r="CY839">
        <v>9.2592592592592587E-2</v>
      </c>
      <c r="CZ839">
        <v>136</v>
      </c>
      <c r="DA839">
        <v>265</v>
      </c>
      <c r="DB839">
        <v>36</v>
      </c>
      <c r="DC839" t="s">
        <v>1003</v>
      </c>
      <c r="DD839">
        <v>11486</v>
      </c>
      <c r="DE839">
        <v>0.26469999999999999</v>
      </c>
      <c r="DF839">
        <v>2</v>
      </c>
      <c r="DG839">
        <v>5.5599999999999997E-2</v>
      </c>
      <c r="DH839">
        <v>500</v>
      </c>
      <c r="DI839">
        <v>250</v>
      </c>
      <c r="DJ839">
        <v>150</v>
      </c>
      <c r="DK839">
        <v>0.3</v>
      </c>
      <c r="DL839">
        <v>0.74150000000000005</v>
      </c>
      <c r="DM839">
        <v>64</v>
      </c>
      <c r="DN839">
        <v>150</v>
      </c>
    </row>
    <row r="840" spans="91:118" x14ac:dyDescent="0.25">
      <c r="CM840" t="s">
        <v>636</v>
      </c>
      <c r="CN840" t="s">
        <v>6</v>
      </c>
      <c r="CO840" t="s">
        <v>11</v>
      </c>
      <c r="CP840">
        <v>46098</v>
      </c>
      <c r="CQ840">
        <v>1</v>
      </c>
      <c r="CR840">
        <v>1</v>
      </c>
      <c r="CS840">
        <v>1</v>
      </c>
      <c r="CV840">
        <v>1.4583333333333334E-2</v>
      </c>
      <c r="CW840">
        <v>1.4583333333333334E-2</v>
      </c>
      <c r="CX840">
        <v>0.19241898148148148</v>
      </c>
      <c r="CY840">
        <v>0.1590162037037037</v>
      </c>
      <c r="CZ840">
        <v>121</v>
      </c>
      <c r="DA840">
        <v>217</v>
      </c>
      <c r="DB840">
        <v>37</v>
      </c>
      <c r="DC840" t="s">
        <v>940</v>
      </c>
      <c r="DD840">
        <v>21358</v>
      </c>
      <c r="DE840">
        <v>0.30580000000000002</v>
      </c>
      <c r="DF840">
        <v>1</v>
      </c>
      <c r="DG840">
        <v>2.7E-2</v>
      </c>
      <c r="DH840">
        <v>700</v>
      </c>
      <c r="DI840">
        <v>700</v>
      </c>
      <c r="DJ840">
        <v>700</v>
      </c>
      <c r="DK840">
        <v>1</v>
      </c>
      <c r="DL840">
        <v>0.215</v>
      </c>
      <c r="DM840">
        <v>64</v>
      </c>
      <c r="DN840">
        <v>700</v>
      </c>
    </row>
    <row r="841" spans="91:118" x14ac:dyDescent="0.25">
      <c r="CM841" t="s">
        <v>636</v>
      </c>
      <c r="CN841" t="s">
        <v>6</v>
      </c>
      <c r="CO841" t="s">
        <v>11</v>
      </c>
      <c r="CP841">
        <v>46100</v>
      </c>
      <c r="CQ841">
        <v>1</v>
      </c>
      <c r="CR841">
        <v>1</v>
      </c>
      <c r="CT841">
        <v>1</v>
      </c>
      <c r="CV841">
        <v>6.9444444444444444E-5</v>
      </c>
      <c r="CW841">
        <v>6.9444444444444444E-5</v>
      </c>
      <c r="CX841">
        <v>0.18858796296296296</v>
      </c>
      <c r="CY841">
        <v>9.9687499999999998E-2</v>
      </c>
      <c r="CZ841">
        <v>150</v>
      </c>
      <c r="DA841">
        <v>247</v>
      </c>
      <c r="DB841">
        <v>24</v>
      </c>
      <c r="DC841" t="s">
        <v>781</v>
      </c>
      <c r="DD841">
        <v>24285</v>
      </c>
      <c r="DE841">
        <v>0.16</v>
      </c>
      <c r="DM841">
        <v>64</v>
      </c>
    </row>
    <row r="842" spans="91:118" x14ac:dyDescent="0.25">
      <c r="CM842" t="s">
        <v>636</v>
      </c>
      <c r="CN842" t="s">
        <v>6</v>
      </c>
      <c r="CO842" t="s">
        <v>34</v>
      </c>
      <c r="CP842">
        <v>46083</v>
      </c>
      <c r="CQ842">
        <v>1</v>
      </c>
      <c r="CR842">
        <v>1</v>
      </c>
      <c r="CT842">
        <v>1</v>
      </c>
      <c r="CV842">
        <v>3.472222222222222E-3</v>
      </c>
      <c r="CW842">
        <v>3.472222222222222E-3</v>
      </c>
      <c r="CX842">
        <v>0.20552083333333335</v>
      </c>
      <c r="CY842">
        <v>0.11717592592592592</v>
      </c>
      <c r="CZ842">
        <v>92</v>
      </c>
      <c r="DA842">
        <v>104</v>
      </c>
      <c r="DB842">
        <v>18</v>
      </c>
      <c r="DC842" t="s">
        <v>794</v>
      </c>
      <c r="DD842">
        <v>22502</v>
      </c>
      <c r="DE842">
        <v>0.19570000000000001</v>
      </c>
      <c r="DF842">
        <v>10</v>
      </c>
      <c r="DG842">
        <v>0.55559999999999998</v>
      </c>
      <c r="DH842">
        <v>20928</v>
      </c>
      <c r="DI842">
        <v>2093</v>
      </c>
      <c r="DJ842">
        <v>10178</v>
      </c>
      <c r="DK842">
        <v>0.48630000000000001</v>
      </c>
      <c r="DL842">
        <v>7.1199999999999999E-2</v>
      </c>
      <c r="DM842">
        <v>64</v>
      </c>
      <c r="DN842">
        <v>1696</v>
      </c>
    </row>
    <row r="843" spans="91:118" x14ac:dyDescent="0.25">
      <c r="CM843" t="s">
        <v>636</v>
      </c>
      <c r="CN843" t="s">
        <v>6</v>
      </c>
      <c r="CO843" t="s">
        <v>34</v>
      </c>
      <c r="CP843">
        <v>46084</v>
      </c>
      <c r="CQ843">
        <v>1</v>
      </c>
      <c r="CR843">
        <v>1</v>
      </c>
      <c r="CS843">
        <v>1</v>
      </c>
      <c r="CV843">
        <v>4.43287037037037E-3</v>
      </c>
      <c r="CW843">
        <v>4.43287037037037E-3</v>
      </c>
      <c r="CX843">
        <v>0.28401620370370373</v>
      </c>
      <c r="CY843">
        <v>0.12001157407407408</v>
      </c>
      <c r="CZ843">
        <v>146</v>
      </c>
      <c r="DA843">
        <v>176</v>
      </c>
      <c r="DB843">
        <v>8</v>
      </c>
      <c r="DC843">
        <v>2.375</v>
      </c>
      <c r="DD843">
        <v>20123</v>
      </c>
      <c r="DE843">
        <v>5.4800000000000001E-2</v>
      </c>
      <c r="DF843">
        <v>2</v>
      </c>
      <c r="DG843">
        <v>0.25</v>
      </c>
      <c r="DH843">
        <v>3450</v>
      </c>
      <c r="DI843">
        <v>1725</v>
      </c>
      <c r="DJ843">
        <v>950</v>
      </c>
      <c r="DK843">
        <v>0.27539999999999998</v>
      </c>
      <c r="DL843">
        <v>9.9400000000000002E-2</v>
      </c>
      <c r="DM843">
        <v>64</v>
      </c>
      <c r="DN843">
        <v>950</v>
      </c>
    </row>
    <row r="844" spans="91:118" x14ac:dyDescent="0.25">
      <c r="CM844" t="s">
        <v>636</v>
      </c>
      <c r="CN844" t="s">
        <v>6</v>
      </c>
      <c r="CO844" t="s">
        <v>34</v>
      </c>
      <c r="CP844">
        <v>46100</v>
      </c>
      <c r="CQ844">
        <v>1</v>
      </c>
      <c r="CR844">
        <v>1</v>
      </c>
      <c r="CT844">
        <v>1</v>
      </c>
      <c r="CV844">
        <v>4.6296296296296294E-5</v>
      </c>
      <c r="CW844">
        <v>4.6296296296296294E-5</v>
      </c>
      <c r="CX844">
        <v>0.15555555555555556</v>
      </c>
      <c r="CY844">
        <v>0.15497685185185187</v>
      </c>
      <c r="CZ844">
        <v>160</v>
      </c>
      <c r="DA844">
        <v>172</v>
      </c>
      <c r="DB844">
        <v>6</v>
      </c>
      <c r="DC844" t="s">
        <v>718</v>
      </c>
      <c r="DD844">
        <v>13336</v>
      </c>
      <c r="DE844">
        <v>3.7499999999999999E-2</v>
      </c>
      <c r="DM844">
        <v>64</v>
      </c>
    </row>
    <row r="845" spans="91:118" x14ac:dyDescent="0.25">
      <c r="CM845" t="s">
        <v>636</v>
      </c>
      <c r="CN845" t="s">
        <v>7</v>
      </c>
      <c r="CO845" t="s">
        <v>58</v>
      </c>
      <c r="CP845">
        <v>46111</v>
      </c>
      <c r="CQ845">
        <v>1</v>
      </c>
      <c r="CR845">
        <v>1</v>
      </c>
      <c r="CV845">
        <v>0</v>
      </c>
      <c r="CW845">
        <v>0</v>
      </c>
      <c r="CX845">
        <v>0</v>
      </c>
      <c r="CY845">
        <v>0</v>
      </c>
      <c r="DM845">
        <v>64</v>
      </c>
    </row>
    <row r="846" spans="91:118" x14ac:dyDescent="0.25">
      <c r="CM846" t="s">
        <v>636</v>
      </c>
      <c r="CN846" t="s">
        <v>7</v>
      </c>
      <c r="CO846" t="s">
        <v>41</v>
      </c>
      <c r="CP846">
        <v>46083</v>
      </c>
      <c r="CQ846">
        <v>1</v>
      </c>
      <c r="CR846">
        <v>1</v>
      </c>
      <c r="CT846">
        <v>1</v>
      </c>
      <c r="CV846">
        <v>1.3773148148148147E-3</v>
      </c>
      <c r="CW846">
        <v>1.3773148148148147E-3</v>
      </c>
      <c r="CX846">
        <v>0.21112268518518518</v>
      </c>
      <c r="CY846">
        <v>9.8958333333333329E-2</v>
      </c>
      <c r="CZ846">
        <v>60</v>
      </c>
      <c r="DA846">
        <v>123</v>
      </c>
      <c r="DB846">
        <v>16</v>
      </c>
      <c r="DC846">
        <v>1.5</v>
      </c>
      <c r="DD846">
        <v>8520</v>
      </c>
      <c r="DE846">
        <v>0.26669999999999999</v>
      </c>
      <c r="DF846">
        <v>2</v>
      </c>
      <c r="DG846">
        <v>0.125</v>
      </c>
      <c r="DH846">
        <v>2158</v>
      </c>
      <c r="DI846">
        <v>1079</v>
      </c>
      <c r="DM846">
        <v>64</v>
      </c>
    </row>
    <row r="847" spans="91:118" x14ac:dyDescent="0.25">
      <c r="CM847" t="s">
        <v>636</v>
      </c>
      <c r="CN847" t="s">
        <v>7</v>
      </c>
      <c r="CO847" t="s">
        <v>41</v>
      </c>
      <c r="CP847">
        <v>46098</v>
      </c>
      <c r="CQ847">
        <v>1</v>
      </c>
      <c r="CR847">
        <v>1</v>
      </c>
      <c r="CT847">
        <v>1</v>
      </c>
      <c r="CV847">
        <v>1.8518518518518518E-4</v>
      </c>
      <c r="CW847">
        <v>1.8518518518518518E-4</v>
      </c>
      <c r="CX847">
        <v>0.13918981481481482</v>
      </c>
      <c r="CY847">
        <v>0.17707175925925925</v>
      </c>
      <c r="CZ847">
        <v>54</v>
      </c>
      <c r="DA847">
        <v>137</v>
      </c>
      <c r="DB847">
        <v>21</v>
      </c>
      <c r="DC847" t="s">
        <v>850</v>
      </c>
      <c r="DD847">
        <v>11387</v>
      </c>
      <c r="DE847">
        <v>0.38890000000000002</v>
      </c>
      <c r="DM847">
        <v>64</v>
      </c>
    </row>
    <row r="848" spans="91:118" x14ac:dyDescent="0.25">
      <c r="CM848" t="s">
        <v>636</v>
      </c>
      <c r="CN848" t="s">
        <v>7</v>
      </c>
      <c r="CO848" t="s">
        <v>41</v>
      </c>
      <c r="CP848">
        <v>46107</v>
      </c>
      <c r="CQ848">
        <v>1</v>
      </c>
      <c r="CR848">
        <v>1</v>
      </c>
      <c r="CT848">
        <v>1</v>
      </c>
      <c r="CV848">
        <v>8.564814814814815E-4</v>
      </c>
      <c r="CW848">
        <v>8.564814814814815E-4</v>
      </c>
      <c r="CX848">
        <v>0.15406249999999999</v>
      </c>
      <c r="CY848">
        <v>0.17659722222222221</v>
      </c>
      <c r="CZ848">
        <v>71</v>
      </c>
      <c r="DA848">
        <v>137</v>
      </c>
      <c r="DB848">
        <v>13</v>
      </c>
      <c r="DC848" t="s">
        <v>711</v>
      </c>
      <c r="DD848">
        <v>18546</v>
      </c>
      <c r="DE848">
        <v>0.18310000000000001</v>
      </c>
      <c r="DM848">
        <v>64</v>
      </c>
    </row>
    <row r="849" spans="91:118" x14ac:dyDescent="0.25">
      <c r="CM849" t="s">
        <v>636</v>
      </c>
      <c r="CN849" t="s">
        <v>7</v>
      </c>
      <c r="CO849" t="s">
        <v>495</v>
      </c>
      <c r="CP849">
        <v>46111</v>
      </c>
      <c r="CQ849">
        <v>1</v>
      </c>
      <c r="CR849">
        <v>1</v>
      </c>
      <c r="CS849">
        <v>1</v>
      </c>
      <c r="CV849">
        <v>5.5092592592592589E-3</v>
      </c>
      <c r="CW849">
        <v>5.5092592592592589E-3</v>
      </c>
      <c r="CX849">
        <v>0.19552083333333334</v>
      </c>
      <c r="CY849">
        <v>0.19090277777777778</v>
      </c>
      <c r="CZ849">
        <v>224</v>
      </c>
      <c r="DA849">
        <v>411</v>
      </c>
      <c r="DB849">
        <v>38</v>
      </c>
      <c r="DC849" t="s">
        <v>1069</v>
      </c>
      <c r="DD849">
        <v>12911</v>
      </c>
      <c r="DE849">
        <v>0.1696</v>
      </c>
      <c r="DM849">
        <v>64</v>
      </c>
    </row>
    <row r="850" spans="91:118" x14ac:dyDescent="0.25">
      <c r="CM850" t="s">
        <v>636</v>
      </c>
      <c r="CN850" t="s">
        <v>7</v>
      </c>
      <c r="CO850" t="s">
        <v>49</v>
      </c>
      <c r="CP850">
        <v>46098</v>
      </c>
      <c r="CQ850">
        <v>1</v>
      </c>
      <c r="CR850">
        <v>1</v>
      </c>
      <c r="CT850">
        <v>1</v>
      </c>
      <c r="CV850">
        <v>0</v>
      </c>
      <c r="CW850">
        <v>0</v>
      </c>
      <c r="CX850">
        <v>0.21550925925925926</v>
      </c>
      <c r="CY850">
        <v>0.12908564814814816</v>
      </c>
      <c r="CZ850">
        <v>48</v>
      </c>
      <c r="DA850">
        <v>98</v>
      </c>
      <c r="DB850">
        <v>15</v>
      </c>
      <c r="DC850" t="s">
        <v>742</v>
      </c>
      <c r="DD850">
        <v>30458</v>
      </c>
      <c r="DE850">
        <v>0.3125</v>
      </c>
      <c r="DM850">
        <v>64</v>
      </c>
    </row>
    <row r="851" spans="91:118" x14ac:dyDescent="0.25">
      <c r="CM851" t="s">
        <v>636</v>
      </c>
      <c r="CN851" t="s">
        <v>7</v>
      </c>
      <c r="CO851" t="s">
        <v>565</v>
      </c>
      <c r="CP851">
        <v>46090</v>
      </c>
      <c r="CQ851">
        <v>1</v>
      </c>
      <c r="CR851">
        <v>1</v>
      </c>
      <c r="CT851">
        <v>1</v>
      </c>
      <c r="CV851">
        <v>1.6203703703703703E-4</v>
      </c>
      <c r="CW851">
        <v>1.6203703703703703E-4</v>
      </c>
      <c r="CX851">
        <v>0.20715277777777777</v>
      </c>
      <c r="CY851">
        <v>0.10075231481481481</v>
      </c>
      <c r="CZ851">
        <v>69</v>
      </c>
      <c r="DA851">
        <v>124</v>
      </c>
      <c r="DB851">
        <v>26</v>
      </c>
      <c r="DC851" t="s">
        <v>733</v>
      </c>
      <c r="DD851">
        <v>11684</v>
      </c>
      <c r="DE851">
        <v>0.37680000000000002</v>
      </c>
      <c r="DM851">
        <v>64</v>
      </c>
    </row>
    <row r="852" spans="91:118" x14ac:dyDescent="0.25">
      <c r="CM852" t="s">
        <v>636</v>
      </c>
      <c r="CN852" t="s">
        <v>7</v>
      </c>
      <c r="CO852" t="s">
        <v>549</v>
      </c>
      <c r="CP852">
        <v>46090</v>
      </c>
      <c r="CQ852">
        <v>1</v>
      </c>
      <c r="CR852">
        <v>1</v>
      </c>
      <c r="CT852">
        <v>1</v>
      </c>
      <c r="CV852">
        <v>0</v>
      </c>
      <c r="CW852">
        <v>0</v>
      </c>
      <c r="CX852">
        <v>0.26658564814814817</v>
      </c>
      <c r="CY852">
        <v>6.2314814814814816E-2</v>
      </c>
      <c r="CZ852">
        <v>206</v>
      </c>
      <c r="DA852">
        <v>301</v>
      </c>
      <c r="DB852">
        <v>36</v>
      </c>
      <c r="DC852" t="s">
        <v>946</v>
      </c>
      <c r="DD852">
        <v>3991</v>
      </c>
      <c r="DE852">
        <v>0.17480000000000001</v>
      </c>
      <c r="DM852">
        <v>64</v>
      </c>
    </row>
    <row r="853" spans="91:118" x14ac:dyDescent="0.25">
      <c r="CM853" t="s">
        <v>636</v>
      </c>
      <c r="CN853" t="s">
        <v>7</v>
      </c>
      <c r="CO853" t="s">
        <v>77</v>
      </c>
      <c r="CP853">
        <v>46108</v>
      </c>
      <c r="CQ853">
        <v>1</v>
      </c>
      <c r="CR853">
        <v>1</v>
      </c>
      <c r="CT853">
        <v>1</v>
      </c>
      <c r="CV853">
        <v>0</v>
      </c>
      <c r="CW853">
        <v>0</v>
      </c>
      <c r="CX853">
        <v>0.19627314814814814</v>
      </c>
      <c r="CY853">
        <v>0.17832175925925925</v>
      </c>
      <c r="CZ853">
        <v>69</v>
      </c>
      <c r="DA853">
        <v>124</v>
      </c>
      <c r="DB853">
        <v>19</v>
      </c>
      <c r="DC853" t="s">
        <v>725</v>
      </c>
      <c r="DD853">
        <v>28719</v>
      </c>
      <c r="DE853">
        <v>0.27539999999999998</v>
      </c>
      <c r="DM853">
        <v>64</v>
      </c>
    </row>
    <row r="854" spans="91:118" x14ac:dyDescent="0.25">
      <c r="CM854" t="s">
        <v>636</v>
      </c>
      <c r="CN854" t="s">
        <v>7</v>
      </c>
      <c r="CO854" t="s">
        <v>77</v>
      </c>
      <c r="CP854">
        <v>46111</v>
      </c>
      <c r="CQ854">
        <v>1</v>
      </c>
      <c r="CR854">
        <v>1</v>
      </c>
      <c r="CV854">
        <v>4.1087962962962962E-3</v>
      </c>
      <c r="CW854">
        <v>4.1087962962962962E-3</v>
      </c>
      <c r="CX854">
        <v>0.2008912037037037</v>
      </c>
      <c r="CY854">
        <v>0.17158564814814814</v>
      </c>
      <c r="CZ854">
        <v>96</v>
      </c>
      <c r="DA854">
        <v>181</v>
      </c>
      <c r="DB854">
        <v>32</v>
      </c>
      <c r="DC854">
        <v>1.78125</v>
      </c>
      <c r="DD854">
        <v>29354</v>
      </c>
      <c r="DE854">
        <v>0.33329999999999999</v>
      </c>
      <c r="DM854">
        <v>64</v>
      </c>
    </row>
    <row r="855" spans="91:118" x14ac:dyDescent="0.25">
      <c r="CM855" t="s">
        <v>636</v>
      </c>
      <c r="CN855" t="s">
        <v>7</v>
      </c>
      <c r="CO855" t="s">
        <v>557</v>
      </c>
      <c r="CP855">
        <v>46087</v>
      </c>
      <c r="CQ855">
        <v>1</v>
      </c>
      <c r="CR855">
        <v>1</v>
      </c>
      <c r="CT855">
        <v>1</v>
      </c>
      <c r="CV855">
        <v>2.3148148148148147E-5</v>
      </c>
      <c r="CW855">
        <v>2.3148148148148147E-5</v>
      </c>
      <c r="CX855">
        <v>0.22019675925925927</v>
      </c>
      <c r="CY855">
        <v>0.12377314814814815</v>
      </c>
      <c r="CZ855">
        <v>86</v>
      </c>
      <c r="DA855">
        <v>166</v>
      </c>
      <c r="DB855">
        <v>41</v>
      </c>
      <c r="DC855" t="s">
        <v>1070</v>
      </c>
      <c r="DD855">
        <v>6852</v>
      </c>
      <c r="DE855">
        <v>0.47670000000000001</v>
      </c>
      <c r="DF855">
        <v>3</v>
      </c>
      <c r="DG855">
        <v>7.3200000000000001E-2</v>
      </c>
      <c r="DH855">
        <v>1034</v>
      </c>
      <c r="DI855">
        <v>345</v>
      </c>
      <c r="DJ855">
        <v>326</v>
      </c>
      <c r="DK855">
        <v>0.31530000000000002</v>
      </c>
      <c r="DL855">
        <v>0.12970000000000001</v>
      </c>
      <c r="DM855">
        <v>64</v>
      </c>
      <c r="DN855">
        <v>163</v>
      </c>
    </row>
    <row r="856" spans="91:118" x14ac:dyDescent="0.25">
      <c r="CM856" t="s">
        <v>636</v>
      </c>
      <c r="CN856" t="s">
        <v>7</v>
      </c>
      <c r="CO856" t="s">
        <v>557</v>
      </c>
      <c r="CP856">
        <v>46090</v>
      </c>
      <c r="CQ856">
        <v>1</v>
      </c>
      <c r="CR856">
        <v>1</v>
      </c>
      <c r="CT856">
        <v>1</v>
      </c>
      <c r="CV856">
        <v>3.4722222222222222E-5</v>
      </c>
      <c r="CW856">
        <v>3.4722222222222222E-5</v>
      </c>
      <c r="CX856">
        <v>0.23042824074074075</v>
      </c>
      <c r="CY856">
        <v>8.9108796296296297E-2</v>
      </c>
      <c r="CZ856">
        <v>118</v>
      </c>
      <c r="DA856">
        <v>233</v>
      </c>
      <c r="DB856">
        <v>33</v>
      </c>
      <c r="DC856" t="s">
        <v>973</v>
      </c>
      <c r="DD856">
        <v>6525</v>
      </c>
      <c r="DE856">
        <v>0.2797</v>
      </c>
      <c r="DM856">
        <v>64</v>
      </c>
    </row>
    <row r="857" spans="91:118" x14ac:dyDescent="0.25">
      <c r="CM857" t="s">
        <v>636</v>
      </c>
      <c r="CN857" t="s">
        <v>7</v>
      </c>
      <c r="CO857" t="s">
        <v>557</v>
      </c>
      <c r="CP857">
        <v>46098</v>
      </c>
      <c r="CQ857">
        <v>1</v>
      </c>
      <c r="CR857">
        <v>1</v>
      </c>
      <c r="CT857">
        <v>1</v>
      </c>
      <c r="CV857">
        <v>0</v>
      </c>
      <c r="CW857">
        <v>0</v>
      </c>
      <c r="CX857">
        <v>0.18648148148148147</v>
      </c>
      <c r="CY857">
        <v>0.14475694444444445</v>
      </c>
      <c r="CZ857">
        <v>114</v>
      </c>
      <c r="DA857">
        <v>208</v>
      </c>
      <c r="DB857">
        <v>44</v>
      </c>
      <c r="DC857" t="s">
        <v>1071</v>
      </c>
      <c r="DD857">
        <v>11800</v>
      </c>
      <c r="DE857">
        <v>0.38600000000000001</v>
      </c>
      <c r="DF857">
        <v>1</v>
      </c>
      <c r="DG857">
        <v>2.2700000000000001E-2</v>
      </c>
      <c r="DH857">
        <v>291</v>
      </c>
      <c r="DI857">
        <v>291</v>
      </c>
      <c r="DM857">
        <v>64</v>
      </c>
    </row>
    <row r="858" spans="91:118" x14ac:dyDescent="0.25">
      <c r="CM858" t="s">
        <v>636</v>
      </c>
      <c r="CN858" t="s">
        <v>7</v>
      </c>
      <c r="CO858" t="s">
        <v>557</v>
      </c>
      <c r="CP858">
        <v>46107</v>
      </c>
      <c r="CQ858">
        <v>1</v>
      </c>
      <c r="CR858">
        <v>1</v>
      </c>
      <c r="CT858">
        <v>1</v>
      </c>
      <c r="CV858">
        <v>0</v>
      </c>
      <c r="CW858">
        <v>0</v>
      </c>
      <c r="CX858">
        <v>0.17906250000000001</v>
      </c>
      <c r="CY858">
        <v>0.15140046296296297</v>
      </c>
      <c r="CZ858">
        <v>84</v>
      </c>
      <c r="DA858">
        <v>144</v>
      </c>
      <c r="DB858">
        <v>22</v>
      </c>
      <c r="DC858" t="s">
        <v>698</v>
      </c>
      <c r="DD858">
        <v>35570</v>
      </c>
      <c r="DE858">
        <v>0.26190000000000002</v>
      </c>
      <c r="DM858">
        <v>64</v>
      </c>
    </row>
    <row r="859" spans="91:118" x14ac:dyDescent="0.25">
      <c r="CM859" t="s">
        <v>636</v>
      </c>
      <c r="CN859" t="s">
        <v>7</v>
      </c>
      <c r="CO859" t="s">
        <v>557</v>
      </c>
      <c r="CP859">
        <v>46108</v>
      </c>
      <c r="CQ859">
        <v>1</v>
      </c>
      <c r="CR859">
        <v>1</v>
      </c>
      <c r="CT859">
        <v>1</v>
      </c>
      <c r="CV859">
        <v>1.0416666666666667E-4</v>
      </c>
      <c r="CW859">
        <v>1.0416666666666667E-4</v>
      </c>
      <c r="CX859">
        <v>0.20688657407407407</v>
      </c>
      <c r="CY859">
        <v>0.145625</v>
      </c>
      <c r="CZ859">
        <v>118</v>
      </c>
      <c r="DA859">
        <v>222</v>
      </c>
      <c r="DB859">
        <v>22</v>
      </c>
      <c r="DC859">
        <v>1.5</v>
      </c>
      <c r="DD859">
        <v>14096</v>
      </c>
      <c r="DE859">
        <v>0.18640000000000001</v>
      </c>
      <c r="DM859">
        <v>64</v>
      </c>
    </row>
    <row r="860" spans="91:118" x14ac:dyDescent="0.25">
      <c r="CM860" t="s">
        <v>636</v>
      </c>
      <c r="CN860" t="s">
        <v>7</v>
      </c>
      <c r="CO860" t="s">
        <v>48</v>
      </c>
      <c r="CP860">
        <v>46092</v>
      </c>
      <c r="CQ860">
        <v>1</v>
      </c>
      <c r="CR860">
        <v>1</v>
      </c>
      <c r="CT860">
        <v>1</v>
      </c>
      <c r="CV860">
        <v>4.6296296296296294E-5</v>
      </c>
      <c r="CW860">
        <v>4.6296296296296294E-5</v>
      </c>
      <c r="CX860">
        <v>0.2502199074074074</v>
      </c>
      <c r="CY860">
        <v>0.10299768518518519</v>
      </c>
      <c r="CZ860">
        <v>75</v>
      </c>
      <c r="DA860">
        <v>99</v>
      </c>
      <c r="DB860">
        <v>15</v>
      </c>
      <c r="DC860" t="s">
        <v>898</v>
      </c>
      <c r="DD860">
        <v>22946</v>
      </c>
      <c r="DE860">
        <v>0.2</v>
      </c>
      <c r="DF860">
        <v>1</v>
      </c>
      <c r="DG860">
        <v>6.6699999999999995E-2</v>
      </c>
      <c r="DH860">
        <v>275</v>
      </c>
      <c r="DI860">
        <v>275</v>
      </c>
      <c r="DM860">
        <v>64</v>
      </c>
    </row>
    <row r="861" spans="91:118" x14ac:dyDescent="0.25">
      <c r="CM861" t="s">
        <v>636</v>
      </c>
      <c r="CN861" t="s">
        <v>7</v>
      </c>
      <c r="CO861" t="s">
        <v>48</v>
      </c>
      <c r="CP861">
        <v>46098</v>
      </c>
      <c r="CQ861">
        <v>1</v>
      </c>
      <c r="CR861">
        <v>1</v>
      </c>
      <c r="CT861">
        <v>1</v>
      </c>
      <c r="CV861">
        <v>0</v>
      </c>
      <c r="CW861">
        <v>0</v>
      </c>
      <c r="CX861">
        <v>0.20993055555555556</v>
      </c>
      <c r="CY861">
        <v>0.14353009259259258</v>
      </c>
      <c r="CZ861">
        <v>80</v>
      </c>
      <c r="DA861">
        <v>123</v>
      </c>
      <c r="DB861">
        <v>21</v>
      </c>
      <c r="DC861" t="s">
        <v>803</v>
      </c>
      <c r="DD861">
        <v>27234</v>
      </c>
      <c r="DE861">
        <v>0.26250000000000001</v>
      </c>
      <c r="DM861">
        <v>64</v>
      </c>
    </row>
    <row r="862" spans="91:118" x14ac:dyDescent="0.25">
      <c r="CM862" t="s">
        <v>636</v>
      </c>
      <c r="CN862" t="s">
        <v>3</v>
      </c>
      <c r="CO862" t="s">
        <v>493</v>
      </c>
      <c r="CP862">
        <v>46106</v>
      </c>
      <c r="CQ862">
        <v>1</v>
      </c>
      <c r="CR862">
        <v>1</v>
      </c>
      <c r="CT862">
        <v>1</v>
      </c>
      <c r="CV862">
        <v>3.1250000000000001E-4</v>
      </c>
      <c r="CW862">
        <v>3.1250000000000001E-4</v>
      </c>
      <c r="CX862">
        <v>0.21</v>
      </c>
      <c r="CY862">
        <v>0.12260416666666667</v>
      </c>
      <c r="CZ862">
        <v>120</v>
      </c>
      <c r="DA862">
        <v>197</v>
      </c>
      <c r="DB862">
        <v>28</v>
      </c>
      <c r="DC862" t="s">
        <v>679</v>
      </c>
      <c r="DD862">
        <v>36748</v>
      </c>
      <c r="DE862">
        <v>0.23330000000000001</v>
      </c>
      <c r="DF862">
        <v>3</v>
      </c>
      <c r="DG862">
        <v>0.1071</v>
      </c>
      <c r="DH862">
        <v>1360</v>
      </c>
      <c r="DI862">
        <v>453</v>
      </c>
      <c r="DJ862">
        <v>900</v>
      </c>
      <c r="DK862">
        <v>0.66180000000000005</v>
      </c>
      <c r="DL862">
        <v>0.37640000000000001</v>
      </c>
      <c r="DM862">
        <v>64</v>
      </c>
      <c r="DN862">
        <v>450</v>
      </c>
    </row>
    <row r="863" spans="91:118" x14ac:dyDescent="0.25">
      <c r="CM863" t="s">
        <v>636</v>
      </c>
      <c r="CN863" t="s">
        <v>3</v>
      </c>
      <c r="CO863" t="s">
        <v>32</v>
      </c>
      <c r="CP863">
        <v>46086</v>
      </c>
      <c r="CQ863">
        <v>1</v>
      </c>
      <c r="CR863">
        <v>1</v>
      </c>
      <c r="CT863">
        <v>1</v>
      </c>
      <c r="CV863">
        <v>1.9675925925925926E-4</v>
      </c>
      <c r="CW863">
        <v>1.9675925925925926E-4</v>
      </c>
      <c r="CX863">
        <v>0.3147800925925926</v>
      </c>
      <c r="CY863">
        <v>9.8645833333333335E-2</v>
      </c>
      <c r="CZ863">
        <v>116</v>
      </c>
      <c r="DA863">
        <v>229</v>
      </c>
      <c r="DB863">
        <v>25</v>
      </c>
      <c r="DC863">
        <v>1.76</v>
      </c>
      <c r="DD863">
        <v>20053</v>
      </c>
      <c r="DE863">
        <v>0.2155</v>
      </c>
      <c r="DF863">
        <v>1</v>
      </c>
      <c r="DG863">
        <v>0.04</v>
      </c>
      <c r="DH863">
        <v>412</v>
      </c>
      <c r="DI863">
        <v>412</v>
      </c>
      <c r="DJ863">
        <v>412</v>
      </c>
      <c r="DK863">
        <v>1</v>
      </c>
      <c r="DM863">
        <v>64</v>
      </c>
      <c r="DN863">
        <v>412</v>
      </c>
    </row>
    <row r="864" spans="91:118" x14ac:dyDescent="0.25">
      <c r="CM864" t="s">
        <v>636</v>
      </c>
      <c r="CN864" t="s">
        <v>3</v>
      </c>
      <c r="CO864" t="s">
        <v>79</v>
      </c>
      <c r="CP864">
        <v>46091</v>
      </c>
      <c r="CQ864">
        <v>1</v>
      </c>
      <c r="CR864">
        <v>1</v>
      </c>
      <c r="CT864">
        <v>1</v>
      </c>
      <c r="CV864">
        <v>4.3981481481481481E-4</v>
      </c>
      <c r="CW864">
        <v>4.3981481481481481E-4</v>
      </c>
      <c r="CX864">
        <v>0.22192129629629628</v>
      </c>
      <c r="CY864">
        <v>9.0624999999999997E-2</v>
      </c>
      <c r="CZ864">
        <v>75</v>
      </c>
      <c r="DA864">
        <v>154</v>
      </c>
      <c r="DB864">
        <v>28</v>
      </c>
      <c r="DC864" t="s">
        <v>896</v>
      </c>
      <c r="DD864">
        <v>35713</v>
      </c>
      <c r="DE864">
        <v>0.37330000000000002</v>
      </c>
      <c r="DF864">
        <v>1</v>
      </c>
      <c r="DG864">
        <v>3.5700000000000003E-2</v>
      </c>
      <c r="DH864">
        <v>500</v>
      </c>
      <c r="DI864">
        <v>500</v>
      </c>
      <c r="DM864">
        <v>64</v>
      </c>
    </row>
    <row r="865" spans="91:118" x14ac:dyDescent="0.25">
      <c r="CM865" t="s">
        <v>636</v>
      </c>
      <c r="CN865" t="s">
        <v>3</v>
      </c>
      <c r="CO865" t="s">
        <v>79</v>
      </c>
      <c r="CP865">
        <v>46112</v>
      </c>
      <c r="CQ865">
        <v>1</v>
      </c>
      <c r="CR865">
        <v>1</v>
      </c>
      <c r="CS865">
        <v>1</v>
      </c>
      <c r="CV865">
        <v>8.4039351851851851E-2</v>
      </c>
      <c r="CW865">
        <v>8.4039351851851851E-2</v>
      </c>
      <c r="CX865">
        <v>8.9432870370370371E-2</v>
      </c>
      <c r="CY865">
        <v>0.14585648148148148</v>
      </c>
      <c r="CZ865">
        <v>44</v>
      </c>
      <c r="DA865">
        <v>109</v>
      </c>
      <c r="DB865">
        <v>19</v>
      </c>
      <c r="DC865" t="s">
        <v>836</v>
      </c>
      <c r="DD865">
        <v>36553</v>
      </c>
      <c r="DE865">
        <v>0.43180000000000002</v>
      </c>
      <c r="DF865">
        <v>2</v>
      </c>
      <c r="DG865">
        <v>0.1053</v>
      </c>
      <c r="DH865">
        <v>850</v>
      </c>
      <c r="DI865">
        <v>425</v>
      </c>
      <c r="DJ865">
        <v>500</v>
      </c>
      <c r="DK865">
        <v>0.58819999999999995</v>
      </c>
      <c r="DL865">
        <v>0.63859999999999995</v>
      </c>
      <c r="DM865">
        <v>64</v>
      </c>
      <c r="DN865">
        <v>500</v>
      </c>
    </row>
    <row r="866" spans="91:118" x14ac:dyDescent="0.25">
      <c r="CM866" t="s">
        <v>636</v>
      </c>
      <c r="CN866" t="s">
        <v>3</v>
      </c>
      <c r="CO866" t="s">
        <v>78</v>
      </c>
      <c r="CP866">
        <v>46100</v>
      </c>
      <c r="CQ866">
        <v>1</v>
      </c>
      <c r="CR866">
        <v>1</v>
      </c>
      <c r="CS866">
        <v>1</v>
      </c>
      <c r="CV866">
        <v>9.1388888888888895E-2</v>
      </c>
      <c r="CW866">
        <v>9.1388888888888895E-2</v>
      </c>
      <c r="CX866">
        <v>0.16460648148148149</v>
      </c>
      <c r="CY866">
        <v>0.10326388888888889</v>
      </c>
      <c r="CZ866">
        <v>50</v>
      </c>
      <c r="DA866">
        <v>87</v>
      </c>
      <c r="DB866">
        <v>18</v>
      </c>
      <c r="DC866" t="s">
        <v>697</v>
      </c>
      <c r="DD866">
        <v>14314</v>
      </c>
      <c r="DE866">
        <v>0.36</v>
      </c>
      <c r="DF866">
        <v>3</v>
      </c>
      <c r="DG866">
        <v>0.16669999999999999</v>
      </c>
      <c r="DH866">
        <v>10760</v>
      </c>
      <c r="DI866">
        <v>3587</v>
      </c>
      <c r="DJ866">
        <v>2000</v>
      </c>
      <c r="DK866">
        <v>0.18590000000000001</v>
      </c>
      <c r="DM866">
        <v>64</v>
      </c>
      <c r="DN866">
        <v>1000</v>
      </c>
    </row>
    <row r="867" spans="91:118" x14ac:dyDescent="0.25">
      <c r="CM867" t="s">
        <v>636</v>
      </c>
      <c r="CN867" t="s">
        <v>125</v>
      </c>
      <c r="CO867" t="s">
        <v>18</v>
      </c>
      <c r="CP867">
        <v>46084</v>
      </c>
      <c r="CQ867">
        <v>1</v>
      </c>
      <c r="CR867">
        <v>1</v>
      </c>
      <c r="CU867">
        <v>1</v>
      </c>
      <c r="CV867">
        <v>0</v>
      </c>
      <c r="CW867">
        <v>0</v>
      </c>
      <c r="CX867">
        <v>0</v>
      </c>
      <c r="CY867">
        <v>0</v>
      </c>
      <c r="DM867">
        <v>62</v>
      </c>
    </row>
    <row r="868" spans="91:118" x14ac:dyDescent="0.25">
      <c r="CM868" t="s">
        <v>636</v>
      </c>
      <c r="CN868" t="s">
        <v>125</v>
      </c>
      <c r="CO868" t="s">
        <v>85</v>
      </c>
      <c r="CP868">
        <v>46084</v>
      </c>
      <c r="CQ868">
        <v>1</v>
      </c>
      <c r="CR868">
        <v>1</v>
      </c>
      <c r="CV868">
        <v>0</v>
      </c>
      <c r="CW868">
        <v>0</v>
      </c>
      <c r="CX868">
        <v>0.2694097222222222</v>
      </c>
      <c r="CY868">
        <v>1.0266203703703704E-2</v>
      </c>
      <c r="CZ868">
        <v>72</v>
      </c>
      <c r="DA868">
        <v>142</v>
      </c>
      <c r="DB868">
        <v>17</v>
      </c>
      <c r="DC868" t="s">
        <v>804</v>
      </c>
      <c r="DD868">
        <v>23751</v>
      </c>
      <c r="DE868">
        <v>0.2361</v>
      </c>
      <c r="DM868">
        <v>62</v>
      </c>
    </row>
    <row r="869" spans="91:118" x14ac:dyDescent="0.25">
      <c r="CM869" t="s">
        <v>636</v>
      </c>
      <c r="CN869" t="s">
        <v>125</v>
      </c>
      <c r="CO869" t="s">
        <v>10</v>
      </c>
      <c r="CP869">
        <v>46084</v>
      </c>
      <c r="CQ869">
        <v>1</v>
      </c>
      <c r="CR869">
        <v>1</v>
      </c>
      <c r="CV869">
        <v>0</v>
      </c>
      <c r="CW869">
        <v>0</v>
      </c>
      <c r="CX869">
        <v>0</v>
      </c>
      <c r="CY869">
        <v>0</v>
      </c>
      <c r="DM869">
        <v>62</v>
      </c>
    </row>
    <row r="870" spans="91:118" x14ac:dyDescent="0.25">
      <c r="CM870" t="s">
        <v>636</v>
      </c>
      <c r="CN870" t="s">
        <v>2</v>
      </c>
      <c r="CO870" t="s">
        <v>15</v>
      </c>
      <c r="CP870">
        <v>46093</v>
      </c>
      <c r="CQ870">
        <v>1</v>
      </c>
      <c r="CR870">
        <v>1</v>
      </c>
      <c r="CS870">
        <v>1</v>
      </c>
      <c r="CV870">
        <v>2.5069444444444443E-2</v>
      </c>
      <c r="CW870">
        <v>2.5069444444444443E-2</v>
      </c>
      <c r="CX870">
        <v>0.21892361111111111</v>
      </c>
      <c r="CY870">
        <v>9.4421296296296295E-2</v>
      </c>
      <c r="CZ870">
        <v>123</v>
      </c>
      <c r="DA870">
        <v>150</v>
      </c>
      <c r="DB870">
        <v>15</v>
      </c>
      <c r="DC870" t="s">
        <v>674</v>
      </c>
      <c r="DD870">
        <v>18809</v>
      </c>
      <c r="DE870">
        <v>0.122</v>
      </c>
      <c r="DM870">
        <v>62</v>
      </c>
    </row>
    <row r="871" spans="91:118" x14ac:dyDescent="0.25">
      <c r="CM871" t="s">
        <v>636</v>
      </c>
      <c r="CN871" t="s">
        <v>2</v>
      </c>
      <c r="CO871" t="s">
        <v>377</v>
      </c>
      <c r="CP871">
        <v>46086</v>
      </c>
      <c r="CQ871">
        <v>1</v>
      </c>
      <c r="CR871">
        <v>1</v>
      </c>
      <c r="CS871">
        <v>1</v>
      </c>
      <c r="CV871">
        <v>4.3055555555555555E-3</v>
      </c>
      <c r="CW871">
        <v>4.3055555555555555E-3</v>
      </c>
      <c r="CX871">
        <v>0.26442129629629629</v>
      </c>
      <c r="CY871">
        <v>0.15244212962962964</v>
      </c>
      <c r="CZ871">
        <v>95</v>
      </c>
      <c r="DA871">
        <v>169</v>
      </c>
      <c r="DB871">
        <v>22</v>
      </c>
      <c r="DC871" t="s">
        <v>717</v>
      </c>
      <c r="DD871">
        <v>23425</v>
      </c>
      <c r="DE871">
        <v>0.2316</v>
      </c>
      <c r="DF871">
        <v>1</v>
      </c>
      <c r="DG871">
        <v>4.5499999999999999E-2</v>
      </c>
      <c r="DH871">
        <v>1764</v>
      </c>
      <c r="DI871">
        <v>1764</v>
      </c>
      <c r="DM871">
        <v>62</v>
      </c>
    </row>
    <row r="872" spans="91:118" x14ac:dyDescent="0.25">
      <c r="CM872" t="s">
        <v>636</v>
      </c>
      <c r="CN872" t="s">
        <v>2</v>
      </c>
      <c r="CO872" t="s">
        <v>377</v>
      </c>
      <c r="CP872">
        <v>46105</v>
      </c>
      <c r="CQ872">
        <v>1</v>
      </c>
      <c r="CR872">
        <v>1</v>
      </c>
      <c r="CS872">
        <v>1</v>
      </c>
      <c r="CV872">
        <v>3.9953703703703707E-2</v>
      </c>
      <c r="CW872">
        <v>3.9953703703703707E-2</v>
      </c>
      <c r="CX872">
        <v>0.14123842592592592</v>
      </c>
      <c r="CY872">
        <v>0.19027777777777777</v>
      </c>
      <c r="CZ872">
        <v>73</v>
      </c>
      <c r="DA872">
        <v>150</v>
      </c>
      <c r="DB872">
        <v>30</v>
      </c>
      <c r="DC872">
        <v>1.7</v>
      </c>
      <c r="DD872">
        <v>13632</v>
      </c>
      <c r="DE872">
        <v>0.41099999999999998</v>
      </c>
      <c r="DF872">
        <v>1</v>
      </c>
      <c r="DG872">
        <v>3.3300000000000003E-2</v>
      </c>
      <c r="DH872">
        <v>1764</v>
      </c>
      <c r="DI872">
        <v>1764</v>
      </c>
      <c r="DM872">
        <v>62</v>
      </c>
    </row>
    <row r="873" spans="91:118" x14ac:dyDescent="0.25">
      <c r="CM873" t="s">
        <v>636</v>
      </c>
      <c r="CN873" t="s">
        <v>2</v>
      </c>
      <c r="CO873" t="s">
        <v>24</v>
      </c>
      <c r="CP873">
        <v>46108</v>
      </c>
      <c r="CQ873">
        <v>1</v>
      </c>
      <c r="CR873">
        <v>1</v>
      </c>
      <c r="CS873">
        <v>1</v>
      </c>
      <c r="CV873">
        <v>7.0486111111111114E-3</v>
      </c>
      <c r="CW873">
        <v>7.0486111111111114E-3</v>
      </c>
      <c r="CX873">
        <v>0.19569444444444445</v>
      </c>
      <c r="CY873">
        <v>0.15569444444444444</v>
      </c>
      <c r="CZ873">
        <v>68</v>
      </c>
      <c r="DA873">
        <v>119</v>
      </c>
      <c r="DB873">
        <v>15</v>
      </c>
      <c r="DC873">
        <v>1.8</v>
      </c>
      <c r="DD873">
        <v>29972</v>
      </c>
      <c r="DE873">
        <v>0.22059999999999999</v>
      </c>
      <c r="DM873">
        <v>62</v>
      </c>
    </row>
    <row r="874" spans="91:118" x14ac:dyDescent="0.25">
      <c r="CM874" t="s">
        <v>636</v>
      </c>
      <c r="CN874" t="s">
        <v>2</v>
      </c>
      <c r="CO874" t="s">
        <v>42</v>
      </c>
      <c r="CP874">
        <v>46093</v>
      </c>
      <c r="CQ874">
        <v>1</v>
      </c>
      <c r="CR874">
        <v>1</v>
      </c>
      <c r="CV874">
        <v>0</v>
      </c>
      <c r="CW874">
        <v>0</v>
      </c>
      <c r="CX874">
        <v>0</v>
      </c>
      <c r="CY874">
        <v>0</v>
      </c>
      <c r="DM874">
        <v>62</v>
      </c>
    </row>
    <row r="875" spans="91:118" x14ac:dyDescent="0.25">
      <c r="CM875" t="s">
        <v>636</v>
      </c>
      <c r="CN875" t="s">
        <v>2</v>
      </c>
      <c r="CO875" t="s">
        <v>42</v>
      </c>
      <c r="CP875">
        <v>46108</v>
      </c>
      <c r="CQ875">
        <v>1</v>
      </c>
      <c r="CR875">
        <v>1</v>
      </c>
      <c r="CV875">
        <v>0</v>
      </c>
      <c r="CW875">
        <v>0</v>
      </c>
      <c r="CX875">
        <v>0</v>
      </c>
      <c r="CY875">
        <v>0</v>
      </c>
      <c r="DM875">
        <v>62</v>
      </c>
    </row>
    <row r="876" spans="91:118" x14ac:dyDescent="0.25">
      <c r="CM876" t="s">
        <v>636</v>
      </c>
      <c r="CN876" t="s">
        <v>2</v>
      </c>
      <c r="CO876" t="s">
        <v>25</v>
      </c>
      <c r="CP876">
        <v>46093</v>
      </c>
      <c r="CQ876">
        <v>1</v>
      </c>
      <c r="CR876">
        <v>1</v>
      </c>
      <c r="CS876">
        <v>1</v>
      </c>
      <c r="CV876">
        <v>4.7916666666666663E-3</v>
      </c>
      <c r="CW876">
        <v>4.7916666666666663E-3</v>
      </c>
      <c r="CX876">
        <v>0.20219907407407409</v>
      </c>
      <c r="CY876">
        <v>0.1393287037037037</v>
      </c>
      <c r="CZ876">
        <v>61</v>
      </c>
      <c r="DA876">
        <v>121</v>
      </c>
      <c r="DB876">
        <v>18</v>
      </c>
      <c r="DC876" t="s">
        <v>755</v>
      </c>
      <c r="DD876">
        <v>29072</v>
      </c>
      <c r="DE876">
        <v>0.29509999999999997</v>
      </c>
      <c r="DM876">
        <v>62</v>
      </c>
    </row>
    <row r="877" spans="91:118" x14ac:dyDescent="0.25">
      <c r="CM877" t="s">
        <v>636</v>
      </c>
      <c r="CN877" t="s">
        <v>2</v>
      </c>
      <c r="CO877" t="s">
        <v>17</v>
      </c>
      <c r="CP877">
        <v>46093</v>
      </c>
      <c r="CQ877">
        <v>1</v>
      </c>
      <c r="CR877">
        <v>1</v>
      </c>
      <c r="CS877">
        <v>1</v>
      </c>
      <c r="CV877">
        <v>1.2592592592592593E-2</v>
      </c>
      <c r="CW877">
        <v>1.2592592592592593E-2</v>
      </c>
      <c r="CX877">
        <v>0.22061342592592592</v>
      </c>
      <c r="CY877">
        <v>8.819444444444445E-2</v>
      </c>
      <c r="CZ877">
        <v>65</v>
      </c>
      <c r="DA877">
        <v>137</v>
      </c>
      <c r="DB877">
        <v>16</v>
      </c>
      <c r="DC877">
        <v>1.6875</v>
      </c>
      <c r="DD877">
        <v>45172</v>
      </c>
      <c r="DE877">
        <v>0.2462</v>
      </c>
      <c r="DM877">
        <v>62</v>
      </c>
    </row>
    <row r="878" spans="91:118" x14ac:dyDescent="0.25">
      <c r="CM878" t="s">
        <v>636</v>
      </c>
      <c r="CN878" t="s">
        <v>2</v>
      </c>
      <c r="CO878" t="s">
        <v>17</v>
      </c>
      <c r="CP878">
        <v>46108</v>
      </c>
      <c r="CQ878">
        <v>1</v>
      </c>
      <c r="CR878">
        <v>1</v>
      </c>
      <c r="CS878">
        <v>1</v>
      </c>
      <c r="CV878">
        <v>6.3425925925925924E-3</v>
      </c>
      <c r="CW878">
        <v>6.3425925925925924E-3</v>
      </c>
      <c r="CX878">
        <v>0.16371527777777778</v>
      </c>
      <c r="CY878">
        <v>0.16778935185185184</v>
      </c>
      <c r="CZ878">
        <v>56</v>
      </c>
      <c r="DA878">
        <v>89</v>
      </c>
      <c r="DB878">
        <v>12</v>
      </c>
      <c r="DC878">
        <v>1.5</v>
      </c>
      <c r="DD878">
        <v>37810</v>
      </c>
      <c r="DE878">
        <v>0.21429999999999999</v>
      </c>
      <c r="DM878">
        <v>62</v>
      </c>
    </row>
    <row r="879" spans="91:118" x14ac:dyDescent="0.25">
      <c r="CM879" t="s">
        <v>636</v>
      </c>
      <c r="CN879" t="s">
        <v>6</v>
      </c>
      <c r="CO879" t="s">
        <v>81</v>
      </c>
      <c r="CP879">
        <v>46091</v>
      </c>
      <c r="CQ879">
        <v>1</v>
      </c>
      <c r="CR879">
        <v>1</v>
      </c>
      <c r="CT879">
        <v>1</v>
      </c>
      <c r="CV879">
        <v>1.1574074074074073E-5</v>
      </c>
      <c r="CW879">
        <v>1.1574074074074073E-5</v>
      </c>
      <c r="CX879">
        <v>0.28239583333333335</v>
      </c>
      <c r="CY879">
        <v>0.12535879629629629</v>
      </c>
      <c r="CZ879">
        <v>91</v>
      </c>
      <c r="DA879">
        <v>185</v>
      </c>
      <c r="DB879">
        <v>16</v>
      </c>
      <c r="DC879">
        <v>1.9375</v>
      </c>
      <c r="DD879">
        <v>33449</v>
      </c>
      <c r="DE879">
        <v>0.17580000000000001</v>
      </c>
      <c r="DF879">
        <v>1</v>
      </c>
      <c r="DG879">
        <v>6.25E-2</v>
      </c>
      <c r="DH879">
        <v>10000</v>
      </c>
      <c r="DI879">
        <v>10000</v>
      </c>
      <c r="DM879">
        <v>62</v>
      </c>
    </row>
    <row r="880" spans="91:118" x14ac:dyDescent="0.25">
      <c r="CM880" t="s">
        <v>636</v>
      </c>
      <c r="CN880" t="s">
        <v>6</v>
      </c>
      <c r="CO880" t="s">
        <v>37</v>
      </c>
      <c r="CP880">
        <v>46105</v>
      </c>
      <c r="CQ880">
        <v>1</v>
      </c>
      <c r="CR880">
        <v>1</v>
      </c>
      <c r="CT880">
        <v>1</v>
      </c>
      <c r="CV880">
        <v>8.1018518518518516E-5</v>
      </c>
      <c r="CW880">
        <v>8.1018518518518516E-5</v>
      </c>
      <c r="CX880">
        <v>0.19498842592592591</v>
      </c>
      <c r="CY880">
        <v>0.11590277777777777</v>
      </c>
      <c r="CZ880">
        <v>64</v>
      </c>
      <c r="DA880">
        <v>90</v>
      </c>
      <c r="DB880">
        <v>15</v>
      </c>
      <c r="DC880" t="s">
        <v>723</v>
      </c>
      <c r="DD880">
        <v>24951</v>
      </c>
      <c r="DE880">
        <v>0.2344</v>
      </c>
      <c r="DF880">
        <v>1</v>
      </c>
      <c r="DG880">
        <v>6.6699999999999995E-2</v>
      </c>
      <c r="DH880">
        <v>280</v>
      </c>
      <c r="DI880">
        <v>280</v>
      </c>
      <c r="DM880">
        <v>62</v>
      </c>
    </row>
    <row r="881" spans="91:118" x14ac:dyDescent="0.25">
      <c r="CM881" t="s">
        <v>636</v>
      </c>
      <c r="CN881" t="s">
        <v>6</v>
      </c>
      <c r="CO881" t="s">
        <v>11</v>
      </c>
      <c r="CP881">
        <v>46083</v>
      </c>
      <c r="CQ881">
        <v>1</v>
      </c>
      <c r="CR881">
        <v>1</v>
      </c>
      <c r="CT881">
        <v>1</v>
      </c>
      <c r="CV881">
        <v>0</v>
      </c>
      <c r="CW881">
        <v>0</v>
      </c>
      <c r="CX881">
        <v>0.24394675925925927</v>
      </c>
      <c r="CY881">
        <v>8.8969907407407414E-2</v>
      </c>
      <c r="CZ881">
        <v>97</v>
      </c>
      <c r="DA881">
        <v>163</v>
      </c>
      <c r="DB881">
        <v>35</v>
      </c>
      <c r="DC881" t="s">
        <v>778</v>
      </c>
      <c r="DD881">
        <v>16033</v>
      </c>
      <c r="DE881">
        <v>0.36080000000000001</v>
      </c>
      <c r="DF881">
        <v>5</v>
      </c>
      <c r="DG881">
        <v>0.1429</v>
      </c>
      <c r="DH881">
        <v>1637</v>
      </c>
      <c r="DI881">
        <v>327</v>
      </c>
      <c r="DJ881">
        <v>1091</v>
      </c>
      <c r="DK881">
        <v>0.66649999999999998</v>
      </c>
      <c r="DL881">
        <v>0.60709999999999997</v>
      </c>
      <c r="DM881">
        <v>62</v>
      </c>
      <c r="DN881">
        <v>273</v>
      </c>
    </row>
    <row r="882" spans="91:118" x14ac:dyDescent="0.25">
      <c r="CM882" t="s">
        <v>636</v>
      </c>
      <c r="CN882" t="s">
        <v>7</v>
      </c>
      <c r="CO882" t="s">
        <v>58</v>
      </c>
      <c r="CP882">
        <v>46084</v>
      </c>
      <c r="CQ882">
        <v>1</v>
      </c>
      <c r="CR882">
        <v>1</v>
      </c>
      <c r="CV882">
        <v>0</v>
      </c>
      <c r="CW882">
        <v>0</v>
      </c>
      <c r="CX882">
        <v>0</v>
      </c>
      <c r="CY882">
        <v>0</v>
      </c>
      <c r="DM882">
        <v>62</v>
      </c>
    </row>
    <row r="883" spans="91:118" x14ac:dyDescent="0.25">
      <c r="CM883" t="s">
        <v>636</v>
      </c>
      <c r="CN883" t="s">
        <v>7</v>
      </c>
      <c r="CO883" t="s">
        <v>58</v>
      </c>
      <c r="CP883">
        <v>46094</v>
      </c>
      <c r="CQ883">
        <v>1</v>
      </c>
      <c r="CR883">
        <v>1</v>
      </c>
      <c r="CV883">
        <v>0</v>
      </c>
      <c r="CW883">
        <v>0</v>
      </c>
      <c r="CX883">
        <v>0</v>
      </c>
      <c r="CY883">
        <v>0</v>
      </c>
      <c r="DM883">
        <v>62</v>
      </c>
    </row>
    <row r="884" spans="91:118" x14ac:dyDescent="0.25">
      <c r="CM884" t="s">
        <v>636</v>
      </c>
      <c r="CN884" t="s">
        <v>7</v>
      </c>
      <c r="CO884" t="s">
        <v>41</v>
      </c>
      <c r="CP884">
        <v>46091</v>
      </c>
      <c r="CQ884">
        <v>1</v>
      </c>
      <c r="CR884">
        <v>1</v>
      </c>
      <c r="CT884">
        <v>1</v>
      </c>
      <c r="CV884">
        <v>5.3240740740740744E-4</v>
      </c>
      <c r="CW884">
        <v>5.3240740740740744E-4</v>
      </c>
      <c r="CX884">
        <v>0.25172453703703701</v>
      </c>
      <c r="CY884">
        <v>0.12376157407407408</v>
      </c>
      <c r="CZ884">
        <v>106</v>
      </c>
      <c r="DA884">
        <v>208</v>
      </c>
      <c r="DB884">
        <v>36</v>
      </c>
      <c r="DC884">
        <v>1.5</v>
      </c>
      <c r="DD884">
        <v>6146</v>
      </c>
      <c r="DE884">
        <v>0.33960000000000001</v>
      </c>
      <c r="DF884">
        <v>1</v>
      </c>
      <c r="DG884">
        <v>2.7799999999999998E-2</v>
      </c>
      <c r="DH884">
        <v>195</v>
      </c>
      <c r="DI884">
        <v>195</v>
      </c>
      <c r="DM884">
        <v>62</v>
      </c>
    </row>
    <row r="885" spans="91:118" x14ac:dyDescent="0.25">
      <c r="CM885" t="s">
        <v>636</v>
      </c>
      <c r="CN885" t="s">
        <v>7</v>
      </c>
      <c r="CO885" t="s">
        <v>495</v>
      </c>
      <c r="CP885">
        <v>46087</v>
      </c>
      <c r="CQ885">
        <v>1</v>
      </c>
      <c r="CR885">
        <v>1</v>
      </c>
      <c r="CT885">
        <v>1</v>
      </c>
      <c r="CV885">
        <v>1.6203703703703703E-4</v>
      </c>
      <c r="CW885">
        <v>1.6203703703703703E-4</v>
      </c>
      <c r="CX885">
        <v>0.23180555555555554</v>
      </c>
      <c r="CY885">
        <v>0.10493055555555555</v>
      </c>
      <c r="CZ885">
        <v>115</v>
      </c>
      <c r="DA885">
        <v>232</v>
      </c>
      <c r="DB885">
        <v>29</v>
      </c>
      <c r="DC885" t="s">
        <v>981</v>
      </c>
      <c r="DD885">
        <v>8173</v>
      </c>
      <c r="DE885">
        <v>0.25219999999999998</v>
      </c>
      <c r="DF885">
        <v>2</v>
      </c>
      <c r="DG885">
        <v>6.9000000000000006E-2</v>
      </c>
      <c r="DH885">
        <v>310</v>
      </c>
      <c r="DI885">
        <v>155</v>
      </c>
      <c r="DJ885">
        <v>200</v>
      </c>
      <c r="DK885">
        <v>0.6452</v>
      </c>
      <c r="DL885">
        <v>0.11119999999999999</v>
      </c>
      <c r="DM885">
        <v>62</v>
      </c>
      <c r="DN885">
        <v>200</v>
      </c>
    </row>
    <row r="886" spans="91:118" x14ac:dyDescent="0.25">
      <c r="CM886" t="s">
        <v>636</v>
      </c>
      <c r="CN886" t="s">
        <v>7</v>
      </c>
      <c r="CO886" t="s">
        <v>495</v>
      </c>
      <c r="CP886">
        <v>46101</v>
      </c>
      <c r="CQ886">
        <v>1</v>
      </c>
      <c r="CR886">
        <v>1</v>
      </c>
      <c r="CS886">
        <v>1</v>
      </c>
      <c r="CV886">
        <v>4.2361111111111115E-3</v>
      </c>
      <c r="CW886">
        <v>4.2361111111111115E-3</v>
      </c>
      <c r="CX886">
        <v>0.13114583333333332</v>
      </c>
      <c r="CY886">
        <v>0.18562500000000001</v>
      </c>
      <c r="CZ886">
        <v>113</v>
      </c>
      <c r="DA886">
        <v>256</v>
      </c>
      <c r="DB886">
        <v>33</v>
      </c>
      <c r="DC886" t="s">
        <v>673</v>
      </c>
      <c r="DD886">
        <v>6299</v>
      </c>
      <c r="DE886">
        <v>0.29199999999999998</v>
      </c>
      <c r="DF886">
        <v>2</v>
      </c>
      <c r="DG886">
        <v>6.0600000000000001E-2</v>
      </c>
      <c r="DH886">
        <v>700</v>
      </c>
      <c r="DI886">
        <v>350</v>
      </c>
      <c r="DJ886">
        <v>200</v>
      </c>
      <c r="DK886">
        <v>0.28570000000000001</v>
      </c>
      <c r="DL886">
        <v>6.6900000000000001E-2</v>
      </c>
      <c r="DM886">
        <v>62</v>
      </c>
      <c r="DN886">
        <v>200</v>
      </c>
    </row>
    <row r="887" spans="91:118" x14ac:dyDescent="0.25">
      <c r="CM887" t="s">
        <v>636</v>
      </c>
      <c r="CN887" t="s">
        <v>7</v>
      </c>
      <c r="CO887" t="s">
        <v>565</v>
      </c>
      <c r="CP887">
        <v>46084</v>
      </c>
      <c r="CQ887">
        <v>1</v>
      </c>
      <c r="CR887">
        <v>1</v>
      </c>
      <c r="CU887">
        <v>1</v>
      </c>
      <c r="CV887">
        <v>0</v>
      </c>
      <c r="CW887">
        <v>0</v>
      </c>
      <c r="CX887">
        <v>0</v>
      </c>
      <c r="CY887">
        <v>0</v>
      </c>
      <c r="DM887">
        <v>62</v>
      </c>
    </row>
    <row r="888" spans="91:118" x14ac:dyDescent="0.25">
      <c r="CM888" t="s">
        <v>636</v>
      </c>
      <c r="CN888" t="s">
        <v>7</v>
      </c>
      <c r="CO888" t="s">
        <v>565</v>
      </c>
      <c r="CP888">
        <v>46106</v>
      </c>
      <c r="CQ888">
        <v>1</v>
      </c>
      <c r="CR888">
        <v>1</v>
      </c>
      <c r="CT888">
        <v>1</v>
      </c>
      <c r="CV888">
        <v>4.861111111111111E-4</v>
      </c>
      <c r="CW888">
        <v>4.861111111111111E-4</v>
      </c>
      <c r="CX888">
        <v>0.14201388888888888</v>
      </c>
      <c r="CY888">
        <v>0.18283564814814815</v>
      </c>
      <c r="CZ888">
        <v>76</v>
      </c>
      <c r="DA888">
        <v>152</v>
      </c>
      <c r="DB888">
        <v>32</v>
      </c>
      <c r="DC888">
        <v>1.78125</v>
      </c>
      <c r="DD888">
        <v>14174</v>
      </c>
      <c r="DE888">
        <v>0.42109999999999997</v>
      </c>
      <c r="DF888">
        <v>1</v>
      </c>
      <c r="DG888">
        <v>3.1300000000000001E-2</v>
      </c>
      <c r="DH888">
        <v>3200</v>
      </c>
      <c r="DI888">
        <v>3200</v>
      </c>
      <c r="DM888">
        <v>62</v>
      </c>
    </row>
    <row r="889" spans="91:118" x14ac:dyDescent="0.25">
      <c r="CM889" t="s">
        <v>636</v>
      </c>
      <c r="CN889" t="s">
        <v>7</v>
      </c>
      <c r="CO889" t="s">
        <v>549</v>
      </c>
      <c r="CP889">
        <v>46093</v>
      </c>
      <c r="CQ889">
        <v>1</v>
      </c>
      <c r="CR889">
        <v>1</v>
      </c>
      <c r="CT889">
        <v>1</v>
      </c>
      <c r="CV889">
        <v>0</v>
      </c>
      <c r="CW889">
        <v>0</v>
      </c>
      <c r="CX889">
        <v>0.26457175925925924</v>
      </c>
      <c r="CY889">
        <v>9.3518518518518515E-2</v>
      </c>
      <c r="CZ889">
        <v>160</v>
      </c>
      <c r="DA889">
        <v>273</v>
      </c>
      <c r="DB889">
        <v>58</v>
      </c>
      <c r="DC889" t="s">
        <v>902</v>
      </c>
      <c r="DD889">
        <v>4823</v>
      </c>
      <c r="DE889">
        <v>0.36249999999999999</v>
      </c>
      <c r="DF889">
        <v>1</v>
      </c>
      <c r="DG889">
        <v>1.72E-2</v>
      </c>
      <c r="DH889">
        <v>2800</v>
      </c>
      <c r="DI889">
        <v>2800</v>
      </c>
      <c r="DM889">
        <v>62</v>
      </c>
    </row>
    <row r="890" spans="91:118" x14ac:dyDescent="0.25">
      <c r="CM890" t="s">
        <v>636</v>
      </c>
      <c r="CN890" t="s">
        <v>7</v>
      </c>
      <c r="CO890" t="s">
        <v>549</v>
      </c>
      <c r="CP890">
        <v>46112</v>
      </c>
      <c r="CQ890">
        <v>1</v>
      </c>
      <c r="CR890">
        <v>1</v>
      </c>
      <c r="CS890">
        <v>1</v>
      </c>
      <c r="CV890">
        <v>1.5659722222222221E-2</v>
      </c>
      <c r="CW890">
        <v>1.5659722222222221E-2</v>
      </c>
      <c r="CX890">
        <v>0.20239583333333333</v>
      </c>
      <c r="CY890">
        <v>0.18457175925925925</v>
      </c>
      <c r="CZ890">
        <v>135</v>
      </c>
      <c r="DA890">
        <v>208</v>
      </c>
      <c r="DB890">
        <v>42</v>
      </c>
      <c r="DC890" t="s">
        <v>1072</v>
      </c>
      <c r="DD890">
        <v>15136</v>
      </c>
      <c r="DE890">
        <v>0.31109999999999999</v>
      </c>
      <c r="DF890">
        <v>1</v>
      </c>
      <c r="DG890">
        <v>2.3800000000000002E-2</v>
      </c>
      <c r="DH890">
        <v>700</v>
      </c>
      <c r="DI890">
        <v>700</v>
      </c>
      <c r="DJ890">
        <v>700</v>
      </c>
      <c r="DK890">
        <v>1</v>
      </c>
      <c r="DL890">
        <v>9.6500000000000002E-2</v>
      </c>
      <c r="DM890">
        <v>62</v>
      </c>
      <c r="DN890">
        <v>700</v>
      </c>
    </row>
    <row r="891" spans="91:118" x14ac:dyDescent="0.25">
      <c r="CM891" t="s">
        <v>636</v>
      </c>
      <c r="CN891" t="s">
        <v>7</v>
      </c>
      <c r="CO891" t="s">
        <v>566</v>
      </c>
      <c r="CP891">
        <v>46084</v>
      </c>
      <c r="CQ891">
        <v>1</v>
      </c>
      <c r="CR891">
        <v>1</v>
      </c>
      <c r="CU891">
        <v>1</v>
      </c>
      <c r="CV891">
        <v>0</v>
      </c>
      <c r="CW891">
        <v>0</v>
      </c>
      <c r="CX891">
        <v>0</v>
      </c>
      <c r="CY891">
        <v>0</v>
      </c>
      <c r="DM891">
        <v>62</v>
      </c>
    </row>
    <row r="892" spans="91:118" x14ac:dyDescent="0.25">
      <c r="CM892" t="s">
        <v>636</v>
      </c>
      <c r="CN892" t="s">
        <v>7</v>
      </c>
      <c r="CO892" t="s">
        <v>566</v>
      </c>
      <c r="CP892">
        <v>46094</v>
      </c>
      <c r="CQ892">
        <v>1</v>
      </c>
      <c r="CR892">
        <v>1</v>
      </c>
      <c r="CS892">
        <v>1</v>
      </c>
      <c r="CV892">
        <v>1.275462962962963E-2</v>
      </c>
      <c r="CW892">
        <v>1.275462962962963E-2</v>
      </c>
      <c r="CX892">
        <v>0.19158564814814816</v>
      </c>
      <c r="CY892">
        <v>0.15811342592592592</v>
      </c>
      <c r="CZ892">
        <v>102</v>
      </c>
      <c r="DA892">
        <v>137</v>
      </c>
      <c r="DB892">
        <v>51</v>
      </c>
      <c r="DC892" t="s">
        <v>1073</v>
      </c>
      <c r="DD892">
        <v>12227</v>
      </c>
      <c r="DE892">
        <v>0.5</v>
      </c>
      <c r="DM892">
        <v>62</v>
      </c>
    </row>
    <row r="893" spans="91:118" x14ac:dyDescent="0.25">
      <c r="CM893" t="s">
        <v>636</v>
      </c>
      <c r="CN893" t="s">
        <v>7</v>
      </c>
      <c r="CO893" t="s">
        <v>73</v>
      </c>
      <c r="CP893">
        <v>46084</v>
      </c>
      <c r="CQ893">
        <v>1</v>
      </c>
      <c r="CR893">
        <v>1</v>
      </c>
      <c r="CS893">
        <v>1</v>
      </c>
      <c r="CV893">
        <v>9.5833333333333326E-3</v>
      </c>
      <c r="CW893">
        <v>9.5833333333333326E-3</v>
      </c>
      <c r="CX893">
        <v>0.30898148148148147</v>
      </c>
      <c r="CY893">
        <v>9.869212962962963E-2</v>
      </c>
      <c r="CZ893">
        <v>104</v>
      </c>
      <c r="DA893">
        <v>168</v>
      </c>
      <c r="DB893">
        <v>24</v>
      </c>
      <c r="DC893" t="s">
        <v>718</v>
      </c>
      <c r="DD893">
        <v>19723</v>
      </c>
      <c r="DE893">
        <v>0.23080000000000001</v>
      </c>
      <c r="DM893">
        <v>62</v>
      </c>
    </row>
    <row r="894" spans="91:118" x14ac:dyDescent="0.25">
      <c r="CM894" t="s">
        <v>636</v>
      </c>
      <c r="CN894" t="s">
        <v>3</v>
      </c>
      <c r="CO894" t="s">
        <v>32</v>
      </c>
      <c r="CP894">
        <v>46087</v>
      </c>
      <c r="CQ894">
        <v>1</v>
      </c>
      <c r="CR894">
        <v>1</v>
      </c>
      <c r="CT894">
        <v>1</v>
      </c>
      <c r="CV894">
        <v>3.2407407407407406E-4</v>
      </c>
      <c r="CW894">
        <v>3.2407407407407406E-4</v>
      </c>
      <c r="CX894">
        <v>0.24010416666666667</v>
      </c>
      <c r="CY894">
        <v>9.375E-2</v>
      </c>
      <c r="CZ894">
        <v>66</v>
      </c>
      <c r="DA894">
        <v>174</v>
      </c>
      <c r="DB894">
        <v>23</v>
      </c>
      <c r="DC894" t="s">
        <v>895</v>
      </c>
      <c r="DD894">
        <v>29744</v>
      </c>
      <c r="DE894">
        <v>0.34849999999999998</v>
      </c>
      <c r="DF894">
        <v>1</v>
      </c>
      <c r="DG894">
        <v>4.3499999999999997E-2</v>
      </c>
      <c r="DH894">
        <v>250</v>
      </c>
      <c r="DI894">
        <v>250</v>
      </c>
      <c r="DM894">
        <v>62</v>
      </c>
    </row>
    <row r="895" spans="91:118" x14ac:dyDescent="0.25">
      <c r="CM895" t="s">
        <v>636</v>
      </c>
      <c r="CN895" t="s">
        <v>3</v>
      </c>
      <c r="CO895" t="s">
        <v>96</v>
      </c>
      <c r="CP895">
        <v>46097</v>
      </c>
      <c r="CQ895">
        <v>1</v>
      </c>
      <c r="CR895">
        <v>1</v>
      </c>
      <c r="CU895">
        <v>1</v>
      </c>
      <c r="CV895">
        <v>0</v>
      </c>
      <c r="CW895">
        <v>0</v>
      </c>
      <c r="CX895">
        <v>0</v>
      </c>
      <c r="CY895">
        <v>0</v>
      </c>
      <c r="DM895">
        <v>62</v>
      </c>
    </row>
    <row r="896" spans="91:118" x14ac:dyDescent="0.25">
      <c r="CM896" t="s">
        <v>636</v>
      </c>
      <c r="CN896" t="s">
        <v>3</v>
      </c>
      <c r="CO896" t="s">
        <v>29</v>
      </c>
      <c r="CP896">
        <v>46097</v>
      </c>
      <c r="CQ896">
        <v>1</v>
      </c>
      <c r="CR896">
        <v>1</v>
      </c>
      <c r="CS896">
        <v>1</v>
      </c>
      <c r="CV896">
        <v>5.5902777777777773E-3</v>
      </c>
      <c r="CW896">
        <v>5.5902777777777773E-3</v>
      </c>
      <c r="CX896">
        <v>0.28372685185185187</v>
      </c>
      <c r="CY896">
        <v>0.13616898148148149</v>
      </c>
      <c r="CZ896">
        <v>148</v>
      </c>
      <c r="DA896">
        <v>276</v>
      </c>
      <c r="DB896">
        <v>32</v>
      </c>
      <c r="DC896">
        <v>1.875</v>
      </c>
      <c r="DD896">
        <v>11139</v>
      </c>
      <c r="DE896">
        <v>0.2162</v>
      </c>
      <c r="DM896">
        <v>62</v>
      </c>
    </row>
    <row r="897" spans="91:118" x14ac:dyDescent="0.25">
      <c r="CM897" t="s">
        <v>636</v>
      </c>
      <c r="CN897" t="s">
        <v>3</v>
      </c>
      <c r="CO897" t="s">
        <v>79</v>
      </c>
      <c r="CP897">
        <v>46093</v>
      </c>
      <c r="CQ897">
        <v>1</v>
      </c>
      <c r="CR897">
        <v>1</v>
      </c>
      <c r="CT897">
        <v>1</v>
      </c>
      <c r="CV897">
        <v>0</v>
      </c>
      <c r="CW897">
        <v>0</v>
      </c>
      <c r="CX897">
        <v>0.22364583333333332</v>
      </c>
      <c r="CY897">
        <v>0.10296296296296296</v>
      </c>
      <c r="CZ897">
        <v>68</v>
      </c>
      <c r="DA897">
        <v>177</v>
      </c>
      <c r="DB897">
        <v>21</v>
      </c>
      <c r="DC897" t="s">
        <v>752</v>
      </c>
      <c r="DD897">
        <v>20153</v>
      </c>
      <c r="DE897">
        <v>0.30880000000000002</v>
      </c>
      <c r="DF897">
        <v>1</v>
      </c>
      <c r="DG897">
        <v>4.7600000000000003E-2</v>
      </c>
      <c r="DH897">
        <v>200</v>
      </c>
      <c r="DI897">
        <v>200</v>
      </c>
      <c r="DM897">
        <v>62</v>
      </c>
    </row>
    <row r="898" spans="91:118" x14ac:dyDescent="0.25">
      <c r="CM898" t="s">
        <v>636</v>
      </c>
      <c r="CN898" t="s">
        <v>3</v>
      </c>
      <c r="CO898" t="s">
        <v>78</v>
      </c>
      <c r="CP898">
        <v>46085</v>
      </c>
      <c r="CQ898">
        <v>1</v>
      </c>
      <c r="CR898">
        <v>1</v>
      </c>
      <c r="CV898">
        <v>3.5879629629629629E-4</v>
      </c>
      <c r="CW898">
        <v>3.5879629629629629E-4</v>
      </c>
      <c r="CX898">
        <v>0.20457175925925927</v>
      </c>
      <c r="CY898">
        <v>0.16876157407407408</v>
      </c>
      <c r="CZ898">
        <v>54</v>
      </c>
      <c r="DA898">
        <v>97</v>
      </c>
      <c r="DB898">
        <v>26</v>
      </c>
      <c r="DC898" t="s">
        <v>764</v>
      </c>
      <c r="DD898">
        <v>21662</v>
      </c>
      <c r="DE898">
        <v>0.48149999999999998</v>
      </c>
      <c r="DF898">
        <v>2</v>
      </c>
      <c r="DG898">
        <v>7.6899999999999996E-2</v>
      </c>
      <c r="DH898">
        <v>680</v>
      </c>
      <c r="DI898">
        <v>340</v>
      </c>
      <c r="DJ898">
        <v>300</v>
      </c>
      <c r="DK898">
        <v>0.44119999999999998</v>
      </c>
      <c r="DM898">
        <v>62</v>
      </c>
      <c r="DN898">
        <v>300</v>
      </c>
    </row>
    <row r="899" spans="91:118" x14ac:dyDescent="0.25">
      <c r="CM899" t="s">
        <v>636</v>
      </c>
      <c r="CN899" t="s">
        <v>2</v>
      </c>
      <c r="CO899" t="s">
        <v>22</v>
      </c>
      <c r="CP899">
        <v>46111</v>
      </c>
      <c r="CQ899">
        <v>1</v>
      </c>
      <c r="CR899">
        <v>1</v>
      </c>
      <c r="CS899">
        <v>1</v>
      </c>
      <c r="CV899">
        <v>6.0185185185185185E-3</v>
      </c>
      <c r="CW899">
        <v>6.0185185185185185E-3</v>
      </c>
      <c r="CX899">
        <v>0.21076388888888889</v>
      </c>
      <c r="CY899">
        <v>0.16300925925925927</v>
      </c>
      <c r="CZ899">
        <v>67</v>
      </c>
      <c r="DA899">
        <v>117</v>
      </c>
      <c r="DB899">
        <v>21</v>
      </c>
      <c r="DC899" t="s">
        <v>803</v>
      </c>
      <c r="DD899">
        <v>32843</v>
      </c>
      <c r="DE899">
        <v>0.31340000000000001</v>
      </c>
      <c r="DM899">
        <v>60</v>
      </c>
    </row>
    <row r="900" spans="91:118" x14ac:dyDescent="0.25">
      <c r="CM900" t="s">
        <v>636</v>
      </c>
      <c r="CN900" t="s">
        <v>2</v>
      </c>
      <c r="CO900" t="s">
        <v>24</v>
      </c>
      <c r="CP900">
        <v>46111</v>
      </c>
      <c r="CQ900">
        <v>1</v>
      </c>
      <c r="CR900">
        <v>1</v>
      </c>
      <c r="CV900">
        <v>3.8773148148148148E-3</v>
      </c>
      <c r="CW900">
        <v>3.8773148148148148E-3</v>
      </c>
      <c r="CX900">
        <v>0.22363425925925925</v>
      </c>
      <c r="CY900">
        <v>0.16995370370370369</v>
      </c>
      <c r="CZ900">
        <v>75</v>
      </c>
      <c r="DA900">
        <v>147</v>
      </c>
      <c r="DB900">
        <v>32</v>
      </c>
      <c r="DC900">
        <v>2</v>
      </c>
      <c r="DD900">
        <v>39799</v>
      </c>
      <c r="DE900">
        <v>0.42670000000000002</v>
      </c>
      <c r="DM900">
        <v>60</v>
      </c>
    </row>
    <row r="901" spans="91:118" x14ac:dyDescent="0.25">
      <c r="CM901" t="s">
        <v>636</v>
      </c>
      <c r="CN901" t="s">
        <v>2</v>
      </c>
      <c r="CO901" t="s">
        <v>24</v>
      </c>
      <c r="CP901">
        <v>46112</v>
      </c>
      <c r="CQ901">
        <v>1</v>
      </c>
      <c r="CR901">
        <v>1</v>
      </c>
      <c r="CS901">
        <v>1</v>
      </c>
      <c r="CV901">
        <v>7.743055555555556E-3</v>
      </c>
      <c r="CW901">
        <v>7.743055555555556E-3</v>
      </c>
      <c r="CX901">
        <v>0.15732638888888889</v>
      </c>
      <c r="CY901">
        <v>0.22518518518518518</v>
      </c>
      <c r="CZ901">
        <v>52</v>
      </c>
      <c r="DA901">
        <v>106</v>
      </c>
      <c r="DB901">
        <v>24</v>
      </c>
      <c r="DC901" t="s">
        <v>1074</v>
      </c>
      <c r="DD901">
        <v>22056</v>
      </c>
      <c r="DE901">
        <v>0.46150000000000002</v>
      </c>
      <c r="DF901">
        <v>1</v>
      </c>
      <c r="DG901">
        <v>4.1700000000000001E-2</v>
      </c>
      <c r="DH901">
        <v>1500</v>
      </c>
      <c r="DI901">
        <v>1500</v>
      </c>
      <c r="DJ901">
        <v>600</v>
      </c>
      <c r="DK901">
        <v>0.4</v>
      </c>
      <c r="DM901">
        <v>60</v>
      </c>
      <c r="DN901">
        <v>600</v>
      </c>
    </row>
    <row r="902" spans="91:118" x14ac:dyDescent="0.25">
      <c r="CM902" t="s">
        <v>636</v>
      </c>
      <c r="CN902" t="s">
        <v>2</v>
      </c>
      <c r="CO902" t="s">
        <v>13</v>
      </c>
      <c r="CP902">
        <v>46105</v>
      </c>
      <c r="CQ902">
        <v>1</v>
      </c>
      <c r="CR902">
        <v>1</v>
      </c>
      <c r="CS902">
        <v>1</v>
      </c>
      <c r="CV902">
        <v>7.5347222222222222E-3</v>
      </c>
      <c r="CW902">
        <v>7.5347222222222222E-3</v>
      </c>
      <c r="CX902">
        <v>0.22914351851851852</v>
      </c>
      <c r="CY902">
        <v>0.12103009259259259</v>
      </c>
      <c r="CZ902">
        <v>101</v>
      </c>
      <c r="DA902">
        <v>235</v>
      </c>
      <c r="DB902">
        <v>26</v>
      </c>
      <c r="DC902" t="s">
        <v>733</v>
      </c>
      <c r="DD902">
        <v>41711</v>
      </c>
      <c r="DE902">
        <v>0.25740000000000002</v>
      </c>
      <c r="DM902">
        <v>60</v>
      </c>
    </row>
    <row r="903" spans="91:118" x14ac:dyDescent="0.25">
      <c r="CM903" t="s">
        <v>636</v>
      </c>
      <c r="CN903" t="s">
        <v>2</v>
      </c>
      <c r="CO903" t="s">
        <v>13</v>
      </c>
      <c r="CP903">
        <v>46111</v>
      </c>
      <c r="CQ903">
        <v>1</v>
      </c>
      <c r="CR903">
        <v>1</v>
      </c>
      <c r="CS903">
        <v>1</v>
      </c>
      <c r="CV903">
        <v>1.4293981481481482E-2</v>
      </c>
      <c r="CW903">
        <v>1.4293981481481482E-2</v>
      </c>
      <c r="CX903">
        <v>0.19035879629629629</v>
      </c>
      <c r="CY903">
        <v>0.16594907407407408</v>
      </c>
      <c r="CZ903">
        <v>75</v>
      </c>
      <c r="DA903">
        <v>151</v>
      </c>
      <c r="DB903">
        <v>16</v>
      </c>
      <c r="DC903">
        <v>1.6875</v>
      </c>
      <c r="DD903">
        <v>29397</v>
      </c>
      <c r="DE903">
        <v>0.21329999999999999</v>
      </c>
      <c r="DM903">
        <v>60</v>
      </c>
    </row>
    <row r="904" spans="91:118" x14ac:dyDescent="0.25">
      <c r="CM904" t="s">
        <v>636</v>
      </c>
      <c r="CN904" t="s">
        <v>2</v>
      </c>
      <c r="CO904" t="s">
        <v>42</v>
      </c>
      <c r="CP904">
        <v>46101</v>
      </c>
      <c r="CQ904">
        <v>1</v>
      </c>
      <c r="CR904">
        <v>1</v>
      </c>
      <c r="CV904">
        <v>0</v>
      </c>
      <c r="CW904">
        <v>0</v>
      </c>
      <c r="CX904">
        <v>0</v>
      </c>
      <c r="CY904">
        <v>0</v>
      </c>
      <c r="DM904">
        <v>60</v>
      </c>
    </row>
    <row r="905" spans="91:118" x14ac:dyDescent="0.25">
      <c r="CM905" t="s">
        <v>636</v>
      </c>
      <c r="CN905" t="s">
        <v>2</v>
      </c>
      <c r="CO905" t="s">
        <v>42</v>
      </c>
      <c r="CP905">
        <v>46105</v>
      </c>
      <c r="CQ905">
        <v>1</v>
      </c>
      <c r="CR905">
        <v>1</v>
      </c>
      <c r="CV905">
        <v>0</v>
      </c>
      <c r="CW905">
        <v>0</v>
      </c>
      <c r="CX905">
        <v>0</v>
      </c>
      <c r="CY905">
        <v>0</v>
      </c>
      <c r="DM905">
        <v>60</v>
      </c>
    </row>
    <row r="906" spans="91:118" x14ac:dyDescent="0.25">
      <c r="CM906" t="s">
        <v>636</v>
      </c>
      <c r="CN906" t="s">
        <v>2</v>
      </c>
      <c r="CO906" t="s">
        <v>42</v>
      </c>
      <c r="CP906">
        <v>46107</v>
      </c>
      <c r="CQ906">
        <v>1</v>
      </c>
      <c r="CR906">
        <v>1</v>
      </c>
      <c r="CV906">
        <v>0</v>
      </c>
      <c r="CW906">
        <v>0</v>
      </c>
      <c r="CX906">
        <v>0</v>
      </c>
      <c r="CY906">
        <v>0</v>
      </c>
      <c r="DM906">
        <v>60</v>
      </c>
    </row>
    <row r="907" spans="91:118" x14ac:dyDescent="0.25">
      <c r="CM907" t="s">
        <v>636</v>
      </c>
      <c r="CN907" t="s">
        <v>2</v>
      </c>
      <c r="CO907" t="s">
        <v>42</v>
      </c>
      <c r="CP907">
        <v>46111</v>
      </c>
      <c r="CQ907">
        <v>1</v>
      </c>
      <c r="CR907">
        <v>1</v>
      </c>
      <c r="CV907">
        <v>0</v>
      </c>
      <c r="CW907">
        <v>0</v>
      </c>
      <c r="CX907">
        <v>0</v>
      </c>
      <c r="CY907">
        <v>0</v>
      </c>
      <c r="DM907">
        <v>60</v>
      </c>
    </row>
    <row r="908" spans="91:118" x14ac:dyDescent="0.25">
      <c r="CM908" t="s">
        <v>636</v>
      </c>
      <c r="CN908" t="s">
        <v>2</v>
      </c>
      <c r="CO908" t="s">
        <v>25</v>
      </c>
      <c r="CP908">
        <v>46101</v>
      </c>
      <c r="CQ908">
        <v>1</v>
      </c>
      <c r="CR908">
        <v>1</v>
      </c>
      <c r="CS908">
        <v>1</v>
      </c>
      <c r="CV908">
        <v>1.3356481481481481E-2</v>
      </c>
      <c r="CW908">
        <v>1.3356481481481481E-2</v>
      </c>
      <c r="CX908">
        <v>0.18814814814814815</v>
      </c>
      <c r="CY908">
        <v>0.12087962962962963</v>
      </c>
      <c r="CZ908">
        <v>44</v>
      </c>
      <c r="DA908">
        <v>81</v>
      </c>
      <c r="DB908">
        <v>12</v>
      </c>
      <c r="DC908" t="s">
        <v>811</v>
      </c>
      <c r="DD908">
        <v>33440</v>
      </c>
      <c r="DE908">
        <v>0.2727</v>
      </c>
      <c r="DM908">
        <v>60</v>
      </c>
    </row>
    <row r="909" spans="91:118" x14ac:dyDescent="0.25">
      <c r="CM909" t="s">
        <v>636</v>
      </c>
      <c r="CN909" t="s">
        <v>2</v>
      </c>
      <c r="CO909" t="s">
        <v>25</v>
      </c>
      <c r="CP909">
        <v>46105</v>
      </c>
      <c r="CQ909">
        <v>1</v>
      </c>
      <c r="CR909">
        <v>1</v>
      </c>
      <c r="CS909">
        <v>1</v>
      </c>
      <c r="CV909">
        <v>6.5277777777777782E-3</v>
      </c>
      <c r="CW909">
        <v>6.5277777777777782E-3</v>
      </c>
      <c r="CX909">
        <v>0.20853009259259259</v>
      </c>
      <c r="CY909">
        <v>0.12255787037037037</v>
      </c>
      <c r="CZ909">
        <v>60</v>
      </c>
      <c r="DA909">
        <v>110</v>
      </c>
      <c r="DB909">
        <v>26</v>
      </c>
      <c r="DC909" t="s">
        <v>757</v>
      </c>
      <c r="DD909">
        <v>18368</v>
      </c>
      <c r="DE909">
        <v>0.43330000000000002</v>
      </c>
      <c r="DM909">
        <v>60</v>
      </c>
    </row>
    <row r="910" spans="91:118" x14ac:dyDescent="0.25">
      <c r="CM910" t="s">
        <v>636</v>
      </c>
      <c r="CN910" t="s">
        <v>2</v>
      </c>
      <c r="CO910" t="s">
        <v>25</v>
      </c>
      <c r="CP910">
        <v>46107</v>
      </c>
      <c r="CQ910">
        <v>1</v>
      </c>
      <c r="CR910">
        <v>1</v>
      </c>
      <c r="CS910">
        <v>1</v>
      </c>
      <c r="CV910">
        <v>1.3657407407407408E-2</v>
      </c>
      <c r="CW910">
        <v>1.3657407407407408E-2</v>
      </c>
      <c r="CX910">
        <v>0.16333333333333333</v>
      </c>
      <c r="CY910">
        <v>0.15925925925925927</v>
      </c>
      <c r="CZ910">
        <v>69</v>
      </c>
      <c r="DA910">
        <v>100</v>
      </c>
      <c r="DB910">
        <v>9</v>
      </c>
      <c r="DC910" t="s">
        <v>674</v>
      </c>
      <c r="DD910">
        <v>26159</v>
      </c>
      <c r="DE910">
        <v>0.13039999999999999</v>
      </c>
      <c r="DM910">
        <v>60</v>
      </c>
    </row>
    <row r="911" spans="91:118" x14ac:dyDescent="0.25">
      <c r="CM911" t="s">
        <v>636</v>
      </c>
      <c r="CN911" t="s">
        <v>2</v>
      </c>
      <c r="CO911" t="s">
        <v>17</v>
      </c>
      <c r="CP911">
        <v>46111</v>
      </c>
      <c r="CQ911">
        <v>1</v>
      </c>
      <c r="CR911">
        <v>1</v>
      </c>
      <c r="CS911">
        <v>1</v>
      </c>
      <c r="CV911">
        <v>6.3194444444444444E-3</v>
      </c>
      <c r="CW911">
        <v>6.3194444444444444E-3</v>
      </c>
      <c r="CX911">
        <v>0.17406250000000001</v>
      </c>
      <c r="CY911">
        <v>0.15740740740740741</v>
      </c>
      <c r="CZ911">
        <v>50</v>
      </c>
      <c r="DA911">
        <v>93</v>
      </c>
      <c r="DB911">
        <v>12</v>
      </c>
      <c r="DC911">
        <v>1.75</v>
      </c>
      <c r="DD911">
        <v>20319</v>
      </c>
      <c r="DE911">
        <v>0.24</v>
      </c>
      <c r="DM911">
        <v>60</v>
      </c>
    </row>
    <row r="912" spans="91:118" x14ac:dyDescent="0.25">
      <c r="CM912" t="s">
        <v>636</v>
      </c>
      <c r="CN912" t="s">
        <v>6</v>
      </c>
      <c r="CO912" t="s">
        <v>19</v>
      </c>
      <c r="CP912">
        <v>46097</v>
      </c>
      <c r="CQ912">
        <v>1</v>
      </c>
      <c r="CR912">
        <v>1</v>
      </c>
      <c r="CT912">
        <v>1</v>
      </c>
      <c r="CV912">
        <v>0</v>
      </c>
      <c r="CW912">
        <v>0</v>
      </c>
      <c r="CX912">
        <v>0.33591435185185187</v>
      </c>
      <c r="CY912">
        <v>0.10856481481481481</v>
      </c>
      <c r="CZ912">
        <v>283</v>
      </c>
      <c r="DA912">
        <v>413</v>
      </c>
      <c r="DB912">
        <v>33</v>
      </c>
      <c r="DC912" t="s">
        <v>1075</v>
      </c>
      <c r="DD912">
        <v>29036</v>
      </c>
      <c r="DE912">
        <v>0.1166</v>
      </c>
      <c r="DM912">
        <v>60</v>
      </c>
    </row>
    <row r="913" spans="91:117" x14ac:dyDescent="0.25">
      <c r="CM913" t="s">
        <v>636</v>
      </c>
      <c r="CN913" t="s">
        <v>6</v>
      </c>
      <c r="CO913" t="s">
        <v>80</v>
      </c>
      <c r="CP913">
        <v>46097</v>
      </c>
      <c r="CQ913">
        <v>1</v>
      </c>
      <c r="CR913">
        <v>1</v>
      </c>
      <c r="CT913">
        <v>1</v>
      </c>
      <c r="CV913">
        <v>2.0833333333333335E-4</v>
      </c>
      <c r="CW913">
        <v>2.0833333333333335E-4</v>
      </c>
      <c r="CX913">
        <v>0.28219907407407407</v>
      </c>
      <c r="CY913">
        <v>0.14083333333333334</v>
      </c>
      <c r="CZ913">
        <v>95</v>
      </c>
      <c r="DA913">
        <v>167</v>
      </c>
      <c r="DB913">
        <v>17</v>
      </c>
      <c r="DC913" t="s">
        <v>713</v>
      </c>
      <c r="DD913">
        <v>52370</v>
      </c>
      <c r="DE913">
        <v>0.1789</v>
      </c>
      <c r="DM913">
        <v>60</v>
      </c>
    </row>
    <row r="914" spans="91:117" x14ac:dyDescent="0.25">
      <c r="CM914" t="s">
        <v>636</v>
      </c>
      <c r="CN914" t="s">
        <v>6</v>
      </c>
      <c r="CO914" t="s">
        <v>26</v>
      </c>
      <c r="CP914">
        <v>46108</v>
      </c>
      <c r="CQ914">
        <v>1</v>
      </c>
      <c r="CR914">
        <v>1</v>
      </c>
      <c r="CV914">
        <v>0</v>
      </c>
      <c r="CW914">
        <v>0</v>
      </c>
      <c r="CX914">
        <v>0</v>
      </c>
      <c r="CY914">
        <v>0</v>
      </c>
      <c r="DM914">
        <v>60</v>
      </c>
    </row>
    <row r="915" spans="91:117" x14ac:dyDescent="0.25">
      <c r="CM915" t="s">
        <v>636</v>
      </c>
      <c r="CN915" t="s">
        <v>6</v>
      </c>
      <c r="CO915" t="s">
        <v>97</v>
      </c>
      <c r="CP915">
        <v>46097</v>
      </c>
      <c r="CQ915">
        <v>1</v>
      </c>
      <c r="CR915">
        <v>1</v>
      </c>
      <c r="CT915">
        <v>1</v>
      </c>
      <c r="CV915">
        <v>4.6296296296296294E-5</v>
      </c>
      <c r="CW915">
        <v>4.6296296296296294E-5</v>
      </c>
      <c r="CX915">
        <v>0.31586805555555558</v>
      </c>
      <c r="CY915">
        <v>0.12466435185185185</v>
      </c>
      <c r="CZ915">
        <v>145</v>
      </c>
      <c r="DA915">
        <v>238</v>
      </c>
      <c r="DB915">
        <v>45</v>
      </c>
      <c r="DC915" t="s">
        <v>690</v>
      </c>
      <c r="DD915">
        <v>17372</v>
      </c>
      <c r="DE915">
        <v>0.31030000000000002</v>
      </c>
      <c r="DM915">
        <v>60</v>
      </c>
    </row>
    <row r="916" spans="91:117" x14ac:dyDescent="0.25">
      <c r="CM916" t="s">
        <v>636</v>
      </c>
      <c r="CN916" t="s">
        <v>6</v>
      </c>
      <c r="CO916" t="s">
        <v>34</v>
      </c>
      <c r="CP916">
        <v>46097</v>
      </c>
      <c r="CQ916">
        <v>1</v>
      </c>
      <c r="CR916">
        <v>1</v>
      </c>
      <c r="CT916">
        <v>1</v>
      </c>
      <c r="CV916">
        <v>2.5462962962962961E-4</v>
      </c>
      <c r="CW916">
        <v>2.5462962962962961E-4</v>
      </c>
      <c r="CX916">
        <v>0.37712962962962965</v>
      </c>
      <c r="CY916">
        <v>5.6076388888888891E-2</v>
      </c>
      <c r="CZ916">
        <v>140</v>
      </c>
      <c r="DA916">
        <v>207</v>
      </c>
      <c r="DB916">
        <v>19</v>
      </c>
      <c r="DC916" t="s">
        <v>721</v>
      </c>
      <c r="DD916">
        <v>22361</v>
      </c>
      <c r="DE916">
        <v>0.13569999999999999</v>
      </c>
      <c r="DM916">
        <v>60</v>
      </c>
    </row>
    <row r="917" spans="91:117" x14ac:dyDescent="0.25">
      <c r="CM917" t="s">
        <v>636</v>
      </c>
      <c r="CN917" t="s">
        <v>7</v>
      </c>
      <c r="CO917" t="s">
        <v>58</v>
      </c>
      <c r="CP917">
        <v>46098</v>
      </c>
      <c r="CQ917">
        <v>1</v>
      </c>
      <c r="CR917">
        <v>1</v>
      </c>
      <c r="CV917">
        <v>0</v>
      </c>
      <c r="CW917">
        <v>0</v>
      </c>
      <c r="CX917">
        <v>0</v>
      </c>
      <c r="CY917">
        <v>0</v>
      </c>
      <c r="DM917">
        <v>60</v>
      </c>
    </row>
    <row r="918" spans="91:117" x14ac:dyDescent="0.25">
      <c r="CM918" t="s">
        <v>636</v>
      </c>
      <c r="CN918" t="s">
        <v>7</v>
      </c>
      <c r="CO918" t="s">
        <v>58</v>
      </c>
      <c r="CP918">
        <v>46107</v>
      </c>
      <c r="CQ918">
        <v>1</v>
      </c>
      <c r="CR918">
        <v>1</v>
      </c>
      <c r="CV918">
        <v>0</v>
      </c>
      <c r="CW918">
        <v>0</v>
      </c>
      <c r="CX918">
        <v>0</v>
      </c>
      <c r="CY918">
        <v>0</v>
      </c>
      <c r="DM918">
        <v>60</v>
      </c>
    </row>
    <row r="919" spans="91:117" x14ac:dyDescent="0.25">
      <c r="CM919" t="s">
        <v>636</v>
      </c>
      <c r="CN919" t="s">
        <v>7</v>
      </c>
      <c r="CO919" t="s">
        <v>58</v>
      </c>
      <c r="CP919">
        <v>46108</v>
      </c>
      <c r="CQ919">
        <v>1</v>
      </c>
      <c r="CR919">
        <v>1</v>
      </c>
      <c r="CV919">
        <v>0</v>
      </c>
      <c r="CW919">
        <v>0</v>
      </c>
      <c r="CX919">
        <v>0</v>
      </c>
      <c r="CY919">
        <v>0</v>
      </c>
      <c r="DM919">
        <v>60</v>
      </c>
    </row>
    <row r="920" spans="91:117" x14ac:dyDescent="0.25">
      <c r="CM920" t="s">
        <v>636</v>
      </c>
      <c r="CN920" t="s">
        <v>7</v>
      </c>
      <c r="CO920" t="s">
        <v>41</v>
      </c>
      <c r="CP920">
        <v>46108</v>
      </c>
      <c r="CQ920">
        <v>1</v>
      </c>
      <c r="CR920">
        <v>1</v>
      </c>
      <c r="CS920">
        <v>1</v>
      </c>
      <c r="CV920">
        <v>2.2789351851851852E-2</v>
      </c>
      <c r="CW920">
        <v>2.2789351851851852E-2</v>
      </c>
      <c r="CX920">
        <v>0.15121527777777777</v>
      </c>
      <c r="CY920">
        <v>0.15756944444444446</v>
      </c>
      <c r="CZ920">
        <v>54</v>
      </c>
      <c r="DA920">
        <v>116</v>
      </c>
      <c r="DB920">
        <v>13</v>
      </c>
      <c r="DC920" t="s">
        <v>843</v>
      </c>
      <c r="DD920">
        <v>17776</v>
      </c>
      <c r="DE920">
        <v>0.2407</v>
      </c>
      <c r="DM920">
        <v>60</v>
      </c>
    </row>
    <row r="921" spans="91:117" x14ac:dyDescent="0.25">
      <c r="CM921" t="s">
        <v>636</v>
      </c>
      <c r="CN921" t="s">
        <v>7</v>
      </c>
      <c r="CO921" t="s">
        <v>549</v>
      </c>
      <c r="CP921">
        <v>46106</v>
      </c>
      <c r="CQ921">
        <v>1</v>
      </c>
      <c r="CR921">
        <v>1</v>
      </c>
      <c r="CT921">
        <v>1</v>
      </c>
      <c r="CV921">
        <v>6.9444444444444444E-5</v>
      </c>
      <c r="CW921">
        <v>6.9444444444444444E-5</v>
      </c>
      <c r="CX921">
        <v>0.1686111111111111</v>
      </c>
      <c r="CY921">
        <v>0.16153935185185186</v>
      </c>
      <c r="CZ921">
        <v>162</v>
      </c>
      <c r="DA921">
        <v>228</v>
      </c>
      <c r="DB921">
        <v>22</v>
      </c>
      <c r="DC921">
        <v>1.5</v>
      </c>
      <c r="DD921">
        <v>13182</v>
      </c>
      <c r="DE921">
        <v>0.1358</v>
      </c>
      <c r="DF921">
        <v>1</v>
      </c>
      <c r="DG921">
        <v>4.5499999999999999E-2</v>
      </c>
      <c r="DH921">
        <v>2000</v>
      </c>
      <c r="DI921">
        <v>2000</v>
      </c>
      <c r="DM921">
        <v>60</v>
      </c>
    </row>
    <row r="922" spans="91:117" x14ac:dyDescent="0.25">
      <c r="CM922" t="s">
        <v>636</v>
      </c>
      <c r="CN922" t="s">
        <v>7</v>
      </c>
      <c r="CO922" t="s">
        <v>566</v>
      </c>
      <c r="CP922">
        <v>46092</v>
      </c>
      <c r="CQ922">
        <v>1</v>
      </c>
      <c r="CR922">
        <v>1</v>
      </c>
      <c r="CS922">
        <v>1</v>
      </c>
      <c r="CV922">
        <v>1.3726851851851851E-2</v>
      </c>
      <c r="CW922">
        <v>1.3726851851851851E-2</v>
      </c>
      <c r="CX922">
        <v>0.2129050925925926</v>
      </c>
      <c r="CY922">
        <v>9.0543981481481475E-2</v>
      </c>
      <c r="CZ922">
        <v>84</v>
      </c>
      <c r="DA922">
        <v>149</v>
      </c>
      <c r="DB922">
        <v>42</v>
      </c>
      <c r="DC922" t="s">
        <v>1076</v>
      </c>
      <c r="DD922">
        <v>5651</v>
      </c>
      <c r="DE922">
        <v>0.5</v>
      </c>
      <c r="DF922">
        <v>1</v>
      </c>
      <c r="DG922">
        <v>2.3800000000000002E-2</v>
      </c>
      <c r="DH922">
        <v>400</v>
      </c>
      <c r="DI922">
        <v>400</v>
      </c>
      <c r="DM922">
        <v>60</v>
      </c>
    </row>
    <row r="923" spans="91:117" x14ac:dyDescent="0.25">
      <c r="CM923" t="s">
        <v>636</v>
      </c>
      <c r="CN923" t="s">
        <v>7</v>
      </c>
      <c r="CO923" t="s">
        <v>566</v>
      </c>
      <c r="CP923">
        <v>46107</v>
      </c>
      <c r="CQ923">
        <v>1</v>
      </c>
      <c r="CR923">
        <v>1</v>
      </c>
      <c r="CS923">
        <v>1</v>
      </c>
      <c r="CV923">
        <v>5.138888888888889E-3</v>
      </c>
      <c r="CW923">
        <v>5.138888888888889E-3</v>
      </c>
      <c r="CX923">
        <v>0.18884259259259259</v>
      </c>
      <c r="CY923">
        <v>0.15020833333333333</v>
      </c>
      <c r="CZ923">
        <v>113</v>
      </c>
      <c r="DA923">
        <v>213</v>
      </c>
      <c r="DB923">
        <v>29</v>
      </c>
      <c r="DC923" t="s">
        <v>1039</v>
      </c>
      <c r="DD923">
        <v>14215</v>
      </c>
      <c r="DE923">
        <v>0.25659999999999999</v>
      </c>
      <c r="DM923">
        <v>60</v>
      </c>
    </row>
    <row r="924" spans="91:117" x14ac:dyDescent="0.25">
      <c r="CM924" t="s">
        <v>636</v>
      </c>
      <c r="CN924" t="s">
        <v>7</v>
      </c>
      <c r="CO924" t="s">
        <v>566</v>
      </c>
      <c r="CP924">
        <v>46108</v>
      </c>
      <c r="CQ924">
        <v>1</v>
      </c>
      <c r="CR924">
        <v>1</v>
      </c>
      <c r="CS924">
        <v>1</v>
      </c>
      <c r="CV924">
        <v>1.4837962962962963E-2</v>
      </c>
      <c r="CW924">
        <v>1.4837962962962963E-2</v>
      </c>
      <c r="CX924">
        <v>0.21539351851851851</v>
      </c>
      <c r="CY924">
        <v>0.15190972222222221</v>
      </c>
      <c r="CZ924">
        <v>137</v>
      </c>
      <c r="DA924">
        <v>257</v>
      </c>
      <c r="DB924">
        <v>36</v>
      </c>
      <c r="DC924" t="s">
        <v>794</v>
      </c>
      <c r="DD924">
        <v>13734</v>
      </c>
      <c r="DE924">
        <v>0.26279999999999998</v>
      </c>
      <c r="DM924">
        <v>60</v>
      </c>
    </row>
    <row r="925" spans="91:117" x14ac:dyDescent="0.25">
      <c r="CM925" t="s">
        <v>636</v>
      </c>
      <c r="CN925" t="s">
        <v>7</v>
      </c>
      <c r="CO925" t="s">
        <v>73</v>
      </c>
      <c r="CP925">
        <v>46098</v>
      </c>
      <c r="CQ925">
        <v>1</v>
      </c>
      <c r="CR925">
        <v>1</v>
      </c>
      <c r="CS925">
        <v>1</v>
      </c>
      <c r="CV925">
        <v>1.1122685185185185E-2</v>
      </c>
      <c r="CW925">
        <v>1.1122685185185185E-2</v>
      </c>
      <c r="CX925">
        <v>0.21564814814814814</v>
      </c>
      <c r="CY925">
        <v>0.11899305555555556</v>
      </c>
      <c r="CZ925">
        <v>68</v>
      </c>
      <c r="DA925">
        <v>99</v>
      </c>
      <c r="DB925">
        <v>13</v>
      </c>
      <c r="DC925" t="s">
        <v>799</v>
      </c>
      <c r="DD925">
        <v>25290</v>
      </c>
      <c r="DE925">
        <v>0.19120000000000001</v>
      </c>
      <c r="DM925">
        <v>60</v>
      </c>
    </row>
    <row r="926" spans="91:117" x14ac:dyDescent="0.25">
      <c r="CM926" t="s">
        <v>636</v>
      </c>
      <c r="CN926" t="s">
        <v>7</v>
      </c>
      <c r="CO926" t="s">
        <v>73</v>
      </c>
      <c r="CP926">
        <v>46107</v>
      </c>
      <c r="CQ926">
        <v>1</v>
      </c>
      <c r="CR926">
        <v>1</v>
      </c>
      <c r="CS926">
        <v>1</v>
      </c>
      <c r="CV926">
        <v>4.4791666666666669E-3</v>
      </c>
      <c r="CW926">
        <v>4.4791666666666669E-3</v>
      </c>
      <c r="CX926">
        <v>0.18422453703703703</v>
      </c>
      <c r="CY926">
        <v>0.16778935185185184</v>
      </c>
      <c r="CZ926">
        <v>71</v>
      </c>
      <c r="DA926">
        <v>107</v>
      </c>
      <c r="DB926">
        <v>10</v>
      </c>
      <c r="DC926">
        <v>1.2</v>
      </c>
      <c r="DD926">
        <v>25055</v>
      </c>
      <c r="DE926">
        <v>0.14080000000000001</v>
      </c>
      <c r="DM926">
        <v>60</v>
      </c>
    </row>
    <row r="927" spans="91:117" x14ac:dyDescent="0.25">
      <c r="CM927" t="s">
        <v>636</v>
      </c>
      <c r="CN927" t="s">
        <v>125</v>
      </c>
      <c r="CO927" t="s">
        <v>109</v>
      </c>
      <c r="CP927">
        <v>46105</v>
      </c>
      <c r="CQ927">
        <v>1</v>
      </c>
      <c r="CR927">
        <v>1</v>
      </c>
      <c r="CS927">
        <v>1</v>
      </c>
      <c r="CV927">
        <v>4.8495370370370368E-3</v>
      </c>
      <c r="CW927">
        <v>4.8495370370370368E-3</v>
      </c>
      <c r="CX927">
        <v>0.20531250000000001</v>
      </c>
      <c r="CY927">
        <v>0.14505787037037038</v>
      </c>
      <c r="CZ927">
        <v>137</v>
      </c>
      <c r="DA927">
        <v>214</v>
      </c>
      <c r="DB927">
        <v>11</v>
      </c>
      <c r="DC927" t="s">
        <v>673</v>
      </c>
      <c r="DD927">
        <v>52865</v>
      </c>
      <c r="DE927">
        <v>8.0299999999999996E-2</v>
      </c>
      <c r="DM927">
        <v>58</v>
      </c>
    </row>
    <row r="928" spans="91:117" x14ac:dyDescent="0.25">
      <c r="CM928" t="s">
        <v>636</v>
      </c>
      <c r="CN928" t="s">
        <v>125</v>
      </c>
      <c r="CO928" t="s">
        <v>60</v>
      </c>
      <c r="CP928">
        <v>46105</v>
      </c>
      <c r="CQ928">
        <v>1</v>
      </c>
      <c r="CR928">
        <v>1</v>
      </c>
      <c r="CU928">
        <v>1</v>
      </c>
      <c r="CV928">
        <v>0</v>
      </c>
      <c r="CW928">
        <v>0</v>
      </c>
      <c r="CX928">
        <v>0</v>
      </c>
      <c r="CY928">
        <v>0</v>
      </c>
      <c r="DM928">
        <v>58</v>
      </c>
    </row>
    <row r="929" spans="91:118" x14ac:dyDescent="0.25">
      <c r="CM929" t="s">
        <v>636</v>
      </c>
      <c r="CN929" t="s">
        <v>125</v>
      </c>
      <c r="CO929" t="s">
        <v>61</v>
      </c>
      <c r="CP929">
        <v>46105</v>
      </c>
      <c r="CQ929">
        <v>1</v>
      </c>
      <c r="CR929">
        <v>1</v>
      </c>
      <c r="CS929">
        <v>1</v>
      </c>
      <c r="CV929">
        <v>5.7407407407407407E-3</v>
      </c>
      <c r="CW929">
        <v>5.7407407407407407E-3</v>
      </c>
      <c r="CX929">
        <v>0.19604166666666667</v>
      </c>
      <c r="CY929">
        <v>0.13769675925925925</v>
      </c>
      <c r="CZ929">
        <v>113</v>
      </c>
      <c r="DA929">
        <v>264</v>
      </c>
      <c r="DB929">
        <v>19</v>
      </c>
      <c r="DC929" t="s">
        <v>682</v>
      </c>
      <c r="DD929">
        <v>39100</v>
      </c>
      <c r="DE929">
        <v>0.1681</v>
      </c>
      <c r="DM929">
        <v>58</v>
      </c>
    </row>
    <row r="930" spans="91:118" x14ac:dyDescent="0.25">
      <c r="CM930" t="s">
        <v>636</v>
      </c>
      <c r="CN930" t="s">
        <v>125</v>
      </c>
      <c r="CO930" t="s">
        <v>206</v>
      </c>
      <c r="CP930">
        <v>46090</v>
      </c>
      <c r="CQ930">
        <v>1</v>
      </c>
      <c r="CR930">
        <v>1</v>
      </c>
      <c r="CT930">
        <v>1</v>
      </c>
      <c r="CV930">
        <v>5.7870370370370373E-5</v>
      </c>
      <c r="CW930">
        <v>5.7870370370370373E-5</v>
      </c>
      <c r="CX930">
        <v>0.25459490740740742</v>
      </c>
      <c r="CY930">
        <v>7.0740740740740743E-2</v>
      </c>
      <c r="CZ930">
        <v>136</v>
      </c>
      <c r="DA930">
        <v>291</v>
      </c>
      <c r="DB930">
        <v>29</v>
      </c>
      <c r="DC930" t="s">
        <v>1077</v>
      </c>
      <c r="DD930">
        <v>23901</v>
      </c>
      <c r="DE930">
        <v>0.2132</v>
      </c>
      <c r="DF930">
        <v>1</v>
      </c>
      <c r="DG930">
        <v>3.4500000000000003E-2</v>
      </c>
      <c r="DH930">
        <v>500</v>
      </c>
      <c r="DI930">
        <v>500</v>
      </c>
      <c r="DM930">
        <v>58</v>
      </c>
    </row>
    <row r="931" spans="91:118" x14ac:dyDescent="0.25">
      <c r="CM931" t="s">
        <v>636</v>
      </c>
      <c r="CN931" t="s">
        <v>125</v>
      </c>
      <c r="CO931" t="s">
        <v>10</v>
      </c>
      <c r="CP931">
        <v>46105</v>
      </c>
      <c r="CQ931">
        <v>1</v>
      </c>
      <c r="CR931">
        <v>1</v>
      </c>
      <c r="CV931">
        <v>0</v>
      </c>
      <c r="CW931">
        <v>0</v>
      </c>
      <c r="CX931">
        <v>0</v>
      </c>
      <c r="CY931">
        <v>0</v>
      </c>
      <c r="DM931">
        <v>58</v>
      </c>
    </row>
    <row r="932" spans="91:118" x14ac:dyDescent="0.25">
      <c r="CM932" t="s">
        <v>636</v>
      </c>
      <c r="CN932" t="s">
        <v>2</v>
      </c>
      <c r="CO932" t="s">
        <v>377</v>
      </c>
      <c r="CP932">
        <v>46112</v>
      </c>
      <c r="CQ932">
        <v>1</v>
      </c>
      <c r="CR932">
        <v>1</v>
      </c>
      <c r="CS932">
        <v>1</v>
      </c>
      <c r="CV932">
        <v>1.511574074074074E-2</v>
      </c>
      <c r="CW932">
        <v>1.511574074074074E-2</v>
      </c>
      <c r="CX932">
        <v>7.03125E-2</v>
      </c>
      <c r="CY932">
        <v>0.29225694444444444</v>
      </c>
      <c r="CZ932">
        <v>52</v>
      </c>
      <c r="DA932">
        <v>116</v>
      </c>
      <c r="DB932">
        <v>15</v>
      </c>
      <c r="DC932" t="s">
        <v>825</v>
      </c>
      <c r="DD932">
        <v>16903</v>
      </c>
      <c r="DE932">
        <v>0.28849999999999998</v>
      </c>
      <c r="DM932">
        <v>58</v>
      </c>
    </row>
    <row r="933" spans="91:118" x14ac:dyDescent="0.25">
      <c r="CM933" t="s">
        <v>636</v>
      </c>
      <c r="CN933" t="s">
        <v>2</v>
      </c>
      <c r="CO933" t="s">
        <v>42</v>
      </c>
      <c r="CP933">
        <v>46087</v>
      </c>
      <c r="CQ933">
        <v>1</v>
      </c>
      <c r="CR933">
        <v>1</v>
      </c>
      <c r="CV933">
        <v>0</v>
      </c>
      <c r="CW933">
        <v>0</v>
      </c>
      <c r="CX933">
        <v>0</v>
      </c>
      <c r="CY933">
        <v>0</v>
      </c>
      <c r="DM933">
        <v>58</v>
      </c>
    </row>
    <row r="934" spans="91:118" x14ac:dyDescent="0.25">
      <c r="CM934" t="s">
        <v>636</v>
      </c>
      <c r="CN934" t="s">
        <v>2</v>
      </c>
      <c r="CO934" t="s">
        <v>42</v>
      </c>
      <c r="CP934">
        <v>46100</v>
      </c>
      <c r="CQ934">
        <v>1</v>
      </c>
      <c r="CR934">
        <v>1</v>
      </c>
      <c r="CV934">
        <v>0</v>
      </c>
      <c r="CW934">
        <v>0</v>
      </c>
      <c r="CX934">
        <v>0</v>
      </c>
      <c r="CY934">
        <v>0</v>
      </c>
      <c r="DM934">
        <v>58</v>
      </c>
    </row>
    <row r="935" spans="91:118" x14ac:dyDescent="0.25">
      <c r="CM935" t="s">
        <v>636</v>
      </c>
      <c r="CN935" t="s">
        <v>2</v>
      </c>
      <c r="CO935" t="s">
        <v>17</v>
      </c>
      <c r="CP935">
        <v>46087</v>
      </c>
      <c r="CQ935">
        <v>1</v>
      </c>
      <c r="CR935">
        <v>1</v>
      </c>
      <c r="CV935">
        <v>3.9004629629629628E-3</v>
      </c>
      <c r="CW935">
        <v>3.9004629629629628E-3</v>
      </c>
      <c r="CX935">
        <v>0.17034722222222223</v>
      </c>
      <c r="CY935">
        <v>4.6828703703703706E-2</v>
      </c>
      <c r="CZ935">
        <v>48</v>
      </c>
      <c r="DA935">
        <v>101</v>
      </c>
      <c r="DB935">
        <v>7</v>
      </c>
      <c r="DC935" t="s">
        <v>730</v>
      </c>
      <c r="DD935">
        <v>50696</v>
      </c>
      <c r="DE935">
        <v>0.14580000000000001</v>
      </c>
      <c r="DM935">
        <v>58</v>
      </c>
    </row>
    <row r="936" spans="91:118" x14ac:dyDescent="0.25">
      <c r="CM936" t="s">
        <v>636</v>
      </c>
      <c r="CN936" t="s">
        <v>2</v>
      </c>
      <c r="CO936" t="s">
        <v>17</v>
      </c>
      <c r="CP936">
        <v>46100</v>
      </c>
      <c r="CQ936">
        <v>1</v>
      </c>
      <c r="CR936">
        <v>1</v>
      </c>
      <c r="CS936">
        <v>1</v>
      </c>
      <c r="CV936">
        <v>6.145833333333333E-3</v>
      </c>
      <c r="CW936">
        <v>6.145833333333333E-3</v>
      </c>
      <c r="CX936">
        <v>0.18672453703703704</v>
      </c>
      <c r="CY936">
        <v>0.15148148148148149</v>
      </c>
      <c r="CZ936">
        <v>74</v>
      </c>
      <c r="DA936">
        <v>131</v>
      </c>
      <c r="DB936">
        <v>12</v>
      </c>
      <c r="DC936" t="s">
        <v>716</v>
      </c>
      <c r="DD936">
        <v>33641</v>
      </c>
      <c r="DE936">
        <v>0.16220000000000001</v>
      </c>
      <c r="DM936">
        <v>58</v>
      </c>
    </row>
    <row r="937" spans="91:118" x14ac:dyDescent="0.25">
      <c r="CM937" t="s">
        <v>636</v>
      </c>
      <c r="CN937" t="s">
        <v>6</v>
      </c>
      <c r="CO937" t="s">
        <v>11</v>
      </c>
      <c r="CP937">
        <v>46094</v>
      </c>
      <c r="CQ937">
        <v>1</v>
      </c>
      <c r="CR937">
        <v>1</v>
      </c>
      <c r="CT937">
        <v>1</v>
      </c>
      <c r="CV937">
        <v>5.7870370370370373E-5</v>
      </c>
      <c r="CW937">
        <v>5.7870370370370373E-5</v>
      </c>
      <c r="CX937">
        <v>0.25929398148148147</v>
      </c>
      <c r="CY937">
        <v>9.9421296296296299E-2</v>
      </c>
      <c r="CZ937">
        <v>127</v>
      </c>
      <c r="DA937">
        <v>222</v>
      </c>
      <c r="DB937">
        <v>43</v>
      </c>
      <c r="DC937" t="s">
        <v>1078</v>
      </c>
      <c r="DD937">
        <v>23245</v>
      </c>
      <c r="DE937">
        <v>0.33860000000000001</v>
      </c>
      <c r="DF937">
        <v>2</v>
      </c>
      <c r="DG937">
        <v>4.65E-2</v>
      </c>
      <c r="DH937">
        <v>775</v>
      </c>
      <c r="DI937">
        <v>388</v>
      </c>
      <c r="DM937">
        <v>58</v>
      </c>
    </row>
    <row r="938" spans="91:118" x14ac:dyDescent="0.25">
      <c r="CM938" t="s">
        <v>636</v>
      </c>
      <c r="CN938" t="s">
        <v>7</v>
      </c>
      <c r="CO938" t="s">
        <v>58</v>
      </c>
      <c r="CP938">
        <v>46090</v>
      </c>
      <c r="CQ938">
        <v>1</v>
      </c>
      <c r="CR938">
        <v>1</v>
      </c>
      <c r="CV938">
        <v>0</v>
      </c>
      <c r="CW938">
        <v>0</v>
      </c>
      <c r="CX938">
        <v>0</v>
      </c>
      <c r="CY938">
        <v>0</v>
      </c>
      <c r="DM938">
        <v>58</v>
      </c>
    </row>
    <row r="939" spans="91:118" x14ac:dyDescent="0.25">
      <c r="CM939" t="s">
        <v>636</v>
      </c>
      <c r="CN939" t="s">
        <v>7</v>
      </c>
      <c r="CO939" t="s">
        <v>495</v>
      </c>
      <c r="CP939">
        <v>46112</v>
      </c>
      <c r="CQ939">
        <v>1</v>
      </c>
      <c r="CR939">
        <v>1</v>
      </c>
      <c r="CT939">
        <v>1</v>
      </c>
      <c r="CV939">
        <v>9.2592592592592588E-5</v>
      </c>
      <c r="CW939">
        <v>9.2592592592592588E-5</v>
      </c>
      <c r="CX939">
        <v>0.16565972222222222</v>
      </c>
      <c r="CY939">
        <v>0.22318287037037038</v>
      </c>
      <c r="CZ939">
        <v>137</v>
      </c>
      <c r="DA939">
        <v>235</v>
      </c>
      <c r="DB939">
        <v>31</v>
      </c>
      <c r="DC939" t="s">
        <v>675</v>
      </c>
      <c r="DD939">
        <v>14218</v>
      </c>
      <c r="DE939">
        <v>0.2263</v>
      </c>
      <c r="DF939">
        <v>2</v>
      </c>
      <c r="DG939">
        <v>6.4500000000000002E-2</v>
      </c>
      <c r="DH939">
        <v>2033</v>
      </c>
      <c r="DI939">
        <v>1017</v>
      </c>
      <c r="DJ939">
        <v>1500</v>
      </c>
      <c r="DK939">
        <v>0.73780000000000001</v>
      </c>
      <c r="DL939">
        <v>0.1321</v>
      </c>
      <c r="DM939">
        <v>58</v>
      </c>
      <c r="DN939">
        <v>1500</v>
      </c>
    </row>
    <row r="940" spans="91:118" x14ac:dyDescent="0.25">
      <c r="CM940" t="s">
        <v>636</v>
      </c>
      <c r="CN940" t="s">
        <v>7</v>
      </c>
      <c r="CO940" t="s">
        <v>549</v>
      </c>
      <c r="CP940">
        <v>46087</v>
      </c>
      <c r="CQ940">
        <v>1</v>
      </c>
      <c r="CR940">
        <v>1</v>
      </c>
      <c r="CT940">
        <v>1</v>
      </c>
      <c r="CV940">
        <v>0</v>
      </c>
      <c r="CW940">
        <v>0</v>
      </c>
      <c r="CX940">
        <v>0.29115740740740742</v>
      </c>
      <c r="CY940">
        <v>5.4178240740740742E-2</v>
      </c>
      <c r="CZ940">
        <v>165</v>
      </c>
      <c r="DA940">
        <v>258</v>
      </c>
      <c r="DB940">
        <v>46</v>
      </c>
      <c r="DC940" t="s">
        <v>975</v>
      </c>
      <c r="DD940">
        <v>11111</v>
      </c>
      <c r="DE940">
        <v>0.27879999999999999</v>
      </c>
      <c r="DF940">
        <v>2</v>
      </c>
      <c r="DG940">
        <v>4.3499999999999997E-2</v>
      </c>
      <c r="DH940">
        <v>350</v>
      </c>
      <c r="DI940">
        <v>175</v>
      </c>
      <c r="DJ940">
        <v>50</v>
      </c>
      <c r="DK940">
        <v>0.1429</v>
      </c>
      <c r="DL940">
        <v>7.5200000000000003E-2</v>
      </c>
      <c r="DM940">
        <v>58</v>
      </c>
      <c r="DN940">
        <v>50</v>
      </c>
    </row>
    <row r="941" spans="91:118" x14ac:dyDescent="0.25">
      <c r="CM941" t="s">
        <v>636</v>
      </c>
      <c r="CN941" t="s">
        <v>7</v>
      </c>
      <c r="CO941" t="s">
        <v>77</v>
      </c>
      <c r="CP941">
        <v>46090</v>
      </c>
      <c r="CQ941">
        <v>1</v>
      </c>
      <c r="CR941">
        <v>1</v>
      </c>
      <c r="CS941">
        <v>1</v>
      </c>
      <c r="CV941">
        <v>5.5439814814814813E-3</v>
      </c>
      <c r="CW941">
        <v>5.5439814814814813E-3</v>
      </c>
      <c r="CX941">
        <v>0.23346064814814815</v>
      </c>
      <c r="CY941">
        <v>0.10059027777777778</v>
      </c>
      <c r="CZ941">
        <v>86</v>
      </c>
      <c r="DA941">
        <v>198</v>
      </c>
      <c r="DB941">
        <v>15</v>
      </c>
      <c r="DC941" t="s">
        <v>742</v>
      </c>
      <c r="DD941">
        <v>16435</v>
      </c>
      <c r="DE941">
        <v>0.1744</v>
      </c>
      <c r="DM941">
        <v>58</v>
      </c>
    </row>
    <row r="942" spans="91:118" x14ac:dyDescent="0.25">
      <c r="CM942" t="s">
        <v>636</v>
      </c>
      <c r="CN942" t="s">
        <v>3</v>
      </c>
      <c r="CO942" t="s">
        <v>174</v>
      </c>
      <c r="CP942">
        <v>46086</v>
      </c>
      <c r="CQ942">
        <v>1</v>
      </c>
      <c r="CR942">
        <v>1</v>
      </c>
      <c r="CT942">
        <v>1</v>
      </c>
      <c r="CV942">
        <v>2.3148148148148147E-5</v>
      </c>
      <c r="CW942">
        <v>2.3148148148148147E-5</v>
      </c>
      <c r="CX942">
        <v>0.29120370370370369</v>
      </c>
      <c r="CY942">
        <v>0.13473379629629631</v>
      </c>
      <c r="CZ942">
        <v>263</v>
      </c>
      <c r="DA942">
        <v>348</v>
      </c>
      <c r="DB942">
        <v>30</v>
      </c>
      <c r="DC942" t="s">
        <v>859</v>
      </c>
      <c r="DD942">
        <v>14508</v>
      </c>
      <c r="DE942">
        <v>0.11409999999999999</v>
      </c>
      <c r="DF942">
        <v>2</v>
      </c>
      <c r="DG942">
        <v>6.6699999999999995E-2</v>
      </c>
      <c r="DH942">
        <v>1200</v>
      </c>
      <c r="DI942">
        <v>600</v>
      </c>
      <c r="DJ942">
        <v>200</v>
      </c>
      <c r="DK942">
        <v>0.16669999999999999</v>
      </c>
      <c r="DL942">
        <v>6.5600000000000006E-2</v>
      </c>
      <c r="DM942">
        <v>58</v>
      </c>
      <c r="DN942">
        <v>200</v>
      </c>
    </row>
    <row r="943" spans="91:118" x14ac:dyDescent="0.25">
      <c r="CM943" t="s">
        <v>636</v>
      </c>
      <c r="CN943" t="s">
        <v>3</v>
      </c>
      <c r="CO943" t="s">
        <v>493</v>
      </c>
      <c r="CP943">
        <v>46087</v>
      </c>
      <c r="CQ943">
        <v>1</v>
      </c>
      <c r="CR943">
        <v>1</v>
      </c>
      <c r="CT943">
        <v>1</v>
      </c>
      <c r="CV943">
        <v>0</v>
      </c>
      <c r="CW943">
        <v>0</v>
      </c>
      <c r="CX943">
        <v>0.27789351851851851</v>
      </c>
      <c r="CY943">
        <v>6.9780092592592588E-2</v>
      </c>
      <c r="CZ943">
        <v>178</v>
      </c>
      <c r="DA943">
        <v>230</v>
      </c>
      <c r="DB943">
        <v>25</v>
      </c>
      <c r="DC943">
        <v>1.6</v>
      </c>
      <c r="DD943">
        <v>25470</v>
      </c>
      <c r="DE943">
        <v>0.1404</v>
      </c>
      <c r="DF943">
        <v>1</v>
      </c>
      <c r="DG943">
        <v>0.04</v>
      </c>
      <c r="DH943">
        <v>719</v>
      </c>
      <c r="DI943">
        <v>719</v>
      </c>
      <c r="DM943">
        <v>58</v>
      </c>
    </row>
    <row r="944" spans="91:118" x14ac:dyDescent="0.25">
      <c r="CM944" t="s">
        <v>636</v>
      </c>
      <c r="CN944" t="s">
        <v>3</v>
      </c>
      <c r="CO944" t="s">
        <v>96</v>
      </c>
      <c r="CP944">
        <v>46094</v>
      </c>
      <c r="CQ944">
        <v>1</v>
      </c>
      <c r="CR944">
        <v>1</v>
      </c>
      <c r="CT944">
        <v>1</v>
      </c>
      <c r="CV944">
        <v>0</v>
      </c>
      <c r="CW944">
        <v>0</v>
      </c>
      <c r="CX944">
        <v>0.21431712962962962</v>
      </c>
      <c r="CY944">
        <v>0.13770833333333332</v>
      </c>
      <c r="CZ944">
        <v>69</v>
      </c>
      <c r="DA944">
        <v>153</v>
      </c>
      <c r="DB944">
        <v>16</v>
      </c>
      <c r="DC944">
        <v>2.0625</v>
      </c>
      <c r="DD944">
        <v>35326</v>
      </c>
      <c r="DE944">
        <v>0.2319</v>
      </c>
      <c r="DF944">
        <v>1</v>
      </c>
      <c r="DG944">
        <v>6.25E-2</v>
      </c>
      <c r="DH944">
        <v>1000</v>
      </c>
      <c r="DI944">
        <v>1000</v>
      </c>
      <c r="DM944">
        <v>58</v>
      </c>
    </row>
    <row r="945" spans="91:118" x14ac:dyDescent="0.25">
      <c r="CM945" t="s">
        <v>636</v>
      </c>
      <c r="CN945" t="s">
        <v>125</v>
      </c>
      <c r="CO945" t="s">
        <v>18</v>
      </c>
      <c r="CP945">
        <v>46090</v>
      </c>
      <c r="CQ945">
        <v>1</v>
      </c>
      <c r="CR945">
        <v>1</v>
      </c>
      <c r="CT945">
        <v>1</v>
      </c>
      <c r="CV945">
        <v>2.3148148148148147E-5</v>
      </c>
      <c r="CW945">
        <v>2.3148148148148147E-5</v>
      </c>
      <c r="CX945">
        <v>0.23659722222222221</v>
      </c>
      <c r="CY945">
        <v>7.9282407407407413E-2</v>
      </c>
      <c r="CZ945">
        <v>162</v>
      </c>
      <c r="DA945">
        <v>326</v>
      </c>
      <c r="DB945">
        <v>12</v>
      </c>
      <c r="DC945" t="s">
        <v>718</v>
      </c>
      <c r="DD945">
        <v>38681</v>
      </c>
      <c r="DE945">
        <v>7.4099999999999999E-2</v>
      </c>
      <c r="DM945">
        <v>56</v>
      </c>
    </row>
    <row r="946" spans="91:118" x14ac:dyDescent="0.25">
      <c r="CM946" t="s">
        <v>636</v>
      </c>
      <c r="CN946" t="s">
        <v>125</v>
      </c>
      <c r="CO946" t="s">
        <v>18</v>
      </c>
      <c r="CP946">
        <v>46108</v>
      </c>
      <c r="CQ946">
        <v>1</v>
      </c>
      <c r="CR946">
        <v>1</v>
      </c>
      <c r="CU946">
        <v>1</v>
      </c>
      <c r="CV946">
        <v>0</v>
      </c>
      <c r="CW946">
        <v>0</v>
      </c>
      <c r="CX946">
        <v>0</v>
      </c>
      <c r="CY946">
        <v>0</v>
      </c>
      <c r="DM946">
        <v>56</v>
      </c>
    </row>
    <row r="947" spans="91:118" x14ac:dyDescent="0.25">
      <c r="CM947" t="s">
        <v>636</v>
      </c>
      <c r="CN947" t="s">
        <v>125</v>
      </c>
      <c r="CO947" t="s">
        <v>109</v>
      </c>
      <c r="CP947">
        <v>46100</v>
      </c>
      <c r="CQ947">
        <v>1</v>
      </c>
      <c r="CR947">
        <v>1</v>
      </c>
      <c r="CS947">
        <v>1</v>
      </c>
      <c r="CV947">
        <v>5.1041666666666666E-3</v>
      </c>
      <c r="CW947">
        <v>5.1041666666666666E-3</v>
      </c>
      <c r="CX947">
        <v>0.19953703703703704</v>
      </c>
      <c r="CY947">
        <v>0.12347222222222222</v>
      </c>
      <c r="CZ947">
        <v>103</v>
      </c>
      <c r="DA947">
        <v>193</v>
      </c>
      <c r="DB947">
        <v>8</v>
      </c>
      <c r="DC947">
        <v>2.125</v>
      </c>
      <c r="DD947">
        <v>65538</v>
      </c>
      <c r="DE947">
        <v>7.7700000000000005E-2</v>
      </c>
      <c r="DM947">
        <v>56</v>
      </c>
    </row>
    <row r="948" spans="91:118" x14ac:dyDescent="0.25">
      <c r="CM948" t="s">
        <v>636</v>
      </c>
      <c r="CN948" t="s">
        <v>125</v>
      </c>
      <c r="CO948" t="s">
        <v>60</v>
      </c>
      <c r="CP948">
        <v>46112</v>
      </c>
      <c r="CQ948">
        <v>1</v>
      </c>
      <c r="CR948">
        <v>1</v>
      </c>
      <c r="CT948">
        <v>1</v>
      </c>
      <c r="CV948">
        <v>3.0092592592592595E-4</v>
      </c>
      <c r="CW948">
        <v>3.0092592592592595E-4</v>
      </c>
      <c r="CX948">
        <v>0.19335648148148149</v>
      </c>
      <c r="CY948">
        <v>0.11325231481481482</v>
      </c>
      <c r="CZ948">
        <v>89</v>
      </c>
      <c r="DA948">
        <v>115</v>
      </c>
      <c r="DB948">
        <v>14</v>
      </c>
      <c r="DC948" t="s">
        <v>705</v>
      </c>
      <c r="DD948">
        <v>36283</v>
      </c>
      <c r="DE948">
        <v>0.1573</v>
      </c>
      <c r="DM948">
        <v>56</v>
      </c>
    </row>
    <row r="949" spans="91:118" x14ac:dyDescent="0.25">
      <c r="CM949" t="s">
        <v>636</v>
      </c>
      <c r="CN949" t="s">
        <v>125</v>
      </c>
      <c r="CO949" t="s">
        <v>72</v>
      </c>
      <c r="CP949">
        <v>46083</v>
      </c>
      <c r="CQ949">
        <v>1</v>
      </c>
      <c r="CR949">
        <v>1</v>
      </c>
      <c r="CT949">
        <v>1</v>
      </c>
      <c r="CV949">
        <v>9.3749999999999997E-4</v>
      </c>
      <c r="CW949">
        <v>9.3749999999999997E-4</v>
      </c>
      <c r="CX949">
        <v>0.29667824074074073</v>
      </c>
      <c r="CY949">
        <v>4.1064814814814818E-2</v>
      </c>
      <c r="CZ949">
        <v>141</v>
      </c>
      <c r="DA949">
        <v>345</v>
      </c>
      <c r="DB949">
        <v>20</v>
      </c>
      <c r="DC949">
        <v>1.5</v>
      </c>
      <c r="DD949">
        <v>26250</v>
      </c>
      <c r="DE949">
        <v>0.14180000000000001</v>
      </c>
      <c r="DF949">
        <v>2</v>
      </c>
      <c r="DG949">
        <v>0.1</v>
      </c>
      <c r="DH949">
        <v>1288</v>
      </c>
      <c r="DI949">
        <v>644</v>
      </c>
      <c r="DJ949">
        <v>1288</v>
      </c>
      <c r="DK949">
        <v>1</v>
      </c>
      <c r="DM949">
        <v>56</v>
      </c>
      <c r="DN949">
        <v>644</v>
      </c>
    </row>
    <row r="950" spans="91:118" x14ac:dyDescent="0.25">
      <c r="CM950" t="s">
        <v>636</v>
      </c>
      <c r="CN950" t="s">
        <v>125</v>
      </c>
      <c r="CO950" t="s">
        <v>72</v>
      </c>
      <c r="CP950">
        <v>46112</v>
      </c>
      <c r="CQ950">
        <v>1</v>
      </c>
      <c r="CR950">
        <v>1</v>
      </c>
      <c r="CT950">
        <v>1</v>
      </c>
      <c r="CV950">
        <v>1.273148148148148E-4</v>
      </c>
      <c r="CW950">
        <v>1.273148148148148E-4</v>
      </c>
      <c r="CX950">
        <v>0.15061342592592591</v>
      </c>
      <c r="CY950">
        <v>0.24644675925925927</v>
      </c>
      <c r="CZ950">
        <v>78</v>
      </c>
      <c r="DA950">
        <v>301</v>
      </c>
      <c r="DB950">
        <v>11</v>
      </c>
      <c r="DC950">
        <v>2</v>
      </c>
      <c r="DD950">
        <v>31430</v>
      </c>
      <c r="DE950">
        <v>0.14099999999999999</v>
      </c>
      <c r="DM950">
        <v>56</v>
      </c>
    </row>
    <row r="951" spans="91:118" x14ac:dyDescent="0.25">
      <c r="CM951" t="s">
        <v>636</v>
      </c>
      <c r="CN951" t="s">
        <v>125</v>
      </c>
      <c r="CO951" t="s">
        <v>12</v>
      </c>
      <c r="CP951">
        <v>46083</v>
      </c>
      <c r="CQ951">
        <v>1</v>
      </c>
      <c r="CR951">
        <v>1</v>
      </c>
      <c r="CT951">
        <v>1</v>
      </c>
      <c r="CV951">
        <v>5.7870370370370373E-5</v>
      </c>
      <c r="CW951">
        <v>5.7870370370370373E-5</v>
      </c>
      <c r="CX951">
        <v>0.26100694444444444</v>
      </c>
      <c r="CY951">
        <v>5.6134259259259259E-2</v>
      </c>
      <c r="CZ951">
        <v>100</v>
      </c>
      <c r="DA951">
        <v>231</v>
      </c>
      <c r="DB951">
        <v>29</v>
      </c>
      <c r="DC951" t="s">
        <v>768</v>
      </c>
      <c r="DD951">
        <v>13366</v>
      </c>
      <c r="DE951">
        <v>0.28999999999999998</v>
      </c>
      <c r="DF951">
        <v>3</v>
      </c>
      <c r="DG951">
        <v>0.10340000000000001</v>
      </c>
      <c r="DH951">
        <v>3090</v>
      </c>
      <c r="DI951">
        <v>1030</v>
      </c>
      <c r="DJ951">
        <v>2790</v>
      </c>
      <c r="DK951">
        <v>0.90290000000000004</v>
      </c>
      <c r="DL951">
        <v>0.20849999999999999</v>
      </c>
      <c r="DM951">
        <v>56</v>
      </c>
      <c r="DN951">
        <v>1395</v>
      </c>
    </row>
    <row r="952" spans="91:118" x14ac:dyDescent="0.25">
      <c r="CM952" t="s">
        <v>636</v>
      </c>
      <c r="CN952" t="s">
        <v>125</v>
      </c>
      <c r="CO952" t="s">
        <v>122</v>
      </c>
      <c r="CP952">
        <v>46090</v>
      </c>
      <c r="CQ952">
        <v>1</v>
      </c>
      <c r="CR952">
        <v>1</v>
      </c>
      <c r="CT952">
        <v>1</v>
      </c>
      <c r="CV952">
        <v>6.8287037037037036E-4</v>
      </c>
      <c r="CW952">
        <v>6.8287037037037036E-4</v>
      </c>
      <c r="CX952">
        <v>0.18961805555555555</v>
      </c>
      <c r="CY952">
        <v>0.11307870370370371</v>
      </c>
      <c r="CZ952">
        <v>45</v>
      </c>
      <c r="DA952">
        <v>219</v>
      </c>
      <c r="DB952">
        <v>11</v>
      </c>
      <c r="DC952" t="s">
        <v>673</v>
      </c>
      <c r="DD952">
        <v>21789</v>
      </c>
      <c r="DE952">
        <v>0.24440000000000001</v>
      </c>
      <c r="DM952">
        <v>56</v>
      </c>
    </row>
    <row r="953" spans="91:118" x14ac:dyDescent="0.25">
      <c r="CM953" t="s">
        <v>636</v>
      </c>
      <c r="CN953" t="s">
        <v>125</v>
      </c>
      <c r="CO953" t="s">
        <v>122</v>
      </c>
      <c r="CP953">
        <v>46094</v>
      </c>
      <c r="CQ953">
        <v>1</v>
      </c>
      <c r="CR953">
        <v>1</v>
      </c>
      <c r="CS953">
        <v>1</v>
      </c>
      <c r="CV953">
        <v>9.6990740740740735E-3</v>
      </c>
      <c r="CW953">
        <v>9.6990740740740735E-3</v>
      </c>
      <c r="CX953">
        <v>0.22918981481481482</v>
      </c>
      <c r="CY953">
        <v>9.4525462962962964E-2</v>
      </c>
      <c r="CZ953">
        <v>35</v>
      </c>
      <c r="DA953">
        <v>156</v>
      </c>
      <c r="DB953">
        <v>14</v>
      </c>
      <c r="DC953" t="s">
        <v>762</v>
      </c>
      <c r="DD953">
        <v>31717</v>
      </c>
      <c r="DE953">
        <v>0.4</v>
      </c>
      <c r="DM953">
        <v>56</v>
      </c>
    </row>
    <row r="954" spans="91:118" x14ac:dyDescent="0.25">
      <c r="CM954" t="s">
        <v>636</v>
      </c>
      <c r="CN954" t="s">
        <v>125</v>
      </c>
      <c r="CO954" t="s">
        <v>206</v>
      </c>
      <c r="CP954">
        <v>46112</v>
      </c>
      <c r="CQ954">
        <v>1</v>
      </c>
      <c r="CR954">
        <v>1</v>
      </c>
      <c r="CT954">
        <v>1</v>
      </c>
      <c r="CV954">
        <v>8.1018518518518516E-5</v>
      </c>
      <c r="CW954">
        <v>8.1018518518518516E-5</v>
      </c>
      <c r="CX954">
        <v>0.21062500000000001</v>
      </c>
      <c r="CY954">
        <v>0.18447916666666667</v>
      </c>
      <c r="CZ954">
        <v>157</v>
      </c>
      <c r="DA954">
        <v>243</v>
      </c>
      <c r="DB954">
        <v>25</v>
      </c>
      <c r="DC954">
        <v>1.28</v>
      </c>
      <c r="DD954">
        <v>21157</v>
      </c>
      <c r="DE954">
        <v>0.15920000000000001</v>
      </c>
      <c r="DM954">
        <v>56</v>
      </c>
    </row>
    <row r="955" spans="91:118" x14ac:dyDescent="0.25">
      <c r="CM955" t="s">
        <v>636</v>
      </c>
      <c r="CN955" t="s">
        <v>125</v>
      </c>
      <c r="CO955" t="s">
        <v>10</v>
      </c>
      <c r="CP955">
        <v>46086</v>
      </c>
      <c r="CQ955">
        <v>1</v>
      </c>
      <c r="CR955">
        <v>1</v>
      </c>
      <c r="CV955">
        <v>0</v>
      </c>
      <c r="CW955">
        <v>0</v>
      </c>
      <c r="CX955">
        <v>0</v>
      </c>
      <c r="CY955">
        <v>0</v>
      </c>
      <c r="DM955">
        <v>56</v>
      </c>
    </row>
    <row r="956" spans="91:118" x14ac:dyDescent="0.25">
      <c r="CM956" t="s">
        <v>636</v>
      </c>
      <c r="CN956" t="s">
        <v>125</v>
      </c>
      <c r="CO956" t="s">
        <v>10</v>
      </c>
      <c r="CP956">
        <v>46087</v>
      </c>
      <c r="CQ956">
        <v>1</v>
      </c>
      <c r="CR956">
        <v>1</v>
      </c>
      <c r="CV956">
        <v>0</v>
      </c>
      <c r="CW956">
        <v>0</v>
      </c>
      <c r="CX956">
        <v>0</v>
      </c>
      <c r="CY956">
        <v>0</v>
      </c>
      <c r="DM956">
        <v>56</v>
      </c>
    </row>
    <row r="957" spans="91:118" x14ac:dyDescent="0.25">
      <c r="CM957" t="s">
        <v>636</v>
      </c>
      <c r="CN957" t="s">
        <v>125</v>
      </c>
      <c r="CO957" t="s">
        <v>10</v>
      </c>
      <c r="CP957">
        <v>46093</v>
      </c>
      <c r="CQ957">
        <v>1</v>
      </c>
      <c r="CR957">
        <v>1</v>
      </c>
      <c r="CV957">
        <v>0</v>
      </c>
      <c r="CW957">
        <v>0</v>
      </c>
      <c r="CX957">
        <v>0</v>
      </c>
      <c r="CY957">
        <v>0</v>
      </c>
      <c r="DM957">
        <v>56</v>
      </c>
    </row>
    <row r="958" spans="91:118" x14ac:dyDescent="0.25">
      <c r="CM958" t="s">
        <v>636</v>
      </c>
      <c r="CN958" t="s">
        <v>125</v>
      </c>
      <c r="CO958" t="s">
        <v>10</v>
      </c>
      <c r="CP958">
        <v>46094</v>
      </c>
      <c r="CQ958">
        <v>1</v>
      </c>
      <c r="CR958">
        <v>1</v>
      </c>
      <c r="CV958">
        <v>0</v>
      </c>
      <c r="CW958">
        <v>0</v>
      </c>
      <c r="CX958">
        <v>0</v>
      </c>
      <c r="CY958">
        <v>0</v>
      </c>
      <c r="DM958">
        <v>56</v>
      </c>
    </row>
    <row r="959" spans="91:118" x14ac:dyDescent="0.25">
      <c r="CM959" t="s">
        <v>636</v>
      </c>
      <c r="CN959" t="s">
        <v>125</v>
      </c>
      <c r="CO959" t="s">
        <v>10</v>
      </c>
      <c r="CP959">
        <v>46099</v>
      </c>
      <c r="CQ959">
        <v>1</v>
      </c>
      <c r="CR959">
        <v>1</v>
      </c>
      <c r="CV959">
        <v>0</v>
      </c>
      <c r="CW959">
        <v>0</v>
      </c>
      <c r="CX959">
        <v>0</v>
      </c>
      <c r="CY959">
        <v>0</v>
      </c>
      <c r="DM959">
        <v>56</v>
      </c>
    </row>
    <row r="960" spans="91:118" x14ac:dyDescent="0.25">
      <c r="CM960" t="s">
        <v>636</v>
      </c>
      <c r="CN960" t="s">
        <v>125</v>
      </c>
      <c r="CO960" t="s">
        <v>10</v>
      </c>
      <c r="CP960">
        <v>46100</v>
      </c>
      <c r="CQ960">
        <v>1</v>
      </c>
      <c r="CR960">
        <v>1</v>
      </c>
      <c r="CV960">
        <v>0</v>
      </c>
      <c r="CW960">
        <v>0</v>
      </c>
      <c r="CX960">
        <v>0</v>
      </c>
      <c r="CY960">
        <v>0</v>
      </c>
      <c r="DM960">
        <v>56</v>
      </c>
    </row>
    <row r="961" spans="91:117" x14ac:dyDescent="0.25">
      <c r="CM961" t="s">
        <v>636</v>
      </c>
      <c r="CN961" t="s">
        <v>125</v>
      </c>
      <c r="CO961" t="s">
        <v>10</v>
      </c>
      <c r="CP961">
        <v>46108</v>
      </c>
      <c r="CQ961">
        <v>1</v>
      </c>
      <c r="CR961">
        <v>1</v>
      </c>
      <c r="CV961">
        <v>0</v>
      </c>
      <c r="CW961">
        <v>0</v>
      </c>
      <c r="CX961">
        <v>0</v>
      </c>
      <c r="CY961">
        <v>0</v>
      </c>
      <c r="DM961">
        <v>56</v>
      </c>
    </row>
    <row r="962" spans="91:117" x14ac:dyDescent="0.25">
      <c r="CM962" t="s">
        <v>636</v>
      </c>
      <c r="CN962" t="s">
        <v>125</v>
      </c>
      <c r="CO962" t="s">
        <v>10</v>
      </c>
      <c r="CP962">
        <v>46112</v>
      </c>
      <c r="CQ962">
        <v>1</v>
      </c>
      <c r="CR962">
        <v>1</v>
      </c>
      <c r="CT962">
        <v>1</v>
      </c>
      <c r="CV962">
        <v>3.2638888888888891E-3</v>
      </c>
      <c r="CW962">
        <v>3.2638888888888891E-3</v>
      </c>
      <c r="CX962">
        <v>0.11737268518518519</v>
      </c>
      <c r="CY962">
        <v>0.21741898148148148</v>
      </c>
      <c r="CZ962">
        <v>86</v>
      </c>
      <c r="DA962">
        <v>133</v>
      </c>
      <c r="DB962">
        <v>6</v>
      </c>
      <c r="DC962">
        <v>1</v>
      </c>
      <c r="DD962">
        <v>45480</v>
      </c>
      <c r="DE962">
        <v>6.9800000000000001E-2</v>
      </c>
      <c r="DM962">
        <v>56</v>
      </c>
    </row>
    <row r="963" spans="91:117" x14ac:dyDescent="0.25">
      <c r="CM963" t="s">
        <v>636</v>
      </c>
      <c r="CN963" t="s">
        <v>2</v>
      </c>
      <c r="CO963" t="s">
        <v>15</v>
      </c>
      <c r="CP963">
        <v>46086</v>
      </c>
      <c r="CQ963">
        <v>1</v>
      </c>
      <c r="CR963">
        <v>1</v>
      </c>
      <c r="CT963">
        <v>1</v>
      </c>
      <c r="CV963">
        <v>1.0416666666666667E-4</v>
      </c>
      <c r="CW963">
        <v>1.0416666666666667E-4</v>
      </c>
      <c r="CX963">
        <v>0.30754629629629632</v>
      </c>
      <c r="CY963">
        <v>0.1136574074074074</v>
      </c>
      <c r="CZ963">
        <v>93</v>
      </c>
      <c r="DA963">
        <v>111</v>
      </c>
      <c r="DB963">
        <v>9</v>
      </c>
      <c r="DC963" t="s">
        <v>697</v>
      </c>
      <c r="DD963">
        <v>35868</v>
      </c>
      <c r="DE963">
        <v>9.6799999999999997E-2</v>
      </c>
      <c r="DM963">
        <v>56</v>
      </c>
    </row>
    <row r="964" spans="91:117" x14ac:dyDescent="0.25">
      <c r="CM964" t="s">
        <v>636</v>
      </c>
      <c r="CN964" t="s">
        <v>2</v>
      </c>
      <c r="CO964" t="s">
        <v>42</v>
      </c>
      <c r="CP964">
        <v>46085</v>
      </c>
      <c r="CQ964">
        <v>1</v>
      </c>
      <c r="CR964">
        <v>1</v>
      </c>
      <c r="CV964">
        <v>0</v>
      </c>
      <c r="CW964">
        <v>0</v>
      </c>
      <c r="CX964">
        <v>0</v>
      </c>
      <c r="CY964">
        <v>0</v>
      </c>
      <c r="DM964">
        <v>56</v>
      </c>
    </row>
    <row r="965" spans="91:117" x14ac:dyDescent="0.25">
      <c r="CM965" t="s">
        <v>636</v>
      </c>
      <c r="CN965" t="s">
        <v>2</v>
      </c>
      <c r="CO965" t="s">
        <v>42</v>
      </c>
      <c r="CP965">
        <v>46090</v>
      </c>
      <c r="CQ965">
        <v>1</v>
      </c>
      <c r="CR965">
        <v>1</v>
      </c>
      <c r="CV965">
        <v>0</v>
      </c>
      <c r="CW965">
        <v>0</v>
      </c>
      <c r="CX965">
        <v>0</v>
      </c>
      <c r="CY965">
        <v>0</v>
      </c>
      <c r="DM965">
        <v>56</v>
      </c>
    </row>
    <row r="966" spans="91:117" x14ac:dyDescent="0.25">
      <c r="CM966" t="s">
        <v>636</v>
      </c>
      <c r="CN966" t="s">
        <v>2</v>
      </c>
      <c r="CO966" t="s">
        <v>42</v>
      </c>
      <c r="CP966">
        <v>46098</v>
      </c>
      <c r="CQ966">
        <v>1</v>
      </c>
      <c r="CR966">
        <v>1</v>
      </c>
      <c r="CV966">
        <v>0</v>
      </c>
      <c r="CW966">
        <v>0</v>
      </c>
      <c r="CX966">
        <v>0</v>
      </c>
      <c r="CY966">
        <v>0</v>
      </c>
      <c r="DM966">
        <v>56</v>
      </c>
    </row>
    <row r="967" spans="91:117" x14ac:dyDescent="0.25">
      <c r="CM967" t="s">
        <v>636</v>
      </c>
      <c r="CN967" t="s">
        <v>2</v>
      </c>
      <c r="CO967" t="s">
        <v>564</v>
      </c>
      <c r="CP967">
        <v>46085</v>
      </c>
      <c r="CQ967">
        <v>1</v>
      </c>
      <c r="CR967">
        <v>1</v>
      </c>
      <c r="CU967">
        <v>1</v>
      </c>
      <c r="CV967">
        <v>0</v>
      </c>
      <c r="CW967">
        <v>0</v>
      </c>
      <c r="CX967">
        <v>0</v>
      </c>
      <c r="CY967">
        <v>0</v>
      </c>
      <c r="DM967">
        <v>56</v>
      </c>
    </row>
    <row r="968" spans="91:117" x14ac:dyDescent="0.25">
      <c r="CM968" t="s">
        <v>636</v>
      </c>
      <c r="CN968" t="s">
        <v>2</v>
      </c>
      <c r="CO968" t="s">
        <v>65</v>
      </c>
      <c r="CP968">
        <v>46097</v>
      </c>
      <c r="CQ968">
        <v>1</v>
      </c>
      <c r="CR968">
        <v>1</v>
      </c>
      <c r="CT968">
        <v>1</v>
      </c>
      <c r="CV968">
        <v>3.5879629629629629E-4</v>
      </c>
      <c r="CW968">
        <v>3.5879629629629629E-4</v>
      </c>
      <c r="CX968">
        <v>0.28802083333333334</v>
      </c>
      <c r="CY968">
        <v>0.11009259259259259</v>
      </c>
      <c r="CZ968">
        <v>72</v>
      </c>
      <c r="DA968">
        <v>171</v>
      </c>
      <c r="DB968">
        <v>9</v>
      </c>
      <c r="DC968" t="s">
        <v>674</v>
      </c>
      <c r="DD968">
        <v>24534</v>
      </c>
      <c r="DE968">
        <v>0.125</v>
      </c>
      <c r="DM968">
        <v>56</v>
      </c>
    </row>
    <row r="969" spans="91:117" x14ac:dyDescent="0.25">
      <c r="CM969" t="s">
        <v>636</v>
      </c>
      <c r="CN969" t="s">
        <v>2</v>
      </c>
      <c r="CO969" t="s">
        <v>25</v>
      </c>
      <c r="CP969">
        <v>46097</v>
      </c>
      <c r="CQ969">
        <v>1</v>
      </c>
      <c r="CR969">
        <v>1</v>
      </c>
      <c r="CT969">
        <v>1</v>
      </c>
      <c r="CV969">
        <v>1.4004629629629629E-3</v>
      </c>
      <c r="CW969">
        <v>1.4004629629629629E-3</v>
      </c>
      <c r="CX969">
        <v>0.26710648148148147</v>
      </c>
      <c r="CY969">
        <v>9.7905092592592599E-2</v>
      </c>
      <c r="CZ969">
        <v>55</v>
      </c>
      <c r="DA969">
        <v>104</v>
      </c>
      <c r="DB969">
        <v>28</v>
      </c>
      <c r="DC969">
        <v>1.75</v>
      </c>
      <c r="DD969">
        <v>28701</v>
      </c>
      <c r="DE969">
        <v>0.5091</v>
      </c>
      <c r="DM969">
        <v>56</v>
      </c>
    </row>
    <row r="970" spans="91:117" x14ac:dyDescent="0.25">
      <c r="CM970" t="s">
        <v>636</v>
      </c>
      <c r="CN970" t="s">
        <v>2</v>
      </c>
      <c r="CO970" t="s">
        <v>25</v>
      </c>
      <c r="CP970">
        <v>46098</v>
      </c>
      <c r="CQ970">
        <v>1</v>
      </c>
      <c r="CR970">
        <v>1</v>
      </c>
      <c r="CS970">
        <v>1</v>
      </c>
      <c r="CV970">
        <v>1.5057870370370371E-2</v>
      </c>
      <c r="CW970">
        <v>1.5057870370370371E-2</v>
      </c>
      <c r="CX970">
        <v>0.16954861111111111</v>
      </c>
      <c r="CY970">
        <v>0.1208449074074074</v>
      </c>
      <c r="CZ970">
        <v>34</v>
      </c>
      <c r="DA970">
        <v>66</v>
      </c>
      <c r="DB970">
        <v>15</v>
      </c>
      <c r="DC970" t="s">
        <v>674</v>
      </c>
      <c r="DD970">
        <v>16554</v>
      </c>
      <c r="DE970">
        <v>0.44119999999999998</v>
      </c>
      <c r="DM970">
        <v>56</v>
      </c>
    </row>
    <row r="971" spans="91:117" x14ac:dyDescent="0.25">
      <c r="CM971" t="s">
        <v>636</v>
      </c>
      <c r="CN971" t="s">
        <v>2</v>
      </c>
      <c r="CO971" t="s">
        <v>17</v>
      </c>
      <c r="CP971">
        <v>46086</v>
      </c>
      <c r="CQ971">
        <v>1</v>
      </c>
      <c r="CR971">
        <v>1</v>
      </c>
      <c r="CT971">
        <v>1</v>
      </c>
      <c r="CV971">
        <v>0</v>
      </c>
      <c r="CW971">
        <v>0</v>
      </c>
      <c r="CX971">
        <v>0.31925925925925924</v>
      </c>
      <c r="CY971">
        <v>9.1122685185185182E-2</v>
      </c>
      <c r="CZ971">
        <v>62</v>
      </c>
      <c r="DA971">
        <v>148</v>
      </c>
      <c r="DB971">
        <v>8</v>
      </c>
      <c r="DC971">
        <v>1.625</v>
      </c>
      <c r="DD971">
        <v>47530</v>
      </c>
      <c r="DE971">
        <v>0.129</v>
      </c>
      <c r="DM971">
        <v>56</v>
      </c>
    </row>
    <row r="972" spans="91:117" x14ac:dyDescent="0.25">
      <c r="CM972" t="s">
        <v>636</v>
      </c>
      <c r="CN972" t="s">
        <v>2</v>
      </c>
      <c r="CO972" t="s">
        <v>207</v>
      </c>
      <c r="CP972">
        <v>46097</v>
      </c>
      <c r="CQ972">
        <v>1</v>
      </c>
      <c r="CR972">
        <v>1</v>
      </c>
      <c r="CT972">
        <v>1</v>
      </c>
      <c r="CV972">
        <v>0</v>
      </c>
      <c r="CW972">
        <v>0</v>
      </c>
      <c r="CX972">
        <v>0.2517361111111111</v>
      </c>
      <c r="CY972">
        <v>9.3171296296296294E-2</v>
      </c>
      <c r="CZ972">
        <v>235</v>
      </c>
      <c r="DA972">
        <v>302</v>
      </c>
      <c r="DB972">
        <v>29</v>
      </c>
      <c r="DC972" t="s">
        <v>902</v>
      </c>
      <c r="DD972">
        <v>20281</v>
      </c>
      <c r="DE972">
        <v>0.1234</v>
      </c>
      <c r="DM972">
        <v>56</v>
      </c>
    </row>
    <row r="973" spans="91:117" x14ac:dyDescent="0.25">
      <c r="CM973" t="s">
        <v>636</v>
      </c>
      <c r="CN973" t="s">
        <v>6</v>
      </c>
      <c r="CO973" t="s">
        <v>19</v>
      </c>
      <c r="CP973">
        <v>46087</v>
      </c>
      <c r="CQ973">
        <v>1</v>
      </c>
      <c r="CR973">
        <v>1</v>
      </c>
      <c r="CT973">
        <v>1</v>
      </c>
      <c r="CV973">
        <v>1.0416666666666667E-4</v>
      </c>
      <c r="CW973">
        <v>1.0416666666666667E-4</v>
      </c>
      <c r="CX973">
        <v>0.22922453703703705</v>
      </c>
      <c r="CY973">
        <v>0.15342592592592594</v>
      </c>
      <c r="CZ973">
        <v>197</v>
      </c>
      <c r="DA973">
        <v>334</v>
      </c>
      <c r="DB973">
        <v>10</v>
      </c>
      <c r="DC973">
        <v>1.2</v>
      </c>
      <c r="DD973">
        <v>33400</v>
      </c>
      <c r="DE973">
        <v>5.0799999999999998E-2</v>
      </c>
      <c r="DM973">
        <v>56</v>
      </c>
    </row>
    <row r="974" spans="91:117" x14ac:dyDescent="0.25">
      <c r="CM974" t="s">
        <v>636</v>
      </c>
      <c r="CN974" t="s">
        <v>6</v>
      </c>
      <c r="CO974" t="s">
        <v>19</v>
      </c>
      <c r="CP974">
        <v>46093</v>
      </c>
      <c r="CQ974">
        <v>1</v>
      </c>
      <c r="CR974">
        <v>1</v>
      </c>
      <c r="CT974">
        <v>1</v>
      </c>
      <c r="CV974">
        <v>0</v>
      </c>
      <c r="CW974">
        <v>0</v>
      </c>
      <c r="CX974">
        <v>0.26458333333333334</v>
      </c>
      <c r="CY974">
        <v>0.12790509259259258</v>
      </c>
      <c r="CZ974">
        <v>186</v>
      </c>
      <c r="DA974">
        <v>287</v>
      </c>
      <c r="DB974">
        <v>22</v>
      </c>
      <c r="DC974" t="s">
        <v>740</v>
      </c>
      <c r="DD974">
        <v>23129</v>
      </c>
      <c r="DE974">
        <v>0.1183</v>
      </c>
      <c r="DM974">
        <v>56</v>
      </c>
    </row>
    <row r="975" spans="91:117" x14ac:dyDescent="0.25">
      <c r="CM975" t="s">
        <v>636</v>
      </c>
      <c r="CN975" t="s">
        <v>6</v>
      </c>
      <c r="CO975" t="s">
        <v>80</v>
      </c>
      <c r="CP975">
        <v>46087</v>
      </c>
      <c r="CQ975">
        <v>1</v>
      </c>
      <c r="CR975">
        <v>1</v>
      </c>
      <c r="CT975">
        <v>1</v>
      </c>
      <c r="CV975">
        <v>5.7870370370370373E-5</v>
      </c>
      <c r="CW975">
        <v>5.7870370370370373E-5</v>
      </c>
      <c r="CX975">
        <v>0.19446759259259258</v>
      </c>
      <c r="CY975">
        <v>8.6365740740740743E-2</v>
      </c>
      <c r="CZ975">
        <v>93</v>
      </c>
      <c r="DA975">
        <v>122</v>
      </c>
      <c r="DB975">
        <v>5</v>
      </c>
      <c r="DC975">
        <v>2.6</v>
      </c>
      <c r="DD975">
        <v>57745</v>
      </c>
      <c r="DE975">
        <v>5.3800000000000001E-2</v>
      </c>
      <c r="DM975">
        <v>56</v>
      </c>
    </row>
    <row r="976" spans="91:117" x14ac:dyDescent="0.25">
      <c r="CM976" t="s">
        <v>636</v>
      </c>
      <c r="CN976" t="s">
        <v>6</v>
      </c>
      <c r="CO976" t="s">
        <v>80</v>
      </c>
      <c r="CP976">
        <v>46107</v>
      </c>
      <c r="CQ976">
        <v>1</v>
      </c>
      <c r="CR976">
        <v>1</v>
      </c>
      <c r="CT976">
        <v>1</v>
      </c>
      <c r="CV976">
        <v>1.273148148148148E-4</v>
      </c>
      <c r="CW976">
        <v>1.273148148148148E-4</v>
      </c>
      <c r="CX976">
        <v>0.20891203703703703</v>
      </c>
      <c r="CY976">
        <v>0.13670138888888889</v>
      </c>
      <c r="CZ976">
        <v>50</v>
      </c>
      <c r="DA976">
        <v>87</v>
      </c>
      <c r="DB976">
        <v>10</v>
      </c>
      <c r="DC976">
        <v>2.1</v>
      </c>
      <c r="DD976">
        <v>34604</v>
      </c>
      <c r="DE976">
        <v>0.2</v>
      </c>
      <c r="DM976">
        <v>56</v>
      </c>
    </row>
    <row r="977" spans="91:118" x14ac:dyDescent="0.25">
      <c r="CM977" t="s">
        <v>636</v>
      </c>
      <c r="CN977" t="s">
        <v>6</v>
      </c>
      <c r="CO977" t="s">
        <v>81</v>
      </c>
      <c r="CP977">
        <v>46084</v>
      </c>
      <c r="CQ977">
        <v>1</v>
      </c>
      <c r="CR977">
        <v>1</v>
      </c>
      <c r="CT977">
        <v>1</v>
      </c>
      <c r="CV977">
        <v>9.2592592592592588E-5</v>
      </c>
      <c r="CW977">
        <v>9.2592592592592588E-5</v>
      </c>
      <c r="CX977">
        <v>0.28424768518518517</v>
      </c>
      <c r="CY977">
        <v>0.13033564814814816</v>
      </c>
      <c r="CZ977">
        <v>108</v>
      </c>
      <c r="DA977">
        <v>195</v>
      </c>
      <c r="DB977">
        <v>12</v>
      </c>
      <c r="DC977">
        <v>1.75</v>
      </c>
      <c r="DD977">
        <v>20984</v>
      </c>
      <c r="DE977">
        <v>0.1111</v>
      </c>
      <c r="DF977">
        <v>1</v>
      </c>
      <c r="DG977">
        <v>8.3299999999999999E-2</v>
      </c>
      <c r="DH977">
        <v>400</v>
      </c>
      <c r="DI977">
        <v>400</v>
      </c>
      <c r="DM977">
        <v>56</v>
      </c>
    </row>
    <row r="978" spans="91:118" x14ac:dyDescent="0.25">
      <c r="CM978" t="s">
        <v>636</v>
      </c>
      <c r="CN978" t="s">
        <v>6</v>
      </c>
      <c r="CO978" t="s">
        <v>81</v>
      </c>
      <c r="CP978">
        <v>46107</v>
      </c>
      <c r="CQ978">
        <v>1</v>
      </c>
      <c r="CR978">
        <v>1</v>
      </c>
      <c r="CT978">
        <v>1</v>
      </c>
      <c r="CV978">
        <v>3.4722222222222222E-5</v>
      </c>
      <c r="CW978">
        <v>3.4722222222222222E-5</v>
      </c>
      <c r="CX978">
        <v>0.20945601851851853</v>
      </c>
      <c r="CY978">
        <v>0.14614583333333334</v>
      </c>
      <c r="CZ978">
        <v>58</v>
      </c>
      <c r="DA978">
        <v>136</v>
      </c>
      <c r="DB978">
        <v>18</v>
      </c>
      <c r="DC978" t="s">
        <v>749</v>
      </c>
      <c r="DD978">
        <v>17507</v>
      </c>
      <c r="DE978">
        <v>0.31030000000000002</v>
      </c>
      <c r="DM978">
        <v>56</v>
      </c>
    </row>
    <row r="979" spans="91:118" x14ac:dyDescent="0.25">
      <c r="CM979" t="s">
        <v>636</v>
      </c>
      <c r="CN979" t="s">
        <v>6</v>
      </c>
      <c r="CO979" t="s">
        <v>81</v>
      </c>
      <c r="CP979">
        <v>46112</v>
      </c>
      <c r="CQ979">
        <v>1</v>
      </c>
      <c r="CR979">
        <v>1</v>
      </c>
      <c r="CS979">
        <v>1</v>
      </c>
      <c r="CV979">
        <v>7.858796296296296E-3</v>
      </c>
      <c r="CW979">
        <v>7.858796296296296E-3</v>
      </c>
      <c r="CX979">
        <v>0.18927083333333333</v>
      </c>
      <c r="CY979">
        <v>0.1995949074074074</v>
      </c>
      <c r="CZ979">
        <v>39</v>
      </c>
      <c r="DA979">
        <v>85</v>
      </c>
      <c r="DB979">
        <v>14</v>
      </c>
      <c r="DC979" t="s">
        <v>850</v>
      </c>
      <c r="DD979">
        <v>33071</v>
      </c>
      <c r="DE979">
        <v>0.35899999999999999</v>
      </c>
      <c r="DF979">
        <v>2</v>
      </c>
      <c r="DG979">
        <v>0.1429</v>
      </c>
      <c r="DH979">
        <v>800</v>
      </c>
      <c r="DI979">
        <v>400</v>
      </c>
      <c r="DJ979">
        <v>400</v>
      </c>
      <c r="DK979">
        <v>0.5</v>
      </c>
      <c r="DM979">
        <v>56</v>
      </c>
      <c r="DN979">
        <v>400</v>
      </c>
    </row>
    <row r="980" spans="91:118" x14ac:dyDescent="0.25">
      <c r="CM980" t="s">
        <v>636</v>
      </c>
      <c r="CN980" t="s">
        <v>6</v>
      </c>
      <c r="CO980" t="s">
        <v>105</v>
      </c>
      <c r="CP980">
        <v>46083</v>
      </c>
      <c r="CQ980">
        <v>1</v>
      </c>
      <c r="CR980">
        <v>1</v>
      </c>
      <c r="CS980">
        <v>1</v>
      </c>
      <c r="CV980">
        <v>5.1504629629629626E-3</v>
      </c>
      <c r="CW980">
        <v>5.1504629629629626E-3</v>
      </c>
      <c r="CX980">
        <v>0.21931712962962963</v>
      </c>
      <c r="CY980">
        <v>0.10372685185185185</v>
      </c>
      <c r="CZ980">
        <v>84</v>
      </c>
      <c r="DA980">
        <v>155</v>
      </c>
      <c r="DB980">
        <v>26</v>
      </c>
      <c r="DC980" t="s">
        <v>711</v>
      </c>
      <c r="DD980">
        <v>25911</v>
      </c>
      <c r="DE980">
        <v>0.3095</v>
      </c>
      <c r="DF980">
        <v>3</v>
      </c>
      <c r="DG980">
        <v>0.1154</v>
      </c>
      <c r="DH980">
        <v>4330</v>
      </c>
      <c r="DI980">
        <v>1443</v>
      </c>
      <c r="DJ980">
        <v>3725</v>
      </c>
      <c r="DK980">
        <v>0.86029999999999995</v>
      </c>
      <c r="DL980">
        <v>8.9099999999999999E-2</v>
      </c>
      <c r="DM980">
        <v>56</v>
      </c>
      <c r="DN980">
        <v>1863</v>
      </c>
    </row>
    <row r="981" spans="91:118" x14ac:dyDescent="0.25">
      <c r="CM981" t="s">
        <v>636</v>
      </c>
      <c r="CN981" t="s">
        <v>6</v>
      </c>
      <c r="CO981" t="s">
        <v>105</v>
      </c>
      <c r="CP981">
        <v>46084</v>
      </c>
      <c r="CQ981">
        <v>1</v>
      </c>
      <c r="CR981">
        <v>1</v>
      </c>
      <c r="CT981">
        <v>1</v>
      </c>
      <c r="CV981">
        <v>1.5046296296296297E-4</v>
      </c>
      <c r="CW981">
        <v>1.5046296296296297E-4</v>
      </c>
      <c r="CX981">
        <v>0.26601851851851854</v>
      </c>
      <c r="CY981">
        <v>0.17704861111111111</v>
      </c>
      <c r="CZ981">
        <v>76</v>
      </c>
      <c r="DA981">
        <v>181</v>
      </c>
      <c r="DB981">
        <v>20</v>
      </c>
      <c r="DC981">
        <v>1.8</v>
      </c>
      <c r="DD981">
        <v>19770</v>
      </c>
      <c r="DE981">
        <v>0.26319999999999999</v>
      </c>
      <c r="DF981">
        <v>1</v>
      </c>
      <c r="DG981">
        <v>0.05</v>
      </c>
      <c r="DH981">
        <v>2000</v>
      </c>
      <c r="DI981">
        <v>2000</v>
      </c>
      <c r="DM981">
        <v>56</v>
      </c>
    </row>
    <row r="982" spans="91:118" x14ac:dyDescent="0.25">
      <c r="CM982" t="s">
        <v>636</v>
      </c>
      <c r="CN982" t="s">
        <v>6</v>
      </c>
      <c r="CO982" t="s">
        <v>105</v>
      </c>
      <c r="CP982">
        <v>46087</v>
      </c>
      <c r="CQ982">
        <v>1</v>
      </c>
      <c r="CR982">
        <v>1</v>
      </c>
      <c r="CT982">
        <v>1</v>
      </c>
      <c r="CV982">
        <v>6.9444444444444444E-5</v>
      </c>
      <c r="CW982">
        <v>6.9444444444444444E-5</v>
      </c>
      <c r="CX982">
        <v>0.21390046296296297</v>
      </c>
      <c r="CY982">
        <v>0.11761574074074074</v>
      </c>
      <c r="CZ982">
        <v>55</v>
      </c>
      <c r="DA982">
        <v>152</v>
      </c>
      <c r="DB982">
        <v>10</v>
      </c>
      <c r="DC982">
        <v>1.6</v>
      </c>
      <c r="DD982">
        <v>49164</v>
      </c>
      <c r="DE982">
        <v>0.18179999999999999</v>
      </c>
      <c r="DM982">
        <v>56</v>
      </c>
    </row>
    <row r="983" spans="91:118" x14ac:dyDescent="0.25">
      <c r="CM983" t="s">
        <v>636</v>
      </c>
      <c r="CN983" t="s">
        <v>6</v>
      </c>
      <c r="CO983" t="s">
        <v>105</v>
      </c>
      <c r="CP983">
        <v>46093</v>
      </c>
      <c r="CQ983">
        <v>1</v>
      </c>
      <c r="CR983">
        <v>1</v>
      </c>
      <c r="CT983">
        <v>1</v>
      </c>
      <c r="CV983">
        <v>1.9675925925925926E-4</v>
      </c>
      <c r="CW983">
        <v>1.9675925925925926E-4</v>
      </c>
      <c r="CX983">
        <v>0.24557870370370372</v>
      </c>
      <c r="CY983">
        <v>0.1037037037037037</v>
      </c>
      <c r="CZ983">
        <v>116</v>
      </c>
      <c r="DA983">
        <v>240</v>
      </c>
      <c r="DB983">
        <v>25</v>
      </c>
      <c r="DC983">
        <v>1.64</v>
      </c>
      <c r="DD983">
        <v>30627</v>
      </c>
      <c r="DE983">
        <v>0.2155</v>
      </c>
      <c r="DM983">
        <v>56</v>
      </c>
    </row>
    <row r="984" spans="91:118" x14ac:dyDescent="0.25">
      <c r="CM984" t="s">
        <v>636</v>
      </c>
      <c r="CN984" t="s">
        <v>6</v>
      </c>
      <c r="CO984" t="s">
        <v>26</v>
      </c>
      <c r="CP984">
        <v>46100</v>
      </c>
      <c r="CQ984">
        <v>1</v>
      </c>
      <c r="CR984">
        <v>1</v>
      </c>
      <c r="CV984">
        <v>0</v>
      </c>
      <c r="CW984">
        <v>0</v>
      </c>
      <c r="CX984">
        <v>0</v>
      </c>
      <c r="CY984">
        <v>0</v>
      </c>
      <c r="DM984">
        <v>56</v>
      </c>
    </row>
    <row r="985" spans="91:118" x14ac:dyDescent="0.25">
      <c r="CM985" t="s">
        <v>636</v>
      </c>
      <c r="CN985" t="s">
        <v>6</v>
      </c>
      <c r="CO985" t="s">
        <v>37</v>
      </c>
      <c r="CP985">
        <v>46091</v>
      </c>
      <c r="CQ985">
        <v>1</v>
      </c>
      <c r="CR985">
        <v>1</v>
      </c>
      <c r="CT985">
        <v>1</v>
      </c>
      <c r="CV985">
        <v>1.3888888888888889E-4</v>
      </c>
      <c r="CW985">
        <v>1.3888888888888889E-4</v>
      </c>
      <c r="CX985">
        <v>0.27378472222222222</v>
      </c>
      <c r="CY985">
        <v>0.11540509259259259</v>
      </c>
      <c r="CZ985">
        <v>127</v>
      </c>
      <c r="DA985">
        <v>228</v>
      </c>
      <c r="DB985">
        <v>29</v>
      </c>
      <c r="DC985" t="s">
        <v>1006</v>
      </c>
      <c r="DD985">
        <v>13653</v>
      </c>
      <c r="DE985">
        <v>0.2283</v>
      </c>
      <c r="DF985">
        <v>2</v>
      </c>
      <c r="DG985">
        <v>6.9000000000000006E-2</v>
      </c>
      <c r="DH985">
        <v>564</v>
      </c>
      <c r="DI985">
        <v>282</v>
      </c>
      <c r="DM985">
        <v>56</v>
      </c>
    </row>
    <row r="986" spans="91:118" x14ac:dyDescent="0.25">
      <c r="CM986" t="s">
        <v>636</v>
      </c>
      <c r="CN986" t="s">
        <v>6</v>
      </c>
      <c r="CO986" t="s">
        <v>37</v>
      </c>
      <c r="CP986">
        <v>46100</v>
      </c>
      <c r="CQ986">
        <v>1</v>
      </c>
      <c r="CR986">
        <v>1</v>
      </c>
      <c r="CS986">
        <v>1</v>
      </c>
      <c r="CV986">
        <v>0.13949074074074075</v>
      </c>
      <c r="CW986">
        <v>0.13949074074074075</v>
      </c>
      <c r="CX986">
        <v>4.9305555555555554E-2</v>
      </c>
      <c r="CY986">
        <v>8.9606481481481481E-2</v>
      </c>
      <c r="CZ986">
        <v>30</v>
      </c>
      <c r="DA986">
        <v>38</v>
      </c>
      <c r="DB986">
        <v>9</v>
      </c>
      <c r="DC986" t="s">
        <v>718</v>
      </c>
      <c r="DD986">
        <v>45760</v>
      </c>
      <c r="DE986">
        <v>0.3</v>
      </c>
      <c r="DM986">
        <v>56</v>
      </c>
    </row>
    <row r="987" spans="91:118" x14ac:dyDescent="0.25">
      <c r="CM987" t="s">
        <v>636</v>
      </c>
      <c r="CN987" t="s">
        <v>6</v>
      </c>
      <c r="CO987" t="s">
        <v>35</v>
      </c>
      <c r="CP987">
        <v>46107</v>
      </c>
      <c r="CQ987">
        <v>1</v>
      </c>
      <c r="CR987">
        <v>1</v>
      </c>
      <c r="CT987">
        <v>1</v>
      </c>
      <c r="CV987">
        <v>8.1018518518518516E-5</v>
      </c>
      <c r="CW987">
        <v>8.1018518518518516E-5</v>
      </c>
      <c r="CX987">
        <v>0.22148148148148147</v>
      </c>
      <c r="CY987">
        <v>0.13043981481481481</v>
      </c>
      <c r="CZ987">
        <v>73</v>
      </c>
      <c r="DA987">
        <v>132</v>
      </c>
      <c r="DB987">
        <v>20</v>
      </c>
      <c r="DC987">
        <v>1.45</v>
      </c>
      <c r="DD987">
        <v>58114</v>
      </c>
      <c r="DE987">
        <v>0.27400000000000002</v>
      </c>
      <c r="DM987">
        <v>56</v>
      </c>
    </row>
    <row r="988" spans="91:118" x14ac:dyDescent="0.25">
      <c r="CM988" t="s">
        <v>636</v>
      </c>
      <c r="CN988" t="s">
        <v>6</v>
      </c>
      <c r="CO988" t="s">
        <v>11</v>
      </c>
      <c r="CP988">
        <v>46093</v>
      </c>
      <c r="CQ988">
        <v>1</v>
      </c>
      <c r="CR988">
        <v>1</v>
      </c>
      <c r="CT988">
        <v>1</v>
      </c>
      <c r="CV988">
        <v>1.7361111111111112E-4</v>
      </c>
      <c r="CW988">
        <v>1.7361111111111112E-4</v>
      </c>
      <c r="CX988">
        <v>0.26371527777777776</v>
      </c>
      <c r="CY988">
        <v>0.10962962962962963</v>
      </c>
      <c r="CZ988">
        <v>118</v>
      </c>
      <c r="DA988">
        <v>214</v>
      </c>
      <c r="DB988">
        <v>27</v>
      </c>
      <c r="DC988" t="s">
        <v>998</v>
      </c>
      <c r="DD988">
        <v>18832</v>
      </c>
      <c r="DE988">
        <v>0.2288</v>
      </c>
      <c r="DM988">
        <v>56</v>
      </c>
    </row>
    <row r="989" spans="91:118" x14ac:dyDescent="0.25">
      <c r="CM989" t="s">
        <v>636</v>
      </c>
      <c r="CN989" t="s">
        <v>6</v>
      </c>
      <c r="CO989" t="s">
        <v>34</v>
      </c>
      <c r="CP989">
        <v>46087</v>
      </c>
      <c r="CQ989">
        <v>1</v>
      </c>
      <c r="CR989">
        <v>1</v>
      </c>
      <c r="CT989">
        <v>1</v>
      </c>
      <c r="CV989">
        <v>5.7870370370370373E-5</v>
      </c>
      <c r="CW989">
        <v>5.7870370370370373E-5</v>
      </c>
      <c r="CX989">
        <v>0.23417824074074073</v>
      </c>
      <c r="CY989">
        <v>0.10097222222222223</v>
      </c>
      <c r="CZ989">
        <v>114</v>
      </c>
      <c r="DA989">
        <v>161</v>
      </c>
      <c r="DB989">
        <v>8</v>
      </c>
      <c r="DC989">
        <v>1.75</v>
      </c>
      <c r="DD989">
        <v>19672</v>
      </c>
      <c r="DE989">
        <v>7.0199999999999999E-2</v>
      </c>
      <c r="DM989">
        <v>56</v>
      </c>
    </row>
    <row r="990" spans="91:118" x14ac:dyDescent="0.25">
      <c r="CM990" t="s">
        <v>636</v>
      </c>
      <c r="CN990" t="s">
        <v>7</v>
      </c>
      <c r="CO990" t="s">
        <v>41</v>
      </c>
      <c r="CP990">
        <v>46100</v>
      </c>
      <c r="CQ990">
        <v>1</v>
      </c>
      <c r="CR990">
        <v>1</v>
      </c>
      <c r="CT990">
        <v>1</v>
      </c>
      <c r="CV990">
        <v>0</v>
      </c>
      <c r="CW990">
        <v>0</v>
      </c>
      <c r="CX990">
        <v>0.18621527777777777</v>
      </c>
      <c r="CY990">
        <v>0.14743055555555556</v>
      </c>
      <c r="CZ990">
        <v>104</v>
      </c>
      <c r="DA990">
        <v>190</v>
      </c>
      <c r="DB990">
        <v>24</v>
      </c>
      <c r="DC990" t="s">
        <v>1024</v>
      </c>
      <c r="DD990">
        <v>10874</v>
      </c>
      <c r="DE990">
        <v>0.23080000000000001</v>
      </c>
      <c r="DM990">
        <v>56</v>
      </c>
    </row>
    <row r="991" spans="91:118" x14ac:dyDescent="0.25">
      <c r="CM991" t="s">
        <v>636</v>
      </c>
      <c r="CN991" t="s">
        <v>7</v>
      </c>
      <c r="CO991" t="s">
        <v>495</v>
      </c>
      <c r="CP991">
        <v>46093</v>
      </c>
      <c r="CQ991">
        <v>1</v>
      </c>
      <c r="CR991">
        <v>1</v>
      </c>
      <c r="CT991">
        <v>1</v>
      </c>
      <c r="CV991">
        <v>0</v>
      </c>
      <c r="CW991">
        <v>0</v>
      </c>
      <c r="CX991">
        <v>0.20355324074074074</v>
      </c>
      <c r="CY991">
        <v>0.17069444444444445</v>
      </c>
      <c r="CZ991">
        <v>154</v>
      </c>
      <c r="DA991">
        <v>321</v>
      </c>
      <c r="DB991">
        <v>36</v>
      </c>
      <c r="DC991">
        <v>1.75</v>
      </c>
      <c r="DD991">
        <v>11104</v>
      </c>
      <c r="DE991">
        <v>0.23380000000000001</v>
      </c>
      <c r="DM991">
        <v>56</v>
      </c>
    </row>
    <row r="992" spans="91:118" x14ac:dyDescent="0.25">
      <c r="CM992" t="s">
        <v>636</v>
      </c>
      <c r="CN992" t="s">
        <v>7</v>
      </c>
      <c r="CO992" t="s">
        <v>51</v>
      </c>
      <c r="CP992">
        <v>46091</v>
      </c>
      <c r="CQ992">
        <v>1</v>
      </c>
      <c r="CR992">
        <v>1</v>
      </c>
      <c r="CT992">
        <v>1</v>
      </c>
      <c r="CV992">
        <v>0</v>
      </c>
      <c r="CW992">
        <v>0</v>
      </c>
      <c r="CX992">
        <v>0.30609953703703702</v>
      </c>
      <c r="CY992">
        <v>0.10160879629629629</v>
      </c>
      <c r="CZ992">
        <v>118</v>
      </c>
      <c r="DA992">
        <v>218</v>
      </c>
      <c r="DB992">
        <v>15</v>
      </c>
      <c r="DC992" t="s">
        <v>857</v>
      </c>
      <c r="DD992">
        <v>16358</v>
      </c>
      <c r="DE992">
        <v>0.12709999999999999</v>
      </c>
      <c r="DM992">
        <v>56</v>
      </c>
    </row>
    <row r="993" spans="91:117" x14ac:dyDescent="0.25">
      <c r="CM993" t="s">
        <v>636</v>
      </c>
      <c r="CN993" t="s">
        <v>7</v>
      </c>
      <c r="CO993" t="s">
        <v>51</v>
      </c>
      <c r="CP993">
        <v>46100</v>
      </c>
      <c r="CQ993">
        <v>1</v>
      </c>
      <c r="CR993">
        <v>1</v>
      </c>
      <c r="CT993">
        <v>1</v>
      </c>
      <c r="CV993">
        <v>3.2291666666666666E-3</v>
      </c>
      <c r="CW993">
        <v>3.2291666666666666E-3</v>
      </c>
      <c r="CX993">
        <v>0.20952546296296296</v>
      </c>
      <c r="CY993">
        <v>0.11868055555555555</v>
      </c>
      <c r="CZ993">
        <v>98</v>
      </c>
      <c r="DA993">
        <v>205</v>
      </c>
      <c r="DB993">
        <v>9</v>
      </c>
      <c r="DC993" t="s">
        <v>769</v>
      </c>
      <c r="DD993">
        <v>37043</v>
      </c>
      <c r="DE993">
        <v>9.1800000000000007E-2</v>
      </c>
      <c r="DM993">
        <v>56</v>
      </c>
    </row>
    <row r="994" spans="91:117" x14ac:dyDescent="0.25">
      <c r="CM994" t="s">
        <v>636</v>
      </c>
      <c r="CN994" t="s">
        <v>7</v>
      </c>
      <c r="CO994" t="s">
        <v>49</v>
      </c>
      <c r="CP994">
        <v>46091</v>
      </c>
      <c r="CQ994">
        <v>1</v>
      </c>
      <c r="CR994">
        <v>1</v>
      </c>
      <c r="CT994">
        <v>1</v>
      </c>
      <c r="CV994">
        <v>0</v>
      </c>
      <c r="CW994">
        <v>0</v>
      </c>
      <c r="CX994">
        <v>0.30238425925925927</v>
      </c>
      <c r="CY994">
        <v>0.12612268518518518</v>
      </c>
      <c r="CZ994">
        <v>62</v>
      </c>
      <c r="DA994">
        <v>128</v>
      </c>
      <c r="DB994">
        <v>26</v>
      </c>
      <c r="DC994" t="s">
        <v>733</v>
      </c>
      <c r="DD994">
        <v>20483</v>
      </c>
      <c r="DE994">
        <v>0.4194</v>
      </c>
      <c r="DM994">
        <v>56</v>
      </c>
    </row>
    <row r="995" spans="91:117" x14ac:dyDescent="0.25">
      <c r="CM995" t="s">
        <v>636</v>
      </c>
      <c r="CN995" t="s">
        <v>7</v>
      </c>
      <c r="CO995" t="s">
        <v>49</v>
      </c>
      <c r="CP995">
        <v>46092</v>
      </c>
      <c r="CQ995">
        <v>1</v>
      </c>
      <c r="CR995">
        <v>1</v>
      </c>
      <c r="CT995">
        <v>1</v>
      </c>
      <c r="CV995">
        <v>0</v>
      </c>
      <c r="CW995">
        <v>0</v>
      </c>
      <c r="CX995">
        <v>0.23171296296296295</v>
      </c>
      <c r="CY995">
        <v>0.1070949074074074</v>
      </c>
      <c r="CZ995">
        <v>54</v>
      </c>
      <c r="DA995">
        <v>95</v>
      </c>
      <c r="DB995">
        <v>10</v>
      </c>
      <c r="DC995">
        <v>1.4</v>
      </c>
      <c r="DD995">
        <v>44361</v>
      </c>
      <c r="DE995">
        <v>0.1852</v>
      </c>
      <c r="DM995">
        <v>56</v>
      </c>
    </row>
    <row r="996" spans="91:117" x14ac:dyDescent="0.25">
      <c r="CM996" t="s">
        <v>636</v>
      </c>
      <c r="CN996" t="s">
        <v>7</v>
      </c>
      <c r="CO996" t="s">
        <v>49</v>
      </c>
      <c r="CP996">
        <v>46100</v>
      </c>
      <c r="CQ996">
        <v>1</v>
      </c>
      <c r="CR996">
        <v>1</v>
      </c>
      <c r="CT996">
        <v>1</v>
      </c>
      <c r="CV996">
        <v>0</v>
      </c>
      <c r="CW996">
        <v>0</v>
      </c>
      <c r="CX996">
        <v>0.21504629629629629</v>
      </c>
      <c r="CY996">
        <v>0.12490740740740741</v>
      </c>
      <c r="CZ996">
        <v>69</v>
      </c>
      <c r="DA996">
        <v>96</v>
      </c>
      <c r="DB996">
        <v>11</v>
      </c>
      <c r="DC996" t="s">
        <v>680</v>
      </c>
      <c r="DD996">
        <v>31865</v>
      </c>
      <c r="DE996">
        <v>0.15939999999999999</v>
      </c>
      <c r="DM996">
        <v>56</v>
      </c>
    </row>
    <row r="997" spans="91:117" x14ac:dyDescent="0.25">
      <c r="CM997" t="s">
        <v>636</v>
      </c>
      <c r="CN997" t="s">
        <v>7</v>
      </c>
      <c r="CO997" t="s">
        <v>565</v>
      </c>
      <c r="CP997">
        <v>46101</v>
      </c>
      <c r="CQ997">
        <v>1</v>
      </c>
      <c r="CR997">
        <v>1</v>
      </c>
      <c r="CT997">
        <v>1</v>
      </c>
      <c r="CV997">
        <v>1.5046296296296297E-4</v>
      </c>
      <c r="CW997">
        <v>1.5046296296296297E-4</v>
      </c>
      <c r="CX997">
        <v>0.1698611111111111</v>
      </c>
      <c r="CY997">
        <v>0.16541666666666666</v>
      </c>
      <c r="CZ997">
        <v>89</v>
      </c>
      <c r="DA997">
        <v>172</v>
      </c>
      <c r="DB997">
        <v>27</v>
      </c>
      <c r="DC997" t="s">
        <v>726</v>
      </c>
      <c r="DD997">
        <v>10557</v>
      </c>
      <c r="DE997">
        <v>0.3034</v>
      </c>
      <c r="DM997">
        <v>56</v>
      </c>
    </row>
    <row r="998" spans="91:117" x14ac:dyDescent="0.25">
      <c r="CM998" t="s">
        <v>636</v>
      </c>
      <c r="CN998" t="s">
        <v>7</v>
      </c>
      <c r="CO998" t="s">
        <v>549</v>
      </c>
      <c r="CP998">
        <v>46101</v>
      </c>
      <c r="CQ998">
        <v>1</v>
      </c>
      <c r="CR998">
        <v>1</v>
      </c>
      <c r="CT998">
        <v>1</v>
      </c>
      <c r="CV998">
        <v>6.5972222222222224E-4</v>
      </c>
      <c r="CW998">
        <v>6.5972222222222224E-4</v>
      </c>
      <c r="CX998">
        <v>0.22987268518518519</v>
      </c>
      <c r="CY998">
        <v>0.13275462962962964</v>
      </c>
      <c r="CZ998">
        <v>155</v>
      </c>
      <c r="DA998">
        <v>229</v>
      </c>
      <c r="DB998">
        <v>35</v>
      </c>
      <c r="DC998" t="s">
        <v>730</v>
      </c>
      <c r="DD998">
        <v>11885</v>
      </c>
      <c r="DE998">
        <v>0.2258</v>
      </c>
      <c r="DM998">
        <v>56</v>
      </c>
    </row>
    <row r="999" spans="91:117" x14ac:dyDescent="0.25">
      <c r="CM999" t="s">
        <v>636</v>
      </c>
      <c r="CN999" t="s">
        <v>7</v>
      </c>
      <c r="CO999" t="s">
        <v>73</v>
      </c>
      <c r="CP999">
        <v>46092</v>
      </c>
      <c r="CQ999">
        <v>1</v>
      </c>
      <c r="CR999">
        <v>1</v>
      </c>
      <c r="CT999">
        <v>1</v>
      </c>
      <c r="CV999">
        <v>1.3888888888888889E-4</v>
      </c>
      <c r="CW999">
        <v>1.3888888888888889E-4</v>
      </c>
      <c r="CX999">
        <v>0.2287962962962963</v>
      </c>
      <c r="CY999">
        <v>0.1200925925925926</v>
      </c>
      <c r="CZ999">
        <v>47</v>
      </c>
      <c r="DA999">
        <v>87</v>
      </c>
      <c r="DB999">
        <v>10</v>
      </c>
      <c r="DC999">
        <v>1.2</v>
      </c>
      <c r="DD999">
        <v>22705</v>
      </c>
      <c r="DE999">
        <v>0.21279999999999999</v>
      </c>
      <c r="DM999">
        <v>56</v>
      </c>
    </row>
    <row r="1000" spans="91:117" x14ac:dyDescent="0.25">
      <c r="CM1000" t="s">
        <v>636</v>
      </c>
      <c r="CN1000" t="s">
        <v>3</v>
      </c>
      <c r="CO1000" t="s">
        <v>174</v>
      </c>
      <c r="CP1000">
        <v>46087</v>
      </c>
      <c r="CQ1000">
        <v>1</v>
      </c>
      <c r="CR1000">
        <v>1</v>
      </c>
      <c r="CT1000">
        <v>1</v>
      </c>
      <c r="CV1000">
        <v>2.3148148148148147E-5</v>
      </c>
      <c r="CW1000">
        <v>2.3148148148148147E-5</v>
      </c>
      <c r="CX1000">
        <v>0.23327546296296298</v>
      </c>
      <c r="CY1000">
        <v>0.10232638888888888</v>
      </c>
      <c r="CZ1000">
        <v>203</v>
      </c>
      <c r="DA1000">
        <v>245</v>
      </c>
      <c r="DB1000">
        <v>19</v>
      </c>
      <c r="DC1000" t="s">
        <v>836</v>
      </c>
      <c r="DD1000">
        <v>33897</v>
      </c>
      <c r="DE1000">
        <v>9.3600000000000003E-2</v>
      </c>
      <c r="DM1000">
        <v>56</v>
      </c>
    </row>
    <row r="1001" spans="91:117" x14ac:dyDescent="0.25">
      <c r="CM1001" t="s">
        <v>636</v>
      </c>
      <c r="CN1001" t="s">
        <v>3</v>
      </c>
      <c r="CO1001" t="s">
        <v>174</v>
      </c>
      <c r="CP1001">
        <v>46105</v>
      </c>
      <c r="CQ1001">
        <v>1</v>
      </c>
      <c r="CR1001">
        <v>1</v>
      </c>
      <c r="CT1001">
        <v>1</v>
      </c>
      <c r="CV1001">
        <v>3.4722222222222222E-5</v>
      </c>
      <c r="CW1001">
        <v>3.4722222222222222E-5</v>
      </c>
      <c r="CX1001">
        <v>0.22377314814814814</v>
      </c>
      <c r="CY1001">
        <v>0.18385416666666668</v>
      </c>
      <c r="CZ1001">
        <v>159</v>
      </c>
      <c r="DA1001">
        <v>226</v>
      </c>
      <c r="DB1001">
        <v>22</v>
      </c>
      <c r="DC1001" t="s">
        <v>681</v>
      </c>
      <c r="DD1001">
        <v>17066</v>
      </c>
      <c r="DE1001">
        <v>0.1384</v>
      </c>
      <c r="DM1001">
        <v>56</v>
      </c>
    </row>
    <row r="1002" spans="91:117" x14ac:dyDescent="0.25">
      <c r="CM1002" t="s">
        <v>636</v>
      </c>
      <c r="CN1002" t="s">
        <v>3</v>
      </c>
      <c r="CO1002" t="s">
        <v>493</v>
      </c>
      <c r="CP1002">
        <v>46092</v>
      </c>
      <c r="CQ1002">
        <v>1</v>
      </c>
      <c r="CR1002">
        <v>1</v>
      </c>
      <c r="CT1002">
        <v>1</v>
      </c>
      <c r="CV1002">
        <v>0</v>
      </c>
      <c r="CW1002">
        <v>0</v>
      </c>
      <c r="CX1002">
        <v>0.2560648148148148</v>
      </c>
      <c r="CY1002">
        <v>7.1469907407407413E-2</v>
      </c>
      <c r="CZ1002">
        <v>181</v>
      </c>
      <c r="DA1002">
        <v>207</v>
      </c>
      <c r="DB1002">
        <v>25</v>
      </c>
      <c r="DC1002">
        <v>1.4</v>
      </c>
      <c r="DD1002">
        <v>22290</v>
      </c>
      <c r="DE1002">
        <v>0.1381</v>
      </c>
      <c r="DM1002">
        <v>56</v>
      </c>
    </row>
    <row r="1003" spans="91:117" x14ac:dyDescent="0.25">
      <c r="CM1003" t="s">
        <v>636</v>
      </c>
      <c r="CN1003" t="s">
        <v>3</v>
      </c>
      <c r="CO1003" t="s">
        <v>493</v>
      </c>
      <c r="CP1003">
        <v>46105</v>
      </c>
      <c r="CQ1003">
        <v>1</v>
      </c>
      <c r="CR1003">
        <v>1</v>
      </c>
      <c r="CT1003">
        <v>1</v>
      </c>
      <c r="CV1003">
        <v>0</v>
      </c>
      <c r="CW1003">
        <v>0</v>
      </c>
      <c r="CX1003">
        <v>0.25740740740740742</v>
      </c>
      <c r="CY1003">
        <v>0.12780092592592593</v>
      </c>
      <c r="CZ1003">
        <v>154</v>
      </c>
      <c r="DA1003">
        <v>256</v>
      </c>
      <c r="DB1003">
        <v>41</v>
      </c>
      <c r="DC1003" t="s">
        <v>1079</v>
      </c>
      <c r="DD1003">
        <v>29183</v>
      </c>
      <c r="DE1003">
        <v>0.26619999999999999</v>
      </c>
      <c r="DM1003">
        <v>56</v>
      </c>
    </row>
    <row r="1004" spans="91:117" x14ac:dyDescent="0.25">
      <c r="CM1004" t="s">
        <v>636</v>
      </c>
      <c r="CN1004" t="s">
        <v>3</v>
      </c>
      <c r="CO1004" t="s">
        <v>32</v>
      </c>
      <c r="CP1004">
        <v>46091</v>
      </c>
      <c r="CQ1004">
        <v>1</v>
      </c>
      <c r="CR1004">
        <v>1</v>
      </c>
      <c r="CT1004">
        <v>1</v>
      </c>
      <c r="CV1004">
        <v>1.3888888888888889E-4</v>
      </c>
      <c r="CW1004">
        <v>1.3888888888888889E-4</v>
      </c>
      <c r="CX1004">
        <v>0.33438657407407407</v>
      </c>
      <c r="CY1004">
        <v>8.6412037037037037E-2</v>
      </c>
      <c r="CZ1004">
        <v>118</v>
      </c>
      <c r="DA1004">
        <v>290</v>
      </c>
      <c r="DB1004">
        <v>37</v>
      </c>
      <c r="DC1004" t="s">
        <v>1053</v>
      </c>
      <c r="DD1004">
        <v>36950</v>
      </c>
      <c r="DE1004">
        <v>0.31359999999999999</v>
      </c>
      <c r="DM1004">
        <v>56</v>
      </c>
    </row>
    <row r="1005" spans="91:117" x14ac:dyDescent="0.25">
      <c r="CM1005" t="s">
        <v>636</v>
      </c>
      <c r="CN1005" t="s">
        <v>3</v>
      </c>
      <c r="CO1005" t="s">
        <v>96</v>
      </c>
      <c r="CP1005">
        <v>46091</v>
      </c>
      <c r="CQ1005">
        <v>1</v>
      </c>
      <c r="CR1005">
        <v>1</v>
      </c>
      <c r="CT1005">
        <v>1</v>
      </c>
      <c r="CV1005">
        <v>0</v>
      </c>
      <c r="CW1005">
        <v>0</v>
      </c>
      <c r="CX1005">
        <v>0.35214120370370372</v>
      </c>
      <c r="CY1005">
        <v>7.930555555555556E-2</v>
      </c>
      <c r="CZ1005">
        <v>94</v>
      </c>
      <c r="DA1005">
        <v>200</v>
      </c>
      <c r="DB1005">
        <v>20</v>
      </c>
      <c r="DC1005">
        <v>1.9</v>
      </c>
      <c r="DD1005">
        <v>25178</v>
      </c>
      <c r="DE1005">
        <v>0.21279999999999999</v>
      </c>
      <c r="DM1005">
        <v>56</v>
      </c>
    </row>
    <row r="1006" spans="91:117" x14ac:dyDescent="0.25">
      <c r="CM1006" t="s">
        <v>636</v>
      </c>
      <c r="CN1006" t="s">
        <v>3</v>
      </c>
      <c r="CO1006" t="s">
        <v>96</v>
      </c>
      <c r="CP1006">
        <v>46105</v>
      </c>
      <c r="CQ1006">
        <v>1</v>
      </c>
      <c r="CR1006">
        <v>1</v>
      </c>
      <c r="CT1006">
        <v>1</v>
      </c>
      <c r="CV1006">
        <v>0</v>
      </c>
      <c r="CW1006">
        <v>0</v>
      </c>
      <c r="CX1006">
        <v>0.13196759259259258</v>
      </c>
      <c r="CY1006">
        <v>8.6273148148148154E-2</v>
      </c>
      <c r="CZ1006">
        <v>56</v>
      </c>
      <c r="DA1006">
        <v>110</v>
      </c>
      <c r="DB1006">
        <v>14</v>
      </c>
      <c r="DC1006" t="s">
        <v>988</v>
      </c>
      <c r="DD1006">
        <v>35943</v>
      </c>
      <c r="DE1006">
        <v>0.25</v>
      </c>
      <c r="DM1006">
        <v>56</v>
      </c>
    </row>
    <row r="1007" spans="91:117" x14ac:dyDescent="0.25">
      <c r="CM1007" t="s">
        <v>636</v>
      </c>
      <c r="CN1007" t="s">
        <v>3</v>
      </c>
      <c r="CO1007" t="s">
        <v>68</v>
      </c>
      <c r="CP1007">
        <v>46105</v>
      </c>
      <c r="CQ1007">
        <v>1</v>
      </c>
      <c r="CR1007">
        <v>1</v>
      </c>
      <c r="CT1007">
        <v>1</v>
      </c>
      <c r="CV1007">
        <v>1.9675925925925926E-4</v>
      </c>
      <c r="CW1007">
        <v>1.9675925925925926E-4</v>
      </c>
      <c r="CX1007">
        <v>0.201875</v>
      </c>
      <c r="CY1007">
        <v>0.12429398148148148</v>
      </c>
      <c r="CZ1007">
        <v>99</v>
      </c>
      <c r="DA1007">
        <v>144</v>
      </c>
      <c r="DB1007">
        <v>22</v>
      </c>
      <c r="DC1007">
        <v>1.5</v>
      </c>
      <c r="DD1007">
        <v>41730</v>
      </c>
      <c r="DE1007">
        <v>0.22220000000000001</v>
      </c>
      <c r="DM1007">
        <v>56</v>
      </c>
    </row>
    <row r="1008" spans="91:117" x14ac:dyDescent="0.25">
      <c r="CM1008" t="s">
        <v>636</v>
      </c>
      <c r="CN1008" t="s">
        <v>3</v>
      </c>
      <c r="CO1008" t="s">
        <v>68</v>
      </c>
      <c r="CP1008">
        <v>46112</v>
      </c>
      <c r="CQ1008">
        <v>1</v>
      </c>
      <c r="CR1008">
        <v>1</v>
      </c>
      <c r="CT1008">
        <v>1</v>
      </c>
      <c r="CV1008">
        <v>5.7870370370370373E-5</v>
      </c>
      <c r="CW1008">
        <v>5.7870370370370373E-5</v>
      </c>
      <c r="CX1008">
        <v>0.19252314814814814</v>
      </c>
      <c r="CY1008">
        <v>0.17406250000000001</v>
      </c>
      <c r="CZ1008">
        <v>73</v>
      </c>
      <c r="DA1008">
        <v>105</v>
      </c>
      <c r="DB1008">
        <v>19</v>
      </c>
      <c r="DC1008" t="s">
        <v>968</v>
      </c>
      <c r="DD1008">
        <v>53907</v>
      </c>
      <c r="DE1008">
        <v>0.26029999999999998</v>
      </c>
      <c r="DF1008">
        <v>1</v>
      </c>
      <c r="DG1008">
        <v>5.2600000000000001E-2</v>
      </c>
      <c r="DH1008">
        <v>1200</v>
      </c>
      <c r="DI1008">
        <v>1200</v>
      </c>
      <c r="DM1008">
        <v>56</v>
      </c>
    </row>
    <row r="1009" spans="91:118" x14ac:dyDescent="0.25">
      <c r="CM1009" t="s">
        <v>636</v>
      </c>
      <c r="CN1009" t="s">
        <v>3</v>
      </c>
      <c r="CO1009" t="s">
        <v>29</v>
      </c>
      <c r="CP1009">
        <v>46084</v>
      </c>
      <c r="CQ1009">
        <v>1</v>
      </c>
      <c r="CR1009">
        <v>1</v>
      </c>
      <c r="CT1009">
        <v>1</v>
      </c>
      <c r="CV1009">
        <v>1.5046296296296297E-4</v>
      </c>
      <c r="CW1009">
        <v>1.5046296296296297E-4</v>
      </c>
      <c r="CX1009">
        <v>0.29312500000000002</v>
      </c>
      <c r="CY1009">
        <v>0.12224537037037037</v>
      </c>
      <c r="CZ1009">
        <v>100</v>
      </c>
      <c r="DA1009">
        <v>210</v>
      </c>
      <c r="DB1009">
        <v>32</v>
      </c>
      <c r="DC1009">
        <v>2.15625</v>
      </c>
      <c r="DD1009">
        <v>16400</v>
      </c>
      <c r="DE1009">
        <v>0.32</v>
      </c>
      <c r="DF1009">
        <v>2</v>
      </c>
      <c r="DG1009">
        <v>6.25E-2</v>
      </c>
      <c r="DH1009">
        <v>850</v>
      </c>
      <c r="DI1009">
        <v>425</v>
      </c>
      <c r="DJ1009">
        <v>500</v>
      </c>
      <c r="DK1009">
        <v>0.58819999999999995</v>
      </c>
      <c r="DL1009">
        <v>0.18</v>
      </c>
      <c r="DM1009">
        <v>56</v>
      </c>
      <c r="DN1009">
        <v>500</v>
      </c>
    </row>
    <row r="1010" spans="91:118" x14ac:dyDescent="0.25">
      <c r="CM1010" t="s">
        <v>636</v>
      </c>
      <c r="CN1010" t="s">
        <v>3</v>
      </c>
      <c r="CO1010" t="s">
        <v>29</v>
      </c>
      <c r="CP1010">
        <v>46092</v>
      </c>
      <c r="CQ1010">
        <v>1</v>
      </c>
      <c r="CR1010">
        <v>1</v>
      </c>
      <c r="CT1010">
        <v>1</v>
      </c>
      <c r="CV1010">
        <v>4.3981481481481481E-4</v>
      </c>
      <c r="CW1010">
        <v>4.3981481481481481E-4</v>
      </c>
      <c r="CX1010">
        <v>0.27496527777777779</v>
      </c>
      <c r="CY1010">
        <v>5.4189814814814816E-2</v>
      </c>
      <c r="CZ1010">
        <v>83</v>
      </c>
      <c r="DA1010">
        <v>192</v>
      </c>
      <c r="DB1010">
        <v>12</v>
      </c>
      <c r="DC1010" t="s">
        <v>703</v>
      </c>
      <c r="DD1010">
        <v>24820</v>
      </c>
      <c r="DE1010">
        <v>0.14460000000000001</v>
      </c>
      <c r="DM1010">
        <v>56</v>
      </c>
    </row>
    <row r="1011" spans="91:118" x14ac:dyDescent="0.25">
      <c r="CM1011" t="s">
        <v>636</v>
      </c>
      <c r="CN1011" t="s">
        <v>3</v>
      </c>
      <c r="CO1011" t="s">
        <v>79</v>
      </c>
      <c r="CP1011">
        <v>46087</v>
      </c>
      <c r="CQ1011">
        <v>1</v>
      </c>
      <c r="CR1011">
        <v>1</v>
      </c>
      <c r="CT1011">
        <v>1</v>
      </c>
      <c r="CV1011">
        <v>2.5810185185185185E-3</v>
      </c>
      <c r="CW1011">
        <v>2.5810185185185185E-3</v>
      </c>
      <c r="CX1011">
        <v>0.20092592592592592</v>
      </c>
      <c r="CY1011">
        <v>5.6539351851851855E-2</v>
      </c>
      <c r="CZ1011">
        <v>65</v>
      </c>
      <c r="DA1011">
        <v>126</v>
      </c>
      <c r="DB1011">
        <v>11</v>
      </c>
      <c r="DC1011" t="s">
        <v>680</v>
      </c>
      <c r="DD1011">
        <v>41014</v>
      </c>
      <c r="DE1011">
        <v>0.16919999999999999</v>
      </c>
      <c r="DM1011">
        <v>56</v>
      </c>
    </row>
    <row r="1012" spans="91:118" x14ac:dyDescent="0.25">
      <c r="CM1012" t="s">
        <v>636</v>
      </c>
      <c r="CN1012" t="s">
        <v>3</v>
      </c>
      <c r="CO1012" t="s">
        <v>76</v>
      </c>
      <c r="CP1012">
        <v>46092</v>
      </c>
      <c r="CQ1012">
        <v>1</v>
      </c>
      <c r="CR1012">
        <v>1</v>
      </c>
      <c r="CT1012">
        <v>1</v>
      </c>
      <c r="CV1012">
        <v>2.3148148148148149E-4</v>
      </c>
      <c r="CW1012">
        <v>2.3148148148148149E-4</v>
      </c>
      <c r="CX1012">
        <v>0.2691898148148148</v>
      </c>
      <c r="CY1012">
        <v>7.3043981481481488E-2</v>
      </c>
      <c r="CZ1012">
        <v>71</v>
      </c>
      <c r="DA1012">
        <v>91</v>
      </c>
      <c r="DB1012">
        <v>15</v>
      </c>
      <c r="DC1012" t="s">
        <v>898</v>
      </c>
      <c r="DD1012">
        <v>30132</v>
      </c>
      <c r="DE1012">
        <v>0.21129999999999999</v>
      </c>
      <c r="DM1012">
        <v>56</v>
      </c>
    </row>
    <row r="1013" spans="91:118" x14ac:dyDescent="0.25">
      <c r="CM1013" t="s">
        <v>636</v>
      </c>
      <c r="CN1013" t="s">
        <v>125</v>
      </c>
      <c r="CO1013" t="s">
        <v>18</v>
      </c>
      <c r="CP1013">
        <v>46083</v>
      </c>
      <c r="CQ1013">
        <v>1</v>
      </c>
      <c r="CR1013">
        <v>1</v>
      </c>
      <c r="CT1013">
        <v>1</v>
      </c>
      <c r="CV1013">
        <v>0</v>
      </c>
      <c r="CW1013">
        <v>0</v>
      </c>
      <c r="CX1013">
        <v>0.28030092592592593</v>
      </c>
      <c r="CY1013">
        <v>5.2418981481481483E-2</v>
      </c>
      <c r="CZ1013">
        <v>134</v>
      </c>
      <c r="DA1013">
        <v>236</v>
      </c>
      <c r="DB1013">
        <v>22</v>
      </c>
      <c r="DC1013" t="s">
        <v>717</v>
      </c>
      <c r="DD1013">
        <v>31475</v>
      </c>
      <c r="DE1013">
        <v>0.16420000000000001</v>
      </c>
      <c r="DF1013">
        <v>6</v>
      </c>
      <c r="DG1013">
        <v>0.2727</v>
      </c>
      <c r="DH1013">
        <v>8555</v>
      </c>
      <c r="DI1013">
        <v>1426</v>
      </c>
      <c r="DJ1013">
        <v>6055</v>
      </c>
      <c r="DK1013">
        <v>0.70779999999999998</v>
      </c>
      <c r="DM1013">
        <v>54</v>
      </c>
      <c r="DN1013">
        <v>1211</v>
      </c>
    </row>
    <row r="1014" spans="91:118" x14ac:dyDescent="0.25">
      <c r="CM1014" t="s">
        <v>636</v>
      </c>
      <c r="CN1014" t="s">
        <v>125</v>
      </c>
      <c r="CO1014" t="s">
        <v>85</v>
      </c>
      <c r="CP1014">
        <v>46097</v>
      </c>
      <c r="CQ1014">
        <v>1</v>
      </c>
      <c r="CR1014">
        <v>1</v>
      </c>
      <c r="CT1014">
        <v>1</v>
      </c>
      <c r="CV1014">
        <v>0</v>
      </c>
      <c r="CW1014">
        <v>0</v>
      </c>
      <c r="CX1014">
        <v>0.31092592592592594</v>
      </c>
      <c r="CY1014">
        <v>0.10111111111111111</v>
      </c>
      <c r="CZ1014">
        <v>90</v>
      </c>
      <c r="DA1014">
        <v>202</v>
      </c>
      <c r="DB1014">
        <v>36</v>
      </c>
      <c r="DC1014" t="s">
        <v>674</v>
      </c>
      <c r="DD1014">
        <v>23983</v>
      </c>
      <c r="DE1014">
        <v>0.4</v>
      </c>
      <c r="DF1014">
        <v>2</v>
      </c>
      <c r="DG1014">
        <v>5.5599999999999997E-2</v>
      </c>
      <c r="DH1014">
        <v>4000</v>
      </c>
      <c r="DI1014">
        <v>2000</v>
      </c>
      <c r="DM1014">
        <v>54</v>
      </c>
    </row>
    <row r="1015" spans="91:118" x14ac:dyDescent="0.25">
      <c r="CM1015" t="s">
        <v>636</v>
      </c>
      <c r="CN1015" t="s">
        <v>125</v>
      </c>
      <c r="CO1015" t="s">
        <v>61</v>
      </c>
      <c r="CP1015">
        <v>46097</v>
      </c>
      <c r="CQ1015">
        <v>1</v>
      </c>
      <c r="CR1015">
        <v>1</v>
      </c>
      <c r="CT1015">
        <v>1</v>
      </c>
      <c r="CV1015">
        <v>1.0416666666666667E-4</v>
      </c>
      <c r="CW1015">
        <v>1.0416666666666667E-4</v>
      </c>
      <c r="CX1015">
        <v>0.29263888888888889</v>
      </c>
      <c r="CY1015">
        <v>0.10375</v>
      </c>
      <c r="CZ1015">
        <v>99</v>
      </c>
      <c r="DA1015">
        <v>267</v>
      </c>
      <c r="DB1015">
        <v>32</v>
      </c>
      <c r="DC1015">
        <v>1.8125</v>
      </c>
      <c r="DD1015">
        <v>34558</v>
      </c>
      <c r="DE1015">
        <v>0.32319999999999999</v>
      </c>
      <c r="DF1015">
        <v>1</v>
      </c>
      <c r="DG1015">
        <v>3.1300000000000001E-2</v>
      </c>
      <c r="DH1015">
        <v>1000</v>
      </c>
      <c r="DI1015">
        <v>1000</v>
      </c>
      <c r="DM1015">
        <v>54</v>
      </c>
    </row>
    <row r="1016" spans="91:118" x14ac:dyDescent="0.25">
      <c r="CM1016" t="s">
        <v>636</v>
      </c>
      <c r="CN1016" t="s">
        <v>6</v>
      </c>
      <c r="CO1016" t="s">
        <v>37</v>
      </c>
      <c r="CP1016">
        <v>46085</v>
      </c>
      <c r="CQ1016">
        <v>1</v>
      </c>
      <c r="CR1016">
        <v>1</v>
      </c>
      <c r="CS1016">
        <v>1</v>
      </c>
      <c r="CV1016">
        <v>0.1560300925925926</v>
      </c>
      <c r="CW1016">
        <v>0.1560300925925926</v>
      </c>
      <c r="CX1016">
        <v>0.1064699074074074</v>
      </c>
      <c r="CY1016">
        <v>0.13827546296296298</v>
      </c>
      <c r="CZ1016">
        <v>64</v>
      </c>
      <c r="DA1016">
        <v>78</v>
      </c>
      <c r="DB1016">
        <v>13</v>
      </c>
      <c r="DC1016" t="s">
        <v>704</v>
      </c>
      <c r="DD1016">
        <v>21431</v>
      </c>
      <c r="DE1016">
        <v>0.2031</v>
      </c>
      <c r="DF1016">
        <v>2</v>
      </c>
      <c r="DG1016">
        <v>0.15379999999999999</v>
      </c>
      <c r="DH1016">
        <v>1260</v>
      </c>
      <c r="DI1016">
        <v>630</v>
      </c>
      <c r="DJ1016">
        <v>840</v>
      </c>
      <c r="DK1016">
        <v>0.66669999999999996</v>
      </c>
      <c r="DM1016">
        <v>54</v>
      </c>
      <c r="DN1016">
        <v>840</v>
      </c>
    </row>
    <row r="1017" spans="91:118" x14ac:dyDescent="0.25">
      <c r="CM1017" t="s">
        <v>636</v>
      </c>
      <c r="CN1017" t="s">
        <v>7</v>
      </c>
      <c r="CO1017" t="s">
        <v>565</v>
      </c>
      <c r="CP1017">
        <v>46112</v>
      </c>
      <c r="CQ1017">
        <v>1</v>
      </c>
      <c r="CR1017">
        <v>1</v>
      </c>
      <c r="CT1017">
        <v>1</v>
      </c>
      <c r="CV1017">
        <v>1.0416666666666667E-4</v>
      </c>
      <c r="CW1017">
        <v>1.0416666666666667E-4</v>
      </c>
      <c r="CX1017">
        <v>0.11009259259259259</v>
      </c>
      <c r="CY1017">
        <v>0.26504629629629628</v>
      </c>
      <c r="CZ1017">
        <v>65</v>
      </c>
      <c r="DA1017">
        <v>91</v>
      </c>
      <c r="DB1017">
        <v>24</v>
      </c>
      <c r="DC1017" t="s">
        <v>718</v>
      </c>
      <c r="DD1017">
        <v>14060</v>
      </c>
      <c r="DE1017">
        <v>0.36919999999999997</v>
      </c>
      <c r="DF1017">
        <v>1</v>
      </c>
      <c r="DG1017">
        <v>4.1700000000000001E-2</v>
      </c>
      <c r="DH1017">
        <v>1000</v>
      </c>
      <c r="DI1017">
        <v>1000</v>
      </c>
      <c r="DM1017">
        <v>54</v>
      </c>
    </row>
    <row r="1018" spans="91:118" x14ac:dyDescent="0.25">
      <c r="CM1018" t="s">
        <v>636</v>
      </c>
      <c r="CN1018" t="s">
        <v>7</v>
      </c>
      <c r="CO1018" t="s">
        <v>557</v>
      </c>
      <c r="CP1018">
        <v>46083</v>
      </c>
      <c r="CQ1018">
        <v>1</v>
      </c>
      <c r="CR1018">
        <v>1</v>
      </c>
      <c r="CS1018">
        <v>1</v>
      </c>
      <c r="CV1018">
        <v>4.4270833333333336E-2</v>
      </c>
      <c r="CW1018">
        <v>4.4270833333333336E-2</v>
      </c>
      <c r="CX1018">
        <v>0.21760416666666665</v>
      </c>
      <c r="CY1018">
        <v>7.6805555555555557E-2</v>
      </c>
      <c r="CZ1018">
        <v>88</v>
      </c>
      <c r="DA1018">
        <v>103</v>
      </c>
      <c r="DB1018">
        <v>25</v>
      </c>
      <c r="DC1018">
        <v>1.4</v>
      </c>
      <c r="DD1018">
        <v>5554</v>
      </c>
      <c r="DE1018">
        <v>0.28410000000000002</v>
      </c>
      <c r="DF1018">
        <v>2</v>
      </c>
      <c r="DG1018">
        <v>0.08</v>
      </c>
      <c r="DH1018">
        <v>560</v>
      </c>
      <c r="DI1018">
        <v>280</v>
      </c>
      <c r="DJ1018">
        <v>300</v>
      </c>
      <c r="DK1018">
        <v>0.53569999999999995</v>
      </c>
      <c r="DM1018">
        <v>54</v>
      </c>
      <c r="DN1018">
        <v>300</v>
      </c>
    </row>
    <row r="1019" spans="91:118" x14ac:dyDescent="0.25">
      <c r="CM1019" t="s">
        <v>636</v>
      </c>
      <c r="CN1019" t="s">
        <v>3</v>
      </c>
      <c r="CO1019" t="s">
        <v>493</v>
      </c>
      <c r="CP1019">
        <v>46083</v>
      </c>
      <c r="CQ1019">
        <v>1</v>
      </c>
      <c r="CR1019">
        <v>1</v>
      </c>
      <c r="CT1019">
        <v>1</v>
      </c>
      <c r="CV1019">
        <v>1.6435185185185185E-3</v>
      </c>
      <c r="CW1019">
        <v>1.6435185185185185E-3</v>
      </c>
      <c r="CX1019">
        <v>0.2863310185185185</v>
      </c>
      <c r="CY1019">
        <v>4.9340277777777775E-2</v>
      </c>
      <c r="CZ1019">
        <v>92</v>
      </c>
      <c r="DA1019">
        <v>158</v>
      </c>
      <c r="DB1019">
        <v>46</v>
      </c>
      <c r="DC1019" t="s">
        <v>748</v>
      </c>
      <c r="DD1019">
        <v>23755</v>
      </c>
      <c r="DE1019">
        <v>0.5</v>
      </c>
      <c r="DF1019">
        <v>5</v>
      </c>
      <c r="DG1019">
        <v>0.1087</v>
      </c>
      <c r="DH1019">
        <v>3780</v>
      </c>
      <c r="DI1019">
        <v>756</v>
      </c>
      <c r="DJ1019">
        <v>3220</v>
      </c>
      <c r="DK1019">
        <v>0.85189999999999999</v>
      </c>
      <c r="DM1019">
        <v>54</v>
      </c>
      <c r="DN1019">
        <v>1610</v>
      </c>
    </row>
    <row r="1020" spans="91:118" x14ac:dyDescent="0.25">
      <c r="CM1020" t="s">
        <v>636</v>
      </c>
      <c r="CN1020" t="s">
        <v>3</v>
      </c>
      <c r="CO1020" t="s">
        <v>493</v>
      </c>
      <c r="CP1020">
        <v>46107</v>
      </c>
      <c r="CQ1020">
        <v>1</v>
      </c>
      <c r="CR1020">
        <v>1</v>
      </c>
      <c r="CT1020">
        <v>1</v>
      </c>
      <c r="CV1020">
        <v>8.1018518518518516E-5</v>
      </c>
      <c r="CW1020">
        <v>8.1018518518518516E-5</v>
      </c>
      <c r="CX1020">
        <v>0.20208333333333334</v>
      </c>
      <c r="CY1020">
        <v>0.13545138888888889</v>
      </c>
      <c r="CZ1020">
        <v>108</v>
      </c>
      <c r="DA1020">
        <v>156</v>
      </c>
      <c r="DB1020">
        <v>22</v>
      </c>
      <c r="DC1020" t="s">
        <v>873</v>
      </c>
      <c r="DD1020">
        <v>22025</v>
      </c>
      <c r="DE1020">
        <v>0.20369999999999999</v>
      </c>
      <c r="DF1020">
        <v>2</v>
      </c>
      <c r="DG1020">
        <v>9.0899999999999995E-2</v>
      </c>
      <c r="DH1020">
        <v>797</v>
      </c>
      <c r="DI1020">
        <v>399</v>
      </c>
      <c r="DJ1020">
        <v>97</v>
      </c>
      <c r="DK1020">
        <v>0.1217</v>
      </c>
      <c r="DL1020">
        <v>5.96E-2</v>
      </c>
      <c r="DM1020">
        <v>54</v>
      </c>
      <c r="DN1020">
        <v>97</v>
      </c>
    </row>
    <row r="1021" spans="91:118" x14ac:dyDescent="0.25">
      <c r="CM1021" t="s">
        <v>636</v>
      </c>
      <c r="CN1021" t="s">
        <v>3</v>
      </c>
      <c r="CO1021" t="s">
        <v>68</v>
      </c>
      <c r="CP1021">
        <v>46084</v>
      </c>
      <c r="CQ1021">
        <v>1</v>
      </c>
      <c r="CR1021">
        <v>1</v>
      </c>
      <c r="CT1021">
        <v>1</v>
      </c>
      <c r="CV1021">
        <v>1.6203703703703703E-4</v>
      </c>
      <c r="CW1021">
        <v>1.6203703703703703E-4</v>
      </c>
      <c r="CX1021">
        <v>0.29802083333333335</v>
      </c>
      <c r="CY1021">
        <v>0.10803240740740741</v>
      </c>
      <c r="CZ1021">
        <v>110</v>
      </c>
      <c r="DA1021">
        <v>221</v>
      </c>
      <c r="DB1021">
        <v>26</v>
      </c>
      <c r="DC1021" t="s">
        <v>757</v>
      </c>
      <c r="DD1021">
        <v>32130</v>
      </c>
      <c r="DE1021">
        <v>0.2364</v>
      </c>
      <c r="DF1021">
        <v>2</v>
      </c>
      <c r="DG1021">
        <v>7.6899999999999996E-2</v>
      </c>
      <c r="DH1021">
        <v>2200</v>
      </c>
      <c r="DI1021">
        <v>1100</v>
      </c>
      <c r="DJ1021">
        <v>1200</v>
      </c>
      <c r="DK1021">
        <v>0.54549999999999998</v>
      </c>
      <c r="DL1021">
        <v>0.15509999999999999</v>
      </c>
      <c r="DM1021">
        <v>54</v>
      </c>
      <c r="DN1021">
        <v>600</v>
      </c>
    </row>
    <row r="1022" spans="91:118" x14ac:dyDescent="0.25">
      <c r="CM1022" t="s">
        <v>636</v>
      </c>
      <c r="CN1022" t="s">
        <v>2</v>
      </c>
      <c r="CO1022" t="s">
        <v>42</v>
      </c>
      <c r="CP1022">
        <v>46086</v>
      </c>
      <c r="CQ1022">
        <v>1</v>
      </c>
      <c r="CR1022">
        <v>1</v>
      </c>
      <c r="CV1022">
        <v>0</v>
      </c>
      <c r="CW1022">
        <v>0</v>
      </c>
      <c r="CX1022">
        <v>0</v>
      </c>
      <c r="CY1022">
        <v>0</v>
      </c>
      <c r="DM1022">
        <v>52</v>
      </c>
    </row>
    <row r="1023" spans="91:118" x14ac:dyDescent="0.25">
      <c r="CM1023" t="s">
        <v>636</v>
      </c>
      <c r="CN1023" t="s">
        <v>2</v>
      </c>
      <c r="CO1023" t="s">
        <v>564</v>
      </c>
      <c r="CP1023">
        <v>46086</v>
      </c>
      <c r="CQ1023">
        <v>1</v>
      </c>
      <c r="CR1023">
        <v>1</v>
      </c>
      <c r="CU1023">
        <v>1</v>
      </c>
      <c r="CV1023">
        <v>0</v>
      </c>
      <c r="CW1023">
        <v>0</v>
      </c>
      <c r="CX1023">
        <v>0</v>
      </c>
      <c r="CY1023">
        <v>0</v>
      </c>
      <c r="DM1023">
        <v>52</v>
      </c>
    </row>
    <row r="1024" spans="91:118" x14ac:dyDescent="0.25">
      <c r="CM1024" t="s">
        <v>636</v>
      </c>
      <c r="CN1024" t="s">
        <v>6</v>
      </c>
      <c r="CO1024" t="s">
        <v>26</v>
      </c>
      <c r="CP1024">
        <v>46097</v>
      </c>
      <c r="CQ1024">
        <v>1</v>
      </c>
      <c r="CR1024">
        <v>1</v>
      </c>
      <c r="CV1024">
        <v>0</v>
      </c>
      <c r="CW1024">
        <v>0</v>
      </c>
      <c r="CX1024">
        <v>0</v>
      </c>
      <c r="CY1024">
        <v>0</v>
      </c>
      <c r="DM1024">
        <v>52</v>
      </c>
    </row>
    <row r="1025" spans="91:118" x14ac:dyDescent="0.25">
      <c r="CM1025" t="s">
        <v>636</v>
      </c>
      <c r="CN1025" t="s">
        <v>7</v>
      </c>
      <c r="CO1025" t="s">
        <v>58</v>
      </c>
      <c r="CP1025">
        <v>46091</v>
      </c>
      <c r="CQ1025">
        <v>1</v>
      </c>
      <c r="CR1025">
        <v>1</v>
      </c>
      <c r="CV1025">
        <v>0</v>
      </c>
      <c r="CW1025">
        <v>0</v>
      </c>
      <c r="CX1025">
        <v>0</v>
      </c>
      <c r="CY1025">
        <v>0</v>
      </c>
      <c r="DM1025">
        <v>52</v>
      </c>
    </row>
    <row r="1026" spans="91:118" x14ac:dyDescent="0.25">
      <c r="CM1026" t="s">
        <v>636</v>
      </c>
      <c r="CN1026" t="s">
        <v>7</v>
      </c>
      <c r="CO1026" t="s">
        <v>58</v>
      </c>
      <c r="CP1026">
        <v>46100</v>
      </c>
      <c r="CQ1026">
        <v>1</v>
      </c>
      <c r="CR1026">
        <v>1</v>
      </c>
      <c r="CV1026">
        <v>0</v>
      </c>
      <c r="CW1026">
        <v>0</v>
      </c>
      <c r="CX1026">
        <v>0</v>
      </c>
      <c r="CY1026">
        <v>0</v>
      </c>
      <c r="DM1026">
        <v>52</v>
      </c>
    </row>
    <row r="1027" spans="91:118" x14ac:dyDescent="0.25">
      <c r="CM1027" t="s">
        <v>636</v>
      </c>
      <c r="CN1027" t="s">
        <v>7</v>
      </c>
      <c r="CO1027" t="s">
        <v>58</v>
      </c>
      <c r="CP1027">
        <v>46101</v>
      </c>
      <c r="CQ1027">
        <v>1</v>
      </c>
      <c r="CR1027">
        <v>1</v>
      </c>
      <c r="CV1027">
        <v>0</v>
      </c>
      <c r="CW1027">
        <v>0</v>
      </c>
      <c r="CX1027">
        <v>0</v>
      </c>
      <c r="CY1027">
        <v>0</v>
      </c>
      <c r="DM1027">
        <v>52</v>
      </c>
    </row>
    <row r="1028" spans="91:118" x14ac:dyDescent="0.25">
      <c r="CM1028" t="s">
        <v>636</v>
      </c>
      <c r="CN1028" t="s">
        <v>7</v>
      </c>
      <c r="CO1028" t="s">
        <v>566</v>
      </c>
      <c r="CP1028">
        <v>46101</v>
      </c>
      <c r="CQ1028">
        <v>1</v>
      </c>
      <c r="CR1028">
        <v>1</v>
      </c>
      <c r="CS1028">
        <v>1</v>
      </c>
      <c r="CV1028">
        <v>1.3865740740740741E-2</v>
      </c>
      <c r="CW1028">
        <v>1.3865740740740741E-2</v>
      </c>
      <c r="CX1028">
        <v>0.17025462962962962</v>
      </c>
      <c r="CY1028">
        <v>0.17332175925925927</v>
      </c>
      <c r="CZ1028">
        <v>106</v>
      </c>
      <c r="DA1028">
        <v>201</v>
      </c>
      <c r="DB1028">
        <v>19</v>
      </c>
      <c r="DC1028" t="s">
        <v>968</v>
      </c>
      <c r="DD1028">
        <v>6823</v>
      </c>
      <c r="DE1028">
        <v>0.1792</v>
      </c>
      <c r="DF1028">
        <v>1</v>
      </c>
      <c r="DG1028">
        <v>5.2600000000000001E-2</v>
      </c>
      <c r="DH1028">
        <v>200</v>
      </c>
      <c r="DI1028">
        <v>200</v>
      </c>
      <c r="DM1028">
        <v>52</v>
      </c>
    </row>
    <row r="1029" spans="91:118" x14ac:dyDescent="0.25">
      <c r="CM1029" t="s">
        <v>636</v>
      </c>
      <c r="CN1029" t="s">
        <v>3</v>
      </c>
      <c r="CO1029" t="s">
        <v>174</v>
      </c>
      <c r="CP1029">
        <v>46083</v>
      </c>
      <c r="CQ1029">
        <v>1</v>
      </c>
      <c r="CR1029">
        <v>1</v>
      </c>
      <c r="CT1029">
        <v>1</v>
      </c>
      <c r="CV1029">
        <v>0</v>
      </c>
      <c r="CW1029">
        <v>0</v>
      </c>
      <c r="CX1029">
        <v>0.2628125</v>
      </c>
      <c r="CY1029">
        <v>7.0277777777777772E-2</v>
      </c>
      <c r="CZ1029">
        <v>177</v>
      </c>
      <c r="DA1029">
        <v>206</v>
      </c>
      <c r="DB1029">
        <v>30</v>
      </c>
      <c r="DC1029" t="s">
        <v>742</v>
      </c>
      <c r="DD1029">
        <v>23356</v>
      </c>
      <c r="DE1029">
        <v>0.16950000000000001</v>
      </c>
      <c r="DF1029">
        <v>4</v>
      </c>
      <c r="DG1029">
        <v>0.1333</v>
      </c>
      <c r="DH1029">
        <v>2120</v>
      </c>
      <c r="DI1029">
        <v>530</v>
      </c>
      <c r="DJ1029">
        <v>720</v>
      </c>
      <c r="DK1029">
        <v>0.33960000000000001</v>
      </c>
      <c r="DM1029">
        <v>52</v>
      </c>
      <c r="DN1029">
        <v>360</v>
      </c>
    </row>
    <row r="1030" spans="91:118" x14ac:dyDescent="0.25">
      <c r="CM1030" t="s">
        <v>636</v>
      </c>
      <c r="CN1030" t="s">
        <v>3</v>
      </c>
      <c r="CO1030" t="s">
        <v>79</v>
      </c>
      <c r="CP1030">
        <v>46108</v>
      </c>
      <c r="CQ1030">
        <v>1</v>
      </c>
      <c r="CR1030">
        <v>1</v>
      </c>
      <c r="CT1030">
        <v>1</v>
      </c>
      <c r="CV1030">
        <v>3.4722222222222222E-5</v>
      </c>
      <c r="CW1030">
        <v>3.4722222222222222E-5</v>
      </c>
      <c r="CX1030">
        <v>0.17292824074074073</v>
      </c>
      <c r="CY1030">
        <v>0.12179398148148148</v>
      </c>
      <c r="CZ1030">
        <v>99</v>
      </c>
      <c r="DA1030">
        <v>155</v>
      </c>
      <c r="DB1030">
        <v>17</v>
      </c>
      <c r="DC1030" t="s">
        <v>728</v>
      </c>
      <c r="DD1030">
        <v>30355</v>
      </c>
      <c r="DE1030">
        <v>0.17169999999999999</v>
      </c>
      <c r="DF1030">
        <v>1</v>
      </c>
      <c r="DG1030">
        <v>5.8799999999999998E-2</v>
      </c>
      <c r="DH1030">
        <v>600</v>
      </c>
      <c r="DI1030">
        <v>600</v>
      </c>
      <c r="DM1030">
        <v>52</v>
      </c>
    </row>
    <row r="1031" spans="91:118" x14ac:dyDescent="0.25">
      <c r="CM1031" t="s">
        <v>636</v>
      </c>
      <c r="CN1031" t="s">
        <v>3</v>
      </c>
      <c r="CO1031" t="s">
        <v>76</v>
      </c>
      <c r="CP1031">
        <v>46108</v>
      </c>
      <c r="CQ1031">
        <v>1</v>
      </c>
      <c r="CR1031">
        <v>1</v>
      </c>
      <c r="CT1031">
        <v>1</v>
      </c>
      <c r="CV1031">
        <v>0</v>
      </c>
      <c r="CW1031">
        <v>0</v>
      </c>
      <c r="CX1031">
        <v>0.20267361111111112</v>
      </c>
      <c r="CY1031">
        <v>0.12076388888888889</v>
      </c>
      <c r="CZ1031">
        <v>76</v>
      </c>
      <c r="DA1031">
        <v>100</v>
      </c>
      <c r="DB1031">
        <v>15</v>
      </c>
      <c r="DC1031">
        <v>1.4</v>
      </c>
      <c r="DD1031">
        <v>19620</v>
      </c>
      <c r="DE1031">
        <v>0.19739999999999999</v>
      </c>
      <c r="DF1031">
        <v>1</v>
      </c>
      <c r="DG1031">
        <v>6.6699999999999995E-2</v>
      </c>
      <c r="DH1031">
        <v>500</v>
      </c>
      <c r="DI1031">
        <v>500</v>
      </c>
      <c r="DM1031">
        <v>52</v>
      </c>
    </row>
    <row r="1032" spans="91:118" x14ac:dyDescent="0.25">
      <c r="CM1032" t="s">
        <v>636</v>
      </c>
      <c r="CN1032" t="s">
        <v>125</v>
      </c>
      <c r="CO1032" t="s">
        <v>109</v>
      </c>
      <c r="CP1032">
        <v>46112</v>
      </c>
      <c r="CQ1032">
        <v>1</v>
      </c>
      <c r="CR1032">
        <v>1</v>
      </c>
      <c r="CS1032">
        <v>1</v>
      </c>
      <c r="CV1032">
        <v>7.8240740740740736E-3</v>
      </c>
      <c r="CW1032">
        <v>7.8240740740740736E-3</v>
      </c>
      <c r="CX1032">
        <v>0.2354050925925926</v>
      </c>
      <c r="CY1032">
        <v>0.15291666666666667</v>
      </c>
      <c r="CZ1032">
        <v>84</v>
      </c>
      <c r="DA1032">
        <v>138</v>
      </c>
      <c r="DB1032">
        <v>13</v>
      </c>
      <c r="DC1032" t="s">
        <v>879</v>
      </c>
      <c r="DD1032">
        <v>20792</v>
      </c>
      <c r="DE1032">
        <v>0.15479999999999999</v>
      </c>
      <c r="DM1032">
        <v>50</v>
      </c>
    </row>
    <row r="1033" spans="91:118" x14ac:dyDescent="0.25">
      <c r="CM1033" t="s">
        <v>636</v>
      </c>
      <c r="CN1033" t="s">
        <v>2</v>
      </c>
      <c r="CO1033" t="s">
        <v>377</v>
      </c>
      <c r="CP1033">
        <v>46084</v>
      </c>
      <c r="CQ1033">
        <v>1</v>
      </c>
      <c r="CR1033">
        <v>1</v>
      </c>
      <c r="CT1033">
        <v>1</v>
      </c>
      <c r="CV1033">
        <v>0</v>
      </c>
      <c r="CW1033">
        <v>0</v>
      </c>
      <c r="CX1033">
        <v>0.3089351851851852</v>
      </c>
      <c r="CY1033">
        <v>0.12108796296296297</v>
      </c>
      <c r="CZ1033">
        <v>115</v>
      </c>
      <c r="DA1033">
        <v>175</v>
      </c>
      <c r="DB1033">
        <v>22</v>
      </c>
      <c r="DC1033" t="s">
        <v>983</v>
      </c>
      <c r="DD1033">
        <v>18026</v>
      </c>
      <c r="DE1033">
        <v>0.1913</v>
      </c>
      <c r="DM1033">
        <v>50</v>
      </c>
    </row>
    <row r="1034" spans="91:118" x14ac:dyDescent="0.25">
      <c r="CM1034" t="s">
        <v>636</v>
      </c>
      <c r="CN1034" t="s">
        <v>2</v>
      </c>
      <c r="CO1034" t="s">
        <v>207</v>
      </c>
      <c r="CP1034">
        <v>46083</v>
      </c>
      <c r="CQ1034">
        <v>1</v>
      </c>
      <c r="CR1034">
        <v>1</v>
      </c>
      <c r="CT1034">
        <v>1</v>
      </c>
      <c r="CV1034">
        <v>4.6296296296296294E-5</v>
      </c>
      <c r="CW1034">
        <v>4.6296296296296294E-5</v>
      </c>
      <c r="CX1034">
        <v>0.24118055555555556</v>
      </c>
      <c r="CY1034">
        <v>7.2488425925925928E-2</v>
      </c>
      <c r="CZ1034">
        <v>179</v>
      </c>
      <c r="DA1034">
        <v>260</v>
      </c>
      <c r="DB1034">
        <v>23</v>
      </c>
      <c r="DC1034" t="s">
        <v>895</v>
      </c>
      <c r="DD1034">
        <v>15990</v>
      </c>
      <c r="DE1034">
        <v>0.1285</v>
      </c>
      <c r="DF1034">
        <v>2</v>
      </c>
      <c r="DG1034">
        <v>8.6999999999999994E-2</v>
      </c>
      <c r="DH1034">
        <v>1175</v>
      </c>
      <c r="DI1034">
        <v>588</v>
      </c>
      <c r="DM1034">
        <v>50</v>
      </c>
    </row>
    <row r="1035" spans="91:118" x14ac:dyDescent="0.25">
      <c r="CM1035" t="s">
        <v>636</v>
      </c>
      <c r="CN1035" t="s">
        <v>6</v>
      </c>
      <c r="CO1035" t="s">
        <v>19</v>
      </c>
      <c r="CP1035">
        <v>46092</v>
      </c>
      <c r="CQ1035">
        <v>1</v>
      </c>
      <c r="CR1035">
        <v>1</v>
      </c>
      <c r="CT1035">
        <v>1</v>
      </c>
      <c r="CV1035">
        <v>0</v>
      </c>
      <c r="CW1035">
        <v>0</v>
      </c>
      <c r="CX1035">
        <v>0.25486111111111109</v>
      </c>
      <c r="CY1035">
        <v>0.11501157407407407</v>
      </c>
      <c r="CZ1035">
        <v>142</v>
      </c>
      <c r="DA1035">
        <v>267</v>
      </c>
      <c r="DB1035">
        <v>12</v>
      </c>
      <c r="DC1035" t="s">
        <v>756</v>
      </c>
      <c r="DD1035">
        <v>41000</v>
      </c>
      <c r="DE1035">
        <v>8.4500000000000006E-2</v>
      </c>
      <c r="DM1035">
        <v>50</v>
      </c>
    </row>
    <row r="1036" spans="91:118" x14ac:dyDescent="0.25">
      <c r="CM1036" t="s">
        <v>636</v>
      </c>
      <c r="CN1036" t="s">
        <v>6</v>
      </c>
      <c r="CO1036" t="s">
        <v>19</v>
      </c>
      <c r="CP1036">
        <v>46101</v>
      </c>
      <c r="CQ1036">
        <v>1</v>
      </c>
      <c r="CR1036">
        <v>1</v>
      </c>
      <c r="CT1036">
        <v>1</v>
      </c>
      <c r="CV1036">
        <v>0</v>
      </c>
      <c r="CW1036">
        <v>0</v>
      </c>
      <c r="CX1036">
        <v>0.23179398148148148</v>
      </c>
      <c r="CY1036">
        <v>0.12609953703703702</v>
      </c>
      <c r="CZ1036">
        <v>232</v>
      </c>
      <c r="DA1036">
        <v>370</v>
      </c>
      <c r="DB1036">
        <v>23</v>
      </c>
      <c r="DC1036" t="s">
        <v>849</v>
      </c>
      <c r="DD1036">
        <v>23629</v>
      </c>
      <c r="DE1036">
        <v>9.9099999999999994E-2</v>
      </c>
      <c r="DM1036">
        <v>50</v>
      </c>
    </row>
    <row r="1037" spans="91:118" x14ac:dyDescent="0.25">
      <c r="CM1037" t="s">
        <v>636</v>
      </c>
      <c r="CN1037" t="s">
        <v>6</v>
      </c>
      <c r="CO1037" t="s">
        <v>19</v>
      </c>
      <c r="CP1037">
        <v>46105</v>
      </c>
      <c r="CQ1037">
        <v>1</v>
      </c>
      <c r="CR1037">
        <v>1</v>
      </c>
      <c r="CT1037">
        <v>1</v>
      </c>
      <c r="CV1037">
        <v>1.5046296296296297E-4</v>
      </c>
      <c r="CW1037">
        <v>1.5046296296296297E-4</v>
      </c>
      <c r="CX1037">
        <v>0.28038194444444442</v>
      </c>
      <c r="CY1037">
        <v>0.11855324074074074</v>
      </c>
      <c r="CZ1037">
        <v>198</v>
      </c>
      <c r="DA1037">
        <v>297</v>
      </c>
      <c r="DB1037">
        <v>32</v>
      </c>
      <c r="DC1037">
        <v>1.59375</v>
      </c>
      <c r="DD1037">
        <v>16236</v>
      </c>
      <c r="DE1037">
        <v>0.16159999999999999</v>
      </c>
      <c r="DM1037">
        <v>50</v>
      </c>
    </row>
    <row r="1038" spans="91:118" x14ac:dyDescent="0.25">
      <c r="CM1038" t="s">
        <v>636</v>
      </c>
      <c r="CN1038" t="s">
        <v>6</v>
      </c>
      <c r="CO1038" t="s">
        <v>80</v>
      </c>
      <c r="CP1038">
        <v>46092</v>
      </c>
      <c r="CQ1038">
        <v>1</v>
      </c>
      <c r="CR1038">
        <v>1</v>
      </c>
      <c r="CT1038">
        <v>1</v>
      </c>
      <c r="CV1038">
        <v>9.2592592592592588E-5</v>
      </c>
      <c r="CW1038">
        <v>9.2592592592592588E-5</v>
      </c>
      <c r="CX1038">
        <v>0.24596064814814814</v>
      </c>
      <c r="CY1038">
        <v>9.3391203703703699E-2</v>
      </c>
      <c r="CZ1038">
        <v>102</v>
      </c>
      <c r="DA1038">
        <v>123</v>
      </c>
      <c r="DB1038">
        <v>7</v>
      </c>
      <c r="DC1038" t="s">
        <v>850</v>
      </c>
      <c r="DD1038">
        <v>47301</v>
      </c>
      <c r="DE1038">
        <v>6.8599999999999994E-2</v>
      </c>
      <c r="DM1038">
        <v>50</v>
      </c>
    </row>
    <row r="1039" spans="91:118" x14ac:dyDescent="0.25">
      <c r="CM1039" t="s">
        <v>636</v>
      </c>
      <c r="CN1039" t="s">
        <v>6</v>
      </c>
      <c r="CO1039" t="s">
        <v>80</v>
      </c>
      <c r="CP1039">
        <v>46105</v>
      </c>
      <c r="CQ1039">
        <v>1</v>
      </c>
      <c r="CR1039">
        <v>1</v>
      </c>
      <c r="CT1039">
        <v>1</v>
      </c>
      <c r="CV1039">
        <v>8.1018518518518516E-5</v>
      </c>
      <c r="CW1039">
        <v>8.1018518518518516E-5</v>
      </c>
      <c r="CX1039">
        <v>0.20799768518518519</v>
      </c>
      <c r="CY1039">
        <v>0.17267361111111112</v>
      </c>
      <c r="CZ1039">
        <v>86</v>
      </c>
      <c r="DA1039">
        <v>132</v>
      </c>
      <c r="DB1039">
        <v>16</v>
      </c>
      <c r="DC1039">
        <v>2</v>
      </c>
      <c r="DD1039">
        <v>30121</v>
      </c>
      <c r="DE1039">
        <v>0.186</v>
      </c>
      <c r="DM1039">
        <v>50</v>
      </c>
    </row>
    <row r="1040" spans="91:118" x14ac:dyDescent="0.25">
      <c r="CM1040" t="s">
        <v>636</v>
      </c>
      <c r="CN1040" t="s">
        <v>6</v>
      </c>
      <c r="CO1040" t="s">
        <v>105</v>
      </c>
      <c r="CP1040">
        <v>46092</v>
      </c>
      <c r="CQ1040">
        <v>1</v>
      </c>
      <c r="CR1040">
        <v>1</v>
      </c>
      <c r="CT1040">
        <v>1</v>
      </c>
      <c r="CV1040">
        <v>5.7870370370370373E-5</v>
      </c>
      <c r="CW1040">
        <v>5.7870370370370373E-5</v>
      </c>
      <c r="CX1040">
        <v>0.22962962962962963</v>
      </c>
      <c r="CY1040">
        <v>0.11234953703703704</v>
      </c>
      <c r="CZ1040">
        <v>72</v>
      </c>
      <c r="DA1040">
        <v>154</v>
      </c>
      <c r="DB1040">
        <v>14</v>
      </c>
      <c r="DC1040">
        <v>1.5</v>
      </c>
      <c r="DD1040">
        <v>30592</v>
      </c>
      <c r="DE1040">
        <v>0.19439999999999999</v>
      </c>
      <c r="DM1040">
        <v>50</v>
      </c>
    </row>
    <row r="1041" spans="91:117" x14ac:dyDescent="0.25">
      <c r="CM1041" t="s">
        <v>636</v>
      </c>
      <c r="CN1041" t="s">
        <v>6</v>
      </c>
      <c r="CO1041" t="s">
        <v>105</v>
      </c>
      <c r="CP1041">
        <v>46101</v>
      </c>
      <c r="CQ1041">
        <v>1</v>
      </c>
      <c r="CR1041">
        <v>1</v>
      </c>
      <c r="CT1041">
        <v>1</v>
      </c>
      <c r="CV1041">
        <v>1.7361111111111112E-4</v>
      </c>
      <c r="CW1041">
        <v>1.7361111111111112E-4</v>
      </c>
      <c r="CX1041">
        <v>0.19818287037037038</v>
      </c>
      <c r="CY1041">
        <v>9.0509259259259262E-2</v>
      </c>
      <c r="CZ1041">
        <v>93</v>
      </c>
      <c r="DA1041">
        <v>220</v>
      </c>
      <c r="DB1041">
        <v>22</v>
      </c>
      <c r="DC1041" t="s">
        <v>698</v>
      </c>
      <c r="DD1041">
        <v>35516</v>
      </c>
      <c r="DE1041">
        <v>0.2366</v>
      </c>
      <c r="DM1041">
        <v>50</v>
      </c>
    </row>
    <row r="1042" spans="91:117" x14ac:dyDescent="0.25">
      <c r="CM1042" t="s">
        <v>636</v>
      </c>
      <c r="CN1042" t="s">
        <v>6</v>
      </c>
      <c r="CO1042" t="s">
        <v>105</v>
      </c>
      <c r="CP1042">
        <v>46105</v>
      </c>
      <c r="CQ1042">
        <v>1</v>
      </c>
      <c r="CR1042">
        <v>1</v>
      </c>
      <c r="CT1042">
        <v>1</v>
      </c>
      <c r="CV1042">
        <v>1.8518518518518518E-4</v>
      </c>
      <c r="CW1042">
        <v>1.8518518518518518E-4</v>
      </c>
      <c r="CX1042">
        <v>0.26221064814814815</v>
      </c>
      <c r="CY1042">
        <v>0.12091435185185186</v>
      </c>
      <c r="CZ1042">
        <v>124</v>
      </c>
      <c r="DA1042">
        <v>244</v>
      </c>
      <c r="DB1042">
        <v>20</v>
      </c>
      <c r="DC1042">
        <v>1.55</v>
      </c>
      <c r="DD1042">
        <v>34060</v>
      </c>
      <c r="DE1042">
        <v>0.1613</v>
      </c>
      <c r="DM1042">
        <v>50</v>
      </c>
    </row>
    <row r="1043" spans="91:117" x14ac:dyDescent="0.25">
      <c r="CM1043" t="s">
        <v>636</v>
      </c>
      <c r="CN1043" t="s">
        <v>6</v>
      </c>
      <c r="CO1043" t="s">
        <v>35</v>
      </c>
      <c r="CP1043">
        <v>46101</v>
      </c>
      <c r="CQ1043">
        <v>1</v>
      </c>
      <c r="CR1043">
        <v>1</v>
      </c>
      <c r="CT1043">
        <v>1</v>
      </c>
      <c r="CV1043">
        <v>4.9768518518518521E-4</v>
      </c>
      <c r="CW1043">
        <v>4.9768518518518521E-4</v>
      </c>
      <c r="CX1043">
        <v>0.16922453703703705</v>
      </c>
      <c r="CY1043">
        <v>0.1812037037037037</v>
      </c>
      <c r="CZ1043">
        <v>60</v>
      </c>
      <c r="DA1043">
        <v>108</v>
      </c>
      <c r="DB1043">
        <v>18</v>
      </c>
      <c r="DC1043" t="s">
        <v>674</v>
      </c>
      <c r="DD1043">
        <v>30675</v>
      </c>
      <c r="DE1043">
        <v>0.3</v>
      </c>
      <c r="DM1043">
        <v>50</v>
      </c>
    </row>
    <row r="1044" spans="91:117" x14ac:dyDescent="0.25">
      <c r="CM1044" t="s">
        <v>636</v>
      </c>
      <c r="CN1044" t="s">
        <v>6</v>
      </c>
      <c r="CO1044" t="s">
        <v>50</v>
      </c>
      <c r="CP1044">
        <v>46092</v>
      </c>
      <c r="CQ1044">
        <v>1</v>
      </c>
      <c r="CR1044">
        <v>1</v>
      </c>
      <c r="CT1044">
        <v>1</v>
      </c>
      <c r="CV1044">
        <v>1.0416666666666667E-4</v>
      </c>
      <c r="CW1044">
        <v>1.0416666666666667E-4</v>
      </c>
      <c r="CX1044">
        <v>0.19444444444444445</v>
      </c>
      <c r="CY1044">
        <v>0.11045138888888889</v>
      </c>
      <c r="CZ1044">
        <v>105</v>
      </c>
      <c r="DA1044">
        <v>210</v>
      </c>
      <c r="DB1044">
        <v>18</v>
      </c>
      <c r="DC1044" t="s">
        <v>749</v>
      </c>
      <c r="DD1044">
        <v>25250</v>
      </c>
      <c r="DE1044">
        <v>0.1714</v>
      </c>
      <c r="DM1044">
        <v>50</v>
      </c>
    </row>
    <row r="1045" spans="91:117" x14ac:dyDescent="0.25">
      <c r="CM1045" t="s">
        <v>636</v>
      </c>
      <c r="CN1045" t="s">
        <v>6</v>
      </c>
      <c r="CO1045" t="s">
        <v>11</v>
      </c>
      <c r="CP1045">
        <v>46086</v>
      </c>
      <c r="CQ1045">
        <v>1</v>
      </c>
      <c r="CR1045">
        <v>1</v>
      </c>
      <c r="CT1045">
        <v>1</v>
      </c>
      <c r="CV1045">
        <v>1.0416666666666667E-4</v>
      </c>
      <c r="CW1045">
        <v>1.0416666666666667E-4</v>
      </c>
      <c r="CX1045">
        <v>0.35105324074074074</v>
      </c>
      <c r="CY1045">
        <v>8.1956018518518525E-2</v>
      </c>
      <c r="CZ1045">
        <v>165</v>
      </c>
      <c r="DA1045">
        <v>325</v>
      </c>
      <c r="DB1045">
        <v>42</v>
      </c>
      <c r="DC1045" t="s">
        <v>703</v>
      </c>
      <c r="DD1045">
        <v>13096</v>
      </c>
      <c r="DE1045">
        <v>0.2545</v>
      </c>
      <c r="DF1045">
        <v>1</v>
      </c>
      <c r="DG1045">
        <v>2.3800000000000002E-2</v>
      </c>
      <c r="DH1045">
        <v>150</v>
      </c>
      <c r="DI1045">
        <v>150</v>
      </c>
      <c r="DM1045">
        <v>50</v>
      </c>
    </row>
    <row r="1046" spans="91:117" x14ac:dyDescent="0.25">
      <c r="CM1046" t="s">
        <v>636</v>
      </c>
      <c r="CN1046" t="s">
        <v>7</v>
      </c>
      <c r="CO1046" t="s">
        <v>58</v>
      </c>
      <c r="CP1046">
        <v>46092</v>
      </c>
      <c r="CQ1046">
        <v>1</v>
      </c>
      <c r="CR1046">
        <v>1</v>
      </c>
      <c r="CV1046">
        <v>0</v>
      </c>
      <c r="CW1046">
        <v>0</v>
      </c>
      <c r="CX1046">
        <v>0</v>
      </c>
      <c r="CY1046">
        <v>0</v>
      </c>
      <c r="DM1046">
        <v>50</v>
      </c>
    </row>
    <row r="1047" spans="91:117" x14ac:dyDescent="0.25">
      <c r="CM1047" t="s">
        <v>636</v>
      </c>
      <c r="CN1047" t="s">
        <v>7</v>
      </c>
      <c r="CO1047" t="s">
        <v>58</v>
      </c>
      <c r="CP1047">
        <v>46093</v>
      </c>
      <c r="CQ1047">
        <v>1</v>
      </c>
      <c r="CR1047">
        <v>1</v>
      </c>
      <c r="CV1047">
        <v>0</v>
      </c>
      <c r="CW1047">
        <v>0</v>
      </c>
      <c r="CX1047">
        <v>0</v>
      </c>
      <c r="CY1047">
        <v>0</v>
      </c>
      <c r="DM1047">
        <v>50</v>
      </c>
    </row>
    <row r="1048" spans="91:117" x14ac:dyDescent="0.25">
      <c r="CM1048" t="s">
        <v>636</v>
      </c>
      <c r="CN1048" t="s">
        <v>7</v>
      </c>
      <c r="CO1048" t="s">
        <v>58</v>
      </c>
      <c r="CP1048">
        <v>46106</v>
      </c>
      <c r="CQ1048">
        <v>1</v>
      </c>
      <c r="CR1048">
        <v>1</v>
      </c>
      <c r="CV1048">
        <v>0</v>
      </c>
      <c r="CW1048">
        <v>0</v>
      </c>
      <c r="CX1048">
        <v>0</v>
      </c>
      <c r="CY1048">
        <v>0</v>
      </c>
      <c r="DM1048">
        <v>50</v>
      </c>
    </row>
    <row r="1049" spans="91:117" x14ac:dyDescent="0.25">
      <c r="CM1049" t="s">
        <v>636</v>
      </c>
      <c r="CN1049" t="s">
        <v>7</v>
      </c>
      <c r="CO1049" t="s">
        <v>49</v>
      </c>
      <c r="CP1049">
        <v>46093</v>
      </c>
      <c r="CQ1049">
        <v>1</v>
      </c>
      <c r="CR1049">
        <v>1</v>
      </c>
      <c r="CS1049">
        <v>1</v>
      </c>
      <c r="CV1049">
        <v>7.1759259259259259E-3</v>
      </c>
      <c r="CW1049">
        <v>7.1759259259259259E-3</v>
      </c>
      <c r="CX1049">
        <v>0.20787037037037037</v>
      </c>
      <c r="CY1049">
        <v>0.11728009259259259</v>
      </c>
      <c r="CZ1049">
        <v>69</v>
      </c>
      <c r="DA1049">
        <v>119</v>
      </c>
      <c r="DB1049">
        <v>25</v>
      </c>
      <c r="DC1049">
        <v>1.88</v>
      </c>
      <c r="DD1049">
        <v>14614</v>
      </c>
      <c r="DE1049">
        <v>0.36230000000000001</v>
      </c>
      <c r="DM1049">
        <v>50</v>
      </c>
    </row>
    <row r="1050" spans="91:117" x14ac:dyDescent="0.25">
      <c r="CM1050" t="s">
        <v>636</v>
      </c>
      <c r="CN1050" t="s">
        <v>7</v>
      </c>
      <c r="CO1050" t="s">
        <v>77</v>
      </c>
      <c r="CP1050">
        <v>46092</v>
      </c>
      <c r="CQ1050">
        <v>1</v>
      </c>
      <c r="CR1050">
        <v>1</v>
      </c>
      <c r="CS1050">
        <v>1</v>
      </c>
      <c r="CV1050">
        <v>1.4155092592592592E-2</v>
      </c>
      <c r="CW1050">
        <v>1.4155092592592592E-2</v>
      </c>
      <c r="CX1050">
        <v>0.21564814814814814</v>
      </c>
      <c r="CY1050">
        <v>0.10982638888888889</v>
      </c>
      <c r="CZ1050">
        <v>71</v>
      </c>
      <c r="DA1050">
        <v>163</v>
      </c>
      <c r="DB1050">
        <v>17</v>
      </c>
      <c r="DC1050" t="s">
        <v>782</v>
      </c>
      <c r="DD1050">
        <v>16602</v>
      </c>
      <c r="DE1050">
        <v>0.2394</v>
      </c>
      <c r="DM1050">
        <v>50</v>
      </c>
    </row>
    <row r="1051" spans="91:117" x14ac:dyDescent="0.25">
      <c r="CM1051" t="s">
        <v>636</v>
      </c>
      <c r="CN1051" t="s">
        <v>7</v>
      </c>
      <c r="CO1051" t="s">
        <v>566</v>
      </c>
      <c r="CP1051">
        <v>46106</v>
      </c>
      <c r="CQ1051">
        <v>1</v>
      </c>
      <c r="CR1051">
        <v>1</v>
      </c>
      <c r="CS1051">
        <v>1</v>
      </c>
      <c r="CV1051">
        <v>6.5509259259259262E-3</v>
      </c>
      <c r="CW1051">
        <v>6.5509259259259262E-3</v>
      </c>
      <c r="CX1051">
        <v>0.15766203703703704</v>
      </c>
      <c r="CY1051">
        <v>0.15020833333333333</v>
      </c>
      <c r="CZ1051">
        <v>102</v>
      </c>
      <c r="DA1051">
        <v>188</v>
      </c>
      <c r="DB1051">
        <v>26</v>
      </c>
      <c r="DC1051" t="s">
        <v>1080</v>
      </c>
      <c r="DD1051">
        <v>9357</v>
      </c>
      <c r="DE1051">
        <v>0.25490000000000002</v>
      </c>
      <c r="DM1051">
        <v>50</v>
      </c>
    </row>
    <row r="1052" spans="91:117" x14ac:dyDescent="0.25">
      <c r="CM1052" t="s">
        <v>636</v>
      </c>
      <c r="CN1052" t="s">
        <v>3</v>
      </c>
      <c r="CO1052" t="s">
        <v>174</v>
      </c>
      <c r="CP1052">
        <v>46085</v>
      </c>
      <c r="CQ1052">
        <v>1</v>
      </c>
      <c r="CR1052">
        <v>1</v>
      </c>
      <c r="CT1052">
        <v>1</v>
      </c>
      <c r="CV1052">
        <v>3.4722222222222222E-5</v>
      </c>
      <c r="CW1052">
        <v>3.4722222222222222E-5</v>
      </c>
      <c r="CX1052">
        <v>0.25390046296296298</v>
      </c>
      <c r="CY1052">
        <v>9.0277777777777776E-2</v>
      </c>
      <c r="CZ1052">
        <v>218</v>
      </c>
      <c r="DA1052">
        <v>269</v>
      </c>
      <c r="DB1052">
        <v>28</v>
      </c>
      <c r="DC1052" t="s">
        <v>996</v>
      </c>
      <c r="DD1052">
        <v>27167</v>
      </c>
      <c r="DE1052">
        <v>0.12839999999999999</v>
      </c>
      <c r="DM1052">
        <v>50</v>
      </c>
    </row>
    <row r="1053" spans="91:117" x14ac:dyDescent="0.25">
      <c r="CM1053" t="s">
        <v>636</v>
      </c>
      <c r="CN1053" t="s">
        <v>3</v>
      </c>
      <c r="CO1053" t="s">
        <v>174</v>
      </c>
      <c r="CP1053">
        <v>46099</v>
      </c>
      <c r="CQ1053">
        <v>1</v>
      </c>
      <c r="CR1053">
        <v>1</v>
      </c>
      <c r="CT1053">
        <v>1</v>
      </c>
      <c r="CV1053">
        <v>2.3148148148148147E-5</v>
      </c>
      <c r="CW1053">
        <v>2.3148148148148147E-5</v>
      </c>
      <c r="CX1053">
        <v>0.26907407407407408</v>
      </c>
      <c r="CY1053">
        <v>0.14386574074074074</v>
      </c>
      <c r="CZ1053">
        <v>253</v>
      </c>
      <c r="DA1053">
        <v>354</v>
      </c>
      <c r="DB1053">
        <v>29</v>
      </c>
      <c r="DC1053" t="s">
        <v>1081</v>
      </c>
      <c r="DD1053">
        <v>36784</v>
      </c>
      <c r="DE1053">
        <v>0.11459999999999999</v>
      </c>
      <c r="DM1053">
        <v>50</v>
      </c>
    </row>
    <row r="1054" spans="91:117" x14ac:dyDescent="0.25">
      <c r="CM1054" t="s">
        <v>636</v>
      </c>
      <c r="CN1054" t="s">
        <v>3</v>
      </c>
      <c r="CO1054" t="s">
        <v>493</v>
      </c>
      <c r="CP1054">
        <v>46093</v>
      </c>
      <c r="CQ1054">
        <v>1</v>
      </c>
      <c r="CR1054">
        <v>1</v>
      </c>
      <c r="CT1054">
        <v>1</v>
      </c>
      <c r="CV1054">
        <v>0</v>
      </c>
      <c r="CW1054">
        <v>0</v>
      </c>
      <c r="CX1054">
        <v>0.26560185185185187</v>
      </c>
      <c r="CY1054">
        <v>8.3449074074074078E-2</v>
      </c>
      <c r="CZ1054">
        <v>146</v>
      </c>
      <c r="DA1054">
        <v>248</v>
      </c>
      <c r="DB1054">
        <v>39</v>
      </c>
      <c r="DC1054" t="s">
        <v>1051</v>
      </c>
      <c r="DD1054">
        <v>15966</v>
      </c>
      <c r="DE1054">
        <v>0.2671</v>
      </c>
      <c r="DM1054">
        <v>50</v>
      </c>
    </row>
    <row r="1055" spans="91:117" x14ac:dyDescent="0.25">
      <c r="CM1055" t="s">
        <v>636</v>
      </c>
      <c r="CN1055" t="s">
        <v>3</v>
      </c>
      <c r="CO1055" t="s">
        <v>493</v>
      </c>
      <c r="CP1055">
        <v>46111</v>
      </c>
      <c r="CQ1055">
        <v>1</v>
      </c>
      <c r="CR1055">
        <v>1</v>
      </c>
      <c r="CT1055">
        <v>1</v>
      </c>
      <c r="CV1055">
        <v>5.7870370370370373E-5</v>
      </c>
      <c r="CW1055">
        <v>5.7870370370370373E-5</v>
      </c>
      <c r="CX1055">
        <v>0.24537037037037038</v>
      </c>
      <c r="CY1055">
        <v>0.14126157407407408</v>
      </c>
      <c r="CZ1055">
        <v>216</v>
      </c>
      <c r="DA1055">
        <v>299</v>
      </c>
      <c r="DB1055">
        <v>39</v>
      </c>
      <c r="DC1055" t="s">
        <v>674</v>
      </c>
      <c r="DD1055">
        <v>21833</v>
      </c>
      <c r="DE1055">
        <v>0.18060000000000001</v>
      </c>
      <c r="DM1055">
        <v>50</v>
      </c>
    </row>
    <row r="1056" spans="91:117" x14ac:dyDescent="0.25">
      <c r="CM1056" t="s">
        <v>636</v>
      </c>
      <c r="CN1056" t="s">
        <v>3</v>
      </c>
      <c r="CO1056" t="s">
        <v>32</v>
      </c>
      <c r="CP1056">
        <v>46085</v>
      </c>
      <c r="CQ1056">
        <v>1</v>
      </c>
      <c r="CR1056">
        <v>1</v>
      </c>
      <c r="CT1056">
        <v>1</v>
      </c>
      <c r="CV1056">
        <v>1.3888888888888889E-4</v>
      </c>
      <c r="CW1056">
        <v>1.3888888888888889E-4</v>
      </c>
      <c r="CX1056">
        <v>0.28312500000000002</v>
      </c>
      <c r="CY1056">
        <v>7.1226851851851847E-2</v>
      </c>
      <c r="CZ1056">
        <v>94</v>
      </c>
      <c r="DA1056">
        <v>209</v>
      </c>
      <c r="DB1056">
        <v>41</v>
      </c>
      <c r="DC1056" t="s">
        <v>1001</v>
      </c>
      <c r="DD1056">
        <v>26851</v>
      </c>
      <c r="DE1056">
        <v>0.43619999999999998</v>
      </c>
      <c r="DM1056">
        <v>50</v>
      </c>
    </row>
    <row r="1057" spans="91:118" x14ac:dyDescent="0.25">
      <c r="CM1057" t="s">
        <v>636</v>
      </c>
      <c r="CN1057" t="s">
        <v>3</v>
      </c>
      <c r="CO1057" t="s">
        <v>96</v>
      </c>
      <c r="CP1057">
        <v>46085</v>
      </c>
      <c r="CQ1057">
        <v>1</v>
      </c>
      <c r="CR1057">
        <v>1</v>
      </c>
      <c r="CT1057">
        <v>1</v>
      </c>
      <c r="CV1057">
        <v>3.1134259259259257E-3</v>
      </c>
      <c r="CW1057">
        <v>3.1134259259259257E-3</v>
      </c>
      <c r="CX1057">
        <v>0.24812500000000001</v>
      </c>
      <c r="CY1057">
        <v>0.1032175925925926</v>
      </c>
      <c r="CZ1057">
        <v>74</v>
      </c>
      <c r="DA1057">
        <v>170</v>
      </c>
      <c r="DB1057">
        <v>22</v>
      </c>
      <c r="DC1057" t="s">
        <v>740</v>
      </c>
      <c r="DD1057">
        <v>26419</v>
      </c>
      <c r="DE1057">
        <v>0.29730000000000001</v>
      </c>
      <c r="DF1057">
        <v>1</v>
      </c>
      <c r="DG1057">
        <v>4.5499999999999999E-2</v>
      </c>
      <c r="DH1057">
        <v>150</v>
      </c>
      <c r="DI1057">
        <v>150</v>
      </c>
      <c r="DM1057">
        <v>50</v>
      </c>
    </row>
    <row r="1058" spans="91:118" x14ac:dyDescent="0.25">
      <c r="CM1058" t="s">
        <v>636</v>
      </c>
      <c r="CN1058" t="s">
        <v>3</v>
      </c>
      <c r="CO1058" t="s">
        <v>96</v>
      </c>
      <c r="CP1058">
        <v>46093</v>
      </c>
      <c r="CQ1058">
        <v>1</v>
      </c>
      <c r="CR1058">
        <v>1</v>
      </c>
      <c r="CT1058">
        <v>1</v>
      </c>
      <c r="CV1058">
        <v>0</v>
      </c>
      <c r="CW1058">
        <v>0</v>
      </c>
      <c r="CX1058">
        <v>0.20444444444444446</v>
      </c>
      <c r="CY1058">
        <v>0.10780092592592593</v>
      </c>
      <c r="CZ1058">
        <v>87</v>
      </c>
      <c r="DA1058">
        <v>170</v>
      </c>
      <c r="DB1058">
        <v>27</v>
      </c>
      <c r="DC1058" t="s">
        <v>829</v>
      </c>
      <c r="DD1058">
        <v>23265</v>
      </c>
      <c r="DE1058">
        <v>0.31030000000000002</v>
      </c>
      <c r="DM1058">
        <v>50</v>
      </c>
    </row>
    <row r="1059" spans="91:118" x14ac:dyDescent="0.25">
      <c r="CM1059" t="s">
        <v>636</v>
      </c>
      <c r="CN1059" t="s">
        <v>3</v>
      </c>
      <c r="CO1059" t="s">
        <v>96</v>
      </c>
      <c r="CP1059">
        <v>46099</v>
      </c>
      <c r="CQ1059">
        <v>1</v>
      </c>
      <c r="CR1059">
        <v>1</v>
      </c>
      <c r="CT1059">
        <v>1</v>
      </c>
      <c r="CV1059">
        <v>1.6550925925925926E-3</v>
      </c>
      <c r="CW1059">
        <v>1.6550925925925926E-3</v>
      </c>
      <c r="CX1059">
        <v>0.27622685185185186</v>
      </c>
      <c r="CY1059">
        <v>0.11895833333333333</v>
      </c>
      <c r="CZ1059">
        <v>112</v>
      </c>
      <c r="DA1059">
        <v>233</v>
      </c>
      <c r="DB1059">
        <v>22</v>
      </c>
      <c r="DC1059" t="s">
        <v>852</v>
      </c>
      <c r="DD1059">
        <v>31630</v>
      </c>
      <c r="DE1059">
        <v>0.19639999999999999</v>
      </c>
      <c r="DM1059">
        <v>50</v>
      </c>
    </row>
    <row r="1060" spans="91:118" x14ac:dyDescent="0.25">
      <c r="CM1060" t="s">
        <v>636</v>
      </c>
      <c r="CN1060" t="s">
        <v>3</v>
      </c>
      <c r="CO1060" t="s">
        <v>68</v>
      </c>
      <c r="CP1060">
        <v>46087</v>
      </c>
      <c r="CQ1060">
        <v>1</v>
      </c>
      <c r="CR1060">
        <v>1</v>
      </c>
      <c r="CV1060">
        <v>0</v>
      </c>
      <c r="CW1060">
        <v>0</v>
      </c>
      <c r="CX1060">
        <v>0</v>
      </c>
      <c r="CY1060">
        <v>0</v>
      </c>
      <c r="DM1060">
        <v>50</v>
      </c>
    </row>
    <row r="1061" spans="91:118" x14ac:dyDescent="0.25">
      <c r="CM1061" t="s">
        <v>636</v>
      </c>
      <c r="CN1061" t="s">
        <v>3</v>
      </c>
      <c r="CO1061" t="s">
        <v>68</v>
      </c>
      <c r="CP1061">
        <v>46093</v>
      </c>
      <c r="CQ1061">
        <v>1</v>
      </c>
      <c r="CR1061">
        <v>1</v>
      </c>
      <c r="CT1061">
        <v>1</v>
      </c>
      <c r="CV1061">
        <v>1.1574074074074075E-4</v>
      </c>
      <c r="CW1061">
        <v>1.1574074074074075E-4</v>
      </c>
      <c r="CX1061">
        <v>0.22761574074074073</v>
      </c>
      <c r="CY1061">
        <v>5.3877314814814815E-2</v>
      </c>
      <c r="CZ1061">
        <v>115</v>
      </c>
      <c r="DA1061">
        <v>249</v>
      </c>
      <c r="DB1061">
        <v>19</v>
      </c>
      <c r="DC1061" t="s">
        <v>936</v>
      </c>
      <c r="DD1061">
        <v>39053</v>
      </c>
      <c r="DE1061">
        <v>0.16520000000000001</v>
      </c>
      <c r="DM1061">
        <v>50</v>
      </c>
    </row>
    <row r="1062" spans="91:118" x14ac:dyDescent="0.25">
      <c r="CM1062" t="s">
        <v>636</v>
      </c>
      <c r="CN1062" t="s">
        <v>3</v>
      </c>
      <c r="CO1062" t="s">
        <v>29</v>
      </c>
      <c r="CP1062">
        <v>46085</v>
      </c>
      <c r="CQ1062">
        <v>1</v>
      </c>
      <c r="CR1062">
        <v>1</v>
      </c>
      <c r="CT1062">
        <v>1</v>
      </c>
      <c r="CV1062">
        <v>6.9444444444444444E-5</v>
      </c>
      <c r="CW1062">
        <v>6.9444444444444444E-5</v>
      </c>
      <c r="CX1062">
        <v>0.27791666666666665</v>
      </c>
      <c r="CY1062">
        <v>7.4537037037037041E-2</v>
      </c>
      <c r="CZ1062">
        <v>129</v>
      </c>
      <c r="DA1062">
        <v>210</v>
      </c>
      <c r="DB1062">
        <v>17</v>
      </c>
      <c r="DC1062" t="s">
        <v>772</v>
      </c>
      <c r="DD1062">
        <v>9451</v>
      </c>
      <c r="DE1062">
        <v>0.1318</v>
      </c>
      <c r="DM1062">
        <v>50</v>
      </c>
    </row>
    <row r="1063" spans="91:118" x14ac:dyDescent="0.25">
      <c r="CM1063" t="s">
        <v>636</v>
      </c>
      <c r="CN1063" t="s">
        <v>3</v>
      </c>
      <c r="CO1063" t="s">
        <v>29</v>
      </c>
      <c r="CP1063">
        <v>46091</v>
      </c>
      <c r="CQ1063">
        <v>1</v>
      </c>
      <c r="CR1063">
        <v>1</v>
      </c>
      <c r="CS1063">
        <v>1</v>
      </c>
      <c r="CV1063">
        <v>6.4699074074074077E-3</v>
      </c>
      <c r="CW1063">
        <v>6.4699074074074077E-3</v>
      </c>
      <c r="CX1063">
        <v>0.29730324074074072</v>
      </c>
      <c r="CY1063">
        <v>0.10916666666666666</v>
      </c>
      <c r="CZ1063">
        <v>138</v>
      </c>
      <c r="DA1063">
        <v>241</v>
      </c>
      <c r="DB1063">
        <v>22</v>
      </c>
      <c r="DC1063" t="s">
        <v>847</v>
      </c>
      <c r="DD1063">
        <v>26608</v>
      </c>
      <c r="DE1063">
        <v>0.15939999999999999</v>
      </c>
      <c r="DM1063">
        <v>50</v>
      </c>
    </row>
    <row r="1064" spans="91:118" x14ac:dyDescent="0.25">
      <c r="CM1064" t="s">
        <v>636</v>
      </c>
      <c r="CN1064" t="s">
        <v>3</v>
      </c>
      <c r="CO1064" t="s">
        <v>29</v>
      </c>
      <c r="CP1064">
        <v>46099</v>
      </c>
      <c r="CQ1064">
        <v>1</v>
      </c>
      <c r="CR1064">
        <v>1</v>
      </c>
      <c r="CT1064">
        <v>1</v>
      </c>
      <c r="CV1064">
        <v>0</v>
      </c>
      <c r="CW1064">
        <v>0</v>
      </c>
      <c r="CX1064">
        <v>0.26275462962962964</v>
      </c>
      <c r="CY1064">
        <v>0.1385763888888889</v>
      </c>
      <c r="CZ1064">
        <v>155</v>
      </c>
      <c r="DA1064">
        <v>286</v>
      </c>
      <c r="DB1064">
        <v>28</v>
      </c>
      <c r="DC1064" t="s">
        <v>996</v>
      </c>
      <c r="DD1064">
        <v>21965</v>
      </c>
      <c r="DE1064">
        <v>0.18060000000000001</v>
      </c>
      <c r="DM1064">
        <v>50</v>
      </c>
    </row>
    <row r="1065" spans="91:118" x14ac:dyDescent="0.25">
      <c r="CM1065" t="s">
        <v>636</v>
      </c>
      <c r="CN1065" t="s">
        <v>3</v>
      </c>
      <c r="CO1065" t="s">
        <v>76</v>
      </c>
      <c r="CP1065">
        <v>46099</v>
      </c>
      <c r="CQ1065">
        <v>1</v>
      </c>
      <c r="CR1065">
        <v>1</v>
      </c>
      <c r="CT1065">
        <v>1</v>
      </c>
      <c r="CV1065">
        <v>1.7361111111111112E-4</v>
      </c>
      <c r="CW1065">
        <v>1.7361111111111112E-4</v>
      </c>
      <c r="CX1065">
        <v>0.21795138888888888</v>
      </c>
      <c r="CY1065">
        <v>8.0717592592592591E-2</v>
      </c>
      <c r="CZ1065">
        <v>114</v>
      </c>
      <c r="DA1065">
        <v>136</v>
      </c>
      <c r="DB1065">
        <v>17</v>
      </c>
      <c r="DC1065" t="s">
        <v>839</v>
      </c>
      <c r="DD1065">
        <v>11155</v>
      </c>
      <c r="DE1065">
        <v>0.14910000000000001</v>
      </c>
      <c r="DM1065">
        <v>50</v>
      </c>
    </row>
    <row r="1066" spans="91:118" x14ac:dyDescent="0.25">
      <c r="CM1066" t="s">
        <v>636</v>
      </c>
      <c r="CN1066" t="s">
        <v>125</v>
      </c>
      <c r="CO1066" t="s">
        <v>72</v>
      </c>
      <c r="CP1066">
        <v>46090</v>
      </c>
      <c r="CQ1066">
        <v>1</v>
      </c>
      <c r="CR1066">
        <v>1</v>
      </c>
      <c r="CV1066">
        <v>0</v>
      </c>
      <c r="CW1066">
        <v>0</v>
      </c>
      <c r="CX1066">
        <v>0</v>
      </c>
      <c r="CY1066">
        <v>0</v>
      </c>
      <c r="DM1066">
        <v>48</v>
      </c>
    </row>
    <row r="1067" spans="91:118" x14ac:dyDescent="0.25">
      <c r="CM1067" t="s">
        <v>636</v>
      </c>
      <c r="CN1067" t="s">
        <v>125</v>
      </c>
      <c r="CO1067" t="s">
        <v>10</v>
      </c>
      <c r="CP1067">
        <v>46090</v>
      </c>
      <c r="CQ1067">
        <v>1</v>
      </c>
      <c r="CR1067">
        <v>1</v>
      </c>
      <c r="CV1067">
        <v>0</v>
      </c>
      <c r="CW1067">
        <v>0</v>
      </c>
      <c r="CX1067">
        <v>0</v>
      </c>
      <c r="CY1067">
        <v>0</v>
      </c>
      <c r="DM1067">
        <v>48</v>
      </c>
    </row>
    <row r="1068" spans="91:118" x14ac:dyDescent="0.25">
      <c r="CM1068" t="s">
        <v>636</v>
      </c>
      <c r="CN1068" t="s">
        <v>2</v>
      </c>
      <c r="CO1068" t="s">
        <v>42</v>
      </c>
      <c r="CP1068">
        <v>46097</v>
      </c>
      <c r="CQ1068">
        <v>1</v>
      </c>
      <c r="CR1068">
        <v>1</v>
      </c>
      <c r="CV1068">
        <v>0</v>
      </c>
      <c r="CW1068">
        <v>0</v>
      </c>
      <c r="CX1068">
        <v>0</v>
      </c>
      <c r="CY1068">
        <v>0</v>
      </c>
      <c r="DM1068">
        <v>48</v>
      </c>
    </row>
    <row r="1069" spans="91:118" x14ac:dyDescent="0.25">
      <c r="CM1069" t="s">
        <v>636</v>
      </c>
      <c r="CN1069" t="s">
        <v>2</v>
      </c>
      <c r="CO1069" t="s">
        <v>17</v>
      </c>
      <c r="CP1069">
        <v>46097</v>
      </c>
      <c r="CQ1069">
        <v>1</v>
      </c>
      <c r="CR1069">
        <v>1</v>
      </c>
      <c r="CV1069">
        <v>3.7962962962962963E-3</v>
      </c>
      <c r="CW1069">
        <v>3.7962962962962963E-3</v>
      </c>
      <c r="CX1069">
        <v>0.20069444444444445</v>
      </c>
      <c r="CY1069">
        <v>0.12108796296296297</v>
      </c>
      <c r="CZ1069">
        <v>66</v>
      </c>
      <c r="DA1069">
        <v>126</v>
      </c>
      <c r="DB1069">
        <v>17</v>
      </c>
      <c r="DC1069" t="s">
        <v>844</v>
      </c>
      <c r="DD1069">
        <v>44585</v>
      </c>
      <c r="DE1069">
        <v>0.2576</v>
      </c>
      <c r="DM1069">
        <v>48</v>
      </c>
    </row>
    <row r="1070" spans="91:118" x14ac:dyDescent="0.25">
      <c r="CM1070" t="s">
        <v>636</v>
      </c>
      <c r="CN1070" t="s">
        <v>6</v>
      </c>
      <c r="CO1070" t="s">
        <v>80</v>
      </c>
      <c r="CP1070">
        <v>46083</v>
      </c>
      <c r="CQ1070">
        <v>1</v>
      </c>
      <c r="CR1070">
        <v>1</v>
      </c>
      <c r="CT1070">
        <v>1</v>
      </c>
      <c r="CV1070">
        <v>1.5046296296296297E-4</v>
      </c>
      <c r="CW1070">
        <v>1.5046296296296297E-4</v>
      </c>
      <c r="CX1070">
        <v>0.21211805555555555</v>
      </c>
      <c r="CY1070">
        <v>0.10431712962962963</v>
      </c>
      <c r="CZ1070">
        <v>46</v>
      </c>
      <c r="DA1070">
        <v>81</v>
      </c>
      <c r="DB1070">
        <v>11</v>
      </c>
      <c r="DC1070">
        <v>2</v>
      </c>
      <c r="DD1070">
        <v>47247</v>
      </c>
      <c r="DE1070">
        <v>0.23910000000000001</v>
      </c>
      <c r="DF1070">
        <v>2</v>
      </c>
      <c r="DG1070">
        <v>0.18179999999999999</v>
      </c>
      <c r="DH1070">
        <v>2400</v>
      </c>
      <c r="DI1070">
        <v>1200</v>
      </c>
      <c r="DJ1070">
        <v>400</v>
      </c>
      <c r="DK1070">
        <v>0.16669999999999999</v>
      </c>
      <c r="DM1070">
        <v>48</v>
      </c>
      <c r="DN1070">
        <v>400</v>
      </c>
    </row>
    <row r="1071" spans="91:118" x14ac:dyDescent="0.25">
      <c r="CM1071" t="s">
        <v>636</v>
      </c>
      <c r="CN1071" t="s">
        <v>6</v>
      </c>
      <c r="CO1071" t="s">
        <v>105</v>
      </c>
      <c r="CP1071">
        <v>46104</v>
      </c>
      <c r="CQ1071">
        <v>1</v>
      </c>
      <c r="CR1071">
        <v>1</v>
      </c>
      <c r="CT1071">
        <v>1</v>
      </c>
      <c r="CV1071">
        <v>3.4722222222222222E-5</v>
      </c>
      <c r="CW1071">
        <v>3.4722222222222222E-5</v>
      </c>
      <c r="CX1071">
        <v>0.18177083333333333</v>
      </c>
      <c r="CY1071">
        <v>0.16336805555555556</v>
      </c>
      <c r="CZ1071">
        <v>86</v>
      </c>
      <c r="DA1071">
        <v>172</v>
      </c>
      <c r="DB1071">
        <v>19</v>
      </c>
      <c r="DC1071" t="s">
        <v>691</v>
      </c>
      <c r="DD1071">
        <v>42338</v>
      </c>
      <c r="DE1071">
        <v>0.22090000000000001</v>
      </c>
      <c r="DF1071">
        <v>1</v>
      </c>
      <c r="DG1071">
        <v>5.2600000000000001E-2</v>
      </c>
      <c r="DH1071">
        <v>1000</v>
      </c>
      <c r="DI1071">
        <v>1000</v>
      </c>
      <c r="DM1071">
        <v>48</v>
      </c>
    </row>
    <row r="1072" spans="91:118" x14ac:dyDescent="0.25">
      <c r="CM1072" t="s">
        <v>636</v>
      </c>
      <c r="CN1072" t="s">
        <v>6</v>
      </c>
      <c r="CO1072" t="s">
        <v>105</v>
      </c>
      <c r="CP1072">
        <v>46107</v>
      </c>
      <c r="CQ1072">
        <v>1</v>
      </c>
      <c r="CR1072">
        <v>1</v>
      </c>
      <c r="CS1072">
        <v>1</v>
      </c>
      <c r="CV1072">
        <v>9.2824074074074076E-3</v>
      </c>
      <c r="CW1072">
        <v>9.2824074074074076E-3</v>
      </c>
      <c r="CX1072">
        <v>0.21190972222222224</v>
      </c>
      <c r="CY1072">
        <v>0.12825231481481481</v>
      </c>
      <c r="CZ1072">
        <v>76</v>
      </c>
      <c r="DA1072">
        <v>163</v>
      </c>
      <c r="DB1072">
        <v>15</v>
      </c>
      <c r="DC1072">
        <v>1.4</v>
      </c>
      <c r="DD1072">
        <v>47491</v>
      </c>
      <c r="DE1072">
        <v>0.19739999999999999</v>
      </c>
      <c r="DM1072">
        <v>48</v>
      </c>
    </row>
    <row r="1073" spans="91:117" x14ac:dyDescent="0.25">
      <c r="CM1073" t="s">
        <v>636</v>
      </c>
      <c r="CN1073" t="s">
        <v>6</v>
      </c>
      <c r="CO1073" t="s">
        <v>26</v>
      </c>
      <c r="CP1073">
        <v>46087</v>
      </c>
      <c r="CQ1073">
        <v>1</v>
      </c>
      <c r="CR1073">
        <v>1</v>
      </c>
      <c r="CV1073">
        <v>0</v>
      </c>
      <c r="CW1073">
        <v>0</v>
      </c>
      <c r="CX1073">
        <v>0</v>
      </c>
      <c r="CY1073">
        <v>0</v>
      </c>
      <c r="DM1073">
        <v>48</v>
      </c>
    </row>
    <row r="1074" spans="91:117" x14ac:dyDescent="0.25">
      <c r="CM1074" t="s">
        <v>636</v>
      </c>
      <c r="CN1074" t="s">
        <v>6</v>
      </c>
      <c r="CO1074" t="s">
        <v>26</v>
      </c>
      <c r="CP1074">
        <v>46093</v>
      </c>
      <c r="CQ1074">
        <v>1</v>
      </c>
      <c r="CR1074">
        <v>1</v>
      </c>
      <c r="CV1074">
        <v>0</v>
      </c>
      <c r="CW1074">
        <v>0</v>
      </c>
      <c r="CX1074">
        <v>0</v>
      </c>
      <c r="CY1074">
        <v>0</v>
      </c>
      <c r="DM1074">
        <v>48</v>
      </c>
    </row>
    <row r="1075" spans="91:117" x14ac:dyDescent="0.25">
      <c r="CM1075" t="s">
        <v>636</v>
      </c>
      <c r="CN1075" t="s">
        <v>6</v>
      </c>
      <c r="CO1075" t="s">
        <v>26</v>
      </c>
      <c r="CP1075">
        <v>46107</v>
      </c>
      <c r="CQ1075">
        <v>1</v>
      </c>
      <c r="CR1075">
        <v>1</v>
      </c>
      <c r="CV1075">
        <v>0</v>
      </c>
      <c r="CW1075">
        <v>0</v>
      </c>
      <c r="CX1075">
        <v>0</v>
      </c>
      <c r="CY1075">
        <v>0</v>
      </c>
      <c r="DM1075">
        <v>48</v>
      </c>
    </row>
    <row r="1076" spans="91:117" x14ac:dyDescent="0.25">
      <c r="CM1076" t="s">
        <v>636</v>
      </c>
      <c r="CN1076" t="s">
        <v>6</v>
      </c>
      <c r="CO1076" t="s">
        <v>35</v>
      </c>
      <c r="CP1076">
        <v>46099</v>
      </c>
      <c r="CQ1076">
        <v>1</v>
      </c>
      <c r="CR1076">
        <v>1</v>
      </c>
      <c r="CT1076">
        <v>1</v>
      </c>
      <c r="CV1076">
        <v>6.9444444444444444E-5</v>
      </c>
      <c r="CW1076">
        <v>6.9444444444444444E-5</v>
      </c>
      <c r="CX1076">
        <v>0.25031249999999999</v>
      </c>
      <c r="CY1076">
        <v>0.14443287037037036</v>
      </c>
      <c r="CZ1076">
        <v>97</v>
      </c>
      <c r="DA1076">
        <v>166</v>
      </c>
      <c r="DB1076">
        <v>32</v>
      </c>
      <c r="DC1076">
        <v>1.96875</v>
      </c>
      <c r="DD1076">
        <v>20469</v>
      </c>
      <c r="DE1076">
        <v>0.32990000000000003</v>
      </c>
      <c r="DF1076">
        <v>1</v>
      </c>
      <c r="DG1076">
        <v>3.1300000000000001E-2</v>
      </c>
      <c r="DH1076">
        <v>310</v>
      </c>
      <c r="DI1076">
        <v>310</v>
      </c>
      <c r="DM1076">
        <v>48</v>
      </c>
    </row>
    <row r="1077" spans="91:117" x14ac:dyDescent="0.25">
      <c r="CM1077" t="s">
        <v>636</v>
      </c>
      <c r="CN1077" t="s">
        <v>6</v>
      </c>
      <c r="CO1077" t="s">
        <v>50</v>
      </c>
      <c r="CP1077">
        <v>46093</v>
      </c>
      <c r="CQ1077">
        <v>1</v>
      </c>
      <c r="CR1077">
        <v>1</v>
      </c>
      <c r="CS1077">
        <v>1</v>
      </c>
      <c r="CV1077">
        <v>7.4305555555555557E-3</v>
      </c>
      <c r="CW1077">
        <v>7.4305555555555557E-3</v>
      </c>
      <c r="CX1077">
        <v>0.22116898148148148</v>
      </c>
      <c r="CY1077">
        <v>0.12989583333333332</v>
      </c>
      <c r="CZ1077">
        <v>98</v>
      </c>
      <c r="DA1077">
        <v>182</v>
      </c>
      <c r="DB1077">
        <v>18</v>
      </c>
      <c r="DC1077" t="s">
        <v>715</v>
      </c>
      <c r="DD1077">
        <v>22010</v>
      </c>
      <c r="DE1077">
        <v>0.1837</v>
      </c>
      <c r="DM1077">
        <v>48</v>
      </c>
    </row>
    <row r="1078" spans="91:117" x14ac:dyDescent="0.25">
      <c r="CM1078" t="s">
        <v>636</v>
      </c>
      <c r="CN1078" t="s">
        <v>7</v>
      </c>
      <c r="CO1078" t="s">
        <v>58</v>
      </c>
      <c r="CP1078">
        <v>46083</v>
      </c>
      <c r="CQ1078">
        <v>1</v>
      </c>
      <c r="CR1078">
        <v>1</v>
      </c>
      <c r="CV1078">
        <v>0</v>
      </c>
      <c r="CW1078">
        <v>0</v>
      </c>
      <c r="CX1078">
        <v>0</v>
      </c>
      <c r="CY1078">
        <v>0</v>
      </c>
      <c r="DM1078">
        <v>48</v>
      </c>
    </row>
    <row r="1079" spans="91:117" x14ac:dyDescent="0.25">
      <c r="CM1079" t="s">
        <v>636</v>
      </c>
      <c r="CN1079" t="s">
        <v>7</v>
      </c>
      <c r="CO1079" t="s">
        <v>563</v>
      </c>
      <c r="CP1079">
        <v>46083</v>
      </c>
      <c r="CQ1079">
        <v>1</v>
      </c>
      <c r="CR1079">
        <v>1</v>
      </c>
      <c r="CS1079">
        <v>1</v>
      </c>
      <c r="CV1079">
        <v>9.0162037037037034E-3</v>
      </c>
      <c r="CW1079">
        <v>9.0162037037037034E-3</v>
      </c>
      <c r="CX1079">
        <v>9.3333333333333338E-2</v>
      </c>
      <c r="CY1079">
        <v>0.27393518518518517</v>
      </c>
      <c r="CZ1079">
        <v>27</v>
      </c>
      <c r="DA1079">
        <v>49</v>
      </c>
      <c r="DB1079">
        <v>7</v>
      </c>
      <c r="DC1079" t="s">
        <v>850</v>
      </c>
      <c r="DD1079">
        <v>2930</v>
      </c>
      <c r="DE1079">
        <v>0.25929999999999997</v>
      </c>
      <c r="DM1079">
        <v>48</v>
      </c>
    </row>
    <row r="1080" spans="91:117" x14ac:dyDescent="0.25">
      <c r="CM1080" t="s">
        <v>636</v>
      </c>
      <c r="CN1080" t="s">
        <v>7</v>
      </c>
      <c r="CO1080" t="s">
        <v>565</v>
      </c>
      <c r="CP1080">
        <v>46083</v>
      </c>
      <c r="CQ1080">
        <v>1</v>
      </c>
      <c r="CR1080">
        <v>1</v>
      </c>
      <c r="CU1080">
        <v>1</v>
      </c>
      <c r="CV1080">
        <v>0</v>
      </c>
      <c r="CW1080">
        <v>0</v>
      </c>
      <c r="CX1080">
        <v>0</v>
      </c>
      <c r="CY1080">
        <v>0</v>
      </c>
      <c r="DM1080">
        <v>48</v>
      </c>
    </row>
    <row r="1081" spans="91:117" x14ac:dyDescent="0.25">
      <c r="CM1081" t="s">
        <v>636</v>
      </c>
      <c r="CN1081" t="s">
        <v>7</v>
      </c>
      <c r="CO1081" t="s">
        <v>497</v>
      </c>
      <c r="CP1081">
        <v>46083</v>
      </c>
      <c r="CQ1081">
        <v>1</v>
      </c>
      <c r="CR1081">
        <v>1</v>
      </c>
      <c r="CU1081">
        <v>1</v>
      </c>
      <c r="CV1081">
        <v>0</v>
      </c>
      <c r="CW1081">
        <v>0</v>
      </c>
      <c r="CX1081">
        <v>0</v>
      </c>
      <c r="CY1081">
        <v>0</v>
      </c>
      <c r="DM1081">
        <v>48</v>
      </c>
    </row>
    <row r="1082" spans="91:117" x14ac:dyDescent="0.25">
      <c r="CM1082" t="s">
        <v>636</v>
      </c>
      <c r="CN1082" t="s">
        <v>3</v>
      </c>
      <c r="CO1082" t="s">
        <v>78</v>
      </c>
      <c r="CP1082">
        <v>46092</v>
      </c>
      <c r="CQ1082">
        <v>1</v>
      </c>
      <c r="CR1082">
        <v>1</v>
      </c>
      <c r="CV1082">
        <v>3.5879629629629629E-4</v>
      </c>
      <c r="CW1082">
        <v>3.5879629629629629E-4</v>
      </c>
      <c r="CX1082">
        <v>0.18487268518518518</v>
      </c>
      <c r="CY1082">
        <v>0.17945601851851853</v>
      </c>
      <c r="CZ1082">
        <v>42</v>
      </c>
      <c r="DA1082">
        <v>78</v>
      </c>
      <c r="DB1082">
        <v>24</v>
      </c>
      <c r="DC1082">
        <v>1.5</v>
      </c>
      <c r="DD1082">
        <v>33995</v>
      </c>
      <c r="DE1082">
        <v>0.57140000000000002</v>
      </c>
      <c r="DM1082">
        <v>48</v>
      </c>
    </row>
    <row r="1083" spans="91:117" x14ac:dyDescent="0.25">
      <c r="CM1083" t="s">
        <v>636</v>
      </c>
      <c r="CN1083" t="s">
        <v>3</v>
      </c>
      <c r="CO1083" t="s">
        <v>78</v>
      </c>
      <c r="CP1083">
        <v>46098</v>
      </c>
      <c r="CQ1083">
        <v>1</v>
      </c>
      <c r="CR1083">
        <v>1</v>
      </c>
      <c r="CV1083">
        <v>1.7361111111111112E-4</v>
      </c>
      <c r="CW1083">
        <v>1.7361111111111112E-4</v>
      </c>
      <c r="CX1083">
        <v>0.15395833333333334</v>
      </c>
      <c r="CY1083">
        <v>0.15721064814814814</v>
      </c>
      <c r="CZ1083">
        <v>66</v>
      </c>
      <c r="DA1083">
        <v>110</v>
      </c>
      <c r="DB1083">
        <v>23</v>
      </c>
      <c r="DC1083" t="s">
        <v>714</v>
      </c>
      <c r="DD1083">
        <v>18204</v>
      </c>
      <c r="DE1083">
        <v>0.34849999999999998</v>
      </c>
      <c r="DF1083">
        <v>1</v>
      </c>
      <c r="DG1083">
        <v>4.3499999999999997E-2</v>
      </c>
      <c r="DH1083">
        <v>1000</v>
      </c>
      <c r="DI1083">
        <v>1000</v>
      </c>
      <c r="DM1083">
        <v>48</v>
      </c>
    </row>
    <row r="1084" spans="91:117" x14ac:dyDescent="0.25">
      <c r="CM1084" t="s">
        <v>636</v>
      </c>
      <c r="CN1084" t="s">
        <v>3</v>
      </c>
      <c r="CO1084" t="s">
        <v>78</v>
      </c>
      <c r="CP1084">
        <v>46112</v>
      </c>
      <c r="CQ1084">
        <v>1</v>
      </c>
      <c r="CR1084">
        <v>1</v>
      </c>
      <c r="CT1084">
        <v>1</v>
      </c>
      <c r="CV1084">
        <v>8.564814814814815E-4</v>
      </c>
      <c r="CW1084">
        <v>8.564814814814815E-4</v>
      </c>
      <c r="CX1084">
        <v>0.15329861111111112</v>
      </c>
      <c r="CY1084">
        <v>0.22555555555555556</v>
      </c>
      <c r="CZ1084">
        <v>52</v>
      </c>
      <c r="DA1084">
        <v>132</v>
      </c>
      <c r="DB1084">
        <v>28</v>
      </c>
      <c r="DC1084" t="s">
        <v>850</v>
      </c>
      <c r="DD1084">
        <v>20328</v>
      </c>
      <c r="DE1084">
        <v>0.53849999999999998</v>
      </c>
      <c r="DF1084">
        <v>1</v>
      </c>
      <c r="DG1084">
        <v>3.5700000000000003E-2</v>
      </c>
      <c r="DH1084">
        <v>1000</v>
      </c>
      <c r="DI1084">
        <v>1000</v>
      </c>
      <c r="DM1084">
        <v>48</v>
      </c>
    </row>
    <row r="1085" spans="91:117" x14ac:dyDescent="0.25">
      <c r="CM1085" t="s">
        <v>636</v>
      </c>
      <c r="CN1085" t="s">
        <v>125</v>
      </c>
      <c r="CO1085" t="s">
        <v>60</v>
      </c>
      <c r="CP1085">
        <v>46098</v>
      </c>
      <c r="CQ1085">
        <v>1</v>
      </c>
      <c r="CR1085">
        <v>1</v>
      </c>
      <c r="CT1085">
        <v>1</v>
      </c>
      <c r="CV1085">
        <v>4.6296296296296294E-5</v>
      </c>
      <c r="CW1085">
        <v>4.6296296296296294E-5</v>
      </c>
      <c r="CX1085">
        <v>0.20394675925925926</v>
      </c>
      <c r="CY1085">
        <v>0.12503472222222223</v>
      </c>
      <c r="CZ1085">
        <v>84</v>
      </c>
      <c r="DA1085">
        <v>131</v>
      </c>
      <c r="DB1085">
        <v>13</v>
      </c>
      <c r="DC1085" t="s">
        <v>780</v>
      </c>
      <c r="DD1085">
        <v>25681</v>
      </c>
      <c r="DE1085">
        <v>0.15479999999999999</v>
      </c>
      <c r="DM1085">
        <v>46</v>
      </c>
    </row>
    <row r="1086" spans="91:117" x14ac:dyDescent="0.25">
      <c r="CM1086" t="s">
        <v>636</v>
      </c>
      <c r="CN1086" t="s">
        <v>125</v>
      </c>
      <c r="CO1086" t="s">
        <v>85</v>
      </c>
      <c r="CP1086">
        <v>46101</v>
      </c>
      <c r="CQ1086">
        <v>1</v>
      </c>
      <c r="CR1086">
        <v>1</v>
      </c>
      <c r="CT1086">
        <v>1</v>
      </c>
      <c r="CV1086">
        <v>1.7361111111111112E-4</v>
      </c>
      <c r="CW1086">
        <v>1.7361111111111112E-4</v>
      </c>
      <c r="CX1086">
        <v>0.22770833333333335</v>
      </c>
      <c r="CY1086">
        <v>0.12202546296296296</v>
      </c>
      <c r="CZ1086">
        <v>68</v>
      </c>
      <c r="DA1086">
        <v>194</v>
      </c>
      <c r="DB1086">
        <v>11</v>
      </c>
      <c r="DC1086" t="s">
        <v>680</v>
      </c>
      <c r="DD1086">
        <v>30501</v>
      </c>
      <c r="DE1086">
        <v>0.1618</v>
      </c>
      <c r="DM1086">
        <v>46</v>
      </c>
    </row>
    <row r="1087" spans="91:117" x14ac:dyDescent="0.25">
      <c r="CM1087" t="s">
        <v>636</v>
      </c>
      <c r="CN1087" t="s">
        <v>125</v>
      </c>
      <c r="CO1087" t="s">
        <v>72</v>
      </c>
      <c r="CP1087">
        <v>46101</v>
      </c>
      <c r="CQ1087">
        <v>1</v>
      </c>
      <c r="CR1087">
        <v>1</v>
      </c>
      <c r="CT1087">
        <v>1</v>
      </c>
      <c r="CV1087">
        <v>4.6296296296296294E-5</v>
      </c>
      <c r="CW1087">
        <v>4.6296296296296294E-5</v>
      </c>
      <c r="CX1087">
        <v>0.19048611111111111</v>
      </c>
      <c r="CY1087">
        <v>0.1398726851851852</v>
      </c>
      <c r="CZ1087">
        <v>113</v>
      </c>
      <c r="DA1087">
        <v>276</v>
      </c>
      <c r="DB1087">
        <v>13</v>
      </c>
      <c r="DC1087" t="s">
        <v>734</v>
      </c>
      <c r="DD1087">
        <v>34315</v>
      </c>
      <c r="DE1087">
        <v>0.115</v>
      </c>
      <c r="DM1087">
        <v>46</v>
      </c>
    </row>
    <row r="1088" spans="91:117" x14ac:dyDescent="0.25">
      <c r="CM1088" t="s">
        <v>636</v>
      </c>
      <c r="CN1088" t="s">
        <v>125</v>
      </c>
      <c r="CO1088" t="s">
        <v>122</v>
      </c>
      <c r="CP1088">
        <v>46098</v>
      </c>
      <c r="CQ1088">
        <v>1</v>
      </c>
      <c r="CR1088">
        <v>1</v>
      </c>
      <c r="CT1088">
        <v>1</v>
      </c>
      <c r="CV1088">
        <v>0</v>
      </c>
      <c r="CW1088">
        <v>0</v>
      </c>
      <c r="CX1088">
        <v>0.22484953703703703</v>
      </c>
      <c r="CY1088">
        <v>8.8703703703703701E-2</v>
      </c>
      <c r="CZ1088">
        <v>67</v>
      </c>
      <c r="DA1088">
        <v>245</v>
      </c>
      <c r="DB1088">
        <v>11</v>
      </c>
      <c r="DC1088">
        <v>2</v>
      </c>
      <c r="DD1088">
        <v>57113</v>
      </c>
      <c r="DE1088">
        <v>0.16420000000000001</v>
      </c>
      <c r="DM1088">
        <v>46</v>
      </c>
    </row>
    <row r="1089" spans="91:117" x14ac:dyDescent="0.25">
      <c r="CM1089" t="s">
        <v>636</v>
      </c>
      <c r="CN1089" t="s">
        <v>125</v>
      </c>
      <c r="CO1089" t="s">
        <v>206</v>
      </c>
      <c r="CP1089">
        <v>46098</v>
      </c>
      <c r="CQ1089">
        <v>1</v>
      </c>
      <c r="CR1089">
        <v>1</v>
      </c>
      <c r="CT1089">
        <v>1</v>
      </c>
      <c r="CV1089">
        <v>1.6203703703703703E-4</v>
      </c>
      <c r="CW1089">
        <v>1.6203703703703703E-4</v>
      </c>
      <c r="CX1089">
        <v>0.21839120370370371</v>
      </c>
      <c r="CY1089">
        <v>0.13777777777777778</v>
      </c>
      <c r="CZ1089">
        <v>144</v>
      </c>
      <c r="DA1089">
        <v>361</v>
      </c>
      <c r="DB1089">
        <v>20</v>
      </c>
      <c r="DC1089">
        <v>1.7</v>
      </c>
      <c r="DD1089">
        <v>29571</v>
      </c>
      <c r="DE1089">
        <v>0.1389</v>
      </c>
      <c r="DM1089">
        <v>46</v>
      </c>
    </row>
    <row r="1090" spans="91:117" x14ac:dyDescent="0.25">
      <c r="CM1090" t="s">
        <v>636</v>
      </c>
      <c r="CN1090" t="s">
        <v>125</v>
      </c>
      <c r="CO1090" t="s">
        <v>206</v>
      </c>
      <c r="CP1090">
        <v>46101</v>
      </c>
      <c r="CQ1090">
        <v>1</v>
      </c>
      <c r="CR1090">
        <v>1</v>
      </c>
      <c r="CT1090">
        <v>1</v>
      </c>
      <c r="CV1090">
        <v>4.6296296296296294E-5</v>
      </c>
      <c r="CW1090">
        <v>4.6296296296296294E-5</v>
      </c>
      <c r="CX1090">
        <v>0.21425925925925926</v>
      </c>
      <c r="CY1090">
        <v>0.13665509259259259</v>
      </c>
      <c r="CZ1090">
        <v>136</v>
      </c>
      <c r="DA1090">
        <v>356</v>
      </c>
      <c r="DB1090">
        <v>14</v>
      </c>
      <c r="DC1090" t="s">
        <v>988</v>
      </c>
      <c r="DD1090">
        <v>27650</v>
      </c>
      <c r="DE1090">
        <v>0.10290000000000001</v>
      </c>
      <c r="DM1090">
        <v>46</v>
      </c>
    </row>
    <row r="1091" spans="91:117" x14ac:dyDescent="0.25">
      <c r="CM1091" t="s">
        <v>636</v>
      </c>
      <c r="CN1091" t="s">
        <v>2</v>
      </c>
      <c r="CO1091" t="s">
        <v>15</v>
      </c>
      <c r="CP1091">
        <v>46091</v>
      </c>
      <c r="CQ1091">
        <v>1</v>
      </c>
      <c r="CR1091">
        <v>1</v>
      </c>
      <c r="CT1091">
        <v>1</v>
      </c>
      <c r="CV1091">
        <v>2.3148148148148147E-5</v>
      </c>
      <c r="CW1091">
        <v>2.3148148148148147E-5</v>
      </c>
      <c r="CX1091">
        <v>0.30615740740740743</v>
      </c>
      <c r="CY1091">
        <v>8.9236111111111113E-2</v>
      </c>
      <c r="CZ1091">
        <v>153</v>
      </c>
      <c r="DA1091">
        <v>191</v>
      </c>
      <c r="DB1091">
        <v>15</v>
      </c>
      <c r="DC1091" t="s">
        <v>739</v>
      </c>
      <c r="DD1091">
        <v>36301</v>
      </c>
      <c r="DE1091">
        <v>9.8000000000000004E-2</v>
      </c>
      <c r="DM1091">
        <v>46</v>
      </c>
    </row>
    <row r="1092" spans="91:117" x14ac:dyDescent="0.25">
      <c r="CM1092" t="s">
        <v>636</v>
      </c>
      <c r="CN1092" t="s">
        <v>2</v>
      </c>
      <c r="CO1092" t="s">
        <v>377</v>
      </c>
      <c r="CP1092">
        <v>46104</v>
      </c>
      <c r="CQ1092">
        <v>1</v>
      </c>
      <c r="CR1092">
        <v>1</v>
      </c>
      <c r="CT1092">
        <v>1</v>
      </c>
      <c r="CV1092">
        <v>0</v>
      </c>
      <c r="CW1092">
        <v>0</v>
      </c>
      <c r="CX1092">
        <v>0.12805555555555556</v>
      </c>
      <c r="CY1092">
        <v>0.20309027777777777</v>
      </c>
      <c r="CZ1092">
        <v>91</v>
      </c>
      <c r="DA1092">
        <v>168</v>
      </c>
      <c r="DB1092">
        <v>19</v>
      </c>
      <c r="DC1092" t="s">
        <v>1082</v>
      </c>
      <c r="DD1092">
        <v>18993</v>
      </c>
      <c r="DE1092">
        <v>0.20880000000000001</v>
      </c>
      <c r="DM1092">
        <v>46</v>
      </c>
    </row>
    <row r="1093" spans="91:117" x14ac:dyDescent="0.25">
      <c r="CM1093" t="s">
        <v>636</v>
      </c>
      <c r="CN1093" t="s">
        <v>2</v>
      </c>
      <c r="CO1093" t="s">
        <v>22</v>
      </c>
      <c r="CP1093">
        <v>46104</v>
      </c>
      <c r="CQ1093">
        <v>1</v>
      </c>
      <c r="CR1093">
        <v>1</v>
      </c>
      <c r="CT1093">
        <v>1</v>
      </c>
      <c r="CV1093">
        <v>0</v>
      </c>
      <c r="CW1093">
        <v>0</v>
      </c>
      <c r="CX1093">
        <v>0.17341435185185186</v>
      </c>
      <c r="CY1093">
        <v>0.13236111111111112</v>
      </c>
      <c r="CZ1093">
        <v>67</v>
      </c>
      <c r="DA1093">
        <v>133</v>
      </c>
      <c r="DB1093">
        <v>22</v>
      </c>
      <c r="DC1093" t="s">
        <v>698</v>
      </c>
      <c r="DD1093">
        <v>24371</v>
      </c>
      <c r="DE1093">
        <v>0.32840000000000003</v>
      </c>
      <c r="DM1093">
        <v>46</v>
      </c>
    </row>
    <row r="1094" spans="91:117" x14ac:dyDescent="0.25">
      <c r="CM1094" t="s">
        <v>636</v>
      </c>
      <c r="CN1094" t="s">
        <v>2</v>
      </c>
      <c r="CO1094" t="s">
        <v>13</v>
      </c>
      <c r="CP1094">
        <v>46084</v>
      </c>
      <c r="CQ1094">
        <v>1</v>
      </c>
      <c r="CR1094">
        <v>1</v>
      </c>
      <c r="CS1094">
        <v>1</v>
      </c>
      <c r="CV1094">
        <v>1.3946759259259259E-2</v>
      </c>
      <c r="CW1094">
        <v>1.3946759259259259E-2</v>
      </c>
      <c r="CX1094">
        <v>0.33291666666666669</v>
      </c>
      <c r="CY1094">
        <v>7.2523148148148142E-2</v>
      </c>
      <c r="CZ1094">
        <v>100</v>
      </c>
      <c r="DA1094">
        <v>210</v>
      </c>
      <c r="DB1094">
        <v>21</v>
      </c>
      <c r="DC1094" t="s">
        <v>962</v>
      </c>
      <c r="DD1094">
        <v>25546</v>
      </c>
      <c r="DE1094">
        <v>0.21</v>
      </c>
      <c r="DM1094">
        <v>46</v>
      </c>
    </row>
    <row r="1095" spans="91:117" x14ac:dyDescent="0.25">
      <c r="CM1095" t="s">
        <v>636</v>
      </c>
      <c r="CN1095" t="s">
        <v>2</v>
      </c>
      <c r="CO1095" t="s">
        <v>42</v>
      </c>
      <c r="CP1095">
        <v>46084</v>
      </c>
      <c r="CQ1095">
        <v>1</v>
      </c>
      <c r="CR1095">
        <v>1</v>
      </c>
      <c r="CV1095">
        <v>0</v>
      </c>
      <c r="CW1095">
        <v>0</v>
      </c>
      <c r="CX1095">
        <v>0</v>
      </c>
      <c r="CY1095">
        <v>0</v>
      </c>
      <c r="DM1095">
        <v>46</v>
      </c>
    </row>
    <row r="1096" spans="91:117" x14ac:dyDescent="0.25">
      <c r="CM1096" t="s">
        <v>636</v>
      </c>
      <c r="CN1096" t="s">
        <v>2</v>
      </c>
      <c r="CO1096" t="s">
        <v>564</v>
      </c>
      <c r="CP1096">
        <v>46084</v>
      </c>
      <c r="CQ1096">
        <v>1</v>
      </c>
      <c r="CR1096">
        <v>1</v>
      </c>
      <c r="CU1096">
        <v>1</v>
      </c>
      <c r="CV1096">
        <v>0</v>
      </c>
      <c r="CW1096">
        <v>0</v>
      </c>
      <c r="CX1096">
        <v>0</v>
      </c>
      <c r="CY1096">
        <v>0</v>
      </c>
      <c r="DM1096">
        <v>46</v>
      </c>
    </row>
    <row r="1097" spans="91:117" x14ac:dyDescent="0.25">
      <c r="CM1097" t="s">
        <v>636</v>
      </c>
      <c r="CN1097" t="s">
        <v>2</v>
      </c>
      <c r="CO1097" t="s">
        <v>564</v>
      </c>
      <c r="CP1097">
        <v>46091</v>
      </c>
      <c r="CQ1097">
        <v>1</v>
      </c>
      <c r="CR1097">
        <v>1</v>
      </c>
      <c r="CT1097">
        <v>1</v>
      </c>
      <c r="CV1097">
        <v>0</v>
      </c>
      <c r="CW1097">
        <v>0</v>
      </c>
      <c r="CX1097">
        <v>0.30482638888888891</v>
      </c>
      <c r="CY1097">
        <v>8.7835648148148149E-2</v>
      </c>
      <c r="CZ1097">
        <v>70</v>
      </c>
      <c r="DA1097">
        <v>87</v>
      </c>
      <c r="DB1097">
        <v>8</v>
      </c>
      <c r="DC1097">
        <v>1.125</v>
      </c>
      <c r="DD1097">
        <v>16461</v>
      </c>
      <c r="DE1097">
        <v>0.1143</v>
      </c>
      <c r="DM1097">
        <v>46</v>
      </c>
    </row>
    <row r="1098" spans="91:117" x14ac:dyDescent="0.25">
      <c r="CM1098" t="s">
        <v>636</v>
      </c>
      <c r="CN1098" t="s">
        <v>2</v>
      </c>
      <c r="CO1098" t="s">
        <v>17</v>
      </c>
      <c r="CP1098">
        <v>46084</v>
      </c>
      <c r="CQ1098">
        <v>1</v>
      </c>
      <c r="CR1098">
        <v>1</v>
      </c>
      <c r="CV1098">
        <v>3.7152777777777778E-3</v>
      </c>
      <c r="CW1098">
        <v>3.7152777777777778E-3</v>
      </c>
      <c r="CX1098">
        <v>0.28333333333333333</v>
      </c>
      <c r="CY1098">
        <v>7.4629629629629629E-2</v>
      </c>
      <c r="CZ1098">
        <v>64</v>
      </c>
      <c r="DA1098">
        <v>127</v>
      </c>
      <c r="DB1098">
        <v>14</v>
      </c>
      <c r="DC1098" t="s">
        <v>762</v>
      </c>
      <c r="DD1098">
        <v>37161</v>
      </c>
      <c r="DE1098">
        <v>0.21879999999999999</v>
      </c>
      <c r="DM1098">
        <v>46</v>
      </c>
    </row>
    <row r="1099" spans="91:117" x14ac:dyDescent="0.25">
      <c r="CM1099" t="s">
        <v>636</v>
      </c>
      <c r="CN1099" t="s">
        <v>2</v>
      </c>
      <c r="CO1099" t="s">
        <v>17</v>
      </c>
      <c r="CP1099">
        <v>46091</v>
      </c>
      <c r="CQ1099">
        <v>1</v>
      </c>
      <c r="CR1099">
        <v>1</v>
      </c>
      <c r="CT1099">
        <v>1</v>
      </c>
      <c r="CV1099">
        <v>6.9444444444444444E-5</v>
      </c>
      <c r="CW1099">
        <v>6.9444444444444444E-5</v>
      </c>
      <c r="CX1099">
        <v>0.2933912037037037</v>
      </c>
      <c r="CY1099">
        <v>0.10811342592592593</v>
      </c>
      <c r="CZ1099">
        <v>59</v>
      </c>
      <c r="DA1099">
        <v>133</v>
      </c>
      <c r="DB1099">
        <v>18</v>
      </c>
      <c r="DC1099" t="s">
        <v>674</v>
      </c>
      <c r="DD1099">
        <v>35855</v>
      </c>
      <c r="DE1099">
        <v>0.30509999999999998</v>
      </c>
      <c r="DM1099">
        <v>46</v>
      </c>
    </row>
    <row r="1100" spans="91:117" x14ac:dyDescent="0.25">
      <c r="CM1100" t="s">
        <v>636</v>
      </c>
      <c r="CN1100" t="s">
        <v>6</v>
      </c>
      <c r="CO1100" t="s">
        <v>19</v>
      </c>
      <c r="CP1100">
        <v>46090</v>
      </c>
      <c r="CQ1100">
        <v>1</v>
      </c>
      <c r="CR1100">
        <v>1</v>
      </c>
      <c r="CT1100">
        <v>1</v>
      </c>
      <c r="CV1100">
        <v>4.6296296296296294E-5</v>
      </c>
      <c r="CW1100">
        <v>4.6296296296296294E-5</v>
      </c>
      <c r="CX1100">
        <v>0.27184027777777775</v>
      </c>
      <c r="CY1100">
        <v>6.1990740740740742E-2</v>
      </c>
      <c r="CZ1100">
        <v>180</v>
      </c>
      <c r="DA1100">
        <v>279</v>
      </c>
      <c r="DB1100">
        <v>25</v>
      </c>
      <c r="DC1100">
        <v>1.44</v>
      </c>
      <c r="DD1100">
        <v>29141</v>
      </c>
      <c r="DE1100">
        <v>0.1389</v>
      </c>
      <c r="DM1100">
        <v>46</v>
      </c>
    </row>
    <row r="1101" spans="91:117" x14ac:dyDescent="0.25">
      <c r="CM1101" t="s">
        <v>636</v>
      </c>
      <c r="CN1101" t="s">
        <v>6</v>
      </c>
      <c r="CO1101" t="s">
        <v>19</v>
      </c>
      <c r="CP1101">
        <v>46106</v>
      </c>
      <c r="CQ1101">
        <v>1</v>
      </c>
      <c r="CR1101">
        <v>1</v>
      </c>
      <c r="CT1101">
        <v>1</v>
      </c>
      <c r="CV1101">
        <v>5.4398148148148144E-4</v>
      </c>
      <c r="CW1101">
        <v>5.4398148148148144E-4</v>
      </c>
      <c r="CX1101">
        <v>0.17435185185185184</v>
      </c>
      <c r="CY1101">
        <v>0.16700231481481481</v>
      </c>
      <c r="CZ1101">
        <v>150</v>
      </c>
      <c r="DA1101">
        <v>218</v>
      </c>
      <c r="DB1101">
        <v>10</v>
      </c>
      <c r="DC1101">
        <v>1.8</v>
      </c>
      <c r="DD1101">
        <v>55236</v>
      </c>
      <c r="DE1101">
        <v>6.6699999999999995E-2</v>
      </c>
      <c r="DM1101">
        <v>46</v>
      </c>
    </row>
    <row r="1102" spans="91:117" x14ac:dyDescent="0.25">
      <c r="CM1102" t="s">
        <v>636</v>
      </c>
      <c r="CN1102" t="s">
        <v>6</v>
      </c>
      <c r="CO1102" t="s">
        <v>105</v>
      </c>
      <c r="CP1102">
        <v>46090</v>
      </c>
      <c r="CQ1102">
        <v>1</v>
      </c>
      <c r="CR1102">
        <v>1</v>
      </c>
      <c r="CT1102">
        <v>1</v>
      </c>
      <c r="CV1102">
        <v>2.0833333333333335E-4</v>
      </c>
      <c r="CW1102">
        <v>2.0833333333333335E-4</v>
      </c>
      <c r="CX1102">
        <v>0.21840277777777778</v>
      </c>
      <c r="CY1102">
        <v>9.6388888888888885E-2</v>
      </c>
      <c r="CZ1102">
        <v>56</v>
      </c>
      <c r="DA1102">
        <v>146</v>
      </c>
      <c r="DB1102">
        <v>9</v>
      </c>
      <c r="DC1102" t="s">
        <v>690</v>
      </c>
      <c r="DD1102">
        <v>31678</v>
      </c>
      <c r="DE1102">
        <v>0.16070000000000001</v>
      </c>
      <c r="DM1102">
        <v>46</v>
      </c>
    </row>
    <row r="1103" spans="91:117" x14ac:dyDescent="0.25">
      <c r="CM1103" t="s">
        <v>636</v>
      </c>
      <c r="CN1103" t="s">
        <v>6</v>
      </c>
      <c r="CO1103" t="s">
        <v>37</v>
      </c>
      <c r="CP1103">
        <v>46094</v>
      </c>
      <c r="CQ1103">
        <v>1</v>
      </c>
      <c r="CR1103">
        <v>1</v>
      </c>
      <c r="CS1103">
        <v>1</v>
      </c>
      <c r="CV1103">
        <v>4.7569444444444447E-3</v>
      </c>
      <c r="CW1103">
        <v>4.7569444444444447E-3</v>
      </c>
      <c r="CX1103">
        <v>0.19315972222222222</v>
      </c>
      <c r="CY1103">
        <v>0.15237268518518518</v>
      </c>
      <c r="CZ1103">
        <v>105</v>
      </c>
      <c r="DA1103">
        <v>172</v>
      </c>
      <c r="DB1103">
        <v>23</v>
      </c>
      <c r="DC1103" t="s">
        <v>954</v>
      </c>
      <c r="DD1103">
        <v>18549</v>
      </c>
      <c r="DE1103">
        <v>0.219</v>
      </c>
      <c r="DF1103">
        <v>1</v>
      </c>
      <c r="DG1103">
        <v>4.3499999999999997E-2</v>
      </c>
      <c r="DH1103">
        <v>580</v>
      </c>
      <c r="DI1103">
        <v>580</v>
      </c>
      <c r="DM1103">
        <v>46</v>
      </c>
    </row>
    <row r="1104" spans="91:117" x14ac:dyDescent="0.25">
      <c r="CM1104" t="s">
        <v>636</v>
      </c>
      <c r="CN1104" t="s">
        <v>6</v>
      </c>
      <c r="CO1104" t="s">
        <v>97</v>
      </c>
      <c r="CP1104">
        <v>46090</v>
      </c>
      <c r="CQ1104">
        <v>1</v>
      </c>
      <c r="CR1104">
        <v>1</v>
      </c>
      <c r="CT1104">
        <v>1</v>
      </c>
      <c r="CV1104">
        <v>1.3888888888888889E-4</v>
      </c>
      <c r="CW1104">
        <v>1.3888888888888889E-4</v>
      </c>
      <c r="CX1104">
        <v>0.17741898148148147</v>
      </c>
      <c r="CY1104">
        <v>0.15112268518518518</v>
      </c>
      <c r="CZ1104">
        <v>93</v>
      </c>
      <c r="DA1104">
        <v>150</v>
      </c>
      <c r="DB1104">
        <v>23</v>
      </c>
      <c r="DC1104" t="s">
        <v>856</v>
      </c>
      <c r="DD1104">
        <v>20186</v>
      </c>
      <c r="DE1104">
        <v>0.24729999999999999</v>
      </c>
      <c r="DM1104">
        <v>46</v>
      </c>
    </row>
    <row r="1105" spans="91:117" x14ac:dyDescent="0.25">
      <c r="CM1105" t="s">
        <v>636</v>
      </c>
      <c r="CN1105" t="s">
        <v>7</v>
      </c>
      <c r="CO1105" t="s">
        <v>565</v>
      </c>
      <c r="CP1105">
        <v>46087</v>
      </c>
      <c r="CQ1105">
        <v>1</v>
      </c>
      <c r="CR1105">
        <v>1</v>
      </c>
      <c r="CT1105">
        <v>1</v>
      </c>
      <c r="CV1105">
        <v>5.7870370370370373E-5</v>
      </c>
      <c r="CW1105">
        <v>5.7870370370370373E-5</v>
      </c>
      <c r="CX1105">
        <v>0.24883101851851852</v>
      </c>
      <c r="CY1105">
        <v>7.9814814814814811E-2</v>
      </c>
      <c r="CZ1105">
        <v>57</v>
      </c>
      <c r="DA1105">
        <v>100</v>
      </c>
      <c r="DB1105">
        <v>23</v>
      </c>
      <c r="DC1105" t="s">
        <v>797</v>
      </c>
      <c r="DD1105">
        <v>8773</v>
      </c>
      <c r="DE1105">
        <v>0.40350000000000003</v>
      </c>
      <c r="DM1105">
        <v>46</v>
      </c>
    </row>
    <row r="1106" spans="91:117" x14ac:dyDescent="0.25">
      <c r="CM1106" t="s">
        <v>636</v>
      </c>
      <c r="CN1106" t="s">
        <v>7</v>
      </c>
      <c r="CO1106" t="s">
        <v>557</v>
      </c>
      <c r="CP1106">
        <v>46112</v>
      </c>
      <c r="CQ1106">
        <v>1</v>
      </c>
      <c r="CR1106">
        <v>1</v>
      </c>
      <c r="CT1106">
        <v>1</v>
      </c>
      <c r="CV1106">
        <v>0</v>
      </c>
      <c r="CW1106">
        <v>0</v>
      </c>
      <c r="CX1106">
        <v>0.23413194444444443</v>
      </c>
      <c r="CY1106">
        <v>0.14792824074074074</v>
      </c>
      <c r="CZ1106">
        <v>123</v>
      </c>
      <c r="DA1106">
        <v>169</v>
      </c>
      <c r="DB1106">
        <v>38</v>
      </c>
      <c r="DC1106" t="s">
        <v>1083</v>
      </c>
      <c r="DD1106">
        <v>15618</v>
      </c>
      <c r="DE1106">
        <v>0.30890000000000001</v>
      </c>
      <c r="DM1106">
        <v>46</v>
      </c>
    </row>
    <row r="1107" spans="91:117" x14ac:dyDescent="0.25">
      <c r="CM1107" t="s">
        <v>636</v>
      </c>
      <c r="CN1107" t="s">
        <v>3</v>
      </c>
      <c r="CO1107" t="s">
        <v>174</v>
      </c>
      <c r="CP1107">
        <v>46101</v>
      </c>
      <c r="CQ1107">
        <v>1</v>
      </c>
      <c r="CR1107">
        <v>1</v>
      </c>
      <c r="CT1107">
        <v>1</v>
      </c>
      <c r="CV1107">
        <v>3.3217592592592591E-3</v>
      </c>
      <c r="CW1107">
        <v>3.3217592592592591E-3</v>
      </c>
      <c r="CX1107">
        <v>0.21810185185185185</v>
      </c>
      <c r="CY1107">
        <v>0.12128472222222222</v>
      </c>
      <c r="CZ1107">
        <v>197</v>
      </c>
      <c r="DA1107">
        <v>273</v>
      </c>
      <c r="DB1107">
        <v>19</v>
      </c>
      <c r="DC1107" t="s">
        <v>1084</v>
      </c>
      <c r="DD1107">
        <v>22087</v>
      </c>
      <c r="DE1107">
        <v>9.64E-2</v>
      </c>
      <c r="DM1107">
        <v>46</v>
      </c>
    </row>
    <row r="1108" spans="91:117" x14ac:dyDescent="0.25">
      <c r="CM1108" t="s">
        <v>636</v>
      </c>
      <c r="CN1108" t="s">
        <v>3</v>
      </c>
      <c r="CO1108" t="s">
        <v>493</v>
      </c>
      <c r="CP1108">
        <v>46086</v>
      </c>
      <c r="CQ1108">
        <v>1</v>
      </c>
      <c r="CR1108">
        <v>1</v>
      </c>
      <c r="CT1108">
        <v>1</v>
      </c>
      <c r="CV1108">
        <v>0</v>
      </c>
      <c r="CW1108">
        <v>0</v>
      </c>
      <c r="CX1108">
        <v>0.3379050925925926</v>
      </c>
      <c r="CY1108">
        <v>7.1168981481481486E-2</v>
      </c>
      <c r="CZ1108">
        <v>254</v>
      </c>
      <c r="DA1108">
        <v>295</v>
      </c>
      <c r="DB1108">
        <v>41</v>
      </c>
      <c r="DC1108" t="s">
        <v>1085</v>
      </c>
      <c r="DD1108">
        <v>22158</v>
      </c>
      <c r="DE1108">
        <v>0.16139999999999999</v>
      </c>
      <c r="DF1108">
        <v>1</v>
      </c>
      <c r="DG1108">
        <v>2.4400000000000002E-2</v>
      </c>
      <c r="DH1108">
        <v>500</v>
      </c>
      <c r="DI1108">
        <v>500</v>
      </c>
      <c r="DM1108">
        <v>46</v>
      </c>
    </row>
    <row r="1109" spans="91:117" x14ac:dyDescent="0.25">
      <c r="CM1109" t="s">
        <v>636</v>
      </c>
      <c r="CN1109" t="s">
        <v>3</v>
      </c>
      <c r="CO1109" t="s">
        <v>493</v>
      </c>
      <c r="CP1109">
        <v>46094</v>
      </c>
      <c r="CQ1109">
        <v>1</v>
      </c>
      <c r="CR1109">
        <v>1</v>
      </c>
      <c r="CT1109">
        <v>1</v>
      </c>
      <c r="CV1109">
        <v>0</v>
      </c>
      <c r="CW1109">
        <v>0</v>
      </c>
      <c r="CX1109">
        <v>0.2593287037037037</v>
      </c>
      <c r="CY1109">
        <v>8.3935185185185182E-2</v>
      </c>
      <c r="CZ1109">
        <v>198</v>
      </c>
      <c r="DA1109">
        <v>293</v>
      </c>
      <c r="DB1109">
        <v>26</v>
      </c>
      <c r="DC1109" t="s">
        <v>711</v>
      </c>
      <c r="DD1109">
        <v>24174</v>
      </c>
      <c r="DE1109">
        <v>0.1313</v>
      </c>
      <c r="DM1109">
        <v>46</v>
      </c>
    </row>
    <row r="1110" spans="91:117" x14ac:dyDescent="0.25">
      <c r="CM1110" t="s">
        <v>636</v>
      </c>
      <c r="CN1110" t="s">
        <v>3</v>
      </c>
      <c r="CO1110" t="s">
        <v>32</v>
      </c>
      <c r="CP1110">
        <v>46094</v>
      </c>
      <c r="CQ1110">
        <v>1</v>
      </c>
      <c r="CR1110">
        <v>1</v>
      </c>
      <c r="CT1110">
        <v>1</v>
      </c>
      <c r="CV1110">
        <v>3.1250000000000001E-4</v>
      </c>
      <c r="CW1110">
        <v>3.1250000000000001E-4</v>
      </c>
      <c r="CX1110">
        <v>0.24289351851851851</v>
      </c>
      <c r="CY1110">
        <v>0.12277777777777778</v>
      </c>
      <c r="CZ1110">
        <v>102</v>
      </c>
      <c r="DA1110">
        <v>217</v>
      </c>
      <c r="DB1110">
        <v>40</v>
      </c>
      <c r="DC1110">
        <v>1.625</v>
      </c>
      <c r="DD1110">
        <v>23379</v>
      </c>
      <c r="DE1110">
        <v>0.39219999999999999</v>
      </c>
      <c r="DM1110">
        <v>46</v>
      </c>
    </row>
    <row r="1111" spans="91:117" x14ac:dyDescent="0.25">
      <c r="CM1111" t="s">
        <v>636</v>
      </c>
      <c r="CN1111" t="s">
        <v>3</v>
      </c>
      <c r="CO1111" t="s">
        <v>32</v>
      </c>
      <c r="CP1111">
        <v>46098</v>
      </c>
      <c r="CQ1111">
        <v>1</v>
      </c>
      <c r="CR1111">
        <v>1</v>
      </c>
      <c r="CT1111">
        <v>1</v>
      </c>
      <c r="CV1111">
        <v>1.0416666666666667E-4</v>
      </c>
      <c r="CW1111">
        <v>1.0416666666666667E-4</v>
      </c>
      <c r="CX1111">
        <v>0.17473379629629629</v>
      </c>
      <c r="CY1111">
        <v>0.14151620370370371</v>
      </c>
      <c r="CZ1111">
        <v>80</v>
      </c>
      <c r="DA1111">
        <v>168</v>
      </c>
      <c r="DB1111">
        <v>34</v>
      </c>
      <c r="DC1111" t="s">
        <v>795</v>
      </c>
      <c r="DD1111">
        <v>20814</v>
      </c>
      <c r="DE1111">
        <v>0.42499999999999999</v>
      </c>
      <c r="DM1111">
        <v>46</v>
      </c>
    </row>
    <row r="1112" spans="91:117" x14ac:dyDescent="0.25">
      <c r="CM1112" t="s">
        <v>636</v>
      </c>
      <c r="CN1112" t="s">
        <v>3</v>
      </c>
      <c r="CO1112" t="s">
        <v>96</v>
      </c>
      <c r="CP1112">
        <v>46101</v>
      </c>
      <c r="CQ1112">
        <v>1</v>
      </c>
      <c r="CR1112">
        <v>1</v>
      </c>
      <c r="CT1112">
        <v>1</v>
      </c>
      <c r="CV1112">
        <v>1.5856481481481481E-3</v>
      </c>
      <c r="CW1112">
        <v>1.5856481481481481E-3</v>
      </c>
      <c r="CX1112">
        <v>0.21233796296296295</v>
      </c>
      <c r="CY1112">
        <v>0.13039351851851852</v>
      </c>
      <c r="CZ1112">
        <v>81</v>
      </c>
      <c r="DA1112">
        <v>153</v>
      </c>
      <c r="DB1112">
        <v>20</v>
      </c>
      <c r="DC1112">
        <v>1.4</v>
      </c>
      <c r="DD1112">
        <v>26913</v>
      </c>
      <c r="DE1112">
        <v>0.24690000000000001</v>
      </c>
      <c r="DM1112">
        <v>46</v>
      </c>
    </row>
    <row r="1113" spans="91:117" x14ac:dyDescent="0.25">
      <c r="CM1113" t="s">
        <v>636</v>
      </c>
      <c r="CN1113" t="s">
        <v>3</v>
      </c>
      <c r="CO1113" t="s">
        <v>96</v>
      </c>
      <c r="CP1113">
        <v>46111</v>
      </c>
      <c r="CQ1113">
        <v>1</v>
      </c>
      <c r="CR1113">
        <v>1</v>
      </c>
      <c r="CS1113">
        <v>1</v>
      </c>
      <c r="CV1113">
        <v>4.2245370370370371E-3</v>
      </c>
      <c r="CW1113">
        <v>4.2245370370370371E-3</v>
      </c>
      <c r="CX1113">
        <v>0.23054398148148147</v>
      </c>
      <c r="CY1113">
        <v>0.15995370370370371</v>
      </c>
      <c r="CZ1113">
        <v>101</v>
      </c>
      <c r="DA1113">
        <v>186</v>
      </c>
      <c r="DB1113">
        <v>29</v>
      </c>
      <c r="DC1113" t="s">
        <v>867</v>
      </c>
      <c r="DD1113">
        <v>16265</v>
      </c>
      <c r="DE1113">
        <v>0.28710000000000002</v>
      </c>
      <c r="DM1113">
        <v>46</v>
      </c>
    </row>
    <row r="1114" spans="91:117" x14ac:dyDescent="0.25">
      <c r="CM1114" t="s">
        <v>636</v>
      </c>
      <c r="CN1114" t="s">
        <v>3</v>
      </c>
      <c r="CO1114" t="s">
        <v>68</v>
      </c>
      <c r="CP1114">
        <v>46101</v>
      </c>
      <c r="CQ1114">
        <v>1</v>
      </c>
      <c r="CR1114">
        <v>1</v>
      </c>
      <c r="CS1114">
        <v>1</v>
      </c>
      <c r="CV1114">
        <v>6.4236111111111108E-3</v>
      </c>
      <c r="CW1114">
        <v>6.4236111111111108E-3</v>
      </c>
      <c r="CX1114">
        <v>0.20306712962962964</v>
      </c>
      <c r="CY1114">
        <v>0.10957175925925926</v>
      </c>
      <c r="CZ1114">
        <v>110</v>
      </c>
      <c r="DA1114">
        <v>224</v>
      </c>
      <c r="DB1114">
        <v>17</v>
      </c>
      <c r="DC1114" t="s">
        <v>891</v>
      </c>
      <c r="DD1114">
        <v>31976</v>
      </c>
      <c r="DE1114">
        <v>0.1545</v>
      </c>
      <c r="DF1114">
        <v>1</v>
      </c>
      <c r="DG1114">
        <v>5.8799999999999998E-2</v>
      </c>
      <c r="DH1114">
        <v>330</v>
      </c>
      <c r="DI1114">
        <v>330</v>
      </c>
      <c r="DM1114">
        <v>46</v>
      </c>
    </row>
    <row r="1115" spans="91:117" x14ac:dyDescent="0.25">
      <c r="CM1115" t="s">
        <v>636</v>
      </c>
      <c r="CN1115" t="s">
        <v>3</v>
      </c>
      <c r="CO1115" t="s">
        <v>68</v>
      </c>
      <c r="CP1115">
        <v>46111</v>
      </c>
      <c r="CQ1115">
        <v>1</v>
      </c>
      <c r="CR1115">
        <v>1</v>
      </c>
      <c r="CS1115">
        <v>1</v>
      </c>
      <c r="CV1115">
        <v>1.7233796296296296E-2</v>
      </c>
      <c r="CW1115">
        <v>1.7233796296296296E-2</v>
      </c>
      <c r="CX1115">
        <v>0.23151620370370371</v>
      </c>
      <c r="CY1115">
        <v>0.11071759259259259</v>
      </c>
      <c r="CZ1115">
        <v>82</v>
      </c>
      <c r="DA1115">
        <v>108</v>
      </c>
      <c r="DB1115">
        <v>22</v>
      </c>
      <c r="DC1115" t="s">
        <v>695</v>
      </c>
      <c r="DD1115">
        <v>37134</v>
      </c>
      <c r="DE1115">
        <v>0.26829999999999998</v>
      </c>
      <c r="DM1115">
        <v>46</v>
      </c>
    </row>
    <row r="1116" spans="91:117" x14ac:dyDescent="0.25">
      <c r="CM1116" t="s">
        <v>636</v>
      </c>
      <c r="CN1116" t="s">
        <v>3</v>
      </c>
      <c r="CO1116" t="s">
        <v>29</v>
      </c>
      <c r="CP1116">
        <v>46098</v>
      </c>
      <c r="CQ1116">
        <v>1</v>
      </c>
      <c r="CR1116">
        <v>1</v>
      </c>
      <c r="CT1116">
        <v>1</v>
      </c>
      <c r="CV1116">
        <v>0</v>
      </c>
      <c r="CW1116">
        <v>0</v>
      </c>
      <c r="CX1116">
        <v>0.19883101851851853</v>
      </c>
      <c r="CY1116">
        <v>0.1181712962962963</v>
      </c>
      <c r="CZ1116">
        <v>100</v>
      </c>
      <c r="DA1116">
        <v>166</v>
      </c>
      <c r="DB1116">
        <v>27</v>
      </c>
      <c r="DC1116" t="s">
        <v>865</v>
      </c>
      <c r="DD1116">
        <v>16866</v>
      </c>
      <c r="DE1116">
        <v>0.27</v>
      </c>
      <c r="DM1116">
        <v>46</v>
      </c>
    </row>
    <row r="1117" spans="91:117" x14ac:dyDescent="0.25">
      <c r="CM1117" t="s">
        <v>636</v>
      </c>
      <c r="CN1117" t="s">
        <v>3</v>
      </c>
      <c r="CO1117" t="s">
        <v>79</v>
      </c>
      <c r="CP1117">
        <v>46111</v>
      </c>
      <c r="CQ1117">
        <v>1</v>
      </c>
      <c r="CR1117">
        <v>1</v>
      </c>
      <c r="CS1117">
        <v>1</v>
      </c>
      <c r="CV1117">
        <v>0.12908564814814816</v>
      </c>
      <c r="CW1117">
        <v>0.12908564814814816</v>
      </c>
      <c r="CX1117">
        <v>0.17783564814814815</v>
      </c>
      <c r="CY1117">
        <v>8.5868055555555559E-2</v>
      </c>
      <c r="CZ1117">
        <v>58</v>
      </c>
      <c r="DA1117">
        <v>113</v>
      </c>
      <c r="DB1117">
        <v>22</v>
      </c>
      <c r="DC1117" t="s">
        <v>740</v>
      </c>
      <c r="DD1117">
        <v>48472</v>
      </c>
      <c r="DE1117">
        <v>0.37930000000000003</v>
      </c>
      <c r="DM1117">
        <v>46</v>
      </c>
    </row>
    <row r="1118" spans="91:117" x14ac:dyDescent="0.25">
      <c r="CM1118" t="s">
        <v>636</v>
      </c>
      <c r="CN1118" t="s">
        <v>3</v>
      </c>
      <c r="CO1118" t="s">
        <v>76</v>
      </c>
      <c r="CP1118">
        <v>46094</v>
      </c>
      <c r="CQ1118">
        <v>1</v>
      </c>
      <c r="CR1118">
        <v>1</v>
      </c>
      <c r="CT1118">
        <v>1</v>
      </c>
      <c r="CV1118">
        <v>1.7361111111111112E-4</v>
      </c>
      <c r="CW1118">
        <v>1.7361111111111112E-4</v>
      </c>
      <c r="CX1118">
        <v>0.22995370370370372</v>
      </c>
      <c r="CY1118">
        <v>8.0451388888888892E-2</v>
      </c>
      <c r="CZ1118">
        <v>75</v>
      </c>
      <c r="DA1118">
        <v>98</v>
      </c>
      <c r="DB1118">
        <v>21</v>
      </c>
      <c r="DC1118" t="s">
        <v>745</v>
      </c>
      <c r="DD1118">
        <v>12467</v>
      </c>
      <c r="DE1118">
        <v>0.28000000000000003</v>
      </c>
      <c r="DM1118">
        <v>46</v>
      </c>
    </row>
    <row r="1119" spans="91:117" x14ac:dyDescent="0.25">
      <c r="CM1119" t="s">
        <v>636</v>
      </c>
      <c r="CN1119" t="s">
        <v>6</v>
      </c>
      <c r="CO1119" t="s">
        <v>97</v>
      </c>
      <c r="CP1119">
        <v>46091</v>
      </c>
      <c r="CQ1119">
        <v>1</v>
      </c>
      <c r="CR1119">
        <v>1</v>
      </c>
      <c r="CT1119">
        <v>1</v>
      </c>
      <c r="CV1119">
        <v>3.4722222222222222E-5</v>
      </c>
      <c r="CW1119">
        <v>3.4722222222222222E-5</v>
      </c>
      <c r="CX1119">
        <v>0.36041666666666666</v>
      </c>
      <c r="CY1119">
        <v>4.8506944444444443E-2</v>
      </c>
      <c r="CZ1119">
        <v>168</v>
      </c>
      <c r="DA1119">
        <v>259</v>
      </c>
      <c r="DB1119">
        <v>41</v>
      </c>
      <c r="DC1119" t="s">
        <v>1086</v>
      </c>
      <c r="DD1119">
        <v>13871</v>
      </c>
      <c r="DE1119">
        <v>0.24399999999999999</v>
      </c>
      <c r="DF1119">
        <v>1</v>
      </c>
      <c r="DG1119">
        <v>2.4400000000000002E-2</v>
      </c>
      <c r="DH1119">
        <v>295</v>
      </c>
      <c r="DI1119">
        <v>295</v>
      </c>
      <c r="DM1119">
        <v>44</v>
      </c>
    </row>
    <row r="1120" spans="91:117" x14ac:dyDescent="0.25">
      <c r="CM1120" t="s">
        <v>636</v>
      </c>
      <c r="CN1120" t="s">
        <v>3</v>
      </c>
      <c r="CO1120" t="s">
        <v>29</v>
      </c>
      <c r="CP1120">
        <v>46108</v>
      </c>
      <c r="CQ1120">
        <v>1</v>
      </c>
      <c r="CR1120">
        <v>1</v>
      </c>
      <c r="CT1120">
        <v>1</v>
      </c>
      <c r="CV1120">
        <v>0</v>
      </c>
      <c r="CW1120">
        <v>0</v>
      </c>
      <c r="CX1120">
        <v>0.21445601851851853</v>
      </c>
      <c r="CY1120">
        <v>0.12072916666666667</v>
      </c>
      <c r="CZ1120">
        <v>139</v>
      </c>
      <c r="DA1120">
        <v>207</v>
      </c>
      <c r="DB1120">
        <v>19</v>
      </c>
      <c r="DC1120" t="s">
        <v>691</v>
      </c>
      <c r="DD1120">
        <v>21326</v>
      </c>
      <c r="DE1120">
        <v>0.13669999999999999</v>
      </c>
      <c r="DF1120">
        <v>1</v>
      </c>
      <c r="DG1120">
        <v>5.2600000000000001E-2</v>
      </c>
      <c r="DH1120">
        <v>125</v>
      </c>
      <c r="DI1120">
        <v>125</v>
      </c>
      <c r="DM1120">
        <v>44</v>
      </c>
    </row>
    <row r="1121" spans="91:117" x14ac:dyDescent="0.25">
      <c r="CM1121" t="s">
        <v>636</v>
      </c>
      <c r="CN1121" t="s">
        <v>6</v>
      </c>
      <c r="CO1121" t="s">
        <v>80</v>
      </c>
      <c r="CP1121">
        <v>46086</v>
      </c>
      <c r="CQ1121">
        <v>1</v>
      </c>
      <c r="CR1121">
        <v>1</v>
      </c>
      <c r="CT1121">
        <v>1</v>
      </c>
      <c r="CV1121">
        <v>9.2592592592592588E-5</v>
      </c>
      <c r="CW1121">
        <v>9.2592592592592588E-5</v>
      </c>
      <c r="CX1121">
        <v>0.32177083333333334</v>
      </c>
      <c r="CY1121">
        <v>9.1284722222222225E-2</v>
      </c>
      <c r="CZ1121">
        <v>94</v>
      </c>
      <c r="DA1121">
        <v>122</v>
      </c>
      <c r="DB1121">
        <v>16</v>
      </c>
      <c r="DC1121">
        <v>1.625</v>
      </c>
      <c r="DD1121">
        <v>50625</v>
      </c>
      <c r="DE1121">
        <v>0.17019999999999999</v>
      </c>
      <c r="DM1121">
        <v>42</v>
      </c>
    </row>
    <row r="1122" spans="91:117" x14ac:dyDescent="0.25">
      <c r="CM1122" t="s">
        <v>636</v>
      </c>
      <c r="CN1122" t="s">
        <v>6</v>
      </c>
      <c r="CO1122" t="s">
        <v>80</v>
      </c>
      <c r="CP1122">
        <v>46094</v>
      </c>
      <c r="CQ1122">
        <v>1</v>
      </c>
      <c r="CR1122">
        <v>1</v>
      </c>
      <c r="CT1122">
        <v>1</v>
      </c>
      <c r="CV1122">
        <v>1.7361111111111112E-4</v>
      </c>
      <c r="CW1122">
        <v>1.7361111111111112E-4</v>
      </c>
      <c r="CX1122">
        <v>0.20605324074074075</v>
      </c>
      <c r="CY1122">
        <v>0.14123842592592592</v>
      </c>
      <c r="CZ1122">
        <v>60</v>
      </c>
      <c r="DA1122">
        <v>88</v>
      </c>
      <c r="DB1122">
        <v>10</v>
      </c>
      <c r="DC1122">
        <v>1.8</v>
      </c>
      <c r="DD1122">
        <v>60373</v>
      </c>
      <c r="DE1122">
        <v>0.16669999999999999</v>
      </c>
      <c r="DM1122">
        <v>42</v>
      </c>
    </row>
    <row r="1123" spans="91:117" x14ac:dyDescent="0.25">
      <c r="CM1123" t="s">
        <v>636</v>
      </c>
      <c r="CN1123" t="s">
        <v>6</v>
      </c>
      <c r="CO1123" t="s">
        <v>105</v>
      </c>
      <c r="CP1123">
        <v>46091</v>
      </c>
      <c r="CQ1123">
        <v>1</v>
      </c>
      <c r="CR1123">
        <v>1</v>
      </c>
      <c r="CT1123">
        <v>1</v>
      </c>
      <c r="CV1123">
        <v>2.4189814814814816E-3</v>
      </c>
      <c r="CW1123">
        <v>2.4189814814814816E-3</v>
      </c>
      <c r="CX1123">
        <v>0.29170138888888891</v>
      </c>
      <c r="CY1123">
        <v>9.7719907407407408E-2</v>
      </c>
      <c r="CZ1123">
        <v>104</v>
      </c>
      <c r="DA1123">
        <v>242</v>
      </c>
      <c r="DB1123">
        <v>14</v>
      </c>
      <c r="DC1123" t="s">
        <v>745</v>
      </c>
      <c r="DD1123">
        <v>41724</v>
      </c>
      <c r="DE1123">
        <v>0.1346</v>
      </c>
      <c r="DM1123">
        <v>42</v>
      </c>
    </row>
    <row r="1124" spans="91:117" x14ac:dyDescent="0.25">
      <c r="CM1124" t="s">
        <v>636</v>
      </c>
      <c r="CN1124" t="s">
        <v>6</v>
      </c>
      <c r="CO1124" t="s">
        <v>26</v>
      </c>
      <c r="CP1124">
        <v>46092</v>
      </c>
      <c r="CQ1124">
        <v>1</v>
      </c>
      <c r="CR1124">
        <v>1</v>
      </c>
      <c r="CV1124">
        <v>0</v>
      </c>
      <c r="CW1124">
        <v>0</v>
      </c>
      <c r="CX1124">
        <v>0</v>
      </c>
      <c r="CY1124">
        <v>0</v>
      </c>
      <c r="DM1124">
        <v>42</v>
      </c>
    </row>
    <row r="1125" spans="91:117" x14ac:dyDescent="0.25">
      <c r="CM1125" t="s">
        <v>636</v>
      </c>
      <c r="CN1125" t="s">
        <v>6</v>
      </c>
      <c r="CO1125" t="s">
        <v>26</v>
      </c>
      <c r="CP1125">
        <v>46101</v>
      </c>
      <c r="CQ1125">
        <v>1</v>
      </c>
      <c r="CR1125">
        <v>1</v>
      </c>
      <c r="CV1125">
        <v>0</v>
      </c>
      <c r="CW1125">
        <v>0</v>
      </c>
      <c r="CX1125">
        <v>0</v>
      </c>
      <c r="CY1125">
        <v>0</v>
      </c>
      <c r="DM1125">
        <v>42</v>
      </c>
    </row>
    <row r="1126" spans="91:117" x14ac:dyDescent="0.25">
      <c r="CM1126" t="s">
        <v>636</v>
      </c>
      <c r="CN1126" t="s">
        <v>6</v>
      </c>
      <c r="CO1126" t="s">
        <v>26</v>
      </c>
      <c r="CP1126">
        <v>46105</v>
      </c>
      <c r="CQ1126">
        <v>1</v>
      </c>
      <c r="CR1126">
        <v>1</v>
      </c>
      <c r="CV1126">
        <v>0</v>
      </c>
      <c r="CW1126">
        <v>0</v>
      </c>
      <c r="CX1126">
        <v>0</v>
      </c>
      <c r="CY1126">
        <v>0</v>
      </c>
      <c r="DM1126">
        <v>42</v>
      </c>
    </row>
    <row r="1127" spans="91:117" x14ac:dyDescent="0.25">
      <c r="CM1127" t="s">
        <v>636</v>
      </c>
      <c r="CN1127" t="s">
        <v>6</v>
      </c>
      <c r="CO1127" t="s">
        <v>35</v>
      </c>
      <c r="CP1127">
        <v>46094</v>
      </c>
      <c r="CQ1127">
        <v>1</v>
      </c>
      <c r="CR1127">
        <v>1</v>
      </c>
      <c r="CT1127">
        <v>1</v>
      </c>
      <c r="CV1127">
        <v>1.5046296296296297E-4</v>
      </c>
      <c r="CW1127">
        <v>1.5046296296296297E-4</v>
      </c>
      <c r="CX1127">
        <v>0.21643518518518517</v>
      </c>
      <c r="CY1127">
        <v>0.13373842592592591</v>
      </c>
      <c r="CZ1127">
        <v>60</v>
      </c>
      <c r="DA1127">
        <v>116</v>
      </c>
      <c r="DB1127">
        <v>20</v>
      </c>
      <c r="DC1127">
        <v>2.1</v>
      </c>
      <c r="DD1127">
        <v>9240</v>
      </c>
      <c r="DE1127">
        <v>0.33329999999999999</v>
      </c>
      <c r="DM1127">
        <v>42</v>
      </c>
    </row>
    <row r="1128" spans="91:117" x14ac:dyDescent="0.25">
      <c r="CM1128" t="s">
        <v>636</v>
      </c>
      <c r="CN1128" t="s">
        <v>6</v>
      </c>
      <c r="CO1128" t="s">
        <v>50</v>
      </c>
      <c r="CP1128">
        <v>46101</v>
      </c>
      <c r="CQ1128">
        <v>1</v>
      </c>
      <c r="CR1128">
        <v>1</v>
      </c>
      <c r="CS1128">
        <v>1</v>
      </c>
      <c r="CV1128">
        <v>6.2500000000000003E-3</v>
      </c>
      <c r="CW1128">
        <v>6.2500000000000003E-3</v>
      </c>
      <c r="CX1128">
        <v>0.20537037037037037</v>
      </c>
      <c r="CY1128">
        <v>0.14435185185185184</v>
      </c>
      <c r="CZ1128">
        <v>103</v>
      </c>
      <c r="DA1128">
        <v>174</v>
      </c>
      <c r="DB1128">
        <v>17</v>
      </c>
      <c r="DC1128" t="s">
        <v>844</v>
      </c>
      <c r="DD1128">
        <v>27905</v>
      </c>
      <c r="DE1128">
        <v>0.16500000000000001</v>
      </c>
      <c r="DM1128">
        <v>42</v>
      </c>
    </row>
    <row r="1129" spans="91:117" x14ac:dyDescent="0.25">
      <c r="CM1129" t="s">
        <v>636</v>
      </c>
      <c r="CN1129" t="s">
        <v>7</v>
      </c>
      <c r="CO1129" t="s">
        <v>58</v>
      </c>
      <c r="CP1129">
        <v>46112</v>
      </c>
      <c r="CQ1129">
        <v>1</v>
      </c>
      <c r="CR1129">
        <v>1</v>
      </c>
      <c r="CS1129">
        <v>1</v>
      </c>
      <c r="CV1129">
        <v>1.5289351851851853E-2</v>
      </c>
      <c r="CW1129">
        <v>1.5289351851851853E-2</v>
      </c>
      <c r="CX1129">
        <v>0.18997685185185184</v>
      </c>
      <c r="CY1129">
        <v>0.16733796296296297</v>
      </c>
      <c r="DM1129">
        <v>42</v>
      </c>
    </row>
    <row r="1130" spans="91:117" x14ac:dyDescent="0.25">
      <c r="CM1130" t="s">
        <v>636</v>
      </c>
      <c r="CN1130" t="s">
        <v>125</v>
      </c>
      <c r="CO1130" t="s">
        <v>18</v>
      </c>
      <c r="CP1130">
        <v>46098</v>
      </c>
      <c r="CQ1130">
        <v>1</v>
      </c>
      <c r="CR1130">
        <v>1</v>
      </c>
      <c r="CV1130">
        <v>3.7268518518518519E-3</v>
      </c>
      <c r="CW1130">
        <v>3.7268518518518519E-3</v>
      </c>
      <c r="CX1130">
        <v>0.19751157407407408</v>
      </c>
      <c r="CY1130">
        <v>0.13876157407407408</v>
      </c>
      <c r="CZ1130">
        <v>161</v>
      </c>
      <c r="DA1130">
        <v>319</v>
      </c>
      <c r="DB1130">
        <v>21</v>
      </c>
      <c r="DC1130" t="s">
        <v>718</v>
      </c>
      <c r="DD1130">
        <v>38148</v>
      </c>
      <c r="DE1130">
        <v>0.13039999999999999</v>
      </c>
      <c r="DM1130">
        <v>40</v>
      </c>
    </row>
    <row r="1131" spans="91:117" x14ac:dyDescent="0.25">
      <c r="CM1131" t="s">
        <v>636</v>
      </c>
      <c r="CN1131" t="s">
        <v>125</v>
      </c>
      <c r="CO1131" t="s">
        <v>10</v>
      </c>
      <c r="CP1131">
        <v>46098</v>
      </c>
      <c r="CQ1131">
        <v>1</v>
      </c>
      <c r="CR1131">
        <v>1</v>
      </c>
      <c r="CV1131">
        <v>0</v>
      </c>
      <c r="CW1131">
        <v>0</v>
      </c>
      <c r="CX1131">
        <v>0</v>
      </c>
      <c r="CY1131">
        <v>0</v>
      </c>
      <c r="DM1131">
        <v>40</v>
      </c>
    </row>
    <row r="1132" spans="91:117" x14ac:dyDescent="0.25">
      <c r="CM1132" t="s">
        <v>636</v>
      </c>
      <c r="CN1132" t="s">
        <v>2</v>
      </c>
      <c r="CO1132" t="s">
        <v>42</v>
      </c>
      <c r="CP1132">
        <v>46104</v>
      </c>
      <c r="CQ1132">
        <v>1</v>
      </c>
      <c r="CR1132">
        <v>1</v>
      </c>
      <c r="CV1132">
        <v>0</v>
      </c>
      <c r="CW1132">
        <v>0</v>
      </c>
      <c r="CX1132">
        <v>0</v>
      </c>
      <c r="CY1132">
        <v>0</v>
      </c>
      <c r="DM1132">
        <v>40</v>
      </c>
    </row>
    <row r="1133" spans="91:117" x14ac:dyDescent="0.25">
      <c r="CM1133" t="s">
        <v>636</v>
      </c>
      <c r="CN1133" t="s">
        <v>2</v>
      </c>
      <c r="CO1133" t="s">
        <v>17</v>
      </c>
      <c r="CP1133">
        <v>46104</v>
      </c>
      <c r="CQ1133">
        <v>1</v>
      </c>
      <c r="CR1133">
        <v>1</v>
      </c>
      <c r="CU1133">
        <v>1</v>
      </c>
      <c r="CV1133">
        <v>0</v>
      </c>
      <c r="CW1133">
        <v>0</v>
      </c>
      <c r="CX1133">
        <v>0</v>
      </c>
      <c r="CY1133">
        <v>0</v>
      </c>
      <c r="DM1133">
        <v>40</v>
      </c>
    </row>
    <row r="1134" spans="91:117" x14ac:dyDescent="0.25">
      <c r="CM1134" t="s">
        <v>636</v>
      </c>
      <c r="CN1134" t="s">
        <v>6</v>
      </c>
      <c r="CO1134" t="s">
        <v>105</v>
      </c>
      <c r="CP1134">
        <v>46106</v>
      </c>
      <c r="CQ1134">
        <v>1</v>
      </c>
      <c r="CR1134">
        <v>1</v>
      </c>
      <c r="CS1134">
        <v>1</v>
      </c>
      <c r="CV1134">
        <v>2.0092592592592592E-2</v>
      </c>
      <c r="CW1134">
        <v>2.0092592592592592E-2</v>
      </c>
      <c r="CX1134">
        <v>0.17761574074074074</v>
      </c>
      <c r="CY1134">
        <v>8.1145833333333334E-2</v>
      </c>
      <c r="CZ1134">
        <v>76</v>
      </c>
      <c r="DA1134">
        <v>147</v>
      </c>
      <c r="DB1134">
        <v>18</v>
      </c>
      <c r="DC1134" t="s">
        <v>697</v>
      </c>
      <c r="DD1134">
        <v>18203</v>
      </c>
      <c r="DE1134">
        <v>0.23680000000000001</v>
      </c>
      <c r="DM1134">
        <v>40</v>
      </c>
    </row>
    <row r="1135" spans="91:117" x14ac:dyDescent="0.25">
      <c r="CM1135" t="s">
        <v>636</v>
      </c>
      <c r="CN1135" t="s">
        <v>6</v>
      </c>
      <c r="CO1135" t="s">
        <v>26</v>
      </c>
      <c r="CP1135">
        <v>46106</v>
      </c>
      <c r="CQ1135">
        <v>1</v>
      </c>
      <c r="CR1135">
        <v>1</v>
      </c>
      <c r="CV1135">
        <v>0</v>
      </c>
      <c r="CW1135">
        <v>0</v>
      </c>
      <c r="CX1135">
        <v>0</v>
      </c>
      <c r="CY1135">
        <v>0</v>
      </c>
      <c r="DM1135">
        <v>40</v>
      </c>
    </row>
    <row r="1136" spans="91:117" x14ac:dyDescent="0.25">
      <c r="CM1136" t="s">
        <v>636</v>
      </c>
      <c r="CN1136" t="s">
        <v>6</v>
      </c>
      <c r="CO1136" t="s">
        <v>11</v>
      </c>
      <c r="CP1136">
        <v>46106</v>
      </c>
      <c r="CQ1136">
        <v>1</v>
      </c>
      <c r="CR1136">
        <v>1</v>
      </c>
      <c r="CV1136">
        <v>0</v>
      </c>
      <c r="CW1136">
        <v>0</v>
      </c>
      <c r="CX1136">
        <v>0</v>
      </c>
      <c r="CY1136">
        <v>0</v>
      </c>
      <c r="DM1136">
        <v>40</v>
      </c>
    </row>
    <row r="1137" spans="91:118" x14ac:dyDescent="0.25">
      <c r="CM1137" t="s">
        <v>636</v>
      </c>
      <c r="CN1137" t="s">
        <v>6</v>
      </c>
      <c r="CO1137" t="s">
        <v>11</v>
      </c>
      <c r="CP1137">
        <v>46111</v>
      </c>
      <c r="CQ1137">
        <v>1</v>
      </c>
      <c r="CR1137">
        <v>1</v>
      </c>
      <c r="CS1137">
        <v>1</v>
      </c>
      <c r="CV1137">
        <v>1.9525462962962963E-2</v>
      </c>
      <c r="CW1137">
        <v>1.9525462962962963E-2</v>
      </c>
      <c r="CX1137">
        <v>0.24599537037037036</v>
      </c>
      <c r="CY1137">
        <v>0.1300462962962963</v>
      </c>
      <c r="CZ1137">
        <v>169</v>
      </c>
      <c r="DA1137">
        <v>266</v>
      </c>
      <c r="DB1137">
        <v>33</v>
      </c>
      <c r="DC1137" t="s">
        <v>837</v>
      </c>
      <c r="DD1137">
        <v>27538</v>
      </c>
      <c r="DE1137">
        <v>0.1953</v>
      </c>
      <c r="DF1137">
        <v>2</v>
      </c>
      <c r="DG1137">
        <v>6.0600000000000001E-2</v>
      </c>
      <c r="DH1137">
        <v>7350</v>
      </c>
      <c r="DI1137">
        <v>3675</v>
      </c>
      <c r="DJ1137">
        <v>7000</v>
      </c>
      <c r="DK1137">
        <v>0.95240000000000002</v>
      </c>
      <c r="DL1137">
        <v>9.2399999999999996E-2</v>
      </c>
      <c r="DM1137">
        <v>40</v>
      </c>
      <c r="DN1137">
        <v>7000</v>
      </c>
    </row>
    <row r="1138" spans="91:118" x14ac:dyDescent="0.25">
      <c r="CM1138" t="s">
        <v>636</v>
      </c>
      <c r="CN1138" t="s">
        <v>7</v>
      </c>
      <c r="CO1138" t="s">
        <v>58</v>
      </c>
      <c r="CP1138">
        <v>46087</v>
      </c>
      <c r="CQ1138">
        <v>1</v>
      </c>
      <c r="CR1138">
        <v>1</v>
      </c>
      <c r="CV1138">
        <v>0</v>
      </c>
      <c r="CW1138">
        <v>0</v>
      </c>
      <c r="CX1138">
        <v>0</v>
      </c>
      <c r="CY1138">
        <v>0</v>
      </c>
      <c r="DM1138">
        <v>40</v>
      </c>
    </row>
    <row r="1139" spans="91:118" x14ac:dyDescent="0.25">
      <c r="CM1139" t="s">
        <v>636</v>
      </c>
      <c r="CN1139" t="s">
        <v>7</v>
      </c>
      <c r="CO1139" t="s">
        <v>566</v>
      </c>
      <c r="CP1139">
        <v>46087</v>
      </c>
      <c r="CQ1139">
        <v>1</v>
      </c>
      <c r="CR1139">
        <v>1</v>
      </c>
      <c r="CS1139">
        <v>1</v>
      </c>
      <c r="CV1139">
        <v>0.32469907407407406</v>
      </c>
      <c r="CW1139">
        <v>0.32469907407407406</v>
      </c>
      <c r="CX1139">
        <v>7.7337962962962969E-2</v>
      </c>
      <c r="CY1139">
        <v>2.5810185185185185E-3</v>
      </c>
      <c r="CZ1139">
        <v>19</v>
      </c>
      <c r="DA1139">
        <v>33</v>
      </c>
      <c r="DB1139">
        <v>4</v>
      </c>
      <c r="DC1139">
        <v>1</v>
      </c>
      <c r="DD1139">
        <v>4289</v>
      </c>
      <c r="DE1139">
        <v>0.21049999999999999</v>
      </c>
      <c r="DM1139">
        <v>40</v>
      </c>
    </row>
    <row r="1140" spans="91:118" x14ac:dyDescent="0.25">
      <c r="CM1140" t="s">
        <v>636</v>
      </c>
      <c r="CN1140" t="s">
        <v>3</v>
      </c>
      <c r="CO1140" t="s">
        <v>68</v>
      </c>
      <c r="CP1140">
        <v>46098</v>
      </c>
      <c r="CQ1140">
        <v>1</v>
      </c>
      <c r="CR1140">
        <v>1</v>
      </c>
      <c r="CS1140">
        <v>1</v>
      </c>
      <c r="CV1140">
        <v>5.3009259259259259E-3</v>
      </c>
      <c r="CW1140">
        <v>5.3009259259259259E-3</v>
      </c>
      <c r="CX1140">
        <v>0.20476851851851852</v>
      </c>
      <c r="CY1140">
        <v>8.2870370370370372E-2</v>
      </c>
      <c r="CZ1140">
        <v>85</v>
      </c>
      <c r="DA1140">
        <v>159</v>
      </c>
      <c r="DB1140">
        <v>17</v>
      </c>
      <c r="DC1140" t="s">
        <v>844</v>
      </c>
      <c r="DD1140">
        <v>31551</v>
      </c>
      <c r="DE1140">
        <v>0.2</v>
      </c>
      <c r="DM1140">
        <v>40</v>
      </c>
    </row>
    <row r="1141" spans="91:118" x14ac:dyDescent="0.25">
      <c r="CM1141" t="s">
        <v>636</v>
      </c>
      <c r="CN1141" t="s">
        <v>3</v>
      </c>
      <c r="CO1141" t="s">
        <v>29</v>
      </c>
      <c r="CP1141">
        <v>46101</v>
      </c>
      <c r="CQ1141">
        <v>1</v>
      </c>
      <c r="CR1141">
        <v>1</v>
      </c>
      <c r="CS1141">
        <v>1</v>
      </c>
      <c r="CV1141">
        <v>6.6319444444444446E-3</v>
      </c>
      <c r="CW1141">
        <v>6.6319444444444446E-3</v>
      </c>
      <c r="CX1141">
        <v>0.20855324074074075</v>
      </c>
      <c r="CY1141">
        <v>0.11087962962962963</v>
      </c>
      <c r="CZ1141">
        <v>100</v>
      </c>
      <c r="DA1141">
        <v>184</v>
      </c>
      <c r="DB1141">
        <v>10</v>
      </c>
      <c r="DC1141">
        <v>1.7</v>
      </c>
      <c r="DD1141">
        <v>19527</v>
      </c>
      <c r="DE1141">
        <v>0.1</v>
      </c>
      <c r="DM1141">
        <v>40</v>
      </c>
    </row>
    <row r="1142" spans="91:118" x14ac:dyDescent="0.25">
      <c r="CM1142" t="s">
        <v>636</v>
      </c>
      <c r="CN1142" t="s">
        <v>125</v>
      </c>
      <c r="CO1142" t="s">
        <v>18</v>
      </c>
      <c r="CP1142">
        <v>46097</v>
      </c>
      <c r="CQ1142">
        <v>1</v>
      </c>
      <c r="CR1142">
        <v>1</v>
      </c>
      <c r="CT1142">
        <v>1</v>
      </c>
      <c r="CV1142">
        <v>6.9444444444444447E-4</v>
      </c>
      <c r="CW1142">
        <v>6.9444444444444447E-4</v>
      </c>
      <c r="CX1142">
        <v>0.28938657407407409</v>
      </c>
      <c r="CY1142">
        <v>9.4722222222222222E-2</v>
      </c>
      <c r="CZ1142">
        <v>186</v>
      </c>
      <c r="DA1142">
        <v>331</v>
      </c>
      <c r="DB1142">
        <v>28</v>
      </c>
      <c r="DC1142" t="s">
        <v>988</v>
      </c>
      <c r="DD1142">
        <v>40643</v>
      </c>
      <c r="DE1142">
        <v>0.15049999999999999</v>
      </c>
      <c r="DM1142">
        <v>38</v>
      </c>
    </row>
    <row r="1143" spans="91:118" x14ac:dyDescent="0.25">
      <c r="CM1143" t="s">
        <v>636</v>
      </c>
      <c r="CN1143" t="s">
        <v>125</v>
      </c>
      <c r="CO1143" t="s">
        <v>122</v>
      </c>
      <c r="CP1143">
        <v>46083</v>
      </c>
      <c r="CQ1143">
        <v>1</v>
      </c>
      <c r="CR1143">
        <v>1</v>
      </c>
      <c r="CS1143">
        <v>1</v>
      </c>
      <c r="CV1143">
        <v>4.5254629629629629E-3</v>
      </c>
      <c r="CW1143">
        <v>4.5254629629629629E-3</v>
      </c>
      <c r="CX1143">
        <v>0.30111111111111111</v>
      </c>
      <c r="CY1143">
        <v>1.8796296296296297E-2</v>
      </c>
      <c r="CZ1143">
        <v>46</v>
      </c>
      <c r="DA1143">
        <v>138</v>
      </c>
      <c r="DB1143">
        <v>17</v>
      </c>
      <c r="DC1143" t="s">
        <v>844</v>
      </c>
      <c r="DD1143">
        <v>29903</v>
      </c>
      <c r="DE1143">
        <v>0.36959999999999998</v>
      </c>
      <c r="DF1143">
        <v>2</v>
      </c>
      <c r="DG1143">
        <v>0.1176</v>
      </c>
      <c r="DH1143">
        <v>10630</v>
      </c>
      <c r="DI1143">
        <v>5315</v>
      </c>
      <c r="DJ1143">
        <v>630</v>
      </c>
      <c r="DK1143">
        <v>5.9299999999999999E-2</v>
      </c>
      <c r="DM1143">
        <v>38</v>
      </c>
      <c r="DN1143">
        <v>630</v>
      </c>
    </row>
    <row r="1144" spans="91:118" x14ac:dyDescent="0.25">
      <c r="CM1144" t="s">
        <v>636</v>
      </c>
      <c r="CN1144" t="s">
        <v>125</v>
      </c>
      <c r="CO1144" t="s">
        <v>59</v>
      </c>
      <c r="CP1144">
        <v>46097</v>
      </c>
      <c r="CQ1144">
        <v>1</v>
      </c>
      <c r="CR1144">
        <v>1</v>
      </c>
      <c r="CT1144">
        <v>1</v>
      </c>
      <c r="CV1144">
        <v>1.0416666666666667E-4</v>
      </c>
      <c r="CW1144">
        <v>1.0416666666666667E-4</v>
      </c>
      <c r="CX1144">
        <v>0.29383101851851851</v>
      </c>
      <c r="CY1144">
        <v>0.11265046296296297</v>
      </c>
      <c r="CZ1144">
        <v>151</v>
      </c>
      <c r="DA1144">
        <v>268</v>
      </c>
      <c r="DB1144">
        <v>21</v>
      </c>
      <c r="DC1144" t="s">
        <v>745</v>
      </c>
      <c r="DD1144">
        <v>45781</v>
      </c>
      <c r="DE1144">
        <v>0.1391</v>
      </c>
      <c r="DM1144">
        <v>38</v>
      </c>
    </row>
    <row r="1145" spans="91:118" x14ac:dyDescent="0.25">
      <c r="CM1145" t="s">
        <v>636</v>
      </c>
      <c r="CN1145" t="s">
        <v>125</v>
      </c>
      <c r="CO1145" t="s">
        <v>10</v>
      </c>
      <c r="CP1145">
        <v>46101</v>
      </c>
      <c r="CQ1145">
        <v>1</v>
      </c>
      <c r="CR1145">
        <v>1</v>
      </c>
      <c r="CV1145">
        <v>0</v>
      </c>
      <c r="CW1145">
        <v>0</v>
      </c>
      <c r="CX1145">
        <v>0</v>
      </c>
      <c r="CY1145">
        <v>0</v>
      </c>
      <c r="DM1145">
        <v>38</v>
      </c>
    </row>
    <row r="1146" spans="91:118" x14ac:dyDescent="0.25">
      <c r="CM1146" t="s">
        <v>636</v>
      </c>
      <c r="CN1146" t="s">
        <v>2</v>
      </c>
      <c r="CO1146" t="s">
        <v>13</v>
      </c>
      <c r="CP1146">
        <v>46091</v>
      </c>
      <c r="CQ1146">
        <v>1</v>
      </c>
      <c r="CR1146">
        <v>1</v>
      </c>
      <c r="CV1146">
        <v>3.5532407407407409E-3</v>
      </c>
      <c r="CW1146">
        <v>3.5532407407407409E-3</v>
      </c>
      <c r="CX1146">
        <v>0.30896990740740743</v>
      </c>
      <c r="CY1146">
        <v>8.1203703703703708E-2</v>
      </c>
      <c r="CZ1146">
        <v>79</v>
      </c>
      <c r="DA1146">
        <v>185</v>
      </c>
      <c r="DB1146">
        <v>13</v>
      </c>
      <c r="DC1146" t="s">
        <v>711</v>
      </c>
      <c r="DD1146">
        <v>27651</v>
      </c>
      <c r="DE1146">
        <v>0.1646</v>
      </c>
      <c r="DM1146">
        <v>38</v>
      </c>
    </row>
    <row r="1147" spans="91:118" x14ac:dyDescent="0.25">
      <c r="CM1147" t="s">
        <v>636</v>
      </c>
      <c r="CN1147" t="s">
        <v>2</v>
      </c>
      <c r="CO1147" t="s">
        <v>42</v>
      </c>
      <c r="CP1147">
        <v>46091</v>
      </c>
      <c r="CQ1147">
        <v>1</v>
      </c>
      <c r="CR1147">
        <v>1</v>
      </c>
      <c r="CV1147">
        <v>0</v>
      </c>
      <c r="CW1147">
        <v>0</v>
      </c>
      <c r="CX1147">
        <v>0</v>
      </c>
      <c r="CY1147">
        <v>0</v>
      </c>
      <c r="DM1147">
        <v>38</v>
      </c>
    </row>
    <row r="1148" spans="91:118" x14ac:dyDescent="0.25">
      <c r="CM1148" t="s">
        <v>636</v>
      </c>
      <c r="CN1148" t="s">
        <v>6</v>
      </c>
      <c r="CO1148" t="s">
        <v>19</v>
      </c>
      <c r="CP1148">
        <v>46099</v>
      </c>
      <c r="CQ1148">
        <v>1</v>
      </c>
      <c r="CR1148">
        <v>1</v>
      </c>
      <c r="CT1148">
        <v>1</v>
      </c>
      <c r="CV1148">
        <v>0</v>
      </c>
      <c r="CW1148">
        <v>0</v>
      </c>
      <c r="CX1148">
        <v>0.28149305555555554</v>
      </c>
      <c r="CY1148">
        <v>0.12262731481481481</v>
      </c>
      <c r="CZ1148">
        <v>231</v>
      </c>
      <c r="DA1148">
        <v>328</v>
      </c>
      <c r="DB1148">
        <v>31</v>
      </c>
      <c r="DC1148" t="s">
        <v>750</v>
      </c>
      <c r="DD1148">
        <v>15933</v>
      </c>
      <c r="DE1148">
        <v>0.13420000000000001</v>
      </c>
      <c r="DM1148">
        <v>38</v>
      </c>
    </row>
    <row r="1149" spans="91:118" x14ac:dyDescent="0.25">
      <c r="CM1149" t="s">
        <v>636</v>
      </c>
      <c r="CN1149" t="s">
        <v>6</v>
      </c>
      <c r="CO1149" t="s">
        <v>26</v>
      </c>
      <c r="CP1149">
        <v>46090</v>
      </c>
      <c r="CQ1149">
        <v>1</v>
      </c>
      <c r="CR1149">
        <v>1</v>
      </c>
      <c r="CV1149">
        <v>0</v>
      </c>
      <c r="CW1149">
        <v>0</v>
      </c>
      <c r="CX1149">
        <v>0</v>
      </c>
      <c r="CY1149">
        <v>0</v>
      </c>
      <c r="DM1149">
        <v>38</v>
      </c>
    </row>
    <row r="1150" spans="91:118" x14ac:dyDescent="0.25">
      <c r="CM1150" t="s">
        <v>636</v>
      </c>
      <c r="CN1150" t="s">
        <v>6</v>
      </c>
      <c r="CO1150" t="s">
        <v>37</v>
      </c>
      <c r="CP1150">
        <v>46090</v>
      </c>
      <c r="CQ1150">
        <v>1</v>
      </c>
      <c r="CR1150">
        <v>1</v>
      </c>
      <c r="CV1150">
        <v>0</v>
      </c>
      <c r="CW1150">
        <v>0</v>
      </c>
      <c r="CX1150">
        <v>0</v>
      </c>
      <c r="CY1150">
        <v>0</v>
      </c>
      <c r="DM1150">
        <v>38</v>
      </c>
    </row>
    <row r="1151" spans="91:118" x14ac:dyDescent="0.25">
      <c r="CM1151" t="s">
        <v>636</v>
      </c>
      <c r="CN1151" t="s">
        <v>6</v>
      </c>
      <c r="CO1151" t="s">
        <v>37</v>
      </c>
      <c r="CP1151">
        <v>46099</v>
      </c>
      <c r="CQ1151">
        <v>1</v>
      </c>
      <c r="CR1151">
        <v>1</v>
      </c>
      <c r="CT1151">
        <v>1</v>
      </c>
      <c r="CV1151">
        <v>0</v>
      </c>
      <c r="CW1151">
        <v>0</v>
      </c>
      <c r="CX1151">
        <v>0.1426736111111111</v>
      </c>
      <c r="CY1151">
        <v>0.16189814814814815</v>
      </c>
      <c r="CZ1151">
        <v>82</v>
      </c>
      <c r="DA1151">
        <v>113</v>
      </c>
      <c r="DB1151">
        <v>13</v>
      </c>
      <c r="DC1151" t="s">
        <v>799</v>
      </c>
      <c r="DD1151">
        <v>37701</v>
      </c>
      <c r="DE1151">
        <v>0.1585</v>
      </c>
      <c r="DM1151">
        <v>38</v>
      </c>
    </row>
    <row r="1152" spans="91:118" x14ac:dyDescent="0.25">
      <c r="CM1152" t="s">
        <v>636</v>
      </c>
      <c r="CN1152" t="s">
        <v>6</v>
      </c>
      <c r="CO1152" t="s">
        <v>50</v>
      </c>
      <c r="CP1152">
        <v>46104</v>
      </c>
      <c r="CQ1152">
        <v>1</v>
      </c>
      <c r="CR1152">
        <v>1</v>
      </c>
      <c r="CT1152">
        <v>1</v>
      </c>
      <c r="CV1152">
        <v>6.9444444444444444E-5</v>
      </c>
      <c r="CW1152">
        <v>6.9444444444444444E-5</v>
      </c>
      <c r="CX1152">
        <v>0.17502314814814815</v>
      </c>
      <c r="CY1152">
        <v>0.13973379629629629</v>
      </c>
      <c r="CZ1152">
        <v>94</v>
      </c>
      <c r="DA1152">
        <v>161</v>
      </c>
      <c r="DB1152">
        <v>15</v>
      </c>
      <c r="DC1152" t="s">
        <v>723</v>
      </c>
      <c r="DD1152">
        <v>17969</v>
      </c>
      <c r="DE1152">
        <v>0.15959999999999999</v>
      </c>
      <c r="DM1152">
        <v>38</v>
      </c>
    </row>
    <row r="1153" spans="91:117" x14ac:dyDescent="0.25">
      <c r="CM1153" t="s">
        <v>636</v>
      </c>
      <c r="CN1153" t="s">
        <v>3</v>
      </c>
      <c r="CO1153" t="s">
        <v>96</v>
      </c>
      <c r="CP1153">
        <v>46086</v>
      </c>
      <c r="CQ1153">
        <v>1</v>
      </c>
      <c r="CR1153">
        <v>1</v>
      </c>
      <c r="CT1153">
        <v>1</v>
      </c>
      <c r="CV1153">
        <v>0</v>
      </c>
      <c r="CW1153">
        <v>0</v>
      </c>
      <c r="CX1153">
        <v>0.32574074074074072</v>
      </c>
      <c r="CY1153">
        <v>9.2673611111111109E-2</v>
      </c>
      <c r="CZ1153">
        <v>101</v>
      </c>
      <c r="DA1153">
        <v>199</v>
      </c>
      <c r="DB1153">
        <v>21</v>
      </c>
      <c r="DC1153" t="s">
        <v>752</v>
      </c>
      <c r="DD1153">
        <v>19664</v>
      </c>
      <c r="DE1153">
        <v>0.2079</v>
      </c>
      <c r="DM1153">
        <v>38</v>
      </c>
    </row>
    <row r="1154" spans="91:117" x14ac:dyDescent="0.25">
      <c r="CM1154" t="s">
        <v>636</v>
      </c>
      <c r="CN1154" t="s">
        <v>3</v>
      </c>
      <c r="CO1154" t="s">
        <v>96</v>
      </c>
      <c r="CP1154">
        <v>46108</v>
      </c>
      <c r="CQ1154">
        <v>1</v>
      </c>
      <c r="CR1154">
        <v>1</v>
      </c>
      <c r="CT1154">
        <v>1</v>
      </c>
      <c r="CV1154">
        <v>0</v>
      </c>
      <c r="CW1154">
        <v>0</v>
      </c>
      <c r="CX1154">
        <v>0.22373842592592594</v>
      </c>
      <c r="CY1154">
        <v>0.13341435185185185</v>
      </c>
      <c r="CZ1154">
        <v>120</v>
      </c>
      <c r="DA1154">
        <v>217</v>
      </c>
      <c r="DB1154">
        <v>28</v>
      </c>
      <c r="DC1154">
        <v>1.75</v>
      </c>
      <c r="DD1154">
        <v>29039</v>
      </c>
      <c r="DE1154">
        <v>0.23330000000000001</v>
      </c>
      <c r="DM1154">
        <v>38</v>
      </c>
    </row>
    <row r="1155" spans="91:117" x14ac:dyDescent="0.25">
      <c r="CM1155" t="s">
        <v>636</v>
      </c>
      <c r="CN1155" t="s">
        <v>3</v>
      </c>
      <c r="CO1155" t="s">
        <v>78</v>
      </c>
      <c r="CP1155">
        <v>46086</v>
      </c>
      <c r="CQ1155">
        <v>1</v>
      </c>
      <c r="CR1155">
        <v>1</v>
      </c>
      <c r="CT1155">
        <v>1</v>
      </c>
      <c r="CV1155">
        <v>1.0416666666666667E-4</v>
      </c>
      <c r="CW1155">
        <v>1.0416666666666667E-4</v>
      </c>
      <c r="CX1155">
        <v>0.32849537037037035</v>
      </c>
      <c r="CY1155">
        <v>9.7476851851851856E-2</v>
      </c>
      <c r="CZ1155">
        <v>111</v>
      </c>
      <c r="DA1155">
        <v>178</v>
      </c>
      <c r="DB1155">
        <v>35</v>
      </c>
      <c r="DC1155" t="s">
        <v>834</v>
      </c>
      <c r="DD1155">
        <v>22478</v>
      </c>
      <c r="DE1155">
        <v>0.31530000000000002</v>
      </c>
      <c r="DM1155">
        <v>38</v>
      </c>
    </row>
    <row r="1156" spans="91:117" x14ac:dyDescent="0.25">
      <c r="CM1156" t="s">
        <v>636</v>
      </c>
      <c r="CN1156" t="s">
        <v>2</v>
      </c>
      <c r="CO1156" t="s">
        <v>377</v>
      </c>
      <c r="CP1156">
        <v>46083</v>
      </c>
      <c r="CQ1156">
        <v>1</v>
      </c>
      <c r="CR1156">
        <v>1</v>
      </c>
      <c r="CS1156">
        <v>1</v>
      </c>
      <c r="CV1156">
        <v>1.087962962962963E-2</v>
      </c>
      <c r="CW1156">
        <v>1.087962962962963E-2</v>
      </c>
      <c r="CX1156">
        <v>0.20575231481481482</v>
      </c>
      <c r="CY1156">
        <v>0.10655092592592592</v>
      </c>
      <c r="CZ1156">
        <v>93</v>
      </c>
      <c r="DA1156">
        <v>168</v>
      </c>
      <c r="DB1156">
        <v>21</v>
      </c>
      <c r="DC1156" t="s">
        <v>752</v>
      </c>
      <c r="DD1156">
        <v>30194</v>
      </c>
      <c r="DE1156">
        <v>0.2258</v>
      </c>
      <c r="DM1156">
        <v>36</v>
      </c>
    </row>
    <row r="1157" spans="91:117" x14ac:dyDescent="0.25">
      <c r="CM1157" t="s">
        <v>636</v>
      </c>
      <c r="CN1157" t="s">
        <v>2</v>
      </c>
      <c r="CO1157" t="s">
        <v>42</v>
      </c>
      <c r="CP1157">
        <v>46083</v>
      </c>
      <c r="CQ1157">
        <v>1</v>
      </c>
      <c r="CR1157">
        <v>1</v>
      </c>
      <c r="CV1157">
        <v>0</v>
      </c>
      <c r="CW1157">
        <v>0</v>
      </c>
      <c r="CX1157">
        <v>0</v>
      </c>
      <c r="CY1157">
        <v>0</v>
      </c>
      <c r="CZ1157">
        <v>2</v>
      </c>
      <c r="DA1157">
        <v>3</v>
      </c>
      <c r="DB1157">
        <v>2</v>
      </c>
      <c r="DC1157">
        <v>1.5</v>
      </c>
      <c r="DD1157">
        <v>10093</v>
      </c>
      <c r="DE1157">
        <v>1</v>
      </c>
      <c r="DM1157">
        <v>36</v>
      </c>
    </row>
    <row r="1158" spans="91:117" x14ac:dyDescent="0.25">
      <c r="CM1158" t="s">
        <v>636</v>
      </c>
      <c r="CN1158" t="s">
        <v>2</v>
      </c>
      <c r="CO1158" t="s">
        <v>564</v>
      </c>
      <c r="CP1158">
        <v>46083</v>
      </c>
      <c r="CQ1158">
        <v>1</v>
      </c>
      <c r="CR1158">
        <v>1</v>
      </c>
      <c r="CU1158">
        <v>1</v>
      </c>
      <c r="CV1158">
        <v>0</v>
      </c>
      <c r="CW1158">
        <v>0</v>
      </c>
      <c r="CX1158">
        <v>0</v>
      </c>
      <c r="CY1158">
        <v>0</v>
      </c>
      <c r="DM1158">
        <v>36</v>
      </c>
    </row>
    <row r="1159" spans="91:117" x14ac:dyDescent="0.25">
      <c r="CM1159" t="s">
        <v>636</v>
      </c>
      <c r="CN1159" t="s">
        <v>3</v>
      </c>
      <c r="CO1159" t="s">
        <v>493</v>
      </c>
      <c r="CP1159">
        <v>46100</v>
      </c>
      <c r="CQ1159">
        <v>1</v>
      </c>
      <c r="CR1159">
        <v>1</v>
      </c>
      <c r="CT1159">
        <v>1</v>
      </c>
      <c r="CV1159">
        <v>3.4722222222222222E-5</v>
      </c>
      <c r="CW1159">
        <v>3.4722222222222222E-5</v>
      </c>
      <c r="CX1159">
        <v>0.21870370370370371</v>
      </c>
      <c r="CY1159">
        <v>0.10312499999999999</v>
      </c>
      <c r="CZ1159">
        <v>173</v>
      </c>
      <c r="DA1159">
        <v>390</v>
      </c>
      <c r="DB1159">
        <v>19</v>
      </c>
      <c r="DC1159" t="s">
        <v>950</v>
      </c>
      <c r="DD1159">
        <v>30546</v>
      </c>
      <c r="DE1159">
        <v>0.10979999999999999</v>
      </c>
      <c r="DM1159">
        <v>36</v>
      </c>
    </row>
    <row r="1160" spans="91:117" x14ac:dyDescent="0.25">
      <c r="CM1160" t="s">
        <v>636</v>
      </c>
      <c r="CN1160" t="s">
        <v>3</v>
      </c>
      <c r="CO1160" t="s">
        <v>29</v>
      </c>
      <c r="CP1160">
        <v>46100</v>
      </c>
      <c r="CQ1160">
        <v>1</v>
      </c>
      <c r="CR1160">
        <v>1</v>
      </c>
      <c r="CT1160">
        <v>1</v>
      </c>
      <c r="CV1160">
        <v>8.1018518518518516E-4</v>
      </c>
      <c r="CW1160">
        <v>8.1018518518518516E-4</v>
      </c>
      <c r="CX1160">
        <v>0.2316087962962963</v>
      </c>
      <c r="CY1160">
        <v>0.10577546296296296</v>
      </c>
      <c r="CZ1160">
        <v>125</v>
      </c>
      <c r="DA1160">
        <v>223</v>
      </c>
      <c r="DB1160">
        <v>10</v>
      </c>
      <c r="DC1160">
        <v>1.9</v>
      </c>
      <c r="DD1160">
        <v>20949</v>
      </c>
      <c r="DE1160">
        <v>0.08</v>
      </c>
      <c r="DM1160">
        <v>36</v>
      </c>
    </row>
    <row r="1161" spans="91:117" x14ac:dyDescent="0.25">
      <c r="CM1161" t="s">
        <v>636</v>
      </c>
      <c r="CN1161" t="s">
        <v>6</v>
      </c>
      <c r="CO1161" t="s">
        <v>26</v>
      </c>
      <c r="CP1161">
        <v>46084</v>
      </c>
      <c r="CQ1161">
        <v>1</v>
      </c>
      <c r="CR1161">
        <v>1</v>
      </c>
      <c r="CV1161">
        <v>0</v>
      </c>
      <c r="CW1161">
        <v>0</v>
      </c>
      <c r="CX1161">
        <v>0</v>
      </c>
      <c r="CY1161">
        <v>0</v>
      </c>
      <c r="DM1161">
        <v>34</v>
      </c>
    </row>
    <row r="1162" spans="91:117" x14ac:dyDescent="0.25">
      <c r="CM1162" t="s">
        <v>636</v>
      </c>
      <c r="CN1162" t="s">
        <v>6</v>
      </c>
      <c r="CO1162" t="s">
        <v>26</v>
      </c>
      <c r="CP1162">
        <v>46086</v>
      </c>
      <c r="CQ1162">
        <v>1</v>
      </c>
      <c r="CR1162">
        <v>1</v>
      </c>
      <c r="CV1162">
        <v>0</v>
      </c>
      <c r="CW1162">
        <v>0</v>
      </c>
      <c r="CX1162">
        <v>0</v>
      </c>
      <c r="CY1162">
        <v>0</v>
      </c>
      <c r="DM1162">
        <v>34</v>
      </c>
    </row>
    <row r="1163" spans="91:117" x14ac:dyDescent="0.25">
      <c r="CM1163" t="s">
        <v>636</v>
      </c>
      <c r="CN1163" t="s">
        <v>6</v>
      </c>
      <c r="CO1163" t="s">
        <v>26</v>
      </c>
      <c r="CP1163">
        <v>46091</v>
      </c>
      <c r="CQ1163">
        <v>1</v>
      </c>
      <c r="CR1163">
        <v>1</v>
      </c>
      <c r="CV1163">
        <v>0</v>
      </c>
      <c r="CW1163">
        <v>0</v>
      </c>
      <c r="CX1163">
        <v>0</v>
      </c>
      <c r="CY1163">
        <v>0</v>
      </c>
      <c r="DM1163">
        <v>34</v>
      </c>
    </row>
    <row r="1164" spans="91:117" x14ac:dyDescent="0.25">
      <c r="CM1164" t="s">
        <v>636</v>
      </c>
      <c r="CN1164" t="s">
        <v>6</v>
      </c>
      <c r="CO1164" t="s">
        <v>26</v>
      </c>
      <c r="CP1164">
        <v>46094</v>
      </c>
      <c r="CQ1164">
        <v>1</v>
      </c>
      <c r="CR1164">
        <v>1</v>
      </c>
      <c r="CV1164">
        <v>0</v>
      </c>
      <c r="CW1164">
        <v>0</v>
      </c>
      <c r="CX1164">
        <v>0</v>
      </c>
      <c r="CY1164">
        <v>0</v>
      </c>
      <c r="DM1164">
        <v>34</v>
      </c>
    </row>
    <row r="1165" spans="91:117" x14ac:dyDescent="0.25">
      <c r="CM1165" t="s">
        <v>636</v>
      </c>
      <c r="CN1165" t="s">
        <v>6</v>
      </c>
      <c r="CO1165" t="s">
        <v>50</v>
      </c>
      <c r="CP1165">
        <v>46084</v>
      </c>
      <c r="CQ1165">
        <v>1</v>
      </c>
      <c r="CR1165">
        <v>1</v>
      </c>
      <c r="CU1165">
        <v>1</v>
      </c>
      <c r="CV1165">
        <v>0</v>
      </c>
      <c r="CW1165">
        <v>0</v>
      </c>
      <c r="CX1165">
        <v>0</v>
      </c>
      <c r="CY1165">
        <v>0</v>
      </c>
      <c r="DM1165">
        <v>34</v>
      </c>
    </row>
    <row r="1166" spans="91:117" x14ac:dyDescent="0.25">
      <c r="CM1166" t="s">
        <v>636</v>
      </c>
      <c r="CN1166" t="s">
        <v>6</v>
      </c>
      <c r="CO1166" t="s">
        <v>50</v>
      </c>
      <c r="CP1166">
        <v>46086</v>
      </c>
      <c r="CQ1166">
        <v>1</v>
      </c>
      <c r="CR1166">
        <v>1</v>
      </c>
      <c r="CS1166">
        <v>1</v>
      </c>
      <c r="CV1166">
        <v>6.2847222222222219E-3</v>
      </c>
      <c r="CW1166">
        <v>6.2847222222222219E-3</v>
      </c>
      <c r="CX1166">
        <v>0.31489583333333332</v>
      </c>
      <c r="CY1166">
        <v>9.734953703703704E-2</v>
      </c>
      <c r="CZ1166">
        <v>125</v>
      </c>
      <c r="DA1166">
        <v>238</v>
      </c>
      <c r="DB1166">
        <v>19</v>
      </c>
      <c r="DC1166" t="s">
        <v>791</v>
      </c>
      <c r="DD1166">
        <v>15181</v>
      </c>
      <c r="DE1166">
        <v>0.152</v>
      </c>
      <c r="DM1166">
        <v>34</v>
      </c>
    </row>
    <row r="1167" spans="91:117" x14ac:dyDescent="0.25">
      <c r="CM1167" t="s">
        <v>636</v>
      </c>
      <c r="CN1167" t="s">
        <v>6</v>
      </c>
      <c r="CO1167" t="s">
        <v>97</v>
      </c>
      <c r="CP1167">
        <v>46111</v>
      </c>
      <c r="CQ1167">
        <v>1</v>
      </c>
      <c r="CR1167">
        <v>1</v>
      </c>
      <c r="CT1167">
        <v>1</v>
      </c>
      <c r="CV1167">
        <v>8.1018518518518516E-5</v>
      </c>
      <c r="CW1167">
        <v>8.1018518518518516E-5</v>
      </c>
      <c r="CX1167">
        <v>0.19259259259259259</v>
      </c>
      <c r="CY1167">
        <v>0.19502314814814814</v>
      </c>
      <c r="CZ1167">
        <v>128</v>
      </c>
      <c r="DA1167">
        <v>204</v>
      </c>
      <c r="DB1167">
        <v>31</v>
      </c>
      <c r="DC1167" t="s">
        <v>1087</v>
      </c>
      <c r="DD1167">
        <v>23734</v>
      </c>
      <c r="DE1167">
        <v>0.2422</v>
      </c>
      <c r="DF1167">
        <v>2</v>
      </c>
      <c r="DG1167">
        <v>6.4500000000000002E-2</v>
      </c>
      <c r="DH1167">
        <v>995</v>
      </c>
      <c r="DI1167">
        <v>498</v>
      </c>
      <c r="DM1167">
        <v>34</v>
      </c>
    </row>
    <row r="1168" spans="91:117" x14ac:dyDescent="0.25">
      <c r="CM1168" t="s">
        <v>636</v>
      </c>
      <c r="CN1168" t="s">
        <v>125</v>
      </c>
      <c r="CO1168" t="s">
        <v>10</v>
      </c>
      <c r="CP1168">
        <v>46097</v>
      </c>
      <c r="CQ1168">
        <v>1</v>
      </c>
      <c r="CR1168">
        <v>1</v>
      </c>
      <c r="CV1168">
        <v>0</v>
      </c>
      <c r="CW1168">
        <v>0</v>
      </c>
      <c r="CX1168">
        <v>0</v>
      </c>
      <c r="CY1168">
        <v>0</v>
      </c>
      <c r="DM1168">
        <v>32</v>
      </c>
    </row>
    <row r="1169" spans="91:118" x14ac:dyDescent="0.25">
      <c r="CM1169" t="s">
        <v>636</v>
      </c>
      <c r="CN1169" t="s">
        <v>6</v>
      </c>
      <c r="CO1169" t="s">
        <v>19</v>
      </c>
      <c r="CP1169">
        <v>46085</v>
      </c>
      <c r="CQ1169">
        <v>1</v>
      </c>
      <c r="CR1169">
        <v>1</v>
      </c>
      <c r="CT1169">
        <v>1</v>
      </c>
      <c r="CV1169">
        <v>2.6620370370370372E-4</v>
      </c>
      <c r="CW1169">
        <v>2.6620370370370372E-4</v>
      </c>
      <c r="CX1169">
        <v>0.23456018518518518</v>
      </c>
      <c r="CY1169">
        <v>0.11836805555555556</v>
      </c>
      <c r="CZ1169">
        <v>201</v>
      </c>
      <c r="DA1169">
        <v>299</v>
      </c>
      <c r="DB1169">
        <v>24</v>
      </c>
      <c r="DC1169">
        <v>1.625</v>
      </c>
      <c r="DD1169">
        <v>25029</v>
      </c>
      <c r="DE1169">
        <v>0.11940000000000001</v>
      </c>
      <c r="DM1169">
        <v>32</v>
      </c>
    </row>
    <row r="1170" spans="91:118" x14ac:dyDescent="0.25">
      <c r="CM1170" t="s">
        <v>636</v>
      </c>
      <c r="CN1170" t="s">
        <v>6</v>
      </c>
      <c r="CO1170" t="s">
        <v>80</v>
      </c>
      <c r="CP1170">
        <v>46098</v>
      </c>
      <c r="CQ1170">
        <v>1</v>
      </c>
      <c r="CR1170">
        <v>1</v>
      </c>
      <c r="CT1170">
        <v>1</v>
      </c>
      <c r="CV1170">
        <v>1.6203703703703703E-4</v>
      </c>
      <c r="CW1170">
        <v>1.6203703703703703E-4</v>
      </c>
      <c r="CX1170">
        <v>0.17465277777777777</v>
      </c>
      <c r="CY1170">
        <v>0.1557523148148148</v>
      </c>
      <c r="CZ1170">
        <v>94</v>
      </c>
      <c r="DA1170">
        <v>129</v>
      </c>
      <c r="DB1170">
        <v>19</v>
      </c>
      <c r="DC1170" t="s">
        <v>950</v>
      </c>
      <c r="DD1170">
        <v>40311</v>
      </c>
      <c r="DE1170">
        <v>0.2021</v>
      </c>
      <c r="DM1170">
        <v>32</v>
      </c>
    </row>
    <row r="1171" spans="91:118" x14ac:dyDescent="0.25">
      <c r="CM1171" t="s">
        <v>636</v>
      </c>
      <c r="CN1171" t="s">
        <v>6</v>
      </c>
      <c r="CO1171" t="s">
        <v>80</v>
      </c>
      <c r="CP1171">
        <v>46112</v>
      </c>
      <c r="CQ1171">
        <v>1</v>
      </c>
      <c r="CR1171">
        <v>1</v>
      </c>
      <c r="CT1171">
        <v>1</v>
      </c>
      <c r="CV1171">
        <v>1.0416666666666667E-4</v>
      </c>
      <c r="CW1171">
        <v>1.0416666666666667E-4</v>
      </c>
      <c r="CX1171">
        <v>0.21006944444444445</v>
      </c>
      <c r="CY1171">
        <v>0.16556712962962963</v>
      </c>
      <c r="CZ1171">
        <v>80</v>
      </c>
      <c r="DA1171">
        <v>95</v>
      </c>
      <c r="DB1171">
        <v>4</v>
      </c>
      <c r="DC1171">
        <v>1.5</v>
      </c>
      <c r="DD1171">
        <v>41492</v>
      </c>
      <c r="DE1171">
        <v>0.05</v>
      </c>
      <c r="DM1171">
        <v>32</v>
      </c>
    </row>
    <row r="1172" spans="91:118" x14ac:dyDescent="0.25">
      <c r="CM1172" t="s">
        <v>636</v>
      </c>
      <c r="CN1172" t="s">
        <v>6</v>
      </c>
      <c r="CO1172" t="s">
        <v>26</v>
      </c>
      <c r="CP1172">
        <v>46112</v>
      </c>
      <c r="CQ1172">
        <v>1</v>
      </c>
      <c r="CR1172">
        <v>1</v>
      </c>
      <c r="CT1172">
        <v>1</v>
      </c>
      <c r="CV1172">
        <v>5.7870370370370373E-5</v>
      </c>
      <c r="CW1172">
        <v>5.7870370370370373E-5</v>
      </c>
      <c r="CX1172">
        <v>0.22655092592592593</v>
      </c>
      <c r="CY1172">
        <v>0.17195601851851852</v>
      </c>
      <c r="CZ1172">
        <v>135</v>
      </c>
      <c r="DA1172">
        <v>181</v>
      </c>
      <c r="DB1172">
        <v>5</v>
      </c>
      <c r="DC1172">
        <v>1</v>
      </c>
      <c r="DD1172">
        <v>52130</v>
      </c>
      <c r="DE1172">
        <v>3.6999999999999998E-2</v>
      </c>
      <c r="DM1172">
        <v>32</v>
      </c>
    </row>
    <row r="1173" spans="91:118" x14ac:dyDescent="0.25">
      <c r="CM1173" t="s">
        <v>636</v>
      </c>
      <c r="CN1173" t="s">
        <v>6</v>
      </c>
      <c r="CO1173" t="s">
        <v>50</v>
      </c>
      <c r="CP1173">
        <v>46112</v>
      </c>
      <c r="CQ1173">
        <v>1</v>
      </c>
      <c r="CR1173">
        <v>1</v>
      </c>
      <c r="CT1173">
        <v>1</v>
      </c>
      <c r="CV1173">
        <v>7.6388888888888893E-4</v>
      </c>
      <c r="CW1173">
        <v>7.6388888888888893E-4</v>
      </c>
      <c r="CX1173">
        <v>0.21212962962962964</v>
      </c>
      <c r="CY1173">
        <v>0.18037037037037038</v>
      </c>
      <c r="CZ1173">
        <v>93</v>
      </c>
      <c r="DA1173">
        <v>121</v>
      </c>
      <c r="DB1173">
        <v>10</v>
      </c>
      <c r="DC1173">
        <v>1.2</v>
      </c>
      <c r="DD1173">
        <v>32885</v>
      </c>
      <c r="DE1173">
        <v>0.1075</v>
      </c>
      <c r="DM1173">
        <v>32</v>
      </c>
    </row>
    <row r="1174" spans="91:118" x14ac:dyDescent="0.25">
      <c r="CM1174" t="s">
        <v>636</v>
      </c>
      <c r="CN1174" t="s">
        <v>6</v>
      </c>
      <c r="CO1174" t="s">
        <v>11</v>
      </c>
      <c r="CP1174">
        <v>46085</v>
      </c>
      <c r="CQ1174">
        <v>1</v>
      </c>
      <c r="CR1174">
        <v>1</v>
      </c>
      <c r="CT1174">
        <v>1</v>
      </c>
      <c r="CV1174">
        <v>6.9444444444444444E-5</v>
      </c>
      <c r="CW1174">
        <v>6.9444444444444444E-5</v>
      </c>
      <c r="CX1174">
        <v>0.21344907407407407</v>
      </c>
      <c r="CY1174">
        <v>0.13623842592592592</v>
      </c>
      <c r="CZ1174">
        <v>138</v>
      </c>
      <c r="DA1174">
        <v>246</v>
      </c>
      <c r="DB1174">
        <v>32</v>
      </c>
      <c r="DC1174">
        <v>1.46875</v>
      </c>
      <c r="DD1174">
        <v>22664</v>
      </c>
      <c r="DE1174">
        <v>0.2319</v>
      </c>
      <c r="DM1174">
        <v>32</v>
      </c>
    </row>
    <row r="1175" spans="91:118" x14ac:dyDescent="0.25">
      <c r="CM1175" t="s">
        <v>636</v>
      </c>
      <c r="CN1175" t="s">
        <v>3</v>
      </c>
      <c r="CO1175" t="s">
        <v>29</v>
      </c>
      <c r="CP1175">
        <v>46112</v>
      </c>
      <c r="CQ1175">
        <v>1</v>
      </c>
      <c r="CR1175">
        <v>1</v>
      </c>
      <c r="CS1175">
        <v>1</v>
      </c>
      <c r="CV1175">
        <v>6.7245370370370367E-3</v>
      </c>
      <c r="CW1175">
        <v>6.7245370370370367E-3</v>
      </c>
      <c r="CX1175">
        <v>0.16149305555555554</v>
      </c>
      <c r="CY1175">
        <v>0.20564814814814814</v>
      </c>
      <c r="CZ1175">
        <v>89</v>
      </c>
      <c r="DA1175">
        <v>134</v>
      </c>
      <c r="DB1175">
        <v>16</v>
      </c>
      <c r="DC1175">
        <v>1.375</v>
      </c>
      <c r="DD1175">
        <v>25233</v>
      </c>
      <c r="DE1175">
        <v>0.17979999999999999</v>
      </c>
      <c r="DM1175">
        <v>32</v>
      </c>
    </row>
    <row r="1176" spans="91:118" x14ac:dyDescent="0.25">
      <c r="CM1176" t="s">
        <v>636</v>
      </c>
      <c r="CN1176" t="s">
        <v>3</v>
      </c>
      <c r="CO1176" t="s">
        <v>38</v>
      </c>
      <c r="CP1176">
        <v>46106</v>
      </c>
      <c r="CQ1176">
        <v>1</v>
      </c>
      <c r="CR1176">
        <v>1</v>
      </c>
      <c r="CT1176">
        <v>1</v>
      </c>
      <c r="CV1176">
        <v>1.0416666666666667E-3</v>
      </c>
      <c r="CW1176">
        <v>1.0416666666666667E-3</v>
      </c>
      <c r="CX1176">
        <v>0.16501157407407407</v>
      </c>
      <c r="CY1176">
        <v>0.15366898148148148</v>
      </c>
      <c r="CZ1176">
        <v>84</v>
      </c>
      <c r="DA1176">
        <v>119</v>
      </c>
      <c r="DB1176">
        <v>27</v>
      </c>
      <c r="DC1176" t="s">
        <v>1088</v>
      </c>
      <c r="DD1176">
        <v>17845</v>
      </c>
      <c r="DE1176">
        <v>0.32140000000000002</v>
      </c>
      <c r="DF1176">
        <v>1</v>
      </c>
      <c r="DG1176">
        <v>3.6999999999999998E-2</v>
      </c>
      <c r="DH1176">
        <v>1000</v>
      </c>
      <c r="DI1176">
        <v>1000</v>
      </c>
      <c r="DM1176">
        <v>32</v>
      </c>
    </row>
    <row r="1177" spans="91:118" x14ac:dyDescent="0.25">
      <c r="CM1177" t="s">
        <v>636</v>
      </c>
      <c r="CN1177" t="s">
        <v>6</v>
      </c>
      <c r="CO1177" t="s">
        <v>26</v>
      </c>
      <c r="CP1177">
        <v>46099</v>
      </c>
      <c r="CQ1177">
        <v>1</v>
      </c>
      <c r="CR1177">
        <v>1</v>
      </c>
      <c r="CV1177">
        <v>0</v>
      </c>
      <c r="CW1177">
        <v>0</v>
      </c>
      <c r="CX1177">
        <v>0</v>
      </c>
      <c r="CY1177">
        <v>0</v>
      </c>
      <c r="DM1177">
        <v>30</v>
      </c>
    </row>
    <row r="1178" spans="91:118" x14ac:dyDescent="0.25">
      <c r="CM1178" t="s">
        <v>636</v>
      </c>
      <c r="CN1178" t="s">
        <v>6</v>
      </c>
      <c r="CO1178" t="s">
        <v>26</v>
      </c>
      <c r="CP1178">
        <v>46104</v>
      </c>
      <c r="CQ1178">
        <v>1</v>
      </c>
      <c r="CR1178">
        <v>1</v>
      </c>
      <c r="CV1178">
        <v>0</v>
      </c>
      <c r="CW1178">
        <v>0</v>
      </c>
      <c r="CX1178">
        <v>0</v>
      </c>
      <c r="CY1178">
        <v>0</v>
      </c>
      <c r="DM1178">
        <v>30</v>
      </c>
    </row>
    <row r="1179" spans="91:118" x14ac:dyDescent="0.25">
      <c r="CM1179" t="s">
        <v>636</v>
      </c>
      <c r="CN1179" t="s">
        <v>6</v>
      </c>
      <c r="CO1179" t="s">
        <v>37</v>
      </c>
      <c r="CP1179">
        <v>46104</v>
      </c>
      <c r="CQ1179">
        <v>1</v>
      </c>
      <c r="CR1179">
        <v>1</v>
      </c>
      <c r="CU1179">
        <v>1</v>
      </c>
      <c r="CV1179">
        <v>0</v>
      </c>
      <c r="CW1179">
        <v>0</v>
      </c>
      <c r="CX1179">
        <v>0</v>
      </c>
      <c r="CY1179">
        <v>0</v>
      </c>
      <c r="DM1179">
        <v>30</v>
      </c>
    </row>
    <row r="1180" spans="91:118" x14ac:dyDescent="0.25">
      <c r="CM1180" t="s">
        <v>636</v>
      </c>
      <c r="CN1180" t="s">
        <v>6</v>
      </c>
      <c r="CO1180" t="s">
        <v>35</v>
      </c>
      <c r="CP1180">
        <v>46111</v>
      </c>
      <c r="CQ1180">
        <v>1</v>
      </c>
      <c r="CR1180">
        <v>1</v>
      </c>
      <c r="CT1180">
        <v>1</v>
      </c>
      <c r="CV1180">
        <v>1.3888888888888889E-4</v>
      </c>
      <c r="CW1180">
        <v>1.3888888888888889E-4</v>
      </c>
      <c r="CX1180">
        <v>0.21001157407407409</v>
      </c>
      <c r="CY1180">
        <v>0.18041666666666667</v>
      </c>
      <c r="CZ1180">
        <v>95</v>
      </c>
      <c r="DA1180">
        <v>143</v>
      </c>
      <c r="DB1180">
        <v>19</v>
      </c>
      <c r="DC1180" t="s">
        <v>682</v>
      </c>
      <c r="DD1180">
        <v>27073</v>
      </c>
      <c r="DE1180">
        <v>0.2</v>
      </c>
      <c r="DF1180">
        <v>1</v>
      </c>
      <c r="DG1180">
        <v>5.2600000000000001E-2</v>
      </c>
      <c r="DH1180">
        <v>1000</v>
      </c>
      <c r="DI1180">
        <v>1000</v>
      </c>
      <c r="DM1180">
        <v>30</v>
      </c>
    </row>
    <row r="1181" spans="91:118" x14ac:dyDescent="0.25">
      <c r="CM1181" t="s">
        <v>636</v>
      </c>
      <c r="CN1181" t="s">
        <v>6</v>
      </c>
      <c r="CO1181" t="s">
        <v>50</v>
      </c>
      <c r="CP1181">
        <v>46083</v>
      </c>
      <c r="CQ1181">
        <v>1</v>
      </c>
      <c r="CR1181">
        <v>1</v>
      </c>
      <c r="CV1181">
        <v>4.6296296296296294E-5</v>
      </c>
      <c r="CW1181">
        <v>4.6296296296296294E-5</v>
      </c>
      <c r="CX1181">
        <v>0.23627314814814815</v>
      </c>
      <c r="CY1181">
        <v>6.0972222222222219E-2</v>
      </c>
      <c r="CZ1181">
        <v>86</v>
      </c>
      <c r="DA1181">
        <v>136</v>
      </c>
      <c r="DB1181">
        <v>23</v>
      </c>
      <c r="DC1181" t="s">
        <v>954</v>
      </c>
      <c r="DD1181">
        <v>21660</v>
      </c>
      <c r="DE1181">
        <v>0.26740000000000003</v>
      </c>
      <c r="DF1181">
        <v>2</v>
      </c>
      <c r="DG1181">
        <v>8.6999999999999994E-2</v>
      </c>
      <c r="DH1181">
        <v>645</v>
      </c>
      <c r="DI1181">
        <v>323</v>
      </c>
      <c r="DJ1181">
        <v>360</v>
      </c>
      <c r="DK1181">
        <v>0.55810000000000004</v>
      </c>
      <c r="DM1181">
        <v>30</v>
      </c>
      <c r="DN1181">
        <v>360</v>
      </c>
    </row>
    <row r="1182" spans="91:118" x14ac:dyDescent="0.25">
      <c r="CM1182" t="s">
        <v>636</v>
      </c>
      <c r="CN1182" t="s">
        <v>3</v>
      </c>
      <c r="CO1182" t="s">
        <v>174</v>
      </c>
      <c r="CP1182">
        <v>46084</v>
      </c>
      <c r="CQ1182">
        <v>1</v>
      </c>
      <c r="CR1182">
        <v>1</v>
      </c>
      <c r="CT1182">
        <v>1</v>
      </c>
      <c r="CV1182">
        <v>1.1574074074074073E-5</v>
      </c>
      <c r="CW1182">
        <v>1.1574074074074073E-5</v>
      </c>
      <c r="CX1182">
        <v>0.31959490740740742</v>
      </c>
      <c r="CY1182">
        <v>0.11761574074074074</v>
      </c>
      <c r="CZ1182">
        <v>267</v>
      </c>
      <c r="DA1182">
        <v>319</v>
      </c>
      <c r="DB1182">
        <v>30</v>
      </c>
      <c r="DC1182" t="s">
        <v>810</v>
      </c>
      <c r="DD1182">
        <v>23485</v>
      </c>
      <c r="DE1182">
        <v>0.1124</v>
      </c>
      <c r="DF1182">
        <v>1</v>
      </c>
      <c r="DG1182">
        <v>3.3300000000000003E-2</v>
      </c>
      <c r="DH1182">
        <v>285</v>
      </c>
      <c r="DI1182">
        <v>285</v>
      </c>
      <c r="DM1182">
        <v>30</v>
      </c>
    </row>
    <row r="1183" spans="91:118" x14ac:dyDescent="0.25">
      <c r="CM1183" t="s">
        <v>636</v>
      </c>
      <c r="CN1183" t="s">
        <v>3</v>
      </c>
      <c r="CO1183" t="s">
        <v>174</v>
      </c>
      <c r="CP1183">
        <v>46107</v>
      </c>
      <c r="CQ1183">
        <v>1</v>
      </c>
      <c r="CR1183">
        <v>1</v>
      </c>
      <c r="CT1183">
        <v>1</v>
      </c>
      <c r="CV1183">
        <v>0</v>
      </c>
      <c r="CW1183">
        <v>0</v>
      </c>
      <c r="CX1183">
        <v>0.20177083333333334</v>
      </c>
      <c r="CY1183">
        <v>0.14493055555555556</v>
      </c>
      <c r="CZ1183">
        <v>97</v>
      </c>
      <c r="DA1183">
        <v>152</v>
      </c>
      <c r="DB1183">
        <v>21</v>
      </c>
      <c r="DC1183" t="s">
        <v>678</v>
      </c>
      <c r="DD1183">
        <v>21323</v>
      </c>
      <c r="DE1183">
        <v>0.2165</v>
      </c>
      <c r="DM1183">
        <v>28</v>
      </c>
    </row>
    <row r="1184" spans="91:118" x14ac:dyDescent="0.25">
      <c r="CM1184" t="s">
        <v>636</v>
      </c>
      <c r="CN1184" t="s">
        <v>3</v>
      </c>
      <c r="CO1184" t="s">
        <v>493</v>
      </c>
      <c r="CP1184">
        <v>46084</v>
      </c>
      <c r="CQ1184">
        <v>1</v>
      </c>
      <c r="CR1184">
        <v>1</v>
      </c>
      <c r="CT1184">
        <v>1</v>
      </c>
      <c r="CV1184">
        <v>1.5972222222222223E-3</v>
      </c>
      <c r="CW1184">
        <v>1.5972222222222223E-3</v>
      </c>
      <c r="CX1184">
        <v>0.35878472222222224</v>
      </c>
      <c r="CY1184">
        <v>6.8726851851851858E-2</v>
      </c>
      <c r="CZ1184">
        <v>238</v>
      </c>
      <c r="DA1184">
        <v>300</v>
      </c>
      <c r="DB1184">
        <v>62</v>
      </c>
      <c r="DC1184" t="s">
        <v>977</v>
      </c>
      <c r="DD1184">
        <v>18036</v>
      </c>
      <c r="DE1184">
        <v>0.26050000000000001</v>
      </c>
      <c r="DM1184">
        <v>28</v>
      </c>
    </row>
    <row r="1185" spans="91:117" x14ac:dyDescent="0.25">
      <c r="CM1185" t="s">
        <v>636</v>
      </c>
      <c r="CN1185" t="s">
        <v>3</v>
      </c>
      <c r="CO1185" t="s">
        <v>493</v>
      </c>
      <c r="CP1185">
        <v>46090</v>
      </c>
      <c r="CQ1185">
        <v>1</v>
      </c>
      <c r="CR1185">
        <v>1</v>
      </c>
      <c r="CT1185">
        <v>1</v>
      </c>
      <c r="CV1185">
        <v>0</v>
      </c>
      <c r="CW1185">
        <v>0</v>
      </c>
      <c r="CX1185">
        <v>0.26020833333333332</v>
      </c>
      <c r="CY1185">
        <v>6.177083333333333E-2</v>
      </c>
      <c r="CZ1185">
        <v>218</v>
      </c>
      <c r="DA1185">
        <v>310</v>
      </c>
      <c r="DB1185">
        <v>27</v>
      </c>
      <c r="DC1185" t="s">
        <v>991</v>
      </c>
      <c r="DD1185">
        <v>11116</v>
      </c>
      <c r="DE1185">
        <v>0.1239</v>
      </c>
      <c r="DM1185">
        <v>28</v>
      </c>
    </row>
    <row r="1186" spans="91:117" x14ac:dyDescent="0.25">
      <c r="CM1186" t="s">
        <v>636</v>
      </c>
      <c r="CN1186" t="s">
        <v>3</v>
      </c>
      <c r="CO1186" t="s">
        <v>96</v>
      </c>
      <c r="CP1186">
        <v>46107</v>
      </c>
      <c r="CQ1186">
        <v>1</v>
      </c>
      <c r="CR1186">
        <v>1</v>
      </c>
      <c r="CT1186">
        <v>1</v>
      </c>
      <c r="CV1186">
        <v>1.7592592592592592E-3</v>
      </c>
      <c r="CW1186">
        <v>1.7592592592592592E-3</v>
      </c>
      <c r="CX1186">
        <v>0.21741898148148148</v>
      </c>
      <c r="CY1186">
        <v>0.12752314814814814</v>
      </c>
      <c r="CZ1186">
        <v>85</v>
      </c>
      <c r="DA1186">
        <v>164</v>
      </c>
      <c r="DB1186">
        <v>19</v>
      </c>
      <c r="DC1186" t="s">
        <v>691</v>
      </c>
      <c r="DD1186">
        <v>26230</v>
      </c>
      <c r="DE1186">
        <v>0.2235</v>
      </c>
      <c r="DM1186">
        <v>28</v>
      </c>
    </row>
    <row r="1187" spans="91:117" x14ac:dyDescent="0.25">
      <c r="CM1187" t="s">
        <v>636</v>
      </c>
      <c r="CN1187" t="s">
        <v>3</v>
      </c>
      <c r="CO1187" t="s">
        <v>68</v>
      </c>
      <c r="CP1187">
        <v>46090</v>
      </c>
      <c r="CQ1187">
        <v>1</v>
      </c>
      <c r="CR1187">
        <v>1</v>
      </c>
      <c r="CT1187">
        <v>1</v>
      </c>
      <c r="CV1187">
        <v>1.273148148148148E-4</v>
      </c>
      <c r="CW1187">
        <v>1.273148148148148E-4</v>
      </c>
      <c r="CX1187">
        <v>0.22894675925925925</v>
      </c>
      <c r="CY1187">
        <v>6.789351851851852E-2</v>
      </c>
      <c r="CZ1187">
        <v>93</v>
      </c>
      <c r="DA1187">
        <v>164</v>
      </c>
      <c r="DB1187">
        <v>8</v>
      </c>
      <c r="DC1187">
        <v>1.25</v>
      </c>
      <c r="DD1187">
        <v>77669</v>
      </c>
      <c r="DE1187">
        <v>8.5999999999999993E-2</v>
      </c>
      <c r="DM1187">
        <v>28</v>
      </c>
    </row>
    <row r="1188" spans="91:117" x14ac:dyDescent="0.25">
      <c r="CM1188" t="s">
        <v>636</v>
      </c>
      <c r="CN1188" t="s">
        <v>3</v>
      </c>
      <c r="CO1188" t="s">
        <v>31</v>
      </c>
      <c r="CP1188">
        <v>46083</v>
      </c>
      <c r="CQ1188">
        <v>1</v>
      </c>
      <c r="CR1188">
        <v>1</v>
      </c>
      <c r="CU1188">
        <v>1</v>
      </c>
      <c r="CV1188">
        <v>0</v>
      </c>
      <c r="CW1188">
        <v>0</v>
      </c>
      <c r="CX1188">
        <v>0</v>
      </c>
      <c r="CY1188">
        <v>0</v>
      </c>
      <c r="DM1188">
        <v>26</v>
      </c>
    </row>
    <row r="1189" spans="91:117" x14ac:dyDescent="0.25">
      <c r="CM1189" t="s">
        <v>636</v>
      </c>
      <c r="CN1189" t="s">
        <v>3</v>
      </c>
      <c r="CO1189" t="s">
        <v>78</v>
      </c>
      <c r="CP1189">
        <v>46083</v>
      </c>
      <c r="CQ1189">
        <v>1</v>
      </c>
      <c r="CR1189">
        <v>1</v>
      </c>
      <c r="CV1189">
        <v>0</v>
      </c>
      <c r="CW1189">
        <v>0</v>
      </c>
      <c r="CX1189">
        <v>0.20651620370370372</v>
      </c>
      <c r="CY1189">
        <v>0.14796296296296296</v>
      </c>
      <c r="CZ1189">
        <v>33</v>
      </c>
      <c r="DA1189">
        <v>59</v>
      </c>
      <c r="DB1189">
        <v>14</v>
      </c>
      <c r="DC1189" t="s">
        <v>762</v>
      </c>
      <c r="DD1189">
        <v>26032</v>
      </c>
      <c r="DE1189">
        <v>0.42420000000000002</v>
      </c>
      <c r="DM1189">
        <v>26</v>
      </c>
    </row>
    <row r="1190" spans="91:117" x14ac:dyDescent="0.25">
      <c r="CM1190" t="s">
        <v>636</v>
      </c>
      <c r="CN1190" t="s">
        <v>3</v>
      </c>
      <c r="CO1190" t="s">
        <v>76</v>
      </c>
      <c r="CP1190">
        <v>46083</v>
      </c>
      <c r="CQ1190">
        <v>1</v>
      </c>
      <c r="CR1190">
        <v>1</v>
      </c>
      <c r="CS1190">
        <v>1</v>
      </c>
      <c r="CV1190">
        <v>8.0439814814814811E-2</v>
      </c>
      <c r="CW1190">
        <v>8.0439814814814811E-2</v>
      </c>
      <c r="CX1190">
        <v>0.199375</v>
      </c>
      <c r="CY1190">
        <v>7.615740740740741E-2</v>
      </c>
      <c r="CZ1190">
        <v>47</v>
      </c>
      <c r="DA1190">
        <v>71</v>
      </c>
      <c r="DB1190">
        <v>16</v>
      </c>
      <c r="DC1190">
        <v>1.9375</v>
      </c>
      <c r="DD1190">
        <v>16052</v>
      </c>
      <c r="DE1190">
        <v>0.34039999999999998</v>
      </c>
      <c r="DM1190">
        <v>26</v>
      </c>
    </row>
    <row r="1191" spans="91:117" x14ac:dyDescent="0.25">
      <c r="CM1191" t="s">
        <v>636</v>
      </c>
      <c r="CN1191" t="s">
        <v>125</v>
      </c>
      <c r="CO1191" t="s">
        <v>10</v>
      </c>
      <c r="CP1191">
        <v>46083</v>
      </c>
      <c r="CQ1191">
        <v>1</v>
      </c>
      <c r="CR1191">
        <v>1</v>
      </c>
      <c r="CV1191">
        <v>0</v>
      </c>
      <c r="CW1191">
        <v>0</v>
      </c>
      <c r="CX1191">
        <v>0</v>
      </c>
      <c r="CY1191">
        <v>0</v>
      </c>
      <c r="DM1191">
        <v>24</v>
      </c>
    </row>
    <row r="1192" spans="91:117" x14ac:dyDescent="0.25">
      <c r="CM1192" t="s">
        <v>636</v>
      </c>
      <c r="CN1192" t="s">
        <v>6</v>
      </c>
      <c r="CO1192" t="s">
        <v>26</v>
      </c>
      <c r="CP1192">
        <v>46083</v>
      </c>
      <c r="CQ1192">
        <v>1</v>
      </c>
      <c r="CR1192">
        <v>1</v>
      </c>
      <c r="CV1192">
        <v>0</v>
      </c>
      <c r="CW1192">
        <v>0</v>
      </c>
      <c r="CX1192">
        <v>0</v>
      </c>
      <c r="CY1192">
        <v>0</v>
      </c>
      <c r="DM1192">
        <v>24</v>
      </c>
    </row>
    <row r="1193" spans="91:117" x14ac:dyDescent="0.25">
      <c r="CM1193" t="s">
        <v>636</v>
      </c>
      <c r="CN1193" t="s">
        <v>6</v>
      </c>
      <c r="CO1193" t="s">
        <v>26</v>
      </c>
      <c r="CP1193">
        <v>46085</v>
      </c>
      <c r="CQ1193">
        <v>1</v>
      </c>
      <c r="CR1193">
        <v>1</v>
      </c>
      <c r="CV1193">
        <v>0</v>
      </c>
      <c r="CW1193">
        <v>0</v>
      </c>
      <c r="CX1193">
        <v>0</v>
      </c>
      <c r="CY1193">
        <v>0</v>
      </c>
      <c r="DM1193">
        <v>24</v>
      </c>
    </row>
    <row r="1194" spans="91:117" x14ac:dyDescent="0.25">
      <c r="CM1194" t="s">
        <v>636</v>
      </c>
      <c r="CN1194" t="s">
        <v>6</v>
      </c>
      <c r="CO1194" t="s">
        <v>26</v>
      </c>
      <c r="CP1194">
        <v>46098</v>
      </c>
      <c r="CQ1194">
        <v>1</v>
      </c>
      <c r="CR1194">
        <v>1</v>
      </c>
      <c r="CV1194">
        <v>0</v>
      </c>
      <c r="CW1194">
        <v>0</v>
      </c>
      <c r="CX1194">
        <v>0</v>
      </c>
      <c r="CY1194">
        <v>0</v>
      </c>
      <c r="DM1194">
        <v>24</v>
      </c>
    </row>
    <row r="1195" spans="91:117" x14ac:dyDescent="0.25">
      <c r="CM1195" t="s">
        <v>636</v>
      </c>
      <c r="CN1195" t="s">
        <v>6</v>
      </c>
      <c r="CO1195" t="s">
        <v>26</v>
      </c>
      <c r="CP1195">
        <v>46111</v>
      </c>
      <c r="CQ1195">
        <v>1</v>
      </c>
      <c r="CR1195">
        <v>1</v>
      </c>
      <c r="CV1195">
        <v>0</v>
      </c>
      <c r="CW1195">
        <v>0</v>
      </c>
      <c r="CX1195">
        <v>0</v>
      </c>
      <c r="CY1195">
        <v>0</v>
      </c>
      <c r="DM1195">
        <v>24</v>
      </c>
    </row>
    <row r="1196" spans="91:117" x14ac:dyDescent="0.25">
      <c r="CM1196" t="s">
        <v>636</v>
      </c>
      <c r="CN1196" t="s">
        <v>6</v>
      </c>
      <c r="CO1196" t="s">
        <v>50</v>
      </c>
      <c r="CP1196">
        <v>46098</v>
      </c>
      <c r="CQ1196">
        <v>1</v>
      </c>
      <c r="CR1196">
        <v>1</v>
      </c>
      <c r="CU1196">
        <v>1</v>
      </c>
      <c r="CV1196">
        <v>0</v>
      </c>
      <c r="CW1196">
        <v>0</v>
      </c>
      <c r="CX1196">
        <v>0</v>
      </c>
      <c r="CY1196">
        <v>0</v>
      </c>
      <c r="DM1196">
        <v>24</v>
      </c>
    </row>
    <row r="1197" spans="91:117" x14ac:dyDescent="0.25">
      <c r="CM1197" t="s">
        <v>636</v>
      </c>
      <c r="CN1197" t="s">
        <v>3</v>
      </c>
      <c r="CO1197" t="s">
        <v>96</v>
      </c>
      <c r="CP1197">
        <v>46106</v>
      </c>
      <c r="CQ1197">
        <v>1</v>
      </c>
      <c r="CR1197">
        <v>1</v>
      </c>
      <c r="CU1197">
        <v>1</v>
      </c>
      <c r="CV1197">
        <v>0</v>
      </c>
      <c r="CW1197">
        <v>0</v>
      </c>
      <c r="CX1197">
        <v>0</v>
      </c>
      <c r="CY1197">
        <v>0</v>
      </c>
      <c r="DM1197">
        <v>20</v>
      </c>
    </row>
  </sheetData>
  <phoneticPr fontId="2" type="noConversion"/>
  <conditionalFormatting sqref="E3:E59">
    <cfRule type="containsText" dxfId="10" priority="3" operator="containsText" text="kenneth">
      <formula>NOT(ISERROR(SEARCH("kenneth",E3)))</formula>
    </cfRule>
  </conditionalFormatting>
  <conditionalFormatting sqref="R9:R61">
    <cfRule type="duplicateValues" dxfId="9" priority="93"/>
  </conditionalFormatting>
  <pageMargins left="0.7" right="0.7" top="0.75" bottom="0.75" header="0.3" footer="0.3"/>
  <tableParts count="5">
    <tablePart r:id="rId1"/>
    <tablePart r:id="rId2"/>
    <tablePart r:id="rId3"/>
    <tablePart r:id="rId4"/>
    <tablePart r:id="rId5"/>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F6282-EA0C-4991-A105-2BD54A0138E8}">
  <dimension ref="A1:DI63"/>
  <sheetViews>
    <sheetView topLeftCell="CS2" zoomScale="80" zoomScaleNormal="80" workbookViewId="0">
      <selection activeCell="CW20" sqref="CW12:DG20"/>
    </sheetView>
  </sheetViews>
  <sheetFormatPr baseColWidth="10" defaultRowHeight="15" x14ac:dyDescent="0.25"/>
  <cols>
    <col min="2" max="2" width="23.5703125" bestFit="1" customWidth="1"/>
    <col min="7" max="7" width="14.140625" bestFit="1" customWidth="1"/>
    <col min="79" max="79" width="16.28515625" bestFit="1" customWidth="1"/>
    <col min="80" max="83" width="9.5703125" bestFit="1" customWidth="1"/>
    <col min="85" max="85" width="12.28515625" customWidth="1"/>
    <col min="86" max="86" width="13.42578125" customWidth="1"/>
    <col min="87" max="87" width="11.85546875" customWidth="1"/>
    <col min="88" max="88" width="12.85546875" customWidth="1"/>
    <col min="89" max="89" width="24.28515625" customWidth="1"/>
    <col min="90" max="91" width="15.42578125" customWidth="1"/>
    <col min="92" max="92" width="19.42578125" customWidth="1"/>
    <col min="93" max="93" width="13.5703125" customWidth="1"/>
    <col min="94" max="94" width="32.140625" customWidth="1"/>
    <col min="95" max="95" width="22.140625" customWidth="1"/>
    <col min="96" max="96" width="20.7109375" customWidth="1"/>
    <col min="97" max="97" width="22.28515625" customWidth="1"/>
    <col min="98" max="98" width="26.5703125" customWidth="1"/>
    <col min="99" max="99" width="16.5703125" customWidth="1"/>
    <col min="100" max="100" width="16.42578125" customWidth="1"/>
    <col min="101" max="101" width="20.7109375" customWidth="1"/>
    <col min="102" max="102" width="16.85546875" customWidth="1"/>
    <col min="103" max="103" width="21.5703125" customWidth="1"/>
    <col min="105" max="105" width="13" customWidth="1"/>
    <col min="106" max="106" width="17" customWidth="1"/>
    <col min="107" max="107" width="17.140625" customWidth="1"/>
    <col min="108" max="108" width="15.85546875" customWidth="1"/>
    <col min="109" max="109" width="18.5703125" customWidth="1"/>
    <col min="110" max="110" width="19.140625" customWidth="1"/>
    <col min="111" max="111" width="12.5703125" customWidth="1"/>
    <col min="112" max="112" width="17.7109375" customWidth="1"/>
  </cols>
  <sheetData>
    <row r="1" spans="1:113" x14ac:dyDescent="0.25">
      <c r="A1" s="34"/>
      <c r="B1" s="34"/>
      <c r="C1" s="35"/>
      <c r="D1" s="35"/>
      <c r="E1" s="35"/>
      <c r="J1" s="55"/>
      <c r="K1" s="55"/>
      <c r="L1" s="55"/>
      <c r="N1" s="5"/>
    </row>
    <row r="2" spans="1:11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113" ht="26.25" x14ac:dyDescent="0.4">
      <c r="A3" s="61" t="str" cm="1">
        <f t="array" ref="A3">IFERROR(VLOOKUP(D1_ABRIL_2026[[#This Row],[ASESOR_CRR]],_xlfn._xlws.FILTER(PLANTILLA[[ASESOR]:[FECHA DE CESE]],PLANTILLA[FECHA]=_xlfn.CONCAT($M$3,"_",_xlfn.IFS($N$3="ENERO","1",$N$3="FEBRERO","2",$N$3="MARZO","3",$N$3="ABRIL","4",$N$3="MAYO","5",$N$3="JUNIO","6",$N$3="JULIO","7",$N$3="AGOSTO","8",$N$3="SETIEMBRE","9",$N$3="OCTUBRE","10",$N$3="NOVIEMBRE","11",$N$3="DICIEMBRE","12"))),3,0),"")</f>
        <v>LICENCIA</v>
      </c>
      <c r="B3" s="61" t="str" cm="1">
        <f t="array" ref="B3">TRIM(IFERROR(_xlfn.IFS(D1_ABRIL_2026[[#This Row],[ASESOR]]="ELVIS GUERRA","ELVIS GUERRERA",D1_ABRIL_2026[[#This Row],[ASESOR]]="GENESIS VICUÑA","GENESIS VICUNA",D1_ABRIL_2026[[#This Row],[ASESOR]]="JENY QUIÑONES","JENY QUINONES",D1_ABRIL_2026[[#This Row],[ASESOR]]="NICOLE CAURURO","NICOLE CAURURO"),D1_ABRIL_2026[[#This Row],[ASESOR]]))</f>
        <v>MARGARITA PIANCHACHI</v>
      </c>
      <c r="C3" s="61" t="e" cm="1">
        <f t="array" ref="C3">_xlfn.XLOOKUP(1,(TablaMeta[CONCAT]=$M$3&amp;$N$3&amp;D1_ABRIL_2026[[#This Row],[SUPER]])*(TablaMeta[SEGG]=D1_ABRIL_2026[[#This Row],[SEGMENTO]]),TablaMeta[Meta_Asesor])</f>
        <v>#N/A</v>
      </c>
      <c r="D3" s="62"/>
      <c r="E3" s="62" t="str">
        <f>D1_ABRIL_2026[[#This Row],[SUPER]]</f>
        <v>LICENCIA</v>
      </c>
      <c r="F3" s="61" t="s">
        <v>17</v>
      </c>
      <c r="G3" s="61"/>
      <c r="H3" s="61" cm="1">
        <f t="array" ref="H3">IFERROR(VLOOKUP(D1_ABRIL_2026[[#This Row],[ASESOR_CRR]],_xlfn._xlws.FILTER(PLANTILLA[[ASESOR]:[FECHA DE CESE]],PLANTILLA[FECHA]=_xlfn.CONCAT($M$3,"_",_xlfn.IFS($N$3="ENERO","1",$N$3="FEBRERO","2",$N$3="MARZO","3",$N$3="ABRIL","4",$N$3="MAYO","5",$N$3="JUNIO","6",$N$3="JULIO","7",$N$3="AGOSTO","8",$N$3="SETIEMBRE","9",$N$3="OCTUBRE","10",$N$3="NOVIEMBRE","11",$N$3="DICIEMBRE","12"))),2,0),"")</f>
        <v>70876605</v>
      </c>
      <c r="I3" s="63" cm="1">
        <f t="array" ref="I3">IFERROR(VLOOKUP(D1_ABRIL_2026[[#This Row],[ASESOR_CRR]],_xlfn._xlws.FILTER(PLANTILLA[[ASESOR]:[FECHA DE CESE]],PLANTILLA[FECHA]=_xlfn.CONCAT($M$3,"_",_xlfn.IFS($N$3="ENERO","1",$N$3="FEBRERO","2",$N$3="MARZO","3",$N$3="ABRIL","4",$N$3="MAYO","5",$N$3="JUNIO","6",$N$3="JULIO","7",$N$3="AGOSTO","8",$N$3="SETIEMBRE","9",$N$3="OCTUBRE","10",$N$3="NOVIEMBRE","11",$N$3="DICIEMBRE","12"))),6,0),"")</f>
        <v>44886</v>
      </c>
      <c r="J3" s="63" t="str" cm="1">
        <f t="array" ref="J3">IFERROR(VLOOKUP(D1_ABRIL_2026[[#This Row],[ASESOR_CRR]],_xlfn._xlws.FILTER(PLANTILLA[[ASESOR]:[FECHA DE CESE]],PLANTILLA[FECHA]=_xlfn.CONCAT($M$3,"_",_xlfn.IFS($N$3="ENERO","1",$N$3="FEBRERO","2",$N$3="MARZO","3",$N$3="ABRIL","4",$N$3="MAYO","5",$N$3="JUNIO","6",$N$3="JULIO","7",$N$3="AGOSTO","8",$N$3="SETIEMBRE","9",$N$3="OCTUBRE","10",$N$3="NOVIEMBRE","11",$N$3="DICIEMBRE","12"))),4,0),"")</f>
        <v>LICENCIA</v>
      </c>
      <c r="K3" s="63" t="str" cm="1">
        <f t="array" ref="K3">IFERROR(VLOOKUP(D1_ABRIL_2026[[#This Row],[ASESOR_CRR]],_xlfn._xlws.FILTER(PLANTILLA[[ASESOR]:[FECHA DE CESE]],PLANTILLA[FECHA]=_xlfn.CONCAT($M$3,"_",_xlfn.IFS($N$3="ENERO","1",$N$3="FEBRERO","2",$N$3="MARZO","3",$N$3="ABRIL","4",$N$3="MAYO","5",$N$3="JUNIO","6",$N$3="JULIO","7",$N$3="AGOSTO","8",$N$3="SETIEMBRE","9",$N$3="OCTUBRE","10",$N$3="NOVIEMBRE","11",$N$3="DICIEMBRE","12"))),8,0),"")</f>
        <v>LICENCIA</v>
      </c>
      <c r="L3" s="55"/>
      <c r="M3" s="33">
        <v>2026</v>
      </c>
      <c r="N3" s="33" t="s">
        <v>142</v>
      </c>
      <c r="O3" s="33">
        <v>20</v>
      </c>
    </row>
    <row r="4" spans="1:113" x14ac:dyDescent="0.25">
      <c r="A4" s="61" t="str" cm="1">
        <f t="array" ref="A4">IFERROR(VLOOKUP(D1_ABRIL_2026[[#This Row],[ASESOR_CRR]],_xlfn._xlws.FILTER(PLANTILLA[[ASESOR]:[FECHA DE CESE]],PLANTILLA[FECHA]=_xlfn.CONCAT($M$3,"_",_xlfn.IFS($N$3="ENERO","1",$N$3="FEBRERO","2",$N$3="MARZO","3",$N$3="ABRIL","4",$N$3="MAYO","5",$N$3="JUNIO","6",$N$3="JULIO","7",$N$3="AGOSTO","8",$N$3="SETIEMBRE","9",$N$3="OCTUBRE","10",$N$3="NOVIEMBRE","11",$N$3="DICIEMBRE","12"))),3,0),"")</f>
        <v>VACACIONES</v>
      </c>
      <c r="B4" s="61" t="str" cm="1">
        <f t="array" ref="B4">TRIM(IFERROR(_xlfn.IFS(D1_ABRIL_2026[[#This Row],[ASESOR]]="ELVIS GUERRA","ELVIS GUERRERA",D1_ABRIL_2026[[#This Row],[ASESOR]]="GENESIS VICUÑA","GENESIS VICUNA",D1_ABRIL_2026[[#This Row],[ASESOR]]="JENY QUIÑONES","JENY QUINONES",D1_ABRIL_2026[[#This Row],[ASESOR]]="NICOLE CAURURO","NICOLE CAURURO"),D1_ABRIL_2026[[#This Row],[ASESOR]]))</f>
        <v>URSULA CENTENO</v>
      </c>
      <c r="C4" s="61" t="e" cm="1">
        <f t="array" ref="C4">_xlfn.XLOOKUP(1,(TablaMeta[CONCAT]=$M$3&amp;$N$3&amp;D1_ABRIL_2026[[#This Row],[SUPER]])*(TablaMeta[SEGG]=D1_ABRIL_2026[[#This Row],[SEGMENTO]]),TablaMeta[Meta_Asesor])</f>
        <v>#N/A</v>
      </c>
      <c r="D4" s="62"/>
      <c r="E4" s="62" t="str">
        <f>D1_ABRIL_2026[[#This Row],[SUPER]]</f>
        <v>VACACIONES</v>
      </c>
      <c r="F4" s="61" t="s">
        <v>78</v>
      </c>
      <c r="G4" s="61"/>
      <c r="H4" s="61" cm="1">
        <f t="array" ref="H4">IFERROR(VLOOKUP(D1_ABRIL_2026[[#This Row],[ASESOR_CRR]],_xlfn._xlws.FILTER(PLANTILLA[[ASESOR]:[FECHA DE CESE]],PLANTILLA[FECHA]=_xlfn.CONCAT($M$3,"_",_xlfn.IFS($N$3="ENERO","1",$N$3="FEBRERO","2",$N$3="MARZO","3",$N$3="ABRIL","4",$N$3="MAYO","5",$N$3="JUNIO","6",$N$3="JULIO","7",$N$3="AGOSTO","8",$N$3="SETIEMBRE","9",$N$3="OCTUBRE","10",$N$3="NOVIEMBRE","11",$N$3="DICIEMBRE","12"))),2,0),"")</f>
        <v>10706451</v>
      </c>
      <c r="I4" s="63" cm="1">
        <f t="array" ref="I4">IFERROR(VLOOKUP(D1_ABRIL_2026[[#This Row],[ASESOR_CRR]],_xlfn._xlws.FILTER(PLANTILLA[[ASESOR]:[FECHA DE CESE]],PLANTILLA[FECHA]=_xlfn.CONCAT($M$3,"_",_xlfn.IFS($N$3="ENERO","1",$N$3="FEBRERO","2",$N$3="MARZO","3",$N$3="ABRIL","4",$N$3="MAYO","5",$N$3="JUNIO","6",$N$3="JULIO","7",$N$3="AGOSTO","8",$N$3="SETIEMBRE","9",$N$3="OCTUBRE","10",$N$3="NOVIEMBRE","11",$N$3="DICIEMBRE","12"))),6,0),"")</f>
        <v>44943</v>
      </c>
      <c r="J4" s="63" t="str" cm="1">
        <f t="array" ref="J4">IFERROR(VLOOKUP(D1_ABRIL_2026[[#This Row],[ASESOR_CRR]],_xlfn._xlws.FILTER(PLANTILLA[[ASESOR]:[FECHA DE CESE]],PLANTILLA[FECHA]=_xlfn.CONCAT($M$3,"_",_xlfn.IFS($N$3="ENERO","1",$N$3="FEBRERO","2",$N$3="MARZO","3",$N$3="ABRIL","4",$N$3="MAYO","5",$N$3="JUNIO","6",$N$3="JULIO","7",$N$3="AGOSTO","8",$N$3="SETIEMBRE","9",$N$3="OCTUBRE","10",$N$3="NOVIEMBRE","11",$N$3="DICIEMBRE","12"))),4,0),"")</f>
        <v>VACACIONES</v>
      </c>
      <c r="K4" s="63" t="str" cm="1">
        <f t="array" ref="K4">IFERROR(VLOOKUP(D1_ABRIL_2026[[#This Row],[ASESOR_CRR]],_xlfn._xlws.FILTER(PLANTILLA[[ASESOR]:[FECHA DE CESE]],PLANTILLA[FECHA]=_xlfn.CONCAT($M$3,"_",_xlfn.IFS($N$3="ENERO","1",$N$3="FEBRERO","2",$N$3="MARZO","3",$N$3="ABRIL","4",$N$3="MAYO","5",$N$3="JUNIO","6",$N$3="JULIO","7",$N$3="AGOSTO","8",$N$3="SETIEMBRE","9",$N$3="OCTUBRE","10",$N$3="NOVIEMBRE","11",$N$3="DICIEMBRE","12"))),8,0),"")</f>
        <v>VACACIONES</v>
      </c>
      <c r="L4" s="55"/>
      <c r="N4" s="5"/>
      <c r="S4" s="45"/>
    </row>
    <row r="5" spans="1:113" x14ac:dyDescent="0.25">
      <c r="A5" s="61" t="str" cm="1">
        <f t="array" ref="A5">IFERROR(VLOOKUP(D1_ABRIL_2026[[#This Row],[ASESOR_CRR]],_xlfn._xlws.FILTER(PLANTILLA[[ASESOR]:[FECHA DE CESE]],PLANTILLA[FECHA]=_xlfn.CONCAT($M$3,"_",_xlfn.IFS($N$3="ENERO","1",$N$3="FEBRERO","2",$N$3="MARZO","3",$N$3="ABRIL","4",$N$3="MAYO","5",$N$3="JUNIO","6",$N$3="JULIO","7",$N$3="AGOSTO","8",$N$3="SETIEMBRE","9",$N$3="OCTUBRE","10",$N$3="NOVIEMBRE","11",$N$3="DICIEMBRE","12"))),3,0),"")</f>
        <v>VACACIONES</v>
      </c>
      <c r="B5" s="61" t="str" cm="1">
        <f t="array" ref="B5">TRIM(IFERROR(_xlfn.IFS(D1_ABRIL_2026[[#This Row],[ASESOR]]="ELVIS GUERRA","ELVIS GUERRERA",D1_ABRIL_2026[[#This Row],[ASESOR]]="GENESIS VICUÑA","GENESIS VICUNA",D1_ABRIL_2026[[#This Row],[ASESOR]]="JENY QUIÑONES","JENY QUINONES",D1_ABRIL_2026[[#This Row],[ASESOR]]="NICOLE CAURURO","NICOLE CAURURO"),D1_ABRIL_2026[[#This Row],[ASESOR]]))</f>
        <v>CARMEN PUMA</v>
      </c>
      <c r="C5" s="61" t="e" cm="1">
        <f t="array" ref="C5">_xlfn.XLOOKUP(1,(TablaMeta[CONCAT]=$M$3&amp;$N$3&amp;D1_ABRIL_2026[[#This Row],[SUPER]])*(TablaMeta[SEGG]=D1_ABRIL_2026[[#This Row],[SEGMENTO]]),TablaMeta[Meta_Asesor])</f>
        <v>#N/A</v>
      </c>
      <c r="D5" s="62"/>
      <c r="E5" s="62" t="str">
        <f>D1_ABRIL_2026[[#This Row],[SUPER]]</f>
        <v>VACACIONES</v>
      </c>
      <c r="F5" s="61" t="s">
        <v>19</v>
      </c>
      <c r="G5" s="61"/>
      <c r="H5" s="61" cm="1">
        <f t="array" ref="H5">IFERROR(VLOOKUP(D1_ABRIL_2026[[#This Row],[ASESOR_CRR]],_xlfn._xlws.FILTER(PLANTILLA[[ASESOR]:[FECHA DE CESE]],PLANTILLA[FECHA]=_xlfn.CONCAT($M$3,"_",_xlfn.IFS($N$3="ENERO","1",$N$3="FEBRERO","2",$N$3="MARZO","3",$N$3="ABRIL","4",$N$3="MAYO","5",$N$3="JUNIO","6",$N$3="JULIO","7",$N$3="AGOSTO","8",$N$3="SETIEMBRE","9",$N$3="OCTUBRE","10",$N$3="NOVIEMBRE","11",$N$3="DICIEMBRE","12"))),2,0),"")</f>
        <v>76656128</v>
      </c>
      <c r="I5" s="63" cm="1">
        <f t="array" ref="I5">IFERROR(VLOOKUP(D1_ABRIL_2026[[#This Row],[ASESOR_CRR]],_xlfn._xlws.FILTER(PLANTILLA[[ASESOR]:[FECHA DE CESE]],PLANTILLA[FECHA]=_xlfn.CONCAT($M$3,"_",_xlfn.IFS($N$3="ENERO","1",$N$3="FEBRERO","2",$N$3="MARZO","3",$N$3="ABRIL","4",$N$3="MAYO","5",$N$3="JUNIO","6",$N$3="JULIO","7",$N$3="AGOSTO","8",$N$3="SETIEMBRE","9",$N$3="OCTUBRE","10",$N$3="NOVIEMBRE","11",$N$3="DICIEMBRE","12"))),6,0),"")</f>
        <v>44671</v>
      </c>
      <c r="J5" s="63" t="str" cm="1">
        <f t="array" ref="J5">IFERROR(VLOOKUP(D1_ABRIL_2026[[#This Row],[ASESOR_CRR]],_xlfn._xlws.FILTER(PLANTILLA[[ASESOR]:[FECHA DE CESE]],PLANTILLA[FECHA]=_xlfn.CONCAT($M$3,"_",_xlfn.IFS($N$3="ENERO","1",$N$3="FEBRERO","2",$N$3="MARZO","3",$N$3="ABRIL","4",$N$3="MAYO","5",$N$3="JUNIO","6",$N$3="JULIO","7",$N$3="AGOSTO","8",$N$3="SETIEMBRE","9",$N$3="OCTUBRE","10",$N$3="NOVIEMBRE","11",$N$3="DICIEMBRE","12"))),4,0),"")</f>
        <v>VACACIONES</v>
      </c>
      <c r="K5" s="63" t="str" cm="1">
        <f t="array" ref="K5">IFERROR(VLOOKUP(D1_ABRIL_2026[[#This Row],[ASESOR_CRR]],_xlfn._xlws.FILTER(PLANTILLA[[ASESOR]:[FECHA DE CESE]],PLANTILLA[FECHA]=_xlfn.CONCAT($M$3,"_",_xlfn.IFS($N$3="ENERO","1",$N$3="FEBRERO","2",$N$3="MARZO","3",$N$3="ABRIL","4",$N$3="MAYO","5",$N$3="JUNIO","6",$N$3="JULIO","7",$N$3="AGOSTO","8",$N$3="SETIEMBRE","9",$N$3="OCTUBRE","10",$N$3="NOVIEMBRE","11",$N$3="DICIEMBRE","12"))),8,0),"")</f>
        <v>VACACIONES</v>
      </c>
      <c r="L5" s="55"/>
      <c r="N5" s="5"/>
      <c r="S5" s="45"/>
      <c r="BS5" s="45"/>
    </row>
    <row r="6" spans="1:113" x14ac:dyDescent="0.25">
      <c r="A6" s="65" t="str" cm="1">
        <f t="array" ref="A6">IFERROR(VLOOKUP(D1_ABRIL_2026[[#This Row],[ASESOR_CRR]],_xlfn._xlws.FILTER(PLANTILLA[[ASESOR]:[FECHA DE CESE]],PLANTILLA[FECHA]=_xlfn.CONCAT($M$3,"_",_xlfn.IFS($N$3="ENERO","1",$N$3="FEBRERO","2",$N$3="MARZO","3",$N$3="ABRIL","4",$N$3="MAYO","5",$N$3="JUNIO","6",$N$3="JULIO","7",$N$3="AGOSTO","8",$N$3="SETIEMBRE","9",$N$3="OCTUBRE","10",$N$3="NOVIEMBRE","11",$N$3="DICIEMBRE","12"))),3,0),"")</f>
        <v>VACACIONES</v>
      </c>
      <c r="B6" s="65" t="str" cm="1">
        <f t="array" ref="B6">TRIM(IFERROR(_xlfn.IFS(D1_ABRIL_2026[[#This Row],[ASESOR]]="ELVIS GUERRA","ELVIS GUERRERA",D1_ABRIL_2026[[#This Row],[ASESOR]]="GENESIS VICUÑA","GENESIS VICUNA",D1_ABRIL_2026[[#This Row],[ASESOR]]="JENY QUIÑONES","JENY QUINONES",D1_ABRIL_2026[[#This Row],[ASESOR]]="NICOLE CAURURO","NICOLE CAURURO"),D1_ABRIL_2026[[#This Row],[ASESOR]]))</f>
        <v>GERALDINE ARROYO</v>
      </c>
      <c r="C6" s="61" t="e" cm="1">
        <f t="array" ref="C6">_xlfn.XLOOKUP(1,(TablaMeta[CONCAT]=$M$3&amp;$N$3&amp;D1_ABRIL_2026[[#This Row],[SUPER]])*(TablaMeta[SEGG]=D1_ABRIL_2026[[#This Row],[SEGMENTO]]),TablaMeta[Meta_Asesor])</f>
        <v>#N/A</v>
      </c>
      <c r="D6" s="62"/>
      <c r="E6" s="66" t="str">
        <f>D1_ABRIL_2026[[#This Row],[SUPER]]</f>
        <v>VACACIONES</v>
      </c>
      <c r="F6" s="65" t="s">
        <v>51</v>
      </c>
      <c r="G6" s="72"/>
      <c r="H6" s="65" cm="1">
        <f t="array" ref="H6">IFERROR(VLOOKUP(D1_ABRIL_2026[[#This Row],[ASESOR_CRR]],_xlfn._xlws.FILTER(PLANTILLA[[ASESOR]:[FECHA DE CESE]],PLANTILLA[FECHA]=_xlfn.CONCAT($M$3,"_",_xlfn.IFS($N$3="ENERO","1",$N$3="FEBRERO","2",$N$3="MARZO","3",$N$3="ABRIL","4",$N$3="MAYO","5",$N$3="JUNIO","6",$N$3="JULIO","7",$N$3="AGOSTO","8",$N$3="SETIEMBRE","9",$N$3="OCTUBRE","10",$N$3="NOVIEMBRE","11",$N$3="DICIEMBRE","12"))),2,0),"")</f>
        <v>76089925</v>
      </c>
      <c r="I6" s="67" cm="1">
        <f t="array" ref="I6">IFERROR(VLOOKUP(D1_ABRIL_2026[[#This Row],[ASESOR_CRR]],_xlfn._xlws.FILTER(PLANTILLA[[ASESOR]:[FECHA DE CESE]],PLANTILLA[FECHA]=_xlfn.CONCAT($M$3,"_",_xlfn.IFS($N$3="ENERO","1",$N$3="FEBRERO","2",$N$3="MARZO","3",$N$3="ABRIL","4",$N$3="MAYO","5",$N$3="JUNIO","6",$N$3="JULIO","7",$N$3="AGOSTO","8",$N$3="SETIEMBRE","9",$N$3="OCTUBRE","10",$N$3="NOVIEMBRE","11",$N$3="DICIEMBRE","12"))),6,0),"")</f>
        <v>45678</v>
      </c>
      <c r="J6" s="67" t="str" cm="1">
        <f t="array" ref="J6">IFERROR(VLOOKUP(D1_ABRIL_2026[[#This Row],[ASESOR_CRR]],_xlfn._xlws.FILTER(PLANTILLA[[ASESOR]:[FECHA DE CESE]],PLANTILLA[FECHA]=_xlfn.CONCAT($M$3,"_",_xlfn.IFS($N$3="ENERO","1",$N$3="FEBRERO","2",$N$3="MARZO","3",$N$3="ABRIL","4",$N$3="MAYO","5",$N$3="JUNIO","6",$N$3="JULIO","7",$N$3="AGOSTO","8",$N$3="SETIEMBRE","9",$N$3="OCTUBRE","10",$N$3="NOVIEMBRE","11",$N$3="DICIEMBRE","12"))),4,0),"")</f>
        <v>VACACIONES</v>
      </c>
      <c r="K6" s="67" t="str" cm="1">
        <f t="array" ref="K6">IFERROR(VLOOKUP(D1_ABRIL_2026[[#This Row],[ASESOR_CRR]],_xlfn._xlws.FILTER(PLANTILLA[[ASESOR]:[FECHA DE CESE]],PLANTILLA[FECHA]=_xlfn.CONCAT($M$3,"_",_xlfn.IFS($N$3="ENERO","1",$N$3="FEBRERO","2",$N$3="MARZO","3",$N$3="ABRIL","4",$N$3="MAYO","5",$N$3="JUNIO","6",$N$3="JULIO","7",$N$3="AGOSTO","8",$N$3="SETIEMBRE","9",$N$3="OCTUBRE","10",$N$3="NOVIEMBRE","11",$N$3="DICIEMBRE","12"))),8,0),"")</f>
        <v>VACACIONES</v>
      </c>
      <c r="L6" s="55"/>
      <c r="N6" s="5"/>
      <c r="S6" s="45"/>
      <c r="T6" s="4"/>
      <c r="U6" s="4"/>
      <c r="V6" s="4"/>
      <c r="W6" s="4"/>
      <c r="X6" s="4"/>
      <c r="Y6" s="4"/>
      <c r="Z6" s="4"/>
      <c r="AA6" s="4"/>
      <c r="AB6" s="4"/>
      <c r="AC6" s="4"/>
      <c r="AD6" s="4"/>
      <c r="AE6" s="4"/>
      <c r="AF6" s="4"/>
      <c r="AG6" s="4"/>
      <c r="AH6" s="4"/>
      <c r="AI6" s="4"/>
      <c r="AJ6" s="4"/>
      <c r="AK6" s="4"/>
      <c r="AL6" s="4"/>
      <c r="AM6" s="4"/>
      <c r="AN6" s="4"/>
      <c r="AO6" s="4"/>
      <c r="AP6" s="4"/>
      <c r="AQ6" s="4"/>
      <c r="AR6" s="4"/>
    </row>
    <row r="7" spans="1:113" x14ac:dyDescent="0.25">
      <c r="A7" s="34" t="str" cm="1">
        <f t="array" ref="A7">IFERROR(VLOOKUP(D1_ABRIL_2026[[#This Row],[ASESOR_CRR]],_xlfn._xlws.FILTER(PLANTILLA[[ASESOR]:[FECHA DE CESE]],PLANTILLA[FECHA]=_xlfn.CONCAT($M$3,"_",_xlfn.IFS($N$3="ENERO","1",$N$3="FEBRERO","2",$N$3="MARZO","3",$N$3="ABRIL","4",$N$3="MAYO","5",$N$3="JUNIO","6",$N$3="JULIO","7",$N$3="AGOSTO","8",$N$3="SETIEMBRE","9",$N$3="OCTUBRE","10",$N$3="NOVIEMBRE","11",$N$3="DICIEMBRE","12"))),3,0),"")</f>
        <v>JORGE</v>
      </c>
      <c r="B7" s="34" t="str" cm="1">
        <f t="array" ref="B7">TRIM(IFERROR(_xlfn.IFS(D1_ABRIL_2026[[#This Row],[ASESOR]]="ELVIS GUERRA","ELVIS GUERRERA",D1_ABRIL_2026[[#This Row],[ASESOR]]="GENESIS VICUÑA","GENESIS VICUNA",D1_ABRIL_2026[[#This Row],[ASESOR]]="JENY QUIÑONES","JENY QUINONES",D1_ABRIL_2026[[#This Row],[ASESOR]]="NICOLE CAURURO","NICOLE CAURURO"),D1_ABRIL_2026[[#This Row],[ASESOR]]))</f>
        <v>LISELY MERA</v>
      </c>
      <c r="C7" s="34" cm="1">
        <f t="array" ref="C7">_xlfn.XLOOKUP(1,(TablaMeta[CONCAT]=$M$3&amp;$N$3&amp;D1_ABRIL_2026[[#This Row],[SUPER]])*(TablaMeta[SEGG]=D1_ABRIL_2026[[#This Row],[SEGMENTO]]),TablaMeta[Meta_Asesor])</f>
        <v>48500</v>
      </c>
      <c r="D7" s="35">
        <f>IF(D1_ABRIL_2026[[#This Row],[RECUPERO]]="VACACIONES","VACACIONES",IFERROR(D1_ABRIL_2026[[#This Row],[RECUPERO]]/D1_ABRIL_2026[[#This Row],[META]],""))</f>
        <v>1.1446391752577321</v>
      </c>
      <c r="E7" s="35" t="str">
        <f>D1_ABRIL_2026[[#This Row],[SUPER]]</f>
        <v>JORGE</v>
      </c>
      <c r="F7" s="34" t="s">
        <v>23</v>
      </c>
      <c r="G7" s="36">
        <v>55515</v>
      </c>
      <c r="H7" s="34" cm="1">
        <f t="array" ref="H7">IFERROR(VLOOKUP(D1_ABRIL_2026[[#This Row],[ASESOR_CRR]],_xlfn._xlws.FILTER(PLANTILLA[[ASESOR]:[FECHA DE CESE]],PLANTILLA[FECHA]=_xlfn.CONCAT($M$3,"_",_xlfn.IFS($N$3="ENERO","1",$N$3="FEBRERO","2",$N$3="MARZO","3",$N$3="ABRIL","4",$N$3="MAYO","5",$N$3="JUNIO","6",$N$3="JULIO","7",$N$3="AGOSTO","8",$N$3="SETIEMBRE","9",$N$3="OCTUBRE","10",$N$3="NOVIEMBRE","11",$N$3="DICIEMBRE","12"))),2,0),"")</f>
        <v>72413556</v>
      </c>
      <c r="I7" s="60" cm="1">
        <f t="array" ref="I7">IFERROR(VLOOKUP(D1_ABRIL_2026[[#This Row],[ASESOR_CRR]],_xlfn._xlws.FILTER(PLANTILLA[[ASESOR]:[FECHA DE CESE]],PLANTILLA[FECHA]=_xlfn.CONCAT($M$3,"_",_xlfn.IFS($N$3="ENERO","1",$N$3="FEBRERO","2",$N$3="MARZO","3",$N$3="ABRIL","4",$N$3="MAYO","5",$N$3="JUNIO","6",$N$3="JULIO","7",$N$3="AGOSTO","8",$N$3="SETIEMBRE","9",$N$3="OCTUBRE","10",$N$3="NOVIEMBRE","11",$N$3="DICIEMBRE","12"))),6,0),"")</f>
        <v>44109</v>
      </c>
      <c r="J7" s="60" t="str" cm="1">
        <f t="array" ref="J7">IFERROR(VLOOKUP(D1_ABRIL_2026[[#This Row],[ASESOR_CRR]],_xlfn._xlws.FILTER(PLANTILLA[[ASESOR]:[FECHA DE CESE]],PLANTILLA[FECHA]=_xlfn.CONCAT($M$3,"_",_xlfn.IFS($N$3="ENERO","1",$N$3="FEBRERO","2",$N$3="MARZO","3",$N$3="ABRIL","4",$N$3="MAYO","5",$N$3="JUNIO","6",$N$3="JULIO","7",$N$3="AGOSTO","8",$N$3="SETIEMBRE","9",$N$3="OCTUBRE","10",$N$3="NOVIEMBRE","11",$N$3="DICIEMBRE","12"))),4,0),"")</f>
        <v>CALL</v>
      </c>
      <c r="K7" s="60" t="str" cm="1">
        <f t="array" ref="K7">IFERROR(VLOOKUP(D1_ABRIL_2026[[#This Row],[ASESOR_CRR]],_xlfn._xlws.FILTER(PLANTILLA[[ASESOR]:[FECHA DE CESE]],PLANTILLA[FECHA]=_xlfn.CONCAT($M$3,"_",_xlfn.IFS($N$3="ENERO","1",$N$3="FEBRERO","2",$N$3="MARZO","3",$N$3="ABRIL","4",$N$3="MAYO","5",$N$3="JUNIO","6",$N$3="JULIO","7",$N$3="AGOSTO","8",$N$3="SETIEMBRE","9",$N$3="OCTUBRE","10",$N$3="NOVIEMBRE","11",$N$3="DICIEMBRE","12"))),8,0),"")</f>
        <v>S1</v>
      </c>
      <c r="L7" s="55"/>
      <c r="M7" s="1"/>
      <c r="N7" s="5"/>
      <c r="CA7" t="s">
        <v>626</v>
      </c>
      <c r="CB7" t="s">
        <v>139</v>
      </c>
      <c r="CC7" t="s">
        <v>140</v>
      </c>
      <c r="CD7" t="s">
        <v>141</v>
      </c>
      <c r="CE7" t="s">
        <v>142</v>
      </c>
    </row>
    <row r="8" spans="1:113" ht="15.75" thickBot="1" x14ac:dyDescent="0.3">
      <c r="A8" s="34" t="str" cm="1">
        <f t="array" ref="A8">IFERROR(VLOOKUP(D1_ABRIL_2026[[#This Row],[ASESOR_CRR]],_xlfn._xlws.FILTER(PLANTILLA[[ASESOR]:[FECHA DE CESE]],PLANTILLA[FECHA]=_xlfn.CONCAT($M$3,"_",_xlfn.IFS($N$3="ENERO","1",$N$3="FEBRERO","2",$N$3="MARZO","3",$N$3="ABRIL","4",$N$3="MAYO","5",$N$3="JUNIO","6",$N$3="JULIO","7",$N$3="AGOSTO","8",$N$3="SETIEMBRE","9",$N$3="OCTUBRE","10",$N$3="NOVIEMBRE","11",$N$3="DICIEMBRE","12"))),3,0),"")</f>
        <v>JORGE</v>
      </c>
      <c r="B8" s="34" t="str" cm="1">
        <f t="array" ref="B8">TRIM(IFERROR(_xlfn.IFS(D1_ABRIL_2026[[#This Row],[ASESOR]]="ELVIS GUERRA","ELVIS GUERRERA",D1_ABRIL_2026[[#This Row],[ASESOR]]="GENESIS VICUÑA","GENESIS VICUNA",D1_ABRIL_2026[[#This Row],[ASESOR]]="JENY QUIÑONES","JENY QUINONES",D1_ABRIL_2026[[#This Row],[ASESOR]]="NICOLE CAURURO","NICOLE CAURURO"),D1_ABRIL_2026[[#This Row],[ASESOR]]))</f>
        <v>FRANCO HUAMANI</v>
      </c>
      <c r="C8" s="34" cm="1">
        <f t="array" ref="C8">_xlfn.XLOOKUP(1,(TablaMeta[CONCAT]=$M$3&amp;$N$3&amp;D1_ABRIL_2026[[#This Row],[SUPER]])*(TablaMeta[SEGG]=D1_ABRIL_2026[[#This Row],[SEGMENTO]]),TablaMeta[Meta_Asesor])</f>
        <v>48500</v>
      </c>
      <c r="D8" s="35">
        <f>IF(D1_ABRIL_2026[[#This Row],[RECUPERO]]="VACACIONES","VACACIONES",IFERROR(D1_ABRIL_2026[[#This Row],[RECUPERO]]/D1_ABRIL_2026[[#This Row],[META]],""))</f>
        <v>1.088639175257732</v>
      </c>
      <c r="E8" s="35" t="str">
        <f>D1_ABRIL_2026[[#This Row],[SUPER]]</f>
        <v>JORGE</v>
      </c>
      <c r="F8" s="34" t="s">
        <v>24</v>
      </c>
      <c r="G8" s="36">
        <v>52799</v>
      </c>
      <c r="H8" s="34" cm="1">
        <f t="array" ref="H8">IFERROR(VLOOKUP(D1_ABRIL_2026[[#This Row],[ASESOR_CRR]],_xlfn._xlws.FILTER(PLANTILLA[[ASESOR]:[FECHA DE CESE]],PLANTILLA[FECHA]=_xlfn.CONCAT($M$3,"_",_xlfn.IFS($N$3="ENERO","1",$N$3="FEBRERO","2",$N$3="MARZO","3",$N$3="ABRIL","4",$N$3="MAYO","5",$N$3="JUNIO","6",$N$3="JULIO","7",$N$3="AGOSTO","8",$N$3="SETIEMBRE","9",$N$3="OCTUBRE","10",$N$3="NOVIEMBRE","11",$N$3="DICIEMBRE","12"))),2,0),"")</f>
        <v>43614775</v>
      </c>
      <c r="I8" s="60" cm="1">
        <f t="array" ref="I8">IFERROR(VLOOKUP(D1_ABRIL_2026[[#This Row],[ASESOR_CRR]],_xlfn._xlws.FILTER(PLANTILLA[[ASESOR]:[FECHA DE CESE]],PLANTILLA[FECHA]=_xlfn.CONCAT($M$3,"_",_xlfn.IFS($N$3="ENERO","1",$N$3="FEBRERO","2",$N$3="MARZO","3",$N$3="ABRIL","4",$N$3="MAYO","5",$N$3="JUNIO","6",$N$3="JULIO","7",$N$3="AGOSTO","8",$N$3="SETIEMBRE","9",$N$3="OCTUBRE","10",$N$3="NOVIEMBRE","11",$N$3="DICIEMBRE","12"))),6,0),"")</f>
        <v>45334</v>
      </c>
      <c r="J8" s="60" t="str" cm="1">
        <f t="array" ref="J8">IFERROR(VLOOKUP(D1_ABRIL_2026[[#This Row],[ASESOR_CRR]],_xlfn._xlws.FILTER(PLANTILLA[[ASESOR]:[FECHA DE CESE]],PLANTILLA[FECHA]=_xlfn.CONCAT($M$3,"_",_xlfn.IFS($N$3="ENERO","1",$N$3="FEBRERO","2",$N$3="MARZO","3",$N$3="ABRIL","4",$N$3="MAYO","5",$N$3="JUNIO","6",$N$3="JULIO","7",$N$3="AGOSTO","8",$N$3="SETIEMBRE","9",$N$3="OCTUBRE","10",$N$3="NOVIEMBRE","11",$N$3="DICIEMBRE","12"))),4,0),"")</f>
        <v>CALL</v>
      </c>
      <c r="K8" s="60" t="str" cm="1">
        <f t="array" ref="K8">IFERROR(VLOOKUP(D1_ABRIL_2026[[#This Row],[ASESOR_CRR]],_xlfn._xlws.FILTER(PLANTILLA[[ASESOR]:[FECHA DE CESE]],PLANTILLA[FECHA]=_xlfn.CONCAT($M$3,"_",_xlfn.IFS($N$3="ENERO","1",$N$3="FEBRERO","2",$N$3="MARZO","3",$N$3="ABRIL","4",$N$3="MAYO","5",$N$3="JUNIO","6",$N$3="JULIO","7",$N$3="AGOSTO","8",$N$3="SETIEMBRE","9",$N$3="OCTUBRE","10",$N$3="NOVIEMBRE","11",$N$3="DICIEMBRE","12"))),8,0),"")</f>
        <v>S1</v>
      </c>
      <c r="L8" s="55"/>
      <c r="M8" s="38" t="s">
        <v>87</v>
      </c>
      <c r="N8" s="15" t="s">
        <v>1133</v>
      </c>
      <c r="O8" s="14" t="s">
        <v>133</v>
      </c>
      <c r="P8" s="14" t="s">
        <v>95</v>
      </c>
      <c r="Q8" s="14" t="s">
        <v>90</v>
      </c>
      <c r="R8" s="13" t="s">
        <v>88</v>
      </c>
      <c r="S8" s="13" t="s">
        <v>533</v>
      </c>
      <c r="T8" s="13" t="s">
        <v>525</v>
      </c>
      <c r="U8" s="13" t="s">
        <v>529</v>
      </c>
      <c r="V8" s="13" t="s">
        <v>505</v>
      </c>
      <c r="W8" s="13" t="s">
        <v>506</v>
      </c>
      <c r="X8" s="13" t="s">
        <v>507</v>
      </c>
      <c r="Y8" s="13" t="s">
        <v>508</v>
      </c>
      <c r="Z8" s="13" t="s">
        <v>526</v>
      </c>
      <c r="AA8" s="13" t="s">
        <v>530</v>
      </c>
      <c r="AB8" s="13" t="s">
        <v>510</v>
      </c>
      <c r="AC8" s="13" t="s">
        <v>511</v>
      </c>
      <c r="AD8" s="13" t="s">
        <v>512</v>
      </c>
      <c r="AE8" s="13" t="s">
        <v>513</v>
      </c>
      <c r="AF8" s="13" t="s">
        <v>527</v>
      </c>
      <c r="AG8" s="13" t="s">
        <v>531</v>
      </c>
      <c r="AH8" s="13" t="s">
        <v>515</v>
      </c>
      <c r="AI8" s="13" t="s">
        <v>516</v>
      </c>
      <c r="AJ8" s="13" t="s">
        <v>517</v>
      </c>
      <c r="AK8" s="13" t="s">
        <v>518</v>
      </c>
      <c r="AL8" s="13" t="s">
        <v>528</v>
      </c>
      <c r="AM8" s="13" t="s">
        <v>532</v>
      </c>
      <c r="AN8" s="13" t="s">
        <v>519</v>
      </c>
      <c r="AO8" s="13" t="s">
        <v>520</v>
      </c>
      <c r="AP8" s="13" t="s">
        <v>521</v>
      </c>
      <c r="AQ8" s="13" t="s">
        <v>522</v>
      </c>
      <c r="AR8" s="13" t="s">
        <v>523</v>
      </c>
      <c r="AS8" s="14" t="s">
        <v>502</v>
      </c>
      <c r="AU8" s="18" t="s">
        <v>135</v>
      </c>
      <c r="AV8" s="18" t="s">
        <v>137</v>
      </c>
      <c r="AW8" s="18" t="s">
        <v>138</v>
      </c>
      <c r="AX8" s="19" t="s">
        <v>94</v>
      </c>
      <c r="AY8" s="19" t="s">
        <v>533</v>
      </c>
      <c r="AZ8" s="19" t="s">
        <v>525</v>
      </c>
      <c r="BA8" s="19" t="s">
        <v>529</v>
      </c>
      <c r="BB8" s="19" t="s">
        <v>505</v>
      </c>
      <c r="BC8" s="19" t="s">
        <v>506</v>
      </c>
      <c r="BD8" s="19" t="s">
        <v>507</v>
      </c>
      <c r="BE8" s="19" t="s">
        <v>508</v>
      </c>
      <c r="BF8" s="19" t="s">
        <v>526</v>
      </c>
      <c r="BG8" s="19" t="s">
        <v>530</v>
      </c>
      <c r="BH8" s="19" t="s">
        <v>510</v>
      </c>
      <c r="BI8" s="19" t="s">
        <v>511</v>
      </c>
      <c r="BJ8" s="19" t="s">
        <v>512</v>
      </c>
      <c r="BK8" s="19" t="s">
        <v>513</v>
      </c>
      <c r="BL8" s="19" t="s">
        <v>527</v>
      </c>
      <c r="BM8" s="19" t="s">
        <v>531</v>
      </c>
      <c r="BN8" s="19" t="s">
        <v>515</v>
      </c>
      <c r="BO8" s="19" t="s">
        <v>516</v>
      </c>
      <c r="BP8" s="19" t="s">
        <v>517</v>
      </c>
      <c r="BQ8" s="19" t="s">
        <v>518</v>
      </c>
      <c r="BR8" s="19" t="s">
        <v>528</v>
      </c>
      <c r="BS8" s="19" t="s">
        <v>532</v>
      </c>
      <c r="BT8" s="19" t="s">
        <v>519</v>
      </c>
      <c r="BU8" s="19" t="s">
        <v>520</v>
      </c>
      <c r="BV8" s="19" t="s">
        <v>521</v>
      </c>
      <c r="BW8" s="19" t="s">
        <v>522</v>
      </c>
      <c r="BX8" s="19" t="s">
        <v>523</v>
      </c>
      <c r="BY8" s="18" t="s">
        <v>134</v>
      </c>
      <c r="CA8" s="73" t="s">
        <v>627</v>
      </c>
      <c r="CB8" s="73" t="s">
        <v>533</v>
      </c>
      <c r="CC8" s="73" t="s">
        <v>503</v>
      </c>
      <c r="CD8" s="73" t="s">
        <v>525</v>
      </c>
      <c r="CE8" s="73" t="s">
        <v>529</v>
      </c>
      <c r="CG8" s="85" t="s">
        <v>639</v>
      </c>
      <c r="CH8" s="84" t="s">
        <v>640</v>
      </c>
      <c r="CI8" s="84" t="s">
        <v>641</v>
      </c>
      <c r="CJ8" s="84" t="s">
        <v>642</v>
      </c>
      <c r="CK8" s="84" t="s">
        <v>643</v>
      </c>
      <c r="CL8" s="84" t="s">
        <v>668</v>
      </c>
      <c r="CM8" s="84" t="s">
        <v>644</v>
      </c>
      <c r="CN8" s="84" t="s">
        <v>645</v>
      </c>
      <c r="CO8" s="84" t="s">
        <v>646</v>
      </c>
      <c r="CP8" s="84" t="s">
        <v>647</v>
      </c>
      <c r="CQ8" s="84" t="s">
        <v>648</v>
      </c>
      <c r="CR8" s="84" t="s">
        <v>649</v>
      </c>
      <c r="CS8" s="84" t="s">
        <v>650</v>
      </c>
      <c r="CT8" s="84" t="s">
        <v>651</v>
      </c>
      <c r="CU8" s="84" t="s">
        <v>652</v>
      </c>
      <c r="CV8" s="84" t="s">
        <v>653</v>
      </c>
      <c r="CW8" s="84" t="s">
        <v>654</v>
      </c>
      <c r="CX8" s="84" t="s">
        <v>655</v>
      </c>
      <c r="CY8" s="84" t="s">
        <v>656</v>
      </c>
      <c r="CZ8" s="84" t="s">
        <v>657</v>
      </c>
      <c r="DA8" s="84" t="s">
        <v>658</v>
      </c>
      <c r="DB8" s="84" t="s">
        <v>669</v>
      </c>
      <c r="DC8" s="84" t="s">
        <v>659</v>
      </c>
      <c r="DD8" s="84" t="s">
        <v>660</v>
      </c>
      <c r="DE8" s="84" t="s">
        <v>662</v>
      </c>
      <c r="DF8" s="84" t="s">
        <v>663</v>
      </c>
      <c r="DG8" s="84" t="s">
        <v>664</v>
      </c>
      <c r="DH8" s="86" t="s">
        <v>661</v>
      </c>
      <c r="DI8" s="84" t="s">
        <v>1256</v>
      </c>
    </row>
    <row r="9" spans="1:113" x14ac:dyDescent="0.25">
      <c r="A9" s="34" t="str" cm="1">
        <f t="array" ref="A9">IFERROR(VLOOKUP(D1_ABRIL_2026[[#This Row],[ASESOR_CRR]],_xlfn._xlws.FILTER(PLANTILLA[[ASESOR]:[FECHA DE CESE]],PLANTILLA[FECHA]=_xlfn.CONCAT($M$3,"_",_xlfn.IFS($N$3="ENERO","1",$N$3="FEBRERO","2",$N$3="MARZO","3",$N$3="ABRIL","4",$N$3="MAYO","5",$N$3="JUNIO","6",$N$3="JULIO","7",$N$3="AGOSTO","8",$N$3="SETIEMBRE","9",$N$3="OCTUBRE","10",$N$3="NOVIEMBRE","11",$N$3="DICIEMBRE","12"))),3,0),"")</f>
        <v>JORGE</v>
      </c>
      <c r="B9" s="34" t="str" cm="1">
        <f t="array" ref="B9">TRIM(IFERROR(_xlfn.IFS(D1_ABRIL_2026[[#This Row],[ASESOR]]="ELVIS GUERRA","ELVIS GUERRERA",D1_ABRIL_2026[[#This Row],[ASESOR]]="GENESIS VICUÑA","GENESIS VICUNA",D1_ABRIL_2026[[#This Row],[ASESOR]]="JENY QUIÑONES","JENY QUINONES",D1_ABRIL_2026[[#This Row],[ASESOR]]="NICOLE CAURURO","NICOLE CAURURO"),D1_ABRIL_2026[[#This Row],[ASESOR]]))</f>
        <v>GIANFRANCO PINEDO</v>
      </c>
      <c r="C9" s="34" cm="1">
        <f t="array" ref="C9">_xlfn.XLOOKUP(1,(TablaMeta[CONCAT]=$M$3&amp;$N$3&amp;D1_ABRIL_2026[[#This Row],[SUPER]])*(TablaMeta[SEGG]=D1_ABRIL_2026[[#This Row],[SEGMENTO]]),TablaMeta[Meta_Asesor])</f>
        <v>48500</v>
      </c>
      <c r="D9" s="35">
        <f>IF(D1_ABRIL_2026[[#This Row],[RECUPERO]]="VACACIONES","VACACIONES",IFERROR(D1_ABRIL_2026[[#This Row],[RECUPERO]]/D1_ABRIL_2026[[#This Row],[META]],""))</f>
        <v>0.92719587628865985</v>
      </c>
      <c r="E9" s="35" t="str">
        <f>D1_ABRIL_2026[[#This Row],[SUPER]]</f>
        <v>JORGE</v>
      </c>
      <c r="F9" s="34" t="s">
        <v>13</v>
      </c>
      <c r="G9" s="36">
        <v>44969</v>
      </c>
      <c r="H9" s="34" cm="1">
        <f t="array" ref="H9">IFERROR(VLOOKUP(D1_ABRIL_2026[[#This Row],[ASESOR_CRR]],_xlfn._xlws.FILTER(PLANTILLA[[ASESOR]:[FECHA DE CESE]],PLANTILLA[FECHA]=_xlfn.CONCAT($M$3,"_",_xlfn.IFS($N$3="ENERO","1",$N$3="FEBRERO","2",$N$3="MARZO","3",$N$3="ABRIL","4",$N$3="MAYO","5",$N$3="JUNIO","6",$N$3="JULIO","7",$N$3="AGOSTO","8",$N$3="SETIEMBRE","9",$N$3="OCTUBRE","10",$N$3="NOVIEMBRE","11",$N$3="DICIEMBRE","12"))),2,0),"")</f>
        <v>72512391</v>
      </c>
      <c r="I9" s="60" cm="1">
        <f t="array" ref="I9">IFERROR(VLOOKUP(D1_ABRIL_2026[[#This Row],[ASESOR_CRR]],_xlfn._xlws.FILTER(PLANTILLA[[ASESOR]:[FECHA DE CESE]],PLANTILLA[FECHA]=_xlfn.CONCAT($M$3,"_",_xlfn.IFS($N$3="ENERO","1",$N$3="FEBRERO","2",$N$3="MARZO","3",$N$3="ABRIL","4",$N$3="MAYO","5",$N$3="JUNIO","6",$N$3="JULIO","7",$N$3="AGOSTO","8",$N$3="SETIEMBRE","9",$N$3="OCTUBRE","10",$N$3="NOVIEMBRE","11",$N$3="DICIEMBRE","12"))),6,0),"")</f>
        <v>44809</v>
      </c>
      <c r="J9" s="60" t="str" cm="1">
        <f t="array" ref="J9">IFERROR(VLOOKUP(D1_ABRIL_2026[[#This Row],[ASESOR_CRR]],_xlfn._xlws.FILTER(PLANTILLA[[ASESOR]:[FECHA DE CESE]],PLANTILLA[FECHA]=_xlfn.CONCAT($M$3,"_",_xlfn.IFS($N$3="ENERO","1",$N$3="FEBRERO","2",$N$3="MARZO","3",$N$3="ABRIL","4",$N$3="MAYO","5",$N$3="JUNIO","6",$N$3="JULIO","7",$N$3="AGOSTO","8",$N$3="SETIEMBRE","9",$N$3="OCTUBRE","10",$N$3="NOVIEMBRE","11",$N$3="DICIEMBRE","12"))),4,0),"")</f>
        <v>CALL</v>
      </c>
      <c r="K9" s="60" t="str" cm="1">
        <f t="array" ref="K9">IFERROR(VLOOKUP(D1_ABRIL_2026[[#This Row],[ASESOR_CRR]],_xlfn._xlws.FILTER(PLANTILLA[[ASESOR]:[FECHA DE CESE]],PLANTILLA[FECHA]=_xlfn.CONCAT($M$3,"_",_xlfn.IFS($N$3="ENERO","1",$N$3="FEBRERO","2",$N$3="MARZO","3",$N$3="ABRIL","4",$N$3="MAYO","5",$N$3="JUNIO","6",$N$3="JULIO","7",$N$3="AGOSTO","8",$N$3="SETIEMBRE","9",$N$3="OCTUBRE","10",$N$3="NOVIEMBRE","11",$N$3="DICIEMBRE","12"))),8,0),"")</f>
        <v>S1</v>
      </c>
      <c r="L9" s="55"/>
      <c r="M9" s="5">
        <f>DATA_ABRIL_2026[[#This Row],[RECUPERO]]/DATA_ABRIL_2026[[#This Row],[META]]</f>
        <v>0.464680412371134</v>
      </c>
      <c r="N9" s="5">
        <f>6-ROUNDUP(_xlfn.RANK.EQ(DATA_ABRIL_2026[[#This Row],[AL_AC]],DATA_ABRIL_2026[AL_AC],0)/(COUNTA(DATA_ABRIL_2026[AL_AC])/5),0)</f>
        <v>1</v>
      </c>
      <c r="O9" s="54" t="str">
        <f>IFERROR(VLOOKUP(DATA_ABRIL_2026[[#This Row],[ASER_]],$B:$G,4,0),"")</f>
        <v>JOHAN</v>
      </c>
      <c r="P9" s="6">
        <f>SUM(DATA_ABRIL_2026[[#This Row],[1]:[30]])</f>
        <v>22537</v>
      </c>
      <c r="Q9" s="6">
        <f>VLOOKUP(DATA_ABRIL_2026[[#This Row],[ASER_]],D1_ABRIL_2026[[ASESOR_CRR]:[META]],2,0)</f>
        <v>48500</v>
      </c>
      <c r="R9" t="s">
        <v>18</v>
      </c>
      <c r="V9">
        <v>3900</v>
      </c>
      <c r="X9">
        <v>2000</v>
      </c>
      <c r="Y9">
        <v>375</v>
      </c>
      <c r="AA9">
        <v>8200</v>
      </c>
      <c r="AL9">
        <v>3557</v>
      </c>
      <c r="AO9">
        <v>1500</v>
      </c>
      <c r="AQ9">
        <v>600</v>
      </c>
      <c r="AR9">
        <v>2405</v>
      </c>
      <c r="AS9" s="54" t="str" cm="1">
        <f t="array" ref="AS9">IFERROR(VLOOKUP(DATA_ABRIL_2026[[#This Row],[ASER_]],_xlfn._xlws.FILTER(PLANTILLA[[ASESOR]:[FECHA DE CESE]],PLANTILLA[FECHA]=_xlfn.CONCAT($M$3,"_",_xlfn.IFS($N$3="ENERO","1",$N$3="FEBRERO","2",$N$3="MARZO","3",$N$3="ABRIL","4",$N$3="MAYO","5",$N$3="JUNIO","6",$N$3="JULIO","7",$N$3="AGOSTO","8",$N$3="SETIEMBRE","9",$N$3="OCTUBRE","10",$N$3="NOVIEMBRE","11",$N$3="DICIEMBRE","12"))),8,0),"")</f>
        <v>S1</v>
      </c>
      <c r="AU9" s="10">
        <f>SUMIFS(TablaMeta[Meta_Equipo],TablaMeta[CONCAT],$M$3&amp;$N$3&amp;DITE_ABRIL_2026[[#This Row],[SUPER]])</f>
        <v>279317</v>
      </c>
      <c r="AV9" s="10">
        <f>MAX(DITE_ABRIL_2026[[#This Row],[SUPER]:[CARTERA]])</f>
        <v>403531.32</v>
      </c>
      <c r="AW9" s="16">
        <f>IFERROR(DITE_ABRIL_2026[[#This Row],[RECUPERO SUPERVISOR]]/DITE_ABRIL_2026[[#This Row],[META SUPER]],"")</f>
        <v>1.4447073396893135</v>
      </c>
      <c r="AX9" s="10" t="s">
        <v>3</v>
      </c>
      <c r="AY9" s="46">
        <v>9113.4</v>
      </c>
      <c r="AZ9" s="46">
        <v>9973.4</v>
      </c>
      <c r="BA9" s="46">
        <v>10273.4</v>
      </c>
      <c r="BB9" s="46">
        <v>19583.400000000001</v>
      </c>
      <c r="BC9" s="46">
        <v>26128.400000000001</v>
      </c>
      <c r="BD9" s="46">
        <v>54103.4</v>
      </c>
      <c r="BE9" s="46">
        <v>60543.4</v>
      </c>
      <c r="BF9" s="46">
        <v>79016.399999999994</v>
      </c>
      <c r="BG9" s="46">
        <v>79916.399999999994</v>
      </c>
      <c r="BH9" s="46">
        <v>82310.899999999994</v>
      </c>
      <c r="BI9" s="46">
        <v>87012.9</v>
      </c>
      <c r="BJ9" s="46">
        <v>97493.9</v>
      </c>
      <c r="BK9" s="46">
        <v>121088.31999999999</v>
      </c>
      <c r="BL9" s="46">
        <v>152051.32</v>
      </c>
      <c r="BM9" s="46">
        <v>152051.32</v>
      </c>
      <c r="BN9" s="46">
        <v>177224.32000000001</v>
      </c>
      <c r="BO9" s="46">
        <v>189054.32</v>
      </c>
      <c r="BP9" s="46">
        <v>197169.32</v>
      </c>
      <c r="BQ9" s="46">
        <v>206929.32</v>
      </c>
      <c r="BR9" s="46">
        <v>210489.32</v>
      </c>
      <c r="BS9" s="46">
        <v>213989.32</v>
      </c>
      <c r="BT9" s="46">
        <v>213989.32</v>
      </c>
      <c r="BU9" s="46">
        <v>248456.32000000001</v>
      </c>
      <c r="BV9" s="46">
        <v>275406.32</v>
      </c>
      <c r="BW9" s="46">
        <v>335026.32</v>
      </c>
      <c r="BX9" s="45">
        <v>403531.32</v>
      </c>
      <c r="BY9" s="10" t="str" cm="1">
        <f t="array" ref="BY9">IFERROR(VLOOKUP(DITE_ABRIL_2026[[#This Row],[SUPER]],_xlfn._xlws.FILTER(PLANTILLA[[EQUIPO]:[FECHA DE CESE]],(PLANTILLA[FECHA]=_xlfn.CONCAT($M$3,"_",_xlfn.IFS($N$3="ENERO","1",$N$3="FEBRERO","2",$N$3="MARZO","3",$N$3="ABRIL","4",$N$3="MAYO","5",$N$3="JUNIO","6",$N$3="JULIO","7",$N$3="AGOSTO","8",$N$3="SETIEMBRE","9",$N$3="OCTUBRE","10",$N$3="NOVIEMBRE","11",$N$3="DICIEMBRE","12")))*(PLANTILLA[CONDICION]="SUPERVISOR")),6,0),"")</f>
        <v>S0</v>
      </c>
      <c r="CA9" t="s">
        <v>3</v>
      </c>
      <c r="CB9" t="s">
        <v>2</v>
      </c>
      <c r="CC9" t="s">
        <v>2</v>
      </c>
      <c r="CD9" t="s">
        <v>3</v>
      </c>
      <c r="CE9" t="s">
        <v>3</v>
      </c>
      <c r="CF9" s="45"/>
      <c r="CG9" s="45" t="s">
        <v>636</v>
      </c>
      <c r="CH9" s="45" t="s">
        <v>125</v>
      </c>
      <c r="CI9" s="45" t="s">
        <v>60</v>
      </c>
      <c r="CJ9" s="45">
        <v>46129</v>
      </c>
      <c r="CK9" s="45">
        <v>1</v>
      </c>
      <c r="CL9" s="45">
        <v>1</v>
      </c>
      <c r="CM9" s="45"/>
      <c r="CN9" s="45">
        <v>1</v>
      </c>
      <c r="CO9" s="45"/>
      <c r="CP9" s="45">
        <v>1.3888888888888889E-4</v>
      </c>
      <c r="CQ9" s="45">
        <v>1.3888888888888889E-4</v>
      </c>
      <c r="CR9">
        <v>0.21460648148148148</v>
      </c>
      <c r="CS9">
        <v>9.6354166666666671E-2</v>
      </c>
      <c r="CT9">
        <v>132</v>
      </c>
      <c r="CU9">
        <v>208</v>
      </c>
      <c r="CV9">
        <v>5</v>
      </c>
      <c r="CW9">
        <v>2</v>
      </c>
      <c r="CX9">
        <v>11760</v>
      </c>
      <c r="CY9">
        <v>3.7900000000000003E-2</v>
      </c>
      <c r="CZ9">
        <v>1</v>
      </c>
      <c r="DA9">
        <v>0.2</v>
      </c>
      <c r="DB9">
        <v>4000</v>
      </c>
      <c r="DC9">
        <v>4000</v>
      </c>
      <c r="DD9">
        <v>4000</v>
      </c>
      <c r="DE9">
        <v>1</v>
      </c>
      <c r="DF9">
        <v>0.28139999999999998</v>
      </c>
      <c r="DG9">
        <v>100</v>
      </c>
      <c r="DH9">
        <v>4000</v>
      </c>
      <c r="DI9">
        <f>Tabla82[[#This Row],[IND_MontoPDP]]*Tabla82[[#This Row],[IND_Condonacion]]</f>
        <v>1125.5999999999999</v>
      </c>
    </row>
    <row r="10" spans="1:113" x14ac:dyDescent="0.25">
      <c r="A10" s="34" t="str" cm="1">
        <f t="array" ref="A10">IFERROR(VLOOKUP(D1_ABRIL_2026[[#This Row],[ASESOR_CRR]],_xlfn._xlws.FILTER(PLANTILLA[[ASESOR]:[FECHA DE CESE]],PLANTILLA[FECHA]=_xlfn.CONCAT($M$3,"_",_xlfn.IFS($N$3="ENERO","1",$N$3="FEBRERO","2",$N$3="MARZO","3",$N$3="ABRIL","4",$N$3="MAYO","5",$N$3="JUNIO","6",$N$3="JULIO","7",$N$3="AGOSTO","8",$N$3="SETIEMBRE","9",$N$3="OCTUBRE","10",$N$3="NOVIEMBRE","11",$N$3="DICIEMBRE","12"))),3,0),"")</f>
        <v>JORGE</v>
      </c>
      <c r="B10" s="34" t="str" cm="1">
        <f t="array" ref="B10">TRIM(IFERROR(_xlfn.IFS(D1_ABRIL_2026[[#This Row],[ASESOR]]="ELVIS GUERRA","ELVIS GUERRERA",D1_ABRIL_2026[[#This Row],[ASESOR]]="GENESIS VICUÑA","GENESIS VICUNA",D1_ABRIL_2026[[#This Row],[ASESOR]]="JENY QUIÑONES","JENY QUINONES",D1_ABRIL_2026[[#This Row],[ASESOR]]="NICOLE CAURURO","NICOLE CAURURO"),D1_ABRIL_2026[[#This Row],[ASESOR]]))</f>
        <v>JIMENA MEDINA</v>
      </c>
      <c r="C10" s="34" cm="1">
        <f t="array" ref="C10">_xlfn.XLOOKUP(1,(TablaMeta[CONCAT]=$M$3&amp;$N$3&amp;D1_ABRIL_2026[[#This Row],[SUPER]])*(TablaMeta[SEGG]=D1_ABRIL_2026[[#This Row],[SEGMENTO]]),TablaMeta[Meta_Asesor])</f>
        <v>48500</v>
      </c>
      <c r="D10" s="35">
        <f>IF(D1_ABRIL_2026[[#This Row],[RECUPERO]]="VACACIONES","VACACIONES",IFERROR(D1_ABRIL_2026[[#This Row],[RECUPERO]]/D1_ABRIL_2026[[#This Row],[META]],""))</f>
        <v>0.56547030927835051</v>
      </c>
      <c r="E10" s="35" t="str">
        <f>D1_ABRIL_2026[[#This Row],[SUPER]]</f>
        <v>JORGE</v>
      </c>
      <c r="F10" s="34" t="s">
        <v>37</v>
      </c>
      <c r="G10" s="36">
        <v>27425.309999999998</v>
      </c>
      <c r="H10" s="34" cm="1">
        <f t="array" ref="H10">IFERROR(VLOOKUP(D1_ABRIL_2026[[#This Row],[ASESOR_CRR]],_xlfn._xlws.FILTER(PLANTILLA[[ASESOR]:[FECHA DE CESE]],PLANTILLA[FECHA]=_xlfn.CONCAT($M$3,"_",_xlfn.IFS($N$3="ENERO","1",$N$3="FEBRERO","2",$N$3="MARZO","3",$N$3="ABRIL","4",$N$3="MAYO","5",$N$3="JUNIO","6",$N$3="JULIO","7",$N$3="AGOSTO","8",$N$3="SETIEMBRE","9",$N$3="OCTUBRE","10",$N$3="NOVIEMBRE","11",$N$3="DICIEMBRE","12"))),2,0),"")</f>
        <v>70988976</v>
      </c>
      <c r="I10" s="60" cm="1">
        <f t="array" ref="I10">IFERROR(VLOOKUP(D1_ABRIL_2026[[#This Row],[ASESOR_CRR]],_xlfn._xlws.FILTER(PLANTILLA[[ASESOR]:[FECHA DE CESE]],PLANTILLA[FECHA]=_xlfn.CONCAT($M$3,"_",_xlfn.IFS($N$3="ENERO","1",$N$3="FEBRERO","2",$N$3="MARZO","3",$N$3="ABRIL","4",$N$3="MAYO","5",$N$3="JUNIO","6",$N$3="JULIO","7",$N$3="AGOSTO","8",$N$3="SETIEMBRE","9",$N$3="OCTUBRE","10",$N$3="NOVIEMBRE","11",$N$3="DICIEMBRE","12"))),6,0),"")</f>
        <v>45112</v>
      </c>
      <c r="J10" s="60" t="str" cm="1">
        <f t="array" ref="J10">IFERROR(VLOOKUP(D1_ABRIL_2026[[#This Row],[ASESOR_CRR]],_xlfn._xlws.FILTER(PLANTILLA[[ASESOR]:[FECHA DE CESE]],PLANTILLA[FECHA]=_xlfn.CONCAT($M$3,"_",_xlfn.IFS($N$3="ENERO","1",$N$3="FEBRERO","2",$N$3="MARZO","3",$N$3="ABRIL","4",$N$3="MAYO","5",$N$3="JUNIO","6",$N$3="JULIO","7",$N$3="AGOSTO","8",$N$3="SETIEMBRE","9",$N$3="OCTUBRE","10",$N$3="NOVIEMBRE","11",$N$3="DICIEMBRE","12"))),4,0),"")</f>
        <v>CALL</v>
      </c>
      <c r="K10" s="60" t="str" cm="1">
        <f t="array" ref="K10">IFERROR(VLOOKUP(D1_ABRIL_2026[[#This Row],[ASESOR_CRR]],_xlfn._xlws.FILTER(PLANTILLA[[ASESOR]:[FECHA DE CESE]],PLANTILLA[FECHA]=_xlfn.CONCAT($M$3,"_",_xlfn.IFS($N$3="ENERO","1",$N$3="FEBRERO","2",$N$3="MARZO","3",$N$3="ABRIL","4",$N$3="MAYO","5",$N$3="JUNIO","6",$N$3="JULIO","7",$N$3="AGOSTO","8",$N$3="SETIEMBRE","9",$N$3="OCTUBRE","10",$N$3="NOVIEMBRE","11",$N$3="DICIEMBRE","12"))),8,0),"")</f>
        <v>S1</v>
      </c>
      <c r="L10" s="55"/>
      <c r="M10" s="5">
        <f>DATA_ABRIL_2026[[#This Row],[RECUPERO]]/DATA_ABRIL_2026[[#This Row],[META]]</f>
        <v>1.1185357142857142</v>
      </c>
      <c r="N10" s="5">
        <f>6-ROUNDUP(_xlfn.RANK.EQ(DATA_ABRIL_2026[[#This Row],[AL_AC]],DATA_ABRIL_2026[AL_AC],0)/(COUNTA(DATA_ABRIL_2026[AL_AC])/5),0)</f>
        <v>4</v>
      </c>
      <c r="O10" s="54" t="str">
        <f>IFERROR(VLOOKUP(DATA_ABRIL_2026[[#This Row],[ASER_]],$B:$G,4,0),"")</f>
        <v>SANDY</v>
      </c>
      <c r="P10" s="6">
        <f>SUM(DATA_ABRIL_2026[[#This Row],[1]:[30]])</f>
        <v>31319</v>
      </c>
      <c r="Q10" s="6">
        <f>VLOOKUP(DATA_ABRIL_2026[[#This Row],[ASER_]],D1_ABRIL_2026[[ASESOR_CRR]:[META]],2,0)</f>
        <v>28000</v>
      </c>
      <c r="R10" t="s">
        <v>58</v>
      </c>
      <c r="S10">
        <v>250</v>
      </c>
      <c r="X10">
        <v>210</v>
      </c>
      <c r="Y10">
        <v>873</v>
      </c>
      <c r="AB10">
        <v>1200</v>
      </c>
      <c r="AC10">
        <v>285</v>
      </c>
      <c r="AD10">
        <v>200</v>
      </c>
      <c r="AE10">
        <v>3025</v>
      </c>
      <c r="AF10">
        <v>1500</v>
      </c>
      <c r="AH10">
        <v>4910</v>
      </c>
      <c r="AI10">
        <v>500</v>
      </c>
      <c r="AO10">
        <v>750</v>
      </c>
      <c r="AP10">
        <v>7000</v>
      </c>
      <c r="AQ10">
        <v>6500</v>
      </c>
      <c r="AR10">
        <v>4116</v>
      </c>
      <c r="AS10" s="54" t="str" cm="1">
        <f t="array" ref="AS10">IFERROR(VLOOKUP(DATA_ABRIL_2026[[#This Row],[ASER_]],_xlfn._xlws.FILTER(PLANTILLA[[ASESOR]:[FECHA DE CESE]],PLANTILLA[FECHA]=_xlfn.CONCAT($M$3,"_",_xlfn.IFS($N$3="ENERO","1",$N$3="FEBRERO","2",$N$3="MARZO","3",$N$3="ABRIL","4",$N$3="MAYO","5",$N$3="JUNIO","6",$N$3="JULIO","7",$N$3="AGOSTO","8",$N$3="SETIEMBRE","9",$N$3="OCTUBRE","10",$N$3="NOVIEMBRE","11",$N$3="DICIEMBRE","12"))),8,0),"")</f>
        <v>S0</v>
      </c>
      <c r="AU10" s="11">
        <f>SUMIFS(TablaMeta[Meta_Equipo],TablaMeta[CONCAT],$M$3&amp;$N$3&amp;DITE_ABRIL_2026[[#This Row],[SUPER]])</f>
        <v>362638</v>
      </c>
      <c r="AV10" s="11">
        <f>MAX(DITE_ABRIL_2026[[#This Row],[SUPER]:[CARTERA]])</f>
        <v>395413.95999999996</v>
      </c>
      <c r="AW10" s="17">
        <f>IFERROR(DITE_ABRIL_2026[[#This Row],[RECUPERO SUPERVISOR]]/DITE_ABRIL_2026[[#This Row],[META SUPER]],"")</f>
        <v>1.0903820338740009</v>
      </c>
      <c r="AX10" s="11" t="s">
        <v>6</v>
      </c>
      <c r="AY10" s="46">
        <v>5225</v>
      </c>
      <c r="AZ10" s="46">
        <v>5225</v>
      </c>
      <c r="BA10" s="46">
        <v>5225</v>
      </c>
      <c r="BB10" s="46">
        <v>29461</v>
      </c>
      <c r="BC10" s="46">
        <v>48941</v>
      </c>
      <c r="BD10" s="46">
        <v>59457</v>
      </c>
      <c r="BE10" s="46">
        <v>93557</v>
      </c>
      <c r="BF10" s="46">
        <v>103603</v>
      </c>
      <c r="BG10" s="46">
        <v>103603</v>
      </c>
      <c r="BH10" s="46">
        <v>125724</v>
      </c>
      <c r="BI10" s="46">
        <v>132079</v>
      </c>
      <c r="BJ10" s="46">
        <v>145499</v>
      </c>
      <c r="BK10" s="46">
        <v>167973.06</v>
      </c>
      <c r="BL10" s="46">
        <v>192432.96</v>
      </c>
      <c r="BM10" s="46">
        <v>192432.96</v>
      </c>
      <c r="BN10" s="46">
        <v>206232.95999999999</v>
      </c>
      <c r="BO10" s="46">
        <v>216078.96</v>
      </c>
      <c r="BP10" s="46">
        <v>223158.96</v>
      </c>
      <c r="BQ10" s="46">
        <v>229013.96</v>
      </c>
      <c r="BR10" s="46">
        <v>267213.95999999996</v>
      </c>
      <c r="BS10" s="46">
        <v>270705.95999999996</v>
      </c>
      <c r="BT10" s="46">
        <v>270705.95999999996</v>
      </c>
      <c r="BU10" s="46">
        <v>280010.95999999996</v>
      </c>
      <c r="BV10" s="46">
        <v>299827.95999999996</v>
      </c>
      <c r="BW10" s="46">
        <v>334101.95999999996</v>
      </c>
      <c r="BX10" s="45">
        <v>395413.95999999996</v>
      </c>
      <c r="BY10" s="11" t="str" cm="1">
        <f t="array" ref="BY10">IFERROR(VLOOKUP(DITE_ABRIL_2026[[#This Row],[SUPER]],_xlfn._xlws.FILTER(PLANTILLA[[EQUIPO]:[FECHA DE CESE]],(PLANTILLA[FECHA]=_xlfn.CONCAT($M$3,"_",_xlfn.IFS($N$3="ENERO","1",$N$3="FEBRERO","2",$N$3="MARZO","3",$N$3="ABRIL","4",$N$3="MAYO","5",$N$3="JUNIO","6",$N$3="JULIO","7",$N$3="AGOSTO","8",$N$3="SETIEMBRE","9",$N$3="OCTUBRE","10",$N$3="NOVIEMBRE","11",$N$3="DICIEMBRE","12")))*(PLANTILLA[CONDICION]="SUPERVISOR")),6,0),"")</f>
        <v>S0</v>
      </c>
      <c r="CA10" t="s">
        <v>6</v>
      </c>
      <c r="CB10" t="s">
        <v>6</v>
      </c>
      <c r="CC10" t="s">
        <v>6</v>
      </c>
      <c r="CD10" t="s">
        <v>6</v>
      </c>
      <c r="CE10" t="s">
        <v>6</v>
      </c>
      <c r="CF10" s="45"/>
      <c r="CG10" s="45" t="s">
        <v>636</v>
      </c>
      <c r="CH10" s="45" t="s">
        <v>125</v>
      </c>
      <c r="CI10" s="45" t="s">
        <v>61</v>
      </c>
      <c r="CJ10" s="45">
        <v>46126</v>
      </c>
      <c r="CK10" s="45">
        <v>1</v>
      </c>
      <c r="CL10" s="45">
        <v>1</v>
      </c>
      <c r="CM10" s="45"/>
      <c r="CN10" s="45">
        <v>1</v>
      </c>
      <c r="CO10" s="45"/>
      <c r="CP10" s="45">
        <v>3.4722222222222222E-5</v>
      </c>
      <c r="CQ10" s="45">
        <v>3.4722222222222222E-5</v>
      </c>
      <c r="CR10">
        <v>0.24952546296296296</v>
      </c>
      <c r="CS10">
        <v>0.14766203703703704</v>
      </c>
      <c r="CT10">
        <v>95</v>
      </c>
      <c r="CU10">
        <v>284</v>
      </c>
      <c r="CV10">
        <v>24</v>
      </c>
      <c r="CW10" t="s">
        <v>731</v>
      </c>
      <c r="CX10">
        <v>39479</v>
      </c>
      <c r="CY10">
        <v>0.25259999999999999</v>
      </c>
      <c r="CZ10">
        <v>2</v>
      </c>
      <c r="DA10">
        <v>8.3299999999999999E-2</v>
      </c>
      <c r="DB10">
        <v>14000</v>
      </c>
      <c r="DC10">
        <v>7000</v>
      </c>
      <c r="DD10">
        <v>14000</v>
      </c>
      <c r="DE10">
        <v>1</v>
      </c>
      <c r="DF10">
        <v>0.1444</v>
      </c>
      <c r="DG10">
        <v>100</v>
      </c>
      <c r="DH10">
        <v>7000</v>
      </c>
      <c r="DI10">
        <f>Tabla82[[#This Row],[IND_MontoPDP]]*Tabla82[[#This Row],[IND_Condonacion]]</f>
        <v>2021.6</v>
      </c>
    </row>
    <row r="11" spans="1:113" x14ac:dyDescent="0.25">
      <c r="A11" s="34" t="str" cm="1">
        <f t="array" ref="A11">IFERROR(VLOOKUP(D1_ABRIL_2026[[#This Row],[ASESOR_CRR]],_xlfn._xlws.FILTER(PLANTILLA[[ASESOR]:[FECHA DE CESE]],PLANTILLA[FECHA]=_xlfn.CONCAT($M$3,"_",_xlfn.IFS($N$3="ENERO","1",$N$3="FEBRERO","2",$N$3="MARZO","3",$N$3="ABRIL","4",$N$3="MAYO","5",$N$3="JUNIO","6",$N$3="JULIO","7",$N$3="AGOSTO","8",$N$3="SETIEMBRE","9",$N$3="OCTUBRE","10",$N$3="NOVIEMBRE","11",$N$3="DICIEMBRE","12"))),3,0),"")</f>
        <v>JORGE</v>
      </c>
      <c r="B11" s="34" t="str" cm="1">
        <f t="array" ref="B11">TRIM(IFERROR(_xlfn.IFS(D1_ABRIL_2026[[#This Row],[ASESOR]]="ELVIS GUERRA","ELVIS GUERRERA",D1_ABRIL_2026[[#This Row],[ASESOR]]="GENESIS VICUÑA","GENESIS VICUNA",D1_ABRIL_2026[[#This Row],[ASESOR]]="JENY QUIÑONES","JENY QUINONES",D1_ABRIL_2026[[#This Row],[ASESOR]]="NICOLE CAURURO","NICOLE CAURURO"),D1_ABRIL_2026[[#This Row],[ASESOR]]))</f>
        <v>DAVID SANCHEZ</v>
      </c>
      <c r="C11" s="34" cm="1">
        <f t="array" ref="C11">_xlfn.XLOOKUP(1,(TablaMeta[CONCAT]=$M$3&amp;$N$3&amp;D1_ABRIL_2026[[#This Row],[SUPER]])*(TablaMeta[SEGG]=D1_ABRIL_2026[[#This Row],[SEGMENTO]]),TablaMeta[Meta_Asesor])</f>
        <v>48500</v>
      </c>
      <c r="D11" s="35">
        <f>IF(D1_ABRIL_2026[[#This Row],[RECUPERO]]="VACACIONES","VACACIONES",IFERROR(D1_ABRIL_2026[[#This Row],[RECUPERO]]/D1_ABRIL_2026[[#This Row],[META]],""))</f>
        <v>0.52888639175257723</v>
      </c>
      <c r="E11" s="35" t="str">
        <f>D1_ABRIL_2026[[#This Row],[SUPER]]</f>
        <v>JORGE</v>
      </c>
      <c r="F11" t="s">
        <v>81</v>
      </c>
      <c r="G11" s="36">
        <v>25650.989999999998</v>
      </c>
      <c r="H11" cm="1">
        <f t="array" ref="H11">IFERROR(VLOOKUP(D1_ABRIL_2026[[#This Row],[ASESOR_CRR]],_xlfn._xlws.FILTER(PLANTILLA[[ASESOR]:[FECHA DE CESE]],PLANTILLA[FECHA]=_xlfn.CONCAT($M$3,"_",_xlfn.IFS($N$3="ENERO","1",$N$3="FEBRERO","2",$N$3="MARZO","3",$N$3="ABRIL","4",$N$3="MAYO","5",$N$3="JUNIO","6",$N$3="JULIO","7",$N$3="AGOSTO","8",$N$3="SETIEMBRE","9",$N$3="OCTUBRE","10",$N$3="NOVIEMBRE","11",$N$3="DICIEMBRE","12"))),2,0),"")</f>
        <v>72716299</v>
      </c>
      <c r="I11" s="55" cm="1">
        <f t="array" ref="I11">IFERROR(VLOOKUP(D1_ABRIL_2026[[#This Row],[ASESOR_CRR]],_xlfn._xlws.FILTER(PLANTILLA[[ASESOR]:[FECHA DE CESE]],PLANTILLA[FECHA]=_xlfn.CONCAT($M$3,"_",_xlfn.IFS($N$3="ENERO","1",$N$3="FEBRERO","2",$N$3="MARZO","3",$N$3="ABRIL","4",$N$3="MAYO","5",$N$3="JUNIO","6",$N$3="JULIO","7",$N$3="AGOSTO","8",$N$3="SETIEMBRE","9",$N$3="OCTUBRE","10",$N$3="NOVIEMBRE","11",$N$3="DICIEMBRE","12"))),6,0),"")</f>
        <v>45511</v>
      </c>
      <c r="J11" s="55" t="str" cm="1">
        <f t="array" ref="J11">IFERROR(VLOOKUP(D1_ABRIL_2026[[#This Row],[ASESOR_CRR]],_xlfn._xlws.FILTER(PLANTILLA[[ASESOR]:[FECHA DE CESE]],PLANTILLA[FECHA]=_xlfn.CONCAT($M$3,"_",_xlfn.IFS($N$3="ENERO","1",$N$3="FEBRERO","2",$N$3="MARZO","3",$N$3="ABRIL","4",$N$3="MAYO","5",$N$3="JUNIO","6",$N$3="JULIO","7",$N$3="AGOSTO","8",$N$3="SETIEMBRE","9",$N$3="OCTUBRE","10",$N$3="NOVIEMBRE","11",$N$3="DICIEMBRE","12"))),4,0),"")</f>
        <v>CALL</v>
      </c>
      <c r="K11" s="60" t="str" cm="1">
        <f t="array" ref="K11">IFERROR(VLOOKUP(D1_ABRIL_2026[[#This Row],[ASESOR_CRR]],_xlfn._xlws.FILTER(PLANTILLA[[ASESOR]:[FECHA DE CESE]],PLANTILLA[FECHA]=_xlfn.CONCAT($M$3,"_",_xlfn.IFS($N$3="ENERO","1",$N$3="FEBRERO","2",$N$3="MARZO","3",$N$3="ABRIL","4",$N$3="MAYO","5",$N$3="JUNIO","6",$N$3="JULIO","7",$N$3="AGOSTO","8",$N$3="SETIEMBRE","9",$N$3="OCTUBRE","10",$N$3="NOVIEMBRE","11",$N$3="DICIEMBRE","12"))),8,0),"")</f>
        <v>S1</v>
      </c>
      <c r="L11" s="55"/>
      <c r="M11" s="5">
        <f>DATA_ABRIL_2026[[#This Row],[RECUPERO]]/DATA_ABRIL_2026[[#This Row],[META]]</f>
        <v>1.2295199999999999</v>
      </c>
      <c r="N11" s="5">
        <f>6-ROUNDUP(_xlfn.RANK.EQ(DATA_ABRIL_2026[[#This Row],[AL_AC]],DATA_ABRIL_2026[AL_AC],0)/(COUNTA(DATA_ABRIL_2026[AL_AC])/5),0)</f>
        <v>5</v>
      </c>
      <c r="O11" s="54" t="str">
        <f>IFERROR(VLOOKUP(DATA_ABRIL_2026[[#This Row],[ASER_]],$B:$G,4,0),"")</f>
        <v>LEONOR</v>
      </c>
      <c r="P11" s="6">
        <f>SUM(DATA_ABRIL_2026[[#This Row],[1]:[30]])</f>
        <v>30738</v>
      </c>
      <c r="Q11" s="6">
        <f>VLOOKUP(DATA_ABRIL_2026[[#This Row],[ASER_]],D1_ABRIL_2026[[ASESOR_CRR]:[META]],2,0)</f>
        <v>25000</v>
      </c>
      <c r="R11" t="s">
        <v>109</v>
      </c>
      <c r="V11">
        <v>2490</v>
      </c>
      <c r="Z11">
        <v>4715</v>
      </c>
      <c r="AC11">
        <v>5000</v>
      </c>
      <c r="AE11">
        <v>5000</v>
      </c>
      <c r="AF11">
        <v>273</v>
      </c>
      <c r="AH11">
        <v>4000</v>
      </c>
      <c r="AI11">
        <v>5500</v>
      </c>
      <c r="AR11">
        <v>3760</v>
      </c>
      <c r="AS11" s="54" t="str" cm="1">
        <f t="array" ref="AS11">IFERROR(VLOOKUP(DATA_ABRIL_2026[[#This Row],[ASER_]],_xlfn._xlws.FILTER(PLANTILLA[[ASESOR]:[FECHA DE CESE]],PLANTILLA[FECHA]=_xlfn.CONCAT($M$3,"_",_xlfn.IFS($N$3="ENERO","1",$N$3="FEBRERO","2",$N$3="MARZO","3",$N$3="ABRIL","4",$N$3="MAYO","5",$N$3="JUNIO","6",$N$3="JULIO","7",$N$3="AGOSTO","8",$N$3="SETIEMBRE","9",$N$3="OCTUBRE","10",$N$3="NOVIEMBRE","11",$N$3="DICIEMBRE","12"))),8,0),"")</f>
        <v>S2-3-4 BANCO</v>
      </c>
      <c r="AU11" s="10">
        <f>SUMIFS(TablaMeta[Meta_Equipo],TablaMeta[CONCAT],$M$3&amp;$N$3&amp;DITE_ABRIL_2026[[#This Row],[SUPER]])</f>
        <v>529535</v>
      </c>
      <c r="AV11" s="10">
        <f>MAX(DITE_ABRIL_2026[[#This Row],[SUPER]:[CARTERA]])</f>
        <v>298238.59999999998</v>
      </c>
      <c r="AW11" s="16">
        <f>IFERROR(DITE_ABRIL_2026[[#This Row],[RECUPERO SUPERVISOR]]/DITE_ABRIL_2026[[#This Row],[META SUPER]],"")</f>
        <v>0.56320847536045771</v>
      </c>
      <c r="AX11" s="10" t="s">
        <v>2</v>
      </c>
      <c r="AY11" s="46">
        <v>6300</v>
      </c>
      <c r="AZ11" s="46">
        <v>6441</v>
      </c>
      <c r="BA11" s="46">
        <v>6441</v>
      </c>
      <c r="BB11" s="46">
        <v>14768.5</v>
      </c>
      <c r="BC11" s="46">
        <v>42946.5</v>
      </c>
      <c r="BD11" s="46">
        <v>45346.5</v>
      </c>
      <c r="BE11" s="46">
        <v>46016.5</v>
      </c>
      <c r="BF11" s="46">
        <v>60992.5</v>
      </c>
      <c r="BG11" s="46">
        <v>60992.5</v>
      </c>
      <c r="BH11" s="46">
        <v>68162.5</v>
      </c>
      <c r="BI11" s="46">
        <v>73362.5</v>
      </c>
      <c r="BJ11" s="46">
        <v>83307.5</v>
      </c>
      <c r="BK11" s="46">
        <v>88567.5</v>
      </c>
      <c r="BL11" s="46">
        <v>113072.5</v>
      </c>
      <c r="BM11" s="46">
        <v>116722.5</v>
      </c>
      <c r="BN11" s="46">
        <v>135989.79999999999</v>
      </c>
      <c r="BO11" s="46">
        <v>154136.78999999998</v>
      </c>
      <c r="BP11" s="46">
        <v>175836.78999999998</v>
      </c>
      <c r="BQ11" s="46">
        <v>198245.78999999998</v>
      </c>
      <c r="BR11" s="46">
        <v>207091.78999999998</v>
      </c>
      <c r="BS11" s="46">
        <v>207091.78999999998</v>
      </c>
      <c r="BT11" s="46">
        <v>208004.78999999998</v>
      </c>
      <c r="BU11" s="46">
        <v>222904.78999999998</v>
      </c>
      <c r="BV11" s="46">
        <v>230554.78999999998</v>
      </c>
      <c r="BW11" s="46">
        <v>244942.09999999998</v>
      </c>
      <c r="BX11" s="45">
        <v>298238.59999999998</v>
      </c>
      <c r="BY11" s="10" t="str" cm="1">
        <f t="array" ref="BY11">IFERROR(VLOOKUP(DITE_ABRIL_2026[[#This Row],[SUPER]],_xlfn._xlws.FILTER(PLANTILLA[[EQUIPO]:[FECHA DE CESE]],(PLANTILLA[FECHA]=_xlfn.CONCAT($M$3,"_",_xlfn.IFS($N$3="ENERO","1",$N$3="FEBRERO","2",$N$3="MARZO","3",$N$3="ABRIL","4",$N$3="MAYO","5",$N$3="JUNIO","6",$N$3="JULIO","7",$N$3="AGOSTO","8",$N$3="SETIEMBRE","9",$N$3="OCTUBRE","10",$N$3="NOVIEMBRE","11",$N$3="DICIEMBRE","12")))*(PLANTILLA[CONDICION]="SUPERVISOR")),6,0),"")</f>
        <v>S1</v>
      </c>
      <c r="CA11" t="s">
        <v>2</v>
      </c>
      <c r="CB11" t="s">
        <v>3</v>
      </c>
      <c r="CC11" t="s">
        <v>3</v>
      </c>
      <c r="CD11" t="s">
        <v>2</v>
      </c>
      <c r="CE11" t="s">
        <v>2</v>
      </c>
      <c r="CF11" s="45"/>
      <c r="CG11" s="45" t="s">
        <v>636</v>
      </c>
      <c r="CH11" s="45" t="s">
        <v>125</v>
      </c>
      <c r="CI11" s="45" t="s">
        <v>80</v>
      </c>
      <c r="CJ11" s="45">
        <v>46125</v>
      </c>
      <c r="CK11" s="45">
        <v>1</v>
      </c>
      <c r="CL11" s="45">
        <v>1</v>
      </c>
      <c r="CM11" s="45"/>
      <c r="CN11" s="45">
        <v>1</v>
      </c>
      <c r="CO11" s="45"/>
      <c r="CP11" s="45">
        <v>1.273148148148148E-4</v>
      </c>
      <c r="CQ11" s="45">
        <v>1.273148148148148E-4</v>
      </c>
      <c r="CR11">
        <v>0.21137731481481481</v>
      </c>
      <c r="CS11">
        <v>0.12277777777777778</v>
      </c>
      <c r="CT11">
        <v>104</v>
      </c>
      <c r="CU11">
        <v>163</v>
      </c>
      <c r="CV11">
        <v>6</v>
      </c>
      <c r="CW11" t="s">
        <v>765</v>
      </c>
      <c r="CX11">
        <v>50271</v>
      </c>
      <c r="CY11">
        <v>5.7700000000000001E-2</v>
      </c>
      <c r="CZ11">
        <v>1</v>
      </c>
      <c r="DA11">
        <v>0.16669999999999999</v>
      </c>
      <c r="DB11">
        <v>4100</v>
      </c>
      <c r="DC11">
        <v>4100</v>
      </c>
      <c r="DD11">
        <v>4100</v>
      </c>
      <c r="DE11">
        <v>1</v>
      </c>
      <c r="DF11">
        <v>0.158</v>
      </c>
      <c r="DG11">
        <v>100</v>
      </c>
      <c r="DH11">
        <v>4100</v>
      </c>
      <c r="DI11">
        <f>Tabla82[[#This Row],[IND_MontoPDP]]*Tabla82[[#This Row],[IND_Condonacion]]</f>
        <v>647.79999999999995</v>
      </c>
    </row>
    <row r="12" spans="1:113" x14ac:dyDescent="0.25">
      <c r="A12" s="34" t="str" cm="1">
        <f t="array" ref="A12">IFERROR(VLOOKUP(D1_ABRIL_2026[[#This Row],[ASESOR_CRR]],_xlfn._xlws.FILTER(PLANTILLA[[ASESOR]:[FECHA DE CESE]],PLANTILLA[FECHA]=_xlfn.CONCAT($M$3,"_",_xlfn.IFS($N$3="ENERO","1",$N$3="FEBRERO","2",$N$3="MARZO","3",$N$3="ABRIL","4",$N$3="MAYO","5",$N$3="JUNIO","6",$N$3="JULIO","7",$N$3="AGOSTO","8",$N$3="SETIEMBRE","9",$N$3="OCTUBRE","10",$N$3="NOVIEMBRE","11",$N$3="DICIEMBRE","12"))),3,0),"")</f>
        <v>JORGE</v>
      </c>
      <c r="B12" s="34" t="str" cm="1">
        <f t="array" ref="B12">TRIM(IFERROR(_xlfn.IFS(D1_ABRIL_2026[[#This Row],[ASESOR]]="ELVIS GUERRA","ELVIS GUERRERA",D1_ABRIL_2026[[#This Row],[ASESOR]]="GENESIS VICUÑA","GENESIS VICUNA",D1_ABRIL_2026[[#This Row],[ASESOR]]="JENY QUIÑONES","JENY QUINONES",D1_ABRIL_2026[[#This Row],[ASESOR]]="NICOLE CAURURO","NICOLE CAURURO"),D1_ABRIL_2026[[#This Row],[ASESOR]]))</f>
        <v>JHONATAN CHAVEZ</v>
      </c>
      <c r="C12" s="34" cm="1">
        <f t="array" ref="C12">_xlfn.XLOOKUP(1,(TablaMeta[CONCAT]=$M$3&amp;$N$3&amp;D1_ABRIL_2026[[#This Row],[SUPER]])*(TablaMeta[SEGG]=D1_ABRIL_2026[[#This Row],[SEGMENTO]]),TablaMeta[Meta_Asesor])</f>
        <v>48500</v>
      </c>
      <c r="D12" s="35">
        <f>IF(D1_ABRIL_2026[[#This Row],[RECUPERO]]="VACACIONES","VACACIONES",IFERROR(D1_ABRIL_2026[[#This Row],[RECUPERO]]/D1_ABRIL_2026[[#This Row],[META]],""))</f>
        <v>0.48810309278350517</v>
      </c>
      <c r="E12" s="35" t="str">
        <f>D1_ABRIL_2026[[#This Row],[SUPER]]</f>
        <v>JORGE</v>
      </c>
      <c r="F12" t="s">
        <v>65</v>
      </c>
      <c r="G12" s="36">
        <v>23673</v>
      </c>
      <c r="H12" cm="1">
        <f t="array" ref="H12">IFERROR(VLOOKUP(D1_ABRIL_2026[[#This Row],[ASESOR_CRR]],_xlfn._xlws.FILTER(PLANTILLA[[ASESOR]:[FECHA DE CESE]],PLANTILLA[FECHA]=_xlfn.CONCAT($M$3,"_",_xlfn.IFS($N$3="ENERO","1",$N$3="FEBRERO","2",$N$3="MARZO","3",$N$3="ABRIL","4",$N$3="MAYO","5",$N$3="JUNIO","6",$N$3="JULIO","7",$N$3="AGOSTO","8",$N$3="SETIEMBRE","9",$N$3="OCTUBRE","10",$N$3="NOVIEMBRE","11",$N$3="DICIEMBRE","12"))),2,0),"")</f>
        <v>47659267</v>
      </c>
      <c r="I12" s="55" cm="1">
        <f t="array" ref="I12">IFERROR(VLOOKUP(D1_ABRIL_2026[[#This Row],[ASESOR_CRR]],_xlfn._xlws.FILTER(PLANTILLA[[ASESOR]:[FECHA DE CESE]],PLANTILLA[FECHA]=_xlfn.CONCAT($M$3,"_",_xlfn.IFS($N$3="ENERO","1",$N$3="FEBRERO","2",$N$3="MARZO","3",$N$3="ABRIL","4",$N$3="MAYO","5",$N$3="JUNIO","6",$N$3="JULIO","7",$N$3="AGOSTO","8",$N$3="SETIEMBRE","9",$N$3="OCTUBRE","10",$N$3="NOVIEMBRE","11",$N$3="DICIEMBRE","12"))),6,0),"")</f>
        <v>45019</v>
      </c>
      <c r="J12" s="55" t="str" cm="1">
        <f t="array" ref="J12">IFERROR(VLOOKUP(D1_ABRIL_2026[[#This Row],[ASESOR_CRR]],_xlfn._xlws.FILTER(PLANTILLA[[ASESOR]:[FECHA DE CESE]],PLANTILLA[FECHA]=_xlfn.CONCAT($M$3,"_",_xlfn.IFS($N$3="ENERO","1",$N$3="FEBRERO","2",$N$3="MARZO","3",$N$3="ABRIL","4",$N$3="MAYO","5",$N$3="JUNIO","6",$N$3="JULIO","7",$N$3="AGOSTO","8",$N$3="SETIEMBRE","9",$N$3="OCTUBRE","10",$N$3="NOVIEMBRE","11",$N$3="DICIEMBRE","12"))),4,0),"")</f>
        <v>CALL</v>
      </c>
      <c r="K12" s="55" t="str" cm="1">
        <f t="array" ref="K12">IFERROR(VLOOKUP(D1_ABRIL_2026[[#This Row],[ASESOR_CRR]],_xlfn._xlws.FILTER(PLANTILLA[[ASESOR]:[FECHA DE CESE]],PLANTILLA[FECHA]=_xlfn.CONCAT($M$3,"_",_xlfn.IFS($N$3="ENERO","1",$N$3="FEBRERO","2",$N$3="MARZO","3",$N$3="ABRIL","4",$N$3="MAYO","5",$N$3="JUNIO","6",$N$3="JULIO","7",$N$3="AGOSTO","8",$N$3="SETIEMBRE","9",$N$3="OCTUBRE","10",$N$3="NOVIEMBRE","11",$N$3="DICIEMBRE","12"))),8,0),"")</f>
        <v>S1</v>
      </c>
      <c r="L12" s="55"/>
      <c r="M12" s="5">
        <f>DATA_ABRIL_2026[[#This Row],[RECUPERO]]/DATA_ABRIL_2026[[#This Row],[META]]</f>
        <v>0.7580412371134021</v>
      </c>
      <c r="N12" s="5">
        <f>6-ROUNDUP(_xlfn.RANK.EQ(DATA_ABRIL_2026[[#This Row],[AL_AC]],DATA_ABRIL_2026[AL_AC],0)/(COUNTA(DATA_ABRIL_2026[AL_AC])/5),0)</f>
        <v>3</v>
      </c>
      <c r="O12" s="54" t="str">
        <f>IFERROR(VLOOKUP(DATA_ABRIL_2026[[#This Row],[ASER_]],$B:$G,4,0),"")</f>
        <v>JOHAN</v>
      </c>
      <c r="P12" s="6">
        <f>SUM(DATA_ABRIL_2026[[#This Row],[1]:[30]])</f>
        <v>36765</v>
      </c>
      <c r="Q12" s="6">
        <f>VLOOKUP(DATA_ABRIL_2026[[#This Row],[ASER_]],D1_ABRIL_2026[[ASESOR_CRR]:[META]],2,0)</f>
        <v>48500</v>
      </c>
      <c r="R12" t="s">
        <v>60</v>
      </c>
      <c r="S12">
        <v>1000</v>
      </c>
      <c r="V12">
        <v>600</v>
      </c>
      <c r="W12">
        <v>1500</v>
      </c>
      <c r="AE12">
        <v>500</v>
      </c>
      <c r="AF12">
        <v>4000</v>
      </c>
      <c r="AI12">
        <v>2000</v>
      </c>
      <c r="AK12">
        <v>11750</v>
      </c>
      <c r="AN12">
        <v>700</v>
      </c>
      <c r="AO12">
        <v>1001</v>
      </c>
      <c r="AP12">
        <v>3000</v>
      </c>
      <c r="AQ12">
        <v>1730</v>
      </c>
      <c r="AR12">
        <v>8984</v>
      </c>
      <c r="AS12" s="54" t="str" cm="1">
        <f t="array" ref="AS12">IFERROR(VLOOKUP(DATA_ABRIL_2026[[#This Row],[ASER_]],_xlfn._xlws.FILTER(PLANTILLA[[ASESOR]:[FECHA DE CESE]],PLANTILLA[FECHA]=_xlfn.CONCAT($M$3,"_",_xlfn.IFS($N$3="ENERO","1",$N$3="FEBRERO","2",$N$3="MARZO","3",$N$3="ABRIL","4",$N$3="MAYO","5",$N$3="JUNIO","6",$N$3="JULIO","7",$N$3="AGOSTO","8",$N$3="SETIEMBRE","9",$N$3="OCTUBRE","10",$N$3="NOVIEMBRE","11",$N$3="DICIEMBRE","12"))),8,0),"")</f>
        <v>S1</v>
      </c>
      <c r="AU12" s="11">
        <f>SUMIFS(TablaMeta[Meta_Equipo],TablaMeta[CONCAT],$M$3&amp;$N$3&amp;DITE_ABRIL_2026[[#This Row],[SUPER]])</f>
        <v>529535</v>
      </c>
      <c r="AV12" s="11">
        <f>MAX(DITE_ABRIL_2026[[#This Row],[SUPER]:[CARTERA]])</f>
        <v>472977.5</v>
      </c>
      <c r="AW12" s="17">
        <f>IFERROR(DITE_ABRIL_2026[[#This Row],[RECUPERO SUPERVISOR]]/DITE_ABRIL_2026[[#This Row],[META SUPER]],"")</f>
        <v>0.89319402872331388</v>
      </c>
      <c r="AX12" s="11" t="s">
        <v>125</v>
      </c>
      <c r="AY12" s="46">
        <v>45836.5</v>
      </c>
      <c r="AZ12" s="46">
        <v>46436.5</v>
      </c>
      <c r="BA12" s="46">
        <v>46436.5</v>
      </c>
      <c r="BB12" s="46">
        <v>68976.5</v>
      </c>
      <c r="BC12" s="46">
        <v>73197.5</v>
      </c>
      <c r="BD12" s="46">
        <v>95552.5</v>
      </c>
      <c r="BE12" s="46">
        <v>96927.5</v>
      </c>
      <c r="BF12" s="46">
        <v>131674.5</v>
      </c>
      <c r="BG12" s="46">
        <v>140874.5</v>
      </c>
      <c r="BH12" s="46">
        <v>144974.5</v>
      </c>
      <c r="BI12" s="46">
        <v>159004.5</v>
      </c>
      <c r="BJ12" s="46">
        <v>175054.5</v>
      </c>
      <c r="BK12" s="46">
        <v>184011.5</v>
      </c>
      <c r="BL12" s="46">
        <v>194911.5</v>
      </c>
      <c r="BM12" s="46">
        <v>194911.5</v>
      </c>
      <c r="BN12" s="46">
        <v>208400.5</v>
      </c>
      <c r="BO12" s="46">
        <v>252200.5</v>
      </c>
      <c r="BP12" s="46">
        <v>263100.5</v>
      </c>
      <c r="BQ12" s="46">
        <v>281047.5</v>
      </c>
      <c r="BR12" s="46">
        <v>303076.5</v>
      </c>
      <c r="BS12" s="46">
        <v>303076.5</v>
      </c>
      <c r="BT12" s="46">
        <v>304476.5</v>
      </c>
      <c r="BU12" s="46">
        <v>324567.5</v>
      </c>
      <c r="BV12" s="46">
        <v>349483.5</v>
      </c>
      <c r="BW12" s="46">
        <v>419418.5</v>
      </c>
      <c r="BX12" s="45">
        <v>472977.5</v>
      </c>
      <c r="BY12" s="11" t="str" cm="1">
        <f t="array" ref="BY12">IFERROR(VLOOKUP(DITE_ABRIL_2026[[#This Row],[SUPER]],_xlfn._xlws.FILTER(PLANTILLA[[EQUIPO]:[FECHA DE CESE]],(PLANTILLA[FECHA]=_xlfn.CONCAT($M$3,"_",_xlfn.IFS($N$3="ENERO","1",$N$3="FEBRERO","2",$N$3="MARZO","3",$N$3="ABRIL","4",$N$3="MAYO","5",$N$3="JUNIO","6",$N$3="JULIO","7",$N$3="AGOSTO","8",$N$3="SETIEMBRE","9",$N$3="OCTUBRE","10",$N$3="NOVIEMBRE","11",$N$3="DICIEMBRE","12")))*(PLANTILLA[CONDICION]="SUPERVISOR")),6,0),"")</f>
        <v>S1</v>
      </c>
      <c r="CA12" t="s">
        <v>125</v>
      </c>
      <c r="CB12" t="s">
        <v>4</v>
      </c>
      <c r="CC12" t="s">
        <v>125</v>
      </c>
      <c r="CD12" t="s">
        <v>125</v>
      </c>
      <c r="CE12" t="s">
        <v>125</v>
      </c>
      <c r="CF12" s="45"/>
      <c r="CG12" s="45" t="s">
        <v>636</v>
      </c>
      <c r="CH12" s="45" t="s">
        <v>125</v>
      </c>
      <c r="CI12" s="45" t="s">
        <v>59</v>
      </c>
      <c r="CJ12" s="45">
        <v>46122</v>
      </c>
      <c r="CK12" s="45">
        <v>1</v>
      </c>
      <c r="CL12" s="45">
        <v>1</v>
      </c>
      <c r="CM12" s="45"/>
      <c r="CN12" s="45">
        <v>1</v>
      </c>
      <c r="CO12" s="45"/>
      <c r="CP12" s="45">
        <v>5.2083333333333333E-4</v>
      </c>
      <c r="CQ12" s="45">
        <v>5.2083333333333333E-4</v>
      </c>
      <c r="CR12">
        <v>0.22412037037037036</v>
      </c>
      <c r="CS12">
        <v>0.13093750000000001</v>
      </c>
      <c r="CT12">
        <v>188</v>
      </c>
      <c r="CU12">
        <v>359</v>
      </c>
      <c r="CV12">
        <v>15</v>
      </c>
      <c r="CW12" t="s">
        <v>956</v>
      </c>
      <c r="CX12">
        <v>31236</v>
      </c>
      <c r="CY12">
        <v>7.9799999999999996E-2</v>
      </c>
      <c r="CZ12">
        <v>3</v>
      </c>
      <c r="DA12">
        <v>0.2</v>
      </c>
      <c r="DB12">
        <v>23497</v>
      </c>
      <c r="DC12">
        <v>7832</v>
      </c>
      <c r="DD12">
        <v>23497</v>
      </c>
      <c r="DE12">
        <v>1</v>
      </c>
      <c r="DF12">
        <v>0.15040000000000001</v>
      </c>
      <c r="DG12">
        <v>100</v>
      </c>
      <c r="DH12">
        <v>7832</v>
      </c>
      <c r="DI12">
        <f>Tabla82[[#This Row],[IND_MontoPDP]]*Tabla82[[#This Row],[IND_Condonacion]]</f>
        <v>3533.9488000000001</v>
      </c>
    </row>
    <row r="13" spans="1:113" x14ac:dyDescent="0.25">
      <c r="A13" s="34" t="str" cm="1">
        <f t="array" ref="A13">IFERROR(VLOOKUP(D1_ABRIL_2026[[#This Row],[ASESOR_CRR]],_xlfn._xlws.FILTER(PLANTILLA[[ASESOR]:[FECHA DE CESE]],PLANTILLA[FECHA]=_xlfn.CONCAT($M$3,"_",_xlfn.IFS($N$3="ENERO","1",$N$3="FEBRERO","2",$N$3="MARZO","3",$N$3="ABRIL","4",$N$3="MAYO","5",$N$3="JUNIO","6",$N$3="JULIO","7",$N$3="AGOSTO","8",$N$3="SETIEMBRE","9",$N$3="OCTUBRE","10",$N$3="NOVIEMBRE","11",$N$3="DICIEMBRE","12"))),3,0),"")</f>
        <v>JORGE</v>
      </c>
      <c r="B13" s="34" t="str" cm="1">
        <f t="array" ref="B13">TRIM(IFERROR(_xlfn.IFS(D1_ABRIL_2026[[#This Row],[ASESOR]]="ELVIS GUERRA","ELVIS GUERRERA",D1_ABRIL_2026[[#This Row],[ASESOR]]="GENESIS VICUÑA","GENESIS VICUNA",D1_ABRIL_2026[[#This Row],[ASESOR]]="JENY QUIÑONES","JENY QUINONES",D1_ABRIL_2026[[#This Row],[ASESOR]]="NICOLE CAURURO","NICOLE CAURURO"),D1_ABRIL_2026[[#This Row],[ASESOR]]))</f>
        <v>ANDERSON RODRIGUEZ</v>
      </c>
      <c r="C13" s="34" cm="1">
        <f t="array" ref="C13">_xlfn.XLOOKUP(1,(TablaMeta[CONCAT]=$M$3&amp;$N$3&amp;D1_ABRIL_2026[[#This Row],[SUPER]])*(TablaMeta[SEGG]=D1_ABRIL_2026[[#This Row],[SEGMENTO]]),TablaMeta[Meta_Asesor])</f>
        <v>48500</v>
      </c>
      <c r="D13" s="35">
        <f>IF(D1_ABRIL_2026[[#This Row],[RECUPERO]]="VACACIONES","VACACIONES",IFERROR(D1_ABRIL_2026[[#This Row],[RECUPERO]]/D1_ABRIL_2026[[#This Row],[META]],""))</f>
        <v>0.46653608247422679</v>
      </c>
      <c r="E13" s="35" t="str">
        <f>D1_ABRIL_2026[[#This Row],[SUPER]]</f>
        <v>JORGE</v>
      </c>
      <c r="F13" t="s">
        <v>15</v>
      </c>
      <c r="G13" s="36">
        <v>22627</v>
      </c>
      <c r="H13" cm="1">
        <f t="array" ref="H13">IFERROR(VLOOKUP(D1_ABRIL_2026[[#This Row],[ASESOR_CRR]],_xlfn._xlws.FILTER(PLANTILLA[[ASESOR]:[FECHA DE CESE]],PLANTILLA[FECHA]=_xlfn.CONCAT($M$3,"_",_xlfn.IFS($N$3="ENERO","1",$N$3="FEBRERO","2",$N$3="MARZO","3",$N$3="ABRIL","4",$N$3="MAYO","5",$N$3="JUNIO","6",$N$3="JULIO","7",$N$3="AGOSTO","8",$N$3="SETIEMBRE","9",$N$3="OCTUBRE","10",$N$3="NOVIEMBRE","11",$N$3="DICIEMBRE","12"))),2,0),"")</f>
        <v>47587400</v>
      </c>
      <c r="I13" s="55" cm="1">
        <f t="array" ref="I13">IFERROR(VLOOKUP(D1_ABRIL_2026[[#This Row],[ASESOR_CRR]],_xlfn._xlws.FILTER(PLANTILLA[[ASESOR]:[FECHA DE CESE]],PLANTILLA[FECHA]=_xlfn.CONCAT($M$3,"_",_xlfn.IFS($N$3="ENERO","1",$N$3="FEBRERO","2",$N$3="MARZO","3",$N$3="ABRIL","4",$N$3="MAYO","5",$N$3="JUNIO","6",$N$3="JULIO","7",$N$3="AGOSTO","8",$N$3="SETIEMBRE","9",$N$3="OCTUBRE","10",$N$3="NOVIEMBRE","11",$N$3="DICIEMBRE","12"))),6,0),"")</f>
        <v>44733</v>
      </c>
      <c r="J13" s="55" t="str" cm="1">
        <f t="array" ref="J13">IFERROR(VLOOKUP(D1_ABRIL_2026[[#This Row],[ASESOR_CRR]],_xlfn._xlws.FILTER(PLANTILLA[[ASESOR]:[FECHA DE CESE]],PLANTILLA[FECHA]=_xlfn.CONCAT($M$3,"_",_xlfn.IFS($N$3="ENERO","1",$N$3="FEBRERO","2",$N$3="MARZO","3",$N$3="ABRIL","4",$N$3="MAYO","5",$N$3="JUNIO","6",$N$3="JULIO","7",$N$3="AGOSTO","8",$N$3="SETIEMBRE","9",$N$3="OCTUBRE","10",$N$3="NOVIEMBRE","11",$N$3="DICIEMBRE","12"))),4,0),"")</f>
        <v>CALL</v>
      </c>
      <c r="K13" s="55" t="str" cm="1">
        <f t="array" ref="K13">IFERROR(VLOOKUP(D1_ABRIL_2026[[#This Row],[ASESOR_CRR]],_xlfn._xlws.FILTER(PLANTILLA[[ASESOR]:[FECHA DE CESE]],PLANTILLA[FECHA]=_xlfn.CONCAT($M$3,"_",_xlfn.IFS($N$3="ENERO","1",$N$3="FEBRERO","2",$N$3="MARZO","3",$N$3="ABRIL","4",$N$3="MAYO","5",$N$3="JUNIO","6",$N$3="JULIO","7",$N$3="AGOSTO","8",$N$3="SETIEMBRE","9",$N$3="OCTUBRE","10",$N$3="NOVIEMBRE","11",$N$3="DICIEMBRE","12"))),8,0),"")</f>
        <v>S1</v>
      </c>
      <c r="L13" s="55"/>
      <c r="M13" s="5">
        <f>DATA_ABRIL_2026[[#This Row],[RECUPERO]]/DATA_ABRIL_2026[[#This Row],[META]]</f>
        <v>0.46653608247422679</v>
      </c>
      <c r="N13" s="5">
        <f>6-ROUNDUP(_xlfn.RANK.EQ(DATA_ABRIL_2026[[#This Row],[AL_AC]],DATA_ABRIL_2026[AL_AC],0)/(COUNTA(DATA_ABRIL_2026[AL_AC])/5),0)</f>
        <v>1</v>
      </c>
      <c r="O13" s="54" t="str">
        <f>IFERROR(VLOOKUP(DATA_ABRIL_2026[[#This Row],[ASER_]],$B:$G,4,0),"")</f>
        <v>JORGE</v>
      </c>
      <c r="P13" s="6">
        <f>SUM(DATA_ABRIL_2026[[#This Row],[1]:[30]])</f>
        <v>22627</v>
      </c>
      <c r="Q13" s="6">
        <f>VLOOKUP(DATA_ABRIL_2026[[#This Row],[ASER_]],D1_ABRIL_2026[[ASESOR_CRR]:[META]],2,0)</f>
        <v>48500</v>
      </c>
      <c r="R13" t="s">
        <v>15</v>
      </c>
      <c r="S13" s="47"/>
      <c r="W13">
        <v>3300</v>
      </c>
      <c r="Z13">
        <v>7500</v>
      </c>
      <c r="AF13">
        <v>225</v>
      </c>
      <c r="AI13">
        <v>600</v>
      </c>
      <c r="AJ13">
        <v>805</v>
      </c>
      <c r="AL13">
        <v>3746</v>
      </c>
      <c r="AN13">
        <v>500</v>
      </c>
      <c r="AP13">
        <v>3000</v>
      </c>
      <c r="AQ13">
        <v>1190</v>
      </c>
      <c r="AR13">
        <v>1761</v>
      </c>
      <c r="AS13" s="54" t="str" cm="1">
        <f t="array" ref="AS13">IFERROR(VLOOKUP(DATA_ABRIL_2026[[#This Row],[ASER_]],_xlfn._xlws.FILTER(PLANTILLA[[ASESOR]:[FECHA DE CESE]],PLANTILLA[FECHA]=_xlfn.CONCAT($M$3,"_",_xlfn.IFS($N$3="ENERO","1",$N$3="FEBRERO","2",$N$3="MARZO","3",$N$3="ABRIL","4",$N$3="MAYO","5",$N$3="JUNIO","6",$N$3="JULIO","7",$N$3="AGOSTO","8",$N$3="SETIEMBRE","9",$N$3="OCTUBRE","10",$N$3="NOVIEMBRE","11",$N$3="DICIEMBRE","12"))),8,0),"")</f>
        <v>S1</v>
      </c>
      <c r="AU13" s="10">
        <f>SUMIFS(TablaMeta[Meta_Equipo],TablaMeta[CONCAT],$M$3&amp;$N$3&amp;DITE_ABRIL_2026[[#This Row],[SUPER]])</f>
        <v>245120</v>
      </c>
      <c r="AV13" s="10">
        <f>MAX(DITE_ABRIL_2026[[#This Row],[SUPER]:[CARTERA]])</f>
        <v>245604.2</v>
      </c>
      <c r="AW13" s="16">
        <f>IFERROR(DITE_ABRIL_2026[[#This Row],[RECUPERO SUPERVISOR]]/DITE_ABRIL_2026[[#This Row],[META SUPER]],"")</f>
        <v>1.0019753590078329</v>
      </c>
      <c r="AX13" s="10" t="s">
        <v>7</v>
      </c>
      <c r="AY13" s="46">
        <v>7336</v>
      </c>
      <c r="AZ13" s="46">
        <v>7736</v>
      </c>
      <c r="BA13" s="45">
        <v>8436</v>
      </c>
      <c r="BB13" s="46">
        <v>16845</v>
      </c>
      <c r="BC13" s="46">
        <v>18304</v>
      </c>
      <c r="BD13" s="46">
        <v>26178</v>
      </c>
      <c r="BE13" s="46">
        <v>29506</v>
      </c>
      <c r="BF13" s="46">
        <v>41981</v>
      </c>
      <c r="BG13" s="46">
        <v>41981</v>
      </c>
      <c r="BH13" s="46">
        <v>55028</v>
      </c>
      <c r="BI13" s="46">
        <v>79942</v>
      </c>
      <c r="BJ13" s="46">
        <v>88642</v>
      </c>
      <c r="BK13" s="46">
        <v>105331</v>
      </c>
      <c r="BL13" s="45">
        <v>109500</v>
      </c>
      <c r="BM13" s="46">
        <v>109500</v>
      </c>
      <c r="BN13" s="46">
        <v>135574</v>
      </c>
      <c r="BO13" s="45">
        <v>150177</v>
      </c>
      <c r="BP13" s="46">
        <v>160607</v>
      </c>
      <c r="BQ13" s="46">
        <v>174751</v>
      </c>
      <c r="BR13" s="46">
        <v>186861</v>
      </c>
      <c r="BS13" s="46">
        <v>186861</v>
      </c>
      <c r="BT13" s="46">
        <v>186861</v>
      </c>
      <c r="BU13" s="46">
        <v>199611</v>
      </c>
      <c r="BV13" s="46">
        <v>208311</v>
      </c>
      <c r="BW13" s="46">
        <v>225048.2</v>
      </c>
      <c r="BX13" s="45">
        <v>245604.2</v>
      </c>
      <c r="BY13" s="10" t="str" cm="1">
        <f t="array" ref="BY13">IFERROR(VLOOKUP(DITE_ABRIL_2026[[#This Row],[SUPER]],_xlfn._xlws.FILTER(PLANTILLA[[EQUIPO]:[FECHA DE CESE]],(PLANTILLA[FECHA]=_xlfn.CONCAT($M$3,"_",_xlfn.IFS($N$3="ENERO","1",$N$3="FEBRERO","2",$N$3="MARZO","3",$N$3="ABRIL","4",$N$3="MAYO","5",$N$3="JUNIO","6",$N$3="JULIO","7",$N$3="AGOSTO","8",$N$3="SETIEMBRE","9",$N$3="OCTUBRE","10",$N$3="NOVIEMBRE","11",$N$3="DICIEMBRE","12")))*(PLANTILLA[CONDICION]="SUPERVISOR")),6,0),"")</f>
        <v>S2-3-4</v>
      </c>
      <c r="CA13" t="s">
        <v>7</v>
      </c>
      <c r="CB13" t="s">
        <v>125</v>
      </c>
      <c r="CC13" t="s">
        <v>124</v>
      </c>
      <c r="CD13" t="s">
        <v>7</v>
      </c>
      <c r="CE13" t="s">
        <v>7</v>
      </c>
      <c r="CF13" s="45"/>
      <c r="CG13" s="45" t="s">
        <v>636</v>
      </c>
      <c r="CH13" s="45" t="s">
        <v>2</v>
      </c>
      <c r="CI13" s="45" t="s">
        <v>15</v>
      </c>
      <c r="CJ13" s="45">
        <v>46121</v>
      </c>
      <c r="CK13" s="45">
        <v>1</v>
      </c>
      <c r="CL13" s="45">
        <v>1</v>
      </c>
      <c r="CM13" s="45"/>
      <c r="CN13" s="45">
        <v>1</v>
      </c>
      <c r="CO13" s="45"/>
      <c r="CP13" s="45">
        <v>1.273148148148148E-4</v>
      </c>
      <c r="CQ13" s="45">
        <v>1.273148148148148E-4</v>
      </c>
      <c r="CR13">
        <v>0.32246527777777778</v>
      </c>
      <c r="CS13">
        <v>0.10261574074074074</v>
      </c>
      <c r="CT13">
        <v>134</v>
      </c>
      <c r="CU13">
        <v>171</v>
      </c>
      <c r="CV13">
        <v>13</v>
      </c>
      <c r="CW13" t="s">
        <v>799</v>
      </c>
      <c r="CX13">
        <v>27482</v>
      </c>
      <c r="CY13">
        <v>9.7000000000000003E-2</v>
      </c>
      <c r="DG13">
        <v>100</v>
      </c>
      <c r="DI13">
        <f>Tabla82[[#This Row],[IND_MontoPDP]]*Tabla82[[#This Row],[IND_Condonacion]]</f>
        <v>0</v>
      </c>
    </row>
    <row r="14" spans="1:113" x14ac:dyDescent="0.25">
      <c r="A14" s="34" t="str" cm="1">
        <f t="array" ref="A14">IFERROR(VLOOKUP(D1_ABRIL_2026[[#This Row],[ASESOR_CRR]],_xlfn._xlws.FILTER(PLANTILLA[[ASESOR]:[FECHA DE CESE]],PLANTILLA[FECHA]=_xlfn.CONCAT($M$3,"_",_xlfn.IFS($N$3="ENERO","1",$N$3="FEBRERO","2",$N$3="MARZO","3",$N$3="ABRIL","4",$N$3="MAYO","5",$N$3="JUNIO","6",$N$3="JULIO","7",$N$3="AGOSTO","8",$N$3="SETIEMBRE","9",$N$3="OCTUBRE","10",$N$3="NOVIEMBRE","11",$N$3="DICIEMBRE","12"))),3,0),"")</f>
        <v>JORGE</v>
      </c>
      <c r="B14" s="34" t="str" cm="1">
        <f t="array" ref="B14">TRIM(IFERROR(_xlfn.IFS(D1_ABRIL_2026[[#This Row],[ASESOR]]="ELVIS GUERRA","ELVIS GUERRERA",D1_ABRIL_2026[[#This Row],[ASESOR]]="GENESIS VICUÑA","GENESIS VICUNA",D1_ABRIL_2026[[#This Row],[ASESOR]]="JENY QUIÑONES","JENY QUINONES",D1_ABRIL_2026[[#This Row],[ASESOR]]="NICOLE CAURURO","NICOLE CAURURO"),D1_ABRIL_2026[[#This Row],[ASESOR]]))</f>
        <v>MALORY MONTEBLANCO</v>
      </c>
      <c r="C14" s="34" cm="1">
        <f t="array" ref="C14">_xlfn.XLOOKUP(1,(TablaMeta[CONCAT]=$M$3&amp;$N$3&amp;D1_ABRIL_2026[[#This Row],[SUPER]])*(TablaMeta[SEGG]=D1_ABRIL_2026[[#This Row],[SEGMENTO]]),TablaMeta[Meta_Asesor])</f>
        <v>48500</v>
      </c>
      <c r="D14" s="35">
        <f>IF(D1_ABRIL_2026[[#This Row],[RECUPERO]]="VACACIONES","VACACIONES",IFERROR(D1_ABRIL_2026[[#This Row],[RECUPERO]]/D1_ABRIL_2026[[#This Row],[META]],""))</f>
        <v>0.45311340206185569</v>
      </c>
      <c r="E14" s="35" t="str">
        <f>D1_ABRIL_2026[[#This Row],[SUPER]]</f>
        <v>JORGE</v>
      </c>
      <c r="F14" t="s">
        <v>25</v>
      </c>
      <c r="G14" s="36">
        <v>21976</v>
      </c>
      <c r="H14" cm="1">
        <f t="array" ref="H14">IFERROR(VLOOKUP(D1_ABRIL_2026[[#This Row],[ASESOR_CRR]],_xlfn._xlws.FILTER(PLANTILLA[[ASESOR]:[FECHA DE CESE]],PLANTILLA[FECHA]=_xlfn.CONCAT($M$3,"_",_xlfn.IFS($N$3="ENERO","1",$N$3="FEBRERO","2",$N$3="MARZO","3",$N$3="ABRIL","4",$N$3="MAYO","5",$N$3="JUNIO","6",$N$3="JULIO","7",$N$3="AGOSTO","8",$N$3="SETIEMBRE","9",$N$3="OCTUBRE","10",$N$3="NOVIEMBRE","11",$N$3="DICIEMBRE","12"))),2,0),"")</f>
        <v>72373931</v>
      </c>
      <c r="I14" s="55" cm="1">
        <f t="array" ref="I14">IFERROR(VLOOKUP(D1_ABRIL_2026[[#This Row],[ASESOR_CRR]],_xlfn._xlws.FILTER(PLANTILLA[[ASESOR]:[FECHA DE CESE]],PLANTILLA[FECHA]=_xlfn.CONCAT($M$3,"_",_xlfn.IFS($N$3="ENERO","1",$N$3="FEBRERO","2",$N$3="MARZO","3",$N$3="ABRIL","4",$N$3="MAYO","5",$N$3="JUNIO","6",$N$3="JULIO","7",$N$3="AGOSTO","8",$N$3="SETIEMBRE","9",$N$3="OCTUBRE","10",$N$3="NOVIEMBRE","11",$N$3="DICIEMBRE","12"))),6,0),"")</f>
        <v>44818</v>
      </c>
      <c r="J14" s="55" t="str" cm="1">
        <f t="array" ref="J14">IFERROR(VLOOKUP(D1_ABRIL_2026[[#This Row],[ASESOR_CRR]],_xlfn._xlws.FILTER(PLANTILLA[[ASESOR]:[FECHA DE CESE]],PLANTILLA[FECHA]=_xlfn.CONCAT($M$3,"_",_xlfn.IFS($N$3="ENERO","1",$N$3="FEBRERO","2",$N$3="MARZO","3",$N$3="ABRIL","4",$N$3="MAYO","5",$N$3="JUNIO","6",$N$3="JULIO","7",$N$3="AGOSTO","8",$N$3="SETIEMBRE","9",$N$3="OCTUBRE","10",$N$3="NOVIEMBRE","11",$N$3="DICIEMBRE","12"))),4,0),"")</f>
        <v>CALL</v>
      </c>
      <c r="K14" s="55" t="str" cm="1">
        <f t="array" ref="K14">IFERROR(VLOOKUP(D1_ABRIL_2026[[#This Row],[ASESOR_CRR]],_xlfn._xlws.FILTER(PLANTILLA[[ASESOR]:[FECHA DE CESE]],PLANTILLA[FECHA]=_xlfn.CONCAT($M$3,"_",_xlfn.IFS($N$3="ENERO","1",$N$3="FEBRERO","2",$N$3="MARZO","3",$N$3="ABRIL","4",$N$3="MAYO","5",$N$3="JUNIO","6",$N$3="JULIO","7",$N$3="AGOSTO","8",$N$3="SETIEMBRE","9",$N$3="OCTUBRE","10",$N$3="NOVIEMBRE","11",$N$3="DICIEMBRE","12"))),8,0),"")</f>
        <v>S1</v>
      </c>
      <c r="L14" s="55"/>
      <c r="M14" s="5">
        <f>DATA_ABRIL_2026[[#This Row],[RECUPERO]]/DATA_ABRIL_2026[[#This Row],[META]]</f>
        <v>2.0886785714285714</v>
      </c>
      <c r="N14" s="5">
        <f>6-ROUNDUP(_xlfn.RANK.EQ(DATA_ABRIL_2026[[#This Row],[AL_AC]],DATA_ABRIL_2026[AL_AC],0)/(COUNTA(DATA_ABRIL_2026[AL_AC])/5),0)</f>
        <v>5</v>
      </c>
      <c r="O14" s="54" t="str">
        <f>IFERROR(VLOOKUP(DATA_ABRIL_2026[[#This Row],[ASER_]],$B:$G,4,0),"")</f>
        <v>SANDY</v>
      </c>
      <c r="P14" s="6">
        <f>SUM(DATA_ABRIL_2026[[#This Row],[1]:[30]])</f>
        <v>58483</v>
      </c>
      <c r="Q14" s="6">
        <f>VLOOKUP(DATA_ABRIL_2026[[#This Row],[ASER_]],D1_ABRIL_2026[[ASESOR_CRR]:[META]],2,0)</f>
        <v>28000</v>
      </c>
      <c r="R14" t="s">
        <v>85</v>
      </c>
      <c r="S14" s="47"/>
      <c r="W14">
        <v>2000</v>
      </c>
      <c r="X14">
        <v>1400</v>
      </c>
      <c r="Z14">
        <v>6478</v>
      </c>
      <c r="AC14">
        <v>280</v>
      </c>
      <c r="AD14">
        <v>5000</v>
      </c>
      <c r="AE14">
        <v>13050</v>
      </c>
      <c r="AH14">
        <v>12375</v>
      </c>
      <c r="AK14">
        <v>4300</v>
      </c>
      <c r="AM14">
        <v>2000</v>
      </c>
      <c r="AP14">
        <v>600</v>
      </c>
      <c r="AQ14">
        <v>7000</v>
      </c>
      <c r="AR14">
        <v>4000</v>
      </c>
      <c r="AS14" s="54" t="str" cm="1">
        <f t="array" ref="AS14">IFERROR(VLOOKUP(DATA_ABRIL_2026[[#This Row],[ASER_]],_xlfn._xlws.FILTER(PLANTILLA[[ASESOR]:[FECHA DE CESE]],PLANTILLA[FECHA]=_xlfn.CONCAT($M$3,"_",_xlfn.IFS($N$3="ENERO","1",$N$3="FEBRERO","2",$N$3="MARZO","3",$N$3="ABRIL","4",$N$3="MAYO","5",$N$3="JUNIO","6",$N$3="JULIO","7",$N$3="AGOSTO","8",$N$3="SETIEMBRE","9",$N$3="OCTUBRE","10",$N$3="NOVIEMBRE","11",$N$3="DICIEMBRE","12"))),8,0),"")</f>
        <v>S0</v>
      </c>
      <c r="CG14" t="s">
        <v>636</v>
      </c>
      <c r="CH14" t="s">
        <v>2</v>
      </c>
      <c r="CI14" t="s">
        <v>81</v>
      </c>
      <c r="CJ14">
        <v>46120</v>
      </c>
      <c r="CK14">
        <v>1</v>
      </c>
      <c r="CL14">
        <v>1</v>
      </c>
      <c r="CN14">
        <v>1</v>
      </c>
      <c r="CP14">
        <v>0</v>
      </c>
      <c r="CQ14">
        <v>0</v>
      </c>
      <c r="CR14">
        <v>0.24685185185185185</v>
      </c>
      <c r="CS14">
        <v>8.5798611111111117E-2</v>
      </c>
      <c r="CT14">
        <v>71</v>
      </c>
      <c r="CU14">
        <v>110</v>
      </c>
      <c r="CV14">
        <v>9</v>
      </c>
      <c r="CW14" t="s">
        <v>749</v>
      </c>
      <c r="CX14">
        <v>24167</v>
      </c>
      <c r="CY14">
        <v>0.1268</v>
      </c>
      <c r="CZ14">
        <v>1</v>
      </c>
      <c r="DA14">
        <v>0.1111</v>
      </c>
      <c r="DB14">
        <v>4620</v>
      </c>
      <c r="DC14">
        <v>4620</v>
      </c>
      <c r="DD14">
        <v>4620</v>
      </c>
      <c r="DE14">
        <v>1</v>
      </c>
      <c r="DF14">
        <v>0.18010000000000001</v>
      </c>
      <c r="DG14">
        <v>100</v>
      </c>
      <c r="DH14">
        <v>4620</v>
      </c>
      <c r="DI14">
        <f>Tabla82[[#This Row],[IND_MontoPDP]]*Tabla82[[#This Row],[IND_Condonacion]]</f>
        <v>832.06200000000001</v>
      </c>
    </row>
    <row r="15" spans="1:113" x14ac:dyDescent="0.25">
      <c r="A15" s="34" t="str" cm="1">
        <f t="array" ref="A15">IFERROR(VLOOKUP(D1_ABRIL_2026[[#This Row],[ASESOR_CRR]],_xlfn._xlws.FILTER(PLANTILLA[[ASESOR]:[FECHA DE CESE]],PLANTILLA[FECHA]=_xlfn.CONCAT($M$3,"_",_xlfn.IFS($N$3="ENERO","1",$N$3="FEBRERO","2",$N$3="MARZO","3",$N$3="ABRIL","4",$N$3="MAYO","5",$N$3="JUNIO","6",$N$3="JULIO","7",$N$3="AGOSTO","8",$N$3="SETIEMBRE","9",$N$3="OCTUBRE","10",$N$3="NOVIEMBRE","11",$N$3="DICIEMBRE","12"))),3,0),"")</f>
        <v>JORGE</v>
      </c>
      <c r="B15" s="34" t="str" cm="1">
        <f t="array" ref="B15">TRIM(IFERROR(_xlfn.IFS(D1_ABRIL_2026[[#This Row],[ASESOR]]="ELVIS GUERRA","ELVIS GUERRERA",D1_ABRIL_2026[[#This Row],[ASESOR]]="GENESIS VICUÑA","GENESIS VICUNA",D1_ABRIL_2026[[#This Row],[ASESOR]]="JENY QUIÑONES","JENY QUINONES",D1_ABRIL_2026[[#This Row],[ASESOR]]="NICOLE CAURURO","NICOLE CAURURO"),D1_ABRIL_2026[[#This Row],[ASESOR]]))</f>
        <v>HAROLD FLORES</v>
      </c>
      <c r="C15" s="34" cm="1">
        <f t="array" ref="C15">_xlfn.XLOOKUP(1,(TablaMeta[CONCAT]=$M$3&amp;$N$3&amp;D1_ABRIL_2026[[#This Row],[SUPER]])*(TablaMeta[SEGG]=D1_ABRIL_2026[[#This Row],[SEGMENTO]]),TablaMeta[Meta_Asesor])</f>
        <v>48500</v>
      </c>
      <c r="D15" s="35">
        <f>IF(D1_ABRIL_2026[[#This Row],[RECUPERO]]="VACACIONES","VACACIONES",IFERROR(D1_ABRIL_2026[[#This Row],[RECUPERO]]/D1_ABRIL_2026[[#This Row],[META]],""))</f>
        <v>0.23344329896907218</v>
      </c>
      <c r="E15" s="35" t="str">
        <f>D1_ABRIL_2026[[#This Row],[SUPER]]</f>
        <v>JORGE</v>
      </c>
      <c r="F15" t="s">
        <v>42</v>
      </c>
      <c r="G15" s="36">
        <v>11322</v>
      </c>
      <c r="H15" cm="1">
        <f t="array" ref="H15">IFERROR(VLOOKUP(D1_ABRIL_2026[[#This Row],[ASESOR_CRR]],_xlfn._xlws.FILTER(PLANTILLA[[ASESOR]:[FECHA DE CESE]],PLANTILLA[FECHA]=_xlfn.CONCAT($M$3,"_",_xlfn.IFS($N$3="ENERO","1",$N$3="FEBRERO","2",$N$3="MARZO","3",$N$3="ABRIL","4",$N$3="MAYO","5",$N$3="JUNIO","6",$N$3="JULIO","7",$N$3="AGOSTO","8",$N$3="SETIEMBRE","9",$N$3="OCTUBRE","10",$N$3="NOVIEMBRE","11",$N$3="DICIEMBRE","12"))),2,0),"")</f>
        <v>73725129</v>
      </c>
      <c r="I15" s="55" cm="1">
        <f t="array" ref="I15">IFERROR(VLOOKUP(D1_ABRIL_2026[[#This Row],[ASESOR_CRR]],_xlfn._xlws.FILTER(PLANTILLA[[ASESOR]:[FECHA DE CESE]],PLANTILLA[FECHA]=_xlfn.CONCAT($M$3,"_",_xlfn.IFS($N$3="ENERO","1",$N$3="FEBRERO","2",$N$3="MARZO","3",$N$3="ABRIL","4",$N$3="MAYO","5",$N$3="JUNIO","6",$N$3="JULIO","7",$N$3="AGOSTO","8",$N$3="SETIEMBRE","9",$N$3="OCTUBRE","10",$N$3="NOVIEMBRE","11",$N$3="DICIEMBRE","12"))),6,0),"")</f>
        <v>45398</v>
      </c>
      <c r="J15" s="55" t="str" cm="1">
        <f t="array" ref="J15">IFERROR(VLOOKUP(D1_ABRIL_2026[[#This Row],[ASESOR_CRR]],_xlfn._xlws.FILTER(PLANTILLA[[ASESOR]:[FECHA DE CESE]],PLANTILLA[FECHA]=_xlfn.CONCAT($M$3,"_",_xlfn.IFS($N$3="ENERO","1",$N$3="FEBRERO","2",$N$3="MARZO","3",$N$3="ABRIL","4",$N$3="MAYO","5",$N$3="JUNIO","6",$N$3="JULIO","7",$N$3="AGOSTO","8",$N$3="SETIEMBRE","9",$N$3="OCTUBRE","10",$N$3="NOVIEMBRE","11",$N$3="DICIEMBRE","12"))),4,0),"")</f>
        <v>CALL</v>
      </c>
      <c r="K15" s="55" t="str" cm="1">
        <f t="array" ref="K15">IFERROR(VLOOKUP(D1_ABRIL_2026[[#This Row],[ASESOR_CRR]],_xlfn._xlws.FILTER(PLANTILLA[[ASESOR]:[FECHA DE CESE]],PLANTILLA[FECHA]=_xlfn.CONCAT($M$3,"_",_xlfn.IFS($N$3="ENERO","1",$N$3="FEBRERO","2",$N$3="MARZO","3",$N$3="ABRIL","4",$N$3="MAYO","5",$N$3="JUNIO","6",$N$3="JULIO","7",$N$3="AGOSTO","8",$N$3="SETIEMBRE","9",$N$3="OCTUBRE","10",$N$3="NOVIEMBRE","11",$N$3="DICIEMBRE","12"))),8,0),"")</f>
        <v>S1</v>
      </c>
      <c r="L15" s="55"/>
      <c r="M15" s="5">
        <f>DATA_ABRIL_2026[[#This Row],[RECUPERO]]/DATA_ABRIL_2026[[#This Row],[META]]</f>
        <v>0.84489285714285711</v>
      </c>
      <c r="N15" s="5">
        <f>6-ROUNDUP(_xlfn.RANK.EQ(DATA_ABRIL_2026[[#This Row],[AL_AC]],DATA_ABRIL_2026[AL_AC],0)/(COUNTA(DATA_ABRIL_2026[AL_AC])/5),0)</f>
        <v>3</v>
      </c>
      <c r="O15" s="54" t="str">
        <f>IFERROR(VLOOKUP(DATA_ABRIL_2026[[#This Row],[ASER_]],$B:$G,4,0),"")</f>
        <v>SANDY</v>
      </c>
      <c r="P15" s="6">
        <f>SUM(DATA_ABRIL_2026[[#This Row],[1]:[30]])</f>
        <v>23657</v>
      </c>
      <c r="Q15" s="6">
        <f>VLOOKUP(DATA_ABRIL_2026[[#This Row],[ASER_]],D1_ABRIL_2026[[ASESOR_CRR]:[META]],2,0)</f>
        <v>28000</v>
      </c>
      <c r="R15" t="s">
        <v>174</v>
      </c>
      <c r="S15" s="47">
        <v>250</v>
      </c>
      <c r="V15">
        <v>1200</v>
      </c>
      <c r="AC15">
        <v>575</v>
      </c>
      <c r="AD15">
        <v>690</v>
      </c>
      <c r="AE15">
        <v>1010</v>
      </c>
      <c r="AF15">
        <v>5953</v>
      </c>
      <c r="AH15">
        <v>2150</v>
      </c>
      <c r="AJ15">
        <v>4210</v>
      </c>
      <c r="AO15">
        <v>1400</v>
      </c>
      <c r="AP15">
        <v>1000</v>
      </c>
      <c r="AQ15">
        <v>220</v>
      </c>
      <c r="AR15">
        <v>4999</v>
      </c>
      <c r="AS15" s="54" t="str" cm="1">
        <f t="array" ref="AS15">IFERROR(VLOOKUP(DATA_ABRIL_2026[[#This Row],[ASER_]],_xlfn._xlws.FILTER(PLANTILLA[[ASESOR]:[FECHA DE CESE]],PLANTILLA[FECHA]=_xlfn.CONCAT($M$3,"_",_xlfn.IFS($N$3="ENERO","1",$N$3="FEBRERO","2",$N$3="MARZO","3",$N$3="ABRIL","4",$N$3="MAYO","5",$N$3="JUNIO","6",$N$3="JULIO","7",$N$3="AGOSTO","8",$N$3="SETIEMBRE","9",$N$3="OCTUBRE","10",$N$3="NOVIEMBRE","11",$N$3="DICIEMBRE","12"))),8,0),"")</f>
        <v>S0</v>
      </c>
      <c r="BJ15" s="45"/>
      <c r="BL15" s="45"/>
      <c r="BM15" s="45"/>
      <c r="BN15" s="45"/>
      <c r="CG15" t="s">
        <v>636</v>
      </c>
      <c r="CH15" t="s">
        <v>2</v>
      </c>
      <c r="CI15" t="s">
        <v>22</v>
      </c>
      <c r="CJ15">
        <v>46120</v>
      </c>
      <c r="CK15">
        <v>1</v>
      </c>
      <c r="CL15">
        <v>1</v>
      </c>
      <c r="CN15">
        <v>1</v>
      </c>
      <c r="CP15">
        <v>1.1574074074074073E-5</v>
      </c>
      <c r="CQ15">
        <v>1.1574074074074073E-5</v>
      </c>
      <c r="CR15">
        <v>0.22556712962962963</v>
      </c>
      <c r="CS15">
        <v>9.5173611111111112E-2</v>
      </c>
      <c r="CT15">
        <v>59</v>
      </c>
      <c r="CU15">
        <v>94</v>
      </c>
      <c r="CV15">
        <v>12</v>
      </c>
      <c r="CW15">
        <v>2</v>
      </c>
      <c r="CX15">
        <v>16781</v>
      </c>
      <c r="CY15">
        <v>0.2034</v>
      </c>
      <c r="CZ15">
        <v>1</v>
      </c>
      <c r="DA15">
        <v>8.3299999999999999E-2</v>
      </c>
      <c r="DB15">
        <v>1400</v>
      </c>
      <c r="DC15">
        <v>1400</v>
      </c>
      <c r="DD15">
        <v>1400</v>
      </c>
      <c r="DE15">
        <v>1</v>
      </c>
      <c r="DF15">
        <v>0.1363</v>
      </c>
      <c r="DG15">
        <v>100</v>
      </c>
      <c r="DH15">
        <v>1400</v>
      </c>
      <c r="DI15">
        <f>Tabla82[[#This Row],[IND_MontoPDP]]*Tabla82[[#This Row],[IND_Condonacion]]</f>
        <v>190.82</v>
      </c>
    </row>
    <row r="16" spans="1:113" x14ac:dyDescent="0.25">
      <c r="A16" s="34" t="str" cm="1">
        <f t="array" ref="A16">IFERROR(VLOOKUP(D1_ABRIL_2026[[#This Row],[ASESOR_CRR]],_xlfn._xlws.FILTER(PLANTILLA[[ASESOR]:[FECHA DE CESE]],PLANTILLA[FECHA]=_xlfn.CONCAT($M$3,"_",_xlfn.IFS($N$3="ENERO","1",$N$3="FEBRERO","2",$N$3="MARZO","3",$N$3="ABRIL","4",$N$3="MAYO","5",$N$3="JUNIO","6",$N$3="JULIO","7",$N$3="AGOSTO","8",$N$3="SETIEMBRE","9",$N$3="OCTUBRE","10",$N$3="NOVIEMBRE","11",$N$3="DICIEMBRE","12"))),3,0),"")</f>
        <v>JORGE</v>
      </c>
      <c r="B16" s="34" t="str" cm="1">
        <f t="array" ref="B16">TRIM(IFERROR(_xlfn.IFS(D1_ABRIL_2026[[#This Row],[ASESOR]]="ELVIS GUERRA","ELVIS GUERRERA",D1_ABRIL_2026[[#This Row],[ASESOR]]="GENESIS VICUÑA","GENESIS VICUNA",D1_ABRIL_2026[[#This Row],[ASESOR]]="JENY QUIÑONES","JENY QUINONES",D1_ABRIL_2026[[#This Row],[ASESOR]]="NICOLE CAURURO","NICOLE CAURURO"),D1_ABRIL_2026[[#This Row],[ASESOR]]))</f>
        <v>EVELY TENORIO</v>
      </c>
      <c r="C16" s="34" cm="1">
        <f t="array" ref="C16">_xlfn.XLOOKUP(1,(TablaMeta[CONCAT]=$M$3&amp;$N$3&amp;D1_ABRIL_2026[[#This Row],[SUPER]])*(TablaMeta[SEGG]=D1_ABRIL_2026[[#This Row],[SEGMENTO]]),TablaMeta[Meta_Asesor])</f>
        <v>48500</v>
      </c>
      <c r="D16" s="35">
        <f>IF(D1_ABRIL_2026[[#This Row],[RECUPERO]]="VACACIONES","VACACIONES",IFERROR(D1_ABRIL_2026[[#This Row],[RECUPERO]]/D1_ABRIL_2026[[#This Row],[META]],""))</f>
        <v>0.17992371134020618</v>
      </c>
      <c r="E16" s="35" t="str">
        <f>D1_ABRIL_2026[[#This Row],[SUPER]]</f>
        <v>JORGE</v>
      </c>
      <c r="F16" t="s">
        <v>22</v>
      </c>
      <c r="G16" s="36">
        <v>8726.2999999999993</v>
      </c>
      <c r="H16" cm="1">
        <f t="array" ref="H16">IFERROR(VLOOKUP(D1_ABRIL_2026[[#This Row],[ASESOR_CRR]],_xlfn._xlws.FILTER(PLANTILLA[[ASESOR]:[FECHA DE CESE]],PLANTILLA[FECHA]=_xlfn.CONCAT($M$3,"_",_xlfn.IFS($N$3="ENERO","1",$N$3="FEBRERO","2",$N$3="MARZO","3",$N$3="ABRIL","4",$N$3="MAYO","5",$N$3="JUNIO","6",$N$3="JULIO","7",$N$3="AGOSTO","8",$N$3="SETIEMBRE","9",$N$3="OCTUBRE","10",$N$3="NOVIEMBRE","11",$N$3="DICIEMBRE","12"))),2,0),"")</f>
        <v>70551168</v>
      </c>
      <c r="I16" s="55" cm="1">
        <f t="array" ref="I16">IFERROR(VLOOKUP(D1_ABRIL_2026[[#This Row],[ASESOR_CRR]],_xlfn._xlws.FILTER(PLANTILLA[[ASESOR]:[FECHA DE CESE]],PLANTILLA[FECHA]=_xlfn.CONCAT($M$3,"_",_xlfn.IFS($N$3="ENERO","1",$N$3="FEBRERO","2",$N$3="MARZO","3",$N$3="ABRIL","4",$N$3="MAYO","5",$N$3="JUNIO","6",$N$3="JULIO","7",$N$3="AGOSTO","8",$N$3="SETIEMBRE","9",$N$3="OCTUBRE","10",$N$3="NOVIEMBRE","11",$N$3="DICIEMBRE","12"))),6,0),"")</f>
        <v>45295</v>
      </c>
      <c r="J16" s="55" t="str" cm="1">
        <f t="array" ref="J16">IFERROR(VLOOKUP(D1_ABRIL_2026[[#This Row],[ASESOR_CRR]],_xlfn._xlws.FILTER(PLANTILLA[[ASESOR]:[FECHA DE CESE]],PLANTILLA[FECHA]=_xlfn.CONCAT($M$3,"_",_xlfn.IFS($N$3="ENERO","1",$N$3="FEBRERO","2",$N$3="MARZO","3",$N$3="ABRIL","4",$N$3="MAYO","5",$N$3="JUNIO","6",$N$3="JULIO","7",$N$3="AGOSTO","8",$N$3="SETIEMBRE","9",$N$3="OCTUBRE","10",$N$3="NOVIEMBRE","11",$N$3="DICIEMBRE","12"))),4,0),"")</f>
        <v>CALL</v>
      </c>
      <c r="K16" s="55" t="str" cm="1">
        <f t="array" ref="K16">IFERROR(VLOOKUP(D1_ABRIL_2026[[#This Row],[ASESOR_CRR]],_xlfn._xlws.FILTER(PLANTILLA[[ASESOR]:[FECHA DE CESE]],PLANTILLA[FECHA]=_xlfn.CONCAT($M$3,"_",_xlfn.IFS($N$3="ENERO","1",$N$3="FEBRERO","2",$N$3="MARZO","3",$N$3="ABRIL","4",$N$3="MAYO","5",$N$3="JUNIO","6",$N$3="JULIO","7",$N$3="AGOSTO","8",$N$3="SETIEMBRE","9",$N$3="OCTUBRE","10",$N$3="NOVIEMBRE","11",$N$3="DICIEMBRE","12"))),8,0),"")</f>
        <v>S1</v>
      </c>
      <c r="L16" s="55"/>
      <c r="M16" s="5">
        <f>DATA_ABRIL_2026[[#This Row],[RECUPERO]]/DATA_ABRIL_2026[[#This Row],[META]]</f>
        <v>0.88903030303030306</v>
      </c>
      <c r="N16" s="5">
        <f>6-ROUNDUP(_xlfn.RANK.EQ(DATA_ABRIL_2026[[#This Row],[AL_AC]],DATA_ABRIL_2026[AL_AC],0)/(COUNTA(DATA_ABRIL_2026[AL_AC])/5),0)</f>
        <v>3</v>
      </c>
      <c r="O16" s="54" t="str">
        <f>IFERROR(VLOOKUP(DATA_ABRIL_2026[[#This Row],[ASER_]],$B:$G,4,0),"")</f>
        <v>LEONOR</v>
      </c>
      <c r="P16" s="6">
        <f>SUM(DATA_ABRIL_2026[[#This Row],[1]:[30]])</f>
        <v>14669</v>
      </c>
      <c r="Q16" s="6">
        <f>VLOOKUP(DATA_ABRIL_2026[[#This Row],[ASER_]],D1_ABRIL_2026[[ASESOR_CRR]:[META]],2,0)</f>
        <v>16500</v>
      </c>
      <c r="R16" t="s">
        <v>41</v>
      </c>
      <c r="S16">
        <v>2086</v>
      </c>
      <c r="V16">
        <v>300</v>
      </c>
      <c r="W16">
        <v>608</v>
      </c>
      <c r="AB16">
        <v>1100</v>
      </c>
      <c r="AC16">
        <v>250</v>
      </c>
      <c r="AE16">
        <v>2900</v>
      </c>
      <c r="AF16">
        <v>562</v>
      </c>
      <c r="AL16">
        <v>3000</v>
      </c>
      <c r="AP16">
        <v>1100</v>
      </c>
      <c r="AQ16">
        <v>300</v>
      </c>
      <c r="AR16">
        <v>2463</v>
      </c>
      <c r="AS16" s="54" t="str" cm="1">
        <f t="array" ref="AS16">IFERROR(VLOOKUP(DATA_ABRIL_2026[[#This Row],[ASER_]],_xlfn._xlws.FILTER(PLANTILLA[[ASESOR]:[FECHA DE CESE]],PLANTILLA[FECHA]=_xlfn.CONCAT($M$3,"_",_xlfn.IFS($N$3="ENERO","1",$N$3="FEBRERO","2",$N$3="MARZO","3",$N$3="ABRIL","4",$N$3="MAYO","5",$N$3="JUNIO","6",$N$3="JULIO","7",$N$3="AGOSTO","8",$N$3="SETIEMBRE","9",$N$3="OCTUBRE","10",$N$3="NOVIEMBRE","11",$N$3="DICIEMBRE","12"))),8,0),"")</f>
        <v>S2-3-4 MIX</v>
      </c>
      <c r="BJ16" s="45"/>
      <c r="BK16" s="45"/>
      <c r="BL16" s="45"/>
      <c r="BM16" s="45"/>
      <c r="BN16" s="45"/>
      <c r="BO16" s="45"/>
      <c r="BP16" s="45"/>
      <c r="BY16" s="45"/>
      <c r="CG16" t="s">
        <v>636</v>
      </c>
      <c r="CH16" t="s">
        <v>2</v>
      </c>
      <c r="CI16" t="s">
        <v>22</v>
      </c>
      <c r="CJ16">
        <v>46121</v>
      </c>
      <c r="CK16">
        <v>1</v>
      </c>
      <c r="CL16">
        <v>1</v>
      </c>
      <c r="CN16">
        <v>1</v>
      </c>
      <c r="CP16">
        <v>3.3796296296296296E-3</v>
      </c>
      <c r="CQ16">
        <v>3.3796296296296296E-3</v>
      </c>
      <c r="CR16">
        <v>0.2927777777777778</v>
      </c>
      <c r="CS16">
        <v>0.10195601851851852</v>
      </c>
      <c r="CT16">
        <v>94</v>
      </c>
      <c r="CU16">
        <v>148</v>
      </c>
      <c r="CV16">
        <v>14</v>
      </c>
      <c r="CW16" t="s">
        <v>762</v>
      </c>
      <c r="CX16">
        <v>18857</v>
      </c>
      <c r="CY16">
        <v>0.1489</v>
      </c>
      <c r="DG16">
        <v>100</v>
      </c>
      <c r="DI16">
        <f>Tabla82[[#This Row],[IND_MontoPDP]]*Tabla82[[#This Row],[IND_Condonacion]]</f>
        <v>0</v>
      </c>
    </row>
    <row r="17" spans="1:113" x14ac:dyDescent="0.25">
      <c r="A17" s="34" t="str" cm="1">
        <f t="array" ref="A17">IFERROR(VLOOKUP(D1_ABRIL_2026[[#This Row],[ASESOR_CRR]],_xlfn._xlws.FILTER(PLANTILLA[[ASESOR]:[FECHA DE CESE]],PLANTILLA[FECHA]=_xlfn.CONCAT($M$3,"_",_xlfn.IFS($N$3="ENERO","1",$N$3="FEBRERO","2",$N$3="MARZO","3",$N$3="ABRIL","4",$N$3="MAYO","5",$N$3="JUNIO","6",$N$3="JULIO","7",$N$3="AGOSTO","8",$N$3="SETIEMBRE","9",$N$3="OCTUBRE","10",$N$3="NOVIEMBRE","11",$N$3="DICIEMBRE","12"))),3,0),"")</f>
        <v>JORGE</v>
      </c>
      <c r="B17" s="34" t="str" cm="1">
        <f t="array" ref="B17">TRIM(IFERROR(_xlfn.IFS(D1_ABRIL_2026[[#This Row],[ASESOR]]="ELVIS GUERRA","ELVIS GUERRERA",D1_ABRIL_2026[[#This Row],[ASESOR]]="GENESIS VICUÑA","GENESIS VICUNA",D1_ABRIL_2026[[#This Row],[ASESOR]]="JENY QUIÑONES","JENY QUINONES",D1_ABRIL_2026[[#This Row],[ASESOR]]="NICOLE CAURURO","NICOLE CAURURO"),D1_ABRIL_2026[[#This Row],[ASESOR]]))</f>
        <v>KIARA CANEPA</v>
      </c>
      <c r="C17" s="34" cm="1">
        <f t="array" ref="C17">_xlfn.XLOOKUP(1,(TablaMeta[CONCAT]=$M$3&amp;$N$3&amp;D1_ABRIL_2026[[#This Row],[SUPER]])*(TablaMeta[SEGG]=D1_ABRIL_2026[[#This Row],[SEGMENTO]]),TablaMeta[Meta_Asesor])</f>
        <v>48500</v>
      </c>
      <c r="D17" s="35">
        <f>IF(D1_ABRIL_2026[[#This Row],[RECUPERO]]="VACACIONES","VACACIONES",IFERROR(D1_ABRIL_2026[[#This Row],[RECUPERO]]/D1_ABRIL_2026[[#This Row],[META]],""))</f>
        <v>7.3298969072164946E-2</v>
      </c>
      <c r="E17" s="35" t="str">
        <f>D1_ABRIL_2026[[#This Row],[SUPER]]</f>
        <v>JORGE</v>
      </c>
      <c r="F17" t="s">
        <v>50</v>
      </c>
      <c r="G17" s="36">
        <v>3555</v>
      </c>
      <c r="H17" cm="1">
        <f t="array" ref="H17">IFERROR(VLOOKUP(D1_ABRIL_2026[[#This Row],[ASESOR_CRR]],_xlfn._xlws.FILTER(PLANTILLA[[ASESOR]:[FECHA DE CESE]],PLANTILLA[FECHA]=_xlfn.CONCAT($M$3,"_",_xlfn.IFS($N$3="ENERO","1",$N$3="FEBRERO","2",$N$3="MARZO","3",$N$3="ABRIL","4",$N$3="MAYO","5",$N$3="JUNIO","6",$N$3="JULIO","7",$N$3="AGOSTO","8",$N$3="SETIEMBRE","9",$N$3="OCTUBRE","10",$N$3="NOVIEMBRE","11",$N$3="DICIEMBRE","12"))),2,0),"")</f>
        <v>72733809</v>
      </c>
      <c r="I17" s="55" cm="1">
        <f t="array" ref="I17">IFERROR(VLOOKUP(D1_ABRIL_2026[[#This Row],[ASESOR_CRR]],_xlfn._xlws.FILTER(PLANTILLA[[ASESOR]:[FECHA DE CESE]],PLANTILLA[FECHA]=_xlfn.CONCAT($M$3,"_",_xlfn.IFS($N$3="ENERO","1",$N$3="FEBRERO","2",$N$3="MARZO","3",$N$3="ABRIL","4",$N$3="MAYO","5",$N$3="JUNIO","6",$N$3="JULIO","7",$N$3="AGOSTO","8",$N$3="SETIEMBRE","9",$N$3="OCTUBRE","10",$N$3="NOVIEMBRE","11",$N$3="DICIEMBRE","12"))),6,0),"")</f>
        <v>45789</v>
      </c>
      <c r="J17" s="55" t="str" cm="1">
        <f t="array" ref="J17">IFERROR(VLOOKUP(D1_ABRIL_2026[[#This Row],[ASESOR_CRR]],_xlfn._xlws.FILTER(PLANTILLA[[ASESOR]:[FECHA DE CESE]],PLANTILLA[FECHA]=_xlfn.CONCAT($M$3,"_",_xlfn.IFS($N$3="ENERO","1",$N$3="FEBRERO","2",$N$3="MARZO","3",$N$3="ABRIL","4",$N$3="MAYO","5",$N$3="JUNIO","6",$N$3="JULIO","7",$N$3="AGOSTO","8",$N$3="SETIEMBRE","9",$N$3="OCTUBRE","10",$N$3="NOVIEMBRE","11",$N$3="DICIEMBRE","12"))),4,0),"")</f>
        <v>CALL</v>
      </c>
      <c r="K17" s="55" t="str" cm="1">
        <f t="array" ref="K17">IFERROR(VLOOKUP(D1_ABRIL_2026[[#This Row],[ASESOR_CRR]],_xlfn._xlws.FILTER(PLANTILLA[[ASESOR]:[FECHA DE CESE]],PLANTILLA[FECHA]=_xlfn.CONCAT($M$3,"_",_xlfn.IFS($N$3="ENERO","1",$N$3="FEBRERO","2",$N$3="MARZO","3",$N$3="ABRIL","4",$N$3="MAYO","5",$N$3="JUNIO","6",$N$3="JULIO","7",$N$3="AGOSTO","8",$N$3="SETIEMBRE","9",$N$3="OCTUBRE","10",$N$3="NOVIEMBRE","11",$N$3="DICIEMBRE","12"))),8,0),"")</f>
        <v>S1</v>
      </c>
      <c r="L17" s="55"/>
      <c r="M17" s="5">
        <f>DATA_ABRIL_2026[[#This Row],[RECUPERO]]/DATA_ABRIL_2026[[#This Row],[META]]</f>
        <v>1.1284329896907217</v>
      </c>
      <c r="N17" s="5">
        <f>6-ROUNDUP(_xlfn.RANK.EQ(DATA_ABRIL_2026[[#This Row],[AL_AC]],DATA_ABRIL_2026[AL_AC],0)/(COUNTA(DATA_ABRIL_2026[AL_AC])/5),0)</f>
        <v>4</v>
      </c>
      <c r="O17" s="54" t="str">
        <f>IFERROR(VLOOKUP(DATA_ABRIL_2026[[#This Row],[ASER_]],$B:$G,4,0),"")</f>
        <v>JOHAN</v>
      </c>
      <c r="P17" s="6">
        <f>SUM(DATA_ABRIL_2026[[#This Row],[1]:[30]])</f>
        <v>54729</v>
      </c>
      <c r="Q17" s="6">
        <f>VLOOKUP(DATA_ABRIL_2026[[#This Row],[ASER_]],D1_ABRIL_2026[[ASESOR_CRR]:[META]],2,0)</f>
        <v>48500</v>
      </c>
      <c r="R17" t="s">
        <v>61</v>
      </c>
      <c r="S17" s="45">
        <v>1838</v>
      </c>
      <c r="V17">
        <v>1215</v>
      </c>
      <c r="W17">
        <v>121</v>
      </c>
      <c r="Z17">
        <v>6000</v>
      </c>
      <c r="AC17">
        <v>4000</v>
      </c>
      <c r="AD17">
        <v>2000</v>
      </c>
      <c r="AE17">
        <v>2321</v>
      </c>
      <c r="AH17">
        <v>750</v>
      </c>
      <c r="AJ17">
        <v>3300</v>
      </c>
      <c r="AN17">
        <v>700</v>
      </c>
      <c r="AO17">
        <v>3000</v>
      </c>
      <c r="AP17">
        <v>11934</v>
      </c>
      <c r="AQ17">
        <v>8600</v>
      </c>
      <c r="AR17">
        <v>8950</v>
      </c>
      <c r="AS17" s="54" t="str" cm="1">
        <f t="array" ref="AS17">IFERROR(VLOOKUP(DATA_ABRIL_2026[[#This Row],[ASER_]],_xlfn._xlws.FILTER(PLANTILLA[[ASESOR]:[FECHA DE CESE]],PLANTILLA[FECHA]=_xlfn.CONCAT($M$3,"_",_xlfn.IFS($N$3="ENERO","1",$N$3="FEBRERO","2",$N$3="MARZO","3",$N$3="ABRIL","4",$N$3="MAYO","5",$N$3="JUNIO","6",$N$3="JULIO","7",$N$3="AGOSTO","8",$N$3="SETIEMBRE","9",$N$3="OCTUBRE","10",$N$3="NOVIEMBRE","11",$N$3="DICIEMBRE","12"))),8,0),"")</f>
        <v>S1</v>
      </c>
      <c r="BI17" s="45"/>
      <c r="BK17" s="45"/>
      <c r="BL17" s="47"/>
      <c r="BM17" s="47"/>
      <c r="BN17" s="47"/>
      <c r="BO17" s="45"/>
      <c r="BP17" s="45"/>
      <c r="BR17" s="45"/>
      <c r="BX17" s="45"/>
      <c r="BY17" s="45"/>
      <c r="CG17" t="s">
        <v>636</v>
      </c>
      <c r="CH17" t="s">
        <v>2</v>
      </c>
      <c r="CI17" t="s">
        <v>24</v>
      </c>
      <c r="CJ17">
        <v>46126</v>
      </c>
      <c r="CK17">
        <v>1</v>
      </c>
      <c r="CL17">
        <v>1</v>
      </c>
      <c r="CN17">
        <v>1</v>
      </c>
      <c r="CP17">
        <v>2.3148148148148149E-4</v>
      </c>
      <c r="CQ17">
        <v>2.3148148148148149E-4</v>
      </c>
      <c r="CR17">
        <v>0.28439814814814812</v>
      </c>
      <c r="CS17">
        <v>0.11408564814814814</v>
      </c>
      <c r="CT17">
        <v>62</v>
      </c>
      <c r="CU17">
        <v>119</v>
      </c>
      <c r="CV17">
        <v>23</v>
      </c>
      <c r="CW17" t="s">
        <v>853</v>
      </c>
      <c r="CX17">
        <v>16878</v>
      </c>
      <c r="CY17">
        <v>0.371</v>
      </c>
      <c r="CZ17">
        <v>2</v>
      </c>
      <c r="DA17">
        <v>8.6999999999999994E-2</v>
      </c>
      <c r="DB17">
        <v>6335</v>
      </c>
      <c r="DC17">
        <v>3168</v>
      </c>
      <c r="DD17">
        <v>4970</v>
      </c>
      <c r="DE17">
        <v>0.78449999999999998</v>
      </c>
      <c r="DF17">
        <v>0.28039999999999998</v>
      </c>
      <c r="DG17">
        <v>100</v>
      </c>
      <c r="DH17">
        <v>4970</v>
      </c>
      <c r="DI17">
        <f>Tabla82[[#This Row],[IND_MontoPDP]]*Tabla82[[#This Row],[IND_Condonacion]]</f>
        <v>1776.3339999999998</v>
      </c>
    </row>
    <row r="18" spans="1:113" x14ac:dyDescent="0.25">
      <c r="A18" s="34" t="str" cm="1">
        <f t="array" ref="A18">IFERROR(VLOOKUP(D1_ABRIL_2026[[#This Row],[ASESOR_CRR]],_xlfn._xlws.FILTER(PLANTILLA[[ASESOR]:[FECHA DE CESE]],PLANTILLA[FECHA]=_xlfn.CONCAT($M$3,"_",_xlfn.IFS($N$3="ENERO","1",$N$3="FEBRERO","2",$N$3="MARZO","3",$N$3="ABRIL","4",$N$3="MAYO","5",$N$3="JUNIO","6",$N$3="JULIO","7",$N$3="AGOSTO","8",$N$3="SETIEMBRE","9",$N$3="OCTUBRE","10",$N$3="NOVIEMBRE","11",$N$3="DICIEMBRE","12"))),3,0),"")</f>
        <v>SANDY</v>
      </c>
      <c r="B18" s="34" t="str" cm="1">
        <f t="array" ref="B18">TRIM(IFERROR(_xlfn.IFS(D1_ABRIL_2026[[#This Row],[ASESOR]]="ELVIS GUERRA","ELVIS GUERRERA",D1_ABRIL_2026[[#This Row],[ASESOR]]="GENESIS VICUÑA","GENESIS VICUNA",D1_ABRIL_2026[[#This Row],[ASESOR]]="JENY QUIÑONES","JENY QUINONES",D1_ABRIL_2026[[#This Row],[ASESOR]]="NICOLE CAURURO","NICOLE CAURURO"),D1_ABRIL_2026[[#This Row],[ASESOR]]))</f>
        <v>NATALIA MARIN</v>
      </c>
      <c r="C18" s="34" cm="1">
        <f t="array" ref="C18">_xlfn.XLOOKUP(1,(TablaMeta[CONCAT]=$M$3&amp;$N$3&amp;D1_ABRIL_2026[[#This Row],[SUPER]])*(TablaMeta[SEGG]=D1_ABRIL_2026[[#This Row],[SEGMENTO]]),TablaMeta[Meta_Asesor])</f>
        <v>28000</v>
      </c>
      <c r="D18" s="35">
        <f>IF(D1_ABRIL_2026[[#This Row],[RECUPERO]]="VACACIONES","VACACIONES",IFERROR(D1_ABRIL_2026[[#This Row],[RECUPERO]]/D1_ABRIL_2026[[#This Row],[META]],""))</f>
        <v>2.1300357142857145</v>
      </c>
      <c r="E18" s="35" t="str">
        <f>D1_ABRIL_2026[[#This Row],[SUPER]]</f>
        <v>SANDY</v>
      </c>
      <c r="F18" t="s">
        <v>79</v>
      </c>
      <c r="G18" s="36">
        <v>59641</v>
      </c>
      <c r="H18" cm="1">
        <f t="array" ref="H18">IFERROR(VLOOKUP(D1_ABRIL_2026[[#This Row],[ASESOR_CRR]],_xlfn._xlws.FILTER(PLANTILLA[[ASESOR]:[FECHA DE CESE]],PLANTILLA[FECHA]=_xlfn.CONCAT($M$3,"_",_xlfn.IFS($N$3="ENERO","1",$N$3="FEBRERO","2",$N$3="MARZO","3",$N$3="ABRIL","4",$N$3="MAYO","5",$N$3="JUNIO","6",$N$3="JULIO","7",$N$3="AGOSTO","8",$N$3="SETIEMBRE","9",$N$3="OCTUBRE","10",$N$3="NOVIEMBRE","11",$N$3="DICIEMBRE","12"))),2,0),"")</f>
        <v>71262377</v>
      </c>
      <c r="I18" s="55" cm="1">
        <f t="array" ref="I18">IFERROR(VLOOKUP(D1_ABRIL_2026[[#This Row],[ASESOR_CRR]],_xlfn._xlws.FILTER(PLANTILLA[[ASESOR]:[FECHA DE CESE]],PLANTILLA[FECHA]=_xlfn.CONCAT($M$3,"_",_xlfn.IFS($N$3="ENERO","1",$N$3="FEBRERO","2",$N$3="MARZO","3",$N$3="ABRIL","4",$N$3="MAYO","5",$N$3="JUNIO","6",$N$3="JULIO","7",$N$3="AGOSTO","8",$N$3="SETIEMBRE","9",$N$3="OCTUBRE","10",$N$3="NOVIEMBRE","11",$N$3="DICIEMBRE","12"))),6,0),"")</f>
        <v>45145</v>
      </c>
      <c r="J18" s="55" t="str" cm="1">
        <f t="array" ref="J18">IFERROR(VLOOKUP(D1_ABRIL_2026[[#This Row],[ASESOR_CRR]],_xlfn._xlws.FILTER(PLANTILLA[[ASESOR]:[FECHA DE CESE]],PLANTILLA[FECHA]=_xlfn.CONCAT($M$3,"_",_xlfn.IFS($N$3="ENERO","1",$N$3="FEBRERO","2",$N$3="MARZO","3",$N$3="ABRIL","4",$N$3="MAYO","5",$N$3="JUNIO","6",$N$3="JULIO","7",$N$3="AGOSTO","8",$N$3="SETIEMBRE","9",$N$3="OCTUBRE","10",$N$3="NOVIEMBRE","11",$N$3="DICIEMBRE","12"))),4,0),"")</f>
        <v>CALL</v>
      </c>
      <c r="K18" s="55" t="str" cm="1">
        <f t="array" ref="K18">IFERROR(VLOOKUP(D1_ABRIL_2026[[#This Row],[ASESOR_CRR]],_xlfn._xlws.FILTER(PLANTILLA[[ASESOR]:[FECHA DE CESE]],PLANTILLA[FECHA]=_xlfn.CONCAT($M$3,"_",_xlfn.IFS($N$3="ENERO","1",$N$3="FEBRERO","2",$N$3="MARZO","3",$N$3="ABRIL","4",$N$3="MAYO","5",$N$3="JUNIO","6",$N$3="JULIO","7",$N$3="AGOSTO","8",$N$3="SETIEMBRE","9",$N$3="OCTUBRE","10",$N$3="NOVIEMBRE","11",$N$3="DICIEMBRE","12"))),8,0),"")</f>
        <v>S0</v>
      </c>
      <c r="L18" s="55"/>
      <c r="M18" s="5">
        <f>DATA_ABRIL_2026[[#This Row],[RECUPERO]]/DATA_ABRIL_2026[[#This Row],[META]]</f>
        <v>0.96927835051546396</v>
      </c>
      <c r="N18" s="5">
        <f>6-ROUNDUP(_xlfn.RANK.EQ(DATA_ABRIL_2026[[#This Row],[AL_AC]],DATA_ABRIL_2026[AL_AC],0)/(COUNTA(DATA_ABRIL_2026[AL_AC])/5),0)</f>
        <v>3</v>
      </c>
      <c r="O18" s="54" t="str">
        <f>IFERROR(VLOOKUP(DATA_ABRIL_2026[[#This Row],[ASER_]],$B:$G,4,0),"")</f>
        <v>JOHAN</v>
      </c>
      <c r="P18" s="6">
        <f>SUM(DATA_ABRIL_2026[[#This Row],[1]:[30]])</f>
        <v>47010</v>
      </c>
      <c r="Q18" s="6">
        <f>VLOOKUP(DATA_ABRIL_2026[[#This Row],[ASER_]],D1_ABRIL_2026[[ASESOR_CRR]:[META]],2,0)</f>
        <v>48500</v>
      </c>
      <c r="R18" t="s">
        <v>80</v>
      </c>
      <c r="V18">
        <v>3805</v>
      </c>
      <c r="X18">
        <v>3105</v>
      </c>
      <c r="Z18">
        <v>15000</v>
      </c>
      <c r="AB18">
        <v>4100</v>
      </c>
      <c r="AC18">
        <v>5100</v>
      </c>
      <c r="AD18">
        <v>1000</v>
      </c>
      <c r="AE18">
        <v>300</v>
      </c>
      <c r="AF18">
        <v>500</v>
      </c>
      <c r="AI18">
        <v>1000</v>
      </c>
      <c r="AL18">
        <v>500</v>
      </c>
      <c r="AP18">
        <v>4600</v>
      </c>
      <c r="AQ18">
        <v>3500</v>
      </c>
      <c r="AR18">
        <v>4500</v>
      </c>
      <c r="AS18" s="54" t="str" cm="1">
        <f t="array" ref="AS18">IFERROR(VLOOKUP(DATA_ABRIL_2026[[#This Row],[ASER_]],_xlfn._xlws.FILTER(PLANTILLA[[ASESOR]:[FECHA DE CESE]],PLANTILLA[FECHA]=_xlfn.CONCAT($M$3,"_",_xlfn.IFS($N$3="ENERO","1",$N$3="FEBRERO","2",$N$3="MARZO","3",$N$3="ABRIL","4",$N$3="MAYO","5",$N$3="JUNIO","6",$N$3="JULIO","7",$N$3="AGOSTO","8",$N$3="SETIEMBRE","9",$N$3="OCTUBRE","10",$N$3="NOVIEMBRE","11",$N$3="DICIEMBRE","12"))),8,0),"")</f>
        <v>S1</v>
      </c>
      <c r="AY18" s="45"/>
      <c r="BK18" s="47"/>
      <c r="BL18" s="45"/>
      <c r="BM18" s="45"/>
      <c r="BN18" s="45"/>
      <c r="BO18" s="47"/>
      <c r="BP18" s="47"/>
      <c r="BR18" s="45"/>
      <c r="BS18" s="45"/>
      <c r="BX18" s="45"/>
      <c r="BY18" s="47"/>
      <c r="CG18" t="s">
        <v>636</v>
      </c>
      <c r="CH18" t="s">
        <v>2</v>
      </c>
      <c r="CI18" t="s">
        <v>13</v>
      </c>
      <c r="CJ18">
        <v>46121</v>
      </c>
      <c r="CK18">
        <v>1</v>
      </c>
      <c r="CL18">
        <v>1</v>
      </c>
      <c r="CN18">
        <v>1</v>
      </c>
      <c r="CP18">
        <v>9.2592592592592588E-5</v>
      </c>
      <c r="CQ18">
        <v>9.2592592592592588E-5</v>
      </c>
      <c r="CR18">
        <v>0.33423611111111112</v>
      </c>
      <c r="CS18">
        <v>8.1909722222222217E-2</v>
      </c>
      <c r="CT18">
        <v>119</v>
      </c>
      <c r="CU18">
        <v>233</v>
      </c>
      <c r="CV18">
        <v>10</v>
      </c>
      <c r="CW18">
        <v>1.4</v>
      </c>
      <c r="CX18">
        <v>44769</v>
      </c>
      <c r="CY18">
        <v>8.4000000000000005E-2</v>
      </c>
      <c r="DG18">
        <v>100</v>
      </c>
      <c r="DI18">
        <f>Tabla82[[#This Row],[IND_MontoPDP]]*Tabla82[[#This Row],[IND_Condonacion]]</f>
        <v>0</v>
      </c>
    </row>
    <row r="19" spans="1:113" x14ac:dyDescent="0.25">
      <c r="A19" s="34" t="str" cm="1">
        <f t="array" ref="A19">IFERROR(VLOOKUP(D1_ABRIL_2026[[#This Row],[ASESOR_CRR]],_xlfn._xlws.FILTER(PLANTILLA[[ASESOR]:[FECHA DE CESE]],PLANTILLA[FECHA]=_xlfn.CONCAT($M$3,"_",_xlfn.IFS($N$3="ENERO","1",$N$3="FEBRERO","2",$N$3="MARZO","3",$N$3="ABRIL","4",$N$3="MAYO","5",$N$3="JUNIO","6",$N$3="JULIO","7",$N$3="AGOSTO","8",$N$3="SETIEMBRE","9",$N$3="OCTUBRE","10",$N$3="NOVIEMBRE","11",$N$3="DICIEMBRE","12"))),3,0),"")</f>
        <v>SANDY</v>
      </c>
      <c r="B19" s="34" t="str" cm="1">
        <f t="array" ref="B19">TRIM(IFERROR(_xlfn.IFS(D1_ABRIL_2026[[#This Row],[ASESOR]]="ELVIS GUERRA","ELVIS GUERRERA",D1_ABRIL_2026[[#This Row],[ASESOR]]="GENESIS VICUÑA","GENESIS VICUNA",D1_ABRIL_2026[[#This Row],[ASESOR]]="JENY QUIÑONES","JENY QUINONES",D1_ABRIL_2026[[#This Row],[ASESOR]]="NICOLE CAURURO","NICOLE CAURURO"),D1_ABRIL_2026[[#This Row],[ASESOR]]))</f>
        <v>ANTHONY VICENTE</v>
      </c>
      <c r="C19" s="34" cm="1">
        <f t="array" ref="C19">_xlfn.XLOOKUP(1,(TablaMeta[CONCAT]=$M$3&amp;$N$3&amp;D1_ABRIL_2026[[#This Row],[SUPER]])*(TablaMeta[SEGG]=D1_ABRIL_2026[[#This Row],[SEGMENTO]]),TablaMeta[Meta_Asesor])</f>
        <v>28000</v>
      </c>
      <c r="D19" s="35">
        <f>IF(D1_ABRIL_2026[[#This Row],[RECUPERO]]="VACACIONES","VACACIONES",IFERROR(D1_ABRIL_2026[[#This Row],[RECUPERO]]/D1_ABRIL_2026[[#This Row],[META]],""))</f>
        <v>2.0886785714285714</v>
      </c>
      <c r="E19" s="35" t="str">
        <f>D1_ABRIL_2026[[#This Row],[SUPER]]</f>
        <v>SANDY</v>
      </c>
      <c r="F19" t="s">
        <v>85</v>
      </c>
      <c r="G19" s="36">
        <v>58483</v>
      </c>
      <c r="H19" cm="1">
        <f t="array" ref="H19">IFERROR(VLOOKUP(D1_ABRIL_2026[[#This Row],[ASESOR_CRR]],_xlfn._xlws.FILTER(PLANTILLA[[ASESOR]:[FECHA DE CESE]],PLANTILLA[FECHA]=_xlfn.CONCAT($M$3,"_",_xlfn.IFS($N$3="ENERO","1",$N$3="FEBRERO","2",$N$3="MARZO","3",$N$3="ABRIL","4",$N$3="MAYO","5",$N$3="JUNIO","6",$N$3="JULIO","7",$N$3="AGOSTO","8",$N$3="SETIEMBRE","9",$N$3="OCTUBRE","10",$N$3="NOVIEMBRE","11",$N$3="DICIEMBRE","12"))),2,0),"")</f>
        <v>70477743</v>
      </c>
      <c r="I19" s="55" cm="1">
        <f t="array" ref="I19">IFERROR(VLOOKUP(D1_ABRIL_2026[[#This Row],[ASESOR_CRR]],_xlfn._xlws.FILTER(PLANTILLA[[ASESOR]:[FECHA DE CESE]],PLANTILLA[FECHA]=_xlfn.CONCAT($M$3,"_",_xlfn.IFS($N$3="ENERO","1",$N$3="FEBRERO","2",$N$3="MARZO","3",$N$3="ABRIL","4",$N$3="MAYO","5",$N$3="JUNIO","6",$N$3="JULIO","7",$N$3="AGOSTO","8",$N$3="SETIEMBRE","9",$N$3="OCTUBRE","10",$N$3="NOVIEMBRE","11",$N$3="DICIEMBRE","12"))),6,0),"")</f>
        <v>46055</v>
      </c>
      <c r="J19" s="55" t="str" cm="1">
        <f t="array" ref="J19">IFERROR(VLOOKUP(D1_ABRIL_2026[[#This Row],[ASESOR_CRR]],_xlfn._xlws.FILTER(PLANTILLA[[ASESOR]:[FECHA DE CESE]],PLANTILLA[FECHA]=_xlfn.CONCAT($M$3,"_",_xlfn.IFS($N$3="ENERO","1",$N$3="FEBRERO","2",$N$3="MARZO","3",$N$3="ABRIL","4",$N$3="MAYO","5",$N$3="JUNIO","6",$N$3="JULIO","7",$N$3="AGOSTO","8",$N$3="SETIEMBRE","9",$N$3="OCTUBRE","10",$N$3="NOVIEMBRE","11",$N$3="DICIEMBRE","12"))),4,0),"")</f>
        <v>CALL</v>
      </c>
      <c r="K19" s="55" t="str" cm="1">
        <f t="array" ref="K19">IFERROR(VLOOKUP(D1_ABRIL_2026[[#This Row],[ASESOR_CRR]],_xlfn._xlws.FILTER(PLANTILLA[[ASESOR]:[FECHA DE CESE]],PLANTILLA[FECHA]=_xlfn.CONCAT($M$3,"_",_xlfn.IFS($N$3="ENERO","1",$N$3="FEBRERO","2",$N$3="MARZO","3",$N$3="ABRIL","4",$N$3="MAYO","5",$N$3="JUNIO","6",$N$3="JULIO","7",$N$3="AGOSTO","8",$N$3="SETIEMBRE","9",$N$3="OCTUBRE","10",$N$3="NOVIEMBRE","11",$N$3="DICIEMBRE","12"))),8,0),"")</f>
        <v>S0</v>
      </c>
      <c r="L19" s="55"/>
      <c r="M19" s="5">
        <f>DATA_ABRIL_2026[[#This Row],[RECUPERO]]/DATA_ABRIL_2026[[#This Row],[META]]</f>
        <v>0.52888639175257723</v>
      </c>
      <c r="N19" s="5">
        <f>6-ROUNDUP(_xlfn.RANK.EQ(DATA_ABRIL_2026[[#This Row],[AL_AC]],DATA_ABRIL_2026[AL_AC],0)/(COUNTA(DATA_ABRIL_2026[AL_AC])/5),0)</f>
        <v>2</v>
      </c>
      <c r="O19" s="54" t="str">
        <f>IFERROR(VLOOKUP(DATA_ABRIL_2026[[#This Row],[ASER_]],$B:$G,4,0),"")</f>
        <v>JORGE</v>
      </c>
      <c r="P19" s="6">
        <f>SUM(DATA_ABRIL_2026[[#This Row],[1]:[30]])</f>
        <v>25650.989999999998</v>
      </c>
      <c r="Q19" s="6">
        <f>VLOOKUP(DATA_ABRIL_2026[[#This Row],[ASER_]],D1_ABRIL_2026[[ASESOR_CRR]:[META]],2,0)</f>
        <v>48500</v>
      </c>
      <c r="R19" t="s">
        <v>81</v>
      </c>
      <c r="Y19">
        <v>90</v>
      </c>
      <c r="Z19">
        <v>500</v>
      </c>
      <c r="AB19">
        <v>4620</v>
      </c>
      <c r="AD19">
        <v>100</v>
      </c>
      <c r="AF19">
        <v>2530</v>
      </c>
      <c r="AH19">
        <v>3530</v>
      </c>
      <c r="AI19">
        <v>9246.99</v>
      </c>
      <c r="AK19">
        <v>3600</v>
      </c>
      <c r="AQ19">
        <v>1434</v>
      </c>
      <c r="AS19" s="54" t="str" cm="1">
        <f t="array" ref="AS19">IFERROR(VLOOKUP(DATA_ABRIL_2026[[#This Row],[ASER_]],_xlfn._xlws.FILTER(PLANTILLA[[ASESOR]:[FECHA DE CESE]],PLANTILLA[FECHA]=_xlfn.CONCAT($M$3,"_",_xlfn.IFS($N$3="ENERO","1",$N$3="FEBRERO","2",$N$3="MARZO","3",$N$3="ABRIL","4",$N$3="MAYO","5",$N$3="JUNIO","6",$N$3="JULIO","7",$N$3="AGOSTO","8",$N$3="SETIEMBRE","9",$N$3="OCTUBRE","10",$N$3="NOVIEMBRE","11",$N$3="DICIEMBRE","12"))),8,0),"")</f>
        <v>S1</v>
      </c>
      <c r="CG19" t="s">
        <v>636</v>
      </c>
      <c r="CH19" t="s">
        <v>2</v>
      </c>
      <c r="CI19" t="s">
        <v>13</v>
      </c>
      <c r="CJ19">
        <v>46134</v>
      </c>
      <c r="CK19">
        <v>1</v>
      </c>
      <c r="CL19">
        <v>1</v>
      </c>
      <c r="CN19">
        <v>1</v>
      </c>
      <c r="CP19">
        <v>1.1574074074074075E-4</v>
      </c>
      <c r="CQ19">
        <v>1.1574074074074075E-4</v>
      </c>
      <c r="CR19">
        <v>0.20482638888888888</v>
      </c>
      <c r="CS19">
        <v>0.11841435185185185</v>
      </c>
      <c r="CT19">
        <v>67</v>
      </c>
      <c r="CU19">
        <v>131</v>
      </c>
      <c r="CV19">
        <v>19</v>
      </c>
      <c r="CW19" t="s">
        <v>746</v>
      </c>
      <c r="CX19">
        <v>32765</v>
      </c>
      <c r="CY19">
        <v>0.28360000000000002</v>
      </c>
      <c r="CZ19">
        <v>2</v>
      </c>
      <c r="DA19">
        <v>0.1053</v>
      </c>
      <c r="DB19">
        <v>18000</v>
      </c>
      <c r="DC19">
        <v>9000</v>
      </c>
      <c r="DD19">
        <v>18000</v>
      </c>
      <c r="DE19">
        <v>1</v>
      </c>
      <c r="DF19">
        <v>0.1487</v>
      </c>
      <c r="DG19">
        <v>100</v>
      </c>
      <c r="DH19">
        <v>9000</v>
      </c>
      <c r="DI19">
        <f>Tabla82[[#This Row],[IND_MontoPDP]]*Tabla82[[#This Row],[IND_Condonacion]]</f>
        <v>2676.6</v>
      </c>
    </row>
    <row r="20" spans="1:113" x14ac:dyDescent="0.25">
      <c r="A20" s="34" t="str" cm="1">
        <f t="array" ref="A20">IFERROR(VLOOKUP(D1_ABRIL_2026[[#This Row],[ASESOR_CRR]],_xlfn._xlws.FILTER(PLANTILLA[[ASESOR]:[FECHA DE CESE]],PLANTILLA[FECHA]=_xlfn.CONCAT($M$3,"_",_xlfn.IFS($N$3="ENERO","1",$N$3="FEBRERO","2",$N$3="MARZO","3",$N$3="ABRIL","4",$N$3="MAYO","5",$N$3="JUNIO","6",$N$3="JULIO","7",$N$3="AGOSTO","8",$N$3="SETIEMBRE","9",$N$3="OCTUBRE","10",$N$3="NOVIEMBRE","11",$N$3="DICIEMBRE","12"))),3,0),"")</f>
        <v>SANDY</v>
      </c>
      <c r="B20" s="34" t="str" cm="1">
        <f t="array" ref="B20">TRIM(IFERROR(_xlfn.IFS(D1_ABRIL_2026[[#This Row],[ASESOR]]="ELVIS GUERRA","ELVIS GUERRERA",D1_ABRIL_2026[[#This Row],[ASESOR]]="GENESIS VICUÑA","GENESIS VICUNA",D1_ABRIL_2026[[#This Row],[ASESOR]]="JENY QUIÑONES","JENY QUINONES",D1_ABRIL_2026[[#This Row],[ASESOR]]="NICOLE CAURURO","NICOLE CAURURO"),D1_ABRIL_2026[[#This Row],[ASESOR]]))</f>
        <v>LUCERO JORDAN</v>
      </c>
      <c r="C20" s="34" cm="1">
        <f t="array" ref="C20">_xlfn.XLOOKUP(1,(TablaMeta[CONCAT]=$M$3&amp;$N$3&amp;D1_ABRIL_2026[[#This Row],[SUPER]])*(TablaMeta[SEGG]=D1_ABRIL_2026[[#This Row],[SEGMENTO]]),TablaMeta[Meta_Asesor])</f>
        <v>28000</v>
      </c>
      <c r="D20" s="35">
        <f>IF(D1_ABRIL_2026[[#This Row],[RECUPERO]]="VACACIONES","VACACIONES",IFERROR(D1_ABRIL_2026[[#This Row],[RECUPERO]]/D1_ABRIL_2026[[#This Row],[META]],""))</f>
        <v>1.8801785714285715</v>
      </c>
      <c r="E20" s="35" t="str">
        <f>D1_ABRIL_2026[[#This Row],[SUPER]]</f>
        <v>SANDY</v>
      </c>
      <c r="F20" t="s">
        <v>68</v>
      </c>
      <c r="G20" s="36">
        <v>52645</v>
      </c>
      <c r="H20" cm="1">
        <f t="array" ref="H20">IFERROR(VLOOKUP(D1_ABRIL_2026[[#This Row],[ASESOR_CRR]],_xlfn._xlws.FILTER(PLANTILLA[[ASESOR]:[FECHA DE CESE]],PLANTILLA[FECHA]=_xlfn.CONCAT($M$3,"_",_xlfn.IFS($N$3="ENERO","1",$N$3="FEBRERO","2",$N$3="MARZO","3",$N$3="ABRIL","4",$N$3="MAYO","5",$N$3="JUNIO","6",$N$3="JULIO","7",$N$3="AGOSTO","8",$N$3="SETIEMBRE","9",$N$3="OCTUBRE","10",$N$3="NOVIEMBRE","11",$N$3="DICIEMBRE","12"))),2,0),"")</f>
        <v>73257316</v>
      </c>
      <c r="I20" s="55" cm="1">
        <f t="array" ref="I20">IFERROR(VLOOKUP(D1_ABRIL_2026[[#This Row],[ASESOR_CRR]],_xlfn._xlws.FILTER(PLANTILLA[[ASESOR]:[FECHA DE CESE]],PLANTILLA[FECHA]=_xlfn.CONCAT($M$3,"_",_xlfn.IFS($N$3="ENERO","1",$N$3="FEBRERO","2",$N$3="MARZO","3",$N$3="ABRIL","4",$N$3="MAYO","5",$N$3="JUNIO","6",$N$3="JULIO","7",$N$3="AGOSTO","8",$N$3="SETIEMBRE","9",$N$3="OCTUBRE","10",$N$3="NOVIEMBRE","11",$N$3="DICIEMBRE","12"))),6,0),"")</f>
        <v>45363</v>
      </c>
      <c r="J20" s="55" t="str" cm="1">
        <f t="array" ref="J20">IFERROR(VLOOKUP(D1_ABRIL_2026[[#This Row],[ASESOR_CRR]],_xlfn._xlws.FILTER(PLANTILLA[[ASESOR]:[FECHA DE CESE]],PLANTILLA[FECHA]=_xlfn.CONCAT($M$3,"_",_xlfn.IFS($N$3="ENERO","1",$N$3="FEBRERO","2",$N$3="MARZO","3",$N$3="ABRIL","4",$N$3="MAYO","5",$N$3="JUNIO","6",$N$3="JULIO","7",$N$3="AGOSTO","8",$N$3="SETIEMBRE","9",$N$3="OCTUBRE","10",$N$3="NOVIEMBRE","11",$N$3="DICIEMBRE","12"))),4,0),"")</f>
        <v>CALL</v>
      </c>
      <c r="K20" s="55" t="str" cm="1">
        <f t="array" ref="K20">IFERROR(VLOOKUP(D1_ABRIL_2026[[#This Row],[ASESOR_CRR]],_xlfn._xlws.FILTER(PLANTILLA[[ASESOR]:[FECHA DE CESE]],PLANTILLA[FECHA]=_xlfn.CONCAT($M$3,"_",_xlfn.IFS($N$3="ENERO","1",$N$3="FEBRERO","2",$N$3="MARZO","3",$N$3="ABRIL","4",$N$3="MAYO","5",$N$3="JUNIO","6",$N$3="JULIO","7",$N$3="AGOSTO","8",$N$3="SETIEMBRE","9",$N$3="OCTUBRE","10",$N$3="NOVIEMBRE","11",$N$3="DICIEMBRE","12"))),8,0),"")</f>
        <v>S0</v>
      </c>
      <c r="L20" s="55"/>
      <c r="M20" s="5">
        <f>DATA_ABRIL_2026[[#This Row],[RECUPERO]]/DATA_ABRIL_2026[[#This Row],[META]]</f>
        <v>1.0087999999999999</v>
      </c>
      <c r="N20" s="5">
        <f>6-ROUNDUP(_xlfn.RANK.EQ(DATA_ABRIL_2026[[#This Row],[AL_AC]],DATA_ABRIL_2026[AL_AC],0)/(COUNTA(DATA_ABRIL_2026[AL_AC])/5),0)</f>
        <v>4</v>
      </c>
      <c r="O20" s="54" t="str">
        <f>IFERROR(VLOOKUP(DATA_ABRIL_2026[[#This Row],[ASER_]],$B:$G,4,0),"")</f>
        <v>LEONOR</v>
      </c>
      <c r="P20" s="6">
        <f>SUM(DATA_ABRIL_2026[[#This Row],[1]:[30]])</f>
        <v>25220</v>
      </c>
      <c r="Q20" s="6">
        <f>VLOOKUP(DATA_ABRIL_2026[[#This Row],[ASER_]],D1_ABRIL_2026[[ASESOR_CRR]:[META]],2,0)</f>
        <v>25000</v>
      </c>
      <c r="R20" t="s">
        <v>495</v>
      </c>
      <c r="S20">
        <v>100</v>
      </c>
      <c r="W20">
        <v>250</v>
      </c>
      <c r="X20">
        <v>1500</v>
      </c>
      <c r="Y20">
        <v>50</v>
      </c>
      <c r="AB20">
        <v>410</v>
      </c>
      <c r="AC20">
        <v>7350</v>
      </c>
      <c r="AE20">
        <v>1350</v>
      </c>
      <c r="AJ20">
        <v>4200</v>
      </c>
      <c r="AK20">
        <v>600</v>
      </c>
      <c r="AL20">
        <v>3460</v>
      </c>
      <c r="AO20">
        <v>4050</v>
      </c>
      <c r="AQ20">
        <v>1220</v>
      </c>
      <c r="AR20">
        <v>680</v>
      </c>
      <c r="AS20" s="54" t="str" cm="1">
        <f t="array" ref="AS20">IFERROR(VLOOKUP(DATA_ABRIL_2026[[#This Row],[ASER_]],_xlfn._xlws.FILTER(PLANTILLA[[ASESOR]:[FECHA DE CESE]],PLANTILLA[FECHA]=_xlfn.CONCAT($M$3,"_",_xlfn.IFS($N$3="ENERO","1",$N$3="FEBRERO","2",$N$3="MARZO","3",$N$3="ABRIL","4",$N$3="MAYO","5",$N$3="JUNIO","6",$N$3="JULIO","7",$N$3="AGOSTO","8",$N$3="SETIEMBRE","9",$N$3="OCTUBRE","10",$N$3="NOVIEMBRE","11",$N$3="DICIEMBRE","12"))),8,0),"")</f>
        <v>S2-3-4 BANCO</v>
      </c>
      <c r="CD20" s="45"/>
      <c r="CG20" t="s">
        <v>636</v>
      </c>
      <c r="CH20" t="s">
        <v>2</v>
      </c>
      <c r="CI20" t="s">
        <v>42</v>
      </c>
      <c r="CJ20">
        <v>46121</v>
      </c>
      <c r="CK20">
        <v>1</v>
      </c>
      <c r="CL20">
        <v>1</v>
      </c>
      <c r="CN20">
        <v>1</v>
      </c>
      <c r="CP20">
        <v>1.1574074074074075E-4</v>
      </c>
      <c r="CQ20">
        <v>1.1574074074074075E-4</v>
      </c>
      <c r="CR20">
        <v>0.29197916666666668</v>
      </c>
      <c r="CS20">
        <v>0.10466435185185186</v>
      </c>
      <c r="CT20">
        <v>102</v>
      </c>
      <c r="CU20">
        <v>143</v>
      </c>
      <c r="CV20">
        <v>14</v>
      </c>
      <c r="CW20" t="s">
        <v>796</v>
      </c>
      <c r="CX20">
        <v>25217</v>
      </c>
      <c r="CY20">
        <v>0.13730000000000001</v>
      </c>
      <c r="DG20">
        <v>100</v>
      </c>
      <c r="DI20">
        <f>Tabla82[[#This Row],[IND_MontoPDP]]*Tabla82[[#This Row],[IND_Condonacion]]</f>
        <v>0</v>
      </c>
    </row>
    <row r="21" spans="1:113" x14ac:dyDescent="0.25">
      <c r="A21" s="34" t="str" cm="1">
        <f t="array" ref="A21">IFERROR(VLOOKUP(D1_ABRIL_2026[[#This Row],[ASESOR_CRR]],_xlfn._xlws.FILTER(PLANTILLA[[ASESOR]:[FECHA DE CESE]],PLANTILLA[FECHA]=_xlfn.CONCAT($M$3,"_",_xlfn.IFS($N$3="ENERO","1",$N$3="FEBRERO","2",$N$3="MARZO","3",$N$3="ABRIL","4",$N$3="MAYO","5",$N$3="JUNIO","6",$N$3="JULIO","7",$N$3="AGOSTO","8",$N$3="SETIEMBRE","9",$N$3="OCTUBRE","10",$N$3="NOVIEMBRE","11",$N$3="DICIEMBRE","12"))),3,0),"")</f>
        <v>SANDY</v>
      </c>
      <c r="B21" s="34" t="str" cm="1">
        <f t="array" ref="B21">TRIM(IFERROR(_xlfn.IFS(D1_ABRIL_2026[[#This Row],[ASESOR]]="ELVIS GUERRA","ELVIS GUERRERA",D1_ABRIL_2026[[#This Row],[ASESOR]]="GENESIS VICUÑA","GENESIS VICUNA",D1_ABRIL_2026[[#This Row],[ASESOR]]="JENY QUIÑONES","JENY QUINONES",D1_ABRIL_2026[[#This Row],[ASESOR]]="NICOLE CAURURO","NICOLE CAURURO"),D1_ABRIL_2026[[#This Row],[ASESOR]]))</f>
        <v>GENESIS PALACIOS</v>
      </c>
      <c r="C21" s="34" cm="1">
        <f t="array" ref="C21">_xlfn.XLOOKUP(1,(TablaMeta[CONCAT]=$M$3&amp;$N$3&amp;D1_ABRIL_2026[[#This Row],[SUPER]])*(TablaMeta[SEGG]=D1_ABRIL_2026[[#This Row],[SEGMENTO]]),TablaMeta[Meta_Asesor])</f>
        <v>28000</v>
      </c>
      <c r="D21" s="35">
        <f>IF(D1_ABRIL_2026[[#This Row],[RECUPERO]]="VACACIONES","VACACIONES",IFERROR(D1_ABRIL_2026[[#This Row],[RECUPERO]]/D1_ABRIL_2026[[#This Row],[META]],""))</f>
        <v>1.4542471428571428</v>
      </c>
      <c r="E21" s="35" t="str">
        <f>D1_ABRIL_2026[[#This Row],[SUPER]]</f>
        <v>SANDY</v>
      </c>
      <c r="F21" t="s">
        <v>493</v>
      </c>
      <c r="G21" s="36">
        <v>40718.92</v>
      </c>
      <c r="H21" cm="1">
        <f t="array" ref="H21">IFERROR(VLOOKUP(D1_ABRIL_2026[[#This Row],[ASESOR_CRR]],_xlfn._xlws.FILTER(PLANTILLA[[ASESOR]:[FECHA DE CESE]],PLANTILLA[FECHA]=_xlfn.CONCAT($M$3,"_",_xlfn.IFS($N$3="ENERO","1",$N$3="FEBRERO","2",$N$3="MARZO","3",$N$3="ABRIL","4",$N$3="MAYO","5",$N$3="JUNIO","6",$N$3="JULIO","7",$N$3="AGOSTO","8",$N$3="SETIEMBRE","9",$N$3="OCTUBRE","10",$N$3="NOVIEMBRE","11",$N$3="DICIEMBRE","12"))),2,0),"")</f>
        <v>75026229</v>
      </c>
      <c r="I21" s="55" cm="1">
        <f t="array" ref="I21">IFERROR(VLOOKUP(D1_ABRIL_2026[[#This Row],[ASESOR_CRR]],_xlfn._xlws.FILTER(PLANTILLA[[ASESOR]:[FECHA DE CESE]],PLANTILLA[FECHA]=_xlfn.CONCAT($M$3,"_",_xlfn.IFS($N$3="ENERO","1",$N$3="FEBRERO","2",$N$3="MARZO","3",$N$3="ABRIL","4",$N$3="MAYO","5",$N$3="JUNIO","6",$N$3="JULIO","7",$N$3="AGOSTO","8",$N$3="SETIEMBRE","9",$N$3="OCTUBRE","10",$N$3="NOVIEMBRE","11",$N$3="DICIEMBRE","12"))),6,0),"")</f>
        <v>46052</v>
      </c>
      <c r="J21" s="55" t="str" cm="1">
        <f t="array" ref="J21">IFERROR(VLOOKUP(D1_ABRIL_2026[[#This Row],[ASESOR_CRR]],_xlfn._xlws.FILTER(PLANTILLA[[ASESOR]:[FECHA DE CESE]],PLANTILLA[FECHA]=_xlfn.CONCAT($M$3,"_",_xlfn.IFS($N$3="ENERO","1",$N$3="FEBRERO","2",$N$3="MARZO","3",$N$3="ABRIL","4",$N$3="MAYO","5",$N$3="JUNIO","6",$N$3="JULIO","7",$N$3="AGOSTO","8",$N$3="SETIEMBRE","9",$N$3="OCTUBRE","10",$N$3="NOVIEMBRE","11",$N$3="DICIEMBRE","12"))),4,0),"")</f>
        <v>CALL</v>
      </c>
      <c r="K21" s="55" t="str" cm="1">
        <f t="array" ref="K21">IFERROR(VLOOKUP(D1_ABRIL_2026[[#This Row],[ASESOR_CRR]],_xlfn._xlws.FILTER(PLANTILLA[[ASESOR]:[FECHA DE CESE]],PLANTILLA[FECHA]=_xlfn.CONCAT($M$3,"_",_xlfn.IFS($N$3="ENERO","1",$N$3="FEBRERO","2",$N$3="MARZO","3",$N$3="ABRIL","4",$N$3="MAYO","5",$N$3="JUNIO","6",$N$3="JULIO","7",$N$3="AGOSTO","8",$N$3="SETIEMBRE","9",$N$3="OCTUBRE","10",$N$3="NOVIEMBRE","11",$N$3="DICIEMBRE","12"))),8,0),"")</f>
        <v>S0</v>
      </c>
      <c r="L21" s="55"/>
      <c r="M21" s="5">
        <f>DATA_ABRIL_2026[[#This Row],[RECUPERO]]/DATA_ABRIL_2026[[#This Row],[META]]</f>
        <v>0.61006185567010307</v>
      </c>
      <c r="N21" s="5">
        <f>6-ROUNDUP(_xlfn.RANK.EQ(DATA_ABRIL_2026[[#This Row],[AL_AC]],DATA_ABRIL_2026[AL_AC],0)/(COUNTA(DATA_ABRIL_2026[AL_AC])/5),0)</f>
        <v>2</v>
      </c>
      <c r="O21" s="54" t="str">
        <f>IFERROR(VLOOKUP(DATA_ABRIL_2026[[#This Row],[ASER_]],$B:$G,4,0),"")</f>
        <v>JOHAN</v>
      </c>
      <c r="P21" s="6">
        <f>SUM(DATA_ABRIL_2026[[#This Row],[1]:[30]])</f>
        <v>29588</v>
      </c>
      <c r="Q21" s="6">
        <f>VLOOKUP(DATA_ABRIL_2026[[#This Row],[ASER_]],D1_ABRIL_2026[[ASESOR_CRR]:[META]],2,0)</f>
        <v>48500</v>
      </c>
      <c r="R21" t="s">
        <v>72</v>
      </c>
      <c r="S21">
        <v>4000</v>
      </c>
      <c r="T21">
        <v>300</v>
      </c>
      <c r="W21">
        <v>1300</v>
      </c>
      <c r="X21">
        <v>10000</v>
      </c>
      <c r="AD21">
        <v>5750</v>
      </c>
      <c r="AE21">
        <v>450</v>
      </c>
      <c r="AL21">
        <v>4788</v>
      </c>
      <c r="AP21">
        <v>3000</v>
      </c>
      <c r="AS21" s="54" t="str" cm="1">
        <f t="array" ref="AS21">IFERROR(VLOOKUP(DATA_ABRIL_2026[[#This Row],[ASER_]],_xlfn._xlws.FILTER(PLANTILLA[[ASESOR]:[FECHA DE CESE]],PLANTILLA[FECHA]=_xlfn.CONCAT($M$3,"_",_xlfn.IFS($N$3="ENERO","1",$N$3="FEBRERO","2",$N$3="MARZO","3",$N$3="ABRIL","4",$N$3="MAYO","5",$N$3="JUNIO","6",$N$3="JULIO","7",$N$3="AGOSTO","8",$N$3="SETIEMBRE","9",$N$3="OCTUBRE","10",$N$3="NOVIEMBRE","11",$N$3="DICIEMBRE","12"))),8,0),"")</f>
        <v>S1</v>
      </c>
      <c r="CD21" s="45"/>
      <c r="CG21" t="s">
        <v>636</v>
      </c>
      <c r="CH21" t="s">
        <v>2</v>
      </c>
      <c r="CI21" t="s">
        <v>50</v>
      </c>
      <c r="CJ21">
        <v>46121</v>
      </c>
      <c r="CK21">
        <v>1</v>
      </c>
      <c r="CL21">
        <v>1</v>
      </c>
      <c r="CN21">
        <v>1</v>
      </c>
      <c r="CP21">
        <v>4.6296296296296294E-5</v>
      </c>
      <c r="CQ21">
        <v>4.6296296296296294E-5</v>
      </c>
      <c r="CR21">
        <v>0.32846064814814813</v>
      </c>
      <c r="CS21">
        <v>9.5451388888888891E-2</v>
      </c>
      <c r="CT21">
        <v>138</v>
      </c>
      <c r="CU21">
        <v>220</v>
      </c>
      <c r="CV21">
        <v>10</v>
      </c>
      <c r="CW21">
        <v>1.9</v>
      </c>
      <c r="CX21">
        <v>20390</v>
      </c>
      <c r="CY21">
        <v>7.2499999999999995E-2</v>
      </c>
      <c r="DG21">
        <v>100</v>
      </c>
      <c r="DI21">
        <f>Tabla82[[#This Row],[IND_MontoPDP]]*Tabla82[[#This Row],[IND_Condonacion]]</f>
        <v>0</v>
      </c>
    </row>
    <row r="22" spans="1:113" x14ac:dyDescent="0.25">
      <c r="A22" s="34" t="str" cm="1">
        <f t="array" ref="A22">IFERROR(VLOOKUP(D1_ABRIL_2026[[#This Row],[ASESOR_CRR]],_xlfn._xlws.FILTER(PLANTILLA[[ASESOR]:[FECHA DE CESE]],PLANTILLA[FECHA]=_xlfn.CONCAT($M$3,"_",_xlfn.IFS($N$3="ENERO","1",$N$3="FEBRERO","2",$N$3="MARZO","3",$N$3="ABRIL","4",$N$3="MAYO","5",$N$3="JUNIO","6",$N$3="JULIO","7",$N$3="AGOSTO","8",$N$3="SETIEMBRE","9",$N$3="OCTUBRE","10",$N$3="NOVIEMBRE","11",$N$3="DICIEMBRE","12"))),3,0),"")</f>
        <v>SANDY</v>
      </c>
      <c r="B22" s="34" t="str" cm="1">
        <f t="array" ref="B22">TRIM(IFERROR(_xlfn.IFS(D1_ABRIL_2026[[#This Row],[ASESOR]]="ELVIS GUERRA","ELVIS GUERRERA",D1_ABRIL_2026[[#This Row],[ASESOR]]="GENESIS VICUÑA","GENESIS VICUNA",D1_ABRIL_2026[[#This Row],[ASESOR]]="JENY QUIÑONES","JENY QUINONES",D1_ABRIL_2026[[#This Row],[ASESOR]]="NICOLE CAURURO","NICOLE CAURURO"),D1_ABRIL_2026[[#This Row],[ASESOR]]))</f>
        <v>GIANNINA AGUILAR</v>
      </c>
      <c r="C22" s="34" cm="1">
        <f t="array" ref="C22">_xlfn.XLOOKUP(1,(TablaMeta[CONCAT]=$M$3&amp;$N$3&amp;D1_ABRIL_2026[[#This Row],[SUPER]])*(TablaMeta[SEGG]=D1_ABRIL_2026[[#This Row],[SEGMENTO]]),TablaMeta[Meta_Asesor])</f>
        <v>28000</v>
      </c>
      <c r="D22" s="35">
        <f>IF(D1_ABRIL_2026[[#This Row],[RECUPERO]]="VACACIONES","VACACIONES",IFERROR(D1_ABRIL_2026[[#This Row],[RECUPERO]]/D1_ABRIL_2026[[#This Row],[META]],""))</f>
        <v>1.2056071428571429</v>
      </c>
      <c r="E22" s="35" t="str">
        <f>D1_ABRIL_2026[[#This Row],[SUPER]]</f>
        <v>SANDY</v>
      </c>
      <c r="F22" t="s">
        <v>32</v>
      </c>
      <c r="G22" s="36">
        <v>33757</v>
      </c>
      <c r="H22" cm="1">
        <f t="array" ref="H22">IFERROR(VLOOKUP(D1_ABRIL_2026[[#This Row],[ASESOR_CRR]],_xlfn._xlws.FILTER(PLANTILLA[[ASESOR]:[FECHA DE CESE]],PLANTILLA[FECHA]=_xlfn.CONCAT($M$3,"_",_xlfn.IFS($N$3="ENERO","1",$N$3="FEBRERO","2",$N$3="MARZO","3",$N$3="ABRIL","4",$N$3="MAYO","5",$N$3="JUNIO","6",$N$3="JULIO","7",$N$3="AGOSTO","8",$N$3="SETIEMBRE","9",$N$3="OCTUBRE","10",$N$3="NOVIEMBRE","11",$N$3="DICIEMBRE","12"))),2,0),"")</f>
        <v>48584670</v>
      </c>
      <c r="I22" s="55" cm="1">
        <f t="array" ref="I22">IFERROR(VLOOKUP(D1_ABRIL_2026[[#This Row],[ASESOR_CRR]],_xlfn._xlws.FILTER(PLANTILLA[[ASESOR]:[FECHA DE CESE]],PLANTILLA[FECHA]=_xlfn.CONCAT($M$3,"_",_xlfn.IFS($N$3="ENERO","1",$N$3="FEBRERO","2",$N$3="MARZO","3",$N$3="ABRIL","4",$N$3="MAYO","5",$N$3="JUNIO","6",$N$3="JULIO","7",$N$3="AGOSTO","8",$N$3="SETIEMBRE","9",$N$3="OCTUBRE","10",$N$3="NOVIEMBRE","11",$N$3="DICIEMBRE","12"))),6,0),"")</f>
        <v>45526</v>
      </c>
      <c r="J22" s="55" t="str" cm="1">
        <f t="array" ref="J22">IFERROR(VLOOKUP(D1_ABRIL_2026[[#This Row],[ASESOR_CRR]],_xlfn._xlws.FILTER(PLANTILLA[[ASESOR]:[FECHA DE CESE]],PLANTILLA[FECHA]=_xlfn.CONCAT($M$3,"_",_xlfn.IFS($N$3="ENERO","1",$N$3="FEBRERO","2",$N$3="MARZO","3",$N$3="ABRIL","4",$N$3="MAYO","5",$N$3="JUNIO","6",$N$3="JULIO","7",$N$3="AGOSTO","8",$N$3="SETIEMBRE","9",$N$3="OCTUBRE","10",$N$3="NOVIEMBRE","11",$N$3="DICIEMBRE","12"))),4,0),"")</f>
        <v>CALL</v>
      </c>
      <c r="K22" s="55" t="str" cm="1">
        <f t="array" ref="K22">IFERROR(VLOOKUP(D1_ABRIL_2026[[#This Row],[ASESOR_CRR]],_xlfn._xlws.FILTER(PLANTILLA[[ASESOR]:[FECHA DE CESE]],PLANTILLA[FECHA]=_xlfn.CONCAT($M$3,"_",_xlfn.IFS($N$3="ENERO","1",$N$3="FEBRERO","2",$N$3="MARZO","3",$N$3="ABRIL","4",$N$3="MAYO","5",$N$3="JUNIO","6",$N$3="JULIO","7",$N$3="AGOSTO","8",$N$3="SETIEMBRE","9",$N$3="OCTUBRE","10",$N$3="NOVIEMBRE","11",$N$3="DICIEMBRE","12"))),8,0),"")</f>
        <v>S0</v>
      </c>
      <c r="L22" s="55"/>
      <c r="M22" s="5">
        <f>DATA_ABRIL_2026[[#This Row],[RECUPERO]]/DATA_ABRIL_2026[[#This Row],[META]]</f>
        <v>0.17992371134020618</v>
      </c>
      <c r="N22" s="5">
        <f>6-ROUNDUP(_xlfn.RANK.EQ(DATA_ABRIL_2026[[#This Row],[AL_AC]],DATA_ABRIL_2026[AL_AC],0)/(COUNTA(DATA_ABRIL_2026[AL_AC])/5),0)</f>
        <v>1</v>
      </c>
      <c r="O22" s="54" t="str">
        <f>IFERROR(VLOOKUP(DATA_ABRIL_2026[[#This Row],[ASER_]],$B:$G,4,0),"")</f>
        <v>JORGE</v>
      </c>
      <c r="P22" s="6">
        <f>SUM(DATA_ABRIL_2026[[#This Row],[1]:[30]])</f>
        <v>8726.2999999999993</v>
      </c>
      <c r="Q22" s="6">
        <f>VLOOKUP(DATA_ABRIL_2026[[#This Row],[ASER_]],D1_ABRIL_2026[[ASESOR_CRR]:[META]],2,0)</f>
        <v>48500</v>
      </c>
      <c r="R22" t="s">
        <v>22</v>
      </c>
      <c r="X22">
        <v>1400</v>
      </c>
      <c r="AH22">
        <v>3466.3</v>
      </c>
      <c r="AL22">
        <v>1000</v>
      </c>
      <c r="AR22">
        <v>2860</v>
      </c>
      <c r="AS22" s="54" t="str" cm="1">
        <f t="array" ref="AS22">IFERROR(VLOOKUP(DATA_ABRIL_2026[[#This Row],[ASER_]],_xlfn._xlws.FILTER(PLANTILLA[[ASESOR]:[FECHA DE CESE]],PLANTILLA[FECHA]=_xlfn.CONCAT($M$3,"_",_xlfn.IFS($N$3="ENERO","1",$N$3="FEBRERO","2",$N$3="MARZO","3",$N$3="ABRIL","4",$N$3="MAYO","5",$N$3="JUNIO","6",$N$3="JULIO","7",$N$3="AGOSTO","8",$N$3="SETIEMBRE","9",$N$3="OCTUBRE","10",$N$3="NOVIEMBRE","11",$N$3="DICIEMBRE","12"))),8,0),"")</f>
        <v>S1</v>
      </c>
      <c r="CD22" s="45"/>
      <c r="CG22" t="s">
        <v>636</v>
      </c>
      <c r="CH22" t="s">
        <v>2</v>
      </c>
      <c r="CI22" t="s">
        <v>23</v>
      </c>
      <c r="CJ22">
        <v>46121</v>
      </c>
      <c r="CK22">
        <v>1</v>
      </c>
      <c r="CL22">
        <v>1</v>
      </c>
      <c r="CN22">
        <v>1</v>
      </c>
      <c r="CP22">
        <v>1.1574074074074075E-4</v>
      </c>
      <c r="CQ22">
        <v>1.1574074074074075E-4</v>
      </c>
      <c r="CR22">
        <v>0.33408564814814817</v>
      </c>
      <c r="CS22">
        <v>8.2511574074074071E-2</v>
      </c>
      <c r="CT22">
        <v>86</v>
      </c>
      <c r="CU22">
        <v>145</v>
      </c>
      <c r="CV22">
        <v>9</v>
      </c>
      <c r="CW22" t="s">
        <v>726</v>
      </c>
      <c r="CX22">
        <v>19674</v>
      </c>
      <c r="CY22">
        <v>0.1047</v>
      </c>
      <c r="DG22">
        <v>100</v>
      </c>
      <c r="DI22">
        <f>Tabla82[[#This Row],[IND_MontoPDP]]*Tabla82[[#This Row],[IND_Condonacion]]</f>
        <v>0</v>
      </c>
    </row>
    <row r="23" spans="1:113" x14ac:dyDescent="0.25">
      <c r="A23" s="34" t="str" cm="1">
        <f t="array" ref="A23">IFERROR(VLOOKUP(D1_ABRIL_2026[[#This Row],[ASESOR_CRR]],_xlfn._xlws.FILTER(PLANTILLA[[ASESOR]:[FECHA DE CESE]],PLANTILLA[FECHA]=_xlfn.CONCAT($M$3,"_",_xlfn.IFS($N$3="ENERO","1",$N$3="FEBRERO","2",$N$3="MARZO","3",$N$3="ABRIL","4",$N$3="MAYO","5",$N$3="JUNIO","6",$N$3="JULIO","7",$N$3="AGOSTO","8",$N$3="SETIEMBRE","9",$N$3="OCTUBRE","10",$N$3="NOVIEMBRE","11",$N$3="DICIEMBRE","12"))),3,0),"")</f>
        <v>SANDY</v>
      </c>
      <c r="B23" s="34" t="str" cm="1">
        <f t="array" ref="B23">TRIM(IFERROR(_xlfn.IFS(D1_ABRIL_2026[[#This Row],[ASESOR]]="ELVIS GUERRA","ELVIS GUERRERA",D1_ABRIL_2026[[#This Row],[ASESOR]]="GENESIS VICUÑA","GENESIS VICUNA",D1_ABRIL_2026[[#This Row],[ASESOR]]="JENY QUIÑONES","JENY QUINONES",D1_ABRIL_2026[[#This Row],[ASESOR]]="NICOLE CAURURO","NICOLE CAURURO"),D1_ABRIL_2026[[#This Row],[ASESOR]]))</f>
        <v>ALEJANDRA QUISPE</v>
      </c>
      <c r="C23" s="34" cm="1">
        <f t="array" ref="C23">_xlfn.XLOOKUP(1,(TablaMeta[CONCAT]=$M$3&amp;$N$3&amp;D1_ABRIL_2026[[#This Row],[SUPER]])*(TablaMeta[SEGG]=D1_ABRIL_2026[[#This Row],[SEGMENTO]]),TablaMeta[Meta_Asesor])</f>
        <v>28000</v>
      </c>
      <c r="D23" s="35">
        <f>IF(D1_ABRIL_2026[[#This Row],[RECUPERO]]="VACACIONES","VACACIONES",IFERROR(D1_ABRIL_2026[[#This Row],[RECUPERO]]/D1_ABRIL_2026[[#This Row],[META]],""))</f>
        <v>1.1185357142857142</v>
      </c>
      <c r="E23" s="35" t="str">
        <f>D1_ABRIL_2026[[#This Row],[SUPER]]</f>
        <v>SANDY</v>
      </c>
      <c r="F23" t="s">
        <v>58</v>
      </c>
      <c r="G23" s="36">
        <v>31319</v>
      </c>
      <c r="H23" cm="1">
        <f t="array" ref="H23">IFERROR(VLOOKUP(D1_ABRIL_2026[[#This Row],[ASESOR_CRR]],_xlfn._xlws.FILTER(PLANTILLA[[ASESOR]:[FECHA DE CESE]],PLANTILLA[FECHA]=_xlfn.CONCAT($M$3,"_",_xlfn.IFS($N$3="ENERO","1",$N$3="FEBRERO","2",$N$3="MARZO","3",$N$3="ABRIL","4",$N$3="MAYO","5",$N$3="JUNIO","6",$N$3="JULIO","7",$N$3="AGOSTO","8",$N$3="SETIEMBRE","9",$N$3="OCTUBRE","10",$N$3="NOVIEMBRE","11",$N$3="DICIEMBRE","12"))),2,0),"")</f>
        <v>72519113</v>
      </c>
      <c r="I23" s="55" cm="1">
        <f t="array" ref="I23">IFERROR(VLOOKUP(D1_ABRIL_2026[[#This Row],[ASESOR_CRR]],_xlfn._xlws.FILTER(PLANTILLA[[ASESOR]:[FECHA DE CESE]],PLANTILLA[FECHA]=_xlfn.CONCAT($M$3,"_",_xlfn.IFS($N$3="ENERO","1",$N$3="FEBRERO","2",$N$3="MARZO","3",$N$3="ABRIL","4",$N$3="MAYO","5",$N$3="JUNIO","6",$N$3="JULIO","7",$N$3="AGOSTO","8",$N$3="SETIEMBRE","9",$N$3="OCTUBRE","10",$N$3="NOVIEMBRE","11",$N$3="DICIEMBRE","12"))),6,0),"")</f>
        <v>43119</v>
      </c>
      <c r="J23" s="55" t="str" cm="1">
        <f t="array" ref="J23">IFERROR(VLOOKUP(D1_ABRIL_2026[[#This Row],[ASESOR_CRR]],_xlfn._xlws.FILTER(PLANTILLA[[ASESOR]:[FECHA DE CESE]],PLANTILLA[FECHA]=_xlfn.CONCAT($M$3,"_",_xlfn.IFS($N$3="ENERO","1",$N$3="FEBRERO","2",$N$3="MARZO","3",$N$3="ABRIL","4",$N$3="MAYO","5",$N$3="JUNIO","6",$N$3="JULIO","7",$N$3="AGOSTO","8",$N$3="SETIEMBRE","9",$N$3="OCTUBRE","10",$N$3="NOVIEMBRE","11",$N$3="DICIEMBRE","12"))),4,0),"")</f>
        <v>CALL</v>
      </c>
      <c r="K23" s="55" t="str" cm="1">
        <f t="array" ref="K23">IFERROR(VLOOKUP(D1_ABRIL_2026[[#This Row],[ASESOR_CRR]],_xlfn._xlws.FILTER(PLANTILLA[[ASESOR]:[FECHA DE CESE]],PLANTILLA[FECHA]=_xlfn.CONCAT($M$3,"_",_xlfn.IFS($N$3="ENERO","1",$N$3="FEBRERO","2",$N$3="MARZO","3",$N$3="ABRIL","4",$N$3="MAYO","5",$N$3="JUNIO","6",$N$3="JULIO","7",$N$3="AGOSTO","8",$N$3="SETIEMBRE","9",$N$3="OCTUBRE","10",$N$3="NOVIEMBRE","11",$N$3="DICIEMBRE","12"))),8,0),"")</f>
        <v>S0</v>
      </c>
      <c r="L23" s="55"/>
      <c r="M23" s="5">
        <f>DATA_ABRIL_2026[[#This Row],[RECUPERO]]/DATA_ABRIL_2026[[#This Row],[META]]</f>
        <v>0.04</v>
      </c>
      <c r="N23" s="5">
        <f>6-ROUNDUP(_xlfn.RANK.EQ(DATA_ABRIL_2026[[#This Row],[AL_AC]],DATA_ABRIL_2026[AL_AC],0)/(COUNTA(DATA_ABRIL_2026[AL_AC])/5),0)</f>
        <v>1</v>
      </c>
      <c r="O23" s="54" t="str">
        <f>IFERROR(VLOOKUP(DATA_ABRIL_2026[[#This Row],[ASER_]],$B:$G,4,0),"")</f>
        <v>LEONOR</v>
      </c>
      <c r="P23" s="6">
        <f>SUM(DATA_ABRIL_2026[[#This Row],[1]:[30]])</f>
        <v>1000</v>
      </c>
      <c r="Q23" s="6">
        <f>VLOOKUP(DATA_ABRIL_2026[[#This Row],[ASER_]],D1_ABRIL_2026[[ASESOR_CRR]:[META]],2,0)</f>
        <v>25000</v>
      </c>
      <c r="R23" t="s">
        <v>600</v>
      </c>
      <c r="AP23">
        <v>1000</v>
      </c>
      <c r="AS23" s="54" t="str" cm="1">
        <f t="array" ref="AS23">IFERROR(VLOOKUP(DATA_ABRIL_2026[[#This Row],[ASER_]],_xlfn._xlws.FILTER(PLANTILLA[[ASESOR]:[FECHA DE CESE]],PLANTILLA[FECHA]=_xlfn.CONCAT($M$3,"_",_xlfn.IFS($N$3="ENERO","1",$N$3="FEBRERO","2",$N$3="MARZO","3",$N$3="ABRIL","4",$N$3="MAYO","5",$N$3="JUNIO","6",$N$3="JULIO","7",$N$3="AGOSTO","8",$N$3="SETIEMBRE","9",$N$3="OCTUBRE","10",$N$3="NOVIEMBRE","11",$N$3="DICIEMBRE","12"))),8,0),"")</f>
        <v>S2-3-4 BANCO</v>
      </c>
      <c r="CD23" s="45"/>
      <c r="CG23" t="s">
        <v>636</v>
      </c>
      <c r="CH23" t="s">
        <v>2</v>
      </c>
      <c r="CI23" t="s">
        <v>23</v>
      </c>
      <c r="CJ23">
        <v>46128</v>
      </c>
      <c r="CK23">
        <v>1</v>
      </c>
      <c r="CL23">
        <v>1</v>
      </c>
      <c r="CN23">
        <v>1</v>
      </c>
      <c r="CP23">
        <v>2.3263888888888887E-3</v>
      </c>
      <c r="CQ23">
        <v>2.3263888888888887E-3</v>
      </c>
      <c r="CR23">
        <v>0.28249999999999997</v>
      </c>
      <c r="CS23">
        <v>0.10189814814814815</v>
      </c>
      <c r="CT23">
        <v>118</v>
      </c>
      <c r="CU23">
        <v>244</v>
      </c>
      <c r="CV23">
        <v>31</v>
      </c>
      <c r="CW23" t="s">
        <v>957</v>
      </c>
      <c r="CX23">
        <v>29348</v>
      </c>
      <c r="CY23">
        <v>0.26269999999999999</v>
      </c>
      <c r="CZ23">
        <v>2</v>
      </c>
      <c r="DA23">
        <v>6.4500000000000002E-2</v>
      </c>
      <c r="DB23">
        <v>1850</v>
      </c>
      <c r="DC23">
        <v>925</v>
      </c>
      <c r="DD23">
        <v>1850</v>
      </c>
      <c r="DE23">
        <v>1</v>
      </c>
      <c r="DF23">
        <v>0.2034</v>
      </c>
      <c r="DG23">
        <v>100</v>
      </c>
      <c r="DH23">
        <v>925</v>
      </c>
      <c r="DI23">
        <f>Tabla82[[#This Row],[IND_MontoPDP]]*Tabla82[[#This Row],[IND_Condonacion]]</f>
        <v>376.29</v>
      </c>
    </row>
    <row r="24" spans="1:113" x14ac:dyDescent="0.25">
      <c r="A24" s="34" t="str" cm="1">
        <f t="array" ref="A24">IFERROR(VLOOKUP(D1_ABRIL_2026[[#This Row],[ASESOR_CRR]],_xlfn._xlws.FILTER(PLANTILLA[[ASESOR]:[FECHA DE CESE]],PLANTILLA[FECHA]=_xlfn.CONCAT($M$3,"_",_xlfn.IFS($N$3="ENERO","1",$N$3="FEBRERO","2",$N$3="MARZO","3",$N$3="ABRIL","4",$N$3="MAYO","5",$N$3="JUNIO","6",$N$3="JULIO","7",$N$3="AGOSTO","8",$N$3="SETIEMBRE","9",$N$3="OCTUBRE","10",$N$3="NOVIEMBRE","11",$N$3="DICIEMBRE","12"))),3,0),"")</f>
        <v>SANDY</v>
      </c>
      <c r="B24" s="34" t="str" cm="1">
        <f t="array" ref="B24">TRIM(IFERROR(_xlfn.IFS(D1_ABRIL_2026[[#This Row],[ASESOR]]="ELVIS GUERRA","ELVIS GUERRERA",D1_ABRIL_2026[[#This Row],[ASESOR]]="GENESIS VICUÑA","GENESIS VICUNA",D1_ABRIL_2026[[#This Row],[ASESOR]]="JENY QUIÑONES","JENY QUINONES",D1_ABRIL_2026[[#This Row],[ASESOR]]="NICOLE CAURURO","NICOLE CAURURO"),D1_ABRIL_2026[[#This Row],[ASESOR]]))</f>
        <v>LUIS VALLADARES</v>
      </c>
      <c r="C24" s="34" cm="1">
        <f t="array" ref="C24">_xlfn.XLOOKUP(1,(TablaMeta[CONCAT]=$M$3&amp;$N$3&amp;D1_ABRIL_2026[[#This Row],[SUPER]])*(TablaMeta[SEGG]=D1_ABRIL_2026[[#This Row],[SEGMENTO]]),TablaMeta[Meta_Asesor])</f>
        <v>28000</v>
      </c>
      <c r="D24" s="35">
        <f>IF(D1_ABRIL_2026[[#This Row],[RECUPERO]]="VACACIONES","VACACIONES",IFERROR(D1_ABRIL_2026[[#This Row],[RECUPERO]]/D1_ABRIL_2026[[#This Row],[META]],""))</f>
        <v>1.0010857142857144</v>
      </c>
      <c r="E24" s="35" t="str">
        <f>D1_ABRIL_2026[[#This Row],[SUPER]]</f>
        <v>SANDY</v>
      </c>
      <c r="F24" t="s">
        <v>29</v>
      </c>
      <c r="G24" s="36">
        <v>28030.400000000001</v>
      </c>
      <c r="H24" cm="1">
        <f t="array" ref="H24">IFERROR(VLOOKUP(D1_ABRIL_2026[[#This Row],[ASESOR_CRR]],_xlfn._xlws.FILTER(PLANTILLA[[ASESOR]:[FECHA DE CESE]],PLANTILLA[FECHA]=_xlfn.CONCAT($M$3,"_",_xlfn.IFS($N$3="ENERO","1",$N$3="FEBRERO","2",$N$3="MARZO","3",$N$3="ABRIL","4",$N$3="MAYO","5",$N$3="JUNIO","6",$N$3="JULIO","7",$N$3="AGOSTO","8",$N$3="SETIEMBRE","9",$N$3="OCTUBRE","10",$N$3="NOVIEMBRE","11",$N$3="DICIEMBRE","12"))),2,0),"")</f>
        <v>72758956</v>
      </c>
      <c r="I24" s="55" cm="1">
        <f t="array" ref="I24">IFERROR(VLOOKUP(D1_ABRIL_2026[[#This Row],[ASESOR_CRR]],_xlfn._xlws.FILTER(PLANTILLA[[ASESOR]:[FECHA DE CESE]],PLANTILLA[FECHA]=_xlfn.CONCAT($M$3,"_",_xlfn.IFS($N$3="ENERO","1",$N$3="FEBRERO","2",$N$3="MARZO","3",$N$3="ABRIL","4",$N$3="MAYO","5",$N$3="JUNIO","6",$N$3="JULIO","7",$N$3="AGOSTO","8",$N$3="SETIEMBRE","9",$N$3="OCTUBRE","10",$N$3="NOVIEMBRE","11",$N$3="DICIEMBRE","12"))),6,0),"")</f>
        <v>44685</v>
      </c>
      <c r="J24" s="55" t="str" cm="1">
        <f t="array" ref="J24">IFERROR(VLOOKUP(D1_ABRIL_2026[[#This Row],[ASESOR_CRR]],_xlfn._xlws.FILTER(PLANTILLA[[ASESOR]:[FECHA DE CESE]],PLANTILLA[FECHA]=_xlfn.CONCAT($M$3,"_",_xlfn.IFS($N$3="ENERO","1",$N$3="FEBRERO","2",$N$3="MARZO","3",$N$3="ABRIL","4",$N$3="MAYO","5",$N$3="JUNIO","6",$N$3="JULIO","7",$N$3="AGOSTO","8",$N$3="SETIEMBRE","9",$N$3="OCTUBRE","10",$N$3="NOVIEMBRE","11",$N$3="DICIEMBRE","12"))),4,0),"")</f>
        <v>CALL</v>
      </c>
      <c r="K24" s="55" t="str" cm="1">
        <f t="array" ref="K24">IFERROR(VLOOKUP(D1_ABRIL_2026[[#This Row],[ASESOR_CRR]],_xlfn._xlws.FILTER(PLANTILLA[[ASESOR]:[FECHA DE CESE]],PLANTILLA[FECHA]=_xlfn.CONCAT($M$3,"_",_xlfn.IFS($N$3="ENERO","1",$N$3="FEBRERO","2",$N$3="MARZO","3",$N$3="ABRIL","4",$N$3="MAYO","5",$N$3="JUNIO","6",$N$3="JULIO","7",$N$3="AGOSTO","8",$N$3="SETIEMBRE","9",$N$3="OCTUBRE","10",$N$3="NOVIEMBRE","11",$N$3="DICIEMBRE","12"))),8,0),"")</f>
        <v>S0</v>
      </c>
      <c r="L24" s="55"/>
      <c r="M24" s="5">
        <f>DATA_ABRIL_2026[[#This Row],[RECUPERO]]/DATA_ABRIL_2026[[#This Row],[META]]</f>
        <v>1.088639175257732</v>
      </c>
      <c r="N24" s="5">
        <f>6-ROUNDUP(_xlfn.RANK.EQ(DATA_ABRIL_2026[[#This Row],[AL_AC]],DATA_ABRIL_2026[AL_AC],0)/(COUNTA(DATA_ABRIL_2026[AL_AC])/5),0)</f>
        <v>4</v>
      </c>
      <c r="O24" s="54" t="str">
        <f>IFERROR(VLOOKUP(DATA_ABRIL_2026[[#This Row],[ASER_]],$B:$G,4,0),"")</f>
        <v>JORGE</v>
      </c>
      <c r="P24" s="6">
        <f>SUM(DATA_ABRIL_2026[[#This Row],[1]:[30]])</f>
        <v>52799</v>
      </c>
      <c r="Q24" s="6">
        <f>VLOOKUP(DATA_ABRIL_2026[[#This Row],[ASER_]],D1_ABRIL_2026[[ASESOR_CRR]:[META]],2,0)</f>
        <v>48500</v>
      </c>
      <c r="R24" t="s">
        <v>24</v>
      </c>
      <c r="V24">
        <v>4500</v>
      </c>
      <c r="W24">
        <v>13300</v>
      </c>
      <c r="Z24">
        <v>2400</v>
      </c>
      <c r="AB24">
        <v>1900</v>
      </c>
      <c r="AC24">
        <v>1000</v>
      </c>
      <c r="AD24">
        <v>6500</v>
      </c>
      <c r="AE24">
        <v>600</v>
      </c>
      <c r="AF24">
        <v>800</v>
      </c>
      <c r="AG24">
        <v>500</v>
      </c>
      <c r="AH24">
        <v>4050</v>
      </c>
      <c r="AI24">
        <v>6780</v>
      </c>
      <c r="AJ24">
        <v>750</v>
      </c>
      <c r="AN24">
        <v>413</v>
      </c>
      <c r="AQ24">
        <v>600</v>
      </c>
      <c r="AR24">
        <v>8706</v>
      </c>
      <c r="AS24" s="54" t="str" cm="1">
        <f t="array" ref="AS24">IFERROR(VLOOKUP(DATA_ABRIL_2026[[#This Row],[ASER_]],_xlfn._xlws.FILTER(PLANTILLA[[ASESOR]:[FECHA DE CESE]],PLANTILLA[FECHA]=_xlfn.CONCAT($M$3,"_",_xlfn.IFS($N$3="ENERO","1",$N$3="FEBRERO","2",$N$3="MARZO","3",$N$3="ABRIL","4",$N$3="MAYO","5",$N$3="JUNIO","6",$N$3="JULIO","7",$N$3="AGOSTO","8",$N$3="SETIEMBRE","9",$N$3="OCTUBRE","10",$N$3="NOVIEMBRE","11",$N$3="DICIEMBRE","12"))),8,0),"")</f>
        <v>S1</v>
      </c>
      <c r="CD24" s="45"/>
      <c r="CG24" t="s">
        <v>636</v>
      </c>
      <c r="CH24" t="s">
        <v>2</v>
      </c>
      <c r="CI24" t="s">
        <v>23</v>
      </c>
      <c r="CJ24">
        <v>46141</v>
      </c>
      <c r="CK24">
        <v>1</v>
      </c>
      <c r="CL24">
        <v>1</v>
      </c>
      <c r="CN24">
        <v>1</v>
      </c>
      <c r="CP24">
        <v>9.2592592592592588E-5</v>
      </c>
      <c r="CQ24">
        <v>9.2592592592592588E-5</v>
      </c>
      <c r="CR24">
        <v>0.17314814814814813</v>
      </c>
      <c r="CS24">
        <v>0.1915162037037037</v>
      </c>
      <c r="CT24">
        <v>114</v>
      </c>
      <c r="CU24">
        <v>209</v>
      </c>
      <c r="CV24">
        <v>17</v>
      </c>
      <c r="CW24" t="s">
        <v>686</v>
      </c>
      <c r="CX24">
        <v>28506</v>
      </c>
      <c r="CY24">
        <v>0.14910000000000001</v>
      </c>
      <c r="CZ24">
        <v>2</v>
      </c>
      <c r="DA24">
        <v>0.1176</v>
      </c>
      <c r="DB24">
        <v>2350</v>
      </c>
      <c r="DC24">
        <v>1175</v>
      </c>
      <c r="DD24">
        <v>1350</v>
      </c>
      <c r="DE24">
        <v>0.57450000000000001</v>
      </c>
      <c r="DF24">
        <v>0.1191</v>
      </c>
      <c r="DG24">
        <v>100</v>
      </c>
      <c r="DH24">
        <v>1350</v>
      </c>
      <c r="DI24">
        <f>Tabla82[[#This Row],[IND_MontoPDP]]*Tabla82[[#This Row],[IND_Condonacion]]</f>
        <v>279.88499999999999</v>
      </c>
    </row>
    <row r="25" spans="1:113" x14ac:dyDescent="0.25">
      <c r="A25" s="34" t="str" cm="1">
        <f t="array" ref="A25">IFERROR(VLOOKUP(D1_ABRIL_2026[[#This Row],[ASESOR_CRR]],_xlfn._xlws.FILTER(PLANTILLA[[ASESOR]:[FECHA DE CESE]],PLANTILLA[FECHA]=_xlfn.CONCAT($M$3,"_",_xlfn.IFS($N$3="ENERO","1",$N$3="FEBRERO","2",$N$3="MARZO","3",$N$3="ABRIL","4",$N$3="MAYO","5",$N$3="JUNIO","6",$N$3="JULIO","7",$N$3="AGOSTO","8",$N$3="SETIEMBRE","9",$N$3="OCTUBRE","10",$N$3="NOVIEMBRE","11",$N$3="DICIEMBRE","12"))),3,0),"")</f>
        <v>SANDY</v>
      </c>
      <c r="B25" s="34" t="str" cm="1">
        <f t="array" ref="B25">TRIM(IFERROR(_xlfn.IFS(D1_ABRIL_2026[[#This Row],[ASESOR]]="ELVIS GUERRA","ELVIS GUERRERA",D1_ABRIL_2026[[#This Row],[ASESOR]]="GENESIS VICUÑA","GENESIS VICUNA",D1_ABRIL_2026[[#This Row],[ASESOR]]="JENY QUIÑONES","JENY QUINONES",D1_ABRIL_2026[[#This Row],[ASESOR]]="NICOLE CAURURO","NICOLE CAURURO"),D1_ABRIL_2026[[#This Row],[ASESOR]]))</f>
        <v>JESSICA MELGAREJO</v>
      </c>
      <c r="C25" s="34" cm="1">
        <f t="array" ref="C25">_xlfn.XLOOKUP(1,(TablaMeta[CONCAT]=$M$3&amp;$N$3&amp;D1_ABRIL_2026[[#This Row],[SUPER]])*(TablaMeta[SEGG]=D1_ABRIL_2026[[#This Row],[SEGMENTO]]),TablaMeta[Meta_Asesor])</f>
        <v>28000</v>
      </c>
      <c r="D25" s="35">
        <f>IF(D1_ABRIL_2026[[#This Row],[RECUPERO]]="VACACIONES","VACACIONES",IFERROR(D1_ABRIL_2026[[#This Row],[RECUPERO]]/D1_ABRIL_2026[[#This Row],[META]],""))</f>
        <v>0.94589285714285709</v>
      </c>
      <c r="E25" s="35" t="str">
        <f>D1_ABRIL_2026[[#This Row],[SUPER]]</f>
        <v>SANDY</v>
      </c>
      <c r="F25" t="s">
        <v>96</v>
      </c>
      <c r="G25" s="36">
        <v>26485</v>
      </c>
      <c r="H25" cm="1">
        <f t="array" ref="H25">IFERROR(VLOOKUP(D1_ABRIL_2026[[#This Row],[ASESOR_CRR]],_xlfn._xlws.FILTER(PLANTILLA[[ASESOR]:[FECHA DE CESE]],PLANTILLA[FECHA]=_xlfn.CONCAT($M$3,"_",_xlfn.IFS($N$3="ENERO","1",$N$3="FEBRERO","2",$N$3="MARZO","3",$N$3="ABRIL","4",$N$3="MAYO","5",$N$3="JUNIO","6",$N$3="JULIO","7",$N$3="AGOSTO","8",$N$3="SETIEMBRE","9",$N$3="OCTUBRE","10",$N$3="NOVIEMBRE","11",$N$3="DICIEMBRE","12"))),2,0),"")</f>
        <v>46793103</v>
      </c>
      <c r="I25" s="55" cm="1">
        <f t="array" ref="I25">IFERROR(VLOOKUP(D1_ABRIL_2026[[#This Row],[ASESOR_CRR]],_xlfn._xlws.FILTER(PLANTILLA[[ASESOR]:[FECHA DE CESE]],PLANTILLA[FECHA]=_xlfn.CONCAT($M$3,"_",_xlfn.IFS($N$3="ENERO","1",$N$3="FEBRERO","2",$N$3="MARZO","3",$N$3="ABRIL","4",$N$3="MAYO","5",$N$3="JUNIO","6",$N$3="JULIO","7",$N$3="AGOSTO","8",$N$3="SETIEMBRE","9",$N$3="OCTUBRE","10",$N$3="NOVIEMBRE","11",$N$3="DICIEMBRE","12"))),6,0),"")</f>
        <v>45882</v>
      </c>
      <c r="J25" s="55" t="str" cm="1">
        <f t="array" ref="J25">IFERROR(VLOOKUP(D1_ABRIL_2026[[#This Row],[ASESOR_CRR]],_xlfn._xlws.FILTER(PLANTILLA[[ASESOR]:[FECHA DE CESE]],PLANTILLA[FECHA]=_xlfn.CONCAT($M$3,"_",_xlfn.IFS($N$3="ENERO","1",$N$3="FEBRERO","2",$N$3="MARZO","3",$N$3="ABRIL","4",$N$3="MAYO","5",$N$3="JUNIO","6",$N$3="JULIO","7",$N$3="AGOSTO","8",$N$3="SETIEMBRE","9",$N$3="OCTUBRE","10",$N$3="NOVIEMBRE","11",$N$3="DICIEMBRE","12"))),4,0),"")</f>
        <v>CALL</v>
      </c>
      <c r="K25" s="55" t="str" cm="1">
        <f t="array" ref="K25">IFERROR(VLOOKUP(D1_ABRIL_2026[[#This Row],[ASESOR_CRR]],_xlfn._xlws.FILTER(PLANTILLA[[ASESOR]:[FECHA DE CESE]],PLANTILLA[FECHA]=_xlfn.CONCAT($M$3,"_",_xlfn.IFS($N$3="ENERO","1",$N$3="FEBRERO","2",$N$3="MARZO","3",$N$3="ABRIL","4",$N$3="MAYO","5",$N$3="JUNIO","6",$N$3="JULIO","7",$N$3="AGOSTO","8",$N$3="SETIEMBRE","9",$N$3="OCTUBRE","10",$N$3="NOVIEMBRE","11",$N$3="DICIEMBRE","12"))),8,0),"")</f>
        <v>S0</v>
      </c>
      <c r="L25" s="55"/>
      <c r="M25" s="5">
        <f>DATA_ABRIL_2026[[#This Row],[RECUPERO]]/DATA_ABRIL_2026[[#This Row],[META]]</f>
        <v>0.78282692307692303</v>
      </c>
      <c r="N25" s="5">
        <f>6-ROUNDUP(_xlfn.RANK.EQ(DATA_ABRIL_2026[[#This Row],[AL_AC]],DATA_ABRIL_2026[AL_AC],0)/(COUNTA(DATA_ABRIL_2026[AL_AC])/5),0)</f>
        <v>3</v>
      </c>
      <c r="O25" s="54" t="str">
        <f>IFERROR(VLOOKUP(DATA_ABRIL_2026[[#This Row],[ASER_]],$B:$G,4,0),"")</f>
        <v>KENNETH</v>
      </c>
      <c r="P25" s="6">
        <f>SUM(DATA_ABRIL_2026[[#This Row],[1]:[30]])</f>
        <v>40707</v>
      </c>
      <c r="Q25" s="6">
        <f>VLOOKUP(DATA_ABRIL_2026[[#This Row],[ASER_]],D1_ABRIL_2026[[ASESOR_CRR]:[META]],2,0)</f>
        <v>52000</v>
      </c>
      <c r="R25" t="s">
        <v>105</v>
      </c>
      <c r="S25" s="45"/>
      <c r="W25">
        <v>2500</v>
      </c>
      <c r="X25">
        <v>366</v>
      </c>
      <c r="AC25">
        <v>700</v>
      </c>
      <c r="AD25">
        <v>5000</v>
      </c>
      <c r="AE25">
        <v>6000</v>
      </c>
      <c r="AF25">
        <v>12000</v>
      </c>
      <c r="AJ25">
        <v>50</v>
      </c>
      <c r="AK25">
        <v>1200</v>
      </c>
      <c r="AL25">
        <v>4000</v>
      </c>
      <c r="AP25">
        <v>1701</v>
      </c>
      <c r="AR25">
        <v>7190</v>
      </c>
      <c r="AS25" s="54" t="str" cm="1">
        <f t="array" ref="AS25">IFERROR(VLOOKUP(DATA_ABRIL_2026[[#This Row],[ASER_]],_xlfn._xlws.FILTER(PLANTILLA[[ASESOR]:[FECHA DE CESE]],PLANTILLA[FECHA]=_xlfn.CONCAT($M$3,"_",_xlfn.IFS($N$3="ENERO","1",$N$3="FEBRERO","2",$N$3="MARZO","3",$N$3="ABRIL","4",$N$3="MAYO","5",$N$3="JUNIO","6",$N$3="JULIO","7",$N$3="AGOSTO","8",$N$3="SETIEMBRE","9",$N$3="OCTUBRE","10",$N$3="NOVIEMBRE","11",$N$3="DICIEMBRE","12"))),8,0),"")</f>
        <v>S0</v>
      </c>
      <c r="AX25" s="45"/>
      <c r="AY25" s="45"/>
      <c r="AZ25" s="45"/>
      <c r="BA25" s="45"/>
      <c r="BB25" s="45"/>
      <c r="BC25" s="45"/>
      <c r="BD25" s="45"/>
      <c r="BE25" s="45"/>
      <c r="BF25" s="45"/>
      <c r="BG25" s="45"/>
      <c r="BH25" s="45"/>
      <c r="CG25" t="s">
        <v>636</v>
      </c>
      <c r="CH25" t="s">
        <v>7</v>
      </c>
      <c r="CI25" t="s">
        <v>109</v>
      </c>
      <c r="CJ25">
        <v>46133</v>
      </c>
      <c r="CK25">
        <v>1</v>
      </c>
      <c r="CL25">
        <v>1</v>
      </c>
      <c r="CN25">
        <v>1</v>
      </c>
      <c r="CP25">
        <v>1.7361111111111112E-4</v>
      </c>
      <c r="CQ25">
        <v>1.7361111111111112E-4</v>
      </c>
      <c r="CR25">
        <v>0.26377314814814817</v>
      </c>
      <c r="CS25">
        <v>0.14825231481481482</v>
      </c>
      <c r="CT25">
        <v>69</v>
      </c>
      <c r="CU25">
        <v>124</v>
      </c>
      <c r="CV25">
        <v>25</v>
      </c>
      <c r="CW25">
        <v>1.96</v>
      </c>
      <c r="CX25">
        <v>15100</v>
      </c>
      <c r="CY25">
        <v>0.36230000000000001</v>
      </c>
      <c r="CZ25">
        <v>2</v>
      </c>
      <c r="DA25">
        <v>0.08</v>
      </c>
      <c r="DB25">
        <v>5500</v>
      </c>
      <c r="DC25">
        <v>2750</v>
      </c>
      <c r="DD25">
        <v>5500</v>
      </c>
      <c r="DE25">
        <v>1</v>
      </c>
      <c r="DF25">
        <v>0.14130000000000001</v>
      </c>
      <c r="DG25">
        <v>100</v>
      </c>
      <c r="DH25">
        <v>2750</v>
      </c>
      <c r="DI25">
        <f>Tabla82[[#This Row],[IND_MontoPDP]]*Tabla82[[#This Row],[IND_Condonacion]]</f>
        <v>777.15000000000009</v>
      </c>
    </row>
    <row r="26" spans="1:113" x14ac:dyDescent="0.25">
      <c r="A26" s="34" t="str" cm="1">
        <f t="array" ref="A26">IFERROR(VLOOKUP(D1_ABRIL_2026[[#This Row],[ASESOR_CRR]],_xlfn._xlws.FILTER(PLANTILLA[[ASESOR]:[FECHA DE CESE]],PLANTILLA[FECHA]=_xlfn.CONCAT($M$3,"_",_xlfn.IFS($N$3="ENERO","1",$N$3="FEBRERO","2",$N$3="MARZO","3",$N$3="ABRIL","4",$N$3="MAYO","5",$N$3="JUNIO","6",$N$3="JULIO","7",$N$3="AGOSTO","8",$N$3="SETIEMBRE","9",$N$3="OCTUBRE","10",$N$3="NOVIEMBRE","11",$N$3="DICIEMBRE","12"))),3,0),"")</f>
        <v>SANDY</v>
      </c>
      <c r="B26" s="34" t="str" cm="1">
        <f t="array" ref="B26">TRIM(IFERROR(_xlfn.IFS(D1_ABRIL_2026[[#This Row],[ASESOR]]="ELVIS GUERRA","ELVIS GUERRERA",D1_ABRIL_2026[[#This Row],[ASESOR]]="GENESIS VICUÑA","GENESIS VICUNA",D1_ABRIL_2026[[#This Row],[ASESOR]]="JENY QUIÑONES","JENY QUINONES",D1_ABRIL_2026[[#This Row],[ASESOR]]="NICOLE CAURURO","NICOLE CAURURO"),D1_ABRIL_2026[[#This Row],[ASESOR]]))</f>
        <v>CARLA VALENCIA</v>
      </c>
      <c r="C26" s="34" cm="1">
        <f t="array" ref="C26">_xlfn.XLOOKUP(1,(TablaMeta[CONCAT]=$M$3&amp;$N$3&amp;D1_ABRIL_2026[[#This Row],[SUPER]])*(TablaMeta[SEGG]=D1_ABRIL_2026[[#This Row],[SEGMENTO]]),TablaMeta[Meta_Asesor])</f>
        <v>28000</v>
      </c>
      <c r="D26" s="35">
        <f>IF(D1_ABRIL_2026[[#This Row],[RECUPERO]]="VACACIONES","VACACIONES",IFERROR(D1_ABRIL_2026[[#This Row],[RECUPERO]]/D1_ABRIL_2026[[#This Row],[META]],""))</f>
        <v>0.84489285714285711</v>
      </c>
      <c r="E26" s="35" t="str">
        <f>D1_ABRIL_2026[[#This Row],[SUPER]]</f>
        <v>SANDY</v>
      </c>
      <c r="F26" t="s">
        <v>174</v>
      </c>
      <c r="G26" s="36">
        <v>23657</v>
      </c>
      <c r="H26" cm="1">
        <f t="array" ref="H26">IFERROR(VLOOKUP(D1_ABRIL_2026[[#This Row],[ASESOR_CRR]],_xlfn._xlws.FILTER(PLANTILLA[[ASESOR]:[FECHA DE CESE]],PLANTILLA[FECHA]=_xlfn.CONCAT($M$3,"_",_xlfn.IFS($N$3="ENERO","1",$N$3="FEBRERO","2",$N$3="MARZO","3",$N$3="ABRIL","4",$N$3="MAYO","5",$N$3="JUNIO","6",$N$3="JULIO","7",$N$3="AGOSTO","8",$N$3="SETIEMBRE","9",$N$3="OCTUBRE","10",$N$3="NOVIEMBRE","11",$N$3="DICIEMBRE","12"))),2,0),"")</f>
        <v>46994661</v>
      </c>
      <c r="I26" s="55" cm="1">
        <f t="array" ref="I26">IFERROR(VLOOKUP(D1_ABRIL_2026[[#This Row],[ASESOR_CRR]],_xlfn._xlws.FILTER(PLANTILLA[[ASESOR]:[FECHA DE CESE]],PLANTILLA[FECHA]=_xlfn.CONCAT($M$3,"_",_xlfn.IFS($N$3="ENERO","1",$N$3="FEBRERO","2",$N$3="MARZO","3",$N$3="ABRIL","4",$N$3="MAYO","5",$N$3="JUNIO","6",$N$3="JULIO","7",$N$3="AGOSTO","8",$N$3="SETIEMBRE","9",$N$3="OCTUBRE","10",$N$3="NOVIEMBRE","11",$N$3="DICIEMBRE","12"))),6,0),"")</f>
        <v>45992</v>
      </c>
      <c r="J26" s="55" t="str" cm="1">
        <f t="array" ref="J26">IFERROR(VLOOKUP(D1_ABRIL_2026[[#This Row],[ASESOR_CRR]],_xlfn._xlws.FILTER(PLANTILLA[[ASESOR]:[FECHA DE CESE]],PLANTILLA[FECHA]=_xlfn.CONCAT($M$3,"_",_xlfn.IFS($N$3="ENERO","1",$N$3="FEBRERO","2",$N$3="MARZO","3",$N$3="ABRIL","4",$N$3="MAYO","5",$N$3="JUNIO","6",$N$3="JULIO","7",$N$3="AGOSTO","8",$N$3="SETIEMBRE","9",$N$3="OCTUBRE","10",$N$3="NOVIEMBRE","11",$N$3="DICIEMBRE","12"))),4,0),"")</f>
        <v>CALL</v>
      </c>
      <c r="K26" s="55" t="str" cm="1">
        <f t="array" ref="K26">IFERROR(VLOOKUP(D1_ABRIL_2026[[#This Row],[ASESOR_CRR]],_xlfn._xlws.FILTER(PLANTILLA[[ASESOR]:[FECHA DE CESE]],PLANTILLA[FECHA]=_xlfn.CONCAT($M$3,"_",_xlfn.IFS($N$3="ENERO","1",$N$3="FEBRERO","2",$N$3="MARZO","3",$N$3="ABRIL","4",$N$3="MAYO","5",$N$3="JUNIO","6",$N$3="JULIO","7",$N$3="AGOSTO","8",$N$3="SETIEMBRE","9",$N$3="OCTUBRE","10",$N$3="NOVIEMBRE","11",$N$3="DICIEMBRE","12"))),8,0),"")</f>
        <v>S0</v>
      </c>
      <c r="L26" s="55"/>
      <c r="M26" s="5">
        <f>DATA_ABRIL_2026[[#This Row],[RECUPERO]]/DATA_ABRIL_2026[[#This Row],[META]]</f>
        <v>1.4542471428571428</v>
      </c>
      <c r="N26" s="5">
        <f>6-ROUNDUP(_xlfn.RANK.EQ(DATA_ABRIL_2026[[#This Row],[AL_AC]],DATA_ABRIL_2026[AL_AC],0)/(COUNTA(DATA_ABRIL_2026[AL_AC])/5),0)</f>
        <v>5</v>
      </c>
      <c r="O26" s="54" t="str">
        <f>IFERROR(VLOOKUP(DATA_ABRIL_2026[[#This Row],[ASER_]],$B:$G,4,0),"")</f>
        <v>SANDY</v>
      </c>
      <c r="P26" s="6">
        <f>SUM(DATA_ABRIL_2026[[#This Row],[1]:[30]])</f>
        <v>40718.92</v>
      </c>
      <c r="Q26" s="6">
        <f>VLOOKUP(DATA_ABRIL_2026[[#This Row],[ASER_]],D1_ABRIL_2026[[ASESOR_CRR]:[META]],2,0)</f>
        <v>28000</v>
      </c>
      <c r="R26" t="s">
        <v>493</v>
      </c>
      <c r="S26" s="45"/>
      <c r="T26">
        <v>860</v>
      </c>
      <c r="V26">
        <v>310</v>
      </c>
      <c r="W26">
        <v>355</v>
      </c>
      <c r="X26">
        <v>200</v>
      </c>
      <c r="Y26">
        <v>400</v>
      </c>
      <c r="AB26">
        <v>610.5</v>
      </c>
      <c r="AC26">
        <v>1580</v>
      </c>
      <c r="AE26">
        <v>3308.42</v>
      </c>
      <c r="AF26">
        <v>4000</v>
      </c>
      <c r="AJ26">
        <v>1625</v>
      </c>
      <c r="AK26">
        <v>1000</v>
      </c>
      <c r="AO26">
        <v>1650</v>
      </c>
      <c r="AP26">
        <v>3270</v>
      </c>
      <c r="AQ26">
        <v>19000</v>
      </c>
      <c r="AR26">
        <v>2550</v>
      </c>
      <c r="AS26" s="54" t="str" cm="1">
        <f t="array" ref="AS26">IFERROR(VLOOKUP(DATA_ABRIL_2026[[#This Row],[ASER_]],_xlfn._xlws.FILTER(PLANTILLA[[ASESOR]:[FECHA DE CESE]],PLANTILLA[FECHA]=_xlfn.CONCAT($M$3,"_",_xlfn.IFS($N$3="ENERO","1",$N$3="FEBRERO","2",$N$3="MARZO","3",$N$3="ABRIL","4",$N$3="MAYO","5",$N$3="JUNIO","6",$N$3="JULIO","7",$N$3="AGOSTO","8",$N$3="SETIEMBRE","9",$N$3="OCTUBRE","10",$N$3="NOVIEMBRE","11",$N$3="DICIEMBRE","12"))),8,0),"")</f>
        <v>S0</v>
      </c>
      <c r="AX26" s="45"/>
      <c r="AY26" s="45"/>
      <c r="AZ26" s="45"/>
      <c r="BA26" s="45"/>
      <c r="BB26" s="45"/>
      <c r="BC26" s="45"/>
      <c r="BD26" s="45"/>
      <c r="BE26" s="45"/>
      <c r="BF26" s="45"/>
      <c r="BG26" s="45"/>
      <c r="BH26" s="45"/>
      <c r="CG26" t="s">
        <v>636</v>
      </c>
      <c r="CH26" t="s">
        <v>7</v>
      </c>
      <c r="CI26" t="s">
        <v>49</v>
      </c>
      <c r="CJ26">
        <v>46127</v>
      </c>
      <c r="CK26">
        <v>1</v>
      </c>
      <c r="CL26">
        <v>1</v>
      </c>
      <c r="CN26">
        <v>1</v>
      </c>
      <c r="CP26">
        <v>0</v>
      </c>
      <c r="CQ26">
        <v>0</v>
      </c>
      <c r="CR26">
        <v>0.20268518518518519</v>
      </c>
      <c r="CS26">
        <v>0.10758101851851852</v>
      </c>
      <c r="CT26">
        <v>48</v>
      </c>
      <c r="CU26">
        <v>94</v>
      </c>
      <c r="CV26">
        <v>7</v>
      </c>
      <c r="CW26" t="s">
        <v>803</v>
      </c>
      <c r="CX26">
        <v>10983</v>
      </c>
      <c r="CY26">
        <v>0.14580000000000001</v>
      </c>
      <c r="CZ26">
        <v>1</v>
      </c>
      <c r="DA26">
        <v>0.1429</v>
      </c>
      <c r="DB26">
        <v>2400</v>
      </c>
      <c r="DC26">
        <v>2400</v>
      </c>
      <c r="DD26">
        <v>2400</v>
      </c>
      <c r="DE26">
        <v>1</v>
      </c>
      <c r="DF26">
        <v>0.1016</v>
      </c>
      <c r="DG26">
        <v>100</v>
      </c>
      <c r="DH26">
        <v>2400</v>
      </c>
      <c r="DI26">
        <f>Tabla82[[#This Row],[IND_MontoPDP]]*Tabla82[[#This Row],[IND_Condonacion]]</f>
        <v>243.84</v>
      </c>
    </row>
    <row r="27" spans="1:113" x14ac:dyDescent="0.25">
      <c r="A27" s="34" t="str" cm="1">
        <f t="array" ref="A27">IFERROR(VLOOKUP(D1_ABRIL_2026[[#This Row],[ASESOR_CRR]],_xlfn._xlws.FILTER(PLANTILLA[[ASESOR]:[FECHA DE CESE]],PLANTILLA[FECHA]=_xlfn.CONCAT($M$3,"_",_xlfn.IFS($N$3="ENERO","1",$N$3="FEBRERO","2",$N$3="MARZO","3",$N$3="ABRIL","4",$N$3="MAYO","5",$N$3="JUNIO","6",$N$3="JULIO","7",$N$3="AGOSTO","8",$N$3="SETIEMBRE","9",$N$3="OCTUBRE","10",$N$3="NOVIEMBRE","11",$N$3="DICIEMBRE","12"))),3,0),"")</f>
        <v>SANDY</v>
      </c>
      <c r="B27" s="34" t="str" cm="1">
        <f t="array" ref="B27">TRIM(IFERROR(_xlfn.IFS(D1_ABRIL_2026[[#This Row],[ASESOR]]="ELVIS GUERRA","ELVIS GUERRERA",D1_ABRIL_2026[[#This Row],[ASESOR]]="GENESIS VICUÑA","GENESIS VICUNA",D1_ABRIL_2026[[#This Row],[ASESOR]]="JENY QUIÑONES","JENY QUINONES",D1_ABRIL_2026[[#This Row],[ASESOR]]="NICOLE CAURURO","NICOLE CAURURO"),D1_ABRIL_2026[[#This Row],[ASESOR]]))</f>
        <v>JENY QUINONES</v>
      </c>
      <c r="C27" s="34" cm="1">
        <f t="array" ref="C27">_xlfn.XLOOKUP(1,(TablaMeta[CONCAT]=$M$3&amp;$N$3&amp;D1_ABRIL_2026[[#This Row],[SUPER]])*(TablaMeta[SEGG]=D1_ABRIL_2026[[#This Row],[SEGMENTO]]),TablaMeta[Meta_Asesor])</f>
        <v>28000</v>
      </c>
      <c r="D27" s="35">
        <f>IF(D1_ABRIL_2026[[#This Row],[RECUPERO]]="VACACIONES","VACACIONES",IFERROR(D1_ABRIL_2026[[#This Row],[RECUPERO]]/D1_ABRIL_2026[[#This Row],[META]],""))</f>
        <v>0.81410714285714281</v>
      </c>
      <c r="E27" s="35" t="str">
        <f>D1_ABRIL_2026[[#This Row],[SUPER]]</f>
        <v>SANDY</v>
      </c>
      <c r="F27" t="s">
        <v>564</v>
      </c>
      <c r="G27" s="36">
        <v>22795</v>
      </c>
      <c r="H27" cm="1">
        <f t="array" ref="H27">IFERROR(VLOOKUP(D1_ABRIL_2026[[#This Row],[ASESOR_CRR]],_xlfn._xlws.FILTER(PLANTILLA[[ASESOR]:[FECHA DE CESE]],PLANTILLA[FECHA]=_xlfn.CONCAT($M$3,"_",_xlfn.IFS($N$3="ENERO","1",$N$3="FEBRERO","2",$N$3="MARZO","3",$N$3="ABRIL","4",$N$3="MAYO","5",$N$3="JUNIO","6",$N$3="JULIO","7",$N$3="AGOSTO","8",$N$3="SETIEMBRE","9",$N$3="OCTUBRE","10",$N$3="NOVIEMBRE","11",$N$3="DICIEMBRE","12"))),2,0),"")</f>
        <v>43184866</v>
      </c>
      <c r="I27" s="55" cm="1">
        <f t="array" ref="I27">IFERROR(VLOOKUP(D1_ABRIL_2026[[#This Row],[ASESOR_CRR]],_xlfn._xlws.FILTER(PLANTILLA[[ASESOR]:[FECHA DE CESE]],PLANTILLA[FECHA]=_xlfn.CONCAT($M$3,"_",_xlfn.IFS($N$3="ENERO","1",$N$3="FEBRERO","2",$N$3="MARZO","3",$N$3="ABRIL","4",$N$3="MAYO","5",$N$3="JUNIO","6",$N$3="JULIO","7",$N$3="AGOSTO","8",$N$3="SETIEMBRE","9",$N$3="OCTUBRE","10",$N$3="NOVIEMBRE","11",$N$3="DICIEMBRE","12"))),6,0),"")</f>
        <v>46083</v>
      </c>
      <c r="J27" s="55" t="str" cm="1">
        <f t="array" ref="J27">IFERROR(VLOOKUP(D1_ABRIL_2026[[#This Row],[ASESOR_CRR]],_xlfn._xlws.FILTER(PLANTILLA[[ASESOR]:[FECHA DE CESE]],PLANTILLA[FECHA]=_xlfn.CONCAT($M$3,"_",_xlfn.IFS($N$3="ENERO","1",$N$3="FEBRERO","2",$N$3="MARZO","3",$N$3="ABRIL","4",$N$3="MAYO","5",$N$3="JUNIO","6",$N$3="JULIO","7",$N$3="AGOSTO","8",$N$3="SETIEMBRE","9",$N$3="OCTUBRE","10",$N$3="NOVIEMBRE","11",$N$3="DICIEMBRE","12"))),4,0),"")</f>
        <v>CALL</v>
      </c>
      <c r="K27" s="55" t="str" cm="1">
        <f t="array" ref="K27">IFERROR(VLOOKUP(D1_ABRIL_2026[[#This Row],[ASESOR_CRR]],_xlfn._xlws.FILTER(PLANTILLA[[ASESOR]:[FECHA DE CESE]],PLANTILLA[FECHA]=_xlfn.CONCAT($M$3,"_",_xlfn.IFS($N$3="ENERO","1",$N$3="FEBRERO","2",$N$3="MARZO","3",$N$3="ABRIL","4",$N$3="MAYO","5",$N$3="JUNIO","6",$N$3="JULIO","7",$N$3="AGOSTO","8",$N$3="SETIEMBRE","9",$N$3="OCTUBRE","10",$N$3="NOVIEMBRE","11",$N$3="DICIEMBRE","12"))),8,0),"")</f>
        <v>S0</v>
      </c>
      <c r="L27" s="55"/>
      <c r="M27" s="5">
        <f>DATA_ABRIL_2026[[#This Row],[RECUPERO]]/DATA_ABRIL_2026[[#This Row],[META]]</f>
        <v>0.63148453608247423</v>
      </c>
      <c r="N27" s="5">
        <f>6-ROUNDUP(_xlfn.RANK.EQ(DATA_ABRIL_2026[[#This Row],[AL_AC]],DATA_ABRIL_2026[AL_AC],0)/(COUNTA(DATA_ABRIL_2026[AL_AC])/5),0)</f>
        <v>2</v>
      </c>
      <c r="O27" s="54" t="str">
        <f>IFERROR(VLOOKUP(DATA_ABRIL_2026[[#This Row],[ASER_]],$B:$G,4,0),"")</f>
        <v>JOHAN</v>
      </c>
      <c r="P27" s="6">
        <f>SUM(DATA_ABRIL_2026[[#This Row],[1]:[30]])</f>
        <v>30627</v>
      </c>
      <c r="Q27" s="6">
        <f>VLOOKUP(DATA_ABRIL_2026[[#This Row],[ASER_]],D1_ABRIL_2026[[ASESOR_CRR]:[META]],2,0)</f>
        <v>48500</v>
      </c>
      <c r="R27" t="s">
        <v>12</v>
      </c>
      <c r="T27">
        <v>300</v>
      </c>
      <c r="AE27">
        <v>928</v>
      </c>
      <c r="AF27">
        <v>3500</v>
      </c>
      <c r="AH27">
        <v>500</v>
      </c>
      <c r="AI27">
        <v>15000</v>
      </c>
      <c r="AJ27">
        <v>950</v>
      </c>
      <c r="AL27">
        <v>6649</v>
      </c>
      <c r="AP27">
        <v>250</v>
      </c>
      <c r="AR27">
        <v>2550</v>
      </c>
      <c r="AS27" s="54" t="str" cm="1">
        <f t="array" ref="AS27">IFERROR(VLOOKUP(DATA_ABRIL_2026[[#This Row],[ASER_]],_xlfn._xlws.FILTER(PLANTILLA[[ASESOR]:[FECHA DE CESE]],PLANTILLA[FECHA]=_xlfn.CONCAT($M$3,"_",_xlfn.IFS($N$3="ENERO","1",$N$3="FEBRERO","2",$N$3="MARZO","3",$N$3="ABRIL","4",$N$3="MAYO","5",$N$3="JUNIO","6",$N$3="JULIO","7",$N$3="AGOSTO","8",$N$3="SETIEMBRE","9",$N$3="OCTUBRE","10",$N$3="NOVIEMBRE","11",$N$3="DICIEMBRE","12"))),8,0),"")</f>
        <v>S1</v>
      </c>
      <c r="AX27" s="45"/>
      <c r="AY27" s="45"/>
      <c r="AZ27" s="45"/>
      <c r="BA27" s="45"/>
      <c r="BB27" s="45"/>
      <c r="BC27" s="45"/>
      <c r="BD27" s="45"/>
      <c r="BE27" s="45"/>
      <c r="BF27" s="45"/>
      <c r="BG27" s="45"/>
      <c r="BH27" s="45"/>
      <c r="CG27" t="s">
        <v>636</v>
      </c>
      <c r="CH27" t="s">
        <v>7</v>
      </c>
      <c r="CI27" t="s">
        <v>73</v>
      </c>
      <c r="CJ27">
        <v>46127</v>
      </c>
      <c r="CK27">
        <v>1</v>
      </c>
      <c r="CL27">
        <v>1</v>
      </c>
      <c r="CN27">
        <v>1</v>
      </c>
      <c r="CP27">
        <v>3.0671296296296297E-3</v>
      </c>
      <c r="CQ27">
        <v>3.0671296296296297E-3</v>
      </c>
      <c r="CR27">
        <v>0.16980324074074074</v>
      </c>
      <c r="CS27">
        <v>0.1199537037037037</v>
      </c>
      <c r="CT27">
        <v>55</v>
      </c>
      <c r="CU27">
        <v>88</v>
      </c>
      <c r="CV27">
        <v>9</v>
      </c>
      <c r="CW27" t="s">
        <v>706</v>
      </c>
      <c r="CX27">
        <v>33034</v>
      </c>
      <c r="CY27">
        <v>0.1636</v>
      </c>
      <c r="CZ27">
        <v>2</v>
      </c>
      <c r="DA27">
        <v>0.22220000000000001</v>
      </c>
      <c r="DB27">
        <v>5500</v>
      </c>
      <c r="DC27">
        <v>2750</v>
      </c>
      <c r="DD27">
        <v>5500</v>
      </c>
      <c r="DE27">
        <v>1</v>
      </c>
      <c r="DF27">
        <v>0.12659999999999999</v>
      </c>
      <c r="DG27">
        <v>100</v>
      </c>
      <c r="DH27">
        <v>2750</v>
      </c>
      <c r="DI27">
        <f>Tabla82[[#This Row],[IND_MontoPDP]]*Tabla82[[#This Row],[IND_Condonacion]]</f>
        <v>696.3</v>
      </c>
    </row>
    <row r="28" spans="1:113" x14ac:dyDescent="0.25">
      <c r="A28" s="34" t="str" cm="1">
        <f t="array" ref="A28">IFERROR(VLOOKUP(D1_ABRIL_2026[[#This Row],[ASESOR_CRR]],_xlfn._xlws.FILTER(PLANTILLA[[ASESOR]:[FECHA DE CESE]],PLANTILLA[FECHA]=_xlfn.CONCAT($M$3,"_",_xlfn.IFS($N$3="ENERO","1",$N$3="FEBRERO","2",$N$3="MARZO","3",$N$3="ABRIL","4",$N$3="MAYO","5",$N$3="JUNIO","6",$N$3="JULIO","7",$N$3="AGOSTO","8",$N$3="SETIEMBRE","9",$N$3="OCTUBRE","10",$N$3="NOVIEMBRE","11",$N$3="DICIEMBRE","12"))),3,0),"")</f>
        <v>KENNETH</v>
      </c>
      <c r="B28" s="34" t="str" cm="1">
        <f t="array" ref="B28">TRIM(IFERROR(_xlfn.IFS(D1_ABRIL_2026[[#This Row],[ASESOR]]="ELVIS GUERRA","ELVIS GUERRERA",D1_ABRIL_2026[[#This Row],[ASESOR]]="GENESIS VICUÑA","GENESIS VICUNA",D1_ABRIL_2026[[#This Row],[ASESOR]]="JENY QUIÑONES","JENY QUINONES",D1_ABRIL_2026[[#This Row],[ASESOR]]="NICOLE CAURURO","NICOLE CAURURO"),D1_ABRIL_2026[[#This Row],[ASESOR]]))</f>
        <v>STWUAR MACURI</v>
      </c>
      <c r="C28" s="34" cm="1">
        <f t="array" ref="C28">_xlfn.XLOOKUP(1,(TablaMeta[CONCAT]=$M$3&amp;$N$3&amp;D1_ABRIL_2026[[#This Row],[SUPER]])*(TablaMeta[SEGG]=D1_ABRIL_2026[[#This Row],[SEGMENTO]]),TablaMeta[Meta_Asesor])</f>
        <v>52000</v>
      </c>
      <c r="D28" s="35">
        <f>IF(D1_ABRIL_2026[[#This Row],[RECUPERO]]="VACACIONES","VACACIONES",IFERROR(D1_ABRIL_2026[[#This Row],[RECUPERO]]/D1_ABRIL_2026[[#This Row],[META]],""))</f>
        <v>1.61</v>
      </c>
      <c r="E28" s="35" t="str">
        <f>D1_ABRIL_2026[[#This Row],[SUPER]]</f>
        <v>KENNETH</v>
      </c>
      <c r="F28" t="s">
        <v>34</v>
      </c>
      <c r="G28" s="36">
        <v>83720</v>
      </c>
      <c r="H28" cm="1">
        <f t="array" ref="H28">IFERROR(VLOOKUP(D1_ABRIL_2026[[#This Row],[ASESOR_CRR]],_xlfn._xlws.FILTER(PLANTILLA[[ASESOR]:[FECHA DE CESE]],PLANTILLA[FECHA]=_xlfn.CONCAT($M$3,"_",_xlfn.IFS($N$3="ENERO","1",$N$3="FEBRERO","2",$N$3="MARZO","3",$N$3="ABRIL","4",$N$3="MAYO","5",$N$3="JUNIO","6",$N$3="JULIO","7",$N$3="AGOSTO","8",$N$3="SETIEMBRE","9",$N$3="OCTUBRE","10",$N$3="NOVIEMBRE","11",$N$3="DICIEMBRE","12"))),2,0),"")</f>
        <v>76824571</v>
      </c>
      <c r="I28" s="55" cm="1">
        <f t="array" ref="I28">IFERROR(VLOOKUP(D1_ABRIL_2026[[#This Row],[ASESOR_CRR]],_xlfn._xlws.FILTER(PLANTILLA[[ASESOR]:[FECHA DE CESE]],PLANTILLA[FECHA]=_xlfn.CONCAT($M$3,"_",_xlfn.IFS($N$3="ENERO","1",$N$3="FEBRERO","2",$N$3="MARZO","3",$N$3="ABRIL","4",$N$3="MAYO","5",$N$3="JUNIO","6",$N$3="JULIO","7",$N$3="AGOSTO","8",$N$3="SETIEMBRE","9",$N$3="OCTUBRE","10",$N$3="NOVIEMBRE","11",$N$3="DICIEMBRE","12"))),6,0),"")</f>
        <v>45173</v>
      </c>
      <c r="J28" s="55" t="str" cm="1">
        <f t="array" ref="J28">IFERROR(VLOOKUP(D1_ABRIL_2026[[#This Row],[ASESOR_CRR]],_xlfn._xlws.FILTER(PLANTILLA[[ASESOR]:[FECHA DE CESE]],PLANTILLA[FECHA]=_xlfn.CONCAT($M$3,"_",_xlfn.IFS($N$3="ENERO","1",$N$3="FEBRERO","2",$N$3="MARZO","3",$N$3="ABRIL","4",$N$3="MAYO","5",$N$3="JUNIO","6",$N$3="JULIO","7",$N$3="AGOSTO","8",$N$3="SETIEMBRE","9",$N$3="OCTUBRE","10",$N$3="NOVIEMBRE","11",$N$3="DICIEMBRE","12"))),4,0),"")</f>
        <v>CALL</v>
      </c>
      <c r="K28" s="55" t="str" cm="1">
        <f t="array" ref="K28">IFERROR(VLOOKUP(D1_ABRIL_2026[[#This Row],[ASESOR_CRR]],_xlfn._xlws.FILTER(PLANTILLA[[ASESOR]:[FECHA DE CESE]],PLANTILLA[FECHA]=_xlfn.CONCAT($M$3,"_",_xlfn.IFS($N$3="ENERO","1",$N$3="FEBRERO","2",$N$3="MARZO","3",$N$3="ABRIL","4",$N$3="MAYO","5",$N$3="JUNIO","6",$N$3="JULIO","7",$N$3="AGOSTO","8",$N$3="SETIEMBRE","9",$N$3="OCTUBRE","10",$N$3="NOVIEMBRE","11",$N$3="DICIEMBRE","12"))),8,0),"")</f>
        <v>S0</v>
      </c>
      <c r="L28" s="55"/>
      <c r="M28" s="5">
        <f>DATA_ABRIL_2026[[#This Row],[RECUPERO]]/DATA_ABRIL_2026[[#This Row],[META]]</f>
        <v>0.92719587628865985</v>
      </c>
      <c r="N28" s="5">
        <f>6-ROUNDUP(_xlfn.RANK.EQ(DATA_ABRIL_2026[[#This Row],[AL_AC]],DATA_ABRIL_2026[AL_AC],0)/(COUNTA(DATA_ABRIL_2026[AL_AC])/5),0)</f>
        <v>3</v>
      </c>
      <c r="O28" s="54" t="str">
        <f>IFERROR(VLOOKUP(DATA_ABRIL_2026[[#This Row],[ASER_]],$B:$G,4,0),"")</f>
        <v>JORGE</v>
      </c>
      <c r="P28" s="6">
        <f>SUM(DATA_ABRIL_2026[[#This Row],[1]:[30]])</f>
        <v>44969</v>
      </c>
      <c r="Q28" s="6">
        <f>VLOOKUP(DATA_ABRIL_2026[[#This Row],[ASER_]],D1_ABRIL_2026[[ASESOR_CRR]:[META]],2,0)</f>
        <v>48500</v>
      </c>
      <c r="R28" t="s">
        <v>13</v>
      </c>
      <c r="S28">
        <v>520</v>
      </c>
      <c r="V28">
        <v>500</v>
      </c>
      <c r="AC28">
        <v>1500</v>
      </c>
      <c r="AD28">
        <v>1200</v>
      </c>
      <c r="AE28">
        <v>1650</v>
      </c>
      <c r="AF28">
        <v>12500</v>
      </c>
      <c r="AH28">
        <v>1001</v>
      </c>
      <c r="AI28">
        <v>500</v>
      </c>
      <c r="AJ28">
        <v>18000</v>
      </c>
      <c r="AK28">
        <v>2500</v>
      </c>
      <c r="AO28">
        <v>2300</v>
      </c>
      <c r="AQ28">
        <v>2550</v>
      </c>
      <c r="AR28">
        <v>248</v>
      </c>
      <c r="AS28" s="54" t="str" cm="1">
        <f t="array" ref="AS28">IFERROR(VLOOKUP(DATA_ABRIL_2026[[#This Row],[ASER_]],_xlfn._xlws.FILTER(PLANTILLA[[ASESOR]:[FECHA DE CESE]],PLANTILLA[FECHA]=_xlfn.CONCAT($M$3,"_",_xlfn.IFS($N$3="ENERO","1",$N$3="FEBRERO","2",$N$3="MARZO","3",$N$3="ABRIL","4",$N$3="MAYO","5",$N$3="JUNIO","6",$N$3="JULIO","7",$N$3="AGOSTO","8",$N$3="SETIEMBRE","9",$N$3="OCTUBRE","10",$N$3="NOVIEMBRE","11",$N$3="DICIEMBRE","12"))),8,0),"")</f>
        <v>S1</v>
      </c>
      <c r="AX28" s="45"/>
      <c r="AY28" s="45"/>
      <c r="AZ28" s="45"/>
      <c r="BA28" s="45"/>
      <c r="BB28" s="45"/>
      <c r="BC28" s="45"/>
      <c r="BD28" s="45"/>
      <c r="BE28" s="45"/>
      <c r="BF28" s="45"/>
      <c r="BG28" s="45"/>
      <c r="BH28" s="45"/>
      <c r="CG28" t="s">
        <v>636</v>
      </c>
      <c r="CH28" t="s">
        <v>3</v>
      </c>
      <c r="CI28" t="s">
        <v>564</v>
      </c>
      <c r="CJ28">
        <v>46133</v>
      </c>
      <c r="CK28">
        <v>1</v>
      </c>
      <c r="CL28">
        <v>1</v>
      </c>
      <c r="CN28">
        <v>1</v>
      </c>
      <c r="CP28">
        <v>0</v>
      </c>
      <c r="CQ28">
        <v>0</v>
      </c>
      <c r="CR28">
        <v>0.28608796296296296</v>
      </c>
      <c r="CS28">
        <v>0.13946759259259259</v>
      </c>
      <c r="CT28">
        <v>185</v>
      </c>
      <c r="CU28">
        <v>341</v>
      </c>
      <c r="CV28">
        <v>49</v>
      </c>
      <c r="CW28" t="s">
        <v>958</v>
      </c>
      <c r="CX28">
        <v>25107</v>
      </c>
      <c r="CY28">
        <v>0.26490000000000002</v>
      </c>
      <c r="CZ28">
        <v>3</v>
      </c>
      <c r="DA28">
        <v>6.1199999999999997E-2</v>
      </c>
      <c r="DB28">
        <v>4600</v>
      </c>
      <c r="DC28">
        <v>1533</v>
      </c>
      <c r="DD28">
        <v>4600</v>
      </c>
      <c r="DE28">
        <v>1</v>
      </c>
      <c r="DF28">
        <v>0.1608</v>
      </c>
      <c r="DG28">
        <v>100</v>
      </c>
      <c r="DH28">
        <v>1533</v>
      </c>
      <c r="DI28">
        <f>Tabla82[[#This Row],[IND_MontoPDP]]*Tabla82[[#This Row],[IND_Condonacion]]</f>
        <v>739.68</v>
      </c>
    </row>
    <row r="29" spans="1:113" x14ac:dyDescent="0.25">
      <c r="A29" s="34" t="str" cm="1">
        <f t="array" ref="A29">IFERROR(VLOOKUP(D1_ABRIL_2026[[#This Row],[ASESOR_CRR]],_xlfn._xlws.FILTER(PLANTILLA[[ASESOR]:[FECHA DE CESE]],PLANTILLA[FECHA]=_xlfn.CONCAT($M$3,"_",_xlfn.IFS($N$3="ENERO","1",$N$3="FEBRERO","2",$N$3="MARZO","3",$N$3="ABRIL","4",$N$3="MAYO","5",$N$3="JUNIO","6",$N$3="JULIO","7",$N$3="AGOSTO","8",$N$3="SETIEMBRE","9",$N$3="OCTUBRE","10",$N$3="NOVIEMBRE","11",$N$3="DICIEMBRE","12"))),3,0),"")</f>
        <v>KENNETH</v>
      </c>
      <c r="B29" s="34" t="str" cm="1">
        <f t="array" ref="B29">TRIM(IFERROR(_xlfn.IFS(D1_ABRIL_2026[[#This Row],[ASESOR]]="ELVIS GUERRA","ELVIS GUERRERA",D1_ABRIL_2026[[#This Row],[ASESOR]]="GENESIS VICUÑA","GENESIS VICUNA",D1_ABRIL_2026[[#This Row],[ASESOR]]="JENY QUIÑONES","JENY QUINONES",D1_ABRIL_2026[[#This Row],[ASESOR]]="NICOLE CAURURO","NICOLE CAURURO"),D1_ABRIL_2026[[#This Row],[ASESOR]]))</f>
        <v>NOEMI CHUQUILIN</v>
      </c>
      <c r="C29" s="34" cm="1">
        <f t="array" ref="C29">_xlfn.XLOOKUP(1,(TablaMeta[CONCAT]=$M$3&amp;$N$3&amp;D1_ABRIL_2026[[#This Row],[SUPER]])*(TablaMeta[SEGG]=D1_ABRIL_2026[[#This Row],[SEGMENTO]]),TablaMeta[Meta_Asesor])</f>
        <v>52000</v>
      </c>
      <c r="D29" s="35">
        <f>IF(D1_ABRIL_2026[[#This Row],[RECUPERO]]="VACACIONES","VACACIONES",IFERROR(D1_ABRIL_2026[[#This Row],[RECUPERO]]/D1_ABRIL_2026[[#This Row],[META]],""))</f>
        <v>1.2354807692307692</v>
      </c>
      <c r="E29" s="35" t="str">
        <f>D1_ABRIL_2026[[#This Row],[SUPER]]</f>
        <v>KENNETH</v>
      </c>
      <c r="F29" t="s">
        <v>97</v>
      </c>
      <c r="G29" s="36">
        <v>64245</v>
      </c>
      <c r="H29" cm="1">
        <f t="array" ref="H29">IFERROR(VLOOKUP(D1_ABRIL_2026[[#This Row],[ASESOR_CRR]],_xlfn._xlws.FILTER(PLANTILLA[[ASESOR]:[FECHA DE CESE]],PLANTILLA[FECHA]=_xlfn.CONCAT($M$3,"_",_xlfn.IFS($N$3="ENERO","1",$N$3="FEBRERO","2",$N$3="MARZO","3",$N$3="ABRIL","4",$N$3="MAYO","5",$N$3="JUNIO","6",$N$3="JULIO","7",$N$3="AGOSTO","8",$N$3="SETIEMBRE","9",$N$3="OCTUBRE","10",$N$3="NOVIEMBRE","11",$N$3="DICIEMBRE","12"))),2,0),"")</f>
        <v>74602206</v>
      </c>
      <c r="I29" s="55" cm="1">
        <f t="array" ref="I29">IFERROR(VLOOKUP(D1_ABRIL_2026[[#This Row],[ASESOR_CRR]],_xlfn._xlws.FILTER(PLANTILLA[[ASESOR]:[FECHA DE CESE]],PLANTILLA[FECHA]=_xlfn.CONCAT($M$3,"_",_xlfn.IFS($N$3="ENERO","1",$N$3="FEBRERO","2",$N$3="MARZO","3",$N$3="ABRIL","4",$N$3="MAYO","5",$N$3="JUNIO","6",$N$3="JULIO","7",$N$3="AGOSTO","8",$N$3="SETIEMBRE","9",$N$3="OCTUBRE","10",$N$3="NOVIEMBRE","11",$N$3="DICIEMBRE","12"))),6,0),"")</f>
        <v>45884</v>
      </c>
      <c r="J29" s="55" t="str" cm="1">
        <f t="array" ref="J29">IFERROR(VLOOKUP(D1_ABRIL_2026[[#This Row],[ASESOR_CRR]],_xlfn._xlws.FILTER(PLANTILLA[[ASESOR]:[FECHA DE CESE]],PLANTILLA[FECHA]=_xlfn.CONCAT($M$3,"_",_xlfn.IFS($N$3="ENERO","1",$N$3="FEBRERO","2",$N$3="MARZO","3",$N$3="ABRIL","4",$N$3="MAYO","5",$N$3="JUNIO","6",$N$3="JULIO","7",$N$3="AGOSTO","8",$N$3="SETIEMBRE","9",$N$3="OCTUBRE","10",$N$3="NOVIEMBRE","11",$N$3="DICIEMBRE","12"))),4,0),"")</f>
        <v>CALL</v>
      </c>
      <c r="K29" s="55" t="str" cm="1">
        <f t="array" ref="K29">IFERROR(VLOOKUP(D1_ABRIL_2026[[#This Row],[ASESOR_CRR]],_xlfn._xlws.FILTER(PLANTILLA[[ASESOR]:[FECHA DE CESE]],PLANTILLA[FECHA]=_xlfn.CONCAT($M$3,"_",_xlfn.IFS($N$3="ENERO","1",$N$3="FEBRERO","2",$N$3="MARZO","3",$N$3="ABRIL","4",$N$3="MAYO","5",$N$3="JUNIO","6",$N$3="JULIO","7",$N$3="AGOSTO","8",$N$3="SETIEMBRE","9",$N$3="OCTUBRE","10",$N$3="NOVIEMBRE","11",$N$3="DICIEMBRE","12"))),8,0),"")</f>
        <v>S0</v>
      </c>
      <c r="L29" s="55"/>
      <c r="M29" s="5">
        <f>DATA_ABRIL_2026[[#This Row],[RECUPERO]]/DATA_ABRIL_2026[[#This Row],[META]]</f>
        <v>1.2056071428571429</v>
      </c>
      <c r="N29" s="5">
        <f>6-ROUNDUP(_xlfn.RANK.EQ(DATA_ABRIL_2026[[#This Row],[AL_AC]],DATA_ABRIL_2026[AL_AC],0)/(COUNTA(DATA_ABRIL_2026[AL_AC])/5),0)</f>
        <v>4</v>
      </c>
      <c r="O29" s="54" t="str">
        <f>IFERROR(VLOOKUP(DATA_ABRIL_2026[[#This Row],[ASER_]],$B:$G,4,0),"")</f>
        <v>SANDY</v>
      </c>
      <c r="P29" s="6">
        <f>SUM(DATA_ABRIL_2026[[#This Row],[1]:[30]])</f>
        <v>33757</v>
      </c>
      <c r="Q29" s="6">
        <f>VLOOKUP(DATA_ABRIL_2026[[#This Row],[ASER_]],D1_ABRIL_2026[[ASESOR_CRR]:[META]],2,0)</f>
        <v>28000</v>
      </c>
      <c r="R29" t="s">
        <v>32</v>
      </c>
      <c r="S29">
        <v>350</v>
      </c>
      <c r="W29">
        <v>2500</v>
      </c>
      <c r="X29">
        <v>260</v>
      </c>
      <c r="Y29">
        <v>412</v>
      </c>
      <c r="Z29">
        <v>8750</v>
      </c>
      <c r="AE29">
        <v>340</v>
      </c>
      <c r="AF29">
        <v>9200</v>
      </c>
      <c r="AI29">
        <v>1230</v>
      </c>
      <c r="AJ29">
        <v>100</v>
      </c>
      <c r="AL29">
        <v>680</v>
      </c>
      <c r="AO29">
        <v>550</v>
      </c>
      <c r="AP29">
        <v>580</v>
      </c>
      <c r="AQ29">
        <v>5250</v>
      </c>
      <c r="AR29">
        <v>3555</v>
      </c>
      <c r="AS29" s="54" t="str" cm="1">
        <f t="array" ref="AS29">IFERROR(VLOOKUP(DATA_ABRIL_2026[[#This Row],[ASER_]],_xlfn._xlws.FILTER(PLANTILLA[[ASESOR]:[FECHA DE CESE]],PLANTILLA[FECHA]=_xlfn.CONCAT($M$3,"_",_xlfn.IFS($N$3="ENERO","1",$N$3="FEBRERO","2",$N$3="MARZO","3",$N$3="ABRIL","4",$N$3="MAYO","5",$N$3="JUNIO","6",$N$3="JULIO","7",$N$3="AGOSTO","8",$N$3="SETIEMBRE","9",$N$3="OCTUBRE","10",$N$3="NOVIEMBRE","11",$N$3="DICIEMBRE","12"))),8,0),"")</f>
        <v>S0</v>
      </c>
      <c r="AX29" s="45"/>
      <c r="AY29" s="45"/>
      <c r="AZ29" s="45"/>
      <c r="BA29" s="45"/>
      <c r="BB29" s="45"/>
      <c r="BC29" s="45"/>
      <c r="BD29" s="45"/>
      <c r="BE29" s="45"/>
      <c r="BF29" s="45"/>
      <c r="BG29" s="45"/>
      <c r="BH29" s="45"/>
      <c r="CG29" t="s">
        <v>636</v>
      </c>
      <c r="CH29" t="s">
        <v>125</v>
      </c>
      <c r="CI29" t="s">
        <v>60</v>
      </c>
      <c r="CJ29">
        <v>46141</v>
      </c>
      <c r="CK29">
        <v>1</v>
      </c>
      <c r="CL29">
        <v>1</v>
      </c>
      <c r="CN29">
        <v>1</v>
      </c>
      <c r="CP29">
        <v>0</v>
      </c>
      <c r="CQ29">
        <v>0</v>
      </c>
      <c r="CR29">
        <v>0.21427083333333333</v>
      </c>
      <c r="CS29">
        <v>0.1254861111111111</v>
      </c>
      <c r="CT29">
        <v>127</v>
      </c>
      <c r="CU29">
        <v>166</v>
      </c>
      <c r="CV29">
        <v>16</v>
      </c>
      <c r="CW29">
        <v>1.5625</v>
      </c>
      <c r="CX29">
        <v>20069</v>
      </c>
      <c r="CY29">
        <v>0.126</v>
      </c>
      <c r="CZ29">
        <v>1</v>
      </c>
      <c r="DA29">
        <v>6.25E-2</v>
      </c>
      <c r="DB29">
        <v>1100</v>
      </c>
      <c r="DC29">
        <v>1100</v>
      </c>
      <c r="DD29">
        <v>1100</v>
      </c>
      <c r="DE29">
        <v>1</v>
      </c>
      <c r="DF29">
        <v>0.13639999999999999</v>
      </c>
      <c r="DG29">
        <v>98</v>
      </c>
      <c r="DH29">
        <v>1100</v>
      </c>
      <c r="DI29">
        <f>Tabla82[[#This Row],[IND_MontoPDP]]*Tabla82[[#This Row],[IND_Condonacion]]</f>
        <v>150.04</v>
      </c>
    </row>
    <row r="30" spans="1:113" x14ac:dyDescent="0.25">
      <c r="A30" s="34" t="str" cm="1">
        <f t="array" ref="A30">IFERROR(VLOOKUP(D1_ABRIL_2026[[#This Row],[ASESOR_CRR]],_xlfn._xlws.FILTER(PLANTILLA[[ASESOR]:[FECHA DE CESE]],PLANTILLA[FECHA]=_xlfn.CONCAT($M$3,"_",_xlfn.IFS($N$3="ENERO","1",$N$3="FEBRERO","2",$N$3="MARZO","3",$N$3="ABRIL","4",$N$3="MAYO","5",$N$3="JUNIO","6",$N$3="JULIO","7",$N$3="AGOSTO","8",$N$3="SETIEMBRE","9",$N$3="OCTUBRE","10",$N$3="NOVIEMBRE","11",$N$3="DICIEMBRE","12"))),3,0),"")</f>
        <v>KENNETH</v>
      </c>
      <c r="B30" s="34" t="str" cm="1">
        <f t="array" ref="B30">TRIM(IFERROR(_xlfn.IFS(D1_ABRIL_2026[[#This Row],[ASESOR]]="ELVIS GUERRA","ELVIS GUERRERA",D1_ABRIL_2026[[#This Row],[ASESOR]]="GENESIS VICUÑA","GENESIS VICUNA",D1_ABRIL_2026[[#This Row],[ASESOR]]="JENY QUIÑONES","JENY QUINONES",D1_ABRIL_2026[[#This Row],[ASESOR]]="NICOLE CAURURO","NICOLE CAURURO"),D1_ABRIL_2026[[#This Row],[ASESOR]]))</f>
        <v>MILAGROS QUIO</v>
      </c>
      <c r="C30" s="34" cm="1">
        <f t="array" ref="C30">_xlfn.XLOOKUP(1,(TablaMeta[CONCAT]=$M$3&amp;$N$3&amp;D1_ABRIL_2026[[#This Row],[SUPER]])*(TablaMeta[SEGG]=D1_ABRIL_2026[[#This Row],[SEGMENTO]]),TablaMeta[Meta_Asesor])</f>
        <v>52000</v>
      </c>
      <c r="D30" s="35">
        <f>IF(D1_ABRIL_2026[[#This Row],[RECUPERO]]="VACACIONES","VACACIONES",IFERROR(D1_ABRIL_2026[[#This Row],[RECUPERO]]/D1_ABRIL_2026[[#This Row],[META]],""))</f>
        <v>1.2054415384615385</v>
      </c>
      <c r="E30" s="35" t="str">
        <f>D1_ABRIL_2026[[#This Row],[SUPER]]</f>
        <v>KENNETH</v>
      </c>
      <c r="F30" t="s">
        <v>11</v>
      </c>
      <c r="G30" s="36">
        <v>62682.96</v>
      </c>
      <c r="H30" cm="1">
        <f t="array" ref="H30">IFERROR(VLOOKUP(D1_ABRIL_2026[[#This Row],[ASESOR_CRR]],_xlfn._xlws.FILTER(PLANTILLA[[ASESOR]:[FECHA DE CESE]],PLANTILLA[FECHA]=_xlfn.CONCAT($M$3,"_",_xlfn.IFS($N$3="ENERO","1",$N$3="FEBRERO","2",$N$3="MARZO","3",$N$3="ABRIL","4",$N$3="MAYO","5",$N$3="JUNIO","6",$N$3="JULIO","7",$N$3="AGOSTO","8",$N$3="SETIEMBRE","9",$N$3="OCTUBRE","10",$N$3="NOVIEMBRE","11",$N$3="DICIEMBRE","12"))),2,0),"")</f>
        <v>45139159</v>
      </c>
      <c r="I30" s="55" cm="1">
        <f t="array" ref="I30">IFERROR(VLOOKUP(D1_ABRIL_2026[[#This Row],[ASESOR_CRR]],_xlfn._xlws.FILTER(PLANTILLA[[ASESOR]:[FECHA DE CESE]],PLANTILLA[FECHA]=_xlfn.CONCAT($M$3,"_",_xlfn.IFS($N$3="ENERO","1",$N$3="FEBRERO","2",$N$3="MARZO","3",$N$3="ABRIL","4",$N$3="MAYO","5",$N$3="JUNIO","6",$N$3="JULIO","7",$N$3="AGOSTO","8",$N$3="SETIEMBRE","9",$N$3="OCTUBRE","10",$N$3="NOVIEMBRE","11",$N$3="DICIEMBRE","12"))),6,0),"")</f>
        <v>45369</v>
      </c>
      <c r="J30" s="55" t="str" cm="1">
        <f t="array" ref="J30">IFERROR(VLOOKUP(D1_ABRIL_2026[[#This Row],[ASESOR_CRR]],_xlfn._xlws.FILTER(PLANTILLA[[ASESOR]:[FECHA DE CESE]],PLANTILLA[FECHA]=_xlfn.CONCAT($M$3,"_",_xlfn.IFS($N$3="ENERO","1",$N$3="FEBRERO","2",$N$3="MARZO","3",$N$3="ABRIL","4",$N$3="MAYO","5",$N$3="JUNIO","6",$N$3="JULIO","7",$N$3="AGOSTO","8",$N$3="SETIEMBRE","9",$N$3="OCTUBRE","10",$N$3="NOVIEMBRE","11",$N$3="DICIEMBRE","12"))),4,0),"")</f>
        <v>CALL</v>
      </c>
      <c r="K30" s="55" t="str" cm="1">
        <f t="array" ref="K30">IFERROR(VLOOKUP(D1_ABRIL_2026[[#This Row],[ASESOR_CRR]],_xlfn._xlws.FILTER(PLANTILLA[[ASESOR]:[FECHA DE CESE]],PLANTILLA[FECHA]=_xlfn.CONCAT($M$3,"_",_xlfn.IFS($N$3="ENERO","1",$N$3="FEBRERO","2",$N$3="MARZO","3",$N$3="ABRIL","4",$N$3="MAYO","5",$N$3="JUNIO","6",$N$3="JULIO","7",$N$3="AGOSTO","8",$N$3="SETIEMBRE","9",$N$3="OCTUBRE","10",$N$3="NOVIEMBRE","11",$N$3="DICIEMBRE","12"))),8,0),"")</f>
        <v>S0</v>
      </c>
      <c r="L30" s="55"/>
      <c r="M30" s="5">
        <f>DATA_ABRIL_2026[[#This Row],[RECUPERO]]/DATA_ABRIL_2026[[#This Row],[META]]</f>
        <v>0.23344329896907218</v>
      </c>
      <c r="N30" s="5">
        <f>6-ROUNDUP(_xlfn.RANK.EQ(DATA_ABRIL_2026[[#This Row],[AL_AC]],DATA_ABRIL_2026[AL_AC],0)/(COUNTA(DATA_ABRIL_2026[AL_AC])/5),0)</f>
        <v>1</v>
      </c>
      <c r="O30" s="54" t="str">
        <f>IFERROR(VLOOKUP(DATA_ABRIL_2026[[#This Row],[ASER_]],$B:$G,4,0),"")</f>
        <v>JORGE</v>
      </c>
      <c r="P30" s="6">
        <f>SUM(DATA_ABRIL_2026[[#This Row],[1]:[30]])</f>
        <v>11322</v>
      </c>
      <c r="Q30" s="6">
        <f>VLOOKUP(DATA_ABRIL_2026[[#This Row],[ASER_]],D1_ABRIL_2026[[ASESOR_CRR]:[META]],2,0)</f>
        <v>48500</v>
      </c>
      <c r="R30" t="s">
        <v>42</v>
      </c>
      <c r="X30">
        <v>1000</v>
      </c>
      <c r="AJ30">
        <v>220</v>
      </c>
      <c r="AK30">
        <v>1952</v>
      </c>
      <c r="AO30">
        <v>1650</v>
      </c>
      <c r="AR30">
        <v>6500</v>
      </c>
      <c r="AS30" s="54" t="str" cm="1">
        <f t="array" ref="AS30">IFERROR(VLOOKUP(DATA_ABRIL_2026[[#This Row],[ASER_]],_xlfn._xlws.FILTER(PLANTILLA[[ASESOR]:[FECHA DE CESE]],PLANTILLA[FECHA]=_xlfn.CONCAT($M$3,"_",_xlfn.IFS($N$3="ENERO","1",$N$3="FEBRERO","2",$N$3="MARZO","3",$N$3="ABRIL","4",$N$3="MAYO","5",$N$3="JUNIO","6",$N$3="JULIO","7",$N$3="AGOSTO","8",$N$3="SETIEMBRE","9",$N$3="OCTUBRE","10",$N$3="NOVIEMBRE","11",$N$3="DICIEMBRE","12"))),8,0),"")</f>
        <v>S1</v>
      </c>
      <c r="AX30" s="45"/>
      <c r="AY30" s="45"/>
      <c r="AZ30" s="45"/>
      <c r="BA30" s="45"/>
      <c r="BB30" s="45"/>
      <c r="BC30" s="45"/>
      <c r="BD30" s="45"/>
      <c r="BE30" s="45"/>
      <c r="BF30" s="45"/>
      <c r="BG30" s="45"/>
      <c r="BH30" s="45"/>
      <c r="CG30" t="s">
        <v>636</v>
      </c>
      <c r="CH30" t="s">
        <v>2</v>
      </c>
      <c r="CI30" t="s">
        <v>65</v>
      </c>
      <c r="CJ30">
        <v>46129</v>
      </c>
      <c r="CK30">
        <v>1</v>
      </c>
      <c r="CL30">
        <v>1</v>
      </c>
      <c r="CN30">
        <v>1</v>
      </c>
      <c r="CP30">
        <v>8.1018518518518516E-5</v>
      </c>
      <c r="CQ30">
        <v>8.1018518518518516E-5</v>
      </c>
      <c r="CR30">
        <v>0.1585300925925926</v>
      </c>
      <c r="CS30">
        <v>0.12579861111111112</v>
      </c>
      <c r="CT30">
        <v>37</v>
      </c>
      <c r="CU30">
        <v>79</v>
      </c>
      <c r="CV30">
        <v>7</v>
      </c>
      <c r="CW30" t="s">
        <v>803</v>
      </c>
      <c r="CX30">
        <v>34186</v>
      </c>
      <c r="CY30">
        <v>0.18920000000000001</v>
      </c>
      <c r="CZ30">
        <v>1</v>
      </c>
      <c r="DA30">
        <v>0.1429</v>
      </c>
      <c r="DB30">
        <v>5624</v>
      </c>
      <c r="DC30">
        <v>5624</v>
      </c>
      <c r="DD30">
        <v>5624</v>
      </c>
      <c r="DE30">
        <v>1</v>
      </c>
      <c r="DF30">
        <v>0.19520000000000001</v>
      </c>
      <c r="DG30">
        <v>98</v>
      </c>
      <c r="DH30">
        <v>5624</v>
      </c>
      <c r="DI30">
        <f>Tabla82[[#This Row],[IND_MontoPDP]]*Tabla82[[#This Row],[IND_Condonacion]]</f>
        <v>1097.8048000000001</v>
      </c>
    </row>
    <row r="31" spans="1:113" x14ac:dyDescent="0.25">
      <c r="A31" s="34" t="str" cm="1">
        <f t="array" ref="A31">IFERROR(VLOOKUP(D1_ABRIL_2026[[#This Row],[ASESOR_CRR]],_xlfn._xlws.FILTER(PLANTILLA[[ASESOR]:[FECHA DE CESE]],PLANTILLA[FECHA]=_xlfn.CONCAT($M$3,"_",_xlfn.IFS($N$3="ENERO","1",$N$3="FEBRERO","2",$N$3="MARZO","3",$N$3="ABRIL","4",$N$3="MAYO","5",$N$3="JUNIO","6",$N$3="JULIO","7",$N$3="AGOSTO","8",$N$3="SETIEMBRE","9",$N$3="OCTUBRE","10",$N$3="NOVIEMBRE","11",$N$3="DICIEMBRE","12"))),3,0),"")</f>
        <v>KENNETH</v>
      </c>
      <c r="B31" s="34" t="str" cm="1">
        <f t="array" ref="B31">TRIM(IFERROR(_xlfn.IFS(D1_ABRIL_2026[[#This Row],[ASESOR]]="ELVIS GUERRA","ELVIS GUERRERA",D1_ABRIL_2026[[#This Row],[ASESOR]]="GENESIS VICUÑA","GENESIS VICUNA",D1_ABRIL_2026[[#This Row],[ASESOR]]="JENY QUIÑONES","JENY QUINONES",D1_ABRIL_2026[[#This Row],[ASESOR]]="NICOLE CAURURO","NICOLE CAURURO"),D1_ABRIL_2026[[#This Row],[ASESOR]]))</f>
        <v>MARIA HUARCAYA</v>
      </c>
      <c r="C31" s="34" cm="1">
        <f t="array" ref="C31">_xlfn.XLOOKUP(1,(TablaMeta[CONCAT]=$M$3&amp;$N$3&amp;D1_ABRIL_2026[[#This Row],[SUPER]])*(TablaMeta[SEGG]=D1_ABRIL_2026[[#This Row],[SEGMENTO]]),TablaMeta[Meta_Asesor])</f>
        <v>52000</v>
      </c>
      <c r="D31" s="35">
        <f>IF(D1_ABRIL_2026[[#This Row],[RECUPERO]]="VACACIONES","VACACIONES",IFERROR(D1_ABRIL_2026[[#This Row],[RECUPERO]]/D1_ABRIL_2026[[#This Row],[META]],""))</f>
        <v>1.0908461538461538</v>
      </c>
      <c r="E31" s="35" t="str">
        <f>D1_ABRIL_2026[[#This Row],[SUPER]]</f>
        <v>KENNETH</v>
      </c>
      <c r="F31" t="s">
        <v>38</v>
      </c>
      <c r="G31" s="36">
        <v>56724</v>
      </c>
      <c r="H31" cm="1">
        <f t="array" ref="H31">IFERROR(VLOOKUP(D1_ABRIL_2026[[#This Row],[ASESOR_CRR]],_xlfn._xlws.FILTER(PLANTILLA[[ASESOR]:[FECHA DE CESE]],PLANTILLA[FECHA]=_xlfn.CONCAT($M$3,"_",_xlfn.IFS($N$3="ENERO","1",$N$3="FEBRERO","2",$N$3="MARZO","3",$N$3="ABRIL","4",$N$3="MAYO","5",$N$3="JUNIO","6",$N$3="JULIO","7",$N$3="AGOSTO","8",$N$3="SETIEMBRE","9",$N$3="OCTUBRE","10",$N$3="NOVIEMBRE","11",$N$3="DICIEMBRE","12"))),2,0),"")</f>
        <v>47411966</v>
      </c>
      <c r="I31" s="55" cm="1">
        <f t="array" ref="I31">IFERROR(VLOOKUP(D1_ABRIL_2026[[#This Row],[ASESOR_CRR]],_xlfn._xlws.FILTER(PLANTILLA[[ASESOR]:[FECHA DE CESE]],PLANTILLA[FECHA]=_xlfn.CONCAT($M$3,"_",_xlfn.IFS($N$3="ENERO","1",$N$3="FEBRERO","2",$N$3="MARZO","3",$N$3="ABRIL","4",$N$3="MAYO","5",$N$3="JUNIO","6",$N$3="JULIO","7",$N$3="AGOSTO","8",$N$3="SETIEMBRE","9",$N$3="OCTUBRE","10",$N$3="NOVIEMBRE","11",$N$3="DICIEMBRE","12"))),6,0),"")</f>
        <v>45800</v>
      </c>
      <c r="J31" s="55" t="str" cm="1">
        <f t="array" ref="J31">IFERROR(VLOOKUP(D1_ABRIL_2026[[#This Row],[ASESOR_CRR]],_xlfn._xlws.FILTER(PLANTILLA[[ASESOR]:[FECHA DE CESE]],PLANTILLA[FECHA]=_xlfn.CONCAT($M$3,"_",_xlfn.IFS($N$3="ENERO","1",$N$3="FEBRERO","2",$N$3="MARZO","3",$N$3="ABRIL","4",$N$3="MAYO","5",$N$3="JUNIO","6",$N$3="JULIO","7",$N$3="AGOSTO","8",$N$3="SETIEMBRE","9",$N$3="OCTUBRE","10",$N$3="NOVIEMBRE","11",$N$3="DICIEMBRE","12"))),4,0),"")</f>
        <v>CALL</v>
      </c>
      <c r="K31" s="55" t="str" cm="1">
        <f t="array" ref="K31">IFERROR(VLOOKUP(D1_ABRIL_2026[[#This Row],[ASESOR_CRR]],_xlfn._xlws.FILTER(PLANTILLA[[ASESOR]:[FECHA DE CESE]],PLANTILLA[FECHA]=_xlfn.CONCAT($M$3,"_",_xlfn.IFS($N$3="ENERO","1",$N$3="FEBRERO","2",$N$3="MARZO","3",$N$3="ABRIL","4",$N$3="MAYO","5",$N$3="JUNIO","6",$N$3="JULIO","7",$N$3="AGOSTO","8",$N$3="SETIEMBRE","9",$N$3="OCTUBRE","10",$N$3="NOVIEMBRE","11",$N$3="DICIEMBRE","12"))),8,0),"")</f>
        <v>S0</v>
      </c>
      <c r="L31" s="55"/>
      <c r="M31" s="5">
        <f>DATA_ABRIL_2026[[#This Row],[RECUPERO]]/DATA_ABRIL_2026[[#This Row],[META]]</f>
        <v>1.2205600000000001</v>
      </c>
      <c r="N31" s="5">
        <f>6-ROUNDUP(_xlfn.RANK.EQ(DATA_ABRIL_2026[[#This Row],[AL_AC]],DATA_ABRIL_2026[AL_AC],0)/(COUNTA(DATA_ABRIL_2026[AL_AC])/5),0)</f>
        <v>5</v>
      </c>
      <c r="O31" s="54" t="str">
        <f>IFERROR(VLOOKUP(DATA_ABRIL_2026[[#This Row],[ASER_]],$B:$G,4,0),"")</f>
        <v>LEONOR</v>
      </c>
      <c r="P31" s="6">
        <f>SUM(DATA_ABRIL_2026[[#This Row],[1]:[30]])</f>
        <v>30514</v>
      </c>
      <c r="Q31" s="6">
        <f>VLOOKUP(DATA_ABRIL_2026[[#This Row],[ASER_]],D1_ABRIL_2026[[ASESOR_CRR]:[META]],2,0)</f>
        <v>25000</v>
      </c>
      <c r="R31" t="s">
        <v>49</v>
      </c>
      <c r="Z31">
        <v>2000</v>
      </c>
      <c r="AB31">
        <v>3700</v>
      </c>
      <c r="AD31">
        <v>2400</v>
      </c>
      <c r="AE31">
        <v>600</v>
      </c>
      <c r="AF31">
        <v>1344</v>
      </c>
      <c r="AH31">
        <v>9170</v>
      </c>
      <c r="AK31">
        <v>1000</v>
      </c>
      <c r="AO31">
        <v>8000</v>
      </c>
      <c r="AP31">
        <v>1000</v>
      </c>
      <c r="AQ31">
        <v>300</v>
      </c>
      <c r="AR31">
        <v>1000</v>
      </c>
      <c r="AS31" s="54" t="str" cm="1">
        <f t="array" ref="AS31">IFERROR(VLOOKUP(DATA_ABRIL_2026[[#This Row],[ASER_]],_xlfn._xlws.FILTER(PLANTILLA[[ASESOR]:[FECHA DE CESE]],PLANTILLA[FECHA]=_xlfn.CONCAT($M$3,"_",_xlfn.IFS($N$3="ENERO","1",$N$3="FEBRERO","2",$N$3="MARZO","3",$N$3="ABRIL","4",$N$3="MAYO","5",$N$3="JUNIO","6",$N$3="JULIO","7",$N$3="AGOSTO","8",$N$3="SETIEMBRE","9",$N$3="OCTUBRE","10",$N$3="NOVIEMBRE","11",$N$3="DICIEMBRE","12"))),8,0),"")</f>
        <v>S2-3-4 BANCO</v>
      </c>
      <c r="AX31" s="45"/>
      <c r="AY31" s="45"/>
      <c r="AZ31" s="45"/>
      <c r="BA31" s="45"/>
      <c r="BB31" s="45"/>
      <c r="BC31" s="45"/>
      <c r="BD31" s="45"/>
      <c r="BE31" s="45"/>
      <c r="BF31" s="45"/>
      <c r="BG31" s="45"/>
      <c r="BH31" s="45"/>
      <c r="CG31" t="s">
        <v>636</v>
      </c>
      <c r="CH31" t="s">
        <v>2</v>
      </c>
      <c r="CI31" t="s">
        <v>50</v>
      </c>
      <c r="CJ31">
        <v>46127</v>
      </c>
      <c r="CK31">
        <v>1</v>
      </c>
      <c r="CL31">
        <v>1</v>
      </c>
      <c r="CN31">
        <v>1</v>
      </c>
      <c r="CP31">
        <v>9.4907407407407408E-4</v>
      </c>
      <c r="CQ31">
        <v>9.4907407407407408E-4</v>
      </c>
      <c r="CR31">
        <v>0.21098379629629629</v>
      </c>
      <c r="CS31">
        <v>0.12931712962962963</v>
      </c>
      <c r="CT31">
        <v>95</v>
      </c>
      <c r="CU31">
        <v>146</v>
      </c>
      <c r="CV31">
        <v>9</v>
      </c>
      <c r="CW31" t="s">
        <v>749</v>
      </c>
      <c r="CX31">
        <v>13755</v>
      </c>
      <c r="CY31">
        <v>9.4700000000000006E-2</v>
      </c>
      <c r="CZ31">
        <v>2</v>
      </c>
      <c r="DA31">
        <v>0.22220000000000001</v>
      </c>
      <c r="DB31">
        <v>305</v>
      </c>
      <c r="DC31">
        <v>153</v>
      </c>
      <c r="DD31">
        <v>305</v>
      </c>
      <c r="DE31">
        <v>1</v>
      </c>
      <c r="DF31">
        <v>0.63619999999999999</v>
      </c>
      <c r="DG31">
        <v>98</v>
      </c>
      <c r="DH31">
        <v>153</v>
      </c>
      <c r="DI31">
        <f>Tabla82[[#This Row],[IND_MontoPDP]]*Tabla82[[#This Row],[IND_Condonacion]]</f>
        <v>194.041</v>
      </c>
    </row>
    <row r="32" spans="1:113" x14ac:dyDescent="0.25">
      <c r="A32" s="34" t="str" cm="1">
        <f t="array" ref="A32">IFERROR(VLOOKUP(D1_ABRIL_2026[[#This Row],[ASESOR_CRR]],_xlfn._xlws.FILTER(PLANTILLA[[ASESOR]:[FECHA DE CESE]],PLANTILLA[FECHA]=_xlfn.CONCAT($M$3,"_",_xlfn.IFS($N$3="ENERO","1",$N$3="FEBRERO","2",$N$3="MARZO","3",$N$3="ABRIL","4",$N$3="MAYO","5",$N$3="JUNIO","6",$N$3="JULIO","7",$N$3="AGOSTO","8",$N$3="SETIEMBRE","9",$N$3="OCTUBRE","10",$N$3="NOVIEMBRE","11",$N$3="DICIEMBRE","12"))),3,0),"")</f>
        <v>KENNETH</v>
      </c>
      <c r="B32" s="34" t="str" cm="1">
        <f t="array" ref="B32">TRIM(IFERROR(_xlfn.IFS(D1_ABRIL_2026[[#This Row],[ASESOR]]="ELVIS GUERRA","ELVIS GUERRERA",D1_ABRIL_2026[[#This Row],[ASESOR]]="GENESIS VICUÑA","GENESIS VICUNA",D1_ABRIL_2026[[#This Row],[ASESOR]]="JENY QUIÑONES","JENY QUINONES",D1_ABRIL_2026[[#This Row],[ASESOR]]="NICOLE CAURURO","NICOLE CAURURO"),D1_ABRIL_2026[[#This Row],[ASESOR]]))</f>
        <v>VICTOR RAMIREZ</v>
      </c>
      <c r="C32" s="34" cm="1">
        <f t="array" ref="C32">_xlfn.XLOOKUP(1,(TablaMeta[CONCAT]=$M$3&amp;$N$3&amp;D1_ABRIL_2026[[#This Row],[SUPER]])*(TablaMeta[SEGG]=D1_ABRIL_2026[[#This Row],[SEGMENTO]]),TablaMeta[Meta_Asesor])</f>
        <v>52000</v>
      </c>
      <c r="D32" s="35">
        <f>IF(D1_ABRIL_2026[[#This Row],[RECUPERO]]="VACACIONES","VACACIONES",IFERROR(D1_ABRIL_2026[[#This Row],[RECUPERO]]/D1_ABRIL_2026[[#This Row],[META]],""))</f>
        <v>0.97709615384615389</v>
      </c>
      <c r="E32" s="35" t="str">
        <f>D1_ABRIL_2026[[#This Row],[SUPER]]</f>
        <v>KENNETH</v>
      </c>
      <c r="F32" t="s">
        <v>76</v>
      </c>
      <c r="G32" s="36">
        <v>50809</v>
      </c>
      <c r="H32" cm="1">
        <f t="array" ref="H32">IFERROR(VLOOKUP(D1_ABRIL_2026[[#This Row],[ASESOR_CRR]],_xlfn._xlws.FILTER(PLANTILLA[[ASESOR]:[FECHA DE CESE]],PLANTILLA[FECHA]=_xlfn.CONCAT($M$3,"_",_xlfn.IFS($N$3="ENERO","1",$N$3="FEBRERO","2",$N$3="MARZO","3",$N$3="ABRIL","4",$N$3="MAYO","5",$N$3="JUNIO","6",$N$3="JULIO","7",$N$3="AGOSTO","8",$N$3="SETIEMBRE","9",$N$3="OCTUBRE","10",$N$3="NOVIEMBRE","11",$N$3="DICIEMBRE","12"))),2,0),"")</f>
        <v>60914051</v>
      </c>
      <c r="I32" s="55" cm="1">
        <f t="array" ref="I32">IFERROR(VLOOKUP(D1_ABRIL_2026[[#This Row],[ASESOR_CRR]],_xlfn._xlws.FILTER(PLANTILLA[[ASESOR]:[FECHA DE CESE]],PLANTILLA[FECHA]=_xlfn.CONCAT($M$3,"_",_xlfn.IFS($N$3="ENERO","1",$N$3="FEBRERO","2",$N$3="MARZO","3",$N$3="ABRIL","4",$N$3="MAYO","5",$N$3="JUNIO","6",$N$3="JULIO","7",$N$3="AGOSTO","8",$N$3="SETIEMBRE","9",$N$3="OCTUBRE","10",$N$3="NOVIEMBRE","11",$N$3="DICIEMBRE","12"))),6,0),"")</f>
        <v>44817</v>
      </c>
      <c r="J32" s="55" t="str" cm="1">
        <f t="array" ref="J32">IFERROR(VLOOKUP(D1_ABRIL_2026[[#This Row],[ASESOR_CRR]],_xlfn._xlws.FILTER(PLANTILLA[[ASESOR]:[FECHA DE CESE]],PLANTILLA[FECHA]=_xlfn.CONCAT($M$3,"_",_xlfn.IFS($N$3="ENERO","1",$N$3="FEBRERO","2",$N$3="MARZO","3",$N$3="ABRIL","4",$N$3="MAYO","5",$N$3="JUNIO","6",$N$3="JULIO","7",$N$3="AGOSTO","8",$N$3="SETIEMBRE","9",$N$3="OCTUBRE","10",$N$3="NOVIEMBRE","11",$N$3="DICIEMBRE","12"))),4,0),"")</f>
        <v>CALL</v>
      </c>
      <c r="K32" s="55" t="str" cm="1">
        <f t="array" ref="K32">IFERROR(VLOOKUP(D1_ABRIL_2026[[#This Row],[ASESOR_CRR]],_xlfn._xlws.FILTER(PLANTILLA[[ASESOR]:[FECHA DE CESE]],PLANTILLA[FECHA]=_xlfn.CONCAT($M$3,"_",_xlfn.IFS($N$3="ENERO","1",$N$3="FEBRERO","2",$N$3="MARZO","3",$N$3="ABRIL","4",$N$3="MAYO","5",$N$3="JUNIO","6",$N$3="JULIO","7",$N$3="AGOSTO","8",$N$3="SETIEMBRE","9",$N$3="OCTUBRE","10",$N$3="NOVIEMBRE","11",$N$3="DICIEMBRE","12"))),8,0),"")</f>
        <v>S0</v>
      </c>
      <c r="L32" s="55"/>
      <c r="M32" s="5">
        <f>DATA_ABRIL_2026[[#This Row],[RECUPERO]]/DATA_ABRIL_2026[[#This Row],[META]]</f>
        <v>0.53338144329896908</v>
      </c>
      <c r="N32" s="5">
        <f>6-ROUNDUP(_xlfn.RANK.EQ(DATA_ABRIL_2026[[#This Row],[AL_AC]],DATA_ABRIL_2026[AL_AC],0)/(COUNTA(DATA_ABRIL_2026[AL_AC])/5),0)</f>
        <v>2</v>
      </c>
      <c r="O32" s="54" t="str">
        <f>IFERROR(VLOOKUP(DATA_ABRIL_2026[[#This Row],[ASER_]],$B:$G,4,0),"")</f>
        <v>JOHAN</v>
      </c>
      <c r="P32" s="6">
        <f>SUM(DATA_ABRIL_2026[[#This Row],[1]:[30]])</f>
        <v>25869</v>
      </c>
      <c r="Q32" s="6">
        <f>VLOOKUP(DATA_ABRIL_2026[[#This Row],[ASER_]],D1_ABRIL_2026[[ASESOR_CRR]:[META]],2,0)</f>
        <v>48500</v>
      </c>
      <c r="R32" t="s">
        <v>26</v>
      </c>
      <c r="V32">
        <v>10620</v>
      </c>
      <c r="W32">
        <v>550</v>
      </c>
      <c r="Z32">
        <v>5000</v>
      </c>
      <c r="AC32">
        <v>230</v>
      </c>
      <c r="AE32">
        <v>600</v>
      </c>
      <c r="AH32">
        <v>879</v>
      </c>
      <c r="AI32">
        <v>500</v>
      </c>
      <c r="AJ32">
        <v>1000</v>
      </c>
      <c r="AK32">
        <v>5100</v>
      </c>
      <c r="AO32">
        <v>590</v>
      </c>
      <c r="AQ32">
        <v>500</v>
      </c>
      <c r="AR32">
        <v>300</v>
      </c>
      <c r="AS32" s="54" t="str" cm="1">
        <f t="array" ref="AS32">IFERROR(VLOOKUP(DATA_ABRIL_2026[[#This Row],[ASER_]],_xlfn._xlws.FILTER(PLANTILLA[[ASESOR]:[FECHA DE CESE]],PLANTILLA[FECHA]=_xlfn.CONCAT($M$3,"_",_xlfn.IFS($N$3="ENERO","1",$N$3="FEBRERO","2",$N$3="MARZO","3",$N$3="ABRIL","4",$N$3="MAYO","5",$N$3="JUNIO","6",$N$3="JULIO","7",$N$3="AGOSTO","8",$N$3="SETIEMBRE","9",$N$3="OCTUBRE","10",$N$3="NOVIEMBRE","11",$N$3="DICIEMBRE","12"))),8,0),"")</f>
        <v>S1</v>
      </c>
      <c r="AX32" s="45"/>
      <c r="AY32" s="45"/>
      <c r="AZ32" s="45"/>
      <c r="BA32" s="45"/>
      <c r="BB32" s="45"/>
      <c r="BC32" s="45"/>
      <c r="BD32" s="45"/>
      <c r="BE32" s="45"/>
      <c r="BF32" s="45"/>
      <c r="BG32" s="45"/>
      <c r="BH32" s="45"/>
      <c r="CG32" t="s">
        <v>636</v>
      </c>
      <c r="CH32" t="s">
        <v>2</v>
      </c>
      <c r="CI32" t="s">
        <v>23</v>
      </c>
      <c r="CJ32">
        <v>46139</v>
      </c>
      <c r="CK32">
        <v>1</v>
      </c>
      <c r="CL32">
        <v>1</v>
      </c>
      <c r="CN32">
        <v>1</v>
      </c>
      <c r="CP32">
        <v>0</v>
      </c>
      <c r="CQ32">
        <v>0</v>
      </c>
      <c r="CR32">
        <v>0.19097222222222221</v>
      </c>
      <c r="CS32">
        <v>0.14447916666666666</v>
      </c>
      <c r="CT32">
        <v>81</v>
      </c>
      <c r="CU32">
        <v>164</v>
      </c>
      <c r="CV32">
        <v>16</v>
      </c>
      <c r="CW32">
        <v>2</v>
      </c>
      <c r="CX32">
        <v>18065</v>
      </c>
      <c r="CY32">
        <v>0.19750000000000001</v>
      </c>
      <c r="CZ32">
        <v>2</v>
      </c>
      <c r="DA32">
        <v>0.125</v>
      </c>
      <c r="DB32">
        <v>1385</v>
      </c>
      <c r="DC32">
        <v>693</v>
      </c>
      <c r="DD32">
        <v>1385</v>
      </c>
      <c r="DE32">
        <v>1</v>
      </c>
      <c r="DF32">
        <v>0.2024</v>
      </c>
      <c r="DG32">
        <v>98</v>
      </c>
      <c r="DH32">
        <v>693</v>
      </c>
      <c r="DI32">
        <f>Tabla82[[#This Row],[IND_MontoPDP]]*Tabla82[[#This Row],[IND_Condonacion]]</f>
        <v>280.32400000000001</v>
      </c>
    </row>
    <row r="33" spans="1:113" x14ac:dyDescent="0.25">
      <c r="A33" s="34" t="str" cm="1">
        <f t="array" ref="A33">IFERROR(VLOOKUP(D1_ABRIL_2026[[#This Row],[ASESOR_CRR]],_xlfn._xlws.FILTER(PLANTILLA[[ASESOR]:[FECHA DE CESE]],PLANTILLA[FECHA]=_xlfn.CONCAT($M$3,"_",_xlfn.IFS($N$3="ENERO","1",$N$3="FEBRERO","2",$N$3="MARZO","3",$N$3="ABRIL","4",$N$3="MAYO","5",$N$3="JUNIO","6",$N$3="JULIO","7",$N$3="AGOSTO","8",$N$3="SETIEMBRE","9",$N$3="OCTUBRE","10",$N$3="NOVIEMBRE","11",$N$3="DICIEMBRE","12"))),3,0),"")</f>
        <v>KENNETH</v>
      </c>
      <c r="B33" s="34" t="str" cm="1">
        <f t="array" ref="B33">TRIM(IFERROR(_xlfn.IFS(D1_ABRIL_2026[[#This Row],[ASESOR]]="ELVIS GUERRA","ELVIS GUERRERA",D1_ABRIL_2026[[#This Row],[ASESOR]]="GENESIS VICUÑA","GENESIS VICUNA",D1_ABRIL_2026[[#This Row],[ASESOR]]="JENY QUIÑONES","JENY QUINONES",D1_ABRIL_2026[[#This Row],[ASESOR]]="NICOLE CAURURO","NICOLE CAURURO"),D1_ABRIL_2026[[#This Row],[ASESOR]]))</f>
        <v>FRANK PACORA</v>
      </c>
      <c r="C33" s="34" cm="1">
        <f t="array" ref="C33">_xlfn.XLOOKUP(1,(TablaMeta[CONCAT]=$M$3&amp;$N$3&amp;D1_ABRIL_2026[[#This Row],[SUPER]])*(TablaMeta[SEGG]=D1_ABRIL_2026[[#This Row],[SEGMENTO]]),TablaMeta[Meta_Asesor])</f>
        <v>52000</v>
      </c>
      <c r="D33" s="35">
        <f>IF(D1_ABRIL_2026[[#This Row],[RECUPERO]]="VACACIONES","VACACIONES",IFERROR(D1_ABRIL_2026[[#This Row],[RECUPERO]]/D1_ABRIL_2026[[#This Row],[META]],""))</f>
        <v>0.78282692307692303</v>
      </c>
      <c r="E33" s="35" t="str">
        <f>D1_ABRIL_2026[[#This Row],[SUPER]]</f>
        <v>KENNETH</v>
      </c>
      <c r="F33" t="s">
        <v>105</v>
      </c>
      <c r="G33" s="36">
        <v>40707</v>
      </c>
      <c r="H33" cm="1">
        <f t="array" ref="H33">IFERROR(VLOOKUP(D1_ABRIL_2026[[#This Row],[ASESOR_CRR]],_xlfn._xlws.FILTER(PLANTILLA[[ASESOR]:[FECHA DE CESE]],PLANTILLA[FECHA]=_xlfn.CONCAT($M$3,"_",_xlfn.IFS($N$3="ENERO","1",$N$3="FEBRERO","2",$N$3="MARZO","3",$N$3="ABRIL","4",$N$3="MAYO","5",$N$3="JUNIO","6",$N$3="JULIO","7",$N$3="AGOSTO","8",$N$3="SETIEMBRE","9",$N$3="OCTUBRE","10",$N$3="NOVIEMBRE","11",$N$3="DICIEMBRE","12"))),2,0),"")</f>
        <v>48344037</v>
      </c>
      <c r="I33" s="55" cm="1">
        <f t="array" ref="I33">IFERROR(VLOOKUP(D1_ABRIL_2026[[#This Row],[ASESOR_CRR]],_xlfn._xlws.FILTER(PLANTILLA[[ASESOR]:[FECHA DE CESE]],PLANTILLA[FECHA]=_xlfn.CONCAT($M$3,"_",_xlfn.IFS($N$3="ENERO","1",$N$3="FEBRERO","2",$N$3="MARZO","3",$N$3="ABRIL","4",$N$3="MAYO","5",$N$3="JUNIO","6",$N$3="JULIO","7",$N$3="AGOSTO","8",$N$3="SETIEMBRE","9",$N$3="OCTUBRE","10",$N$3="NOVIEMBRE","11",$N$3="DICIEMBRE","12"))),6,0),"")</f>
        <v>46027</v>
      </c>
      <c r="J33" s="55" t="str" cm="1">
        <f t="array" ref="J33">IFERROR(VLOOKUP(D1_ABRIL_2026[[#This Row],[ASESOR_CRR]],_xlfn._xlws.FILTER(PLANTILLA[[ASESOR]:[FECHA DE CESE]],PLANTILLA[FECHA]=_xlfn.CONCAT($M$3,"_",_xlfn.IFS($N$3="ENERO","1",$N$3="FEBRERO","2",$N$3="MARZO","3",$N$3="ABRIL","4",$N$3="MAYO","5",$N$3="JUNIO","6",$N$3="JULIO","7",$N$3="AGOSTO","8",$N$3="SETIEMBRE","9",$N$3="OCTUBRE","10",$N$3="NOVIEMBRE","11",$N$3="DICIEMBRE","12"))),4,0),"")</f>
        <v>CALL</v>
      </c>
      <c r="K33" s="55" t="str" cm="1">
        <f t="array" ref="K33">IFERROR(VLOOKUP(D1_ABRIL_2026[[#This Row],[ASESOR_CRR]],_xlfn._xlws.FILTER(PLANTILLA[[ASESOR]:[FECHA DE CESE]],PLANTILLA[FECHA]=_xlfn.CONCAT($M$3,"_",_xlfn.IFS($N$3="ENERO","1",$N$3="FEBRERO","2",$N$3="MARZO","3",$N$3="ABRIL","4",$N$3="MAYO","5",$N$3="JUNIO","6",$N$3="JULIO","7",$N$3="AGOSTO","8",$N$3="SETIEMBRE","9",$N$3="OCTUBRE","10",$N$3="NOVIEMBRE","11",$N$3="DICIEMBRE","12"))),8,0),"")</f>
        <v>S0</v>
      </c>
      <c r="L33" s="55"/>
      <c r="M33" s="5">
        <f>DATA_ABRIL_2026[[#This Row],[RECUPERO]]/DATA_ABRIL_2026[[#This Row],[META]]</f>
        <v>0.81410714285714281</v>
      </c>
      <c r="N33" s="5">
        <f>6-ROUNDUP(_xlfn.RANK.EQ(DATA_ABRIL_2026[[#This Row],[AL_AC]],DATA_ABRIL_2026[AL_AC],0)/(COUNTA(DATA_ABRIL_2026[AL_AC])/5),0)</f>
        <v>3</v>
      </c>
      <c r="O33" s="54" t="str">
        <f>IFERROR(VLOOKUP(DATA_ABRIL_2026[[#This Row],[ASER_]],$B:$G,4,0),"")</f>
        <v>SANDY</v>
      </c>
      <c r="P33" s="6">
        <f>SUM(DATA_ABRIL_2026[[#This Row],[1]:[30]])</f>
        <v>22795</v>
      </c>
      <c r="Q33" s="6">
        <f>VLOOKUP(DATA_ABRIL_2026[[#This Row],[ASER_]],D1_ABRIL_2026[[ASESOR_CRR]:[META]],2,0)</f>
        <v>28000</v>
      </c>
      <c r="R33" t="s">
        <v>564</v>
      </c>
      <c r="W33">
        <v>120</v>
      </c>
      <c r="X33">
        <v>2700</v>
      </c>
      <c r="AC33">
        <v>800</v>
      </c>
      <c r="AD33">
        <v>400</v>
      </c>
      <c r="AE33">
        <v>800</v>
      </c>
      <c r="AH33">
        <v>3250</v>
      </c>
      <c r="AI33">
        <v>4600</v>
      </c>
      <c r="AJ33">
        <v>1000</v>
      </c>
      <c r="AK33">
        <v>500</v>
      </c>
      <c r="AO33">
        <v>4600</v>
      </c>
      <c r="AP33">
        <v>3000</v>
      </c>
      <c r="AR33">
        <v>1025</v>
      </c>
      <c r="AS33" s="54" t="str" cm="1">
        <f t="array" ref="AS33">IFERROR(VLOOKUP(DATA_ABRIL_2026[[#This Row],[ASER_]],_xlfn._xlws.FILTER(PLANTILLA[[ASESOR]:[FECHA DE CESE]],PLANTILLA[FECHA]=_xlfn.CONCAT($M$3,"_",_xlfn.IFS($N$3="ENERO","1",$N$3="FEBRERO","2",$N$3="MARZO","3",$N$3="ABRIL","4",$N$3="MAYO","5",$N$3="JUNIO","6",$N$3="JULIO","7",$N$3="AGOSTO","8",$N$3="SETIEMBRE","9",$N$3="OCTUBRE","10",$N$3="NOVIEMBRE","11",$N$3="DICIEMBRE","12"))),8,0),"")</f>
        <v>S0</v>
      </c>
      <c r="AX33" s="45"/>
      <c r="AY33" s="45"/>
      <c r="AZ33" s="45"/>
      <c r="BA33" s="45"/>
      <c r="BB33" s="45"/>
      <c r="BC33" s="45"/>
      <c r="BD33" s="45"/>
      <c r="BE33" s="45"/>
      <c r="BF33" s="45"/>
      <c r="BG33" s="45"/>
      <c r="BH33" s="45"/>
      <c r="CG33" t="s">
        <v>636</v>
      </c>
      <c r="CH33" t="s">
        <v>2</v>
      </c>
      <c r="CI33" t="s">
        <v>23</v>
      </c>
      <c r="CJ33">
        <v>46140</v>
      </c>
      <c r="CK33">
        <v>1</v>
      </c>
      <c r="CL33">
        <v>1</v>
      </c>
      <c r="CN33">
        <v>1</v>
      </c>
      <c r="CP33">
        <v>4.6296296296296294E-5</v>
      </c>
      <c r="CQ33">
        <v>4.6296296296296294E-5</v>
      </c>
      <c r="CR33">
        <v>0.19960648148148147</v>
      </c>
      <c r="CS33">
        <v>0.14060185185185184</v>
      </c>
      <c r="CT33">
        <v>117</v>
      </c>
      <c r="CU33">
        <v>215</v>
      </c>
      <c r="CV33">
        <v>13</v>
      </c>
      <c r="CW33" t="s">
        <v>708</v>
      </c>
      <c r="CX33">
        <v>10208</v>
      </c>
      <c r="CY33">
        <v>0.1111</v>
      </c>
      <c r="CZ33">
        <v>2</v>
      </c>
      <c r="DA33">
        <v>0.15379999999999999</v>
      </c>
      <c r="DB33">
        <v>800</v>
      </c>
      <c r="DC33">
        <v>400</v>
      </c>
      <c r="DD33">
        <v>1050</v>
      </c>
      <c r="DE33">
        <v>1.3125</v>
      </c>
      <c r="DF33">
        <v>0.38490000000000002</v>
      </c>
      <c r="DG33">
        <v>98</v>
      </c>
      <c r="DH33">
        <v>525</v>
      </c>
      <c r="DI33">
        <f>Tabla82[[#This Row],[IND_MontoPDP]]*Tabla82[[#This Row],[IND_Condonacion]]</f>
        <v>307.92</v>
      </c>
    </row>
    <row r="34" spans="1:113" x14ac:dyDescent="0.25">
      <c r="A34" s="34" t="str" cm="1">
        <f t="array" ref="A34">IFERROR(VLOOKUP(D1_ABRIL_2026[[#This Row],[ASESOR_CRR]],_xlfn._xlws.FILTER(PLANTILLA[[ASESOR]:[FECHA DE CESE]],PLANTILLA[FECHA]=_xlfn.CONCAT($M$3,"_",_xlfn.IFS($N$3="ENERO","1",$N$3="FEBRERO","2",$N$3="MARZO","3",$N$3="ABRIL","4",$N$3="MAYO","5",$N$3="JUNIO","6",$N$3="JULIO","7",$N$3="AGOSTO","8",$N$3="SETIEMBRE","9",$N$3="OCTUBRE","10",$N$3="NOVIEMBRE","11",$N$3="DICIEMBRE","12"))),3,0),"")</f>
        <v>KENNETH</v>
      </c>
      <c r="B34" s="34" t="str" cm="1">
        <f t="array" ref="B34">TRIM(IFERROR(_xlfn.IFS(D1_ABRIL_2026[[#This Row],[ASESOR]]="ELVIS GUERRA","ELVIS GUERRERA",D1_ABRIL_2026[[#This Row],[ASESOR]]="GENESIS VICUÑA","GENESIS VICUNA",D1_ABRIL_2026[[#This Row],[ASESOR]]="JENY QUIÑONES","JENY QUINONES",D1_ABRIL_2026[[#This Row],[ASESOR]]="NICOLE CAURURO","NICOLE CAURURO"),D1_ABRIL_2026[[#This Row],[ASESOR]]))</f>
        <v>JUAN LOZA</v>
      </c>
      <c r="C34" s="34" cm="1">
        <f t="array" ref="C34">_xlfn.XLOOKUP(1,(TablaMeta[CONCAT]=$M$3&amp;$N$3&amp;D1_ABRIL_2026[[#This Row],[SUPER]])*(TablaMeta[SEGG]=D1_ABRIL_2026[[#This Row],[SEGMENTO]]),TablaMeta[Meta_Asesor])</f>
        <v>52000</v>
      </c>
      <c r="D34" s="35">
        <f>IF(D1_ABRIL_2026[[#This Row],[RECUPERO]]="VACACIONES","VACACIONES",IFERROR(D1_ABRIL_2026[[#This Row],[RECUPERO]]/D1_ABRIL_2026[[#This Row],[META]],""))</f>
        <v>0.70242307692307693</v>
      </c>
      <c r="E34" s="35" t="str">
        <f>D1_ABRIL_2026[[#This Row],[SUPER]]</f>
        <v>KENNETH</v>
      </c>
      <c r="F34" t="s">
        <v>35</v>
      </c>
      <c r="G34" s="36">
        <v>36526</v>
      </c>
      <c r="H34" cm="1">
        <f t="array" ref="H34">IFERROR(VLOOKUP(D1_ABRIL_2026[[#This Row],[ASESOR_CRR]],_xlfn._xlws.FILTER(PLANTILLA[[ASESOR]:[FECHA DE CESE]],PLANTILLA[FECHA]=_xlfn.CONCAT($M$3,"_",_xlfn.IFS($N$3="ENERO","1",$N$3="FEBRERO","2",$N$3="MARZO","3",$N$3="ABRIL","4",$N$3="MAYO","5",$N$3="JUNIO","6",$N$3="JULIO","7",$N$3="AGOSTO","8",$N$3="SETIEMBRE","9",$N$3="OCTUBRE","10",$N$3="NOVIEMBRE","11",$N$3="DICIEMBRE","12"))),2,0),"")</f>
        <v>10491198</v>
      </c>
      <c r="I34" s="55" cm="1">
        <f t="array" ref="I34">IFERROR(VLOOKUP(D1_ABRIL_2026[[#This Row],[ASESOR_CRR]],_xlfn._xlws.FILTER(PLANTILLA[[ASESOR]:[FECHA DE CESE]],PLANTILLA[FECHA]=_xlfn.CONCAT($M$3,"_",_xlfn.IFS($N$3="ENERO","1",$N$3="FEBRERO","2",$N$3="MARZO","3",$N$3="ABRIL","4",$N$3="MAYO","5",$N$3="JUNIO","6",$N$3="JULIO","7",$N$3="AGOSTO","8",$N$3="SETIEMBRE","9",$N$3="OCTUBRE","10",$N$3="NOVIEMBRE","11",$N$3="DICIEMBRE","12"))),6,0),"")</f>
        <v>44746</v>
      </c>
      <c r="J34" s="55" t="str" cm="1">
        <f t="array" ref="J34">IFERROR(VLOOKUP(D1_ABRIL_2026[[#This Row],[ASESOR_CRR]],_xlfn._xlws.FILTER(PLANTILLA[[ASESOR]:[FECHA DE CESE]],PLANTILLA[FECHA]=_xlfn.CONCAT($M$3,"_",_xlfn.IFS($N$3="ENERO","1",$N$3="FEBRERO","2",$N$3="MARZO","3",$N$3="ABRIL","4",$N$3="MAYO","5",$N$3="JUNIO","6",$N$3="JULIO","7",$N$3="AGOSTO","8",$N$3="SETIEMBRE","9",$N$3="OCTUBRE","10",$N$3="NOVIEMBRE","11",$N$3="DICIEMBRE","12"))),4,0),"")</f>
        <v>CALL</v>
      </c>
      <c r="K34" s="55" t="str" cm="1">
        <f t="array" ref="K34">IFERROR(VLOOKUP(D1_ABRIL_2026[[#This Row],[ASESOR_CRR]],_xlfn._xlws.FILTER(PLANTILLA[[ASESOR]:[FECHA DE CESE]],PLANTILLA[FECHA]=_xlfn.CONCAT($M$3,"_",_xlfn.IFS($N$3="ENERO","1",$N$3="FEBRERO","2",$N$3="MARZO","3",$N$3="ABRIL","4",$N$3="MAYO","5",$N$3="JUNIO","6",$N$3="JULIO","7",$N$3="AGOSTO","8",$N$3="SETIEMBRE","9",$N$3="OCTUBRE","10",$N$3="NOVIEMBRE","11",$N$3="DICIEMBRE","12"))),8,0),"")</f>
        <v>S0</v>
      </c>
      <c r="L34" s="55"/>
      <c r="M34" s="5">
        <f>DATA_ABRIL_2026[[#This Row],[RECUPERO]]/DATA_ABRIL_2026[[#This Row],[META]]</f>
        <v>8.216494845360825E-2</v>
      </c>
      <c r="N34" s="5">
        <f>6-ROUNDUP(_xlfn.RANK.EQ(DATA_ABRIL_2026[[#This Row],[AL_AC]],DATA_ABRIL_2026[AL_AC],0)/(COUNTA(DATA_ABRIL_2026[AL_AC])/5),0)</f>
        <v>1</v>
      </c>
      <c r="O34" s="54" t="str">
        <f>IFERROR(VLOOKUP(DATA_ABRIL_2026[[#This Row],[ASER_]],$B:$G,4,0),"")</f>
        <v>JOHAN</v>
      </c>
      <c r="P34" s="6">
        <f>SUM(DATA_ABRIL_2026[[#This Row],[1]:[30]])</f>
        <v>3985</v>
      </c>
      <c r="Q34" s="6">
        <f>VLOOKUP(DATA_ABRIL_2026[[#This Row],[ASER_]],D1_ABRIL_2026[[ASESOR_CRR]:[META]],2,0)</f>
        <v>48500</v>
      </c>
      <c r="R34" t="s">
        <v>122</v>
      </c>
      <c r="S34">
        <v>250</v>
      </c>
      <c r="W34">
        <v>150</v>
      </c>
      <c r="Z34">
        <v>2250</v>
      </c>
      <c r="AB34" s="6"/>
      <c r="AC34" s="6"/>
      <c r="AD34" s="6"/>
      <c r="AE34" s="6"/>
      <c r="AF34" s="6"/>
      <c r="AG34" s="6"/>
      <c r="AH34" s="6">
        <v>200</v>
      </c>
      <c r="AI34" s="6"/>
      <c r="AJ34" s="6"/>
      <c r="AK34" s="6"/>
      <c r="AL34" s="6">
        <v>335</v>
      </c>
      <c r="AM34" s="6"/>
      <c r="AR34">
        <v>800</v>
      </c>
      <c r="AS34" s="54" t="str" cm="1">
        <f t="array" ref="AS34">IFERROR(VLOOKUP(DATA_ABRIL_2026[[#This Row],[ASER_]],_xlfn._xlws.FILTER(PLANTILLA[[ASESOR]:[FECHA DE CESE]],PLANTILLA[FECHA]=_xlfn.CONCAT($M$3,"_",_xlfn.IFS($N$3="ENERO","1",$N$3="FEBRERO","2",$N$3="MARZO","3",$N$3="ABRIL","4",$N$3="MAYO","5",$N$3="JUNIO","6",$N$3="JULIO","7",$N$3="AGOSTO","8",$N$3="SETIEMBRE","9",$N$3="OCTUBRE","10",$N$3="NOVIEMBRE","11",$N$3="DICIEMBRE","12"))),8,0),"")</f>
        <v>S1</v>
      </c>
      <c r="AX34" s="45"/>
      <c r="AY34" s="45"/>
      <c r="AZ34" s="45"/>
      <c r="BA34" s="45"/>
      <c r="BB34" s="45"/>
      <c r="BC34" s="45"/>
      <c r="BD34" s="45"/>
      <c r="BE34" s="45"/>
      <c r="BF34" s="45"/>
      <c r="BG34" s="45"/>
      <c r="BH34" s="45"/>
      <c r="CG34" t="s">
        <v>636</v>
      </c>
      <c r="CH34" t="s">
        <v>6</v>
      </c>
      <c r="CI34" t="s">
        <v>97</v>
      </c>
      <c r="CJ34">
        <v>46141</v>
      </c>
      <c r="CK34">
        <v>1</v>
      </c>
      <c r="CL34">
        <v>1</v>
      </c>
      <c r="CN34">
        <v>1</v>
      </c>
      <c r="CP34">
        <v>2.3148148148148147E-5</v>
      </c>
      <c r="CQ34">
        <v>2.3148148148148147E-5</v>
      </c>
      <c r="CR34">
        <v>0.15630787037037036</v>
      </c>
      <c r="CS34">
        <v>0.21100694444444446</v>
      </c>
      <c r="CT34">
        <v>95</v>
      </c>
      <c r="CU34">
        <v>154</v>
      </c>
      <c r="CV34">
        <v>27</v>
      </c>
      <c r="CW34" t="s">
        <v>676</v>
      </c>
      <c r="CX34">
        <v>9545</v>
      </c>
      <c r="CY34">
        <v>0.28420000000000001</v>
      </c>
      <c r="CZ34">
        <v>2</v>
      </c>
      <c r="DA34">
        <v>7.4099999999999999E-2</v>
      </c>
      <c r="DB34">
        <v>4700</v>
      </c>
      <c r="DC34">
        <v>2350</v>
      </c>
      <c r="DD34">
        <v>4700</v>
      </c>
      <c r="DE34">
        <v>1</v>
      </c>
      <c r="DF34">
        <v>0.31609999999999999</v>
      </c>
      <c r="DG34">
        <v>98</v>
      </c>
      <c r="DH34">
        <v>2350</v>
      </c>
      <c r="DI34">
        <f>Tabla82[[#This Row],[IND_MontoPDP]]*Tabla82[[#This Row],[IND_Condonacion]]</f>
        <v>1485.67</v>
      </c>
    </row>
    <row r="35" spans="1:113" x14ac:dyDescent="0.25">
      <c r="A35" s="34" t="str" cm="1">
        <f t="array" ref="A35">IFERROR(VLOOKUP(D1_ABRIL_2026[[#This Row],[ASESOR_CRR]],_xlfn._xlws.FILTER(PLANTILLA[[ASESOR]:[FECHA DE CESE]],PLANTILLA[FECHA]=_xlfn.CONCAT($M$3,"_",_xlfn.IFS($N$3="ENERO","1",$N$3="FEBRERO","2",$N$3="MARZO","3",$N$3="ABRIL","4",$N$3="MAYO","5",$N$3="JUNIO","6",$N$3="JULIO","7",$N$3="AGOSTO","8",$N$3="SETIEMBRE","9",$N$3="OCTUBRE","10",$N$3="NOVIEMBRE","11",$N$3="DICIEMBRE","12"))),3,0),"")</f>
        <v>LEONOR</v>
      </c>
      <c r="B35" s="34" t="str" cm="1">
        <f t="array" ref="B35">TRIM(IFERROR(_xlfn.IFS(D1_ABRIL_2026[[#This Row],[ASESOR]]="ELVIS GUERRA","ELVIS GUERRERA",D1_ABRIL_2026[[#This Row],[ASESOR]]="GENESIS VICUÑA","GENESIS VICUNA",D1_ABRIL_2026[[#This Row],[ASESOR]]="JENY QUIÑONES","JENY QUINONES",D1_ABRIL_2026[[#This Row],[ASESOR]]="NICOLE CAURURO","NICOLE CAURURO"),D1_ABRIL_2026[[#This Row],[ASESOR]]))</f>
        <v>JOSELIN MONTALVO</v>
      </c>
      <c r="C35" s="34" cm="1">
        <f t="array" ref="C35">_xlfn.XLOOKUP(1,(TablaMeta[CONCAT]=$M$3&amp;$N$3&amp;D1_ABRIL_2026[[#This Row],[SUPER]])*(TablaMeta[SEGG]=D1_ABRIL_2026[[#This Row],[SEGMENTO]]),TablaMeta[Meta_Asesor])</f>
        <v>16500</v>
      </c>
      <c r="D35" s="35">
        <f>IF(D1_ABRIL_2026[[#This Row],[RECUPERO]]="VACACIONES","VACACIONES",IFERROR(D1_ABRIL_2026[[#This Row],[RECUPERO]]/D1_ABRIL_2026[[#This Row],[META]],""))</f>
        <v>0.89684848484848489</v>
      </c>
      <c r="E35" s="35" t="str">
        <f>D1_ABRIL_2026[[#This Row],[SUPER]]</f>
        <v>LEONOR</v>
      </c>
      <c r="F35" t="s">
        <v>549</v>
      </c>
      <c r="G35" s="36">
        <v>14798</v>
      </c>
      <c r="H35" cm="1">
        <f t="array" ref="H35">IFERROR(VLOOKUP(D1_ABRIL_2026[[#This Row],[ASESOR_CRR]],_xlfn._xlws.FILTER(PLANTILLA[[ASESOR]:[FECHA DE CESE]],PLANTILLA[FECHA]=_xlfn.CONCAT($M$3,"_",_xlfn.IFS($N$3="ENERO","1",$N$3="FEBRERO","2",$N$3="MARZO","3",$N$3="ABRIL","4",$N$3="MAYO","5",$N$3="JUNIO","6",$N$3="JULIO","7",$N$3="AGOSTO","8",$N$3="SETIEMBRE","9",$N$3="OCTUBRE","10",$N$3="NOVIEMBRE","11",$N$3="DICIEMBRE","12"))),2,0),"")</f>
        <v>73233992</v>
      </c>
      <c r="I35" s="55" cm="1">
        <f t="array" ref="I35">IFERROR(VLOOKUP(D1_ABRIL_2026[[#This Row],[ASESOR_CRR]],_xlfn._xlws.FILTER(PLANTILLA[[ASESOR]:[FECHA DE CESE]],PLANTILLA[FECHA]=_xlfn.CONCAT($M$3,"_",_xlfn.IFS($N$3="ENERO","1",$N$3="FEBRERO","2",$N$3="MARZO","3",$N$3="ABRIL","4",$N$3="MAYO","5",$N$3="JUNIO","6",$N$3="JULIO","7",$N$3="AGOSTO","8",$N$3="SETIEMBRE","9",$N$3="OCTUBRE","10",$N$3="NOVIEMBRE","11",$N$3="DICIEMBRE","12"))),6,0),"")</f>
        <v>46065</v>
      </c>
      <c r="J35" s="55" t="str" cm="1">
        <f t="array" ref="J35">IFERROR(VLOOKUP(D1_ABRIL_2026[[#This Row],[ASESOR_CRR]],_xlfn._xlws.FILTER(PLANTILLA[[ASESOR]:[FECHA DE CESE]],PLANTILLA[FECHA]=_xlfn.CONCAT($M$3,"_",_xlfn.IFS($N$3="ENERO","1",$N$3="FEBRERO","2",$N$3="MARZO","3",$N$3="ABRIL","4",$N$3="MAYO","5",$N$3="JUNIO","6",$N$3="JULIO","7",$N$3="AGOSTO","8",$N$3="SETIEMBRE","9",$N$3="OCTUBRE","10",$N$3="NOVIEMBRE","11",$N$3="DICIEMBRE","12"))),4,0),"")</f>
        <v>CALL</v>
      </c>
      <c r="K35" s="55" t="str" cm="1">
        <f t="array" ref="K35">IFERROR(VLOOKUP(D1_ABRIL_2026[[#This Row],[ASESOR_CRR]],_xlfn._xlws.FILTER(PLANTILLA[[ASESOR]:[FECHA DE CESE]],PLANTILLA[FECHA]=_xlfn.CONCAT($M$3,"_",_xlfn.IFS($N$3="ENERO","1",$N$3="FEBRERO","2",$N$3="MARZO","3",$N$3="ABRIL","4",$N$3="MAYO","5",$N$3="JUNIO","6",$N$3="JULIO","7",$N$3="AGOSTO","8",$N$3="SETIEMBRE","9",$N$3="OCTUBRE","10",$N$3="NOVIEMBRE","11",$N$3="DICIEMBRE","12"))),8,0),"")</f>
        <v>S2-3-4 MIX</v>
      </c>
      <c r="L35" s="55"/>
      <c r="M35" s="5">
        <f>DATA_ABRIL_2026[[#This Row],[RECUPERO]]/DATA_ABRIL_2026[[#This Row],[META]]</f>
        <v>0.61066666666666669</v>
      </c>
      <c r="N35" s="5">
        <f>6-ROUNDUP(_xlfn.RANK.EQ(DATA_ABRIL_2026[[#This Row],[AL_AC]],DATA_ABRIL_2026[AL_AC],0)/(COUNTA(DATA_ABRIL_2026[AL_AC])/5),0)</f>
        <v>2</v>
      </c>
      <c r="O35" s="54" t="str">
        <f>IFERROR(VLOOKUP(DATA_ABRIL_2026[[#This Row],[ASER_]],$B:$G,4,0),"")</f>
        <v>LEONOR</v>
      </c>
      <c r="P35" s="6">
        <f>SUM(DATA_ABRIL_2026[[#This Row],[1]:[30]])</f>
        <v>10076</v>
      </c>
      <c r="Q35" s="6">
        <f>VLOOKUP(DATA_ABRIL_2026[[#This Row],[ASER_]],D1_ABRIL_2026[[ASESOR_CRR]:[META]],2,0)</f>
        <v>16500</v>
      </c>
      <c r="R35" t="s">
        <v>599</v>
      </c>
      <c r="W35">
        <v>3700</v>
      </c>
      <c r="AB35" s="6">
        <v>200</v>
      </c>
      <c r="AC35" s="6">
        <v>76</v>
      </c>
      <c r="AD35" s="6"/>
      <c r="AE35" s="6">
        <v>150</v>
      </c>
      <c r="AF35" s="6"/>
      <c r="AG35" s="6"/>
      <c r="AH35" s="6">
        <v>1000</v>
      </c>
      <c r="AI35" s="6">
        <v>700</v>
      </c>
      <c r="AJ35" s="6"/>
      <c r="AK35" s="6"/>
      <c r="AL35" s="6">
        <v>1000</v>
      </c>
      <c r="AM35" s="6"/>
      <c r="AO35">
        <v>250</v>
      </c>
      <c r="AP35">
        <v>1500</v>
      </c>
      <c r="AR35">
        <v>1500</v>
      </c>
      <c r="AS35" s="54" t="str" cm="1">
        <f t="array" ref="AS35">IFERROR(VLOOKUP(DATA_ABRIL_2026[[#This Row],[ASER_]],_xlfn._xlws.FILTER(PLANTILLA[[ASESOR]:[FECHA DE CESE]],PLANTILLA[FECHA]=_xlfn.CONCAT($M$3,"_",_xlfn.IFS($N$3="ENERO","1",$N$3="FEBRERO","2",$N$3="MARZO","3",$N$3="ABRIL","4",$N$3="MAYO","5",$N$3="JUNIO","6",$N$3="JULIO","7",$N$3="AGOSTO","8",$N$3="SETIEMBRE","9",$N$3="OCTUBRE","10",$N$3="NOVIEMBRE","11",$N$3="DICIEMBRE","12"))),8,0),"")</f>
        <v>S2-3-4 MIX</v>
      </c>
      <c r="AX35" s="45"/>
      <c r="AY35" s="45"/>
      <c r="AZ35" s="45"/>
      <c r="BA35" s="45"/>
      <c r="BB35" s="45"/>
      <c r="BC35" s="45"/>
      <c r="BD35" s="45"/>
      <c r="BE35" s="45"/>
      <c r="BF35" s="45"/>
      <c r="BG35" s="45"/>
      <c r="BH35" s="45"/>
      <c r="CG35" t="s">
        <v>636</v>
      </c>
      <c r="CH35" t="s">
        <v>7</v>
      </c>
      <c r="CI35" t="s">
        <v>49</v>
      </c>
      <c r="CJ35">
        <v>46140</v>
      </c>
      <c r="CK35">
        <v>1</v>
      </c>
      <c r="CL35">
        <v>1</v>
      </c>
      <c r="CN35">
        <v>1</v>
      </c>
      <c r="CP35">
        <v>0</v>
      </c>
      <c r="CQ35">
        <v>0</v>
      </c>
      <c r="CR35">
        <v>0.17807870370370371</v>
      </c>
      <c r="CS35">
        <v>0.14604166666666665</v>
      </c>
      <c r="CT35">
        <v>53</v>
      </c>
      <c r="CU35">
        <v>76</v>
      </c>
      <c r="CV35">
        <v>10</v>
      </c>
      <c r="CW35">
        <v>1.7</v>
      </c>
      <c r="CX35">
        <v>37561</v>
      </c>
      <c r="CY35">
        <v>0.18870000000000001</v>
      </c>
      <c r="CZ35">
        <v>1</v>
      </c>
      <c r="DA35">
        <v>0.1</v>
      </c>
      <c r="DB35">
        <v>1000</v>
      </c>
      <c r="DC35">
        <v>1000</v>
      </c>
      <c r="DD35">
        <v>1000</v>
      </c>
      <c r="DE35">
        <v>1</v>
      </c>
      <c r="DF35">
        <v>0.25080000000000002</v>
      </c>
      <c r="DG35">
        <v>98</v>
      </c>
      <c r="DH35">
        <v>1000</v>
      </c>
      <c r="DI35">
        <f>Tabla82[[#This Row],[IND_MontoPDP]]*Tabla82[[#This Row],[IND_Condonacion]]</f>
        <v>250.8</v>
      </c>
    </row>
    <row r="36" spans="1:113" x14ac:dyDescent="0.25">
      <c r="A36" s="34" t="str" cm="1">
        <f t="array" ref="A36">IFERROR(VLOOKUP(D1_ABRIL_2026[[#This Row],[ASESOR_CRR]],_xlfn._xlws.FILTER(PLANTILLA[[ASESOR]:[FECHA DE CESE]],PLANTILLA[FECHA]=_xlfn.CONCAT($M$3,"_",_xlfn.IFS($N$3="ENERO","1",$N$3="FEBRERO","2",$N$3="MARZO","3",$N$3="ABRIL","4",$N$3="MAYO","5",$N$3="JUNIO","6",$N$3="JULIO","7",$N$3="AGOSTO","8",$N$3="SETIEMBRE","9",$N$3="OCTUBRE","10",$N$3="NOVIEMBRE","11",$N$3="DICIEMBRE","12"))),3,0),"")</f>
        <v>LEONOR</v>
      </c>
      <c r="B36" s="34" t="str" cm="1">
        <f t="array" ref="B36">TRIM(IFERROR(_xlfn.IFS(D1_ABRIL_2026[[#This Row],[ASESOR]]="ELVIS GUERRA","ELVIS GUERRERA",D1_ABRIL_2026[[#This Row],[ASESOR]]="GENESIS VICUÑA","GENESIS VICUNA",D1_ABRIL_2026[[#This Row],[ASESOR]]="JENY QUIÑONES","JENY QUINONES",D1_ABRIL_2026[[#This Row],[ASESOR]]="NICOLE CAURURO","NICOLE CAURURO"),D1_ABRIL_2026[[#This Row],[ASESOR]]))</f>
        <v>CHRISTIAN ALVARADO</v>
      </c>
      <c r="C36" s="34" cm="1">
        <f t="array" ref="C36">_xlfn.XLOOKUP(1,(TablaMeta[CONCAT]=$M$3&amp;$N$3&amp;D1_ABRIL_2026[[#This Row],[SUPER]])*(TablaMeta[SEGG]=D1_ABRIL_2026[[#This Row],[SEGMENTO]]),TablaMeta[Meta_Asesor])</f>
        <v>16500</v>
      </c>
      <c r="D36" s="35">
        <f>IF(D1_ABRIL_2026[[#This Row],[RECUPERO]]="VACACIONES","VACACIONES",IFERROR(D1_ABRIL_2026[[#This Row],[RECUPERO]]/D1_ABRIL_2026[[#This Row],[META]],""))</f>
        <v>0.88903030303030306</v>
      </c>
      <c r="E36" s="35" t="str">
        <f>D1_ABRIL_2026[[#This Row],[SUPER]]</f>
        <v>LEONOR</v>
      </c>
      <c r="F36" t="s">
        <v>41</v>
      </c>
      <c r="G36" s="36">
        <v>14669</v>
      </c>
      <c r="H36" cm="1">
        <f t="array" ref="H36">IFERROR(VLOOKUP(D1_ABRIL_2026[[#This Row],[ASESOR_CRR]],_xlfn._xlws.FILTER(PLANTILLA[[ASESOR]:[FECHA DE CESE]],PLANTILLA[FECHA]=_xlfn.CONCAT($M$3,"_",_xlfn.IFS($N$3="ENERO","1",$N$3="FEBRERO","2",$N$3="MARZO","3",$N$3="ABRIL","4",$N$3="MAYO","5",$N$3="JUNIO","6",$N$3="JULIO","7",$N$3="AGOSTO","8",$N$3="SETIEMBRE","9",$N$3="OCTUBRE","10",$N$3="NOVIEMBRE","11",$N$3="DICIEMBRE","12"))),2,0),"")</f>
        <v>46461021</v>
      </c>
      <c r="I36" s="55" cm="1">
        <f t="array" ref="I36">IFERROR(VLOOKUP(D1_ABRIL_2026[[#This Row],[ASESOR_CRR]],_xlfn._xlws.FILTER(PLANTILLA[[ASESOR]:[FECHA DE CESE]],PLANTILLA[FECHA]=_xlfn.CONCAT($M$3,"_",_xlfn.IFS($N$3="ENERO","1",$N$3="FEBRERO","2",$N$3="MARZO","3",$N$3="ABRIL","4",$N$3="MAYO","5",$N$3="JUNIO","6",$N$3="JULIO","7",$N$3="AGOSTO","8",$N$3="SETIEMBRE","9",$N$3="OCTUBRE","10",$N$3="NOVIEMBRE","11",$N$3="DICIEMBRE","12"))),6,0),"")</f>
        <v>45302</v>
      </c>
      <c r="J36" s="55" t="str" cm="1">
        <f t="array" ref="J36">IFERROR(VLOOKUP(D1_ABRIL_2026[[#This Row],[ASESOR_CRR]],_xlfn._xlws.FILTER(PLANTILLA[[ASESOR]:[FECHA DE CESE]],PLANTILLA[FECHA]=_xlfn.CONCAT($M$3,"_",_xlfn.IFS($N$3="ENERO","1",$N$3="FEBRERO","2",$N$3="MARZO","3",$N$3="ABRIL","4",$N$3="MAYO","5",$N$3="JUNIO","6",$N$3="JULIO","7",$N$3="AGOSTO","8",$N$3="SETIEMBRE","9",$N$3="OCTUBRE","10",$N$3="NOVIEMBRE","11",$N$3="DICIEMBRE","12"))),4,0),"")</f>
        <v>CALL</v>
      </c>
      <c r="K36" s="55" t="str" cm="1">
        <f t="array" ref="K36">IFERROR(VLOOKUP(D1_ABRIL_2026[[#This Row],[ASESOR_CRR]],_xlfn._xlws.FILTER(PLANTILLA[[ASESOR]:[FECHA DE CESE]],PLANTILLA[FECHA]=_xlfn.CONCAT($M$3,"_",_xlfn.IFS($N$3="ENERO","1",$N$3="FEBRERO","2",$N$3="MARZO","3",$N$3="ABRIL","4",$N$3="MAYO","5",$N$3="JUNIO","6",$N$3="JULIO","7",$N$3="AGOSTO","8",$N$3="SETIEMBRE","9",$N$3="OCTUBRE","10",$N$3="NOVIEMBRE","11",$N$3="DICIEMBRE","12"))),8,0),"")</f>
        <v>S2-3-4 MIX</v>
      </c>
      <c r="L36" s="55"/>
      <c r="M36" s="5">
        <f>DATA_ABRIL_2026[[#This Row],[RECUPERO]]/DATA_ABRIL_2026[[#This Row],[META]]</f>
        <v>0.94589285714285709</v>
      </c>
      <c r="N36" s="5">
        <f>6-ROUNDUP(_xlfn.RANK.EQ(DATA_ABRIL_2026[[#This Row],[AL_AC]],DATA_ABRIL_2026[AL_AC],0)/(COUNTA(DATA_ABRIL_2026[AL_AC])/5),0)</f>
        <v>3</v>
      </c>
      <c r="O36" s="54" t="str">
        <f>IFERROR(VLOOKUP(DATA_ABRIL_2026[[#This Row],[ASER_]],$B:$G,4,0),"")</f>
        <v>SANDY</v>
      </c>
      <c r="P36" s="6">
        <f>SUM(DATA_ABRIL_2026[[#This Row],[1]:[30]])</f>
        <v>26485</v>
      </c>
      <c r="Q36" s="6">
        <f>VLOOKUP(DATA_ABRIL_2026[[#This Row],[ASER_]],D1_ABRIL_2026[[ASESOR_CRR]:[META]],2,0)</f>
        <v>28000</v>
      </c>
      <c r="R36" t="s">
        <v>96</v>
      </c>
      <c r="V36">
        <v>2600</v>
      </c>
      <c r="W36" s="5"/>
      <c r="X36" s="6">
        <v>2200</v>
      </c>
      <c r="Y36" s="6">
        <v>600</v>
      </c>
      <c r="Z36" s="6">
        <v>2000</v>
      </c>
      <c r="AA36" s="6">
        <v>400</v>
      </c>
      <c r="AB36" s="6"/>
      <c r="AC36" s="6">
        <v>400</v>
      </c>
      <c r="AD36" s="6">
        <v>3000</v>
      </c>
      <c r="AE36" s="6">
        <v>300</v>
      </c>
      <c r="AF36" s="6">
        <v>310</v>
      </c>
      <c r="AG36" s="6"/>
      <c r="AH36" s="6"/>
      <c r="AI36" s="6"/>
      <c r="AJ36" s="6"/>
      <c r="AK36" s="6">
        <v>2350</v>
      </c>
      <c r="AL36" s="6">
        <v>1200</v>
      </c>
      <c r="AM36" s="6"/>
      <c r="AN36" s="6"/>
      <c r="AO36" s="6">
        <v>2000</v>
      </c>
      <c r="AP36" s="6">
        <v>1000</v>
      </c>
      <c r="AQ36" s="6"/>
      <c r="AR36" s="6">
        <v>8125</v>
      </c>
      <c r="AS36" s="54" t="str" cm="1">
        <f t="array" ref="AS36">IFERROR(VLOOKUP(DATA_ABRIL_2026[[#This Row],[ASER_]],_xlfn._xlws.FILTER(PLANTILLA[[ASESOR]:[FECHA DE CESE]],PLANTILLA[FECHA]=_xlfn.CONCAT($M$3,"_",_xlfn.IFS($N$3="ENERO","1",$N$3="FEBRERO","2",$N$3="MARZO","3",$N$3="ABRIL","4",$N$3="MAYO","5",$N$3="JUNIO","6",$N$3="JULIO","7",$N$3="AGOSTO","8",$N$3="SETIEMBRE","9",$N$3="OCTUBRE","10",$N$3="NOVIEMBRE","11",$N$3="DICIEMBRE","12"))),8,0),"")</f>
        <v>S0</v>
      </c>
      <c r="AX36" s="45"/>
      <c r="AY36" s="45"/>
      <c r="AZ36" s="45"/>
      <c r="BA36" s="45"/>
      <c r="BB36" s="45"/>
      <c r="BC36" s="45"/>
      <c r="BD36" s="45"/>
      <c r="BE36" s="45"/>
      <c r="BF36" s="45"/>
      <c r="BG36" s="45"/>
      <c r="BH36" s="45"/>
      <c r="CG36" t="s">
        <v>636</v>
      </c>
      <c r="CH36" t="s">
        <v>3</v>
      </c>
      <c r="CI36" t="s">
        <v>58</v>
      </c>
      <c r="CJ36">
        <v>46125</v>
      </c>
      <c r="CK36">
        <v>1</v>
      </c>
      <c r="CL36">
        <v>1</v>
      </c>
      <c r="CN36">
        <v>1</v>
      </c>
      <c r="CP36">
        <v>2.4305555555555555E-4</v>
      </c>
      <c r="CQ36">
        <v>2.4305555555555555E-4</v>
      </c>
      <c r="CR36">
        <v>0.21914351851851852</v>
      </c>
      <c r="CS36">
        <v>0.13399305555555555</v>
      </c>
      <c r="CT36">
        <v>94</v>
      </c>
      <c r="CU36">
        <v>234</v>
      </c>
      <c r="CV36">
        <v>46</v>
      </c>
      <c r="CW36" t="s">
        <v>853</v>
      </c>
      <c r="CX36">
        <v>21074</v>
      </c>
      <c r="CY36">
        <v>0.4894</v>
      </c>
      <c r="CZ36">
        <v>3</v>
      </c>
      <c r="DA36">
        <v>6.5199999999999994E-2</v>
      </c>
      <c r="DB36">
        <v>1505</v>
      </c>
      <c r="DC36">
        <v>502</v>
      </c>
      <c r="DD36">
        <v>1485</v>
      </c>
      <c r="DE36">
        <v>0.98670000000000002</v>
      </c>
      <c r="DF36">
        <v>0.29010000000000002</v>
      </c>
      <c r="DG36">
        <v>98</v>
      </c>
      <c r="DH36">
        <v>495</v>
      </c>
      <c r="DI36">
        <f>Tabla82[[#This Row],[IND_MontoPDP]]*Tabla82[[#This Row],[IND_Condonacion]]</f>
        <v>436.60050000000001</v>
      </c>
    </row>
    <row r="37" spans="1:113" x14ac:dyDescent="0.25">
      <c r="A37" s="34" t="str" cm="1">
        <f t="array" ref="A37">IFERROR(VLOOKUP(D1_ABRIL_2026[[#This Row],[ASESOR_CRR]],_xlfn._xlws.FILTER(PLANTILLA[[ASESOR]:[FECHA DE CESE]],PLANTILLA[FECHA]=_xlfn.CONCAT($M$3,"_",_xlfn.IFS($N$3="ENERO","1",$N$3="FEBRERO","2",$N$3="MARZO","3",$N$3="ABRIL","4",$N$3="MAYO","5",$N$3="JUNIO","6",$N$3="JULIO","7",$N$3="AGOSTO","8",$N$3="SETIEMBRE","9",$N$3="OCTUBRE","10",$N$3="NOVIEMBRE","11",$N$3="DICIEMBRE","12"))),3,0),"")</f>
        <v>LEONOR</v>
      </c>
      <c r="B37" s="34" t="str" cm="1">
        <f t="array" ref="B37">TRIM(IFERROR(_xlfn.IFS(D1_ABRIL_2026[[#This Row],[ASESOR]]="ELVIS GUERRA","ELVIS GUERRERA",D1_ABRIL_2026[[#This Row],[ASESOR]]="GENESIS VICUÑA","GENESIS VICUNA",D1_ABRIL_2026[[#This Row],[ASESOR]]="JENY QUIÑONES","JENY QUINONES",D1_ABRIL_2026[[#This Row],[ASESOR]]="NICOLE CAURURO","NICOLE CAURURO"),D1_ABRIL_2026[[#This Row],[ASESOR]]))</f>
        <v>SONIA SULLA</v>
      </c>
      <c r="C37" s="34" cm="1">
        <f t="array" ref="C37">_xlfn.XLOOKUP(1,(TablaMeta[CONCAT]=$M$3&amp;$N$3&amp;D1_ABRIL_2026[[#This Row],[SUPER]])*(TablaMeta[SEGG]=D1_ABRIL_2026[[#This Row],[SEGMENTO]]),TablaMeta[Meta_Asesor])</f>
        <v>16500</v>
      </c>
      <c r="D37" s="35">
        <f>IF(D1_ABRIL_2026[[#This Row],[RECUPERO]]="VACACIONES","VACACIONES",IFERROR(D1_ABRIL_2026[[#This Row],[RECUPERO]]/D1_ABRIL_2026[[#This Row],[META]],""))</f>
        <v>0.49461818181818179</v>
      </c>
      <c r="E37" s="35" t="str">
        <f>D1_ABRIL_2026[[#This Row],[SUPER]]</f>
        <v>LEONOR</v>
      </c>
      <c r="F37" t="s">
        <v>557</v>
      </c>
      <c r="G37" s="36">
        <v>8161.2</v>
      </c>
      <c r="H37" cm="1">
        <f t="array" ref="H37">IFERROR(VLOOKUP(D1_ABRIL_2026[[#This Row],[ASESOR_CRR]],_xlfn._xlws.FILTER(PLANTILLA[[ASESOR]:[FECHA DE CESE]],PLANTILLA[FECHA]=_xlfn.CONCAT($M$3,"_",_xlfn.IFS($N$3="ENERO","1",$N$3="FEBRERO","2",$N$3="MARZO","3",$N$3="ABRIL","4",$N$3="MAYO","5",$N$3="JUNIO","6",$N$3="JULIO","7",$N$3="AGOSTO","8",$N$3="SETIEMBRE","9",$N$3="OCTUBRE","10",$N$3="NOVIEMBRE","11",$N$3="DICIEMBRE","12"))),2,0),"")</f>
        <v>10330959</v>
      </c>
      <c r="I37" s="55" cm="1">
        <f t="array" ref="I37">IFERROR(VLOOKUP(D1_ABRIL_2026[[#This Row],[ASESOR_CRR]],_xlfn._xlws.FILTER(PLANTILLA[[ASESOR]:[FECHA DE CESE]],PLANTILLA[FECHA]=_xlfn.CONCAT($M$3,"_",_xlfn.IFS($N$3="ENERO","1",$N$3="FEBRERO","2",$N$3="MARZO","3",$N$3="ABRIL","4",$N$3="MAYO","5",$N$3="JUNIO","6",$N$3="JULIO","7",$N$3="AGOSTO","8",$N$3="SETIEMBRE","9",$N$3="OCTUBRE","10",$N$3="NOVIEMBRE","11",$N$3="DICIEMBRE","12"))),6,0),"")</f>
        <v>46073</v>
      </c>
      <c r="J37" s="55" t="str" cm="1">
        <f t="array" ref="J37">IFERROR(VLOOKUP(D1_ABRIL_2026[[#This Row],[ASESOR_CRR]],_xlfn._xlws.FILTER(PLANTILLA[[ASESOR]:[FECHA DE CESE]],PLANTILLA[FECHA]=_xlfn.CONCAT($M$3,"_",_xlfn.IFS($N$3="ENERO","1",$N$3="FEBRERO","2",$N$3="MARZO","3",$N$3="ABRIL","4",$N$3="MAYO","5",$N$3="JUNIO","6",$N$3="JULIO","7",$N$3="AGOSTO","8",$N$3="SETIEMBRE","9",$N$3="OCTUBRE","10",$N$3="NOVIEMBRE","11",$N$3="DICIEMBRE","12"))),4,0),"")</f>
        <v>CESADO</v>
      </c>
      <c r="K37" s="55" t="str" cm="1">
        <f t="array" ref="K37">IFERROR(VLOOKUP(D1_ABRIL_2026[[#This Row],[ASESOR_CRR]],_xlfn._xlws.FILTER(PLANTILLA[[ASESOR]:[FECHA DE CESE]],PLANTILLA[FECHA]=_xlfn.CONCAT($M$3,"_",_xlfn.IFS($N$3="ENERO","1",$N$3="FEBRERO","2",$N$3="MARZO","3",$N$3="ABRIL","4",$N$3="MAYO","5",$N$3="JUNIO","6",$N$3="JULIO","7",$N$3="AGOSTO","8",$N$3="SETIEMBRE","9",$N$3="OCTUBRE","10",$N$3="NOVIEMBRE","11",$N$3="DICIEMBRE","12"))),8,0),"")</f>
        <v>S2-3-4 MIX</v>
      </c>
      <c r="L37" s="55"/>
      <c r="M37" s="5">
        <f>DATA_ABRIL_2026[[#This Row],[RECUPERO]]/DATA_ABRIL_2026[[#This Row],[META]]</f>
        <v>5.9818181818181819E-2</v>
      </c>
      <c r="N37" s="5">
        <f>6-ROUNDUP(_xlfn.RANK.EQ(DATA_ABRIL_2026[[#This Row],[AL_AC]],DATA_ABRIL_2026[AL_AC],0)/(COUNTA(DATA_ABRIL_2026[AL_AC])/5),0)</f>
        <v>1</v>
      </c>
      <c r="O37" s="54" t="str">
        <f>IFERROR(VLOOKUP(DATA_ABRIL_2026[[#This Row],[ASER_]],$B:$G,4,0),"")</f>
        <v>LEONOR</v>
      </c>
      <c r="P37" s="6">
        <f>SUM(DATA_ABRIL_2026[[#This Row],[1]:[30]])</f>
        <v>987</v>
      </c>
      <c r="Q37" s="6">
        <f>VLOOKUP(DATA_ABRIL_2026[[#This Row],[ASER_]],D1_ABRIL_2026[[ASESOR_CRR]:[META]],2,0)</f>
        <v>16500</v>
      </c>
      <c r="R37" t="s">
        <v>565</v>
      </c>
      <c r="W37" s="5">
        <v>110</v>
      </c>
      <c r="X37" s="6">
        <v>400</v>
      </c>
      <c r="Y37" s="6">
        <v>277</v>
      </c>
      <c r="Z37" s="6"/>
      <c r="AA37" s="6"/>
      <c r="AB37" s="6"/>
      <c r="AC37" s="6">
        <v>200</v>
      </c>
      <c r="AD37" s="6"/>
      <c r="AE37" s="6"/>
      <c r="AF37" s="6"/>
      <c r="AG37" s="6"/>
      <c r="AH37" s="6"/>
      <c r="AI37" s="6"/>
      <c r="AJ37" s="6"/>
      <c r="AK37" s="6"/>
      <c r="AL37" s="6"/>
      <c r="AM37" s="6"/>
      <c r="AN37" s="6"/>
      <c r="AO37" s="6"/>
      <c r="AP37" s="6"/>
      <c r="AQ37" s="6"/>
      <c r="AR37" s="6"/>
      <c r="AS37" s="54" t="str" cm="1">
        <f t="array" ref="AS37">IFERROR(VLOOKUP(DATA_ABRIL_2026[[#This Row],[ASER_]],_xlfn._xlws.FILTER(PLANTILLA[[ASESOR]:[FECHA DE CESE]],PLANTILLA[FECHA]=_xlfn.CONCAT($M$3,"_",_xlfn.IFS($N$3="ENERO","1",$N$3="FEBRERO","2",$N$3="MARZO","3",$N$3="ABRIL","4",$N$3="MAYO","5",$N$3="JUNIO","6",$N$3="JULIO","7",$N$3="AGOSTO","8",$N$3="SETIEMBRE","9",$N$3="OCTUBRE","10",$N$3="NOVIEMBRE","11",$N$3="DICIEMBRE","12"))),8,0),"")</f>
        <v>S2-3-4 MIX</v>
      </c>
      <c r="AX37" s="45"/>
      <c r="AY37" s="45"/>
      <c r="AZ37" s="45"/>
      <c r="BA37" s="45"/>
      <c r="BB37" s="45"/>
      <c r="BC37" s="45"/>
      <c r="BD37" s="45"/>
      <c r="BE37" s="45"/>
      <c r="BF37" s="45"/>
      <c r="BG37" s="45"/>
      <c r="BH37" s="45"/>
      <c r="CG37" t="s">
        <v>636</v>
      </c>
      <c r="CH37" t="s">
        <v>3</v>
      </c>
      <c r="CI37" t="s">
        <v>58</v>
      </c>
      <c r="CJ37">
        <v>46141</v>
      </c>
      <c r="CK37">
        <v>1</v>
      </c>
      <c r="CL37">
        <v>1</v>
      </c>
      <c r="CN37">
        <v>1</v>
      </c>
      <c r="CP37">
        <v>3.0787037037037037E-3</v>
      </c>
      <c r="CQ37">
        <v>3.0787037037037037E-3</v>
      </c>
      <c r="CR37">
        <v>0.15114583333333334</v>
      </c>
      <c r="CS37">
        <v>0.17129629629629631</v>
      </c>
      <c r="CT37">
        <v>115</v>
      </c>
      <c r="CU37">
        <v>229</v>
      </c>
      <c r="CV37">
        <v>23</v>
      </c>
      <c r="CW37" t="s">
        <v>895</v>
      </c>
      <c r="CX37">
        <v>30929</v>
      </c>
      <c r="CY37">
        <v>0.2</v>
      </c>
      <c r="CZ37">
        <v>1</v>
      </c>
      <c r="DA37">
        <v>4.3499999999999997E-2</v>
      </c>
      <c r="DB37">
        <v>6500</v>
      </c>
      <c r="DC37">
        <v>6500</v>
      </c>
      <c r="DD37">
        <v>6500</v>
      </c>
      <c r="DE37">
        <v>1</v>
      </c>
      <c r="DF37">
        <v>0.3075</v>
      </c>
      <c r="DG37">
        <v>98</v>
      </c>
      <c r="DH37">
        <v>6500</v>
      </c>
      <c r="DI37">
        <f>Tabla82[[#This Row],[IND_MontoPDP]]*Tabla82[[#This Row],[IND_Condonacion]]</f>
        <v>1998.75</v>
      </c>
    </row>
    <row r="38" spans="1:113" x14ac:dyDescent="0.25">
      <c r="A38" s="34" t="str" cm="1">
        <f t="array" ref="A38">IFERROR(VLOOKUP(D1_ABRIL_2026[[#This Row],[ASESOR_CRR]],_xlfn._xlws.FILTER(PLANTILLA[[ASESOR]:[FECHA DE CESE]],PLANTILLA[FECHA]=_xlfn.CONCAT($M$3,"_",_xlfn.IFS($N$3="ENERO","1",$N$3="FEBRERO","2",$N$3="MARZO","3",$N$3="ABRIL","4",$N$3="MAYO","5",$N$3="JUNIO","6",$N$3="JULIO","7",$N$3="AGOSTO","8",$N$3="SETIEMBRE","9",$N$3="OCTUBRE","10",$N$3="NOVIEMBRE","11",$N$3="DICIEMBRE","12"))),3,0),"")</f>
        <v>LEONOR</v>
      </c>
      <c r="B38" s="34" t="str" cm="1">
        <f t="array" ref="B38">TRIM(IFERROR(_xlfn.IFS(D1_ABRIL_2026[[#This Row],[ASESOR]]="ELVIS GUERRA","ELVIS GUERRERA",D1_ABRIL_2026[[#This Row],[ASESOR]]="GENESIS VICUÑA","GENESIS VICUNA",D1_ABRIL_2026[[#This Row],[ASESOR]]="JENY QUIÑONES","JENY QUINONES",D1_ABRIL_2026[[#This Row],[ASESOR]]="NICOLE CAURURO","NICOLE CAURURO"),D1_ABRIL_2026[[#This Row],[ASESOR]]))</f>
        <v>JEREMY RODRIGUEZ</v>
      </c>
      <c r="C38" s="34" cm="1">
        <f t="array" ref="C38">_xlfn.XLOOKUP(1,(TablaMeta[CONCAT]=$M$3&amp;$N$3&amp;D1_ABRIL_2026[[#This Row],[SUPER]])*(TablaMeta[SEGG]=D1_ABRIL_2026[[#This Row],[SEGMENTO]]),TablaMeta[Meta_Asesor])</f>
        <v>16500</v>
      </c>
      <c r="D38" s="35">
        <f>IF(D1_ABRIL_2026[[#This Row],[RECUPERO]]="VACACIONES","VACACIONES",IFERROR(D1_ABRIL_2026[[#This Row],[RECUPERO]]/D1_ABRIL_2026[[#This Row],[META]],""))</f>
        <v>0.61066666666666669</v>
      </c>
      <c r="E38" s="35" t="str">
        <f>D1_ABRIL_2026[[#This Row],[SUPER]]</f>
        <v>LEONOR</v>
      </c>
      <c r="F38" t="s">
        <v>599</v>
      </c>
      <c r="G38" s="36">
        <v>10076</v>
      </c>
      <c r="H38" cm="1">
        <f t="array" ref="H38">IFERROR(VLOOKUP(D1_ABRIL_2026[[#This Row],[ASESOR_CRR]],_xlfn._xlws.FILTER(PLANTILLA[[ASESOR]:[FECHA DE CESE]],PLANTILLA[FECHA]=_xlfn.CONCAT($M$3,"_",_xlfn.IFS($N$3="ENERO","1",$N$3="FEBRERO","2",$N$3="MARZO","3",$N$3="ABRIL","4",$N$3="MAYO","5",$N$3="JUNIO","6",$N$3="JULIO","7",$N$3="AGOSTO","8",$N$3="SETIEMBRE","9",$N$3="OCTUBRE","10",$N$3="NOVIEMBRE","11",$N$3="DICIEMBRE","12"))),2,0),"")</f>
        <v>42227234</v>
      </c>
      <c r="I38" s="55" cm="1">
        <f t="array" ref="I38">IFERROR(VLOOKUP(D1_ABRIL_2026[[#This Row],[ASESOR_CRR]],_xlfn._xlws.FILTER(PLANTILLA[[ASESOR]:[FECHA DE CESE]],PLANTILLA[FECHA]=_xlfn.CONCAT($M$3,"_",_xlfn.IFS($N$3="ENERO","1",$N$3="FEBRERO","2",$N$3="MARZO","3",$N$3="ABRIL","4",$N$3="MAYO","5",$N$3="JUNIO","6",$N$3="JULIO","7",$N$3="AGOSTO","8",$N$3="SETIEMBRE","9",$N$3="OCTUBRE","10",$N$3="NOVIEMBRE","11",$N$3="DICIEMBRE","12"))),6,0),"")</f>
        <v>46121</v>
      </c>
      <c r="J38" s="55" t="str" cm="1">
        <f t="array" ref="J38">IFERROR(VLOOKUP(D1_ABRIL_2026[[#This Row],[ASESOR_CRR]],_xlfn._xlws.FILTER(PLANTILLA[[ASESOR]:[FECHA DE CESE]],PLANTILLA[FECHA]=_xlfn.CONCAT($M$3,"_",_xlfn.IFS($N$3="ENERO","1",$N$3="FEBRERO","2",$N$3="MARZO","3",$N$3="ABRIL","4",$N$3="MAYO","5",$N$3="JUNIO","6",$N$3="JULIO","7",$N$3="AGOSTO","8",$N$3="SETIEMBRE","9",$N$3="OCTUBRE","10",$N$3="NOVIEMBRE","11",$N$3="DICIEMBRE","12"))),4,0),"")</f>
        <v>CALL</v>
      </c>
      <c r="K38" s="55" t="str" cm="1">
        <f t="array" ref="K38">IFERROR(VLOOKUP(D1_ABRIL_2026[[#This Row],[ASESOR_CRR]],_xlfn._xlws.FILTER(PLANTILLA[[ASESOR]:[FECHA DE CESE]],PLANTILLA[FECHA]=_xlfn.CONCAT($M$3,"_",_xlfn.IFS($N$3="ENERO","1",$N$3="FEBRERO","2",$N$3="MARZO","3",$N$3="ABRIL","4",$N$3="MAYO","5",$N$3="JUNIO","6",$N$3="JULIO","7",$N$3="AGOSTO","8",$N$3="SETIEMBRE","9",$N$3="OCTUBRE","10",$N$3="NOVIEMBRE","11",$N$3="DICIEMBRE","12"))),8,0),"")</f>
        <v>S2-3-4 MIX</v>
      </c>
      <c r="L38" s="55"/>
      <c r="M38" s="5">
        <f>DATA_ABRIL_2026[[#This Row],[RECUPERO]]/DATA_ABRIL_2026[[#This Row],[META]]</f>
        <v>0.48810309278350517</v>
      </c>
      <c r="N38" s="5">
        <f>6-ROUNDUP(_xlfn.RANK.EQ(DATA_ABRIL_2026[[#This Row],[AL_AC]],DATA_ABRIL_2026[AL_AC],0)/(COUNTA(DATA_ABRIL_2026[AL_AC])/5),0)</f>
        <v>2</v>
      </c>
      <c r="O38" s="54" t="str">
        <f>IFERROR(VLOOKUP(DATA_ABRIL_2026[[#This Row],[ASER_]],$B:$G,4,0),"")</f>
        <v>JORGE</v>
      </c>
      <c r="P38" s="6">
        <f>SUM(DATA_ABRIL_2026[[#This Row],[1]:[30]])</f>
        <v>23673</v>
      </c>
      <c r="Q38" s="6">
        <f>VLOOKUP(DATA_ABRIL_2026[[#This Row],[ASER_]],D1_ABRIL_2026[[ASESOR_CRR]:[META]],2,0)</f>
        <v>48500</v>
      </c>
      <c r="R38" t="s">
        <v>65</v>
      </c>
      <c r="S38">
        <v>1700</v>
      </c>
      <c r="W38" s="5">
        <v>6000</v>
      </c>
      <c r="X38" s="6"/>
      <c r="Y38" s="6"/>
      <c r="Z38" s="6">
        <v>308</v>
      </c>
      <c r="AA38" s="6"/>
      <c r="AB38" s="6">
        <v>350</v>
      </c>
      <c r="AC38" s="6"/>
      <c r="AD38" s="6"/>
      <c r="AE38" s="6"/>
      <c r="AF38" s="6"/>
      <c r="AG38" s="6">
        <v>2900</v>
      </c>
      <c r="AH38" s="6">
        <v>1720</v>
      </c>
      <c r="AI38" s="6"/>
      <c r="AJ38" s="6"/>
      <c r="AK38" s="6"/>
      <c r="AL38" s="6"/>
      <c r="AM38" s="6"/>
      <c r="AN38" s="6"/>
      <c r="AO38" s="6">
        <v>3040</v>
      </c>
      <c r="AP38" s="6">
        <v>3850</v>
      </c>
      <c r="AQ38" s="6">
        <v>1400</v>
      </c>
      <c r="AR38" s="6">
        <v>2405</v>
      </c>
      <c r="AS38" s="54" t="str" cm="1">
        <f t="array" ref="AS38">IFERROR(VLOOKUP(DATA_ABRIL_2026[[#This Row],[ASER_]],_xlfn._xlws.FILTER(PLANTILLA[[ASESOR]:[FECHA DE CESE]],PLANTILLA[FECHA]=_xlfn.CONCAT($M$3,"_",_xlfn.IFS($N$3="ENERO","1",$N$3="FEBRERO","2",$N$3="MARZO","3",$N$3="ABRIL","4",$N$3="MAYO","5",$N$3="JUNIO","6",$N$3="JULIO","7",$N$3="AGOSTO","8",$N$3="SETIEMBRE","9",$N$3="OCTUBRE","10",$N$3="NOVIEMBRE","11",$N$3="DICIEMBRE","12"))),8,0),"")</f>
        <v>S1</v>
      </c>
      <c r="AX38" s="45"/>
      <c r="AY38" s="45"/>
      <c r="AZ38" s="45"/>
      <c r="BA38" s="45"/>
      <c r="BB38" s="45"/>
      <c r="BC38" s="45"/>
      <c r="BD38" s="45"/>
      <c r="BE38" s="45"/>
      <c r="BF38" s="45"/>
      <c r="BG38" s="45"/>
      <c r="BH38" s="45"/>
      <c r="CG38" t="s">
        <v>636</v>
      </c>
      <c r="CH38" t="s">
        <v>3</v>
      </c>
      <c r="CI38" t="s">
        <v>174</v>
      </c>
      <c r="CJ38">
        <v>46127</v>
      </c>
      <c r="CK38">
        <v>1</v>
      </c>
      <c r="CL38">
        <v>1</v>
      </c>
      <c r="CN38">
        <v>1</v>
      </c>
      <c r="CP38">
        <v>9.2592592592592596E-4</v>
      </c>
      <c r="CQ38">
        <v>9.2592592592592596E-4</v>
      </c>
      <c r="CR38">
        <v>0.20467592592592593</v>
      </c>
      <c r="CS38">
        <v>0.16233796296296296</v>
      </c>
      <c r="CT38">
        <v>91</v>
      </c>
      <c r="CU38">
        <v>158</v>
      </c>
      <c r="CV38">
        <v>35</v>
      </c>
      <c r="CW38" t="s">
        <v>959</v>
      </c>
      <c r="CX38">
        <v>21108</v>
      </c>
      <c r="CY38">
        <v>0.3846</v>
      </c>
      <c r="CZ38">
        <v>3</v>
      </c>
      <c r="DA38">
        <v>8.5699999999999998E-2</v>
      </c>
      <c r="DB38">
        <v>1056</v>
      </c>
      <c r="DC38">
        <v>352</v>
      </c>
      <c r="DD38">
        <v>1056</v>
      </c>
      <c r="DE38">
        <v>1</v>
      </c>
      <c r="DF38">
        <v>1.0323</v>
      </c>
      <c r="DG38">
        <v>98</v>
      </c>
      <c r="DH38">
        <v>352</v>
      </c>
      <c r="DI38">
        <f>Tabla82[[#This Row],[IND_MontoPDP]]*Tabla82[[#This Row],[IND_Condonacion]]</f>
        <v>1090.1088</v>
      </c>
    </row>
    <row r="39" spans="1:113" x14ac:dyDescent="0.25">
      <c r="A39" s="34" t="str" cm="1">
        <f t="array" ref="A39">IFERROR(VLOOKUP(D1_ABRIL_2026[[#This Row],[ASESOR_CRR]],_xlfn._xlws.FILTER(PLANTILLA[[ASESOR]:[FECHA DE CESE]],PLANTILLA[FECHA]=_xlfn.CONCAT($M$3,"_",_xlfn.IFS($N$3="ENERO","1",$N$3="FEBRERO","2",$N$3="MARZO","3",$N$3="ABRIL","4",$N$3="MAYO","5",$N$3="JUNIO","6",$N$3="JULIO","7",$N$3="AGOSTO","8",$N$3="SETIEMBRE","9",$N$3="OCTUBRE","10",$N$3="NOVIEMBRE","11",$N$3="DICIEMBRE","12"))),3,0),"")</f>
        <v>LEONOR</v>
      </c>
      <c r="B39" s="34" t="str" cm="1">
        <f t="array" ref="B39">TRIM(IFERROR(_xlfn.IFS(D1_ABRIL_2026[[#This Row],[ASESOR]]="ELVIS GUERRA","ELVIS GUERRERA",D1_ABRIL_2026[[#This Row],[ASESOR]]="GENESIS VICUÑA","GENESIS VICUNA",D1_ABRIL_2026[[#This Row],[ASESOR]]="JENY QUIÑONES","JENY QUINONES",D1_ABRIL_2026[[#This Row],[ASESOR]]="NICOLE CAURURO","NICOLE CAURURO"),D1_ABRIL_2026[[#This Row],[ASESOR]]))</f>
        <v>NICOLE CAURURO</v>
      </c>
      <c r="C39" s="34" cm="1">
        <f t="array" ref="C39">_xlfn.XLOOKUP(1,(TablaMeta[CONCAT]=$M$3&amp;$N$3&amp;D1_ABRIL_2026[[#This Row],[SUPER]])*(TablaMeta[SEGG]=D1_ABRIL_2026[[#This Row],[SEGMENTO]]),TablaMeta[Meta_Asesor])</f>
        <v>16500</v>
      </c>
      <c r="D39" s="35">
        <f>IF(D1_ABRIL_2026[[#This Row],[RECUPERO]]="VACACIONES","VACACIONES",IFERROR(D1_ABRIL_2026[[#This Row],[RECUPERO]]/D1_ABRIL_2026[[#This Row],[META]],""))</f>
        <v>0.25757575757575757</v>
      </c>
      <c r="E39" s="35" t="str">
        <f>D1_ABRIL_2026[[#This Row],[SUPER]]</f>
        <v>LEONOR</v>
      </c>
      <c r="F39" t="s">
        <v>566</v>
      </c>
      <c r="G39" s="36">
        <v>4250</v>
      </c>
      <c r="H39" cm="1">
        <f t="array" ref="H39">IFERROR(VLOOKUP(D1_ABRIL_2026[[#This Row],[ASESOR_CRR]],_xlfn._xlws.FILTER(PLANTILLA[[ASESOR]:[FECHA DE CESE]],PLANTILLA[FECHA]=_xlfn.CONCAT($M$3,"_",_xlfn.IFS($N$3="ENERO","1",$N$3="FEBRERO","2",$N$3="MARZO","3",$N$3="ABRIL","4",$N$3="MAYO","5",$N$3="JUNIO","6",$N$3="JULIO","7",$N$3="AGOSTO","8",$N$3="SETIEMBRE","9",$N$3="OCTUBRE","10",$N$3="NOVIEMBRE","11",$N$3="DICIEMBRE","12"))),2,0),"")</f>
        <v>75693756</v>
      </c>
      <c r="I39" s="55" cm="1">
        <f t="array" ref="I39">IFERROR(VLOOKUP(D1_ABRIL_2026[[#This Row],[ASESOR_CRR]],_xlfn._xlws.FILTER(PLANTILLA[[ASESOR]:[FECHA DE CESE]],PLANTILLA[FECHA]=_xlfn.CONCAT($M$3,"_",_xlfn.IFS($N$3="ENERO","1",$N$3="FEBRERO","2",$N$3="MARZO","3",$N$3="ABRIL","4",$N$3="MAYO","5",$N$3="JUNIO","6",$N$3="JULIO","7",$N$3="AGOSTO","8",$N$3="SETIEMBRE","9",$N$3="OCTUBRE","10",$N$3="NOVIEMBRE","11",$N$3="DICIEMBRE","12"))),6,0),"")</f>
        <v>46084</v>
      </c>
      <c r="J39" s="55" t="str" cm="1">
        <f t="array" ref="J39">IFERROR(VLOOKUP(D1_ABRIL_2026[[#This Row],[ASESOR_CRR]],_xlfn._xlws.FILTER(PLANTILLA[[ASESOR]:[FECHA DE CESE]],PLANTILLA[FECHA]=_xlfn.CONCAT($M$3,"_",_xlfn.IFS($N$3="ENERO","1",$N$3="FEBRERO","2",$N$3="MARZO","3",$N$3="ABRIL","4",$N$3="MAYO","5",$N$3="JUNIO","6",$N$3="JULIO","7",$N$3="AGOSTO","8",$N$3="SETIEMBRE","9",$N$3="OCTUBRE","10",$N$3="NOVIEMBRE","11",$N$3="DICIEMBRE","12"))),4,0),"")</f>
        <v>CALL</v>
      </c>
      <c r="K39" s="55" t="str" cm="1">
        <f t="array" ref="K39">IFERROR(VLOOKUP(D1_ABRIL_2026[[#This Row],[ASESOR_CRR]],_xlfn._xlws.FILTER(PLANTILLA[[ASESOR]:[FECHA DE CESE]],PLANTILLA[FECHA]=_xlfn.CONCAT($M$3,"_",_xlfn.IFS($N$3="ENERO","1",$N$3="FEBRERO","2",$N$3="MARZO","3",$N$3="ABRIL","4",$N$3="MAYO","5",$N$3="JUNIO","6",$N$3="JULIO","7",$N$3="AGOSTO","8",$N$3="SETIEMBRE","9",$N$3="OCTUBRE","10",$N$3="NOVIEMBRE","11",$N$3="DICIEMBRE","12"))),8,0),"")</f>
        <v>S2-3-4 MIX</v>
      </c>
      <c r="L39" s="55"/>
      <c r="M39" s="5">
        <f>DATA_ABRIL_2026[[#This Row],[RECUPERO]]/DATA_ABRIL_2026[[#This Row],[META]]</f>
        <v>0.56547030927835051</v>
      </c>
      <c r="N39" s="5">
        <f>6-ROUNDUP(_xlfn.RANK.EQ(DATA_ABRIL_2026[[#This Row],[AL_AC]],DATA_ABRIL_2026[AL_AC],0)/(COUNTA(DATA_ABRIL_2026[AL_AC])/5),0)</f>
        <v>2</v>
      </c>
      <c r="O39" s="54" t="str">
        <f>IFERROR(VLOOKUP(DATA_ABRIL_2026[[#This Row],[ASER_]],$B:$G,4,0),"")</f>
        <v>JORGE</v>
      </c>
      <c r="P39" s="6">
        <f>SUM(DATA_ABRIL_2026[[#This Row],[1]:[30]])</f>
        <v>27425.309999999998</v>
      </c>
      <c r="Q39" s="6">
        <f>VLOOKUP(DATA_ABRIL_2026[[#This Row],[ASER_]],D1_ABRIL_2026[[ASESOR_CRR]:[META]],2,0)</f>
        <v>48500</v>
      </c>
      <c r="R39" t="s">
        <v>37</v>
      </c>
      <c r="S39">
        <v>780</v>
      </c>
      <c r="W39" s="5"/>
      <c r="X39" s="6"/>
      <c r="Y39" s="6"/>
      <c r="Z39" s="6">
        <v>2500</v>
      </c>
      <c r="AA39" s="6"/>
      <c r="AB39" s="6"/>
      <c r="AC39" s="6"/>
      <c r="AD39" s="6"/>
      <c r="AE39" s="6"/>
      <c r="AF39" s="6">
        <v>1750</v>
      </c>
      <c r="AG39" s="6"/>
      <c r="AH39" s="6">
        <v>250</v>
      </c>
      <c r="AI39" s="6">
        <v>350</v>
      </c>
      <c r="AJ39" s="6"/>
      <c r="AK39" s="6">
        <v>4007</v>
      </c>
      <c r="AL39" s="6">
        <v>300</v>
      </c>
      <c r="AM39" s="6"/>
      <c r="AN39" s="6"/>
      <c r="AO39" s="6"/>
      <c r="AP39" s="6"/>
      <c r="AQ39" s="6">
        <v>4988.3099999999995</v>
      </c>
      <c r="AR39" s="6">
        <v>12500</v>
      </c>
      <c r="AS39" s="54" t="str" cm="1">
        <f t="array" ref="AS39">IFERROR(VLOOKUP(DATA_ABRIL_2026[[#This Row],[ASER_]],_xlfn._xlws.FILTER(PLANTILLA[[ASESOR]:[FECHA DE CESE]],PLANTILLA[FECHA]=_xlfn.CONCAT($M$3,"_",_xlfn.IFS($N$3="ENERO","1",$N$3="FEBRERO","2",$N$3="MARZO","3",$N$3="ABRIL","4",$N$3="MAYO","5",$N$3="JUNIO","6",$N$3="JULIO","7",$N$3="AGOSTO","8",$N$3="SETIEMBRE","9",$N$3="OCTUBRE","10",$N$3="NOVIEMBRE","11",$N$3="DICIEMBRE","12"))),8,0),"")</f>
        <v>S1</v>
      </c>
      <c r="AX39" s="45"/>
      <c r="AY39" s="45"/>
      <c r="AZ39" s="45"/>
      <c r="BA39" s="45"/>
      <c r="BB39" s="45"/>
      <c r="BC39" s="45"/>
      <c r="BD39" s="45"/>
      <c r="BE39" s="45"/>
      <c r="BF39" s="45"/>
      <c r="BG39" s="45"/>
      <c r="BH39" s="45"/>
      <c r="CG39" t="s">
        <v>636</v>
      </c>
      <c r="CH39" t="s">
        <v>3</v>
      </c>
      <c r="CI39" t="s">
        <v>174</v>
      </c>
      <c r="CJ39">
        <v>46132</v>
      </c>
      <c r="CK39">
        <v>1</v>
      </c>
      <c r="CL39">
        <v>1</v>
      </c>
      <c r="CN39">
        <v>1</v>
      </c>
      <c r="CP39">
        <v>3.1712962962962962E-3</v>
      </c>
      <c r="CQ39">
        <v>3.1712962962962962E-3</v>
      </c>
      <c r="CR39">
        <v>0.16233796296296296</v>
      </c>
      <c r="CS39">
        <v>0.18406249999999999</v>
      </c>
      <c r="CT39">
        <v>126</v>
      </c>
      <c r="CU39">
        <v>195</v>
      </c>
      <c r="CV39">
        <v>23</v>
      </c>
      <c r="CW39" t="s">
        <v>854</v>
      </c>
      <c r="CX39">
        <v>18224</v>
      </c>
      <c r="CY39">
        <v>0.1825</v>
      </c>
      <c r="CZ39">
        <v>2</v>
      </c>
      <c r="DA39">
        <v>8.6999999999999994E-2</v>
      </c>
      <c r="DB39">
        <v>2250</v>
      </c>
      <c r="DC39">
        <v>1125</v>
      </c>
      <c r="DD39">
        <v>2250</v>
      </c>
      <c r="DE39">
        <v>1</v>
      </c>
      <c r="DF39">
        <v>0.50139999999999996</v>
      </c>
      <c r="DG39">
        <v>98</v>
      </c>
      <c r="DH39">
        <v>1125</v>
      </c>
      <c r="DI39">
        <f>Tabla82[[#This Row],[IND_MontoPDP]]*Tabla82[[#This Row],[IND_Condonacion]]</f>
        <v>1128.1499999999999</v>
      </c>
    </row>
    <row r="40" spans="1:113" x14ac:dyDescent="0.25">
      <c r="A40" s="34" t="str" cm="1">
        <f t="array" ref="A40">IFERROR(VLOOKUP(D1_ABRIL_2026[[#This Row],[ASESOR_CRR]],_xlfn._xlws.FILTER(PLANTILLA[[ASESOR]:[FECHA DE CESE]],PLANTILLA[FECHA]=_xlfn.CONCAT($M$3,"_",_xlfn.IFS($N$3="ENERO","1",$N$3="FEBRERO","2",$N$3="MARZO","3",$N$3="ABRIL","4",$N$3="MAYO","5",$N$3="JUNIO","6",$N$3="JULIO","7",$N$3="AGOSTO","8",$N$3="SETIEMBRE","9",$N$3="OCTUBRE","10",$N$3="NOVIEMBRE","11",$N$3="DICIEMBRE","12"))),3,0),"")</f>
        <v>LEONOR</v>
      </c>
      <c r="B40" s="34" t="str" cm="1">
        <f t="array" ref="B40">TRIM(IFERROR(_xlfn.IFS(D1_ABRIL_2026[[#This Row],[ASESOR]]="ELVIS GUERRA","ELVIS GUERRERA",D1_ABRIL_2026[[#This Row],[ASESOR]]="GENESIS VICUÑA","GENESIS VICUNA",D1_ABRIL_2026[[#This Row],[ASESOR]]="JENY QUIÑONES","JENY QUINONES",D1_ABRIL_2026[[#This Row],[ASESOR]]="NICOLE CAURURO","NICOLE CAURURO"),D1_ABRIL_2026[[#This Row],[ASESOR]]))</f>
        <v>FERNANDA APAZA</v>
      </c>
      <c r="C40" s="34" cm="1">
        <f t="array" ref="C40">_xlfn.XLOOKUP(1,(TablaMeta[CONCAT]=$M$3&amp;$N$3&amp;D1_ABRIL_2026[[#This Row],[SUPER]])*(TablaMeta[SEGG]=D1_ABRIL_2026[[#This Row],[SEGMENTO]]),TablaMeta[Meta_Asesor])</f>
        <v>25000</v>
      </c>
      <c r="D40" s="35">
        <f>IF(D1_ABRIL_2026[[#This Row],[RECUPERO]]="VACACIONES","VACACIONES",IFERROR(D1_ABRIL_2026[[#This Row],[RECUPERO]]/D1_ABRIL_2026[[#This Row],[META]],""))</f>
        <v>0.04</v>
      </c>
      <c r="E40" s="35" t="str">
        <f>D1_ABRIL_2026[[#This Row],[SUPER]]</f>
        <v>LEONOR</v>
      </c>
      <c r="F40" t="s">
        <v>600</v>
      </c>
      <c r="G40" s="36">
        <v>1000</v>
      </c>
      <c r="H40" cm="1">
        <f t="array" ref="H40">IFERROR(VLOOKUP(D1_ABRIL_2026[[#This Row],[ASESOR_CRR]],_xlfn._xlws.FILTER(PLANTILLA[[ASESOR]:[FECHA DE CESE]],PLANTILLA[FECHA]=_xlfn.CONCAT($M$3,"_",_xlfn.IFS($N$3="ENERO","1",$N$3="FEBRERO","2",$N$3="MARZO","3",$N$3="ABRIL","4",$N$3="MAYO","5",$N$3="JUNIO","6",$N$3="JULIO","7",$N$3="AGOSTO","8",$N$3="SETIEMBRE","9",$N$3="OCTUBRE","10",$N$3="NOVIEMBRE","11",$N$3="DICIEMBRE","12"))),2,0),"")</f>
        <v>73623874</v>
      </c>
      <c r="I40" s="55" cm="1">
        <f t="array" ref="I40">IFERROR(VLOOKUP(D1_ABRIL_2026[[#This Row],[ASESOR_CRR]],_xlfn._xlws.FILTER(PLANTILLA[[ASESOR]:[FECHA DE CESE]],PLANTILLA[FECHA]=_xlfn.CONCAT($M$3,"_",_xlfn.IFS($N$3="ENERO","1",$N$3="FEBRERO","2",$N$3="MARZO","3",$N$3="ABRIL","4",$N$3="MAYO","5",$N$3="JUNIO","6",$N$3="JULIO","7",$N$3="AGOSTO","8",$N$3="SETIEMBRE","9",$N$3="OCTUBRE","10",$N$3="NOVIEMBRE","11",$N$3="DICIEMBRE","12"))),6,0),"")</f>
        <v>46139</v>
      </c>
      <c r="J40" s="55" t="str" cm="1">
        <f t="array" ref="J40">IFERROR(VLOOKUP(D1_ABRIL_2026[[#This Row],[ASESOR_CRR]],_xlfn._xlws.FILTER(PLANTILLA[[ASESOR]:[FECHA DE CESE]],PLANTILLA[FECHA]=_xlfn.CONCAT($M$3,"_",_xlfn.IFS($N$3="ENERO","1",$N$3="FEBRERO","2",$N$3="MARZO","3",$N$3="ABRIL","4",$N$3="MAYO","5",$N$3="JUNIO","6",$N$3="JULIO","7",$N$3="AGOSTO","8",$N$3="SETIEMBRE","9",$N$3="OCTUBRE","10",$N$3="NOVIEMBRE","11",$N$3="DICIEMBRE","12"))),4,0),"")</f>
        <v>CALL</v>
      </c>
      <c r="K40" s="55" t="str" cm="1">
        <f t="array" ref="K40">IFERROR(VLOOKUP(D1_ABRIL_2026[[#This Row],[ASESOR_CRR]],_xlfn._xlws.FILTER(PLANTILLA[[ASESOR]:[FECHA DE CESE]],PLANTILLA[FECHA]=_xlfn.CONCAT($M$3,"_",_xlfn.IFS($N$3="ENERO","1",$N$3="FEBRERO","2",$N$3="MARZO","3",$N$3="ABRIL","4",$N$3="MAYO","5",$N$3="JUNIO","6",$N$3="JULIO","7",$N$3="AGOSTO","8",$N$3="SETIEMBRE","9",$N$3="OCTUBRE","10",$N$3="NOVIEMBRE","11",$N$3="DICIEMBRE","12"))),8,0),"")</f>
        <v>S2-3-4 BANCO</v>
      </c>
      <c r="L40" s="55"/>
      <c r="M40" s="5">
        <f>DATA_ABRIL_2026[[#This Row],[RECUPERO]]/DATA_ABRIL_2026[[#This Row],[META]]</f>
        <v>0.89684848484848489</v>
      </c>
      <c r="N40" s="5">
        <f>6-ROUNDUP(_xlfn.RANK.EQ(DATA_ABRIL_2026[[#This Row],[AL_AC]],DATA_ABRIL_2026[AL_AC],0)/(COUNTA(DATA_ABRIL_2026[AL_AC])/5),0)</f>
        <v>3</v>
      </c>
      <c r="O40" s="54" t="str">
        <f>IFERROR(VLOOKUP(DATA_ABRIL_2026[[#This Row],[ASER_]],$B:$G,4,0),"")</f>
        <v>LEONOR</v>
      </c>
      <c r="P40" s="6">
        <f>SUM(DATA_ABRIL_2026[[#This Row],[1]:[30]])</f>
        <v>14798</v>
      </c>
      <c r="Q40" s="6">
        <f>VLOOKUP(DATA_ABRIL_2026[[#This Row],[ASER_]],D1_ABRIL_2026[[ASESOR_CRR]:[META]],2,0)</f>
        <v>16500</v>
      </c>
      <c r="R40" t="s">
        <v>549</v>
      </c>
      <c r="S40">
        <v>1800</v>
      </c>
      <c r="V40">
        <v>874</v>
      </c>
      <c r="X40" s="5">
        <v>474</v>
      </c>
      <c r="Y40" s="6">
        <v>150</v>
      </c>
      <c r="Z40" s="6"/>
      <c r="AA40" s="6"/>
      <c r="AB40" s="6">
        <v>2000</v>
      </c>
      <c r="AC40" s="6">
        <v>3000</v>
      </c>
      <c r="AD40" s="6"/>
      <c r="AE40" s="6">
        <v>600</v>
      </c>
      <c r="AF40" s="6"/>
      <c r="AG40" s="6"/>
      <c r="AH40" s="6"/>
      <c r="AI40" s="6">
        <v>1200</v>
      </c>
      <c r="AJ40" s="6">
        <v>1500</v>
      </c>
      <c r="AK40" s="6"/>
      <c r="AL40" s="6"/>
      <c r="AM40" s="6"/>
      <c r="AN40" s="6"/>
      <c r="AO40" s="6">
        <v>200</v>
      </c>
      <c r="AP40" s="6">
        <v>2000</v>
      </c>
      <c r="AQ40" s="6"/>
      <c r="AR40" s="6">
        <v>1000</v>
      </c>
      <c r="AS40" s="54" t="str" cm="1">
        <f t="array" ref="AS40">IFERROR(VLOOKUP(DATA_ABRIL_2026[[#This Row],[ASER_]],_xlfn._xlws.FILTER(PLANTILLA[[ASESOR]:[FECHA DE CESE]],PLANTILLA[FECHA]=_xlfn.CONCAT($M$3,"_",_xlfn.IFS($N$3="ENERO","1",$N$3="FEBRERO","2",$N$3="MARZO","3",$N$3="ABRIL","4",$N$3="MAYO","5",$N$3="JUNIO","6",$N$3="JULIO","7",$N$3="AGOSTO","8",$N$3="SETIEMBRE","9",$N$3="OCTUBRE","10",$N$3="NOVIEMBRE","11",$N$3="DICIEMBRE","12"))),8,0),"")</f>
        <v>S2-3-4 MIX</v>
      </c>
      <c r="AX40" s="45"/>
      <c r="AY40" s="45"/>
      <c r="AZ40" s="45"/>
      <c r="BA40" s="45"/>
      <c r="BB40" s="45"/>
      <c r="BC40" s="45"/>
      <c r="BD40" s="45"/>
      <c r="BE40" s="45"/>
      <c r="BF40" s="45"/>
      <c r="BG40" s="45"/>
      <c r="BH40" s="45"/>
      <c r="CG40" t="s">
        <v>636</v>
      </c>
      <c r="CH40" t="s">
        <v>3</v>
      </c>
      <c r="CI40" t="s">
        <v>174</v>
      </c>
      <c r="CJ40">
        <v>46140</v>
      </c>
      <c r="CK40">
        <v>1</v>
      </c>
      <c r="CL40">
        <v>1</v>
      </c>
      <c r="CN40">
        <v>1</v>
      </c>
      <c r="CP40">
        <v>3.4722222222222222E-5</v>
      </c>
      <c r="CQ40">
        <v>3.4722222222222222E-5</v>
      </c>
      <c r="CR40">
        <v>0.17877314814814815</v>
      </c>
      <c r="CS40">
        <v>0.14982638888888888</v>
      </c>
      <c r="CT40">
        <v>150</v>
      </c>
      <c r="CU40">
        <v>218</v>
      </c>
      <c r="CV40">
        <v>21</v>
      </c>
      <c r="CW40">
        <v>2</v>
      </c>
      <c r="CX40">
        <v>15736</v>
      </c>
      <c r="CY40">
        <v>0.14000000000000001</v>
      </c>
      <c r="CZ40">
        <v>1</v>
      </c>
      <c r="DA40">
        <v>4.7600000000000003E-2</v>
      </c>
      <c r="DB40">
        <v>1000</v>
      </c>
      <c r="DC40">
        <v>1000</v>
      </c>
      <c r="DD40">
        <v>1000</v>
      </c>
      <c r="DE40">
        <v>1</v>
      </c>
      <c r="DF40">
        <v>0.2198</v>
      </c>
      <c r="DG40">
        <v>98</v>
      </c>
      <c r="DH40">
        <v>1000</v>
      </c>
      <c r="DI40">
        <f>Tabla82[[#This Row],[IND_MontoPDP]]*Tabla82[[#This Row],[IND_Condonacion]]</f>
        <v>219.79999999999998</v>
      </c>
    </row>
    <row r="41" spans="1:113" x14ac:dyDescent="0.25">
      <c r="A41" s="34" t="str" cm="1">
        <f t="array" ref="A41">IFERROR(VLOOKUP(D1_ABRIL_2026[[#This Row],[ASESOR_CRR]],_xlfn._xlws.FILTER(PLANTILLA[[ASESOR]:[FECHA DE CESE]],PLANTILLA[FECHA]=_xlfn.CONCAT($M$3,"_",_xlfn.IFS($N$3="ENERO","1",$N$3="FEBRERO","2",$N$3="MARZO","3",$N$3="ABRIL","4",$N$3="MAYO","5",$N$3="JUNIO","6",$N$3="JULIO","7",$N$3="AGOSTO","8",$N$3="SETIEMBRE","9",$N$3="OCTUBRE","10",$N$3="NOVIEMBRE","11",$N$3="DICIEMBRE","12"))),3,0),"")</f>
        <v>JOHAN</v>
      </c>
      <c r="B41" s="34" t="str" cm="1">
        <f t="array" ref="B41">TRIM(IFERROR(_xlfn.IFS(D1_ABRIL_2026[[#This Row],[ASESOR]]="ELVIS GUERRA","ELVIS GUERRERA",D1_ABRIL_2026[[#This Row],[ASESOR]]="GENESIS VICUÑA","GENESIS VICUNA",D1_ABRIL_2026[[#This Row],[ASESOR]]="JENY QUIÑONES","JENY QUINONES",D1_ABRIL_2026[[#This Row],[ASESOR]]="NICOLE CAURURO","NICOLE CAURURO"),D1_ABRIL_2026[[#This Row],[ASESOR]]))</f>
        <v>PIERINA TESEN</v>
      </c>
      <c r="C41" s="34" cm="1">
        <f t="array" ref="C41">_xlfn.XLOOKUP(1,(TablaMeta[CONCAT]=$M$3&amp;$N$3&amp;D1_ABRIL_2026[[#This Row],[SUPER]])*(TablaMeta[SEGG]=D1_ABRIL_2026[[#This Row],[SEGMENTO]]),TablaMeta[Meta_Asesor])</f>
        <v>48500</v>
      </c>
      <c r="D41" s="35">
        <f>IF(D1_ABRIL_2026[[#This Row],[RECUPERO]]="VACACIONES","VACACIONES",IFERROR(D1_ABRIL_2026[[#This Row],[RECUPERO]]/D1_ABRIL_2026[[#This Row],[META]],""))</f>
        <v>2.2298041237113404</v>
      </c>
      <c r="E41" s="35" t="str">
        <f>D1_ABRIL_2026[[#This Row],[SUPER]]</f>
        <v>JOHAN</v>
      </c>
      <c r="F41" t="s">
        <v>59</v>
      </c>
      <c r="G41" s="36">
        <v>108145.5</v>
      </c>
      <c r="H41" cm="1">
        <f t="array" ref="H41">IFERROR(VLOOKUP(D1_ABRIL_2026[[#This Row],[ASESOR_CRR]],_xlfn._xlws.FILTER(PLANTILLA[[ASESOR]:[FECHA DE CESE]],PLANTILLA[FECHA]=_xlfn.CONCAT($M$3,"_",_xlfn.IFS($N$3="ENERO","1",$N$3="FEBRERO","2",$N$3="MARZO","3",$N$3="ABRIL","4",$N$3="MAYO","5",$N$3="JUNIO","6",$N$3="JULIO","7",$N$3="AGOSTO","8",$N$3="SETIEMBRE","9",$N$3="OCTUBRE","10",$N$3="NOVIEMBRE","11",$N$3="DICIEMBRE","12"))),2,0),"")</f>
        <v>60870839</v>
      </c>
      <c r="I41" s="55" cm="1">
        <f t="array" ref="I41">IFERROR(VLOOKUP(D1_ABRIL_2026[[#This Row],[ASESOR_CRR]],_xlfn._xlws.FILTER(PLANTILLA[[ASESOR]:[FECHA DE CESE]],PLANTILLA[FECHA]=_xlfn.CONCAT($M$3,"_",_xlfn.IFS($N$3="ENERO","1",$N$3="FEBRERO","2",$N$3="MARZO","3",$N$3="ABRIL","4",$N$3="MAYO","5",$N$3="JUNIO","6",$N$3="JULIO","7",$N$3="AGOSTO","8",$N$3="SETIEMBRE","9",$N$3="OCTUBRE","10",$N$3="NOVIEMBRE","11",$N$3="DICIEMBRE","12"))),6,0),"")</f>
        <v>45344</v>
      </c>
      <c r="J41" s="55" t="str" cm="1">
        <f t="array" ref="J41">IFERROR(VLOOKUP(D1_ABRIL_2026[[#This Row],[ASESOR_CRR]],_xlfn._xlws.FILTER(PLANTILLA[[ASESOR]:[FECHA DE CESE]],PLANTILLA[FECHA]=_xlfn.CONCAT($M$3,"_",_xlfn.IFS($N$3="ENERO","1",$N$3="FEBRERO","2",$N$3="MARZO","3",$N$3="ABRIL","4",$N$3="MAYO","5",$N$3="JUNIO","6",$N$3="JULIO","7",$N$3="AGOSTO","8",$N$3="SETIEMBRE","9",$N$3="OCTUBRE","10",$N$3="NOVIEMBRE","11",$N$3="DICIEMBRE","12"))),4,0),"")</f>
        <v>CALL</v>
      </c>
      <c r="K41" s="55" t="str" cm="1">
        <f t="array" ref="K41">IFERROR(VLOOKUP(D1_ABRIL_2026[[#This Row],[ASESOR_CRR]],_xlfn._xlws.FILTER(PLANTILLA[[ASESOR]:[FECHA DE CESE]],PLANTILLA[FECHA]=_xlfn.CONCAT($M$3,"_",_xlfn.IFS($N$3="ENERO","1",$N$3="FEBRERO","2",$N$3="MARZO","3",$N$3="ABRIL","4",$N$3="MAYO","5",$N$3="JUNIO","6",$N$3="JULIO","7",$N$3="AGOSTO","8",$N$3="SETIEMBRE","9",$N$3="OCTUBRE","10",$N$3="NOVIEMBRE","11",$N$3="DICIEMBRE","12"))),8,0),"")</f>
        <v>S1</v>
      </c>
      <c r="L41" s="55"/>
      <c r="M41" s="5">
        <f>DATA_ABRIL_2026[[#This Row],[RECUPERO]]/DATA_ABRIL_2026[[#This Row],[META]]</f>
        <v>1.85192</v>
      </c>
      <c r="N41" s="5">
        <f>6-ROUNDUP(_xlfn.RANK.EQ(DATA_ABRIL_2026[[#This Row],[AL_AC]],DATA_ABRIL_2026[AL_AC],0)/(COUNTA(DATA_ABRIL_2026[AL_AC])/5),0)</f>
        <v>5</v>
      </c>
      <c r="O41" s="54" t="str">
        <f>IFERROR(VLOOKUP(DATA_ABRIL_2026[[#This Row],[ASER_]],$B:$G,4,0),"")</f>
        <v>LEONOR</v>
      </c>
      <c r="P41" s="6">
        <f>SUM(DATA_ABRIL_2026[[#This Row],[1]:[30]])</f>
        <v>46298</v>
      </c>
      <c r="Q41" s="6">
        <f>VLOOKUP(DATA_ABRIL_2026[[#This Row],[ASER_]],D1_ABRIL_2026[[ASESOR_CRR]:[META]],2,0)</f>
        <v>25000</v>
      </c>
      <c r="R41" t="s">
        <v>77</v>
      </c>
      <c r="S41">
        <v>350</v>
      </c>
      <c r="V41">
        <v>265</v>
      </c>
      <c r="X41" s="5"/>
      <c r="Y41" s="6">
        <v>2500</v>
      </c>
      <c r="Z41" s="6"/>
      <c r="AA41" s="6"/>
      <c r="AB41" s="6">
        <v>1567</v>
      </c>
      <c r="AC41" s="6">
        <v>2538</v>
      </c>
      <c r="AD41" s="6">
        <v>800</v>
      </c>
      <c r="AE41" s="6">
        <v>3739</v>
      </c>
      <c r="AF41" s="6">
        <v>1200</v>
      </c>
      <c r="AG41" s="6"/>
      <c r="AH41" s="6">
        <v>9644</v>
      </c>
      <c r="AI41" s="6">
        <v>5953</v>
      </c>
      <c r="AJ41" s="6">
        <v>3100</v>
      </c>
      <c r="AK41" s="6">
        <v>5000</v>
      </c>
      <c r="AL41" s="6"/>
      <c r="AM41" s="6"/>
      <c r="AN41" s="6"/>
      <c r="AO41" s="6"/>
      <c r="AP41" s="6">
        <v>2100</v>
      </c>
      <c r="AQ41" s="6">
        <v>3800</v>
      </c>
      <c r="AR41" s="6">
        <v>3742</v>
      </c>
      <c r="AS41" s="54" t="str" cm="1">
        <f t="array" ref="AS41">IFERROR(VLOOKUP(DATA_ABRIL_2026[[#This Row],[ASER_]],_xlfn._xlws.FILTER(PLANTILLA[[ASESOR]:[FECHA DE CESE]],PLANTILLA[FECHA]=_xlfn.CONCAT($M$3,"_",_xlfn.IFS($N$3="ENERO","1",$N$3="FEBRERO","2",$N$3="MARZO","3",$N$3="ABRIL","4",$N$3="MAYO","5",$N$3="JUNIO","6",$N$3="JULIO","7",$N$3="AGOSTO","8",$N$3="SETIEMBRE","9",$N$3="OCTUBRE","10",$N$3="NOVIEMBRE","11",$N$3="DICIEMBRE","12"))),8,0),"")</f>
        <v>S2-3-4 BANCO</v>
      </c>
      <c r="AX41" s="45"/>
      <c r="AY41" s="45"/>
      <c r="AZ41" s="45"/>
      <c r="BA41" s="45"/>
      <c r="BB41" s="45"/>
      <c r="BC41" s="45"/>
      <c r="BD41" s="45"/>
      <c r="BE41" s="45"/>
      <c r="BF41" s="45"/>
      <c r="BG41" s="45"/>
      <c r="BH41" s="45"/>
      <c r="CG41" t="s">
        <v>636</v>
      </c>
      <c r="CH41" t="s">
        <v>3</v>
      </c>
      <c r="CI41" t="s">
        <v>493</v>
      </c>
      <c r="CJ41">
        <v>46135</v>
      </c>
      <c r="CK41">
        <v>1</v>
      </c>
      <c r="CL41">
        <v>1</v>
      </c>
      <c r="CN41">
        <v>1</v>
      </c>
      <c r="CP41">
        <v>0</v>
      </c>
      <c r="CQ41">
        <v>0</v>
      </c>
      <c r="CR41">
        <v>0.20510416666666667</v>
      </c>
      <c r="CS41">
        <v>0.14408564814814814</v>
      </c>
      <c r="CT41">
        <v>137</v>
      </c>
      <c r="CU41">
        <v>234</v>
      </c>
      <c r="CV41">
        <v>22</v>
      </c>
      <c r="CW41" t="s">
        <v>698</v>
      </c>
      <c r="CX41">
        <v>13629</v>
      </c>
      <c r="CY41">
        <v>0.16059999999999999</v>
      </c>
      <c r="CZ41">
        <v>2</v>
      </c>
      <c r="DA41">
        <v>9.0899999999999995E-2</v>
      </c>
      <c r="DB41">
        <v>1000</v>
      </c>
      <c r="DC41">
        <v>500</v>
      </c>
      <c r="DD41">
        <v>1000</v>
      </c>
      <c r="DE41">
        <v>1</v>
      </c>
      <c r="DF41">
        <v>0.33679999999999999</v>
      </c>
      <c r="DG41">
        <v>98</v>
      </c>
      <c r="DH41">
        <v>500</v>
      </c>
      <c r="DI41">
        <f>Tabla82[[#This Row],[IND_MontoPDP]]*Tabla82[[#This Row],[IND_Condonacion]]</f>
        <v>336.8</v>
      </c>
    </row>
    <row r="42" spans="1:113" x14ac:dyDescent="0.25">
      <c r="A42" s="34" t="str" cm="1">
        <f t="array" ref="A42">IFERROR(VLOOKUP(D1_ABRIL_2026[[#This Row],[ASESOR_CRR]],_xlfn._xlws.FILTER(PLANTILLA[[ASESOR]:[FECHA DE CESE]],PLANTILLA[FECHA]=_xlfn.CONCAT($M$3,"_",_xlfn.IFS($N$3="ENERO","1",$N$3="FEBRERO","2",$N$3="MARZO","3",$N$3="ABRIL","4",$N$3="MAYO","5",$N$3="JUNIO","6",$N$3="JULIO","7",$N$3="AGOSTO","8",$N$3="SETIEMBRE","9",$N$3="OCTUBRE","10",$N$3="NOVIEMBRE","11",$N$3="DICIEMBRE","12"))),3,0),"")</f>
        <v>JOHAN</v>
      </c>
      <c r="B42" s="34" t="str" cm="1">
        <f t="array" ref="B42">TRIM(IFERROR(_xlfn.IFS(D1_ABRIL_2026[[#This Row],[ASESOR]]="ELVIS GUERRA","ELVIS GUERRERA",D1_ABRIL_2026[[#This Row],[ASESOR]]="GENESIS VICUÑA","GENESIS VICUNA",D1_ABRIL_2026[[#This Row],[ASESOR]]="JENY QUIÑONES","JENY QUINONES",D1_ABRIL_2026[[#This Row],[ASESOR]]="NICOLE CAURURO","NICOLE CAURURO"),D1_ABRIL_2026[[#This Row],[ASESOR]]))</f>
        <v>CRISTINA TICONA</v>
      </c>
      <c r="C42" s="34" cm="1">
        <f t="array" ref="C42">_xlfn.XLOOKUP(1,(TablaMeta[CONCAT]=$M$3&amp;$N$3&amp;D1_ABRIL_2026[[#This Row],[SUPER]])*(TablaMeta[SEGG]=D1_ABRIL_2026[[#This Row],[SEGMENTO]]),TablaMeta[Meta_Asesor])</f>
        <v>48500</v>
      </c>
      <c r="D42" s="35">
        <f>IF(D1_ABRIL_2026[[#This Row],[RECUPERO]]="VACACIONES","VACACIONES",IFERROR(D1_ABRIL_2026[[#This Row],[RECUPERO]]/D1_ABRIL_2026[[#This Row],[META]],""))</f>
        <v>1.1284329896907217</v>
      </c>
      <c r="E42" s="35" t="str">
        <f>D1_ABRIL_2026[[#This Row],[SUPER]]</f>
        <v>JOHAN</v>
      </c>
      <c r="F42" t="s">
        <v>61</v>
      </c>
      <c r="G42" s="36">
        <v>54729</v>
      </c>
      <c r="H42" cm="1">
        <f t="array" ref="H42">IFERROR(VLOOKUP(D1_ABRIL_2026[[#This Row],[ASESOR_CRR]],_xlfn._xlws.FILTER(PLANTILLA[[ASESOR]:[FECHA DE CESE]],PLANTILLA[FECHA]=_xlfn.CONCAT($M$3,"_",_xlfn.IFS($N$3="ENERO","1",$N$3="FEBRERO","2",$N$3="MARZO","3",$N$3="ABRIL","4",$N$3="MAYO","5",$N$3="JUNIO","6",$N$3="JULIO","7",$N$3="AGOSTO","8",$N$3="SETIEMBRE","9",$N$3="OCTUBRE","10",$N$3="NOVIEMBRE","11",$N$3="DICIEMBRE","12"))),2,0),"")</f>
        <v>44001162</v>
      </c>
      <c r="I42" s="55" cm="1">
        <f t="array" ref="I42">IFERROR(VLOOKUP(D1_ABRIL_2026[[#This Row],[ASESOR_CRR]],_xlfn._xlws.FILTER(PLANTILLA[[ASESOR]:[FECHA DE CESE]],PLANTILLA[FECHA]=_xlfn.CONCAT($M$3,"_",_xlfn.IFS($N$3="ENERO","1",$N$3="FEBRERO","2",$N$3="MARZO","3",$N$3="ABRIL","4",$N$3="MAYO","5",$N$3="JUNIO","6",$N$3="JULIO","7",$N$3="AGOSTO","8",$N$3="SETIEMBRE","9",$N$3="OCTUBRE","10",$N$3="NOVIEMBRE","11",$N$3="DICIEMBRE","12"))),6,0),"")</f>
        <v>44907</v>
      </c>
      <c r="J42" s="55" t="str" cm="1">
        <f t="array" ref="J42">IFERROR(VLOOKUP(D1_ABRIL_2026[[#This Row],[ASESOR_CRR]],_xlfn._xlws.FILTER(PLANTILLA[[ASESOR]:[FECHA DE CESE]],PLANTILLA[FECHA]=_xlfn.CONCAT($M$3,"_",_xlfn.IFS($N$3="ENERO","1",$N$3="FEBRERO","2",$N$3="MARZO","3",$N$3="ABRIL","4",$N$3="MAYO","5",$N$3="JUNIO","6",$N$3="JULIO","7",$N$3="AGOSTO","8",$N$3="SETIEMBRE","9",$N$3="OCTUBRE","10",$N$3="NOVIEMBRE","11",$N$3="DICIEMBRE","12"))),4,0),"")</f>
        <v>CALL</v>
      </c>
      <c r="K42" s="55" t="str" cm="1">
        <f t="array" ref="K42">IFERROR(VLOOKUP(D1_ABRIL_2026[[#This Row],[ASESOR_CRR]],_xlfn._xlws.FILTER(PLANTILLA[[ASESOR]:[FECHA DE CESE]],PLANTILLA[FECHA]=_xlfn.CONCAT($M$3,"_",_xlfn.IFS($N$3="ENERO","1",$N$3="FEBRERO","2",$N$3="MARZO","3",$N$3="ABRIL","4",$N$3="MAYO","5",$N$3="JUNIO","6",$N$3="JULIO","7",$N$3="AGOSTO","8",$N$3="SETIEMBRE","9",$N$3="OCTUBRE","10",$N$3="NOVIEMBRE","11",$N$3="DICIEMBRE","12"))),8,0),"")</f>
        <v>S1</v>
      </c>
      <c r="L42" s="55"/>
      <c r="M42" s="5">
        <f>DATA_ABRIL_2026[[#This Row],[RECUPERO]]/DATA_ABRIL_2026[[#This Row],[META]]</f>
        <v>0.70242307692307693</v>
      </c>
      <c r="N42" s="5">
        <f>6-ROUNDUP(_xlfn.RANK.EQ(DATA_ABRIL_2026[[#This Row],[AL_AC]],DATA_ABRIL_2026[AL_AC],0)/(COUNTA(DATA_ABRIL_2026[AL_AC])/5),0)</f>
        <v>2</v>
      </c>
      <c r="O42" s="54" t="str">
        <f>IFERROR(VLOOKUP(DATA_ABRIL_2026[[#This Row],[ASER_]],$B:$G,4,0),"")</f>
        <v>KENNETH</v>
      </c>
      <c r="P42" s="6">
        <f>SUM(DATA_ABRIL_2026[[#This Row],[1]:[30]])</f>
        <v>36526</v>
      </c>
      <c r="Q42" s="6">
        <f>VLOOKUP(DATA_ABRIL_2026[[#This Row],[ASER_]],D1_ABRIL_2026[[ASESOR_CRR]:[META]],2,0)</f>
        <v>52000</v>
      </c>
      <c r="R42" t="s">
        <v>35</v>
      </c>
      <c r="S42">
        <v>1403</v>
      </c>
      <c r="V42">
        <v>2806</v>
      </c>
      <c r="X42" s="5"/>
      <c r="Y42" s="6"/>
      <c r="Z42" s="6"/>
      <c r="AA42" s="6"/>
      <c r="AB42" s="6">
        <v>800</v>
      </c>
      <c r="AC42" s="6">
        <v>4000</v>
      </c>
      <c r="AD42" s="6">
        <v>470</v>
      </c>
      <c r="AE42" s="6">
        <v>700</v>
      </c>
      <c r="AF42" s="6">
        <v>2000</v>
      </c>
      <c r="AG42" s="6"/>
      <c r="AH42" s="6">
        <v>1600</v>
      </c>
      <c r="AI42" s="6">
        <v>320</v>
      </c>
      <c r="AJ42" s="6"/>
      <c r="AK42" s="6">
        <v>200</v>
      </c>
      <c r="AL42" s="6">
        <v>200</v>
      </c>
      <c r="AM42" s="6">
        <v>700</v>
      </c>
      <c r="AN42" s="6"/>
      <c r="AO42" s="6"/>
      <c r="AP42" s="6">
        <v>3100</v>
      </c>
      <c r="AQ42" s="6">
        <v>8000</v>
      </c>
      <c r="AR42" s="6">
        <v>10227</v>
      </c>
      <c r="AS42" s="54" t="str" cm="1">
        <f t="array" ref="AS42">IFERROR(VLOOKUP(DATA_ABRIL_2026[[#This Row],[ASER_]],_xlfn._xlws.FILTER(PLANTILLA[[ASESOR]:[FECHA DE CESE]],PLANTILLA[FECHA]=_xlfn.CONCAT($M$3,"_",_xlfn.IFS($N$3="ENERO","1",$N$3="FEBRERO","2",$N$3="MARZO","3",$N$3="ABRIL","4",$N$3="MAYO","5",$N$3="JUNIO","6",$N$3="JULIO","7",$N$3="AGOSTO","8",$N$3="SETIEMBRE","9",$N$3="OCTUBRE","10",$N$3="NOVIEMBRE","11",$N$3="DICIEMBRE","12"))),8,0),"")</f>
        <v>S0</v>
      </c>
      <c r="AX42" s="45"/>
      <c r="AY42" s="45"/>
      <c r="AZ42" s="45"/>
      <c r="BA42" s="45"/>
      <c r="BB42" s="45"/>
      <c r="BC42" s="45"/>
      <c r="BD42" s="45"/>
      <c r="BE42" s="45"/>
      <c r="BF42" s="45"/>
      <c r="BG42" s="45"/>
      <c r="BH42" s="45"/>
      <c r="CG42" t="s">
        <v>636</v>
      </c>
      <c r="CH42" t="s">
        <v>3</v>
      </c>
      <c r="CI42" t="s">
        <v>29</v>
      </c>
      <c r="CJ42">
        <v>46122</v>
      </c>
      <c r="CK42">
        <v>1</v>
      </c>
      <c r="CL42">
        <v>1</v>
      </c>
      <c r="CN42">
        <v>1</v>
      </c>
      <c r="CP42">
        <v>2.3263888888888887E-3</v>
      </c>
      <c r="CQ42">
        <v>2.3263888888888887E-3</v>
      </c>
      <c r="CR42">
        <v>0.22377314814814814</v>
      </c>
      <c r="CS42">
        <v>0.10552083333333333</v>
      </c>
      <c r="CT42">
        <v>111</v>
      </c>
      <c r="CU42">
        <v>170</v>
      </c>
      <c r="CV42">
        <v>16</v>
      </c>
      <c r="CW42">
        <v>2.1875</v>
      </c>
      <c r="CX42">
        <v>9012</v>
      </c>
      <c r="CY42">
        <v>0.14410000000000001</v>
      </c>
      <c r="CZ42">
        <v>4</v>
      </c>
      <c r="DA42">
        <v>0.25</v>
      </c>
      <c r="DB42">
        <v>2394</v>
      </c>
      <c r="DC42">
        <v>599</v>
      </c>
      <c r="DD42">
        <v>2394</v>
      </c>
      <c r="DE42">
        <v>1</v>
      </c>
      <c r="DF42">
        <v>0.16439999999999999</v>
      </c>
      <c r="DG42">
        <v>98</v>
      </c>
      <c r="DH42">
        <v>599</v>
      </c>
      <c r="DI42">
        <f>Tabla82[[#This Row],[IND_MontoPDP]]*Tabla82[[#This Row],[IND_Condonacion]]</f>
        <v>393.5736</v>
      </c>
    </row>
    <row r="43" spans="1:113" x14ac:dyDescent="0.25">
      <c r="A43" s="34" t="str" cm="1">
        <f t="array" ref="A43">IFERROR(VLOOKUP(D1_ABRIL_2026[[#This Row],[ASESOR_CRR]],_xlfn._xlws.FILTER(PLANTILLA[[ASESOR]:[FECHA DE CESE]],PLANTILLA[FECHA]=_xlfn.CONCAT($M$3,"_",_xlfn.IFS($N$3="ENERO","1",$N$3="FEBRERO","2",$N$3="MARZO","3",$N$3="ABRIL","4",$N$3="MAYO","5",$N$3="JUNIO","6",$N$3="JULIO","7",$N$3="AGOSTO","8",$N$3="SETIEMBRE","9",$N$3="OCTUBRE","10",$N$3="NOVIEMBRE","11",$N$3="DICIEMBRE","12"))),3,0),"")</f>
        <v>JOHAN</v>
      </c>
      <c r="B43" s="34" t="str" cm="1">
        <f t="array" ref="B43">TRIM(IFERROR(_xlfn.IFS(D1_ABRIL_2026[[#This Row],[ASESOR]]="ELVIS GUERRA","ELVIS GUERRERA",D1_ABRIL_2026[[#This Row],[ASESOR]]="GENESIS VICUÑA","GENESIS VICUNA",D1_ABRIL_2026[[#This Row],[ASESOR]]="JENY QUIÑONES","JENY QUINONES",D1_ABRIL_2026[[#This Row],[ASESOR]]="NICOLE CAURURO","NICOLE CAURURO"),D1_ABRIL_2026[[#This Row],[ASESOR]]))</f>
        <v>DANIEL ZAPATA</v>
      </c>
      <c r="C43" s="34" cm="1">
        <f t="array" ref="C43">_xlfn.XLOOKUP(1,(TablaMeta[CONCAT]=$M$3&amp;$N$3&amp;D1_ABRIL_2026[[#This Row],[SUPER]])*(TablaMeta[SEGG]=D1_ABRIL_2026[[#This Row],[SEGMENTO]]),TablaMeta[Meta_Asesor])</f>
        <v>48500</v>
      </c>
      <c r="D43" s="35">
        <f>IF(D1_ABRIL_2026[[#This Row],[RECUPERO]]="VACACIONES","VACACIONES",IFERROR(D1_ABRIL_2026[[#This Row],[RECUPERO]]/D1_ABRIL_2026[[#This Row],[META]],""))</f>
        <v>0.96927835051546396</v>
      </c>
      <c r="E43" s="35" t="str">
        <f>D1_ABRIL_2026[[#This Row],[SUPER]]</f>
        <v>JOHAN</v>
      </c>
      <c r="F43" t="s">
        <v>80</v>
      </c>
      <c r="G43" s="36">
        <v>47010</v>
      </c>
      <c r="H43" cm="1">
        <f t="array" ref="H43">IFERROR(VLOOKUP(D1_ABRIL_2026[[#This Row],[ASESOR_CRR]],_xlfn._xlws.FILTER(PLANTILLA[[ASESOR]:[FECHA DE CESE]],PLANTILLA[FECHA]=_xlfn.CONCAT($M$3,"_",_xlfn.IFS($N$3="ENERO","1",$N$3="FEBRERO","2",$N$3="MARZO","3",$N$3="ABRIL","4",$N$3="MAYO","5",$N$3="JUNIO","6",$N$3="JULIO","7",$N$3="AGOSTO","8",$N$3="SETIEMBRE","9",$N$3="OCTUBRE","10",$N$3="NOVIEMBRE","11",$N$3="DICIEMBRE","12"))),2,0),"")</f>
        <v>45084594</v>
      </c>
      <c r="I43" s="55" cm="1">
        <f t="array" ref="I43">IFERROR(VLOOKUP(D1_ABRIL_2026[[#This Row],[ASESOR_CRR]],_xlfn._xlws.FILTER(PLANTILLA[[ASESOR]:[FECHA DE CESE]],PLANTILLA[FECHA]=_xlfn.CONCAT($M$3,"_",_xlfn.IFS($N$3="ENERO","1",$N$3="FEBRERO","2",$N$3="MARZO","3",$N$3="ABRIL","4",$N$3="MAYO","5",$N$3="JUNIO","6",$N$3="JULIO","7",$N$3="AGOSTO","8",$N$3="SETIEMBRE","9",$N$3="OCTUBRE","10",$N$3="NOVIEMBRE","11",$N$3="DICIEMBRE","12"))),6,0),"")</f>
        <v>45281</v>
      </c>
      <c r="J43" s="55" t="str" cm="1">
        <f t="array" ref="J43">IFERROR(VLOOKUP(D1_ABRIL_2026[[#This Row],[ASESOR_CRR]],_xlfn._xlws.FILTER(PLANTILLA[[ASESOR]:[FECHA DE CESE]],PLANTILLA[FECHA]=_xlfn.CONCAT($M$3,"_",_xlfn.IFS($N$3="ENERO","1",$N$3="FEBRERO","2",$N$3="MARZO","3",$N$3="ABRIL","4",$N$3="MAYO","5",$N$3="JUNIO","6",$N$3="JULIO","7",$N$3="AGOSTO","8",$N$3="SETIEMBRE","9",$N$3="OCTUBRE","10",$N$3="NOVIEMBRE","11",$N$3="DICIEMBRE","12"))),4,0),"")</f>
        <v>CALL</v>
      </c>
      <c r="K43" s="55" t="str" cm="1">
        <f t="array" ref="K43">IFERROR(VLOOKUP(D1_ABRIL_2026[[#This Row],[ASESOR_CRR]],_xlfn._xlws.FILTER(PLANTILLA[[ASESOR]:[FECHA DE CESE]],PLANTILLA[FECHA]=_xlfn.CONCAT($M$3,"_",_xlfn.IFS($N$3="ENERO","1",$N$3="FEBRERO","2",$N$3="MARZO","3",$N$3="ABRIL","4",$N$3="MAYO","5",$N$3="JUNIO","6",$N$3="JULIO","7",$N$3="AGOSTO","8",$N$3="SETIEMBRE","9",$N$3="OCTUBRE","10",$N$3="NOVIEMBRE","11",$N$3="DICIEMBRE","12"))),8,0),"")</f>
        <v>S1</v>
      </c>
      <c r="L43" s="55"/>
      <c r="M43" s="5">
        <f>DATA_ABRIL_2026[[#This Row],[RECUPERO]]/DATA_ABRIL_2026[[#This Row],[META]]</f>
        <v>7.3298969072164946E-2</v>
      </c>
      <c r="N43" s="5">
        <f>6-ROUNDUP(_xlfn.RANK.EQ(DATA_ABRIL_2026[[#This Row],[AL_AC]],DATA_ABRIL_2026[AL_AC],0)/(COUNTA(DATA_ABRIL_2026[AL_AC])/5),0)</f>
        <v>1</v>
      </c>
      <c r="O43" s="54" t="str">
        <f>IFERROR(VLOOKUP(DATA_ABRIL_2026[[#This Row],[ASER_]],$B:$G,4,0),"")</f>
        <v>JORGE</v>
      </c>
      <c r="P43" s="6">
        <f>SUM(DATA_ABRIL_2026[[#This Row],[1]:[30]])</f>
        <v>3555</v>
      </c>
      <c r="Q43" s="6">
        <f>VLOOKUP(DATA_ABRIL_2026[[#This Row],[ASER_]],D1_ABRIL_2026[[ASESOR_CRR]:[META]],2,0)</f>
        <v>48500</v>
      </c>
      <c r="R43" t="s">
        <v>50</v>
      </c>
      <c r="S43">
        <v>130</v>
      </c>
      <c r="X43" s="5"/>
      <c r="Y43" s="6"/>
      <c r="Z43" s="6"/>
      <c r="AA43" s="6"/>
      <c r="AB43" s="6"/>
      <c r="AC43" s="6"/>
      <c r="AD43" s="6">
        <v>305</v>
      </c>
      <c r="AE43" s="6">
        <v>900</v>
      </c>
      <c r="AF43" s="6"/>
      <c r="AG43" s="6"/>
      <c r="AH43" s="6"/>
      <c r="AI43" s="6">
        <v>220</v>
      </c>
      <c r="AJ43" s="6"/>
      <c r="AK43" s="6">
        <v>2000</v>
      </c>
      <c r="AL43" s="6"/>
      <c r="AM43" s="6"/>
      <c r="AN43" s="6"/>
      <c r="AO43" s="6"/>
      <c r="AP43" s="6"/>
      <c r="AQ43" s="6"/>
      <c r="AR43" s="6"/>
      <c r="AS43" s="54" t="str" cm="1">
        <f t="array" ref="AS43">IFERROR(VLOOKUP(DATA_ABRIL_2026[[#This Row],[ASER_]],_xlfn._xlws.FILTER(PLANTILLA[[ASESOR]:[FECHA DE CESE]],PLANTILLA[FECHA]=_xlfn.CONCAT($M$3,"_",_xlfn.IFS($N$3="ENERO","1",$N$3="FEBRERO","2",$N$3="MARZO","3",$N$3="ABRIL","4",$N$3="MAYO","5",$N$3="JUNIO","6",$N$3="JULIO","7",$N$3="AGOSTO","8",$N$3="SETIEMBRE","9",$N$3="OCTUBRE","10",$N$3="NOVIEMBRE","11",$N$3="DICIEMBRE","12"))),8,0),"")</f>
        <v>S1</v>
      </c>
      <c r="AX43" s="45"/>
      <c r="AY43" s="45"/>
      <c r="AZ43" s="45"/>
      <c r="BA43" s="45"/>
      <c r="BB43" s="45"/>
      <c r="BC43" s="45"/>
      <c r="BD43" s="45"/>
      <c r="BE43" s="45"/>
      <c r="BF43" s="45"/>
      <c r="BG43" s="45"/>
      <c r="BH43" s="45"/>
      <c r="CG43" t="s">
        <v>636</v>
      </c>
      <c r="CH43" t="s">
        <v>125</v>
      </c>
      <c r="CI43" t="s">
        <v>60</v>
      </c>
      <c r="CJ43">
        <v>46135</v>
      </c>
      <c r="CK43">
        <v>1</v>
      </c>
      <c r="CL43">
        <v>1</v>
      </c>
      <c r="CN43">
        <v>1</v>
      </c>
      <c r="CP43">
        <v>0</v>
      </c>
      <c r="CQ43">
        <v>0</v>
      </c>
      <c r="CR43">
        <v>0.20966435185185187</v>
      </c>
      <c r="CS43">
        <v>0.15414351851851851</v>
      </c>
      <c r="CT43">
        <v>54</v>
      </c>
      <c r="CU43">
        <v>103</v>
      </c>
      <c r="CV43">
        <v>10</v>
      </c>
      <c r="CW43">
        <v>3.6</v>
      </c>
      <c r="CX43">
        <v>37842</v>
      </c>
      <c r="CY43">
        <v>0.1852</v>
      </c>
      <c r="CZ43">
        <v>4</v>
      </c>
      <c r="DA43">
        <v>0.4</v>
      </c>
      <c r="DB43">
        <v>11750</v>
      </c>
      <c r="DC43">
        <v>2938</v>
      </c>
      <c r="DD43">
        <v>11750</v>
      </c>
      <c r="DE43">
        <v>1</v>
      </c>
      <c r="DF43">
        <v>0.13439999999999999</v>
      </c>
      <c r="DG43">
        <v>96</v>
      </c>
      <c r="DH43">
        <v>2938</v>
      </c>
      <c r="DI43">
        <f>Tabla82[[#This Row],[IND_MontoPDP]]*Tabla82[[#This Row],[IND_Condonacion]]</f>
        <v>1579.1999999999998</v>
      </c>
    </row>
    <row r="44" spans="1:113" x14ac:dyDescent="0.25">
      <c r="A44" s="34" t="str" cm="1">
        <f t="array" ref="A44">IFERROR(VLOOKUP(D1_ABRIL_2026[[#This Row],[ASESOR_CRR]],_xlfn._xlws.FILTER(PLANTILLA[[ASESOR]:[FECHA DE CESE]],PLANTILLA[FECHA]=_xlfn.CONCAT($M$3,"_",_xlfn.IFS($N$3="ENERO","1",$N$3="FEBRERO","2",$N$3="MARZO","3",$N$3="ABRIL","4",$N$3="MAYO","5",$N$3="JUNIO","6",$N$3="JULIO","7",$N$3="AGOSTO","8",$N$3="SETIEMBRE","9",$N$3="OCTUBRE","10",$N$3="NOVIEMBRE","11",$N$3="DICIEMBRE","12"))),3,0),"")</f>
        <v>JOHAN</v>
      </c>
      <c r="B44" s="34" t="str" cm="1">
        <f t="array" ref="B44">TRIM(IFERROR(_xlfn.IFS(D1_ABRIL_2026[[#This Row],[ASESOR]]="ELVIS GUERRA","ELVIS GUERRERA",D1_ABRIL_2026[[#This Row],[ASESOR]]="GENESIS VICUÑA","GENESIS VICUNA",D1_ABRIL_2026[[#This Row],[ASESOR]]="JENY QUIÑONES","JENY QUINONES",D1_ABRIL_2026[[#This Row],[ASESOR]]="NICOLE CAURURO","NICOLE CAURURO"),D1_ABRIL_2026[[#This Row],[ASESOR]]))</f>
        <v>MARIA TINTAYA</v>
      </c>
      <c r="C44" s="34" cm="1">
        <f t="array" ref="C44">_xlfn.XLOOKUP(1,(TablaMeta[CONCAT]=$M$3&amp;$N$3&amp;D1_ABRIL_2026[[#This Row],[SUPER]])*(TablaMeta[SEGG]=D1_ABRIL_2026[[#This Row],[SEGMENTO]]),TablaMeta[Meta_Asesor])</f>
        <v>48500</v>
      </c>
      <c r="D44" s="35">
        <f>IF(D1_ABRIL_2026[[#This Row],[RECUPERO]]="VACACIONES","VACACIONES",IFERROR(D1_ABRIL_2026[[#This Row],[RECUPERO]]/D1_ABRIL_2026[[#This Row],[META]],""))</f>
        <v>0.90045360824742271</v>
      </c>
      <c r="E44" s="35" t="str">
        <f>D1_ABRIL_2026[[#This Row],[SUPER]]</f>
        <v>JOHAN</v>
      </c>
      <c r="F44" t="s">
        <v>75</v>
      </c>
      <c r="G44" s="36">
        <v>43672</v>
      </c>
      <c r="H44" cm="1">
        <f t="array" ref="H44">IFERROR(VLOOKUP(D1_ABRIL_2026[[#This Row],[ASESOR_CRR]],_xlfn._xlws.FILTER(PLANTILLA[[ASESOR]:[FECHA DE CESE]],PLANTILLA[FECHA]=_xlfn.CONCAT($M$3,"_",_xlfn.IFS($N$3="ENERO","1",$N$3="FEBRERO","2",$N$3="MARZO","3",$N$3="ABRIL","4",$N$3="MAYO","5",$N$3="JUNIO","6",$N$3="JULIO","7",$N$3="AGOSTO","8",$N$3="SETIEMBRE","9",$N$3="OCTUBRE","10",$N$3="NOVIEMBRE","11",$N$3="DICIEMBRE","12"))),2,0),"")</f>
        <v>71264767</v>
      </c>
      <c r="I44" s="55" cm="1">
        <f t="array" ref="I44">IFERROR(VLOOKUP(D1_ABRIL_2026[[#This Row],[ASESOR_CRR]],_xlfn._xlws.FILTER(PLANTILLA[[ASESOR]:[FECHA DE CESE]],PLANTILLA[FECHA]=_xlfn.CONCAT($M$3,"_",_xlfn.IFS($N$3="ENERO","1",$N$3="FEBRERO","2",$N$3="MARZO","3",$N$3="ABRIL","4",$N$3="MAYO","5",$N$3="JUNIO","6",$N$3="JULIO","7",$N$3="AGOSTO","8",$N$3="SETIEMBRE","9",$N$3="OCTUBRE","10",$N$3="NOVIEMBRE","11",$N$3="DICIEMBRE","12"))),6,0),"")</f>
        <v>44714</v>
      </c>
      <c r="J44" s="55" t="str" cm="1">
        <f t="array" ref="J44">IFERROR(VLOOKUP(D1_ABRIL_2026[[#This Row],[ASESOR_CRR]],_xlfn._xlws.FILTER(PLANTILLA[[ASESOR]:[FECHA DE CESE]],PLANTILLA[FECHA]=_xlfn.CONCAT($M$3,"_",_xlfn.IFS($N$3="ENERO","1",$N$3="FEBRERO","2",$N$3="MARZO","3",$N$3="ABRIL","4",$N$3="MAYO","5",$N$3="JUNIO","6",$N$3="JULIO","7",$N$3="AGOSTO","8",$N$3="SETIEMBRE","9",$N$3="OCTUBRE","10",$N$3="NOVIEMBRE","11",$N$3="DICIEMBRE","12"))),4,0),"")</f>
        <v>CALL</v>
      </c>
      <c r="K44" s="55" t="str" cm="1">
        <f t="array" ref="K44">IFERROR(VLOOKUP(D1_ABRIL_2026[[#This Row],[ASESOR_CRR]],_xlfn._xlws.FILTER(PLANTILLA[[ASESOR]:[FECHA DE CESE]],PLANTILLA[FECHA]=_xlfn.CONCAT($M$3,"_",_xlfn.IFS($N$3="ENERO","1",$N$3="FEBRERO","2",$N$3="MARZO","3",$N$3="ABRIL","4",$N$3="MAYO","5",$N$3="JUNIO","6",$N$3="JULIO","7",$N$3="AGOSTO","8",$N$3="SETIEMBRE","9",$N$3="OCTUBRE","10",$N$3="NOVIEMBRE","11",$N$3="DICIEMBRE","12"))),8,0),"")</f>
        <v>S1</v>
      </c>
      <c r="L44" s="55"/>
      <c r="M44" s="5">
        <f>DATA_ABRIL_2026[[#This Row],[RECUPERO]]/DATA_ABRIL_2026[[#This Row],[META]]</f>
        <v>1.1446391752577321</v>
      </c>
      <c r="N44" s="5">
        <f>6-ROUNDUP(_xlfn.RANK.EQ(DATA_ABRIL_2026[[#This Row],[AL_AC]],DATA_ABRIL_2026[AL_AC],0)/(COUNTA(DATA_ABRIL_2026[AL_AC])/5),0)</f>
        <v>4</v>
      </c>
      <c r="O44" s="54" t="str">
        <f>IFERROR(VLOOKUP(DATA_ABRIL_2026[[#This Row],[ASER_]],$B:$G,4,0),"")</f>
        <v>JORGE</v>
      </c>
      <c r="P44" s="6">
        <f>SUM(DATA_ABRIL_2026[[#This Row],[1]:[30]])</f>
        <v>55515</v>
      </c>
      <c r="Q44" s="6">
        <f>VLOOKUP(DATA_ABRIL_2026[[#This Row],[ASER_]],D1_ABRIL_2026[[ASESOR_CRR]:[META]],2,0)</f>
        <v>48500</v>
      </c>
      <c r="R44" t="s">
        <v>23</v>
      </c>
      <c r="S44">
        <v>2770</v>
      </c>
      <c r="V44">
        <v>3130</v>
      </c>
      <c r="W44">
        <v>578</v>
      </c>
      <c r="Y44">
        <v>580</v>
      </c>
      <c r="Z44">
        <v>1768</v>
      </c>
      <c r="AB44" s="6">
        <v>300</v>
      </c>
      <c r="AC44" s="6">
        <v>200</v>
      </c>
      <c r="AD44" s="6">
        <v>1450</v>
      </c>
      <c r="AE44" s="6">
        <v>2110</v>
      </c>
      <c r="AF44" s="6">
        <v>2700</v>
      </c>
      <c r="AG44" s="6">
        <v>250</v>
      </c>
      <c r="AH44" s="6">
        <v>5000</v>
      </c>
      <c r="AI44" s="6">
        <v>450</v>
      </c>
      <c r="AJ44" s="6">
        <v>1325</v>
      </c>
      <c r="AK44" s="6">
        <v>8000</v>
      </c>
      <c r="AL44" s="6"/>
      <c r="AM44" s="6"/>
      <c r="AN44" s="6"/>
      <c r="AO44" s="6">
        <v>7910</v>
      </c>
      <c r="AP44" s="6">
        <v>800</v>
      </c>
      <c r="AQ44">
        <v>2225</v>
      </c>
      <c r="AR44">
        <v>13969</v>
      </c>
      <c r="AS44" s="54" t="str" cm="1">
        <f t="array" ref="AS44">IFERROR(VLOOKUP(DATA_ABRIL_2026[[#This Row],[ASER_]],_xlfn._xlws.FILTER(PLANTILLA[[ASESOR]:[FECHA DE CESE]],PLANTILLA[FECHA]=_xlfn.CONCAT($M$3,"_",_xlfn.IFS($N$3="ENERO","1",$N$3="FEBRERO","2",$N$3="MARZO","3",$N$3="ABRIL","4",$N$3="MAYO","5",$N$3="JUNIO","6",$N$3="JULIO","7",$N$3="AGOSTO","8",$N$3="SETIEMBRE","9",$N$3="OCTUBRE","10",$N$3="NOVIEMBRE","11",$N$3="DICIEMBRE","12"))),8,0),"")</f>
        <v>S1</v>
      </c>
      <c r="AX44" s="45"/>
      <c r="AY44" s="45"/>
      <c r="AZ44" s="45"/>
      <c r="BA44" s="45"/>
      <c r="BB44" s="45"/>
      <c r="BC44" s="45"/>
      <c r="BD44" s="45"/>
      <c r="BE44" s="45"/>
      <c r="BF44" s="45"/>
      <c r="BG44" s="45"/>
      <c r="BH44" s="45"/>
      <c r="CG44" t="s">
        <v>636</v>
      </c>
      <c r="CH44" t="s">
        <v>125</v>
      </c>
      <c r="CI44" t="s">
        <v>80</v>
      </c>
      <c r="CJ44">
        <v>46128</v>
      </c>
      <c r="CK44">
        <v>1</v>
      </c>
      <c r="CL44">
        <v>1</v>
      </c>
      <c r="CN44">
        <v>1</v>
      </c>
      <c r="CP44">
        <v>4.6296296296296294E-5</v>
      </c>
      <c r="CQ44">
        <v>4.6296296296296294E-5</v>
      </c>
      <c r="CR44">
        <v>0.2351273148148148</v>
      </c>
      <c r="CS44">
        <v>0.10861111111111112</v>
      </c>
      <c r="CT44">
        <v>158</v>
      </c>
      <c r="CU44">
        <v>252</v>
      </c>
      <c r="CV44">
        <v>13</v>
      </c>
      <c r="CW44">
        <v>2</v>
      </c>
      <c r="CX44">
        <v>13105</v>
      </c>
      <c r="CY44">
        <v>8.2299999999999998E-2</v>
      </c>
      <c r="CZ44">
        <v>1</v>
      </c>
      <c r="DA44">
        <v>7.6899999999999996E-2</v>
      </c>
      <c r="DB44">
        <v>300</v>
      </c>
      <c r="DC44">
        <v>300</v>
      </c>
      <c r="DD44">
        <v>300</v>
      </c>
      <c r="DE44">
        <v>1</v>
      </c>
      <c r="DF44">
        <v>1.2917000000000001</v>
      </c>
      <c r="DG44">
        <v>96</v>
      </c>
      <c r="DH44">
        <v>300</v>
      </c>
      <c r="DI44">
        <f>Tabla82[[#This Row],[IND_MontoPDP]]*Tabla82[[#This Row],[IND_Condonacion]]</f>
        <v>387.51000000000005</v>
      </c>
    </row>
    <row r="45" spans="1:113" x14ac:dyDescent="0.25">
      <c r="A45" s="34" t="str" cm="1">
        <f t="array" ref="A45">IFERROR(VLOOKUP(D1_ABRIL_2026[[#This Row],[ASESOR_CRR]],_xlfn._xlws.FILTER(PLANTILLA[[ASESOR]:[FECHA DE CESE]],PLANTILLA[FECHA]=_xlfn.CONCAT($M$3,"_",_xlfn.IFS($N$3="ENERO","1",$N$3="FEBRERO","2",$N$3="MARZO","3",$N$3="ABRIL","4",$N$3="MAYO","5",$N$3="JUNIO","6",$N$3="JULIO","7",$N$3="AGOSTO","8",$N$3="SETIEMBRE","9",$N$3="OCTUBRE","10",$N$3="NOVIEMBRE","11",$N$3="DICIEMBRE","12"))),3,0),"")</f>
        <v>JOHAN</v>
      </c>
      <c r="B45" s="34" t="str" cm="1">
        <f t="array" ref="B45">TRIM(IFERROR(_xlfn.IFS(D1_ABRIL_2026[[#This Row],[ASESOR]]="ELVIS GUERRA","ELVIS GUERRERA",D1_ABRIL_2026[[#This Row],[ASESOR]]="GENESIS VICUÑA","GENESIS VICUNA",D1_ABRIL_2026[[#This Row],[ASESOR]]="JENY QUIÑONES","JENY QUINONES",D1_ABRIL_2026[[#This Row],[ASESOR]]="NICOLE CAURURO","NICOLE CAURURO"),D1_ABRIL_2026[[#This Row],[ASESOR]]))</f>
        <v>ANALUCIA PONCE</v>
      </c>
      <c r="C45" s="34" cm="1">
        <f t="array" ref="C45">_xlfn.XLOOKUP(1,(TablaMeta[CONCAT]=$M$3&amp;$N$3&amp;D1_ABRIL_2026[[#This Row],[SUPER]])*(TablaMeta[SEGG]=D1_ABRIL_2026[[#This Row],[SEGMENTO]]),TablaMeta[Meta_Asesor])</f>
        <v>48500</v>
      </c>
      <c r="D45" s="35">
        <f>IF(D1_ABRIL_2026[[#This Row],[RECUPERO]]="VACACIONES","VACACIONES",IFERROR(D1_ABRIL_2026[[#This Row],[RECUPERO]]/D1_ABRIL_2026[[#This Row],[META]],""))</f>
        <v>0.7580412371134021</v>
      </c>
      <c r="E45" s="35" t="str">
        <f>D1_ABRIL_2026[[#This Row],[SUPER]]</f>
        <v>JOHAN</v>
      </c>
      <c r="F45" t="s">
        <v>60</v>
      </c>
      <c r="G45" s="36">
        <v>36765</v>
      </c>
      <c r="H45" cm="1">
        <f t="array" ref="H45">IFERROR(VLOOKUP(D1_ABRIL_2026[[#This Row],[ASESOR_CRR]],_xlfn._xlws.FILTER(PLANTILLA[[ASESOR]:[FECHA DE CESE]],PLANTILLA[FECHA]=_xlfn.CONCAT($M$3,"_",_xlfn.IFS($N$3="ENERO","1",$N$3="FEBRERO","2",$N$3="MARZO","3",$N$3="ABRIL","4",$N$3="MAYO","5",$N$3="JUNIO","6",$N$3="JULIO","7",$N$3="AGOSTO","8",$N$3="SETIEMBRE","9",$N$3="OCTUBRE","10",$N$3="NOVIEMBRE","11",$N$3="DICIEMBRE","12"))),2,0),"")</f>
        <v>72839865</v>
      </c>
      <c r="I45" s="55" cm="1">
        <f t="array" ref="I45">IFERROR(VLOOKUP(D1_ABRIL_2026[[#This Row],[ASESOR_CRR]],_xlfn._xlws.FILTER(PLANTILLA[[ASESOR]:[FECHA DE CESE]],PLANTILLA[FECHA]=_xlfn.CONCAT($M$3,"_",_xlfn.IFS($N$3="ENERO","1",$N$3="FEBRERO","2",$N$3="MARZO","3",$N$3="ABRIL","4",$N$3="MAYO","5",$N$3="JUNIO","6",$N$3="JULIO","7",$N$3="AGOSTO","8",$N$3="SETIEMBRE","9",$N$3="OCTUBRE","10",$N$3="NOVIEMBRE","11",$N$3="DICIEMBRE","12"))),6,0),"")</f>
        <v>45854</v>
      </c>
      <c r="J45" s="55" t="str" cm="1">
        <f t="array" ref="J45">IFERROR(VLOOKUP(D1_ABRIL_2026[[#This Row],[ASESOR_CRR]],_xlfn._xlws.FILTER(PLANTILLA[[ASESOR]:[FECHA DE CESE]],PLANTILLA[FECHA]=_xlfn.CONCAT($M$3,"_",_xlfn.IFS($N$3="ENERO","1",$N$3="FEBRERO","2",$N$3="MARZO","3",$N$3="ABRIL","4",$N$3="MAYO","5",$N$3="JUNIO","6",$N$3="JULIO","7",$N$3="AGOSTO","8",$N$3="SETIEMBRE","9",$N$3="OCTUBRE","10",$N$3="NOVIEMBRE","11",$N$3="DICIEMBRE","12"))),4,0),"")</f>
        <v>CALL</v>
      </c>
      <c r="K45" s="55" t="str" cm="1">
        <f t="array" ref="K45">IFERROR(VLOOKUP(D1_ABRIL_2026[[#This Row],[ASESOR_CRR]],_xlfn._xlws.FILTER(PLANTILLA[[ASESOR]:[FECHA DE CESE]],PLANTILLA[FECHA]=_xlfn.CONCAT($M$3,"_",_xlfn.IFS($N$3="ENERO","1",$N$3="FEBRERO","2",$N$3="MARZO","3",$N$3="ABRIL","4",$N$3="MAYO","5",$N$3="JUNIO","6",$N$3="JULIO","7",$N$3="AGOSTO","8",$N$3="SETIEMBRE","9",$N$3="OCTUBRE","10",$N$3="NOVIEMBRE","11",$N$3="DICIEMBRE","12"))),8,0),"")</f>
        <v>S1</v>
      </c>
      <c r="L45" s="55"/>
      <c r="M45" s="5">
        <f>DATA_ABRIL_2026[[#This Row],[RECUPERO]]/DATA_ABRIL_2026[[#This Row],[META]]</f>
        <v>1.8801785714285715</v>
      </c>
      <c r="N45" s="5">
        <f>6-ROUNDUP(_xlfn.RANK.EQ(DATA_ABRIL_2026[[#This Row],[AL_AC]],DATA_ABRIL_2026[AL_AC],0)/(COUNTA(DATA_ABRIL_2026[AL_AC])/5),0)</f>
        <v>5</v>
      </c>
      <c r="O45" s="54" t="str">
        <f>IFERROR(VLOOKUP(DATA_ABRIL_2026[[#This Row],[ASER_]],$B:$G,4,0),"")</f>
        <v>SANDY</v>
      </c>
      <c r="P45" s="6">
        <f>SUM(DATA_ABRIL_2026[[#This Row],[1]:[30]])</f>
        <v>52645</v>
      </c>
      <c r="Q45" s="6">
        <f>VLOOKUP(DATA_ABRIL_2026[[#This Row],[ASER_]],D1_ABRIL_2026[[ASESOR_CRR]:[META]],2,0)</f>
        <v>28000</v>
      </c>
      <c r="R45" t="s">
        <v>68</v>
      </c>
      <c r="S45">
        <v>7700</v>
      </c>
      <c r="U45">
        <v>300</v>
      </c>
      <c r="V45">
        <v>3200</v>
      </c>
      <c r="X45">
        <v>10600</v>
      </c>
      <c r="Y45">
        <v>4000</v>
      </c>
      <c r="AA45">
        <v>500</v>
      </c>
      <c r="AB45" s="6"/>
      <c r="AC45" s="6">
        <v>232</v>
      </c>
      <c r="AD45" s="6"/>
      <c r="AE45" s="6">
        <v>500</v>
      </c>
      <c r="AF45" s="6">
        <v>4000</v>
      </c>
      <c r="AG45" s="6"/>
      <c r="AH45" s="6">
        <v>500</v>
      </c>
      <c r="AI45" s="6"/>
      <c r="AJ45" s="6">
        <v>950</v>
      </c>
      <c r="AK45" s="6">
        <v>360</v>
      </c>
      <c r="AL45" s="6">
        <v>1000</v>
      </c>
      <c r="AM45" s="6"/>
      <c r="AN45" s="6"/>
      <c r="AO45" s="6"/>
      <c r="AP45" s="6"/>
      <c r="AQ45">
        <v>15000</v>
      </c>
      <c r="AR45">
        <v>3803</v>
      </c>
      <c r="AS45" s="54" t="str" cm="1">
        <f t="array" ref="AS45">IFERROR(VLOOKUP(DATA_ABRIL_2026[[#This Row],[ASER_]],_xlfn._xlws.FILTER(PLANTILLA[[ASESOR]:[FECHA DE CESE]],PLANTILLA[FECHA]=_xlfn.CONCAT($M$3,"_",_xlfn.IFS($N$3="ENERO","1",$N$3="FEBRERO","2",$N$3="MARZO","3",$N$3="ABRIL","4",$N$3="MAYO","5",$N$3="JUNIO","6",$N$3="JULIO","7",$N$3="AGOSTO","8",$N$3="SETIEMBRE","9",$N$3="OCTUBRE","10",$N$3="NOVIEMBRE","11",$N$3="DICIEMBRE","12"))),8,0),"")</f>
        <v>S0</v>
      </c>
      <c r="AX45" s="45"/>
      <c r="AY45" s="45"/>
      <c r="AZ45" s="45"/>
      <c r="BA45" s="45"/>
      <c r="BB45" s="45"/>
      <c r="BC45" s="45"/>
      <c r="BD45" s="45"/>
      <c r="BE45" s="45"/>
      <c r="BF45" s="45"/>
      <c r="BG45" s="45"/>
      <c r="BH45" s="45"/>
      <c r="CG45" t="s">
        <v>636</v>
      </c>
      <c r="CH45" t="s">
        <v>125</v>
      </c>
      <c r="CI45" t="s">
        <v>26</v>
      </c>
      <c r="CJ45">
        <v>46118</v>
      </c>
      <c r="CK45">
        <v>1</v>
      </c>
      <c r="CL45">
        <v>1</v>
      </c>
      <c r="CN45">
        <v>1</v>
      </c>
      <c r="CP45">
        <v>5.7870370370370373E-5</v>
      </c>
      <c r="CQ45">
        <v>5.7870370370370373E-5</v>
      </c>
      <c r="CR45">
        <v>0.27243055555555556</v>
      </c>
      <c r="CS45">
        <v>8.0069444444444443E-2</v>
      </c>
      <c r="CT45">
        <v>137</v>
      </c>
      <c r="CU45">
        <v>280</v>
      </c>
      <c r="CV45">
        <v>17</v>
      </c>
      <c r="CW45" t="s">
        <v>670</v>
      </c>
      <c r="CX45">
        <v>26638</v>
      </c>
      <c r="CY45">
        <v>0.1241</v>
      </c>
      <c r="CZ45">
        <v>2</v>
      </c>
      <c r="DA45">
        <v>0.1176</v>
      </c>
      <c r="DB45">
        <v>10400</v>
      </c>
      <c r="DC45">
        <v>5200</v>
      </c>
      <c r="DD45">
        <v>10400</v>
      </c>
      <c r="DE45">
        <v>1</v>
      </c>
      <c r="DF45">
        <v>0.13719999999999999</v>
      </c>
      <c r="DG45">
        <v>96</v>
      </c>
      <c r="DH45">
        <v>5200</v>
      </c>
      <c r="DI45">
        <f>Tabla82[[#This Row],[IND_MontoPDP]]*Tabla82[[#This Row],[IND_Condonacion]]</f>
        <v>1426.8799999999999</v>
      </c>
    </row>
    <row r="46" spans="1:113" x14ac:dyDescent="0.25">
      <c r="A46" s="34" t="str" cm="1">
        <f t="array" ref="A46">IFERROR(VLOOKUP(D1_ABRIL_2026[[#This Row],[ASESOR_CRR]],_xlfn._xlws.FILTER(PLANTILLA[[ASESOR]:[FECHA DE CESE]],PLANTILLA[FECHA]=_xlfn.CONCAT($M$3,"_",_xlfn.IFS($N$3="ENERO","1",$N$3="FEBRERO","2",$N$3="MARZO","3",$N$3="ABRIL","4",$N$3="MAYO","5",$N$3="JUNIO","6",$N$3="JULIO","7",$N$3="AGOSTO","8",$N$3="SETIEMBRE","9",$N$3="OCTUBRE","10",$N$3="NOVIEMBRE","11",$N$3="DICIEMBRE","12"))),3,0),"")</f>
        <v>JOHAN</v>
      </c>
      <c r="B46" s="34" t="str" cm="1">
        <f t="array" ref="B46">TRIM(IFERROR(_xlfn.IFS(D1_ABRIL_2026[[#This Row],[ASESOR]]="ELVIS GUERRA","ELVIS GUERRERA",D1_ABRIL_2026[[#This Row],[ASESOR]]="GENESIS VICUÑA","GENESIS VICUNA",D1_ABRIL_2026[[#This Row],[ASESOR]]="JENY QUIÑONES","JENY QUINONES",D1_ABRIL_2026[[#This Row],[ASESOR]]="NICOLE CAURURO","NICOLE CAURURO"),D1_ABRIL_2026[[#This Row],[ASESOR]]))</f>
        <v>GENESIS VICUNA</v>
      </c>
      <c r="C46" s="34" cm="1">
        <f t="array" ref="C46">_xlfn.XLOOKUP(1,(TablaMeta[CONCAT]=$M$3&amp;$N$3&amp;D1_ABRIL_2026[[#This Row],[SUPER]])*(TablaMeta[SEGG]=D1_ABRIL_2026[[#This Row],[SEGMENTO]]),TablaMeta[Meta_Asesor])</f>
        <v>48500</v>
      </c>
      <c r="D46" s="35">
        <f>IF(D1_ABRIL_2026[[#This Row],[RECUPERO]]="VACACIONES","VACACIONES",IFERROR(D1_ABRIL_2026[[#This Row],[RECUPERO]]/D1_ABRIL_2026[[#This Row],[META]],""))</f>
        <v>0.63148453608247423</v>
      </c>
      <c r="E46" s="35" t="str">
        <f>D1_ABRIL_2026[[#This Row],[SUPER]]</f>
        <v>JOHAN</v>
      </c>
      <c r="F46" t="s">
        <v>12</v>
      </c>
      <c r="G46" s="36">
        <v>30627</v>
      </c>
      <c r="H46" cm="1">
        <f t="array" ref="H46">IFERROR(VLOOKUP(D1_ABRIL_2026[[#This Row],[ASESOR_CRR]],_xlfn._xlws.FILTER(PLANTILLA[[ASESOR]:[FECHA DE CESE]],PLANTILLA[FECHA]=_xlfn.CONCAT($M$3,"_",_xlfn.IFS($N$3="ENERO","1",$N$3="FEBRERO","2",$N$3="MARZO","3",$N$3="ABRIL","4",$N$3="MAYO","5",$N$3="JUNIO","6",$N$3="JULIO","7",$N$3="AGOSTO","8",$N$3="SETIEMBRE","9",$N$3="OCTUBRE","10",$N$3="NOVIEMBRE","11",$N$3="DICIEMBRE","12"))),2,0),"")</f>
        <v>45262585</v>
      </c>
      <c r="I46" s="55" cm="1">
        <f t="array" ref="I46">IFERROR(VLOOKUP(D1_ABRIL_2026[[#This Row],[ASESOR_CRR]],_xlfn._xlws.FILTER(PLANTILLA[[ASESOR]:[FECHA DE CESE]],PLANTILLA[FECHA]=_xlfn.CONCAT($M$3,"_",_xlfn.IFS($N$3="ENERO","1",$N$3="FEBRERO","2",$N$3="MARZO","3",$N$3="ABRIL","4",$N$3="MAYO","5",$N$3="JUNIO","6",$N$3="JULIO","7",$N$3="AGOSTO","8",$N$3="SETIEMBRE","9",$N$3="OCTUBRE","10",$N$3="NOVIEMBRE","11",$N$3="DICIEMBRE","12"))),6,0),"")</f>
        <v>44868</v>
      </c>
      <c r="J46" s="55" t="str" cm="1">
        <f t="array" ref="J46">IFERROR(VLOOKUP(D1_ABRIL_2026[[#This Row],[ASESOR_CRR]],_xlfn._xlws.FILTER(PLANTILLA[[ASESOR]:[FECHA DE CESE]],PLANTILLA[FECHA]=_xlfn.CONCAT($M$3,"_",_xlfn.IFS($N$3="ENERO","1",$N$3="FEBRERO","2",$N$3="MARZO","3",$N$3="ABRIL","4",$N$3="MAYO","5",$N$3="JUNIO","6",$N$3="JULIO","7",$N$3="AGOSTO","8",$N$3="SETIEMBRE","9",$N$3="OCTUBRE","10",$N$3="NOVIEMBRE","11",$N$3="DICIEMBRE","12"))),4,0),"")</f>
        <v>CALL</v>
      </c>
      <c r="K46" s="55" t="str" cm="1">
        <f t="array" ref="K46">IFERROR(VLOOKUP(D1_ABRIL_2026[[#This Row],[ASESOR_CRR]],_xlfn._xlws.FILTER(PLANTILLA[[ASESOR]:[FECHA DE CESE]],PLANTILLA[FECHA]=_xlfn.CONCAT($M$3,"_",_xlfn.IFS($N$3="ENERO","1",$N$3="FEBRERO","2",$N$3="MARZO","3",$N$3="ABRIL","4",$N$3="MAYO","5",$N$3="JUNIO","6",$N$3="JULIO","7",$N$3="AGOSTO","8",$N$3="SETIEMBRE","9",$N$3="OCTUBRE","10",$N$3="NOVIEMBRE","11",$N$3="DICIEMBRE","12"))),8,0),"")</f>
        <v>S1</v>
      </c>
      <c r="L46" s="55"/>
      <c r="M46" s="5">
        <f>DATA_ABRIL_2026[[#This Row],[RECUPERO]]/DATA_ABRIL_2026[[#This Row],[META]]</f>
        <v>1.0010857142857144</v>
      </c>
      <c r="N46" s="5">
        <f>6-ROUNDUP(_xlfn.RANK.EQ(DATA_ABRIL_2026[[#This Row],[AL_AC]],DATA_ABRIL_2026[AL_AC],0)/(COUNTA(DATA_ABRIL_2026[AL_AC])/5),0)</f>
        <v>4</v>
      </c>
      <c r="O46" s="54" t="str">
        <f>IFERROR(VLOOKUP(DATA_ABRIL_2026[[#This Row],[ASER_]],$B:$G,4,0),"")</f>
        <v>SANDY</v>
      </c>
      <c r="P46" s="6">
        <f>SUM(DATA_ABRIL_2026[[#This Row],[1]:[30]])</f>
        <v>28030.400000000001</v>
      </c>
      <c r="Q46" s="6">
        <f>VLOOKUP(DATA_ABRIL_2026[[#This Row],[ASER_]],D1_ABRIL_2026[[ASESOR_CRR]:[META]],2,0)</f>
        <v>28000</v>
      </c>
      <c r="R46" t="s">
        <v>29</v>
      </c>
      <c r="S46">
        <v>563.4</v>
      </c>
      <c r="V46">
        <v>2000</v>
      </c>
      <c r="W46">
        <v>1570</v>
      </c>
      <c r="X46">
        <v>405</v>
      </c>
      <c r="Y46">
        <v>155</v>
      </c>
      <c r="Z46">
        <v>1245</v>
      </c>
      <c r="AB46" s="6">
        <v>584</v>
      </c>
      <c r="AC46" s="6">
        <v>200</v>
      </c>
      <c r="AD46" s="6">
        <v>900</v>
      </c>
      <c r="AE46" s="6">
        <v>1261</v>
      </c>
      <c r="AF46" s="6">
        <v>5000</v>
      </c>
      <c r="AG46" s="6"/>
      <c r="AH46" s="6">
        <v>988</v>
      </c>
      <c r="AI46" s="6">
        <v>500</v>
      </c>
      <c r="AJ46" s="6">
        <v>230</v>
      </c>
      <c r="AK46" s="6">
        <v>1250</v>
      </c>
      <c r="AL46" s="6">
        <v>680</v>
      </c>
      <c r="AM46" s="6">
        <v>1500</v>
      </c>
      <c r="AN46" s="6"/>
      <c r="AO46" s="6">
        <v>517</v>
      </c>
      <c r="AP46" s="6"/>
      <c r="AQ46">
        <v>400</v>
      </c>
      <c r="AR46">
        <v>8082</v>
      </c>
      <c r="AS46" s="54" t="str" cm="1">
        <f t="array" ref="AS46">IFERROR(VLOOKUP(DATA_ABRIL_2026[[#This Row],[ASER_]],_xlfn._xlws.FILTER(PLANTILLA[[ASESOR]:[FECHA DE CESE]],PLANTILLA[FECHA]=_xlfn.CONCAT($M$3,"_",_xlfn.IFS($N$3="ENERO","1",$N$3="FEBRERO","2",$N$3="MARZO","3",$N$3="ABRIL","4",$N$3="MAYO","5",$N$3="JUNIO","6",$N$3="JULIO","7",$N$3="AGOSTO","8",$N$3="SETIEMBRE","9",$N$3="OCTUBRE","10",$N$3="NOVIEMBRE","11",$N$3="DICIEMBRE","12"))),8,0),"")</f>
        <v>S0</v>
      </c>
      <c r="AX46" s="45"/>
      <c r="AY46" s="45"/>
      <c r="AZ46" s="45"/>
      <c r="BA46" s="45"/>
      <c r="BB46" s="45"/>
      <c r="BC46" s="45"/>
      <c r="BD46" s="45"/>
      <c r="BE46" s="45"/>
      <c r="BF46" s="45"/>
      <c r="BG46" s="45"/>
      <c r="BH46" s="45"/>
      <c r="CG46" t="s">
        <v>636</v>
      </c>
      <c r="CH46" t="s">
        <v>125</v>
      </c>
      <c r="CI46" t="s">
        <v>75</v>
      </c>
      <c r="CJ46">
        <v>46120</v>
      </c>
      <c r="CK46">
        <v>1</v>
      </c>
      <c r="CL46">
        <v>1</v>
      </c>
      <c r="CN46">
        <v>1</v>
      </c>
      <c r="CP46">
        <v>9.2592592592592588E-5</v>
      </c>
      <c r="CQ46">
        <v>9.2592592592592588E-5</v>
      </c>
      <c r="CR46">
        <v>0.24151620370370369</v>
      </c>
      <c r="CS46">
        <v>9.4120370370370368E-2</v>
      </c>
      <c r="CT46">
        <v>133</v>
      </c>
      <c r="CU46">
        <v>251</v>
      </c>
      <c r="CV46">
        <v>7</v>
      </c>
      <c r="CW46" t="s">
        <v>803</v>
      </c>
      <c r="CX46">
        <v>38678</v>
      </c>
      <c r="CY46">
        <v>5.2600000000000001E-2</v>
      </c>
      <c r="CZ46">
        <v>1</v>
      </c>
      <c r="DA46">
        <v>0.1429</v>
      </c>
      <c r="DB46">
        <v>900</v>
      </c>
      <c r="DC46">
        <v>900</v>
      </c>
      <c r="DD46">
        <v>900</v>
      </c>
      <c r="DE46">
        <v>1</v>
      </c>
      <c r="DF46">
        <v>0.31440000000000001</v>
      </c>
      <c r="DG46">
        <v>96</v>
      </c>
      <c r="DH46">
        <v>900</v>
      </c>
      <c r="DI46">
        <f>Tabla82[[#This Row],[IND_MontoPDP]]*Tabla82[[#This Row],[IND_Condonacion]]</f>
        <v>282.96000000000004</v>
      </c>
    </row>
    <row r="47" spans="1:113" x14ac:dyDescent="0.25">
      <c r="A47" s="34" t="str" cm="1">
        <f t="array" ref="A47">IFERROR(VLOOKUP(D1_ABRIL_2026[[#This Row],[ASESOR_CRR]],_xlfn._xlws.FILTER(PLANTILLA[[ASESOR]:[FECHA DE CESE]],PLANTILLA[FECHA]=_xlfn.CONCAT($M$3,"_",_xlfn.IFS($N$3="ENERO","1",$N$3="FEBRERO","2",$N$3="MARZO","3",$N$3="ABRIL","4",$N$3="MAYO","5",$N$3="JUNIO","6",$N$3="JULIO","7",$N$3="AGOSTO","8",$N$3="SETIEMBRE","9",$N$3="OCTUBRE","10",$N$3="NOVIEMBRE","11",$N$3="DICIEMBRE","12"))),3,0),"")</f>
        <v>JOHAN</v>
      </c>
      <c r="B47" s="34" t="str" cm="1">
        <f t="array" ref="B47">TRIM(IFERROR(_xlfn.IFS(D1_ABRIL_2026[[#This Row],[ASESOR]]="ELVIS GUERRA","ELVIS GUERRERA",D1_ABRIL_2026[[#This Row],[ASESOR]]="GENESIS VICUÑA","GENESIS VICUNA",D1_ABRIL_2026[[#This Row],[ASESOR]]="JENY QUIÑONES","JENY QUINONES",D1_ABRIL_2026[[#This Row],[ASESOR]]="NICOLE CAURURO","NICOLE CAURURO"),D1_ABRIL_2026[[#This Row],[ASESOR]]))</f>
        <v>ERIKA VILLAR</v>
      </c>
      <c r="C47" s="34" cm="1">
        <f t="array" ref="C47">_xlfn.XLOOKUP(1,(TablaMeta[CONCAT]=$M$3&amp;$N$3&amp;D1_ABRIL_2026[[#This Row],[SUPER]])*(TablaMeta[SEGG]=D1_ABRIL_2026[[#This Row],[SEGMENTO]]),TablaMeta[Meta_Asesor])</f>
        <v>48500</v>
      </c>
      <c r="D47" s="35">
        <f>IF(D1_ABRIL_2026[[#This Row],[RECUPERO]]="VACACIONES","VACACIONES",IFERROR(D1_ABRIL_2026[[#This Row],[RECUPERO]]/D1_ABRIL_2026[[#This Row],[META]],""))</f>
        <v>0.61006185567010307</v>
      </c>
      <c r="E47" s="35" t="str">
        <f>D1_ABRIL_2026[[#This Row],[SUPER]]</f>
        <v>JOHAN</v>
      </c>
      <c r="F47" t="s">
        <v>72</v>
      </c>
      <c r="G47" s="36">
        <v>29588</v>
      </c>
      <c r="H47" cm="1">
        <f t="array" ref="H47">IFERROR(VLOOKUP(D1_ABRIL_2026[[#This Row],[ASESOR_CRR]],_xlfn._xlws.FILTER(PLANTILLA[[ASESOR]:[FECHA DE CESE]],PLANTILLA[FECHA]=_xlfn.CONCAT($M$3,"_",_xlfn.IFS($N$3="ENERO","1",$N$3="FEBRERO","2",$N$3="MARZO","3",$N$3="ABRIL","4",$N$3="MAYO","5",$N$3="JUNIO","6",$N$3="JULIO","7",$N$3="AGOSTO","8",$N$3="SETIEMBRE","9",$N$3="OCTUBRE","10",$N$3="NOVIEMBRE","11",$N$3="DICIEMBRE","12"))),2,0),"")</f>
        <v>47690367</v>
      </c>
      <c r="I47" s="55" cm="1">
        <f t="array" ref="I47">IFERROR(VLOOKUP(D1_ABRIL_2026[[#This Row],[ASESOR_CRR]],_xlfn._xlws.FILTER(PLANTILLA[[ASESOR]:[FECHA DE CESE]],PLANTILLA[FECHA]=_xlfn.CONCAT($M$3,"_",_xlfn.IFS($N$3="ENERO","1",$N$3="FEBRERO","2",$N$3="MARZO","3",$N$3="ABRIL","4",$N$3="MAYO","5",$N$3="JUNIO","6",$N$3="JULIO","7",$N$3="AGOSTO","8",$N$3="SETIEMBRE","9",$N$3="OCTUBRE","10",$N$3="NOVIEMBRE","11",$N$3="DICIEMBRE","12"))),6,0),"")</f>
        <v>45691</v>
      </c>
      <c r="J47" s="55" t="str" cm="1">
        <f t="array" ref="J47">IFERROR(VLOOKUP(D1_ABRIL_2026[[#This Row],[ASESOR_CRR]],_xlfn._xlws.FILTER(PLANTILLA[[ASESOR]:[FECHA DE CESE]],PLANTILLA[FECHA]=_xlfn.CONCAT($M$3,"_",_xlfn.IFS($N$3="ENERO","1",$N$3="FEBRERO","2",$N$3="MARZO","3",$N$3="ABRIL","4",$N$3="MAYO","5",$N$3="JUNIO","6",$N$3="JULIO","7",$N$3="AGOSTO","8",$N$3="SETIEMBRE","9",$N$3="OCTUBRE","10",$N$3="NOVIEMBRE","11",$N$3="DICIEMBRE","12"))),4,0),"")</f>
        <v>CALL</v>
      </c>
      <c r="K47" s="55" t="str" cm="1">
        <f t="array" ref="K47">IFERROR(VLOOKUP(D1_ABRIL_2026[[#This Row],[ASESOR_CRR]],_xlfn._xlws.FILTER(PLANTILLA[[ASESOR]:[FECHA DE CESE]],PLANTILLA[FECHA]=_xlfn.CONCAT($M$3,"_",_xlfn.IFS($N$3="ENERO","1",$N$3="FEBRERO","2",$N$3="MARZO","3",$N$3="ABRIL","4",$N$3="MAYO","5",$N$3="JUNIO","6",$N$3="JULIO","7",$N$3="AGOSTO","8",$N$3="SETIEMBRE","9",$N$3="OCTUBRE","10",$N$3="NOVIEMBRE","11",$N$3="DICIEMBRE","12"))),8,0),"")</f>
        <v>S1</v>
      </c>
      <c r="L47" s="55"/>
      <c r="M47" s="5">
        <f>DATA_ABRIL_2026[[#This Row],[RECUPERO]]/DATA_ABRIL_2026[[#This Row],[META]]</f>
        <v>0.45311340206185569</v>
      </c>
      <c r="N47" s="5">
        <f>6-ROUNDUP(_xlfn.RANK.EQ(DATA_ABRIL_2026[[#This Row],[AL_AC]],DATA_ABRIL_2026[AL_AC],0)/(COUNTA(DATA_ABRIL_2026[AL_AC])/5),0)</f>
        <v>1</v>
      </c>
      <c r="O47" s="54" t="str">
        <f>IFERROR(VLOOKUP(DATA_ABRIL_2026[[#This Row],[ASER_]],$B:$G,4,0),"")</f>
        <v>JORGE</v>
      </c>
      <c r="P47" s="6">
        <f>SUM(DATA_ABRIL_2026[[#This Row],[1]:[30]])</f>
        <v>21976</v>
      </c>
      <c r="Q47" s="6">
        <f>VLOOKUP(DATA_ABRIL_2026[[#This Row],[ASER_]],D1_ABRIL_2026[[ASESOR_CRR]:[META]],2,0)</f>
        <v>48500</v>
      </c>
      <c r="R47" t="s">
        <v>25</v>
      </c>
      <c r="S47">
        <v>400</v>
      </c>
      <c r="T47">
        <v>141</v>
      </c>
      <c r="V47">
        <v>197.5</v>
      </c>
      <c r="W47">
        <v>5000</v>
      </c>
      <c r="AB47" s="6"/>
      <c r="AC47" s="6">
        <v>2500</v>
      </c>
      <c r="AD47" s="6">
        <v>390</v>
      </c>
      <c r="AE47" s="6"/>
      <c r="AF47" s="6">
        <v>4000</v>
      </c>
      <c r="AG47" s="6"/>
      <c r="AH47" s="6">
        <v>250</v>
      </c>
      <c r="AI47" s="6"/>
      <c r="AJ47" s="6">
        <v>600</v>
      </c>
      <c r="AK47" s="6">
        <v>350</v>
      </c>
      <c r="AL47" s="6">
        <v>3800</v>
      </c>
      <c r="AM47" s="6"/>
      <c r="AN47" s="6"/>
      <c r="AO47" s="6"/>
      <c r="AP47" s="6"/>
      <c r="AR47">
        <v>4347.5</v>
      </c>
      <c r="AS47" s="54" t="str" cm="1">
        <f t="array" ref="AS47">IFERROR(VLOOKUP(DATA_ABRIL_2026[[#This Row],[ASER_]],_xlfn._xlws.FILTER(PLANTILLA[[ASESOR]:[FECHA DE CESE]],PLANTILLA[FECHA]=_xlfn.CONCAT($M$3,"_",_xlfn.IFS($N$3="ENERO","1",$N$3="FEBRERO","2",$N$3="MARZO","3",$N$3="ABRIL","4",$N$3="MAYO","5",$N$3="JUNIO","6",$N$3="JULIO","7",$N$3="AGOSTO","8",$N$3="SETIEMBRE","9",$N$3="OCTUBRE","10",$N$3="NOVIEMBRE","11",$N$3="DICIEMBRE","12"))),8,0),"")</f>
        <v>S1</v>
      </c>
      <c r="AX47" s="45"/>
      <c r="AY47" s="45"/>
      <c r="AZ47" s="45"/>
      <c r="BA47" s="45"/>
      <c r="BB47" s="45"/>
      <c r="BC47" s="45"/>
      <c r="BD47" s="45"/>
      <c r="BE47" s="45"/>
      <c r="BF47" s="45"/>
      <c r="BG47" s="45"/>
      <c r="BH47" s="45"/>
      <c r="CG47" t="s">
        <v>636</v>
      </c>
      <c r="CH47" t="s">
        <v>125</v>
      </c>
      <c r="CI47" t="s">
        <v>75</v>
      </c>
      <c r="CJ47">
        <v>46127</v>
      </c>
      <c r="CK47">
        <v>1</v>
      </c>
      <c r="CL47">
        <v>1</v>
      </c>
      <c r="CN47">
        <v>1</v>
      </c>
      <c r="CP47">
        <v>3.8194444444444446E-4</v>
      </c>
      <c r="CQ47">
        <v>3.8194444444444446E-4</v>
      </c>
      <c r="CR47">
        <v>0.2167476851851852</v>
      </c>
      <c r="CS47">
        <v>0.11714120370370371</v>
      </c>
      <c r="CT47">
        <v>93</v>
      </c>
      <c r="CU47">
        <v>197</v>
      </c>
      <c r="CV47">
        <v>18</v>
      </c>
      <c r="CW47" t="s">
        <v>960</v>
      </c>
      <c r="CX47">
        <v>21895</v>
      </c>
      <c r="CY47">
        <v>0.19350000000000001</v>
      </c>
      <c r="CZ47">
        <v>2</v>
      </c>
      <c r="DA47">
        <v>0.1111</v>
      </c>
      <c r="DB47">
        <v>2680</v>
      </c>
      <c r="DC47">
        <v>1340</v>
      </c>
      <c r="DD47">
        <v>2680</v>
      </c>
      <c r="DE47">
        <v>1</v>
      </c>
      <c r="DF47">
        <v>0.18060000000000001</v>
      </c>
      <c r="DG47">
        <v>96</v>
      </c>
      <c r="DH47">
        <v>1340</v>
      </c>
      <c r="DI47">
        <f>Tabla82[[#This Row],[IND_MontoPDP]]*Tabla82[[#This Row],[IND_Condonacion]]</f>
        <v>484.00800000000004</v>
      </c>
    </row>
    <row r="48" spans="1:113" x14ac:dyDescent="0.25">
      <c r="A48" s="34" t="str" cm="1">
        <f t="array" ref="A48">IFERROR(VLOOKUP(D1_ABRIL_2026[[#This Row],[ASESOR_CRR]],_xlfn._xlws.FILTER(PLANTILLA[[ASESOR]:[FECHA DE CESE]],PLANTILLA[FECHA]=_xlfn.CONCAT($M$3,"_",_xlfn.IFS($N$3="ENERO","1",$N$3="FEBRERO","2",$N$3="MARZO","3",$N$3="ABRIL","4",$N$3="MAYO","5",$N$3="JUNIO","6",$N$3="JULIO","7",$N$3="AGOSTO","8",$N$3="SETIEMBRE","9",$N$3="OCTUBRE","10",$N$3="NOVIEMBRE","11",$N$3="DICIEMBRE","12"))),3,0),"")</f>
        <v>JOHAN</v>
      </c>
      <c r="B48" s="34" t="str" cm="1">
        <f t="array" ref="B48">TRIM(IFERROR(_xlfn.IFS(D1_ABRIL_2026[[#This Row],[ASESOR]]="ELVIS GUERRA","ELVIS GUERRERA",D1_ABRIL_2026[[#This Row],[ASESOR]]="GENESIS VICUÑA","GENESIS VICUNA",D1_ABRIL_2026[[#This Row],[ASESOR]]="JENY QUIÑONES","JENY QUINONES",D1_ABRIL_2026[[#This Row],[ASESOR]]="NICOLE CAURURO","NICOLE CAURURO"),D1_ABRIL_2026[[#This Row],[ASESOR]]))</f>
        <v>JENY LAZARO</v>
      </c>
      <c r="C48" s="34" cm="1">
        <f t="array" ref="C48">_xlfn.XLOOKUP(1,(TablaMeta[CONCAT]=$M$3&amp;$N$3&amp;D1_ABRIL_2026[[#This Row],[SUPER]])*(TablaMeta[SEGG]=D1_ABRIL_2026[[#This Row],[SEGMENTO]]),TablaMeta[Meta_Asesor])</f>
        <v>48500</v>
      </c>
      <c r="D48" s="35">
        <f>IF(D1_ABRIL_2026[[#This Row],[RECUPERO]]="VACACIONES","VACACIONES",IFERROR(D1_ABRIL_2026[[#This Row],[RECUPERO]]/D1_ABRIL_2026[[#This Row],[META]],""))</f>
        <v>0.53338144329896908</v>
      </c>
      <c r="E48" s="35" t="str">
        <f>D1_ABRIL_2026[[#This Row],[SUPER]]</f>
        <v>JOHAN</v>
      </c>
      <c r="F48" t="s">
        <v>26</v>
      </c>
      <c r="G48" s="36">
        <v>25869</v>
      </c>
      <c r="H48" cm="1">
        <f t="array" ref="H48">IFERROR(VLOOKUP(D1_ABRIL_2026[[#This Row],[ASESOR_CRR]],_xlfn._xlws.FILTER(PLANTILLA[[ASESOR]:[FECHA DE CESE]],PLANTILLA[FECHA]=_xlfn.CONCAT($M$3,"_",_xlfn.IFS($N$3="ENERO","1",$N$3="FEBRERO","2",$N$3="MARZO","3",$N$3="ABRIL","4",$N$3="MAYO","5",$N$3="JUNIO","6",$N$3="JULIO","7",$N$3="AGOSTO","8",$N$3="SETIEMBRE","9",$N$3="OCTUBRE","10",$N$3="NOVIEMBRE","11",$N$3="DICIEMBRE","12"))),2,0),"")</f>
        <v>41005089</v>
      </c>
      <c r="I48" s="55" cm="1">
        <f t="array" ref="I48">IFERROR(VLOOKUP(D1_ABRIL_2026[[#This Row],[ASESOR_CRR]],_xlfn._xlws.FILTER(PLANTILLA[[ASESOR]:[FECHA DE CESE]],PLANTILLA[FECHA]=_xlfn.CONCAT($M$3,"_",_xlfn.IFS($N$3="ENERO","1",$N$3="FEBRERO","2",$N$3="MARZO","3",$N$3="ABRIL","4",$N$3="MAYO","5",$N$3="JUNIO","6",$N$3="JULIO","7",$N$3="AGOSTO","8",$N$3="SETIEMBRE","9",$N$3="OCTUBRE","10",$N$3="NOVIEMBRE","11",$N$3="DICIEMBRE","12"))),6,0),"")</f>
        <v>44257</v>
      </c>
      <c r="J48" s="55" t="str" cm="1">
        <f t="array" ref="J48">IFERROR(VLOOKUP(D1_ABRIL_2026[[#This Row],[ASESOR_CRR]],_xlfn._xlws.FILTER(PLANTILLA[[ASESOR]:[FECHA DE CESE]],PLANTILLA[FECHA]=_xlfn.CONCAT($M$3,"_",_xlfn.IFS($N$3="ENERO","1",$N$3="FEBRERO","2",$N$3="MARZO","3",$N$3="ABRIL","4",$N$3="MAYO","5",$N$3="JUNIO","6",$N$3="JULIO","7",$N$3="AGOSTO","8",$N$3="SETIEMBRE","9",$N$3="OCTUBRE","10",$N$3="NOVIEMBRE","11",$N$3="DICIEMBRE","12"))),4,0),"")</f>
        <v>CALL</v>
      </c>
      <c r="K48" s="55" t="str" cm="1">
        <f t="array" ref="K48">IFERROR(VLOOKUP(D1_ABRIL_2026[[#This Row],[ASESOR_CRR]],_xlfn._xlws.FILTER(PLANTILLA[[ASESOR]:[FECHA DE CESE]],PLANTILLA[FECHA]=_xlfn.CONCAT($M$3,"_",_xlfn.IFS($N$3="ENERO","1",$N$3="FEBRERO","2",$N$3="MARZO","3",$N$3="ABRIL","4",$N$3="MAYO","5",$N$3="JUNIO","6",$N$3="JULIO","7",$N$3="AGOSTO","8",$N$3="SETIEMBRE","9",$N$3="OCTUBRE","10",$N$3="NOVIEMBRE","11",$N$3="DICIEMBRE","12"))),8,0),"")</f>
        <v>S1</v>
      </c>
      <c r="L48" s="55"/>
      <c r="M48" s="5">
        <f>DATA_ABRIL_2026[[#This Row],[RECUPERO]]/DATA_ABRIL_2026[[#This Row],[META]]</f>
        <v>1.0908461538461538</v>
      </c>
      <c r="N48" s="5">
        <f>6-ROUNDUP(_xlfn.RANK.EQ(DATA_ABRIL_2026[[#This Row],[AL_AC]],DATA_ABRIL_2026[AL_AC],0)/(COUNTA(DATA_ABRIL_2026[AL_AC])/5),0)</f>
        <v>4</v>
      </c>
      <c r="O48" s="54" t="str">
        <f>IFERROR(VLOOKUP(DATA_ABRIL_2026[[#This Row],[ASER_]],$B:$G,4,0),"")</f>
        <v>KENNETH</v>
      </c>
      <c r="P48" s="6">
        <f>SUM(DATA_ABRIL_2026[[#This Row],[1]:[30]])</f>
        <v>56724</v>
      </c>
      <c r="Q48" s="6">
        <f>VLOOKUP(DATA_ABRIL_2026[[#This Row],[ASER_]],D1_ABRIL_2026[[ASESOR_CRR]:[META]],2,0)</f>
        <v>52000</v>
      </c>
      <c r="R48" t="s">
        <v>38</v>
      </c>
      <c r="V48">
        <v>600</v>
      </c>
      <c r="Y48">
        <v>5000</v>
      </c>
      <c r="AB48" s="6">
        <v>500</v>
      </c>
      <c r="AC48" s="6">
        <v>1525</v>
      </c>
      <c r="AD48" s="6">
        <v>2300</v>
      </c>
      <c r="AE48" s="6">
        <v>300</v>
      </c>
      <c r="AF48" s="6">
        <v>3350</v>
      </c>
      <c r="AG48" s="6"/>
      <c r="AH48" s="6">
        <v>6000</v>
      </c>
      <c r="AI48" s="6">
        <v>1526</v>
      </c>
      <c r="AJ48" s="6">
        <v>1280</v>
      </c>
      <c r="AK48" s="6"/>
      <c r="AL48" s="6">
        <v>7550</v>
      </c>
      <c r="AM48" s="6">
        <v>452</v>
      </c>
      <c r="AN48" s="6"/>
      <c r="AO48" s="6">
        <v>2600</v>
      </c>
      <c r="AP48" s="6">
        <v>10211</v>
      </c>
      <c r="AQ48">
        <v>10500</v>
      </c>
      <c r="AR48">
        <v>3030</v>
      </c>
      <c r="AS48" s="54" t="str" cm="1">
        <f t="array" ref="AS48">IFERROR(VLOOKUP(DATA_ABRIL_2026[[#This Row],[ASER_]],_xlfn._xlws.FILTER(PLANTILLA[[ASESOR]:[FECHA DE CESE]],PLANTILLA[FECHA]=_xlfn.CONCAT($M$3,"_",_xlfn.IFS($N$3="ENERO","1",$N$3="FEBRERO","2",$N$3="MARZO","3",$N$3="ABRIL","4",$N$3="MAYO","5",$N$3="JUNIO","6",$N$3="JULIO","7",$N$3="AGOSTO","8",$N$3="SETIEMBRE","9",$N$3="OCTUBRE","10",$N$3="NOVIEMBRE","11",$N$3="DICIEMBRE","12"))),8,0),"")</f>
        <v>S0</v>
      </c>
      <c r="AX48" s="45"/>
      <c r="AY48" s="45"/>
      <c r="AZ48" s="45"/>
      <c r="BA48" s="45"/>
      <c r="BB48" s="45"/>
      <c r="BC48" s="45"/>
      <c r="BD48" s="45"/>
      <c r="BE48" s="45"/>
      <c r="BF48" s="45"/>
      <c r="BG48" s="45"/>
      <c r="BH48" s="45"/>
      <c r="CG48" t="s">
        <v>636</v>
      </c>
      <c r="CH48" t="s">
        <v>2</v>
      </c>
      <c r="CI48" t="s">
        <v>81</v>
      </c>
      <c r="CJ48">
        <v>46121</v>
      </c>
      <c r="CK48">
        <v>1</v>
      </c>
      <c r="CL48">
        <v>1</v>
      </c>
      <c r="CM48">
        <v>1</v>
      </c>
      <c r="CP48">
        <v>1.0243055555555556E-2</v>
      </c>
      <c r="CQ48">
        <v>1.0243055555555556E-2</v>
      </c>
      <c r="CR48">
        <v>0.34259259259259262</v>
      </c>
      <c r="CS48">
        <v>8.261574074074074E-2</v>
      </c>
      <c r="CT48">
        <v>115</v>
      </c>
      <c r="CU48">
        <v>172</v>
      </c>
      <c r="CV48">
        <v>14</v>
      </c>
      <c r="CW48" t="s">
        <v>705</v>
      </c>
      <c r="CX48">
        <v>19507</v>
      </c>
      <c r="CY48">
        <v>0.1217</v>
      </c>
      <c r="CZ48">
        <v>2</v>
      </c>
      <c r="DA48">
        <v>0.1429</v>
      </c>
      <c r="DB48">
        <v>590</v>
      </c>
      <c r="DC48">
        <v>295</v>
      </c>
      <c r="DD48">
        <v>590</v>
      </c>
      <c r="DE48">
        <v>1</v>
      </c>
      <c r="DF48">
        <v>0.82589999999999997</v>
      </c>
      <c r="DG48">
        <v>96</v>
      </c>
      <c r="DH48">
        <v>295</v>
      </c>
      <c r="DI48">
        <f>Tabla82[[#This Row],[IND_MontoPDP]]*Tabla82[[#This Row],[IND_Condonacion]]</f>
        <v>487.28100000000001</v>
      </c>
    </row>
    <row r="49" spans="1:113" x14ac:dyDescent="0.25">
      <c r="A49" s="34" t="str" cm="1">
        <f t="array" ref="A49">IFERROR(VLOOKUP(D1_ABRIL_2026[[#This Row],[ASESOR_CRR]],_xlfn._xlws.FILTER(PLANTILLA[[ASESOR]:[FECHA DE CESE]],PLANTILLA[FECHA]=_xlfn.CONCAT($M$3,"_",_xlfn.IFS($N$3="ENERO","1",$N$3="FEBRERO","2",$N$3="MARZO","3",$N$3="ABRIL","4",$N$3="MAYO","5",$N$3="JUNIO","6",$N$3="JULIO","7",$N$3="AGOSTO","8",$N$3="SETIEMBRE","9",$N$3="OCTUBRE","10",$N$3="NOVIEMBRE","11",$N$3="DICIEMBRE","12"))),3,0),"")</f>
        <v>JOHAN</v>
      </c>
      <c r="B49" s="34" t="str" cm="1">
        <f t="array" ref="B49">TRIM(IFERROR(_xlfn.IFS(D1_ABRIL_2026[[#This Row],[ASESOR]]="ELVIS GUERRA","ELVIS GUERRERA",D1_ABRIL_2026[[#This Row],[ASESOR]]="GENESIS VICUÑA","GENESIS VICUNA",D1_ABRIL_2026[[#This Row],[ASESOR]]="JENY QUIÑONES","JENY QUINONES",D1_ABRIL_2026[[#This Row],[ASESOR]]="NICOLE CAURURO","NICOLE CAURURO"),D1_ABRIL_2026[[#This Row],[ASESOR]]))</f>
        <v>ALEIDITH GUEVARA</v>
      </c>
      <c r="C49" s="34" cm="1">
        <f t="array" ref="C49">_xlfn.XLOOKUP(1,(TablaMeta[CONCAT]=$M$3&amp;$N$3&amp;D1_ABRIL_2026[[#This Row],[SUPER]])*(TablaMeta[SEGG]=D1_ABRIL_2026[[#This Row],[SEGMENTO]]),TablaMeta[Meta_Asesor])</f>
        <v>48500</v>
      </c>
      <c r="D49" s="35">
        <f>IF(D1_ABRIL_2026[[#This Row],[RECUPERO]]="VACACIONES","VACACIONES",IFERROR(D1_ABRIL_2026[[#This Row],[RECUPERO]]/D1_ABRIL_2026[[#This Row],[META]],""))</f>
        <v>0.464680412371134</v>
      </c>
      <c r="E49" s="35" t="str">
        <f>D1_ABRIL_2026[[#This Row],[SUPER]]</f>
        <v>JOHAN</v>
      </c>
      <c r="F49" t="s">
        <v>18</v>
      </c>
      <c r="G49" s="36">
        <v>22537</v>
      </c>
      <c r="H49" cm="1">
        <f t="array" ref="H49">IFERROR(VLOOKUP(D1_ABRIL_2026[[#This Row],[ASESOR_CRR]],_xlfn._xlws.FILTER(PLANTILLA[[ASESOR]:[FECHA DE CESE]],PLANTILLA[FECHA]=_xlfn.CONCAT($M$3,"_",_xlfn.IFS($N$3="ENERO","1",$N$3="FEBRERO","2",$N$3="MARZO","3",$N$3="ABRIL","4",$N$3="MAYO","5",$N$3="JUNIO","6",$N$3="JULIO","7",$N$3="AGOSTO","8",$N$3="SETIEMBRE","9",$N$3="OCTUBRE","10",$N$3="NOVIEMBRE","11",$N$3="DICIEMBRE","12"))),2,0),"")</f>
        <v>76214436</v>
      </c>
      <c r="I49" s="55" cm="1">
        <f t="array" ref="I49">IFERROR(VLOOKUP(D1_ABRIL_2026[[#This Row],[ASESOR_CRR]],_xlfn._xlws.FILTER(PLANTILLA[[ASESOR]:[FECHA DE CESE]],PLANTILLA[FECHA]=_xlfn.CONCAT($M$3,"_",_xlfn.IFS($N$3="ENERO","1",$N$3="FEBRERO","2",$N$3="MARZO","3",$N$3="ABRIL","4",$N$3="MAYO","5",$N$3="JUNIO","6",$N$3="JULIO","7",$N$3="AGOSTO","8",$N$3="SETIEMBRE","9",$N$3="OCTUBRE","10",$N$3="NOVIEMBRE","11",$N$3="DICIEMBRE","12"))),6,0),"")</f>
        <v>45132</v>
      </c>
      <c r="J49" s="55" t="str" cm="1">
        <f t="array" ref="J49">IFERROR(VLOOKUP(D1_ABRIL_2026[[#This Row],[ASESOR_CRR]],_xlfn._xlws.FILTER(PLANTILLA[[ASESOR]:[FECHA DE CESE]],PLANTILLA[FECHA]=_xlfn.CONCAT($M$3,"_",_xlfn.IFS($N$3="ENERO","1",$N$3="FEBRERO","2",$N$3="MARZO","3",$N$3="ABRIL","4",$N$3="MAYO","5",$N$3="JUNIO","6",$N$3="JULIO","7",$N$3="AGOSTO","8",$N$3="SETIEMBRE","9",$N$3="OCTUBRE","10",$N$3="NOVIEMBRE","11",$N$3="DICIEMBRE","12"))),4,0),"")</f>
        <v>CALL</v>
      </c>
      <c r="K49" s="55" t="str" cm="1">
        <f t="array" ref="K49">IFERROR(VLOOKUP(D1_ABRIL_2026[[#This Row],[ASESOR_CRR]],_xlfn._xlws.FILTER(PLANTILLA[[ASESOR]:[FECHA DE CESE]],PLANTILLA[FECHA]=_xlfn.CONCAT($M$3,"_",_xlfn.IFS($N$3="ENERO","1",$N$3="FEBRERO","2",$N$3="MARZO","3",$N$3="ABRIL","4",$N$3="MAYO","5",$N$3="JUNIO","6",$N$3="JULIO","7",$N$3="AGOSTO","8",$N$3="SETIEMBRE","9",$N$3="OCTUBRE","10",$N$3="NOVIEMBRE","11",$N$3="DICIEMBRE","12"))),8,0),"")</f>
        <v>S1</v>
      </c>
      <c r="L49" s="55"/>
      <c r="M49" s="5">
        <f>DATA_ABRIL_2026[[#This Row],[RECUPERO]]/DATA_ABRIL_2026[[#This Row],[META]]</f>
        <v>0.90045360824742271</v>
      </c>
      <c r="N49" s="5">
        <f>6-ROUNDUP(_xlfn.RANK.EQ(DATA_ABRIL_2026[[#This Row],[AL_AC]],DATA_ABRIL_2026[AL_AC],0)/(COUNTA(DATA_ABRIL_2026[AL_AC])/5),0)</f>
        <v>3</v>
      </c>
      <c r="O49" s="54" t="str">
        <f>IFERROR(VLOOKUP(DATA_ABRIL_2026[[#This Row],[ASER_]],$B:$G,4,0),"")</f>
        <v>JOHAN</v>
      </c>
      <c r="P49" s="6">
        <f>SUM(DATA_ABRIL_2026[[#This Row],[1]:[30]])</f>
        <v>43672</v>
      </c>
      <c r="Q49" s="6">
        <f>VLOOKUP(DATA_ABRIL_2026[[#This Row],[ASER_]],D1_ABRIL_2026[[ASESOR_CRR]:[META]],2,0)</f>
        <v>48500</v>
      </c>
      <c r="R49" t="s">
        <v>75</v>
      </c>
      <c r="X49">
        <v>900</v>
      </c>
      <c r="AB49" s="6"/>
      <c r="AC49" s="6"/>
      <c r="AD49" s="6">
        <v>2000</v>
      </c>
      <c r="AE49" s="6">
        <v>2933</v>
      </c>
      <c r="AF49" s="6">
        <v>2900</v>
      </c>
      <c r="AG49" s="6"/>
      <c r="AH49" s="6">
        <v>10750</v>
      </c>
      <c r="AI49" s="6"/>
      <c r="AJ49" s="6">
        <v>2650</v>
      </c>
      <c r="AK49" s="6">
        <v>57</v>
      </c>
      <c r="AL49" s="6"/>
      <c r="AM49" s="6"/>
      <c r="AN49" s="6"/>
      <c r="AO49" s="6">
        <v>8500</v>
      </c>
      <c r="AP49" s="6">
        <v>2132</v>
      </c>
      <c r="AQ49" s="6">
        <v>4905</v>
      </c>
      <c r="AR49">
        <v>5945</v>
      </c>
      <c r="AS49" s="54" t="str" cm="1">
        <f t="array" ref="AS49">IFERROR(VLOOKUP(DATA_ABRIL_2026[[#This Row],[ASER_]],_xlfn._xlws.FILTER(PLANTILLA[[ASESOR]:[FECHA DE CESE]],PLANTILLA[FECHA]=_xlfn.CONCAT($M$3,"_",_xlfn.IFS($N$3="ENERO","1",$N$3="FEBRERO","2",$N$3="MARZO","3",$N$3="ABRIL","4",$N$3="MAYO","5",$N$3="JUNIO","6",$N$3="JULIO","7",$N$3="AGOSTO","8",$N$3="SETIEMBRE","9",$N$3="OCTUBRE","10",$N$3="NOVIEMBRE","11",$N$3="DICIEMBRE","12"))),8,0),"")</f>
        <v>S1</v>
      </c>
      <c r="AX49" s="45"/>
      <c r="AY49" s="45"/>
      <c r="AZ49" s="45"/>
      <c r="BA49" s="45"/>
      <c r="BB49" s="45"/>
      <c r="BC49" s="45"/>
      <c r="BD49" s="45"/>
      <c r="BE49" s="45"/>
      <c r="BF49" s="45"/>
      <c r="BG49" s="45"/>
      <c r="BH49" s="45"/>
      <c r="CG49" t="s">
        <v>636</v>
      </c>
      <c r="CH49" t="s">
        <v>2</v>
      </c>
      <c r="CI49" t="s">
        <v>24</v>
      </c>
      <c r="CJ49">
        <v>46121</v>
      </c>
      <c r="CK49">
        <v>1</v>
      </c>
      <c r="CL49">
        <v>1</v>
      </c>
      <c r="CM49">
        <v>1</v>
      </c>
      <c r="CP49">
        <v>9.432870370370371E-3</v>
      </c>
      <c r="CQ49">
        <v>9.432870370370371E-3</v>
      </c>
      <c r="CR49">
        <v>0.3051388888888889</v>
      </c>
      <c r="CS49">
        <v>0.11993055555555555</v>
      </c>
      <c r="CT49">
        <v>74</v>
      </c>
      <c r="CU49">
        <v>111</v>
      </c>
      <c r="CV49">
        <v>15</v>
      </c>
      <c r="CW49" t="s">
        <v>674</v>
      </c>
      <c r="CX49">
        <v>14835</v>
      </c>
      <c r="CY49">
        <v>0.20269999999999999</v>
      </c>
      <c r="DG49">
        <v>96</v>
      </c>
      <c r="DI49">
        <f>Tabla82[[#This Row],[IND_MontoPDP]]*Tabla82[[#This Row],[IND_Condonacion]]</f>
        <v>0</v>
      </c>
    </row>
    <row r="50" spans="1:113" x14ac:dyDescent="0.25">
      <c r="A50" s="34" t="str" cm="1">
        <f t="array" ref="A50">IFERROR(VLOOKUP(D1_ABRIL_2026[[#This Row],[ASESOR_CRR]],_xlfn._xlws.FILTER(PLANTILLA[[ASESOR]:[FECHA DE CESE]],PLANTILLA[FECHA]=_xlfn.CONCAT($M$3,"_",_xlfn.IFS($N$3="ENERO","1",$N$3="FEBRERO","2",$N$3="MARZO","3",$N$3="ABRIL","4",$N$3="MAYO","5",$N$3="JUNIO","6",$N$3="JULIO","7",$N$3="AGOSTO","8",$N$3="SETIEMBRE","9",$N$3="OCTUBRE","10",$N$3="NOVIEMBRE","11",$N$3="DICIEMBRE","12"))),3,0),"")</f>
        <v>JOHAN</v>
      </c>
      <c r="B50" s="34" t="str" cm="1">
        <f t="array" ref="B50">TRIM(IFERROR(_xlfn.IFS(D1_ABRIL_2026[[#This Row],[ASESOR]]="ELVIS GUERRA","ELVIS GUERRERA",D1_ABRIL_2026[[#This Row],[ASESOR]]="GENESIS VICUÑA","GENESIS VICUNA",D1_ABRIL_2026[[#This Row],[ASESOR]]="JENY QUIÑONES","JENY QUINONES",D1_ABRIL_2026[[#This Row],[ASESOR]]="NICOLE CAURURO","NICOLE CAURURO"),D1_ABRIL_2026[[#This Row],[ASESOR]]))</f>
        <v>VERONICA TASAYCO</v>
      </c>
      <c r="C50" s="34" cm="1">
        <f t="array" ref="C50">_xlfn.XLOOKUP(1,(TablaMeta[CONCAT]=$M$3&amp;$N$3&amp;D1_ABRIL_2026[[#This Row],[SUPER]])*(TablaMeta[SEGG]=D1_ABRIL_2026[[#This Row],[SEGMENTO]]),TablaMeta[Meta_Asesor])</f>
        <v>48500</v>
      </c>
      <c r="D50" s="35">
        <f>IF(D1_ABRIL_2026[[#This Row],[RECUPERO]]="VACACIONES","VACACIONES",IFERROR(D1_ABRIL_2026[[#This Row],[RECUPERO]]/D1_ABRIL_2026[[#This Row],[META]],""))</f>
        <v>0.39278350515463917</v>
      </c>
      <c r="E50" s="35" t="str">
        <f>D1_ABRIL_2026[[#This Row],[SUPER]]</f>
        <v>JOHAN</v>
      </c>
      <c r="F50" t="s">
        <v>10</v>
      </c>
      <c r="G50" s="36">
        <v>19050</v>
      </c>
      <c r="H50" cm="1">
        <f t="array" ref="H50">IFERROR(VLOOKUP(D1_ABRIL_2026[[#This Row],[ASESOR_CRR]],_xlfn._xlws.FILTER(PLANTILLA[[ASESOR]:[FECHA DE CESE]],PLANTILLA[FECHA]=_xlfn.CONCAT($M$3,"_",_xlfn.IFS($N$3="ENERO","1",$N$3="FEBRERO","2",$N$3="MARZO","3",$N$3="ABRIL","4",$N$3="MAYO","5",$N$3="JUNIO","6",$N$3="JULIO","7",$N$3="AGOSTO","8",$N$3="SETIEMBRE","9",$N$3="OCTUBRE","10",$N$3="NOVIEMBRE","11",$N$3="DICIEMBRE","12"))),2,0),"")</f>
        <v>40980108</v>
      </c>
      <c r="I50" s="55" cm="1">
        <f t="array" ref="I50">IFERROR(VLOOKUP(D1_ABRIL_2026[[#This Row],[ASESOR_CRR]],_xlfn._xlws.FILTER(PLANTILLA[[ASESOR]:[FECHA DE CESE]],PLANTILLA[FECHA]=_xlfn.CONCAT($M$3,"_",_xlfn.IFS($N$3="ENERO","1",$N$3="FEBRERO","2",$N$3="MARZO","3",$N$3="ABRIL","4",$N$3="MAYO","5",$N$3="JUNIO","6",$N$3="JULIO","7",$N$3="AGOSTO","8",$N$3="SETIEMBRE","9",$N$3="OCTUBRE","10",$N$3="NOVIEMBRE","11",$N$3="DICIEMBRE","12"))),6,0),"")</f>
        <v>44704</v>
      </c>
      <c r="J50" s="55" t="str" cm="1">
        <f t="array" ref="J50">IFERROR(VLOOKUP(D1_ABRIL_2026[[#This Row],[ASESOR_CRR]],_xlfn._xlws.FILTER(PLANTILLA[[ASESOR]:[FECHA DE CESE]],PLANTILLA[FECHA]=_xlfn.CONCAT($M$3,"_",_xlfn.IFS($N$3="ENERO","1",$N$3="FEBRERO","2",$N$3="MARZO","3",$N$3="ABRIL","4",$N$3="MAYO","5",$N$3="JUNIO","6",$N$3="JULIO","7",$N$3="AGOSTO","8",$N$3="SETIEMBRE","9",$N$3="OCTUBRE","10",$N$3="NOVIEMBRE","11",$N$3="DICIEMBRE","12"))),4,0),"")</f>
        <v>CALL</v>
      </c>
      <c r="K50" s="55" t="str" cm="1">
        <f t="array" ref="K50">IFERROR(VLOOKUP(D1_ABRIL_2026[[#This Row],[ASESOR_CRR]],_xlfn._xlws.FILTER(PLANTILLA[[ASESOR]:[FECHA DE CESE]],PLANTILLA[FECHA]=_xlfn.CONCAT($M$3,"_",_xlfn.IFS($N$3="ENERO","1",$N$3="FEBRERO","2",$N$3="MARZO","3",$N$3="ABRIL","4",$N$3="MAYO","5",$N$3="JUNIO","6",$N$3="JULIO","7",$N$3="AGOSTO","8",$N$3="SETIEMBRE","9",$N$3="OCTUBRE","10",$N$3="NOVIEMBRE","11",$N$3="DICIEMBRE","12"))),8,0),"")</f>
        <v>S1</v>
      </c>
      <c r="L50" s="55"/>
      <c r="M50" s="5">
        <f>DATA_ABRIL_2026[[#This Row],[RECUPERO]]/DATA_ABRIL_2026[[#This Row],[META]]</f>
        <v>1.2054415384615385</v>
      </c>
      <c r="N50" s="5">
        <f>6-ROUNDUP(_xlfn.RANK.EQ(DATA_ABRIL_2026[[#This Row],[AL_AC]],DATA_ABRIL_2026[AL_AC],0)/(COUNTA(DATA_ABRIL_2026[AL_AC])/5),0)</f>
        <v>4</v>
      </c>
      <c r="O50" s="54" t="str">
        <f>IFERROR(VLOOKUP(DATA_ABRIL_2026[[#This Row],[ASER_]],$B:$G,4,0),"")</f>
        <v>KENNETH</v>
      </c>
      <c r="P50" s="6">
        <f>SUM(DATA_ABRIL_2026[[#This Row],[1]:[30]])</f>
        <v>62682.96</v>
      </c>
      <c r="Q50" s="6">
        <f>VLOOKUP(DATA_ABRIL_2026[[#This Row],[ASER_]],D1_ABRIL_2026[[ASESOR_CRR]:[META]],2,0)</f>
        <v>52000</v>
      </c>
      <c r="R50" t="s">
        <v>11</v>
      </c>
      <c r="V50">
        <v>10000</v>
      </c>
      <c r="W50">
        <v>5500</v>
      </c>
      <c r="Y50">
        <v>24800</v>
      </c>
      <c r="Z50">
        <v>4000</v>
      </c>
      <c r="AB50" s="6">
        <v>400</v>
      </c>
      <c r="AC50" s="6"/>
      <c r="AD50" s="6"/>
      <c r="AE50" s="6">
        <v>4994.0600000000004</v>
      </c>
      <c r="AF50" s="6">
        <v>99.9</v>
      </c>
      <c r="AG50" s="6"/>
      <c r="AH50" s="6"/>
      <c r="AI50" s="6">
        <v>1000</v>
      </c>
      <c r="AJ50" s="6">
        <v>2000</v>
      </c>
      <c r="AK50" s="6"/>
      <c r="AL50" s="6">
        <v>1500</v>
      </c>
      <c r="AM50" s="6">
        <v>840</v>
      </c>
      <c r="AN50" s="6"/>
      <c r="AO50" s="6">
        <v>1705</v>
      </c>
      <c r="AP50" s="6">
        <v>200</v>
      </c>
      <c r="AQ50" s="6">
        <v>120</v>
      </c>
      <c r="AR50">
        <v>5524</v>
      </c>
      <c r="AS50" s="54" t="str" cm="1">
        <f t="array" ref="AS50">IFERROR(VLOOKUP(DATA_ABRIL_2026[[#This Row],[ASER_]],_xlfn._xlws.FILTER(PLANTILLA[[ASESOR]:[FECHA DE CESE]],PLANTILLA[FECHA]=_xlfn.CONCAT($M$3,"_",_xlfn.IFS($N$3="ENERO","1",$N$3="FEBRERO","2",$N$3="MARZO","3",$N$3="ABRIL","4",$N$3="MAYO","5",$N$3="JUNIO","6",$N$3="JULIO","7",$N$3="AGOSTO","8",$N$3="SETIEMBRE","9",$N$3="OCTUBRE","10",$N$3="NOVIEMBRE","11",$N$3="DICIEMBRE","12"))),8,0),"")</f>
        <v>S0</v>
      </c>
      <c r="AX50" s="45"/>
      <c r="AY50" s="45"/>
      <c r="AZ50" s="45"/>
      <c r="BA50" s="45"/>
      <c r="BB50" s="45"/>
      <c r="BC50" s="45"/>
      <c r="BD50" s="45"/>
      <c r="BE50" s="45"/>
      <c r="BF50" s="45"/>
      <c r="BG50" s="45"/>
      <c r="BH50" s="45"/>
      <c r="CG50" t="s">
        <v>636</v>
      </c>
      <c r="CH50" t="s">
        <v>2</v>
      </c>
      <c r="CI50" t="s">
        <v>24</v>
      </c>
      <c r="CJ50">
        <v>46133</v>
      </c>
      <c r="CK50">
        <v>1</v>
      </c>
      <c r="CL50">
        <v>1</v>
      </c>
      <c r="CM50">
        <v>1</v>
      </c>
      <c r="CP50">
        <v>6.7592592592592591E-3</v>
      </c>
      <c r="CQ50">
        <v>6.7592592592592591E-3</v>
      </c>
      <c r="CR50">
        <v>0.21685185185185185</v>
      </c>
      <c r="CS50">
        <v>0.20303240740740741</v>
      </c>
      <c r="CT50">
        <v>67</v>
      </c>
      <c r="CU50">
        <v>149</v>
      </c>
      <c r="CV50">
        <v>33</v>
      </c>
      <c r="CW50">
        <v>2</v>
      </c>
      <c r="CX50">
        <v>24985</v>
      </c>
      <c r="CY50">
        <v>0.49249999999999999</v>
      </c>
      <c r="CZ50">
        <v>2</v>
      </c>
      <c r="DA50">
        <v>6.0600000000000001E-2</v>
      </c>
      <c r="DB50">
        <v>6000</v>
      </c>
      <c r="DC50">
        <v>3000</v>
      </c>
      <c r="DD50">
        <v>6000</v>
      </c>
      <c r="DE50">
        <v>1</v>
      </c>
      <c r="DF50">
        <v>0.1522</v>
      </c>
      <c r="DG50">
        <v>96</v>
      </c>
      <c r="DH50">
        <v>3000</v>
      </c>
      <c r="DI50">
        <f>Tabla82[[#This Row],[IND_MontoPDP]]*Tabla82[[#This Row],[IND_Condonacion]]</f>
        <v>913.2</v>
      </c>
    </row>
    <row r="51" spans="1:113" x14ac:dyDescent="0.25">
      <c r="A51" s="34" t="str" cm="1">
        <f t="array" ref="A51">IFERROR(VLOOKUP(D1_ABRIL_2026[[#This Row],[ASESOR_CRR]],_xlfn._xlws.FILTER(PLANTILLA[[ASESOR]:[FECHA DE CESE]],PLANTILLA[FECHA]=_xlfn.CONCAT($M$3,"_",_xlfn.IFS($N$3="ENERO","1",$N$3="FEBRERO","2",$N$3="MARZO","3",$N$3="ABRIL","4",$N$3="MAYO","5",$N$3="JUNIO","6",$N$3="JULIO","7",$N$3="AGOSTO","8",$N$3="SETIEMBRE","9",$N$3="OCTUBRE","10",$N$3="NOVIEMBRE","11",$N$3="DICIEMBRE","12"))),3,0),"")</f>
        <v>JOHAN</v>
      </c>
      <c r="B51" s="34" t="str" cm="1">
        <f t="array" ref="B51">TRIM(IFERROR(_xlfn.IFS(D1_ABRIL_2026[[#This Row],[ASESOR]]="ELVIS GUERRA","ELVIS GUERRERA",D1_ABRIL_2026[[#This Row],[ASESOR]]="GENESIS VICUÑA","GENESIS VICUNA",D1_ABRIL_2026[[#This Row],[ASESOR]]="JENY QUIÑONES","JENY QUINONES",D1_ABRIL_2026[[#This Row],[ASESOR]]="NICOLE CAURURO","NICOLE CAURURO"),D1_ABRIL_2026[[#This Row],[ASESOR]]))</f>
        <v>JEREMIAS ROJAS</v>
      </c>
      <c r="C51" s="34" cm="1">
        <f t="array" ref="C51">_xlfn.XLOOKUP(1,(TablaMeta[CONCAT]=$M$3&amp;$N$3&amp;D1_ABRIL_2026[[#This Row],[SUPER]])*(TablaMeta[SEGG]=D1_ABRIL_2026[[#This Row],[SEGMENTO]]),TablaMeta[Meta_Asesor])</f>
        <v>48500</v>
      </c>
      <c r="D51" s="35">
        <f>IF(D1_ABRIL_2026[[#This Row],[RECUPERO]]="VACACIONES","VACACIONES",IFERROR(D1_ABRIL_2026[[#This Row],[RECUPERO]]/D1_ABRIL_2026[[#This Row],[META]],""))</f>
        <v>8.216494845360825E-2</v>
      </c>
      <c r="E51" s="35" t="str">
        <f>D1_ABRIL_2026[[#This Row],[SUPER]]</f>
        <v>JOHAN</v>
      </c>
      <c r="F51" t="s">
        <v>122</v>
      </c>
      <c r="G51" s="36">
        <v>3985</v>
      </c>
      <c r="H51" cm="1">
        <f t="array" ref="H51">IFERROR(VLOOKUP(D1_ABRIL_2026[[#This Row],[ASESOR_CRR]],_xlfn._xlws.FILTER(PLANTILLA[[ASESOR]:[FECHA DE CESE]],PLANTILLA[FECHA]=_xlfn.CONCAT($M$3,"_",_xlfn.IFS($N$3="ENERO","1",$N$3="FEBRERO","2",$N$3="MARZO","3",$N$3="ABRIL","4",$N$3="MAYO","5",$N$3="JUNIO","6",$N$3="JULIO","7",$N$3="AGOSTO","8",$N$3="SETIEMBRE","9",$N$3="OCTUBRE","10",$N$3="NOVIEMBRE","11",$N$3="DICIEMBRE","12"))),2,0),"")</f>
        <v>76586998</v>
      </c>
      <c r="I51" s="55" cm="1">
        <f t="array" ref="I51">IFERROR(VLOOKUP(D1_ABRIL_2026[[#This Row],[ASESOR_CRR]],_xlfn._xlws.FILTER(PLANTILLA[[ASESOR]:[FECHA DE CESE]],PLANTILLA[FECHA]=_xlfn.CONCAT($M$3,"_",_xlfn.IFS($N$3="ENERO","1",$N$3="FEBRERO","2",$N$3="MARZO","3",$N$3="ABRIL","4",$N$3="MAYO","5",$N$3="JUNIO","6",$N$3="JULIO","7",$N$3="AGOSTO","8",$N$3="SETIEMBRE","9",$N$3="OCTUBRE","10",$N$3="NOVIEMBRE","11",$N$3="DICIEMBRE","12"))),6,0),"")</f>
        <v>45971</v>
      </c>
      <c r="J51" s="55" t="str" cm="1">
        <f t="array" ref="J51">IFERROR(VLOOKUP(D1_ABRIL_2026[[#This Row],[ASESOR_CRR]],_xlfn._xlws.FILTER(PLANTILLA[[ASESOR]:[FECHA DE CESE]],PLANTILLA[FECHA]=_xlfn.CONCAT($M$3,"_",_xlfn.IFS($N$3="ENERO","1",$N$3="FEBRERO","2",$N$3="MARZO","3",$N$3="ABRIL","4",$N$3="MAYO","5",$N$3="JUNIO","6",$N$3="JULIO","7",$N$3="AGOSTO","8",$N$3="SETIEMBRE","9",$N$3="OCTUBRE","10",$N$3="NOVIEMBRE","11",$N$3="DICIEMBRE","12"))),4,0),"")</f>
        <v>CESADO</v>
      </c>
      <c r="K51" s="55" t="str" cm="1">
        <f t="array" ref="K51">IFERROR(VLOOKUP(D1_ABRIL_2026[[#This Row],[ASESOR_CRR]],_xlfn._xlws.FILTER(PLANTILLA[[ASESOR]:[FECHA DE CESE]],PLANTILLA[FECHA]=_xlfn.CONCAT($M$3,"_",_xlfn.IFS($N$3="ENERO","1",$N$3="FEBRERO","2",$N$3="MARZO","3",$N$3="ABRIL","4",$N$3="MAYO","5",$N$3="JUNIO","6",$N$3="JULIO","7",$N$3="AGOSTO","8",$N$3="SETIEMBRE","9",$N$3="OCTUBRE","10",$N$3="NOVIEMBRE","11",$N$3="DICIEMBRE","12"))),8,0),"")</f>
        <v>S1</v>
      </c>
      <c r="L51" s="55"/>
      <c r="M51" s="5">
        <f>DATA_ABRIL_2026[[#This Row],[RECUPERO]]/DATA_ABRIL_2026[[#This Row],[META]]</f>
        <v>2.1300357142857145</v>
      </c>
      <c r="N51" s="5">
        <f>6-ROUNDUP(_xlfn.RANK.EQ(DATA_ABRIL_2026[[#This Row],[AL_AC]],DATA_ABRIL_2026[AL_AC],0)/(COUNTA(DATA_ABRIL_2026[AL_AC])/5),0)</f>
        <v>5</v>
      </c>
      <c r="O51" s="54" t="str">
        <f>IFERROR(VLOOKUP(DATA_ABRIL_2026[[#This Row],[ASER_]],$B:$G,4,0),"")</f>
        <v>SANDY</v>
      </c>
      <c r="P51" s="6">
        <f>SUM(DATA_ABRIL_2026[[#This Row],[1]:[30]])</f>
        <v>59641</v>
      </c>
      <c r="Q51" s="6">
        <f>VLOOKUP(DATA_ABRIL_2026[[#This Row],[ASER_]],D1_ABRIL_2026[[ASESOR_CRR]:[META]],2,0)</f>
        <v>28000</v>
      </c>
      <c r="R51" t="s">
        <v>79</v>
      </c>
      <c r="AB51" s="6"/>
      <c r="AC51" s="6">
        <v>350</v>
      </c>
      <c r="AD51" s="6">
        <v>291</v>
      </c>
      <c r="AE51" s="6"/>
      <c r="AF51" s="6">
        <v>1000</v>
      </c>
      <c r="AG51" s="6"/>
      <c r="AH51" s="6">
        <v>1000</v>
      </c>
      <c r="AI51" s="6">
        <v>5000</v>
      </c>
      <c r="AJ51" s="6"/>
      <c r="AK51" s="6"/>
      <c r="AL51" s="6"/>
      <c r="AM51" s="6"/>
      <c r="AN51" s="6"/>
      <c r="AO51" s="6">
        <v>13000</v>
      </c>
      <c r="AP51" s="6">
        <v>10500</v>
      </c>
      <c r="AQ51" s="6">
        <v>250</v>
      </c>
      <c r="AR51">
        <v>28250</v>
      </c>
      <c r="AS51" s="54" t="str" cm="1">
        <f t="array" ref="AS51">IFERROR(VLOOKUP(DATA_ABRIL_2026[[#This Row],[ASER_]],_xlfn._xlws.FILTER(PLANTILLA[[ASESOR]:[FECHA DE CESE]],PLANTILLA[FECHA]=_xlfn.CONCAT($M$3,"_",_xlfn.IFS($N$3="ENERO","1",$N$3="FEBRERO","2",$N$3="MARZO","3",$N$3="ABRIL","4",$N$3="MAYO","5",$N$3="JUNIO","6",$N$3="JULIO","7",$N$3="AGOSTO","8",$N$3="SETIEMBRE","9",$N$3="OCTUBRE","10",$N$3="NOVIEMBRE","11",$N$3="DICIEMBRE","12"))),8,0),"")</f>
        <v>S0</v>
      </c>
      <c r="AX51" s="45"/>
      <c r="AY51" s="45"/>
      <c r="AZ51" s="45"/>
      <c r="BA51" s="45"/>
      <c r="BB51" s="45"/>
      <c r="BC51" s="45"/>
      <c r="BD51" s="45"/>
      <c r="BE51" s="45"/>
      <c r="BF51" s="45"/>
      <c r="BG51" s="45"/>
      <c r="BH51" s="45"/>
      <c r="CG51" t="s">
        <v>636</v>
      </c>
      <c r="CH51" t="s">
        <v>2</v>
      </c>
      <c r="CI51" t="s">
        <v>42</v>
      </c>
      <c r="CJ51">
        <v>46139</v>
      </c>
      <c r="CK51">
        <v>1</v>
      </c>
      <c r="CL51">
        <v>1</v>
      </c>
      <c r="CN51">
        <v>1</v>
      </c>
      <c r="CP51">
        <v>1.0416666666666667E-4</v>
      </c>
      <c r="CQ51">
        <v>1.0416666666666667E-4</v>
      </c>
      <c r="CR51">
        <v>0.15739583333333335</v>
      </c>
      <c r="CS51">
        <v>0.14260416666666667</v>
      </c>
      <c r="CT51">
        <v>93</v>
      </c>
      <c r="CU51">
        <v>125</v>
      </c>
      <c r="CV51">
        <v>14</v>
      </c>
      <c r="CW51">
        <v>1.5</v>
      </c>
      <c r="CX51">
        <v>28154</v>
      </c>
      <c r="CY51">
        <v>0.15049999999999999</v>
      </c>
      <c r="CZ51">
        <v>2</v>
      </c>
      <c r="DA51">
        <v>0.1429</v>
      </c>
      <c r="DB51">
        <v>1650</v>
      </c>
      <c r="DC51">
        <v>825</v>
      </c>
      <c r="DD51">
        <v>1650</v>
      </c>
      <c r="DE51">
        <v>1</v>
      </c>
      <c r="DF51">
        <v>0.14180000000000001</v>
      </c>
      <c r="DG51">
        <v>96</v>
      </c>
      <c r="DH51">
        <v>825</v>
      </c>
      <c r="DI51">
        <f>Tabla82[[#This Row],[IND_MontoPDP]]*Tabla82[[#This Row],[IND_Condonacion]]</f>
        <v>233.97000000000003</v>
      </c>
    </row>
    <row r="52" spans="1:113" x14ac:dyDescent="0.25">
      <c r="A52" s="34" t="str" cm="1">
        <f t="array" ref="A52">IFERROR(VLOOKUP(D1_ABRIL_2026[[#This Row],[ASESOR_CRR]],_xlfn._xlws.FILTER(PLANTILLA[[ASESOR]:[FECHA DE CESE]],PLANTILLA[FECHA]=_xlfn.CONCAT($M$3,"_",_xlfn.IFS($N$3="ENERO","1",$N$3="FEBRERO","2",$N$3="MARZO","3",$N$3="ABRIL","4",$N$3="MAYO","5",$N$3="JUNIO","6",$N$3="JULIO","7",$N$3="AGOSTO","8",$N$3="SETIEMBRE","9",$N$3="OCTUBRE","10",$N$3="NOVIEMBRE","11",$N$3="DICIEMBRE","12"))),3,0),"")</f>
        <v>LEONOR</v>
      </c>
      <c r="B52" s="34" t="str" cm="1">
        <f t="array" ref="B52">TRIM(IFERROR(_xlfn.IFS(D1_ABRIL_2026[[#This Row],[ASESOR]]="ELVIS GUERRA","ELVIS GUERRERA",D1_ABRIL_2026[[#This Row],[ASESOR]]="GENESIS VICUÑA","GENESIS VICUNA",D1_ABRIL_2026[[#This Row],[ASESOR]]="JENY QUIÑONES","JENY QUINONES",D1_ABRIL_2026[[#This Row],[ASESOR]]="NICOLE CAURURO","NICOLE CAURURO"),D1_ABRIL_2026[[#This Row],[ASESOR]]))</f>
        <v>JUAN ALANOCCA</v>
      </c>
      <c r="C52" s="34" cm="1">
        <f t="array" ref="C52">_xlfn.XLOOKUP(1,(TablaMeta[CONCAT]=$M$3&amp;$N$3&amp;D1_ABRIL_2026[[#This Row],[SUPER]])*(TablaMeta[SEGG]=D1_ABRIL_2026[[#This Row],[SEGMENTO]]),TablaMeta[Meta_Asesor])</f>
        <v>25000</v>
      </c>
      <c r="D52" s="35">
        <f>IF(D1_ABRIL_2026[[#This Row],[RECUPERO]]="VACACIONES","VACACIONES",IFERROR(D1_ABRIL_2026[[#This Row],[RECUPERO]]/D1_ABRIL_2026[[#This Row],[META]],""))</f>
        <v>1.85192</v>
      </c>
      <c r="E52" s="35" t="str">
        <f>D1_ABRIL_2026[[#This Row],[SUPER]]</f>
        <v>LEONOR</v>
      </c>
      <c r="F52" t="s">
        <v>77</v>
      </c>
      <c r="G52" s="36">
        <v>46298</v>
      </c>
      <c r="H52" cm="1">
        <f t="array" ref="H52">IFERROR(VLOOKUP(D1_ABRIL_2026[[#This Row],[ASESOR_CRR]],_xlfn._xlws.FILTER(PLANTILLA[[ASESOR]:[FECHA DE CESE]],PLANTILLA[FECHA]=_xlfn.CONCAT($M$3,"_",_xlfn.IFS($N$3="ENERO","1",$N$3="FEBRERO","2",$N$3="MARZO","3",$N$3="ABRIL","4",$N$3="MAYO","5",$N$3="JUNIO","6",$N$3="JULIO","7",$N$3="AGOSTO","8",$N$3="SETIEMBRE","9",$N$3="OCTUBRE","10",$N$3="NOVIEMBRE","11",$N$3="DICIEMBRE","12"))),2,0),"")</f>
        <v>42251780</v>
      </c>
      <c r="I52" s="55" cm="1">
        <f t="array" ref="I52">IFERROR(VLOOKUP(D1_ABRIL_2026[[#This Row],[ASESOR_CRR]],_xlfn._xlws.FILTER(PLANTILLA[[ASESOR]:[FECHA DE CESE]],PLANTILLA[FECHA]=_xlfn.CONCAT($M$3,"_",_xlfn.IFS($N$3="ENERO","1",$N$3="FEBRERO","2",$N$3="MARZO","3",$N$3="ABRIL","4",$N$3="MAYO","5",$N$3="JUNIO","6",$N$3="JULIO","7",$N$3="AGOSTO","8",$N$3="SETIEMBRE","9",$N$3="OCTUBRE","10",$N$3="NOVIEMBRE","11",$N$3="DICIEMBRE","12"))),6,0),"")</f>
        <v>44838</v>
      </c>
      <c r="J52" s="55" t="str" cm="1">
        <f t="array" ref="J52">IFERROR(VLOOKUP(D1_ABRIL_2026[[#This Row],[ASESOR_CRR]],_xlfn._xlws.FILTER(PLANTILLA[[ASESOR]:[FECHA DE CESE]],PLANTILLA[FECHA]=_xlfn.CONCAT($M$3,"_",_xlfn.IFS($N$3="ENERO","1",$N$3="FEBRERO","2",$N$3="MARZO","3",$N$3="ABRIL","4",$N$3="MAYO","5",$N$3="JUNIO","6",$N$3="JULIO","7",$N$3="AGOSTO","8",$N$3="SETIEMBRE","9",$N$3="OCTUBRE","10",$N$3="NOVIEMBRE","11",$N$3="DICIEMBRE","12"))),4,0),"")</f>
        <v>CALL</v>
      </c>
      <c r="K52" s="55" t="str" cm="1">
        <f t="array" ref="K52">IFERROR(VLOOKUP(D1_ABRIL_2026[[#This Row],[ASESOR_CRR]],_xlfn._xlws.FILTER(PLANTILLA[[ASESOR]:[FECHA DE CESE]],PLANTILLA[FECHA]=_xlfn.CONCAT($M$3,"_",_xlfn.IFS($N$3="ENERO","1",$N$3="FEBRERO","2",$N$3="MARZO","3",$N$3="ABRIL","4",$N$3="MAYO","5",$N$3="JUNIO","6",$N$3="JULIO","7",$N$3="AGOSTO","8",$N$3="SETIEMBRE","9",$N$3="OCTUBRE","10",$N$3="NOVIEMBRE","11",$N$3="DICIEMBRE","12"))),8,0),"")</f>
        <v>S2-3-4 BANCO</v>
      </c>
      <c r="L52" s="55"/>
      <c r="M52" s="5">
        <f>DATA_ABRIL_2026[[#This Row],[RECUPERO]]/DATA_ABRIL_2026[[#This Row],[META]]</f>
        <v>0.25757575757575757</v>
      </c>
      <c r="N52" s="5">
        <f>6-ROUNDUP(_xlfn.RANK.EQ(DATA_ABRIL_2026[[#This Row],[AL_AC]],DATA_ABRIL_2026[AL_AC],0)/(COUNTA(DATA_ABRIL_2026[AL_AC])/5),0)</f>
        <v>1</v>
      </c>
      <c r="O52" s="54" t="str">
        <f>IFERROR(VLOOKUP(DATA_ABRIL_2026[[#This Row],[ASER_]],$B:$G,4,0),"")</f>
        <v>LEONOR</v>
      </c>
      <c r="P52" s="6">
        <f>SUM(DATA_ABRIL_2026[[#This Row],[1]:[30]])</f>
        <v>4250</v>
      </c>
      <c r="Q52" s="6">
        <f>VLOOKUP(DATA_ABRIL_2026[[#This Row],[ASER_]],D1_ABRIL_2026[[ASESOR_CRR]:[META]],2,0)</f>
        <v>16500</v>
      </c>
      <c r="R52" t="s">
        <v>566</v>
      </c>
      <c r="V52">
        <v>400</v>
      </c>
      <c r="Z52">
        <v>300</v>
      </c>
      <c r="AB52" s="6"/>
      <c r="AC52" s="6"/>
      <c r="AD52" s="6"/>
      <c r="AE52" s="6">
        <v>1400</v>
      </c>
      <c r="AF52" s="6">
        <v>350</v>
      </c>
      <c r="AG52" s="6"/>
      <c r="AH52" s="6"/>
      <c r="AI52" s="6"/>
      <c r="AJ52" s="6"/>
      <c r="AK52" s="6"/>
      <c r="AL52" s="6">
        <v>650</v>
      </c>
      <c r="AM52" s="6"/>
      <c r="AN52" s="6"/>
      <c r="AO52" s="6">
        <v>250</v>
      </c>
      <c r="AP52" s="6"/>
      <c r="AQ52" s="6"/>
      <c r="AR52">
        <v>900</v>
      </c>
      <c r="AS52" s="54" t="str" cm="1">
        <f t="array" ref="AS52">IFERROR(VLOOKUP(DATA_ABRIL_2026[[#This Row],[ASER_]],_xlfn._xlws.FILTER(PLANTILLA[[ASESOR]:[FECHA DE CESE]],PLANTILLA[FECHA]=_xlfn.CONCAT($M$3,"_",_xlfn.IFS($N$3="ENERO","1",$N$3="FEBRERO","2",$N$3="MARZO","3",$N$3="ABRIL","4",$N$3="MAYO","5",$N$3="JUNIO","6",$N$3="JULIO","7",$N$3="AGOSTO","8",$N$3="SETIEMBRE","9",$N$3="OCTUBRE","10",$N$3="NOVIEMBRE","11",$N$3="DICIEMBRE","12"))),8,0),"")</f>
        <v>S2-3-4 MIX</v>
      </c>
      <c r="AX52" s="45"/>
      <c r="AY52" s="45"/>
      <c r="AZ52" s="45"/>
      <c r="BA52" s="45"/>
      <c r="BB52" s="45"/>
      <c r="BC52" s="45"/>
      <c r="BD52" s="45"/>
      <c r="BE52" s="45"/>
      <c r="BF52" s="45"/>
      <c r="BG52" s="45"/>
      <c r="BH52" s="45"/>
      <c r="CG52" t="s">
        <v>636</v>
      </c>
      <c r="CH52" t="s">
        <v>2</v>
      </c>
      <c r="CI52" t="s">
        <v>65</v>
      </c>
      <c r="CJ52">
        <v>46121</v>
      </c>
      <c r="CK52">
        <v>1</v>
      </c>
      <c r="CL52">
        <v>1</v>
      </c>
      <c r="CM52">
        <v>1</v>
      </c>
      <c r="CP52">
        <v>6.9212962962962961E-3</v>
      </c>
      <c r="CQ52">
        <v>6.9212962962962961E-3</v>
      </c>
      <c r="CR52">
        <v>0.32469907407407406</v>
      </c>
      <c r="CS52">
        <v>9.0451388888888887E-2</v>
      </c>
      <c r="CT52">
        <v>55</v>
      </c>
      <c r="CU52">
        <v>122</v>
      </c>
      <c r="CV52">
        <v>7</v>
      </c>
      <c r="CW52" t="s">
        <v>745</v>
      </c>
      <c r="CX52">
        <v>32668</v>
      </c>
      <c r="CY52">
        <v>0.1273</v>
      </c>
      <c r="DG52">
        <v>96</v>
      </c>
      <c r="DI52">
        <f>Tabla82[[#This Row],[IND_MontoPDP]]*Tabla82[[#This Row],[IND_Condonacion]]</f>
        <v>0</v>
      </c>
    </row>
    <row r="53" spans="1:113" x14ac:dyDescent="0.25">
      <c r="A53" s="34" t="str" cm="1">
        <f t="array" ref="A53">IFERROR(VLOOKUP(D1_ABRIL_2026[[#This Row],[ASESOR_CRR]],_xlfn._xlws.FILTER(PLANTILLA[[ASESOR]:[FECHA DE CESE]],PLANTILLA[FECHA]=_xlfn.CONCAT($M$3,"_",_xlfn.IFS($N$3="ENERO","1",$N$3="FEBRERO","2",$N$3="MARZO","3",$N$3="ABRIL","4",$N$3="MAYO","5",$N$3="JUNIO","6",$N$3="JULIO","7",$N$3="AGOSTO","8",$N$3="SETIEMBRE","9",$N$3="OCTUBRE","10",$N$3="NOVIEMBRE","11",$N$3="DICIEMBRE","12"))),3,0),"")</f>
        <v>LEONOR</v>
      </c>
      <c r="B53" s="34" t="str" cm="1">
        <f t="array" ref="B53">TRIM(IFERROR(_xlfn.IFS(D1_ABRIL_2026[[#This Row],[ASESOR]]="ELVIS GUERRA","ELVIS GUERRERA",D1_ABRIL_2026[[#This Row],[ASESOR]]="GENESIS VICUÑA","GENESIS VICUNA",D1_ABRIL_2026[[#This Row],[ASESOR]]="JENY QUIÑONES","JENY QUINONES",D1_ABRIL_2026[[#This Row],[ASESOR]]="NICOLE CAURURO","NICOLE CAURURO"),D1_ABRIL_2026[[#This Row],[ASESOR]]))</f>
        <v>ALEJANDRO GONZALES</v>
      </c>
      <c r="C53" s="34" cm="1">
        <f t="array" ref="C53">_xlfn.XLOOKUP(1,(TablaMeta[CONCAT]=$M$3&amp;$N$3&amp;D1_ABRIL_2026[[#This Row],[SUPER]])*(TablaMeta[SEGG]=D1_ABRIL_2026[[#This Row],[SEGMENTO]]),TablaMeta[Meta_Asesor])</f>
        <v>25000</v>
      </c>
      <c r="D53" s="35">
        <f>IF(D1_ABRIL_2026[[#This Row],[RECUPERO]]="VACACIONES","VACACIONES",IFERROR(D1_ABRIL_2026[[#This Row],[RECUPERO]]/D1_ABRIL_2026[[#This Row],[META]],""))</f>
        <v>1.2295199999999999</v>
      </c>
      <c r="E53" s="35" t="str">
        <f>D1_ABRIL_2026[[#This Row],[SUPER]]</f>
        <v>LEONOR</v>
      </c>
      <c r="F53" t="s">
        <v>109</v>
      </c>
      <c r="G53" s="36">
        <v>30738</v>
      </c>
      <c r="H53" cm="1">
        <f t="array" ref="H53">IFERROR(VLOOKUP(D1_ABRIL_2026[[#This Row],[ASESOR_CRR]],_xlfn._xlws.FILTER(PLANTILLA[[ASESOR]:[FECHA DE CESE]],PLANTILLA[FECHA]=_xlfn.CONCAT($M$3,"_",_xlfn.IFS($N$3="ENERO","1",$N$3="FEBRERO","2",$N$3="MARZO","3",$N$3="ABRIL","4",$N$3="MAYO","5",$N$3="JUNIO","6",$N$3="JULIO","7",$N$3="AGOSTO","8",$N$3="SETIEMBRE","9",$N$3="OCTUBRE","10",$N$3="NOVIEMBRE","11",$N$3="DICIEMBRE","12"))),2,0),"")</f>
        <v>74626735</v>
      </c>
      <c r="I53" s="55" cm="1">
        <f t="array" ref="I53">IFERROR(VLOOKUP(D1_ABRIL_2026[[#This Row],[ASESOR_CRR]],_xlfn._xlws.FILTER(PLANTILLA[[ASESOR]:[FECHA DE CESE]],PLANTILLA[FECHA]=_xlfn.CONCAT($M$3,"_",_xlfn.IFS($N$3="ENERO","1",$N$3="FEBRERO","2",$N$3="MARZO","3",$N$3="ABRIL","4",$N$3="MAYO","5",$N$3="JUNIO","6",$N$3="JULIO","7",$N$3="AGOSTO","8",$N$3="SETIEMBRE","9",$N$3="OCTUBRE","10",$N$3="NOVIEMBRE","11",$N$3="DICIEMBRE","12"))),6,0),"")</f>
        <v>46024</v>
      </c>
      <c r="J53" s="55" t="str" cm="1">
        <f t="array" ref="J53">IFERROR(VLOOKUP(D1_ABRIL_2026[[#This Row],[ASESOR_CRR]],_xlfn._xlws.FILTER(PLANTILLA[[ASESOR]:[FECHA DE CESE]],PLANTILLA[FECHA]=_xlfn.CONCAT($M$3,"_",_xlfn.IFS($N$3="ENERO","1",$N$3="FEBRERO","2",$N$3="MARZO","3",$N$3="ABRIL","4",$N$3="MAYO","5",$N$3="JUNIO","6",$N$3="JULIO","7",$N$3="AGOSTO","8",$N$3="SETIEMBRE","9",$N$3="OCTUBRE","10",$N$3="NOVIEMBRE","11",$N$3="DICIEMBRE","12"))),4,0),"")</f>
        <v>CALL</v>
      </c>
      <c r="K53" s="55" t="str" cm="1">
        <f t="array" ref="K53">IFERROR(VLOOKUP(D1_ABRIL_2026[[#This Row],[ASESOR_CRR]],_xlfn._xlws.FILTER(PLANTILLA[[ASESOR]:[FECHA DE CESE]],PLANTILLA[FECHA]=_xlfn.CONCAT($M$3,"_",_xlfn.IFS($N$3="ENERO","1",$N$3="FEBRERO","2",$N$3="MARZO","3",$N$3="ABRIL","4",$N$3="MAYO","5",$N$3="JUNIO","6",$N$3="JULIO","7",$N$3="AGOSTO","8",$N$3="SETIEMBRE","9",$N$3="OCTUBRE","10",$N$3="NOVIEMBRE","11",$N$3="DICIEMBRE","12"))),8,0),"")</f>
        <v>S2-3-4 BANCO</v>
      </c>
      <c r="L53" s="55"/>
      <c r="M53" s="5">
        <f>DATA_ABRIL_2026[[#This Row],[RECUPERO]]/DATA_ABRIL_2026[[#This Row],[META]]</f>
        <v>1.2354807692307692</v>
      </c>
      <c r="N53" s="5">
        <f>6-ROUNDUP(_xlfn.RANK.EQ(DATA_ABRIL_2026[[#This Row],[AL_AC]],DATA_ABRIL_2026[AL_AC],0)/(COUNTA(DATA_ABRIL_2026[AL_AC])/5),0)</f>
        <v>5</v>
      </c>
      <c r="O53" s="54" t="str">
        <f>IFERROR(VLOOKUP(DATA_ABRIL_2026[[#This Row],[ASER_]],$B:$G,4,0),"")</f>
        <v>KENNETH</v>
      </c>
      <c r="P53" s="6">
        <f>SUM(DATA_ABRIL_2026[[#This Row],[1]:[30]])</f>
        <v>64245</v>
      </c>
      <c r="Q53" s="6">
        <f>VLOOKUP(DATA_ABRIL_2026[[#This Row],[ASER_]],D1_ABRIL_2026[[ASESOR_CRR]:[META]],2,0)</f>
        <v>52000</v>
      </c>
      <c r="R53" t="s">
        <v>97</v>
      </c>
      <c r="S53">
        <v>300</v>
      </c>
      <c r="V53">
        <v>3480</v>
      </c>
      <c r="W53">
        <v>710</v>
      </c>
      <c r="X53">
        <v>2850</v>
      </c>
      <c r="Z53">
        <v>3420</v>
      </c>
      <c r="AB53" s="6">
        <v>8100</v>
      </c>
      <c r="AC53" s="6">
        <v>130</v>
      </c>
      <c r="AD53" s="6">
        <v>800</v>
      </c>
      <c r="AE53" s="6">
        <v>1500</v>
      </c>
      <c r="AF53" s="6">
        <v>1010</v>
      </c>
      <c r="AG53" s="6"/>
      <c r="AH53" s="6">
        <v>2420</v>
      </c>
      <c r="AI53" s="6">
        <v>1000</v>
      </c>
      <c r="AJ53" s="6">
        <v>3250</v>
      </c>
      <c r="AK53" s="6">
        <v>3255</v>
      </c>
      <c r="AL53" s="6">
        <v>10950</v>
      </c>
      <c r="AM53" s="6">
        <v>1500</v>
      </c>
      <c r="AN53" s="6"/>
      <c r="AO53" s="6"/>
      <c r="AP53" s="6">
        <v>4605</v>
      </c>
      <c r="AQ53" s="6">
        <v>7100</v>
      </c>
      <c r="AR53">
        <v>7865</v>
      </c>
      <c r="AS53" s="54" t="str" cm="1">
        <f t="array" ref="AS53">IFERROR(VLOOKUP(DATA_ABRIL_2026[[#This Row],[ASER_]],_xlfn._xlws.FILTER(PLANTILLA[[ASESOR]:[FECHA DE CESE]],PLANTILLA[FECHA]=_xlfn.CONCAT($M$3,"_",_xlfn.IFS($N$3="ENERO","1",$N$3="FEBRERO","2",$N$3="MARZO","3",$N$3="ABRIL","4",$N$3="MAYO","5",$N$3="JUNIO","6",$N$3="JULIO","7",$N$3="AGOSTO","8",$N$3="SETIEMBRE","9",$N$3="OCTUBRE","10",$N$3="NOVIEMBRE","11",$N$3="DICIEMBRE","12"))),8,0),"")</f>
        <v>S0</v>
      </c>
      <c r="CG53" t="s">
        <v>636</v>
      </c>
      <c r="CH53" t="s">
        <v>2</v>
      </c>
      <c r="CI53" t="s">
        <v>37</v>
      </c>
      <c r="CJ53">
        <v>46121</v>
      </c>
      <c r="CK53">
        <v>1</v>
      </c>
      <c r="CL53">
        <v>1</v>
      </c>
      <c r="CP53">
        <v>3.9351851851851848E-3</v>
      </c>
      <c r="CQ53">
        <v>3.9351851851851848E-3</v>
      </c>
      <c r="CR53">
        <v>0.2855787037037037</v>
      </c>
      <c r="CS53">
        <v>0.11811342592592593</v>
      </c>
      <c r="CT53">
        <v>61</v>
      </c>
      <c r="CU53">
        <v>140</v>
      </c>
      <c r="CV53">
        <v>9</v>
      </c>
      <c r="CW53" t="s">
        <v>674</v>
      </c>
      <c r="CX53">
        <v>43088</v>
      </c>
      <c r="CY53">
        <v>0.14749999999999999</v>
      </c>
      <c r="DG53">
        <v>96</v>
      </c>
      <c r="DI53">
        <f>Tabla82[[#This Row],[IND_MontoPDP]]*Tabla82[[#This Row],[IND_Condonacion]]</f>
        <v>0</v>
      </c>
    </row>
    <row r="54" spans="1:113" x14ac:dyDescent="0.25">
      <c r="A54" s="34" t="str" cm="1">
        <f t="array" ref="A54">IFERROR(VLOOKUP(D1_ABRIL_2026[[#This Row],[ASESOR_CRR]],_xlfn._xlws.FILTER(PLANTILLA[[ASESOR]:[FECHA DE CESE]],PLANTILLA[FECHA]=_xlfn.CONCAT($M$3,"_",_xlfn.IFS($N$3="ENERO","1",$N$3="FEBRERO","2",$N$3="MARZO","3",$N$3="ABRIL","4",$N$3="MAYO","5",$N$3="JUNIO","6",$N$3="JULIO","7",$N$3="AGOSTO","8",$N$3="SETIEMBRE","9",$N$3="OCTUBRE","10",$N$3="NOVIEMBRE","11",$N$3="DICIEMBRE","12"))),3,0),"")</f>
        <v>LEONOR</v>
      </c>
      <c r="B54" s="34" t="str" cm="1">
        <f t="array" ref="B54">TRIM(IFERROR(_xlfn.IFS(D1_ABRIL_2026[[#This Row],[ASESOR]]="ELVIS GUERRA","ELVIS GUERRERA",D1_ABRIL_2026[[#This Row],[ASESOR]]="GENESIS VICUÑA","GENESIS VICUNA",D1_ABRIL_2026[[#This Row],[ASESOR]]="JENY QUIÑONES","JENY QUINONES",D1_ABRIL_2026[[#This Row],[ASESOR]]="NICOLE CAURURO","NICOLE CAURURO"),D1_ABRIL_2026[[#This Row],[ASESOR]]))</f>
        <v>JANETH PORTOCARRERO</v>
      </c>
      <c r="C54" s="34" cm="1">
        <f t="array" ref="C54">_xlfn.XLOOKUP(1,(TablaMeta[CONCAT]=$M$3&amp;$N$3&amp;D1_ABRIL_2026[[#This Row],[SUPER]])*(TablaMeta[SEGG]=D1_ABRIL_2026[[#This Row],[SEGMENTO]]),TablaMeta[Meta_Asesor])</f>
        <v>25000</v>
      </c>
      <c r="D54" s="35">
        <f>IF(D1_ABRIL_2026[[#This Row],[RECUPERO]]="VACACIONES","VACACIONES",IFERROR(D1_ABRIL_2026[[#This Row],[RECUPERO]]/D1_ABRIL_2026[[#This Row],[META]],""))</f>
        <v>1.2205600000000001</v>
      </c>
      <c r="E54" s="35" t="str">
        <f>D1_ABRIL_2026[[#This Row],[SUPER]]</f>
        <v>LEONOR</v>
      </c>
      <c r="F54" t="s">
        <v>49</v>
      </c>
      <c r="G54" s="36">
        <v>30514</v>
      </c>
      <c r="H54" cm="1">
        <f t="array" ref="H54">IFERROR(VLOOKUP(D1_ABRIL_2026[[#This Row],[ASESOR_CRR]],_xlfn._xlws.FILTER(PLANTILLA[[ASESOR]:[FECHA DE CESE]],PLANTILLA[FECHA]=_xlfn.CONCAT($M$3,"_",_xlfn.IFS($N$3="ENERO","1",$N$3="FEBRERO","2",$N$3="MARZO","3",$N$3="ABRIL","4",$N$3="MAYO","5",$N$3="JUNIO","6",$N$3="JULIO","7",$N$3="AGOSTO","8",$N$3="SETIEMBRE","9",$N$3="OCTUBRE","10",$N$3="NOVIEMBRE","11",$N$3="DICIEMBRE","12"))),2,0),"")</f>
        <v>40702064</v>
      </c>
      <c r="I54" s="55" cm="1">
        <f t="array" ref="I54">IFERROR(VLOOKUP(D1_ABRIL_2026[[#This Row],[ASESOR_CRR]],_xlfn._xlws.FILTER(PLANTILLA[[ASESOR]:[FECHA DE CESE]],PLANTILLA[FECHA]=_xlfn.CONCAT($M$3,"_",_xlfn.IFS($N$3="ENERO","1",$N$3="FEBRERO","2",$N$3="MARZO","3",$N$3="ABRIL","4",$N$3="MAYO","5",$N$3="JUNIO","6",$N$3="JULIO","7",$N$3="AGOSTO","8",$N$3="SETIEMBRE","9",$N$3="OCTUBRE","10",$N$3="NOVIEMBRE","11",$N$3="DICIEMBRE","12"))),6,0),"")</f>
        <v>43313</v>
      </c>
      <c r="J54" s="55" t="str" cm="1">
        <f t="array" ref="J54">IFERROR(VLOOKUP(D1_ABRIL_2026[[#This Row],[ASESOR_CRR]],_xlfn._xlws.FILTER(PLANTILLA[[ASESOR]:[FECHA DE CESE]],PLANTILLA[FECHA]=_xlfn.CONCAT($M$3,"_",_xlfn.IFS($N$3="ENERO","1",$N$3="FEBRERO","2",$N$3="MARZO","3",$N$3="ABRIL","4",$N$3="MAYO","5",$N$3="JUNIO","6",$N$3="JULIO","7",$N$3="AGOSTO","8",$N$3="SETIEMBRE","9",$N$3="OCTUBRE","10",$N$3="NOVIEMBRE","11",$N$3="DICIEMBRE","12"))),4,0),"")</f>
        <v>CALL</v>
      </c>
      <c r="K54" s="55" t="str" cm="1">
        <f t="array" ref="K54">IFERROR(VLOOKUP(D1_ABRIL_2026[[#This Row],[ASESOR_CRR]],_xlfn._xlws.FILTER(PLANTILLA[[ASESOR]:[FECHA DE CESE]],PLANTILLA[FECHA]=_xlfn.CONCAT($M$3,"_",_xlfn.IFS($N$3="ENERO","1",$N$3="FEBRERO","2",$N$3="MARZO","3",$N$3="ABRIL","4",$N$3="MAYO","5",$N$3="JUNIO","6",$N$3="JULIO","7",$N$3="AGOSTO","8",$N$3="SETIEMBRE","9",$N$3="OCTUBRE","10",$N$3="NOVIEMBRE","11",$N$3="DICIEMBRE","12"))),8,0),"")</f>
        <v>S2-3-4 BANCO</v>
      </c>
      <c r="M54" s="5">
        <f>DATA_ABRIL_2026[[#This Row],[RECUPERO]]/DATA_ABRIL_2026[[#This Row],[META]]</f>
        <v>2.2298041237113404</v>
      </c>
      <c r="N54" s="5">
        <f>6-ROUNDUP(_xlfn.RANK.EQ(DATA_ABRIL_2026[[#This Row],[AL_AC]],DATA_ABRIL_2026[AL_AC],0)/(COUNTA(DATA_ABRIL_2026[AL_AC])/5),0)</f>
        <v>5</v>
      </c>
      <c r="O54" s="54" t="str">
        <f>IFERROR(VLOOKUP(DATA_ABRIL_2026[[#This Row],[ASER_]],$B:$G,4,0),"")</f>
        <v>JOHAN</v>
      </c>
      <c r="P54" s="6">
        <f>SUM(DATA_ABRIL_2026[[#This Row],[1]:[30]])</f>
        <v>108145.5</v>
      </c>
      <c r="Q54" s="6">
        <f>VLOOKUP(DATA_ABRIL_2026[[#This Row],[ASER_]],D1_ABRIL_2026[[ASESOR_CRR]:[META]],2,0)</f>
        <v>48500</v>
      </c>
      <c r="R54" t="s">
        <v>59</v>
      </c>
      <c r="S54">
        <v>38348.5</v>
      </c>
      <c r="V54">
        <v>2400</v>
      </c>
      <c r="X54">
        <v>6350</v>
      </c>
      <c r="Y54">
        <v>1000</v>
      </c>
      <c r="Z54">
        <v>6497</v>
      </c>
      <c r="AA54">
        <v>1000</v>
      </c>
      <c r="AB54" s="6"/>
      <c r="AC54" s="6"/>
      <c r="AD54" s="6">
        <v>4600</v>
      </c>
      <c r="AE54" s="6">
        <v>750</v>
      </c>
      <c r="AF54" s="6"/>
      <c r="AG54" s="6"/>
      <c r="AH54" s="6">
        <v>210</v>
      </c>
      <c r="AI54" s="6">
        <v>20300</v>
      </c>
      <c r="AJ54" s="6">
        <v>2000</v>
      </c>
      <c r="AK54" s="6">
        <v>1040</v>
      </c>
      <c r="AL54" s="6">
        <v>6200</v>
      </c>
      <c r="AM54" s="6"/>
      <c r="AN54" s="6"/>
      <c r="AO54" s="6">
        <v>2000</v>
      </c>
      <c r="AP54" s="6"/>
      <c r="AQ54" s="6"/>
      <c r="AR54">
        <v>15450</v>
      </c>
      <c r="AS54" s="54" t="str" cm="1">
        <f t="array" ref="AS54">IFERROR(VLOOKUP(DATA_ABRIL_2026[[#This Row],[ASER_]],_xlfn._xlws.FILTER(PLANTILLA[[ASESOR]:[FECHA DE CESE]],PLANTILLA[FECHA]=_xlfn.CONCAT($M$3,"_",_xlfn.IFS($N$3="ENERO","1",$N$3="FEBRERO","2",$N$3="MARZO","3",$N$3="ABRIL","4",$N$3="MAYO","5",$N$3="JUNIO","6",$N$3="JULIO","7",$N$3="AGOSTO","8",$N$3="SETIEMBRE","9",$N$3="OCTUBRE","10",$N$3="NOVIEMBRE","11",$N$3="DICIEMBRE","12"))),8,0),"")</f>
        <v>S1</v>
      </c>
      <c r="CG54" t="s">
        <v>636</v>
      </c>
      <c r="CH54" t="s">
        <v>2</v>
      </c>
      <c r="CI54" t="s">
        <v>37</v>
      </c>
      <c r="CJ54">
        <v>46141</v>
      </c>
      <c r="CK54">
        <v>1</v>
      </c>
      <c r="CL54">
        <v>1</v>
      </c>
      <c r="CM54">
        <v>1</v>
      </c>
      <c r="CP54">
        <v>1.2002314814814815E-2</v>
      </c>
      <c r="CQ54">
        <v>1.2002314814814815E-2</v>
      </c>
      <c r="CR54">
        <v>0.13195601851851851</v>
      </c>
      <c r="CS54">
        <v>0.19702546296296297</v>
      </c>
      <c r="CT54">
        <v>111</v>
      </c>
      <c r="CU54">
        <v>141</v>
      </c>
      <c r="CV54">
        <v>12</v>
      </c>
      <c r="CW54" t="s">
        <v>687</v>
      </c>
      <c r="CX54">
        <v>18340</v>
      </c>
      <c r="CY54">
        <v>0.1081</v>
      </c>
      <c r="CZ54">
        <v>2</v>
      </c>
      <c r="DA54">
        <v>0.16669999999999999</v>
      </c>
      <c r="DB54">
        <v>4988</v>
      </c>
      <c r="DC54">
        <v>2494</v>
      </c>
      <c r="DD54">
        <v>4988</v>
      </c>
      <c r="DE54">
        <v>1</v>
      </c>
      <c r="DF54">
        <v>0.1133</v>
      </c>
      <c r="DG54">
        <v>96</v>
      </c>
      <c r="DH54">
        <v>2494</v>
      </c>
      <c r="DI54">
        <f>Tabla82[[#This Row],[IND_MontoPDP]]*Tabla82[[#This Row],[IND_Condonacion]]</f>
        <v>565.1404</v>
      </c>
    </row>
    <row r="55" spans="1:113" x14ac:dyDescent="0.25">
      <c r="A55" s="34" t="str" cm="1">
        <f t="array" ref="A55">IFERROR(VLOOKUP(D1_ABRIL_2026[[#This Row],[ASESOR_CRR]],_xlfn._xlws.FILTER(PLANTILLA[[ASESOR]:[FECHA DE CESE]],PLANTILLA[FECHA]=_xlfn.CONCAT($M$3,"_",_xlfn.IFS($N$3="ENERO","1",$N$3="FEBRERO","2",$N$3="MARZO","3",$N$3="ABRIL","4",$N$3="MAYO","5",$N$3="JUNIO","6",$N$3="JULIO","7",$N$3="AGOSTO","8",$N$3="SETIEMBRE","9",$N$3="OCTUBRE","10",$N$3="NOVIEMBRE","11",$N$3="DICIEMBRE","12"))),3,0),"")</f>
        <v>LEONOR</v>
      </c>
      <c r="B55" s="34" t="str" cm="1">
        <f t="array" ref="B55">TRIM(IFERROR(_xlfn.IFS(D1_ABRIL_2026[[#This Row],[ASESOR]]="ELVIS GUERRA","ELVIS GUERRERA",D1_ABRIL_2026[[#This Row],[ASESOR]]="GENESIS VICUÑA","GENESIS VICUNA",D1_ABRIL_2026[[#This Row],[ASESOR]]="JENY QUIÑONES","JENY QUINONES",D1_ABRIL_2026[[#This Row],[ASESOR]]="NICOLE CAURURO","NICOLE CAURURO"),D1_ABRIL_2026[[#This Row],[ASESOR]]))</f>
        <v>ERIKA PANTA</v>
      </c>
      <c r="C55" s="34" cm="1">
        <f t="array" ref="C55">_xlfn.XLOOKUP(1,(TablaMeta[CONCAT]=$M$3&amp;$N$3&amp;D1_ABRIL_2026[[#This Row],[SUPER]])*(TablaMeta[SEGG]=D1_ABRIL_2026[[#This Row],[SEGMENTO]]),TablaMeta[Meta_Asesor])</f>
        <v>25000</v>
      </c>
      <c r="D55" s="35">
        <f>IF(D1_ABRIL_2026[[#This Row],[RECUPERO]]="VACACIONES","VACACIONES",IFERROR(D1_ABRIL_2026[[#This Row],[RECUPERO]]/D1_ABRIL_2026[[#This Row],[META]],""))</f>
        <v>1.0087999999999999</v>
      </c>
      <c r="E55" s="35" t="str">
        <f>D1_ABRIL_2026[[#This Row],[SUPER]]</f>
        <v>LEONOR</v>
      </c>
      <c r="F55" t="s">
        <v>495</v>
      </c>
      <c r="G55" s="36">
        <v>25220</v>
      </c>
      <c r="H55" cm="1">
        <f t="array" ref="H55">IFERROR(VLOOKUP(D1_ABRIL_2026[[#This Row],[ASESOR_CRR]],_xlfn._xlws.FILTER(PLANTILLA[[ASESOR]:[FECHA DE CESE]],PLANTILLA[FECHA]=_xlfn.CONCAT($M$3,"_",_xlfn.IFS($N$3="ENERO","1",$N$3="FEBRERO","2",$N$3="MARZO","3",$N$3="ABRIL","4",$N$3="MAYO","5",$N$3="JUNIO","6",$N$3="JULIO","7",$N$3="AGOSTO","8",$N$3="SETIEMBRE","9",$N$3="OCTUBRE","10",$N$3="NOVIEMBRE","11",$N$3="DICIEMBRE","12"))),2,0),"")</f>
        <v>62792399</v>
      </c>
      <c r="I55" s="55" cm="1">
        <f t="array" ref="I55">IFERROR(VLOOKUP(D1_ABRIL_2026[[#This Row],[ASESOR_CRR]],_xlfn._xlws.FILTER(PLANTILLA[[ASESOR]:[FECHA DE CESE]],PLANTILLA[FECHA]=_xlfn.CONCAT($M$3,"_",_xlfn.IFS($N$3="ENERO","1",$N$3="FEBRERO","2",$N$3="MARZO","3",$N$3="ABRIL","4",$N$3="MAYO","5",$N$3="JUNIO","6",$N$3="JULIO","7",$N$3="AGOSTO","8",$N$3="SETIEMBRE","9",$N$3="OCTUBRE","10",$N$3="NOVIEMBRE","11",$N$3="DICIEMBRE","12"))),6,0),"")</f>
        <v>46052</v>
      </c>
      <c r="J55" s="55" t="str" cm="1">
        <f t="array" ref="J55">IFERROR(VLOOKUP(D1_ABRIL_2026[[#This Row],[ASESOR_CRR]],_xlfn._xlws.FILTER(PLANTILLA[[ASESOR]:[FECHA DE CESE]],PLANTILLA[FECHA]=_xlfn.CONCAT($M$3,"_",_xlfn.IFS($N$3="ENERO","1",$N$3="FEBRERO","2",$N$3="MARZO","3",$N$3="ABRIL","4",$N$3="MAYO","5",$N$3="JUNIO","6",$N$3="JULIO","7",$N$3="AGOSTO","8",$N$3="SETIEMBRE","9",$N$3="OCTUBRE","10",$N$3="NOVIEMBRE","11",$N$3="DICIEMBRE","12"))),4,0),"")</f>
        <v>CALL</v>
      </c>
      <c r="K55" s="55" t="str" cm="1">
        <f t="array" ref="K55">IFERROR(VLOOKUP(D1_ABRIL_2026[[#This Row],[ASESOR_CRR]],_xlfn._xlws.FILTER(PLANTILLA[[ASESOR]:[FECHA DE CESE]],PLANTILLA[FECHA]=_xlfn.CONCAT($M$3,"_",_xlfn.IFS($N$3="ENERO","1",$N$3="FEBRERO","2",$N$3="MARZO","3",$N$3="ABRIL","4",$N$3="MAYO","5",$N$3="JUNIO","6",$N$3="JULIO","7",$N$3="AGOSTO","8",$N$3="SETIEMBRE","9",$N$3="OCTUBRE","10",$N$3="NOVIEMBRE","11",$N$3="DICIEMBRE","12"))),8,0),"")</f>
        <v>S2-3-4 BANCO</v>
      </c>
      <c r="M55" s="5">
        <f>DATA_ABRIL_2026[[#This Row],[RECUPERO]]/DATA_ABRIL_2026[[#This Row],[META]]</f>
        <v>0.66115999999999997</v>
      </c>
      <c r="N55" s="5">
        <f>6-ROUNDUP(_xlfn.RANK.EQ(DATA_ABRIL_2026[[#This Row],[AL_AC]],DATA_ABRIL_2026[AL_AC],0)/(COUNTA(DATA_ABRIL_2026[AL_AC])/5),0)</f>
        <v>2</v>
      </c>
      <c r="O55" s="54" t="str">
        <f>IFERROR(VLOOKUP(DATA_ABRIL_2026[[#This Row],[ASER_]],$B:$G,4,0),"")</f>
        <v>LEONOR</v>
      </c>
      <c r="P55" s="6">
        <f>SUM(DATA_ABRIL_2026[[#This Row],[1]:[30]])</f>
        <v>16529</v>
      </c>
      <c r="Q55" s="6">
        <f>VLOOKUP(DATA_ABRIL_2026[[#This Row],[ASER_]],D1_ABRIL_2026[[ASESOR_CRR]:[META]],2,0)</f>
        <v>25000</v>
      </c>
      <c r="R55" t="s">
        <v>73</v>
      </c>
      <c r="V55">
        <v>600</v>
      </c>
      <c r="AB55" s="6"/>
      <c r="AC55" s="6">
        <v>500</v>
      </c>
      <c r="AD55" s="6">
        <v>5500</v>
      </c>
      <c r="AE55" s="6">
        <v>800</v>
      </c>
      <c r="AF55" s="6">
        <v>260</v>
      </c>
      <c r="AG55" s="6"/>
      <c r="AH55" s="6"/>
      <c r="AI55" s="6">
        <v>250</v>
      </c>
      <c r="AJ55" s="6"/>
      <c r="AK55" s="6">
        <v>272</v>
      </c>
      <c r="AL55" s="6"/>
      <c r="AM55" s="6"/>
      <c r="AN55" s="6"/>
      <c r="AO55" s="6"/>
      <c r="AP55" s="6"/>
      <c r="AQ55" s="6">
        <v>7547</v>
      </c>
      <c r="AR55">
        <v>800</v>
      </c>
      <c r="AS55" s="54" t="str" cm="1">
        <f t="array" ref="AS55">IFERROR(VLOOKUP(DATA_ABRIL_2026[[#This Row],[ASER_]],_xlfn._xlws.FILTER(PLANTILLA[[ASESOR]:[FECHA DE CESE]],PLANTILLA[FECHA]=_xlfn.CONCAT($M$3,"_",_xlfn.IFS($N$3="ENERO","1",$N$3="FEBRERO","2",$N$3="MARZO","3",$N$3="ABRIL","4",$N$3="MAYO","5",$N$3="JUNIO","6",$N$3="JULIO","7",$N$3="AGOSTO","8",$N$3="SETIEMBRE","9",$N$3="OCTUBRE","10",$N$3="NOVIEMBRE","11",$N$3="DICIEMBRE","12"))),8,0),"")</f>
        <v>S2-3-4 BANCO</v>
      </c>
      <c r="CG55" t="s">
        <v>636</v>
      </c>
      <c r="CH55" t="s">
        <v>2</v>
      </c>
      <c r="CI55" t="s">
        <v>23</v>
      </c>
      <c r="CJ55">
        <v>46134</v>
      </c>
      <c r="CK55">
        <v>1</v>
      </c>
      <c r="CL55">
        <v>1</v>
      </c>
      <c r="CN55">
        <v>1</v>
      </c>
      <c r="CP55">
        <v>2.3148148148148147E-5</v>
      </c>
      <c r="CQ55">
        <v>2.3148148148148147E-5</v>
      </c>
      <c r="CR55">
        <v>0.19123842592592594</v>
      </c>
      <c r="CS55">
        <v>0.15534722222222222</v>
      </c>
      <c r="CT55">
        <v>60</v>
      </c>
      <c r="CU55">
        <v>138</v>
      </c>
      <c r="CV55">
        <v>13</v>
      </c>
      <c r="CW55" t="s">
        <v>764</v>
      </c>
      <c r="CX55">
        <v>33158</v>
      </c>
      <c r="CY55">
        <v>0.2167</v>
      </c>
      <c r="CZ55">
        <v>1</v>
      </c>
      <c r="DA55">
        <v>7.6899999999999996E-2</v>
      </c>
      <c r="DB55">
        <v>325</v>
      </c>
      <c r="DC55">
        <v>325</v>
      </c>
      <c r="DD55">
        <v>325</v>
      </c>
      <c r="DE55">
        <v>1</v>
      </c>
      <c r="DG55">
        <v>96</v>
      </c>
      <c r="DH55">
        <v>325</v>
      </c>
      <c r="DI55">
        <f>Tabla82[[#This Row],[IND_MontoPDP]]*Tabla82[[#This Row],[IND_Condonacion]]</f>
        <v>0</v>
      </c>
    </row>
    <row r="56" spans="1:113" x14ac:dyDescent="0.25">
      <c r="A56" s="34" t="str" cm="1">
        <f t="array" ref="A56">IFERROR(VLOOKUP(D1_ABRIL_2026[[#This Row],[ASESOR_CRR]],_xlfn._xlws.FILTER(PLANTILLA[[ASESOR]:[FECHA DE CESE]],PLANTILLA[FECHA]=_xlfn.CONCAT($M$3,"_",_xlfn.IFS($N$3="ENERO","1",$N$3="FEBRERO","2",$N$3="MARZO","3",$N$3="ABRIL","4",$N$3="MAYO","5",$N$3="JUNIO","6",$N$3="JULIO","7",$N$3="AGOSTO","8",$N$3="SETIEMBRE","9",$N$3="OCTUBRE","10",$N$3="NOVIEMBRE","11",$N$3="DICIEMBRE","12"))),3,0),"")</f>
        <v>LEONOR</v>
      </c>
      <c r="B56" s="34" t="str" cm="1">
        <f t="array" ref="B56">TRIM(IFERROR(_xlfn.IFS(D1_ABRIL_2026[[#This Row],[ASESOR]]="ELVIS GUERRA","ELVIS GUERRERA",D1_ABRIL_2026[[#This Row],[ASESOR]]="GENESIS VICUÑA","GENESIS VICUNA",D1_ABRIL_2026[[#This Row],[ASESOR]]="JENY QUIÑONES","JENY QUINONES",D1_ABRIL_2026[[#This Row],[ASESOR]]="NICOLE CAURURO","NICOLE CAURURO"),D1_ABRIL_2026[[#This Row],[ASESOR]]))</f>
        <v>VERONICA HUARCA</v>
      </c>
      <c r="C56" s="34" cm="1">
        <f t="array" ref="C56">_xlfn.XLOOKUP(1,(TablaMeta[CONCAT]=$M$3&amp;$N$3&amp;D1_ABRIL_2026[[#This Row],[SUPER]])*(TablaMeta[SEGG]=D1_ABRIL_2026[[#This Row],[SEGMENTO]]),TablaMeta[Meta_Asesor])</f>
        <v>25000</v>
      </c>
      <c r="D56" s="35">
        <f>IF(D1_ABRIL_2026[[#This Row],[RECUPERO]]="VACACIONES","VACACIONES",IFERROR(D1_ABRIL_2026[[#This Row],[RECUPERO]]/D1_ABRIL_2026[[#This Row],[META]],""))</f>
        <v>0.75456000000000001</v>
      </c>
      <c r="E56" s="35" t="str">
        <f>D1_ABRIL_2026[[#This Row],[SUPER]]</f>
        <v>LEONOR</v>
      </c>
      <c r="F56" t="s">
        <v>48</v>
      </c>
      <c r="G56" s="36">
        <v>18864</v>
      </c>
      <c r="H56" cm="1">
        <f t="array" ref="H56">IFERROR(VLOOKUP(D1_ABRIL_2026[[#This Row],[ASESOR_CRR]],_xlfn._xlws.FILTER(PLANTILLA[[ASESOR]:[FECHA DE CESE]],PLANTILLA[FECHA]=_xlfn.CONCAT($M$3,"_",_xlfn.IFS($N$3="ENERO","1",$N$3="FEBRERO","2",$N$3="MARZO","3",$N$3="ABRIL","4",$N$3="MAYO","5",$N$3="JUNIO","6",$N$3="JULIO","7",$N$3="AGOSTO","8",$N$3="SETIEMBRE","9",$N$3="OCTUBRE","10",$N$3="NOVIEMBRE","11",$N$3="DICIEMBRE","12"))),2,0),"")</f>
        <v>43307898</v>
      </c>
      <c r="I56" s="55" cm="1">
        <f t="array" ref="I56">IFERROR(VLOOKUP(D1_ABRIL_2026[[#This Row],[ASESOR_CRR]],_xlfn._xlws.FILTER(PLANTILLA[[ASESOR]:[FECHA DE CESE]],PLANTILLA[FECHA]=_xlfn.CONCAT($M$3,"_",_xlfn.IFS($N$3="ENERO","1",$N$3="FEBRERO","2",$N$3="MARZO","3",$N$3="ABRIL","4",$N$3="MAYO","5",$N$3="JUNIO","6",$N$3="JULIO","7",$N$3="AGOSTO","8",$N$3="SETIEMBRE","9",$N$3="OCTUBRE","10",$N$3="NOVIEMBRE","11",$N$3="DICIEMBRE","12"))),6,0),"")</f>
        <v>44746</v>
      </c>
      <c r="J56" s="55" t="str" cm="1">
        <f t="array" ref="J56">IFERROR(VLOOKUP(D1_ABRIL_2026[[#This Row],[ASESOR_CRR]],_xlfn._xlws.FILTER(PLANTILLA[[ASESOR]:[FECHA DE CESE]],PLANTILLA[FECHA]=_xlfn.CONCAT($M$3,"_",_xlfn.IFS($N$3="ENERO","1",$N$3="FEBRERO","2",$N$3="MARZO","3",$N$3="ABRIL","4",$N$3="MAYO","5",$N$3="JUNIO","6",$N$3="JULIO","7",$N$3="AGOSTO","8",$N$3="SETIEMBRE","9",$N$3="OCTUBRE","10",$N$3="NOVIEMBRE","11",$N$3="DICIEMBRE","12"))),4,0),"")</f>
        <v>CALL</v>
      </c>
      <c r="K56" s="55" t="str" cm="1">
        <f t="array" ref="K56">IFERROR(VLOOKUP(D1_ABRIL_2026[[#This Row],[ASESOR_CRR]],_xlfn._xlws.FILTER(PLANTILLA[[ASESOR]:[FECHA DE CESE]],PLANTILLA[FECHA]=_xlfn.CONCAT($M$3,"_",_xlfn.IFS($N$3="ENERO","1",$N$3="FEBRERO","2",$N$3="MARZO","3",$N$3="ABRIL","4",$N$3="MAYO","5",$N$3="JUNIO","6",$N$3="JULIO","7",$N$3="AGOSTO","8",$N$3="SETIEMBRE","9",$N$3="OCTUBRE","10",$N$3="NOVIEMBRE","11",$N$3="DICIEMBRE","12"))),8,0),"")</f>
        <v>S2-3-4 BANCO</v>
      </c>
      <c r="M56" s="5">
        <f>DATA_ABRIL_2026[[#This Row],[RECUPERO]]/DATA_ABRIL_2026[[#This Row],[META]]</f>
        <v>0.49461818181818179</v>
      </c>
      <c r="N56" s="5">
        <f>6-ROUNDUP(_xlfn.RANK.EQ(DATA_ABRIL_2026[[#This Row],[AL_AC]],DATA_ABRIL_2026[AL_AC],0)/(COUNTA(DATA_ABRIL_2026[AL_AC])/5),0)</f>
        <v>2</v>
      </c>
      <c r="O56" s="54" t="str">
        <f>IFERROR(VLOOKUP(DATA_ABRIL_2026[[#This Row],[ASER_]],$B:$G,4,0),"")</f>
        <v>LEONOR</v>
      </c>
      <c r="P56" s="6">
        <f>SUM(DATA_ABRIL_2026[[#This Row],[1]:[30]])</f>
        <v>8161.2</v>
      </c>
      <c r="Q56" s="6">
        <f>VLOOKUP(DATA_ABRIL_2026[[#This Row],[ASER_]],D1_ABRIL_2026[[ASESOR_CRR]:[META]],2,0)</f>
        <v>16500</v>
      </c>
      <c r="R56" t="s">
        <v>557</v>
      </c>
      <c r="V56">
        <v>80</v>
      </c>
      <c r="Y56">
        <v>351</v>
      </c>
      <c r="Z56">
        <v>1180</v>
      </c>
      <c r="AB56" s="6">
        <v>300</v>
      </c>
      <c r="AC56" s="6">
        <v>1000</v>
      </c>
      <c r="AD56" s="6"/>
      <c r="AE56" s="6">
        <v>150</v>
      </c>
      <c r="AF56" s="6">
        <v>180</v>
      </c>
      <c r="AG56" s="6"/>
      <c r="AH56" s="6"/>
      <c r="AI56" s="6"/>
      <c r="AJ56" s="6">
        <v>350</v>
      </c>
      <c r="AK56" s="6"/>
      <c r="AL56" s="6">
        <v>1000</v>
      </c>
      <c r="AM56" s="6"/>
      <c r="AN56" s="6"/>
      <c r="AO56" s="6"/>
      <c r="AP56" s="6"/>
      <c r="AQ56" s="6">
        <v>3350.2</v>
      </c>
      <c r="AR56">
        <v>220</v>
      </c>
      <c r="AS56" s="54" t="str" cm="1">
        <f t="array" ref="AS56">IFERROR(VLOOKUP(DATA_ABRIL_2026[[#This Row],[ASER_]],_xlfn._xlws.FILTER(PLANTILLA[[ASESOR]:[FECHA DE CESE]],PLANTILLA[FECHA]=_xlfn.CONCAT($M$3,"_",_xlfn.IFS($N$3="ENERO","1",$N$3="FEBRERO","2",$N$3="MARZO","3",$N$3="ABRIL","4",$N$3="MAYO","5",$N$3="JUNIO","6",$N$3="JULIO","7",$N$3="AGOSTO","8",$N$3="SETIEMBRE","9",$N$3="OCTUBRE","10",$N$3="NOVIEMBRE","11",$N$3="DICIEMBRE","12"))),8,0),"")</f>
        <v>S2-3-4 MIX</v>
      </c>
      <c r="CG56" t="s">
        <v>636</v>
      </c>
      <c r="CH56" t="s">
        <v>2</v>
      </c>
      <c r="CI56" t="s">
        <v>25</v>
      </c>
      <c r="CJ56">
        <v>46121</v>
      </c>
      <c r="CK56">
        <v>1</v>
      </c>
      <c r="CL56">
        <v>1</v>
      </c>
      <c r="CM56">
        <v>1</v>
      </c>
      <c r="CP56">
        <v>2.3333333333333334E-2</v>
      </c>
      <c r="CQ56">
        <v>2.3333333333333334E-2</v>
      </c>
      <c r="CR56">
        <v>0.24891203703703704</v>
      </c>
      <c r="CS56">
        <v>0.13446759259259258</v>
      </c>
      <c r="CT56">
        <v>74</v>
      </c>
      <c r="CU56">
        <v>128</v>
      </c>
      <c r="CV56">
        <v>13</v>
      </c>
      <c r="CW56" t="s">
        <v>727</v>
      </c>
      <c r="CX56">
        <v>28400</v>
      </c>
      <c r="CY56">
        <v>0.1757</v>
      </c>
      <c r="DG56">
        <v>96</v>
      </c>
      <c r="DI56">
        <f>Tabla82[[#This Row],[IND_MontoPDP]]*Tabla82[[#This Row],[IND_Condonacion]]</f>
        <v>0</v>
      </c>
    </row>
    <row r="57" spans="1:113" x14ac:dyDescent="0.25">
      <c r="A57" s="34" t="str" cm="1">
        <f t="array" ref="A57">IFERROR(VLOOKUP(D1_ABRIL_2026[[#This Row],[ASESOR_CRR]],_xlfn._xlws.FILTER(PLANTILLA[[ASESOR]:[FECHA DE CESE]],PLANTILLA[FECHA]=_xlfn.CONCAT($M$3,"_",_xlfn.IFS($N$3="ENERO","1",$N$3="FEBRERO","2",$N$3="MARZO","3",$N$3="ABRIL","4",$N$3="MAYO","5",$N$3="JUNIO","6",$N$3="JULIO","7",$N$3="AGOSTO","8",$N$3="SETIEMBRE","9",$N$3="OCTUBRE","10",$N$3="NOVIEMBRE","11",$N$3="DICIEMBRE","12"))),3,0),"")</f>
        <v>LEONOR</v>
      </c>
      <c r="B57" s="34" t="str" cm="1">
        <f t="array" ref="B57">TRIM(IFERROR(_xlfn.IFS(D1_ABRIL_2026[[#This Row],[ASESOR]]="ELVIS GUERRA","ELVIS GUERRERA",D1_ABRIL_2026[[#This Row],[ASESOR]]="GENESIS VICUÑA","GENESIS VICUNA",D1_ABRIL_2026[[#This Row],[ASESOR]]="JENY QUIÑONES","JENY QUINONES",D1_ABRIL_2026[[#This Row],[ASESOR]]="NICOLE CAURURO","NICOLE CAURURO"),D1_ABRIL_2026[[#This Row],[ASESOR]]))</f>
        <v>SARITA GARAY</v>
      </c>
      <c r="C57" s="34" cm="1">
        <f t="array" ref="C57">_xlfn.XLOOKUP(1,(TablaMeta[CONCAT]=$M$3&amp;$N$3&amp;D1_ABRIL_2026[[#This Row],[SUPER]])*(TablaMeta[SEGG]=D1_ABRIL_2026[[#This Row],[SEGMENTO]]),TablaMeta[Meta_Asesor])</f>
        <v>25000</v>
      </c>
      <c r="D57" s="35">
        <f>IF(D1_ABRIL_2026[[#This Row],[RECUPERO]]="VACACIONES","VACACIONES",IFERROR(D1_ABRIL_2026[[#This Row],[RECUPERO]]/D1_ABRIL_2026[[#This Row],[META]],""))</f>
        <v>0.66115999999999997</v>
      </c>
      <c r="E57" s="35" t="str">
        <f>D1_ABRIL_2026[[#This Row],[SUPER]]</f>
        <v>LEONOR</v>
      </c>
      <c r="F57" t="s">
        <v>73</v>
      </c>
      <c r="G57" s="36">
        <v>16529</v>
      </c>
      <c r="H57" cm="1">
        <f t="array" ref="H57">IFERROR(VLOOKUP(D1_ABRIL_2026[[#This Row],[ASESOR_CRR]],_xlfn._xlws.FILTER(PLANTILLA[[ASESOR]:[FECHA DE CESE]],PLANTILLA[FECHA]=_xlfn.CONCAT($M$3,"_",_xlfn.IFS($N$3="ENERO","1",$N$3="FEBRERO","2",$N$3="MARZO","3",$N$3="ABRIL","4",$N$3="MAYO","5",$N$3="JUNIO","6",$N$3="JULIO","7",$N$3="AGOSTO","8",$N$3="SETIEMBRE","9",$N$3="OCTUBRE","10",$N$3="NOVIEMBRE","11",$N$3="DICIEMBRE","12"))),2,0),"")</f>
        <v>40318129</v>
      </c>
      <c r="I57" s="55" cm="1">
        <f t="array" ref="I57">IFERROR(VLOOKUP(D1_ABRIL_2026[[#This Row],[ASESOR_CRR]],_xlfn._xlws.FILTER(PLANTILLA[[ASESOR]:[FECHA DE CESE]],PLANTILLA[FECHA]=_xlfn.CONCAT($M$3,"_",_xlfn.IFS($N$3="ENERO","1",$N$3="FEBRERO","2",$N$3="MARZO","3",$N$3="ABRIL","4",$N$3="MAYO","5",$N$3="JUNIO","6",$N$3="JULIO","7",$N$3="AGOSTO","8",$N$3="SETIEMBRE","9",$N$3="OCTUBRE","10",$N$3="NOVIEMBRE","11",$N$3="DICIEMBRE","12"))),6,0),"")</f>
        <v>45141</v>
      </c>
      <c r="J57" s="55" t="str" cm="1">
        <f t="array" ref="J57">IFERROR(VLOOKUP(D1_ABRIL_2026[[#This Row],[ASESOR_CRR]],_xlfn._xlws.FILTER(PLANTILLA[[ASESOR]:[FECHA DE CESE]],PLANTILLA[FECHA]=_xlfn.CONCAT($M$3,"_",_xlfn.IFS($N$3="ENERO","1",$N$3="FEBRERO","2",$N$3="MARZO","3",$N$3="ABRIL","4",$N$3="MAYO","5",$N$3="JUNIO","6",$N$3="JULIO","7",$N$3="AGOSTO","8",$N$3="SETIEMBRE","9",$N$3="OCTUBRE","10",$N$3="NOVIEMBRE","11",$N$3="DICIEMBRE","12"))),4,0),"")</f>
        <v>CALL</v>
      </c>
      <c r="K57" s="55" t="str" cm="1">
        <f t="array" ref="K57">IFERROR(VLOOKUP(D1_ABRIL_2026[[#This Row],[ASESOR_CRR]],_xlfn._xlws.FILTER(PLANTILLA[[ASESOR]:[FECHA DE CESE]],PLANTILLA[FECHA]=_xlfn.CONCAT($M$3,"_",_xlfn.IFS($N$3="ENERO","1",$N$3="FEBRERO","2",$N$3="MARZO","3",$N$3="ABRIL","4",$N$3="MAYO","5",$N$3="JUNIO","6",$N$3="JULIO","7",$N$3="AGOSTO","8",$N$3="SETIEMBRE","9",$N$3="OCTUBRE","10",$N$3="NOVIEMBRE","11",$N$3="DICIEMBRE","12"))),8,0),"")</f>
        <v>S2-3-4 BANCO</v>
      </c>
      <c r="M57" s="5">
        <f>DATA_ABRIL_2026[[#This Row],[RECUPERO]]/DATA_ABRIL_2026[[#This Row],[META]]</f>
        <v>1.61</v>
      </c>
      <c r="N57" s="5">
        <f>6-ROUNDUP(_xlfn.RANK.EQ(DATA_ABRIL_2026[[#This Row],[AL_AC]],DATA_ABRIL_2026[AL_AC],0)/(COUNTA(DATA_ABRIL_2026[AL_AC])/5),0)</f>
        <v>5</v>
      </c>
      <c r="O57" s="54" t="str">
        <f>IFERROR(VLOOKUP(DATA_ABRIL_2026[[#This Row],[ASER_]],$B:$G,4,0),"")</f>
        <v>KENNETH</v>
      </c>
      <c r="P57" s="6">
        <f>SUM(DATA_ABRIL_2026[[#This Row],[1]:[30]])</f>
        <v>83720</v>
      </c>
      <c r="Q57" s="6">
        <f>VLOOKUP(DATA_ABRIL_2026[[#This Row],[ASER_]],D1_ABRIL_2026[[ASESOR_CRR]:[META]],2,0)</f>
        <v>52000</v>
      </c>
      <c r="R57" t="s">
        <v>34</v>
      </c>
      <c r="S57">
        <v>2500</v>
      </c>
      <c r="W57">
        <v>10770</v>
      </c>
      <c r="X57">
        <v>7300</v>
      </c>
      <c r="Y57">
        <v>4300</v>
      </c>
      <c r="Z57">
        <v>1300</v>
      </c>
      <c r="AB57" s="6"/>
      <c r="AC57" s="6"/>
      <c r="AD57" s="6">
        <v>3350</v>
      </c>
      <c r="AE57" s="6">
        <v>5430</v>
      </c>
      <c r="AF57" s="6"/>
      <c r="AG57" s="6"/>
      <c r="AH57" s="6">
        <v>3580</v>
      </c>
      <c r="AI57" s="6">
        <v>6000</v>
      </c>
      <c r="AJ57" s="6"/>
      <c r="AK57" s="6">
        <v>200</v>
      </c>
      <c r="AL57" s="6">
        <v>6800</v>
      </c>
      <c r="AM57" s="6"/>
      <c r="AN57" s="6"/>
      <c r="AO57" s="6">
        <v>3500</v>
      </c>
      <c r="AP57" s="6"/>
      <c r="AQ57" s="6">
        <v>7300</v>
      </c>
      <c r="AR57">
        <v>21390</v>
      </c>
      <c r="AS57" s="54" t="str" cm="1">
        <f t="array" ref="AS57">IFERROR(VLOOKUP(DATA_ABRIL_2026[[#This Row],[ASER_]],_xlfn._xlws.FILTER(PLANTILLA[[ASESOR]:[FECHA DE CESE]],PLANTILLA[FECHA]=_xlfn.CONCAT($M$3,"_",_xlfn.IFS($N$3="ENERO","1",$N$3="FEBRERO","2",$N$3="MARZO","3",$N$3="ABRIL","4",$N$3="MAYO","5",$N$3="JUNIO","6",$N$3="JULIO","7",$N$3="AGOSTO","8",$N$3="SETIEMBRE","9",$N$3="OCTUBRE","10",$N$3="NOVIEMBRE","11",$N$3="DICIEMBRE","12"))),8,0),"")</f>
        <v>S0</v>
      </c>
      <c r="CG57" t="s">
        <v>636</v>
      </c>
      <c r="CH57" t="s">
        <v>6</v>
      </c>
      <c r="CI57" t="s">
        <v>34</v>
      </c>
      <c r="CJ57">
        <v>46121</v>
      </c>
      <c r="CK57">
        <v>1</v>
      </c>
      <c r="CL57">
        <v>1</v>
      </c>
      <c r="CN57">
        <v>1</v>
      </c>
      <c r="CP57">
        <v>3.4722222222222222E-5</v>
      </c>
      <c r="CQ57">
        <v>3.4722222222222222E-5</v>
      </c>
      <c r="CR57">
        <v>0.27805555555555556</v>
      </c>
      <c r="CS57">
        <v>0.14481481481481481</v>
      </c>
      <c r="CT57">
        <v>194</v>
      </c>
      <c r="CU57">
        <v>215</v>
      </c>
      <c r="CV57">
        <v>10</v>
      </c>
      <c r="CW57">
        <v>1.7</v>
      </c>
      <c r="CX57">
        <v>46021</v>
      </c>
      <c r="CY57">
        <v>5.1499999999999997E-2</v>
      </c>
      <c r="CZ57">
        <v>1</v>
      </c>
      <c r="DA57">
        <v>0.1</v>
      </c>
      <c r="DB57">
        <v>1300</v>
      </c>
      <c r="DC57">
        <v>1300</v>
      </c>
      <c r="DD57">
        <v>1300</v>
      </c>
      <c r="DE57">
        <v>1</v>
      </c>
      <c r="DF57">
        <v>0.71140000000000003</v>
      </c>
      <c r="DG57">
        <v>96</v>
      </c>
      <c r="DH57">
        <v>1300</v>
      </c>
      <c r="DI57">
        <f>Tabla82[[#This Row],[IND_MontoPDP]]*Tabla82[[#This Row],[IND_Condonacion]]</f>
        <v>924.82</v>
      </c>
    </row>
    <row r="58" spans="1:113" x14ac:dyDescent="0.25">
      <c r="A58" s="34" t="str" cm="1">
        <f t="array" ref="A58">IFERROR(VLOOKUP(D1_ABRIL_2026[[#This Row],[ASESOR_CRR]],_xlfn._xlws.FILTER(PLANTILLA[[ASESOR]:[FECHA DE CESE]],PLANTILLA[FECHA]=_xlfn.CONCAT($M$3,"_",_xlfn.IFS($N$3="ENERO","1",$N$3="FEBRERO","2",$N$3="MARZO","3",$N$3="ABRIL","4",$N$3="MAYO","5",$N$3="JUNIO","6",$N$3="JULIO","7",$N$3="AGOSTO","8",$N$3="SETIEMBRE","9",$N$3="OCTUBRE","10",$N$3="NOVIEMBRE","11",$N$3="DICIEMBRE","12"))),3,0),"")</f>
        <v>LEONOR</v>
      </c>
      <c r="B58" s="34" t="str" cm="1">
        <f t="array" ref="B58">TRIM(IFERROR(_xlfn.IFS(D1_ABRIL_2026[[#This Row],[ASESOR]]="ELVIS GUERRA","ELVIS GUERRERA",D1_ABRIL_2026[[#This Row],[ASESOR]]="GENESIS VICUÑA","GENESIS VICUNA",D1_ABRIL_2026[[#This Row],[ASESOR]]="JENY QUIÑONES","JENY QUINONES",D1_ABRIL_2026[[#This Row],[ASESOR]]="NICOLE CAURURO","NICOLE CAURURO"),D1_ABRIL_2026[[#This Row],[ASESOR]]))</f>
        <v>JESSYKA GARCIA</v>
      </c>
      <c r="C58" s="34" cm="1">
        <f t="array" ref="C58">_xlfn.XLOOKUP(1,(TablaMeta[CONCAT]=$M$3&amp;$N$3&amp;D1_ABRIL_2026[[#This Row],[SUPER]])*(TablaMeta[SEGG]=D1_ABRIL_2026[[#This Row],[SEGMENTO]]),TablaMeta[Meta_Asesor])</f>
        <v>16500</v>
      </c>
      <c r="D58" s="35">
        <f>IF(D1_ABRIL_2026[[#This Row],[RECUPERO]]="VACACIONES","VACACIONES",IFERROR(D1_ABRIL_2026[[#This Row],[RECUPERO]]/D1_ABRIL_2026[[#This Row],[META]],""))</f>
        <v>5.9818181818181819E-2</v>
      </c>
      <c r="E58" s="35" t="str">
        <f>D1_ABRIL_2026[[#This Row],[SUPER]]</f>
        <v>LEONOR</v>
      </c>
      <c r="F58" t="s">
        <v>565</v>
      </c>
      <c r="G58" s="36">
        <v>987</v>
      </c>
      <c r="H58" cm="1">
        <f t="array" ref="H58">IFERROR(VLOOKUP(D1_ABRIL_2026[[#This Row],[ASESOR_CRR]],_xlfn._xlws.FILTER(PLANTILLA[[ASESOR]:[FECHA DE CESE]],PLANTILLA[FECHA]=_xlfn.CONCAT($M$3,"_",_xlfn.IFS($N$3="ENERO","1",$N$3="FEBRERO","2",$N$3="MARZO","3",$N$3="ABRIL","4",$N$3="MAYO","5",$N$3="JUNIO","6",$N$3="JULIO","7",$N$3="AGOSTO","8",$N$3="SETIEMBRE","9",$N$3="OCTUBRE","10",$N$3="NOVIEMBRE","11",$N$3="DICIEMBRE","12"))),2,0),"")</f>
        <v>10762187</v>
      </c>
      <c r="I58" s="55" cm="1">
        <f t="array" ref="I58">IFERROR(VLOOKUP(D1_ABRIL_2026[[#This Row],[ASESOR_CRR]],_xlfn._xlws.FILTER(PLANTILLA[[ASESOR]:[FECHA DE CESE]],PLANTILLA[FECHA]=_xlfn.CONCAT($M$3,"_",_xlfn.IFS($N$3="ENERO","1",$N$3="FEBRERO","2",$N$3="MARZO","3",$N$3="ABRIL","4",$N$3="MAYO","5",$N$3="JUNIO","6",$N$3="JULIO","7",$N$3="AGOSTO","8",$N$3="SETIEMBRE","9",$N$3="OCTUBRE","10",$N$3="NOVIEMBRE","11",$N$3="DICIEMBRE","12"))),6,0),"")</f>
        <v>46083</v>
      </c>
      <c r="J58" s="55" t="str" cm="1">
        <f t="array" ref="J58">IFERROR(VLOOKUP(D1_ABRIL_2026[[#This Row],[ASESOR_CRR]],_xlfn._xlws.FILTER(PLANTILLA[[ASESOR]:[FECHA DE CESE]],PLANTILLA[FECHA]=_xlfn.CONCAT($M$3,"_",_xlfn.IFS($N$3="ENERO","1",$N$3="FEBRERO","2",$N$3="MARZO","3",$N$3="ABRIL","4",$N$3="MAYO","5",$N$3="JUNIO","6",$N$3="JULIO","7",$N$3="AGOSTO","8",$N$3="SETIEMBRE","9",$N$3="OCTUBRE","10",$N$3="NOVIEMBRE","11",$N$3="DICIEMBRE","12"))),4,0),"")</f>
        <v>CESADO</v>
      </c>
      <c r="K58" s="55" t="str" cm="1">
        <f t="array" ref="K58">IFERROR(VLOOKUP(D1_ABRIL_2026[[#This Row],[ASESOR_CRR]],_xlfn._xlws.FILTER(PLANTILLA[[ASESOR]:[FECHA DE CESE]],PLANTILLA[FECHA]=_xlfn.CONCAT($M$3,"_",_xlfn.IFS($N$3="ENERO","1",$N$3="FEBRERO","2",$N$3="MARZO","3",$N$3="ABRIL","4",$N$3="MAYO","5",$N$3="JUNIO","6",$N$3="JULIO","7",$N$3="AGOSTO","8",$N$3="SETIEMBRE","9",$N$3="OCTUBRE","10",$N$3="NOVIEMBRE","11",$N$3="DICIEMBRE","12"))),8,0),"")</f>
        <v>S2-3-4 MIX</v>
      </c>
      <c r="M58" s="5">
        <f>DATA_ABRIL_2026[[#This Row],[RECUPERO]]/DATA_ABRIL_2026[[#This Row],[META]]</f>
        <v>0.75456000000000001</v>
      </c>
      <c r="N58" s="5">
        <f>6-ROUNDUP(_xlfn.RANK.EQ(DATA_ABRIL_2026[[#This Row],[AL_AC]],DATA_ABRIL_2026[AL_AC],0)/(COUNTA(DATA_ABRIL_2026[AL_AC])/5),0)</f>
        <v>3</v>
      </c>
      <c r="O58" s="54" t="str">
        <f>IFERROR(VLOOKUP(DATA_ABRIL_2026[[#This Row],[ASER_]],$B:$G,4,0),"")</f>
        <v>LEONOR</v>
      </c>
      <c r="P58" s="6">
        <f>SUM(DATA_ABRIL_2026[[#This Row],[1]:[30]])</f>
        <v>18864</v>
      </c>
      <c r="Q58" s="6">
        <f>VLOOKUP(DATA_ABRIL_2026[[#This Row],[ASER_]],D1_ABRIL_2026[[ASESOR_CRR]:[META]],2,0)</f>
        <v>25000</v>
      </c>
      <c r="R58" t="s">
        <v>48</v>
      </c>
      <c r="T58">
        <v>400</v>
      </c>
      <c r="V58">
        <v>1900</v>
      </c>
      <c r="W58">
        <v>291</v>
      </c>
      <c r="X58">
        <v>3500</v>
      </c>
      <c r="AB58" s="6">
        <v>770</v>
      </c>
      <c r="AC58" s="6">
        <v>5000</v>
      </c>
      <c r="AD58" s="6"/>
      <c r="AE58" s="6"/>
      <c r="AF58" s="6"/>
      <c r="AG58" s="6"/>
      <c r="AH58" s="6">
        <v>2260</v>
      </c>
      <c r="AI58" s="6"/>
      <c r="AJ58" s="6">
        <v>1280</v>
      </c>
      <c r="AK58" s="6">
        <v>1772</v>
      </c>
      <c r="AL58" s="6">
        <v>1000</v>
      </c>
      <c r="AM58" s="6"/>
      <c r="AN58" s="6"/>
      <c r="AO58" s="6"/>
      <c r="AP58" s="6"/>
      <c r="AQ58" s="6"/>
      <c r="AR58">
        <v>691</v>
      </c>
      <c r="AS58" s="54" t="str" cm="1">
        <f t="array" ref="AS58">IFERROR(VLOOKUP(DATA_ABRIL_2026[[#This Row],[ASER_]],_xlfn._xlws.FILTER(PLANTILLA[[ASESOR]:[FECHA DE CESE]],PLANTILLA[FECHA]=_xlfn.CONCAT($M$3,"_",_xlfn.IFS($N$3="ENERO","1",$N$3="FEBRERO","2",$N$3="MARZO","3",$N$3="ABRIL","4",$N$3="MAYO","5",$N$3="JUNIO","6",$N$3="JULIO","7",$N$3="AGOSTO","8",$N$3="SETIEMBRE","9",$N$3="OCTUBRE","10",$N$3="NOVIEMBRE","11",$N$3="DICIEMBRE","12"))),8,0),"")</f>
        <v>S2-3-4 BANCO</v>
      </c>
      <c r="CG58" t="s">
        <v>636</v>
      </c>
      <c r="CH58" t="s">
        <v>6</v>
      </c>
      <c r="CI58" t="s">
        <v>34</v>
      </c>
      <c r="CJ58">
        <v>46132</v>
      </c>
      <c r="CK58">
        <v>1</v>
      </c>
      <c r="CL58">
        <v>1</v>
      </c>
      <c r="CN58">
        <v>1</v>
      </c>
      <c r="CP58">
        <v>2.3148148148148147E-5</v>
      </c>
      <c r="CQ58">
        <v>2.3148148148148147E-5</v>
      </c>
      <c r="CR58">
        <v>0.2152199074074074</v>
      </c>
      <c r="CS58">
        <v>0.12364583333333333</v>
      </c>
      <c r="CT58">
        <v>153</v>
      </c>
      <c r="CU58">
        <v>185</v>
      </c>
      <c r="CV58">
        <v>15</v>
      </c>
      <c r="CW58" t="s">
        <v>672</v>
      </c>
      <c r="CX58">
        <v>21167</v>
      </c>
      <c r="CY58">
        <v>9.8000000000000004E-2</v>
      </c>
      <c r="CZ58">
        <v>2</v>
      </c>
      <c r="DA58">
        <v>0.1333</v>
      </c>
      <c r="DB58">
        <v>3880</v>
      </c>
      <c r="DC58">
        <v>1940</v>
      </c>
      <c r="DD58">
        <v>3880</v>
      </c>
      <c r="DE58">
        <v>1</v>
      </c>
      <c r="DF58">
        <v>0.37490000000000001</v>
      </c>
      <c r="DG58">
        <v>96</v>
      </c>
      <c r="DH58">
        <v>1940</v>
      </c>
      <c r="DI58">
        <f>Tabla82[[#This Row],[IND_MontoPDP]]*Tabla82[[#This Row],[IND_Condonacion]]</f>
        <v>1454.6120000000001</v>
      </c>
    </row>
    <row r="59" spans="1:113" x14ac:dyDescent="0.25">
      <c r="M59" s="5">
        <f>DATA_ABRIL_2026[[#This Row],[RECUPERO]]/DATA_ABRIL_2026[[#This Row],[META]]</f>
        <v>0.39278350515463917</v>
      </c>
      <c r="N59" s="5">
        <f>6-ROUNDUP(_xlfn.RANK.EQ(DATA_ABRIL_2026[[#This Row],[AL_AC]],DATA_ABRIL_2026[AL_AC],0)/(COUNTA(DATA_ABRIL_2026[AL_AC])/5),0)</f>
        <v>1</v>
      </c>
      <c r="O59" s="54" t="str">
        <f>IFERROR(VLOOKUP(DATA_ABRIL_2026[[#This Row],[ASER_]],$B:$G,4,0),"")</f>
        <v>JOHAN</v>
      </c>
      <c r="P59" s="6">
        <f>SUM(DATA_ABRIL_2026[[#This Row],[1]:[30]])</f>
        <v>19050</v>
      </c>
      <c r="Q59" s="6">
        <f>VLOOKUP(DATA_ABRIL_2026[[#This Row],[ASER_]],D1_ABRIL_2026[[ASESOR_CRR]:[META]],2,0)</f>
        <v>48500</v>
      </c>
      <c r="R59" t="s">
        <v>10</v>
      </c>
      <c r="AB59" s="6"/>
      <c r="AC59" s="6">
        <v>4700</v>
      </c>
      <c r="AD59" s="6">
        <v>700</v>
      </c>
      <c r="AE59" s="6">
        <v>175</v>
      </c>
      <c r="AF59" s="6"/>
      <c r="AG59" s="6"/>
      <c r="AH59" s="6">
        <v>200</v>
      </c>
      <c r="AI59" s="6">
        <v>2000</v>
      </c>
      <c r="AJ59" s="6">
        <v>1000</v>
      </c>
      <c r="AK59" s="6"/>
      <c r="AL59" s="6"/>
      <c r="AM59" s="6"/>
      <c r="AN59" s="6"/>
      <c r="AO59" s="6">
        <v>3500</v>
      </c>
      <c r="AP59" s="6"/>
      <c r="AQ59" s="6">
        <v>3100</v>
      </c>
      <c r="AR59">
        <v>3675</v>
      </c>
      <c r="AS59" s="54" t="str" cm="1">
        <f t="array" ref="AS59">IFERROR(VLOOKUP(DATA_ABRIL_2026[[#This Row],[ASER_]],_xlfn._xlws.FILTER(PLANTILLA[[ASESOR]:[FECHA DE CESE]],PLANTILLA[FECHA]=_xlfn.CONCAT($M$3,"_",_xlfn.IFS($N$3="ENERO","1",$N$3="FEBRERO","2",$N$3="MARZO","3",$N$3="ABRIL","4",$N$3="MAYO","5",$N$3="JUNIO","6",$N$3="JULIO","7",$N$3="AGOSTO","8",$N$3="SETIEMBRE","9",$N$3="OCTUBRE","10",$N$3="NOVIEMBRE","11",$N$3="DICIEMBRE","12"))),8,0),"")</f>
        <v>S1</v>
      </c>
      <c r="CG59" t="s">
        <v>636</v>
      </c>
      <c r="CH59" t="s">
        <v>7</v>
      </c>
      <c r="CI59" t="s">
        <v>109</v>
      </c>
      <c r="CJ59">
        <v>46122</v>
      </c>
      <c r="CK59">
        <v>1</v>
      </c>
      <c r="CL59">
        <v>1</v>
      </c>
      <c r="CM59">
        <v>1</v>
      </c>
      <c r="CP59">
        <v>1.0358796296296297E-2</v>
      </c>
      <c r="CQ59">
        <v>1.0358796296296297E-2</v>
      </c>
      <c r="CR59">
        <v>0.22565972222222222</v>
      </c>
      <c r="CS59">
        <v>0.10487268518518518</v>
      </c>
      <c r="CT59">
        <v>73</v>
      </c>
      <c r="CU59">
        <v>131</v>
      </c>
      <c r="CV59">
        <v>21</v>
      </c>
      <c r="CW59" t="s">
        <v>678</v>
      </c>
      <c r="CX59">
        <v>18017</v>
      </c>
      <c r="CY59">
        <v>0.28770000000000001</v>
      </c>
      <c r="CZ59">
        <v>3</v>
      </c>
      <c r="DA59">
        <v>0.1429</v>
      </c>
      <c r="DB59">
        <v>4715</v>
      </c>
      <c r="DC59">
        <v>1572</v>
      </c>
      <c r="DD59">
        <v>4715</v>
      </c>
      <c r="DE59">
        <v>1</v>
      </c>
      <c r="DF59">
        <v>0.17849999999999999</v>
      </c>
      <c r="DG59">
        <v>96</v>
      </c>
      <c r="DH59">
        <v>1572</v>
      </c>
      <c r="DI59">
        <f>Tabla82[[#This Row],[IND_MontoPDP]]*Tabla82[[#This Row],[IND_Condonacion]]</f>
        <v>841.62749999999994</v>
      </c>
    </row>
    <row r="60" spans="1:113" x14ac:dyDescent="0.25">
      <c r="M60" s="5">
        <f>DATA_ABRIL_2026[[#This Row],[RECUPERO]]/DATA_ABRIL_2026[[#This Row],[META]]</f>
        <v>0.97709615384615389</v>
      </c>
      <c r="N60" s="5">
        <f>6-ROUNDUP(_xlfn.RANK.EQ(DATA_ABRIL_2026[[#This Row],[AL_AC]],DATA_ABRIL_2026[AL_AC],0)/(COUNTA(DATA_ABRIL_2026[AL_AC])/5),0)</f>
        <v>4</v>
      </c>
      <c r="O60" s="54" t="str">
        <f>IFERROR(VLOOKUP(DATA_ABRIL_2026[[#This Row],[ASER_]],$B:$G,4,0),"")</f>
        <v>KENNETH</v>
      </c>
      <c r="P60" s="6">
        <f>SUM(DATA_ABRIL_2026[[#This Row],[1]:[30]])</f>
        <v>50809</v>
      </c>
      <c r="Q60" s="6">
        <f>VLOOKUP(DATA_ABRIL_2026[[#This Row],[ASER_]],D1_ABRIL_2026[[ASESOR_CRR]:[META]],2,0)</f>
        <v>52000</v>
      </c>
      <c r="R60" t="s">
        <v>76</v>
      </c>
      <c r="S60">
        <v>1022</v>
      </c>
      <c r="V60">
        <v>7350</v>
      </c>
      <c r="Z60">
        <v>1326</v>
      </c>
      <c r="AB60" s="6">
        <v>12321</v>
      </c>
      <c r="AC60" s="6"/>
      <c r="AD60" s="6">
        <v>1500</v>
      </c>
      <c r="AE60" s="6">
        <v>3550</v>
      </c>
      <c r="AF60" s="6">
        <v>6000</v>
      </c>
      <c r="AG60" s="6"/>
      <c r="AH60" s="6">
        <v>200</v>
      </c>
      <c r="AI60" s="6"/>
      <c r="AJ60" s="6">
        <v>500</v>
      </c>
      <c r="AK60" s="6">
        <v>1000</v>
      </c>
      <c r="AL60" s="6">
        <v>7200</v>
      </c>
      <c r="AM60" s="6"/>
      <c r="AN60" s="6"/>
      <c r="AO60" s="6">
        <v>1500</v>
      </c>
      <c r="AP60" s="6"/>
      <c r="AQ60" s="6">
        <v>1254</v>
      </c>
      <c r="AR60">
        <v>6086</v>
      </c>
      <c r="AS60" s="54" t="str" cm="1">
        <f t="array" ref="AS60">IFERROR(VLOOKUP(DATA_ABRIL_2026[[#This Row],[ASER_]],_xlfn._xlws.FILTER(PLANTILLA[[ASESOR]:[FECHA DE CESE]],PLANTILLA[FECHA]=_xlfn.CONCAT($M$3,"_",_xlfn.IFS($N$3="ENERO","1",$N$3="FEBRERO","2",$N$3="MARZO","3",$N$3="ABRIL","4",$N$3="MAYO","5",$N$3="JUNIO","6",$N$3="JULIO","7",$N$3="AGOSTO","8",$N$3="SETIEMBRE","9",$N$3="OCTUBRE","10",$N$3="NOVIEMBRE","11",$N$3="DICIEMBRE","12"))),8,0),"")</f>
        <v>S0</v>
      </c>
      <c r="CG60" t="s">
        <v>636</v>
      </c>
      <c r="CH60" t="s">
        <v>7</v>
      </c>
      <c r="CI60" t="s">
        <v>49</v>
      </c>
      <c r="CJ60">
        <v>46122</v>
      </c>
      <c r="CK60">
        <v>1</v>
      </c>
      <c r="CL60">
        <v>1</v>
      </c>
      <c r="CN60">
        <v>1</v>
      </c>
      <c r="CP60">
        <v>0</v>
      </c>
      <c r="CQ60">
        <v>0</v>
      </c>
      <c r="CR60">
        <v>0.24506944444444445</v>
      </c>
      <c r="CS60">
        <v>8.7465277777777781E-2</v>
      </c>
      <c r="CT60">
        <v>59</v>
      </c>
      <c r="CU60">
        <v>88</v>
      </c>
      <c r="CV60">
        <v>5</v>
      </c>
      <c r="CW60">
        <v>2</v>
      </c>
      <c r="CX60">
        <v>38989</v>
      </c>
      <c r="CY60">
        <v>8.4699999999999998E-2</v>
      </c>
      <c r="CZ60">
        <v>1</v>
      </c>
      <c r="DA60">
        <v>0.2</v>
      </c>
      <c r="DB60">
        <v>5700</v>
      </c>
      <c r="DC60">
        <v>5700</v>
      </c>
      <c r="DD60">
        <v>5700</v>
      </c>
      <c r="DE60">
        <v>1</v>
      </c>
      <c r="DF60">
        <v>0.1008</v>
      </c>
      <c r="DG60">
        <v>96</v>
      </c>
      <c r="DH60">
        <v>5700</v>
      </c>
      <c r="DI60">
        <f>Tabla82[[#This Row],[IND_MontoPDP]]*Tabla82[[#This Row],[IND_Condonacion]]</f>
        <v>574.56000000000006</v>
      </c>
    </row>
    <row r="61" spans="1:113" x14ac:dyDescent="0.25">
      <c r="CG61" t="s">
        <v>636</v>
      </c>
      <c r="CH61" t="s">
        <v>7</v>
      </c>
      <c r="CI61" t="s">
        <v>77</v>
      </c>
      <c r="CJ61">
        <v>46133</v>
      </c>
      <c r="CK61">
        <v>1</v>
      </c>
      <c r="CL61">
        <v>1</v>
      </c>
      <c r="CM61">
        <v>1</v>
      </c>
      <c r="CP61">
        <v>9.4675925925925934E-3</v>
      </c>
      <c r="CQ61">
        <v>9.4675925925925934E-3</v>
      </c>
      <c r="CR61">
        <v>0.19943287037037036</v>
      </c>
      <c r="CS61">
        <v>0.20300925925925925</v>
      </c>
      <c r="CT61">
        <v>91</v>
      </c>
      <c r="CU61">
        <v>198</v>
      </c>
      <c r="CV61">
        <v>54</v>
      </c>
      <c r="CW61" t="s">
        <v>706</v>
      </c>
      <c r="CX61">
        <v>17714</v>
      </c>
      <c r="CY61">
        <v>0.59340000000000004</v>
      </c>
      <c r="CZ61">
        <v>5</v>
      </c>
      <c r="DA61">
        <v>9.2600000000000002E-2</v>
      </c>
      <c r="DB61">
        <v>9513</v>
      </c>
      <c r="DC61">
        <v>1903</v>
      </c>
      <c r="DD61">
        <v>9513</v>
      </c>
      <c r="DE61">
        <v>1</v>
      </c>
      <c r="DF61">
        <v>0.1865</v>
      </c>
      <c r="DG61">
        <v>96</v>
      </c>
      <c r="DH61">
        <v>1903</v>
      </c>
      <c r="DI61">
        <f>Tabla82[[#This Row],[IND_MontoPDP]]*Tabla82[[#This Row],[IND_Condonacion]]</f>
        <v>1774.1745000000001</v>
      </c>
    </row>
    <row r="62" spans="1:113" x14ac:dyDescent="0.25">
      <c r="CG62" t="s">
        <v>636</v>
      </c>
      <c r="CH62" t="s">
        <v>7</v>
      </c>
      <c r="CI62" t="s">
        <v>73</v>
      </c>
      <c r="CJ62">
        <v>46128</v>
      </c>
      <c r="CK62">
        <v>1</v>
      </c>
      <c r="CL62">
        <v>1</v>
      </c>
      <c r="CN62">
        <v>1</v>
      </c>
      <c r="CP62">
        <v>5.7870370370370373E-5</v>
      </c>
      <c r="CQ62">
        <v>5.7870370370370373E-5</v>
      </c>
      <c r="CR62">
        <v>0.18273148148148149</v>
      </c>
      <c r="CS62">
        <v>0.17041666666666666</v>
      </c>
      <c r="CT62">
        <v>38</v>
      </c>
      <c r="CU62">
        <v>51</v>
      </c>
      <c r="CV62">
        <v>7</v>
      </c>
      <c r="CW62" t="s">
        <v>745</v>
      </c>
      <c r="CX62">
        <v>37841</v>
      </c>
      <c r="CY62">
        <v>0.1842</v>
      </c>
      <c r="CZ62">
        <v>1</v>
      </c>
      <c r="DA62">
        <v>0.1429</v>
      </c>
      <c r="DB62">
        <v>3897</v>
      </c>
      <c r="DC62">
        <v>3897</v>
      </c>
      <c r="DD62">
        <v>3897</v>
      </c>
      <c r="DE62">
        <v>1</v>
      </c>
      <c r="DF62">
        <v>0.14000000000000001</v>
      </c>
      <c r="DG62">
        <v>96</v>
      </c>
      <c r="DH62">
        <v>3897</v>
      </c>
      <c r="DI62">
        <f>Tabla82[[#This Row],[IND_MontoPDP]]*Tabla82[[#This Row],[IND_Condonacion]]</f>
        <v>545.58000000000004</v>
      </c>
    </row>
    <row r="63" spans="1:113" x14ac:dyDescent="0.25">
      <c r="CG63" t="s">
        <v>636</v>
      </c>
      <c r="CH63" t="s">
        <v>7</v>
      </c>
      <c r="CI63" t="s">
        <v>48</v>
      </c>
      <c r="CJ63">
        <v>46119</v>
      </c>
      <c r="CK63">
        <v>1</v>
      </c>
      <c r="CL63">
        <v>1</v>
      </c>
      <c r="CM63">
        <v>1</v>
      </c>
      <c r="CP63">
        <v>7.2222222222222219E-3</v>
      </c>
      <c r="CQ63">
        <v>7.2222222222222219E-3</v>
      </c>
      <c r="CR63">
        <v>0.28306712962962965</v>
      </c>
      <c r="CS63">
        <v>8.7511574074074075E-2</v>
      </c>
      <c r="CT63">
        <v>116</v>
      </c>
      <c r="CU63">
        <v>149</v>
      </c>
      <c r="CV63">
        <v>22</v>
      </c>
      <c r="CW63" t="s">
        <v>680</v>
      </c>
      <c r="CX63">
        <v>26000</v>
      </c>
      <c r="CY63">
        <v>0.18970000000000001</v>
      </c>
      <c r="CZ63">
        <v>1</v>
      </c>
      <c r="DA63">
        <v>4.5499999999999999E-2</v>
      </c>
      <c r="DB63">
        <v>582</v>
      </c>
      <c r="DC63">
        <v>582</v>
      </c>
      <c r="DD63">
        <v>582</v>
      </c>
      <c r="DE63">
        <v>1</v>
      </c>
      <c r="DG63">
        <v>96</v>
      </c>
      <c r="DH63">
        <v>582</v>
      </c>
      <c r="DI63">
        <f>Tabla82[[#This Row],[IND_MontoPDP]]*Tabla82[[#This Row],[IND_Condonacion]]</f>
        <v>0</v>
      </c>
    </row>
  </sheetData>
  <phoneticPr fontId="2" type="noConversion"/>
  <conditionalFormatting sqref="E3:E58">
    <cfRule type="containsText" dxfId="8" priority="4" operator="containsText" text="kenneth">
      <formula>NOT(ISERROR(SEARCH("kenneth",E3)))</formula>
    </cfRule>
  </conditionalFormatting>
  <conditionalFormatting sqref="R9:R60">
    <cfRule type="duplicateValues" dxfId="7" priority="88"/>
  </conditionalFormatting>
  <pageMargins left="0.7" right="0.7" top="0.75" bottom="0.75" header="0.3" footer="0.3"/>
  <tableParts count="5">
    <tablePart r:id="rId1"/>
    <tablePart r:id="rId2"/>
    <tablePart r:id="rId3"/>
    <tablePart r:id="rId4"/>
    <tablePart r:id="rId5"/>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61307-9412-400A-AFFF-D293AE2F820A}">
  <dimension ref="A1:H24492"/>
  <sheetViews>
    <sheetView topLeftCell="A23588" workbookViewId="0">
      <selection activeCell="A23594" sqref="A23594"/>
    </sheetView>
  </sheetViews>
  <sheetFormatPr baseColWidth="10" defaultRowHeight="15" x14ac:dyDescent="0.25"/>
  <cols>
    <col min="1" max="1" width="255.7109375" bestFit="1" customWidth="1"/>
  </cols>
  <sheetData>
    <row r="1" spans="1:1" x14ac:dyDescent="0.25">
      <c r="A1" t="s">
        <v>1258</v>
      </c>
    </row>
    <row r="3" spans="1:1" x14ac:dyDescent="0.25">
      <c r="A3" t="s">
        <v>1259</v>
      </c>
    </row>
    <row r="4" spans="1:1" x14ac:dyDescent="0.25">
      <c r="A4" t="s">
        <v>1260</v>
      </c>
    </row>
    <row r="5" spans="1:1" x14ac:dyDescent="0.25">
      <c r="A5" t="s">
        <v>1261</v>
      </c>
    </row>
    <row r="6" spans="1:1" x14ac:dyDescent="0.25">
      <c r="A6" t="s">
        <v>1262</v>
      </c>
    </row>
    <row r="7" spans="1:1" x14ac:dyDescent="0.25">
      <c r="A7" t="s">
        <v>1263</v>
      </c>
    </row>
    <row r="8" spans="1:1" x14ac:dyDescent="0.25">
      <c r="A8" t="s">
        <v>1264</v>
      </c>
    </row>
    <row r="9" spans="1:1" x14ac:dyDescent="0.25">
      <c r="A9" t="s">
        <v>1265</v>
      </c>
    </row>
    <row r="10" spans="1:1" x14ac:dyDescent="0.25">
      <c r="A10" t="s">
        <v>1266</v>
      </c>
    </row>
    <row r="11" spans="1:1" x14ac:dyDescent="0.25">
      <c r="A11" t="s">
        <v>1264</v>
      </c>
    </row>
    <row r="12" spans="1:1" x14ac:dyDescent="0.25">
      <c r="A12" t="s">
        <v>1267</v>
      </c>
    </row>
    <row r="13" spans="1:1" x14ac:dyDescent="0.25">
      <c r="A13" t="s">
        <v>1268</v>
      </c>
    </row>
    <row r="14" spans="1:1" x14ac:dyDescent="0.25">
      <c r="A14" t="s">
        <v>1269</v>
      </c>
    </row>
    <row r="15" spans="1:1" x14ac:dyDescent="0.25">
      <c r="A15" t="s">
        <v>1270</v>
      </c>
    </row>
    <row r="16" spans="1:1" x14ac:dyDescent="0.25">
      <c r="A16" t="s">
        <v>1271</v>
      </c>
    </row>
    <row r="17" spans="1:1" x14ac:dyDescent="0.25">
      <c r="A17" t="s">
        <v>1272</v>
      </c>
    </row>
    <row r="18" spans="1:1" x14ac:dyDescent="0.25">
      <c r="A18" t="s">
        <v>1273</v>
      </c>
    </row>
    <row r="19" spans="1:1" x14ac:dyDescent="0.25">
      <c r="A19" t="s">
        <v>1274</v>
      </c>
    </row>
    <row r="20" spans="1:1" x14ac:dyDescent="0.25">
      <c r="A20" t="s">
        <v>1275</v>
      </c>
    </row>
    <row r="21" spans="1:1" x14ac:dyDescent="0.25">
      <c r="A21" t="s">
        <v>1276</v>
      </c>
    </row>
    <row r="22" spans="1:1" x14ac:dyDescent="0.25">
      <c r="A22" t="s">
        <v>1277</v>
      </c>
    </row>
    <row r="23" spans="1:1" x14ac:dyDescent="0.25">
      <c r="A23" t="s">
        <v>1278</v>
      </c>
    </row>
    <row r="24" spans="1:1" x14ac:dyDescent="0.25">
      <c r="A24" t="s">
        <v>1279</v>
      </c>
    </row>
    <row r="25" spans="1:1" x14ac:dyDescent="0.25">
      <c r="A25" t="s">
        <v>1280</v>
      </c>
    </row>
    <row r="26" spans="1:1" x14ac:dyDescent="0.25">
      <c r="A26" t="s">
        <v>1281</v>
      </c>
    </row>
    <row r="27" spans="1:1" x14ac:dyDescent="0.25">
      <c r="A27" t="s">
        <v>1282</v>
      </c>
    </row>
    <row r="28" spans="1:1" x14ac:dyDescent="0.25">
      <c r="A28" t="s">
        <v>1283</v>
      </c>
    </row>
    <row r="29" spans="1:1" x14ac:dyDescent="0.25">
      <c r="A29" t="s">
        <v>1284</v>
      </c>
    </row>
    <row r="30" spans="1:1" x14ac:dyDescent="0.25">
      <c r="A30" t="s">
        <v>1285</v>
      </c>
    </row>
    <row r="31" spans="1:1" x14ac:dyDescent="0.25">
      <c r="A31" t="s">
        <v>1283</v>
      </c>
    </row>
    <row r="32" spans="1:1" x14ac:dyDescent="0.25">
      <c r="A32" t="s">
        <v>1286</v>
      </c>
    </row>
    <row r="33" spans="1:1" x14ac:dyDescent="0.25">
      <c r="A33" t="s">
        <v>1287</v>
      </c>
    </row>
    <row r="34" spans="1:1" x14ac:dyDescent="0.25">
      <c r="A34" t="s">
        <v>1288</v>
      </c>
    </row>
    <row r="35" spans="1:1" x14ac:dyDescent="0.25">
      <c r="A35" t="s">
        <v>1289</v>
      </c>
    </row>
    <row r="36" spans="1:1" x14ac:dyDescent="0.25">
      <c r="A36" t="s">
        <v>1290</v>
      </c>
    </row>
    <row r="37" spans="1:1" x14ac:dyDescent="0.25">
      <c r="A37" t="s">
        <v>1291</v>
      </c>
    </row>
    <row r="38" spans="1:1" x14ac:dyDescent="0.25">
      <c r="A38" t="s">
        <v>1292</v>
      </c>
    </row>
    <row r="39" spans="1:1" x14ac:dyDescent="0.25">
      <c r="A39" t="s">
        <v>1293</v>
      </c>
    </row>
    <row r="40" spans="1:1" x14ac:dyDescent="0.25">
      <c r="A40" t="s">
        <v>1294</v>
      </c>
    </row>
    <row r="41" spans="1:1" x14ac:dyDescent="0.25">
      <c r="A41" t="s">
        <v>1295</v>
      </c>
    </row>
    <row r="42" spans="1:1" x14ac:dyDescent="0.25">
      <c r="A42" t="s">
        <v>1296</v>
      </c>
    </row>
    <row r="43" spans="1:1" x14ac:dyDescent="0.25">
      <c r="A43" t="s">
        <v>1297</v>
      </c>
    </row>
    <row r="44" spans="1:1" x14ac:dyDescent="0.25">
      <c r="A44" t="s">
        <v>1298</v>
      </c>
    </row>
    <row r="45" spans="1:1" x14ac:dyDescent="0.25">
      <c r="A45" t="s">
        <v>1299</v>
      </c>
    </row>
    <row r="46" spans="1:1" x14ac:dyDescent="0.25">
      <c r="A46" t="s">
        <v>1297</v>
      </c>
    </row>
    <row r="47" spans="1:1" x14ac:dyDescent="0.25">
      <c r="A47" t="s">
        <v>1300</v>
      </c>
    </row>
    <row r="48" spans="1:1" x14ac:dyDescent="0.25">
      <c r="A48" t="s">
        <v>1301</v>
      </c>
    </row>
    <row r="49" spans="1:1" x14ac:dyDescent="0.25">
      <c r="A49" t="s">
        <v>1302</v>
      </c>
    </row>
    <row r="50" spans="1:1" x14ac:dyDescent="0.25">
      <c r="A50" t="s">
        <v>1297</v>
      </c>
    </row>
    <row r="51" spans="1:1" x14ac:dyDescent="0.25">
      <c r="A51" t="s">
        <v>1303</v>
      </c>
    </row>
    <row r="52" spans="1:1" x14ac:dyDescent="0.25">
      <c r="A52" t="s">
        <v>1304</v>
      </c>
    </row>
    <row r="53" spans="1:1" x14ac:dyDescent="0.25">
      <c r="A53" t="s">
        <v>1297</v>
      </c>
    </row>
    <row r="54" spans="1:1" x14ac:dyDescent="0.25">
      <c r="A54" t="s">
        <v>1305</v>
      </c>
    </row>
    <row r="55" spans="1:1" x14ac:dyDescent="0.25">
      <c r="A55" t="s">
        <v>1306</v>
      </c>
    </row>
    <row r="56" spans="1:1" x14ac:dyDescent="0.25">
      <c r="A56" t="s">
        <v>1297</v>
      </c>
    </row>
    <row r="57" spans="1:1" x14ac:dyDescent="0.25">
      <c r="A57" t="s">
        <v>1307</v>
      </c>
    </row>
    <row r="58" spans="1:1" x14ac:dyDescent="0.25">
      <c r="A58" t="s">
        <v>1308</v>
      </c>
    </row>
    <row r="59" spans="1:1" x14ac:dyDescent="0.25">
      <c r="A59" t="s">
        <v>1297</v>
      </c>
    </row>
    <row r="60" spans="1:1" x14ac:dyDescent="0.25">
      <c r="A60" t="s">
        <v>1309</v>
      </c>
    </row>
    <row r="61" spans="1:1" x14ac:dyDescent="0.25">
      <c r="A61" t="s">
        <v>1310</v>
      </c>
    </row>
    <row r="62" spans="1:1" x14ac:dyDescent="0.25">
      <c r="A62" t="s">
        <v>1311</v>
      </c>
    </row>
    <row r="63" spans="1:1" x14ac:dyDescent="0.25">
      <c r="A63" t="s">
        <v>1312</v>
      </c>
    </row>
    <row r="64" spans="1:1" x14ac:dyDescent="0.25">
      <c r="A64" t="s">
        <v>1313</v>
      </c>
    </row>
    <row r="65" spans="1:1" x14ac:dyDescent="0.25">
      <c r="A65" t="s">
        <v>1314</v>
      </c>
    </row>
    <row r="66" spans="1:1" x14ac:dyDescent="0.25">
      <c r="A66" t="s">
        <v>1315</v>
      </c>
    </row>
    <row r="67" spans="1:1" x14ac:dyDescent="0.25">
      <c r="A67" t="s">
        <v>1316</v>
      </c>
    </row>
    <row r="68" spans="1:1" x14ac:dyDescent="0.25">
      <c r="A68" t="s">
        <v>1317</v>
      </c>
    </row>
    <row r="69" spans="1:1" x14ac:dyDescent="0.25">
      <c r="A69" t="s">
        <v>1318</v>
      </c>
    </row>
    <row r="70" spans="1:1" x14ac:dyDescent="0.25">
      <c r="A70" t="s">
        <v>1319</v>
      </c>
    </row>
    <row r="71" spans="1:1" x14ac:dyDescent="0.25">
      <c r="A71" t="s">
        <v>1320</v>
      </c>
    </row>
    <row r="72" spans="1:1" x14ac:dyDescent="0.25">
      <c r="A72" t="s">
        <v>1321</v>
      </c>
    </row>
    <row r="73" spans="1:1" x14ac:dyDescent="0.25">
      <c r="A73" t="s">
        <v>1322</v>
      </c>
    </row>
    <row r="75" spans="1:1" x14ac:dyDescent="0.25">
      <c r="A75" t="s">
        <v>1323</v>
      </c>
    </row>
    <row r="76" spans="1:1" x14ac:dyDescent="0.25">
      <c r="A76" t="s">
        <v>1324</v>
      </c>
    </row>
    <row r="77" spans="1:1" x14ac:dyDescent="0.25">
      <c r="A77" t="s">
        <v>1325</v>
      </c>
    </row>
    <row r="78" spans="1:1" x14ac:dyDescent="0.25">
      <c r="A78" t="s">
        <v>1326</v>
      </c>
    </row>
    <row r="79" spans="1:1" x14ac:dyDescent="0.25">
      <c r="A79" t="s">
        <v>1327</v>
      </c>
    </row>
    <row r="80" spans="1:1" x14ac:dyDescent="0.25">
      <c r="A80" t="s">
        <v>1328</v>
      </c>
    </row>
    <row r="81" spans="1:2" x14ac:dyDescent="0.25">
      <c r="A81" t="s">
        <v>1329</v>
      </c>
    </row>
    <row r="82" spans="1:2" x14ac:dyDescent="0.25">
      <c r="A82" t="s">
        <v>1330</v>
      </c>
    </row>
    <row r="83" spans="1:2" x14ac:dyDescent="0.25">
      <c r="A83" t="s">
        <v>1331</v>
      </c>
    </row>
    <row r="84" spans="1:2" x14ac:dyDescent="0.25">
      <c r="A84" t="s">
        <v>1332</v>
      </c>
    </row>
    <row r="85" spans="1:2" x14ac:dyDescent="0.25">
      <c r="A85" t="s">
        <v>1333</v>
      </c>
    </row>
    <row r="86" spans="1:2" x14ac:dyDescent="0.25">
      <c r="A86" t="s">
        <v>1334</v>
      </c>
      <c r="B86" t="s">
        <v>1335</v>
      </c>
    </row>
    <row r="87" spans="1:2" x14ac:dyDescent="0.25">
      <c r="A87" t="s">
        <v>1336</v>
      </c>
    </row>
    <row r="88" spans="1:2" x14ac:dyDescent="0.25">
      <c r="A88" t="s">
        <v>1337</v>
      </c>
    </row>
    <row r="89" spans="1:2" x14ac:dyDescent="0.25">
      <c r="A89" t="s">
        <v>1338</v>
      </c>
    </row>
    <row r="90" spans="1:2" x14ac:dyDescent="0.25">
      <c r="A90" t="s">
        <v>1339</v>
      </c>
    </row>
    <row r="91" spans="1:2" x14ac:dyDescent="0.25">
      <c r="A91" t="s">
        <v>1340</v>
      </c>
    </row>
    <row r="92" spans="1:2" x14ac:dyDescent="0.25">
      <c r="A92" t="s">
        <v>1341</v>
      </c>
    </row>
    <row r="93" spans="1:2" x14ac:dyDescent="0.25">
      <c r="A93" t="s">
        <v>1342</v>
      </c>
    </row>
    <row r="94" spans="1:2" x14ac:dyDescent="0.25">
      <c r="A94" t="s">
        <v>1343</v>
      </c>
    </row>
    <row r="95" spans="1:2" x14ac:dyDescent="0.25">
      <c r="A95" t="s">
        <v>1344</v>
      </c>
    </row>
    <row r="96" spans="1:2" x14ac:dyDescent="0.25">
      <c r="A96" t="s">
        <v>1345</v>
      </c>
    </row>
    <row r="97" spans="1:1" x14ac:dyDescent="0.25">
      <c r="A97" t="s">
        <v>1346</v>
      </c>
    </row>
    <row r="98" spans="1:1" x14ac:dyDescent="0.25">
      <c r="A98" t="s">
        <v>1347</v>
      </c>
    </row>
    <row r="99" spans="1:1" x14ac:dyDescent="0.25">
      <c r="A99" t="s">
        <v>1348</v>
      </c>
    </row>
    <row r="100" spans="1:1" x14ac:dyDescent="0.25">
      <c r="A100" t="s">
        <v>1349</v>
      </c>
    </row>
    <row r="101" spans="1:1" x14ac:dyDescent="0.25">
      <c r="A101" t="s">
        <v>1350</v>
      </c>
    </row>
    <row r="102" spans="1:1" x14ac:dyDescent="0.25">
      <c r="A102" t="s">
        <v>1351</v>
      </c>
    </row>
    <row r="103" spans="1:1" x14ac:dyDescent="0.25">
      <c r="A103" t="s">
        <v>1352</v>
      </c>
    </row>
    <row r="104" spans="1:1" x14ac:dyDescent="0.25">
      <c r="A104" t="s">
        <v>1353</v>
      </c>
    </row>
    <row r="105" spans="1:1" x14ac:dyDescent="0.25">
      <c r="A105" t="s">
        <v>1354</v>
      </c>
    </row>
    <row r="106" spans="1:1" x14ac:dyDescent="0.25">
      <c r="A106" t="s">
        <v>1355</v>
      </c>
    </row>
    <row r="107" spans="1:1" x14ac:dyDescent="0.25">
      <c r="A107" t="s">
        <v>1356</v>
      </c>
    </row>
    <row r="108" spans="1:1" x14ac:dyDescent="0.25">
      <c r="A108" t="s">
        <v>1357</v>
      </c>
    </row>
    <row r="109" spans="1:1" x14ac:dyDescent="0.25">
      <c r="A109" t="s">
        <v>1358</v>
      </c>
    </row>
    <row r="110" spans="1:1" x14ac:dyDescent="0.25">
      <c r="A110" t="s">
        <v>1359</v>
      </c>
    </row>
    <row r="111" spans="1:1" x14ac:dyDescent="0.25">
      <c r="A111" t="s">
        <v>1321</v>
      </c>
    </row>
    <row r="112" spans="1:1" x14ac:dyDescent="0.25">
      <c r="A112" t="s">
        <v>1360</v>
      </c>
    </row>
    <row r="113" spans="1:1" x14ac:dyDescent="0.25">
      <c r="A113" t="s">
        <v>1361</v>
      </c>
    </row>
    <row r="114" spans="1:1" x14ac:dyDescent="0.25">
      <c r="A114" t="s">
        <v>1362</v>
      </c>
    </row>
    <row r="117" spans="1:1" x14ac:dyDescent="0.25">
      <c r="A117" t="s">
        <v>1363</v>
      </c>
    </row>
    <row r="118" spans="1:1" x14ac:dyDescent="0.25">
      <c r="A118" t="s">
        <v>1364</v>
      </c>
    </row>
    <row r="119" spans="1:1" x14ac:dyDescent="0.25">
      <c r="A119" t="s">
        <v>1365</v>
      </c>
    </row>
    <row r="120" spans="1:1" x14ac:dyDescent="0.25">
      <c r="A120" t="s">
        <v>1366</v>
      </c>
    </row>
    <row r="121" spans="1:1" x14ac:dyDescent="0.25">
      <c r="A121" t="s">
        <v>1367</v>
      </c>
    </row>
    <row r="122" spans="1:1" x14ac:dyDescent="0.25">
      <c r="A122" t="s">
        <v>1368</v>
      </c>
    </row>
    <row r="123" spans="1:1" x14ac:dyDescent="0.25">
      <c r="A123" t="s">
        <v>1369</v>
      </c>
    </row>
    <row r="124" spans="1:1" x14ac:dyDescent="0.25">
      <c r="A124" t="s">
        <v>1370</v>
      </c>
    </row>
    <row r="125" spans="1:1" x14ac:dyDescent="0.25">
      <c r="A125" t="s">
        <v>1371</v>
      </c>
    </row>
    <row r="126" spans="1:1" x14ac:dyDescent="0.25">
      <c r="A126" t="s">
        <v>1372</v>
      </c>
    </row>
    <row r="127" spans="1:1" x14ac:dyDescent="0.25">
      <c r="A127" t="s">
        <v>1373</v>
      </c>
    </row>
    <row r="128" spans="1:1" x14ac:dyDescent="0.25">
      <c r="A128" t="s">
        <v>1374</v>
      </c>
    </row>
    <row r="129" spans="1:1" x14ac:dyDescent="0.25">
      <c r="A129" t="s">
        <v>1375</v>
      </c>
    </row>
    <row r="130" spans="1:1" x14ac:dyDescent="0.25">
      <c r="A130" t="s">
        <v>1376</v>
      </c>
    </row>
    <row r="131" spans="1:1" x14ac:dyDescent="0.25">
      <c r="A131" t="s">
        <v>1377</v>
      </c>
    </row>
    <row r="132" spans="1:1" x14ac:dyDescent="0.25">
      <c r="A132" t="s">
        <v>1378</v>
      </c>
    </row>
    <row r="133" spans="1:1" x14ac:dyDescent="0.25">
      <c r="A133" t="s">
        <v>1379</v>
      </c>
    </row>
    <row r="134" spans="1:1" x14ac:dyDescent="0.25">
      <c r="A134" t="s">
        <v>1380</v>
      </c>
    </row>
    <row r="135" spans="1:1" x14ac:dyDescent="0.25">
      <c r="A135" t="s">
        <v>1381</v>
      </c>
    </row>
    <row r="136" spans="1:1" x14ac:dyDescent="0.25">
      <c r="A136" t="s">
        <v>1382</v>
      </c>
    </row>
    <row r="137" spans="1:1" x14ac:dyDescent="0.25">
      <c r="A137">
        <v>970248910</v>
      </c>
    </row>
    <row r="139" spans="1:1" x14ac:dyDescent="0.25">
      <c r="A139" t="s">
        <v>1379</v>
      </c>
    </row>
    <row r="140" spans="1:1" x14ac:dyDescent="0.25">
      <c r="A140" t="s">
        <v>1380</v>
      </c>
    </row>
    <row r="141" spans="1:1" x14ac:dyDescent="0.25">
      <c r="A141" t="s">
        <v>1381</v>
      </c>
    </row>
    <row r="142" spans="1:1" x14ac:dyDescent="0.25">
      <c r="A142" t="s">
        <v>1382</v>
      </c>
    </row>
    <row r="143" spans="1:1" x14ac:dyDescent="0.25">
      <c r="A143">
        <v>970248910</v>
      </c>
    </row>
    <row r="147" spans="1:1" x14ac:dyDescent="0.25">
      <c r="A147" t="s">
        <v>1383</v>
      </c>
    </row>
    <row r="148" spans="1:1" x14ac:dyDescent="0.25">
      <c r="A148" t="s">
        <v>1384</v>
      </c>
    </row>
    <row r="149" spans="1:1" x14ac:dyDescent="0.25">
      <c r="A149" t="s">
        <v>1385</v>
      </c>
    </row>
    <row r="150" spans="1:1" x14ac:dyDescent="0.25">
      <c r="A150" t="s">
        <v>1386</v>
      </c>
    </row>
    <row r="151" spans="1:1" x14ac:dyDescent="0.25">
      <c r="A151" t="s">
        <v>1387</v>
      </c>
    </row>
    <row r="152" spans="1:1" x14ac:dyDescent="0.25">
      <c r="A152" t="s">
        <v>1388</v>
      </c>
    </row>
    <row r="153" spans="1:1" x14ac:dyDescent="0.25">
      <c r="A153" t="s">
        <v>1389</v>
      </c>
    </row>
    <row r="154" spans="1:1" x14ac:dyDescent="0.25">
      <c r="A154" t="s">
        <v>1390</v>
      </c>
    </row>
    <row r="155" spans="1:1" x14ac:dyDescent="0.25">
      <c r="A155" t="s">
        <v>1391</v>
      </c>
    </row>
    <row r="156" spans="1:1" x14ac:dyDescent="0.25">
      <c r="A156" t="s">
        <v>1392</v>
      </c>
    </row>
    <row r="157" spans="1:1" x14ac:dyDescent="0.25">
      <c r="A157" t="s">
        <v>1389</v>
      </c>
    </row>
    <row r="158" spans="1:1" x14ac:dyDescent="0.25">
      <c r="A158" t="s">
        <v>1393</v>
      </c>
    </row>
    <row r="159" spans="1:1" x14ac:dyDescent="0.25">
      <c r="A159" t="s">
        <v>1391</v>
      </c>
    </row>
    <row r="160" spans="1:1" x14ac:dyDescent="0.25">
      <c r="A160" t="s">
        <v>1392</v>
      </c>
    </row>
    <row r="161" spans="1:1" x14ac:dyDescent="0.25">
      <c r="A161" t="s">
        <v>1394</v>
      </c>
    </row>
    <row r="162" spans="1:1" x14ac:dyDescent="0.25">
      <c r="A162" t="s">
        <v>1395</v>
      </c>
    </row>
    <row r="163" spans="1:1" x14ac:dyDescent="0.25">
      <c r="A163" t="s">
        <v>1396</v>
      </c>
    </row>
    <row r="164" spans="1:1" x14ac:dyDescent="0.25">
      <c r="A164" t="s">
        <v>1397</v>
      </c>
    </row>
    <row r="165" spans="1:1" x14ac:dyDescent="0.25">
      <c r="A165" t="s">
        <v>1398</v>
      </c>
    </row>
    <row r="166" spans="1:1" x14ac:dyDescent="0.25">
      <c r="A166" t="s">
        <v>1399</v>
      </c>
    </row>
    <row r="167" spans="1:1" x14ac:dyDescent="0.25">
      <c r="A167" t="s">
        <v>1400</v>
      </c>
    </row>
    <row r="168" spans="1:1" x14ac:dyDescent="0.25">
      <c r="A168" t="s">
        <v>1401</v>
      </c>
    </row>
    <row r="169" spans="1:1" x14ac:dyDescent="0.25">
      <c r="A169" t="s">
        <v>1402</v>
      </c>
    </row>
    <row r="170" spans="1:1" x14ac:dyDescent="0.25">
      <c r="A170" t="s">
        <v>1403</v>
      </c>
    </row>
    <row r="171" spans="1:1" x14ac:dyDescent="0.25">
      <c r="A171" t="s">
        <v>1404</v>
      </c>
    </row>
    <row r="172" spans="1:1" x14ac:dyDescent="0.25">
      <c r="A172" t="s">
        <v>1405</v>
      </c>
    </row>
    <row r="173" spans="1:1" x14ac:dyDescent="0.25">
      <c r="A173" t="s">
        <v>1406</v>
      </c>
    </row>
    <row r="174" spans="1:1" x14ac:dyDescent="0.25">
      <c r="A174" t="s">
        <v>1407</v>
      </c>
    </row>
    <row r="175" spans="1:1" x14ac:dyDescent="0.25">
      <c r="A175" t="s">
        <v>1408</v>
      </c>
    </row>
    <row r="176" spans="1:1" x14ac:dyDescent="0.25">
      <c r="A176" t="s">
        <v>1409</v>
      </c>
    </row>
    <row r="177" spans="1:1" x14ac:dyDescent="0.25">
      <c r="A177" t="s">
        <v>1410</v>
      </c>
    </row>
    <row r="178" spans="1:1" x14ac:dyDescent="0.25">
      <c r="A178" t="s">
        <v>1411</v>
      </c>
    </row>
    <row r="179" spans="1:1" x14ac:dyDescent="0.25">
      <c r="A179" t="s">
        <v>1412</v>
      </c>
    </row>
    <row r="180" spans="1:1" x14ac:dyDescent="0.25">
      <c r="A180" t="s">
        <v>1413</v>
      </c>
    </row>
    <row r="182" spans="1:1" x14ac:dyDescent="0.25">
      <c r="A182" t="s">
        <v>1414</v>
      </c>
    </row>
    <row r="183" spans="1:1" x14ac:dyDescent="0.25">
      <c r="A183" t="s">
        <v>1415</v>
      </c>
    </row>
    <row r="184" spans="1:1" x14ac:dyDescent="0.25">
      <c r="A184" t="s">
        <v>1416</v>
      </c>
    </row>
    <row r="186" spans="1:1" x14ac:dyDescent="0.25">
      <c r="A186" t="s">
        <v>1417</v>
      </c>
    </row>
    <row r="187" spans="1:1" x14ac:dyDescent="0.25">
      <c r="A187" t="s">
        <v>1418</v>
      </c>
    </row>
    <row r="188" spans="1:1" x14ac:dyDescent="0.25">
      <c r="A188" t="s">
        <v>1419</v>
      </c>
    </row>
    <row r="189" spans="1:1" x14ac:dyDescent="0.25">
      <c r="A189" t="s">
        <v>1420</v>
      </c>
    </row>
    <row r="190" spans="1:1" x14ac:dyDescent="0.25">
      <c r="A190" t="s">
        <v>1421</v>
      </c>
    </row>
    <row r="191" spans="1:1" x14ac:dyDescent="0.25">
      <c r="A191" t="s">
        <v>1422</v>
      </c>
    </row>
    <row r="193" spans="1:1" x14ac:dyDescent="0.25">
      <c r="A193" t="s">
        <v>1423</v>
      </c>
    </row>
    <row r="194" spans="1:1" x14ac:dyDescent="0.25">
      <c r="A194" t="s">
        <v>1424</v>
      </c>
    </row>
    <row r="195" spans="1:1" x14ac:dyDescent="0.25">
      <c r="A195" t="s">
        <v>1425</v>
      </c>
    </row>
    <row r="196" spans="1:1" x14ac:dyDescent="0.25">
      <c r="A196" t="s">
        <v>1426</v>
      </c>
    </row>
    <row r="197" spans="1:1" x14ac:dyDescent="0.25">
      <c r="A197" t="s">
        <v>1427</v>
      </c>
    </row>
    <row r="198" spans="1:1" x14ac:dyDescent="0.25">
      <c r="A198" t="s">
        <v>1428</v>
      </c>
    </row>
    <row r="199" spans="1:1" x14ac:dyDescent="0.25">
      <c r="A199" t="s">
        <v>1429</v>
      </c>
    </row>
    <row r="200" spans="1:1" x14ac:dyDescent="0.25">
      <c r="A200" t="s">
        <v>1430</v>
      </c>
    </row>
    <row r="201" spans="1:1" x14ac:dyDescent="0.25">
      <c r="A201" t="s">
        <v>1431</v>
      </c>
    </row>
    <row r="202" spans="1:1" x14ac:dyDescent="0.25">
      <c r="A202" t="s">
        <v>1432</v>
      </c>
    </row>
    <row r="203" spans="1:1" x14ac:dyDescent="0.25">
      <c r="A203" t="s">
        <v>1433</v>
      </c>
    </row>
    <row r="204" spans="1:1" x14ac:dyDescent="0.25">
      <c r="A204" t="s">
        <v>1434</v>
      </c>
    </row>
    <row r="205" spans="1:1" x14ac:dyDescent="0.25">
      <c r="A205" t="s">
        <v>1435</v>
      </c>
    </row>
    <row r="206" spans="1:1" x14ac:dyDescent="0.25">
      <c r="A206" t="s">
        <v>1436</v>
      </c>
    </row>
    <row r="207" spans="1:1" x14ac:dyDescent="0.25">
      <c r="A207" t="s">
        <v>1437</v>
      </c>
    </row>
    <row r="208" spans="1:1" x14ac:dyDescent="0.25">
      <c r="A208" t="s">
        <v>1438</v>
      </c>
    </row>
    <row r="209" spans="1:1" x14ac:dyDescent="0.25">
      <c r="A209" t="s">
        <v>1439</v>
      </c>
    </row>
    <row r="210" spans="1:1" x14ac:dyDescent="0.25">
      <c r="A210" t="s">
        <v>1440</v>
      </c>
    </row>
    <row r="212" spans="1:1" x14ac:dyDescent="0.25">
      <c r="A212" t="s">
        <v>1441</v>
      </c>
    </row>
    <row r="213" spans="1:1" x14ac:dyDescent="0.25">
      <c r="A213" t="s">
        <v>1442</v>
      </c>
    </row>
    <row r="214" spans="1:1" x14ac:dyDescent="0.25">
      <c r="A214" t="s">
        <v>1443</v>
      </c>
    </row>
    <row r="215" spans="1:1" x14ac:dyDescent="0.25">
      <c r="A215" t="s">
        <v>1444</v>
      </c>
    </row>
    <row r="216" spans="1:1" x14ac:dyDescent="0.25">
      <c r="A216" t="s">
        <v>1445</v>
      </c>
    </row>
    <row r="217" spans="1:1" x14ac:dyDescent="0.25">
      <c r="A217" t="s">
        <v>1446</v>
      </c>
    </row>
    <row r="219" spans="1:1" x14ac:dyDescent="0.25">
      <c r="A219" t="s">
        <v>1447</v>
      </c>
    </row>
    <row r="220" spans="1:1" x14ac:dyDescent="0.25">
      <c r="A220" t="s">
        <v>1448</v>
      </c>
    </row>
    <row r="221" spans="1:1" x14ac:dyDescent="0.25">
      <c r="A221" t="s">
        <v>1449</v>
      </c>
    </row>
    <row r="222" spans="1:1" x14ac:dyDescent="0.25">
      <c r="A222" t="s">
        <v>1450</v>
      </c>
    </row>
    <row r="223" spans="1:1" x14ac:dyDescent="0.25">
      <c r="A223" t="s">
        <v>1451</v>
      </c>
    </row>
    <row r="224" spans="1:1" x14ac:dyDescent="0.25">
      <c r="A224" t="s">
        <v>1452</v>
      </c>
    </row>
    <row r="225" spans="1:1" x14ac:dyDescent="0.25">
      <c r="A225" t="s">
        <v>1453</v>
      </c>
    </row>
    <row r="226" spans="1:1" x14ac:dyDescent="0.25">
      <c r="A226" t="s">
        <v>1454</v>
      </c>
    </row>
    <row r="227" spans="1:1" x14ac:dyDescent="0.25">
      <c r="A227" t="s">
        <v>1455</v>
      </c>
    </row>
    <row r="228" spans="1:1" x14ac:dyDescent="0.25">
      <c r="A228" t="s">
        <v>1456</v>
      </c>
    </row>
    <row r="229" spans="1:1" x14ac:dyDescent="0.25">
      <c r="A229" t="s">
        <v>1457</v>
      </c>
    </row>
    <row r="230" spans="1:1" x14ac:dyDescent="0.25">
      <c r="A230" t="s">
        <v>1317</v>
      </c>
    </row>
    <row r="234" spans="1:1" x14ac:dyDescent="0.25">
      <c r="A234" t="s">
        <v>1458</v>
      </c>
    </row>
    <row r="235" spans="1:1" x14ac:dyDescent="0.25">
      <c r="A235" t="s">
        <v>1459</v>
      </c>
    </row>
    <row r="236" spans="1:1" x14ac:dyDescent="0.25">
      <c r="A236" t="s">
        <v>1460</v>
      </c>
    </row>
    <row r="238" spans="1:1" x14ac:dyDescent="0.25">
      <c r="A238" t="s">
        <v>1461</v>
      </c>
    </row>
    <row r="239" spans="1:1" x14ac:dyDescent="0.25">
      <c r="A239" t="s">
        <v>1462</v>
      </c>
    </row>
    <row r="240" spans="1:1" x14ac:dyDescent="0.25">
      <c r="A240" t="s">
        <v>1463</v>
      </c>
    </row>
    <row r="241" spans="1:1" x14ac:dyDescent="0.25">
      <c r="A241" t="s">
        <v>1464</v>
      </c>
    </row>
    <row r="242" spans="1:1" x14ac:dyDescent="0.25">
      <c r="A242" t="s">
        <v>1465</v>
      </c>
    </row>
    <row r="243" spans="1:1" x14ac:dyDescent="0.25">
      <c r="A243" t="s">
        <v>1466</v>
      </c>
    </row>
    <row r="244" spans="1:1" x14ac:dyDescent="0.25">
      <c r="A244" t="s">
        <v>1467</v>
      </c>
    </row>
    <row r="248" spans="1:1" x14ac:dyDescent="0.25">
      <c r="A248">
        <v>4636058</v>
      </c>
    </row>
    <row r="249" spans="1:1" x14ac:dyDescent="0.25">
      <c r="A249">
        <v>953907313</v>
      </c>
    </row>
    <row r="250" spans="1:1" x14ac:dyDescent="0.25">
      <c r="A250" t="s">
        <v>1468</v>
      </c>
    </row>
    <row r="251" spans="1:1" x14ac:dyDescent="0.25">
      <c r="A251" t="s">
        <v>1469</v>
      </c>
    </row>
    <row r="252" spans="1:1" x14ac:dyDescent="0.25">
      <c r="A252" t="s">
        <v>1470</v>
      </c>
    </row>
    <row r="253" spans="1:1" x14ac:dyDescent="0.25">
      <c r="A253" t="s">
        <v>1471</v>
      </c>
    </row>
    <row r="254" spans="1:1" x14ac:dyDescent="0.25">
      <c r="A254" t="s">
        <v>1472</v>
      </c>
    </row>
    <row r="255" spans="1:1" x14ac:dyDescent="0.25">
      <c r="A255" t="s">
        <v>1473</v>
      </c>
    </row>
    <row r="257" spans="1:1" x14ac:dyDescent="0.25">
      <c r="A257" s="4">
        <v>46040</v>
      </c>
    </row>
    <row r="258" spans="1:1" x14ac:dyDescent="0.25">
      <c r="A258" t="s">
        <v>1474</v>
      </c>
    </row>
    <row r="259" spans="1:1" x14ac:dyDescent="0.25">
      <c r="A259" t="s">
        <v>1475</v>
      </c>
    </row>
    <row r="260" spans="1:1" x14ac:dyDescent="0.25">
      <c r="A260" t="s">
        <v>1476</v>
      </c>
    </row>
    <row r="262" spans="1:1" x14ac:dyDescent="0.25">
      <c r="A262">
        <v>957707521</v>
      </c>
    </row>
    <row r="263" spans="1:1" x14ac:dyDescent="0.25">
      <c r="A263" t="s">
        <v>1477</v>
      </c>
    </row>
    <row r="264" spans="1:1" x14ac:dyDescent="0.25">
      <c r="A264" t="s">
        <v>1478</v>
      </c>
    </row>
    <row r="265" spans="1:1" x14ac:dyDescent="0.25">
      <c r="A265" t="s">
        <v>1479</v>
      </c>
    </row>
    <row r="266" spans="1:1" x14ac:dyDescent="0.25">
      <c r="A266" t="s">
        <v>1480</v>
      </c>
    </row>
    <row r="267" spans="1:1" x14ac:dyDescent="0.25">
      <c r="A267" t="s">
        <v>1481</v>
      </c>
    </row>
    <row r="268" spans="1:1" x14ac:dyDescent="0.25">
      <c r="A268" t="s">
        <v>1482</v>
      </c>
    </row>
    <row r="269" spans="1:1" x14ac:dyDescent="0.25">
      <c r="A269" t="s">
        <v>1483</v>
      </c>
    </row>
    <row r="271" spans="1:1" x14ac:dyDescent="0.25">
      <c r="A271" t="s">
        <v>1484</v>
      </c>
    </row>
    <row r="272" spans="1:1" x14ac:dyDescent="0.25">
      <c r="A272" t="s">
        <v>1485</v>
      </c>
    </row>
    <row r="273" spans="1:1" x14ac:dyDescent="0.25">
      <c r="A273" t="s">
        <v>1486</v>
      </c>
    </row>
    <row r="274" spans="1:1" x14ac:dyDescent="0.25">
      <c r="A274" t="s">
        <v>1487</v>
      </c>
    </row>
    <row r="275" spans="1:1" x14ac:dyDescent="0.25">
      <c r="A275" t="s">
        <v>1488</v>
      </c>
    </row>
    <row r="277" spans="1:1" x14ac:dyDescent="0.25">
      <c r="A277" t="s">
        <v>1489</v>
      </c>
    </row>
    <row r="278" spans="1:1" x14ac:dyDescent="0.25">
      <c r="A278" t="s">
        <v>1490</v>
      </c>
    </row>
    <row r="279" spans="1:1" x14ac:dyDescent="0.25">
      <c r="A279" t="s">
        <v>1491</v>
      </c>
    </row>
    <row r="281" spans="1:1" x14ac:dyDescent="0.25">
      <c r="A281" t="s">
        <v>1492</v>
      </c>
    </row>
    <row r="283" spans="1:1" x14ac:dyDescent="0.25">
      <c r="A283" t="s">
        <v>1493</v>
      </c>
    </row>
    <row r="284" spans="1:1" x14ac:dyDescent="0.25">
      <c r="A284" t="s">
        <v>1494</v>
      </c>
    </row>
    <row r="285" spans="1:1" x14ac:dyDescent="0.25">
      <c r="A285" t="s">
        <v>1495</v>
      </c>
    </row>
    <row r="287" spans="1:1" x14ac:dyDescent="0.25">
      <c r="A287" t="s">
        <v>1493</v>
      </c>
    </row>
    <row r="288" spans="1:1" x14ac:dyDescent="0.25">
      <c r="A288" t="s">
        <v>1496</v>
      </c>
    </row>
    <row r="289" spans="1:3" x14ac:dyDescent="0.25">
      <c r="A289" t="s">
        <v>1497</v>
      </c>
    </row>
    <row r="290" spans="1:3" x14ac:dyDescent="0.25">
      <c r="A290" t="s">
        <v>1494</v>
      </c>
    </row>
    <row r="291" spans="1:3" x14ac:dyDescent="0.25">
      <c r="A291" t="s">
        <v>1495</v>
      </c>
    </row>
    <row r="293" spans="1:3" x14ac:dyDescent="0.25">
      <c r="A293" t="s">
        <v>1498</v>
      </c>
    </row>
    <row r="294" spans="1:3" x14ac:dyDescent="0.25">
      <c r="A294" t="s">
        <v>1499</v>
      </c>
    </row>
    <row r="295" spans="1:3" x14ac:dyDescent="0.25">
      <c r="A295" t="s">
        <v>1500</v>
      </c>
    </row>
    <row r="296" spans="1:3" x14ac:dyDescent="0.25">
      <c r="A296" t="s">
        <v>1501</v>
      </c>
    </row>
    <row r="297" spans="1:3" x14ac:dyDescent="0.25">
      <c r="A297" t="s">
        <v>1502</v>
      </c>
    </row>
    <row r="298" spans="1:3" x14ac:dyDescent="0.25">
      <c r="A298" t="s">
        <v>1503</v>
      </c>
    </row>
    <row r="299" spans="1:3" x14ac:dyDescent="0.25">
      <c r="A299" t="s">
        <v>1504</v>
      </c>
    </row>
    <row r="301" spans="1:3" x14ac:dyDescent="0.25">
      <c r="A301" t="s">
        <v>1505</v>
      </c>
      <c r="B301" t="s">
        <v>1506</v>
      </c>
      <c r="C301" t="s">
        <v>1507</v>
      </c>
    </row>
    <row r="302" spans="1:3" x14ac:dyDescent="0.25">
      <c r="A302" t="s">
        <v>1508</v>
      </c>
      <c r="B302">
        <v>3866.18</v>
      </c>
      <c r="C302" s="55">
        <v>43556</v>
      </c>
    </row>
    <row r="303" spans="1:3" x14ac:dyDescent="0.25">
      <c r="A303" t="s">
        <v>1508</v>
      </c>
      <c r="B303">
        <v>4676.25</v>
      </c>
      <c r="C303" s="55">
        <v>43342</v>
      </c>
    </row>
    <row r="304" spans="1:3" x14ac:dyDescent="0.25">
      <c r="A304" t="s">
        <v>1279</v>
      </c>
      <c r="B304">
        <v>818.5</v>
      </c>
      <c r="C304" s="55">
        <v>43223</v>
      </c>
    </row>
    <row r="305" spans="1:3" x14ac:dyDescent="0.25">
      <c r="A305" t="s">
        <v>1509</v>
      </c>
      <c r="B305">
        <v>89.34</v>
      </c>
      <c r="C305" s="55">
        <v>42351</v>
      </c>
    </row>
    <row r="308" spans="1:3" x14ac:dyDescent="0.25">
      <c r="A308" t="s">
        <v>1510</v>
      </c>
    </row>
    <row r="310" spans="1:3" x14ac:dyDescent="0.25">
      <c r="A310" t="s">
        <v>1511</v>
      </c>
    </row>
    <row r="311" spans="1:3" x14ac:dyDescent="0.25">
      <c r="A311" t="s">
        <v>1512</v>
      </c>
    </row>
    <row r="312" spans="1:3" x14ac:dyDescent="0.25">
      <c r="A312" t="s">
        <v>1513</v>
      </c>
    </row>
    <row r="313" spans="1:3" x14ac:dyDescent="0.25">
      <c r="A313" t="s">
        <v>1514</v>
      </c>
    </row>
    <row r="314" spans="1:3" x14ac:dyDescent="0.25">
      <c r="A314" t="s">
        <v>1515</v>
      </c>
    </row>
    <row r="315" spans="1:3" x14ac:dyDescent="0.25">
      <c r="A315" t="s">
        <v>1516</v>
      </c>
    </row>
    <row r="316" spans="1:3" x14ac:dyDescent="0.25">
      <c r="A316" t="s">
        <v>1517</v>
      </c>
    </row>
    <row r="317" spans="1:3" x14ac:dyDescent="0.25">
      <c r="A317" t="s">
        <v>1518</v>
      </c>
    </row>
    <row r="319" spans="1:3" x14ac:dyDescent="0.25">
      <c r="A319" t="s">
        <v>1519</v>
      </c>
    </row>
    <row r="320" spans="1:3" x14ac:dyDescent="0.25">
      <c r="A320" t="s">
        <v>1520</v>
      </c>
    </row>
    <row r="321" spans="1:1" x14ac:dyDescent="0.25">
      <c r="A321" t="s">
        <v>1521</v>
      </c>
    </row>
    <row r="322" spans="1:1" x14ac:dyDescent="0.25">
      <c r="A322" t="s">
        <v>1522</v>
      </c>
    </row>
    <row r="323" spans="1:1" x14ac:dyDescent="0.25">
      <c r="A323" t="s">
        <v>1523</v>
      </c>
    </row>
    <row r="325" spans="1:1" x14ac:dyDescent="0.25">
      <c r="A325" t="s">
        <v>1524</v>
      </c>
    </row>
    <row r="326" spans="1:1" x14ac:dyDescent="0.25">
      <c r="A326" t="s">
        <v>1525</v>
      </c>
    </row>
    <row r="327" spans="1:1" x14ac:dyDescent="0.25">
      <c r="A327" t="s">
        <v>1526</v>
      </c>
    </row>
    <row r="328" spans="1:1" x14ac:dyDescent="0.25">
      <c r="A328" t="s">
        <v>1527</v>
      </c>
    </row>
    <row r="329" spans="1:1" x14ac:dyDescent="0.25">
      <c r="A329" t="s">
        <v>1528</v>
      </c>
    </row>
    <row r="331" spans="1:1" x14ac:dyDescent="0.25">
      <c r="A331" t="s">
        <v>1529</v>
      </c>
    </row>
    <row r="332" spans="1:1" x14ac:dyDescent="0.25">
      <c r="A332" t="s">
        <v>1530</v>
      </c>
    </row>
    <row r="333" spans="1:1" x14ac:dyDescent="0.25">
      <c r="A333" t="s">
        <v>1531</v>
      </c>
    </row>
    <row r="334" spans="1:1" x14ac:dyDescent="0.25">
      <c r="A334" t="s">
        <v>1532</v>
      </c>
    </row>
    <row r="335" spans="1:1" x14ac:dyDescent="0.25">
      <c r="A335" t="s">
        <v>1533</v>
      </c>
    </row>
    <row r="336" spans="1:1" x14ac:dyDescent="0.25">
      <c r="A336" t="s">
        <v>1534</v>
      </c>
    </row>
    <row r="338" spans="1:1" x14ac:dyDescent="0.25">
      <c r="A338" t="s">
        <v>1535</v>
      </c>
    </row>
    <row r="339" spans="1:1" x14ac:dyDescent="0.25">
      <c r="A339" s="4">
        <v>46052</v>
      </c>
    </row>
    <row r="340" spans="1:1" x14ac:dyDescent="0.25">
      <c r="A340" t="s">
        <v>1536</v>
      </c>
    </row>
    <row r="341" spans="1:1" x14ac:dyDescent="0.25">
      <c r="A341" t="s">
        <v>1537</v>
      </c>
    </row>
    <row r="342" spans="1:1" x14ac:dyDescent="0.25">
      <c r="A342" t="s">
        <v>1538</v>
      </c>
    </row>
    <row r="343" spans="1:1" x14ac:dyDescent="0.25">
      <c r="A343" t="s">
        <v>1539</v>
      </c>
    </row>
    <row r="344" spans="1:1" x14ac:dyDescent="0.25">
      <c r="A344" t="s">
        <v>1540</v>
      </c>
    </row>
    <row r="345" spans="1:1" x14ac:dyDescent="0.25">
      <c r="A345" t="s">
        <v>1541</v>
      </c>
    </row>
    <row r="346" spans="1:1" x14ac:dyDescent="0.25">
      <c r="A346" t="s">
        <v>1542</v>
      </c>
    </row>
    <row r="347" spans="1:1" x14ac:dyDescent="0.25">
      <c r="A347" t="s">
        <v>1543</v>
      </c>
    </row>
    <row r="348" spans="1:1" x14ac:dyDescent="0.25">
      <c r="A348" t="s">
        <v>1544</v>
      </c>
    </row>
    <row r="349" spans="1:1" x14ac:dyDescent="0.25">
      <c r="A349" t="s">
        <v>1545</v>
      </c>
    </row>
    <row r="351" spans="1:1" x14ac:dyDescent="0.25">
      <c r="A351" t="s">
        <v>1546</v>
      </c>
    </row>
    <row r="352" spans="1:1" x14ac:dyDescent="0.25">
      <c r="A352" t="s">
        <v>1547</v>
      </c>
    </row>
    <row r="353" spans="1:1" x14ac:dyDescent="0.25">
      <c r="A353" t="s">
        <v>1548</v>
      </c>
    </row>
    <row r="354" spans="1:1" x14ac:dyDescent="0.25">
      <c r="A354" t="s">
        <v>1549</v>
      </c>
    </row>
    <row r="355" spans="1:1" x14ac:dyDescent="0.25">
      <c r="A355" t="s">
        <v>1550</v>
      </c>
    </row>
    <row r="356" spans="1:1" x14ac:dyDescent="0.25">
      <c r="A356" t="s">
        <v>1551</v>
      </c>
    </row>
    <row r="357" spans="1:1" x14ac:dyDescent="0.25">
      <c r="A357" t="s">
        <v>1552</v>
      </c>
    </row>
    <row r="358" spans="1:1" x14ac:dyDescent="0.25">
      <c r="A358" t="s">
        <v>1434</v>
      </c>
    </row>
    <row r="359" spans="1:1" x14ac:dyDescent="0.25">
      <c r="A359" t="s">
        <v>1553</v>
      </c>
    </row>
    <row r="360" spans="1:1" x14ac:dyDescent="0.25">
      <c r="A360" t="s">
        <v>1554</v>
      </c>
    </row>
    <row r="361" spans="1:1" x14ac:dyDescent="0.25">
      <c r="A361" t="s">
        <v>1555</v>
      </c>
    </row>
    <row r="362" spans="1:1" x14ac:dyDescent="0.25">
      <c r="A362" t="s">
        <v>1556</v>
      </c>
    </row>
    <row r="363" spans="1:1" x14ac:dyDescent="0.25">
      <c r="A363" t="s">
        <v>1557</v>
      </c>
    </row>
    <row r="364" spans="1:1" x14ac:dyDescent="0.25">
      <c r="A364" t="s">
        <v>1558</v>
      </c>
    </row>
    <row r="365" spans="1:1" x14ac:dyDescent="0.25">
      <c r="A365" t="s">
        <v>1559</v>
      </c>
    </row>
    <row r="366" spans="1:1" x14ac:dyDescent="0.25">
      <c r="A366" t="s">
        <v>1560</v>
      </c>
    </row>
    <row r="367" spans="1:1" x14ac:dyDescent="0.25">
      <c r="A367" t="s">
        <v>1561</v>
      </c>
    </row>
    <row r="368" spans="1:1" x14ac:dyDescent="0.25">
      <c r="A368" t="s">
        <v>1562</v>
      </c>
    </row>
    <row r="369" spans="1:1" x14ac:dyDescent="0.25">
      <c r="A369" t="s">
        <v>1563</v>
      </c>
    </row>
    <row r="370" spans="1:1" x14ac:dyDescent="0.25">
      <c r="A370" t="s">
        <v>1564</v>
      </c>
    </row>
    <row r="371" spans="1:1" x14ac:dyDescent="0.25">
      <c r="A371" t="s">
        <v>1565</v>
      </c>
    </row>
    <row r="372" spans="1:1" x14ac:dyDescent="0.25">
      <c r="A372" t="s">
        <v>1566</v>
      </c>
    </row>
    <row r="373" spans="1:1" x14ac:dyDescent="0.25">
      <c r="A373" t="s">
        <v>1567</v>
      </c>
    </row>
    <row r="375" spans="1:1" x14ac:dyDescent="0.25">
      <c r="A375" t="s">
        <v>1568</v>
      </c>
    </row>
    <row r="376" spans="1:1" x14ac:dyDescent="0.25">
      <c r="A376" t="s">
        <v>1569</v>
      </c>
    </row>
    <row r="377" spans="1:1" x14ac:dyDescent="0.25">
      <c r="A377" t="s">
        <v>1570</v>
      </c>
    </row>
    <row r="378" spans="1:1" x14ac:dyDescent="0.25">
      <c r="A378" t="s">
        <v>1571</v>
      </c>
    </row>
    <row r="379" spans="1:1" x14ac:dyDescent="0.25">
      <c r="A379" t="s">
        <v>1572</v>
      </c>
    </row>
    <row r="380" spans="1:1" x14ac:dyDescent="0.25">
      <c r="A380" t="s">
        <v>1573</v>
      </c>
    </row>
    <row r="381" spans="1:1" x14ac:dyDescent="0.25">
      <c r="A381" t="s">
        <v>1574</v>
      </c>
    </row>
    <row r="382" spans="1:1" x14ac:dyDescent="0.25">
      <c r="A382" t="s">
        <v>1575</v>
      </c>
    </row>
    <row r="383" spans="1:1" x14ac:dyDescent="0.25">
      <c r="A383" t="s">
        <v>1576</v>
      </c>
    </row>
    <row r="384" spans="1:1" x14ac:dyDescent="0.25">
      <c r="A384" t="s">
        <v>1577</v>
      </c>
    </row>
    <row r="385" spans="1:1" x14ac:dyDescent="0.25">
      <c r="A385" s="4">
        <v>46025</v>
      </c>
    </row>
    <row r="386" spans="1:1" x14ac:dyDescent="0.25">
      <c r="A386" t="s">
        <v>1578</v>
      </c>
    </row>
    <row r="387" spans="1:1" x14ac:dyDescent="0.25">
      <c r="A387" t="s">
        <v>1579</v>
      </c>
    </row>
    <row r="388" spans="1:1" x14ac:dyDescent="0.25">
      <c r="A388" s="55">
        <v>43838</v>
      </c>
    </row>
    <row r="389" spans="1:1" x14ac:dyDescent="0.25">
      <c r="A389" t="s">
        <v>1580</v>
      </c>
    </row>
    <row r="390" spans="1:1" x14ac:dyDescent="0.25">
      <c r="A390" t="s">
        <v>1581</v>
      </c>
    </row>
    <row r="391" spans="1:1" x14ac:dyDescent="0.25">
      <c r="A391" t="s">
        <v>1582</v>
      </c>
    </row>
    <row r="392" spans="1:1" x14ac:dyDescent="0.25">
      <c r="A392" t="s">
        <v>1583</v>
      </c>
    </row>
    <row r="393" spans="1:1" x14ac:dyDescent="0.25">
      <c r="A393" t="s">
        <v>1584</v>
      </c>
    </row>
    <row r="394" spans="1:1" x14ac:dyDescent="0.25">
      <c r="A394" t="s">
        <v>1585</v>
      </c>
    </row>
    <row r="395" spans="1:1" x14ac:dyDescent="0.25">
      <c r="A395" s="55">
        <v>43838</v>
      </c>
    </row>
    <row r="396" spans="1:1" x14ac:dyDescent="0.25">
      <c r="A396" t="s">
        <v>1586</v>
      </c>
    </row>
    <row r="397" spans="1:1" x14ac:dyDescent="0.25">
      <c r="A397" t="s">
        <v>1587</v>
      </c>
    </row>
    <row r="398" spans="1:1" x14ac:dyDescent="0.25">
      <c r="A398" t="s">
        <v>1588</v>
      </c>
    </row>
    <row r="399" spans="1:1" x14ac:dyDescent="0.25">
      <c r="A399" t="s">
        <v>1589</v>
      </c>
    </row>
    <row r="400" spans="1:1" x14ac:dyDescent="0.25">
      <c r="A400" t="s">
        <v>1590</v>
      </c>
    </row>
    <row r="401" spans="1:1" x14ac:dyDescent="0.25">
      <c r="A401" t="s">
        <v>1591</v>
      </c>
    </row>
    <row r="402" spans="1:1" x14ac:dyDescent="0.25">
      <c r="A402" t="s">
        <v>1592</v>
      </c>
    </row>
    <row r="403" spans="1:1" x14ac:dyDescent="0.25">
      <c r="A403" t="s">
        <v>1593</v>
      </c>
    </row>
    <row r="404" spans="1:1" x14ac:dyDescent="0.25">
      <c r="A404" t="s">
        <v>1594</v>
      </c>
    </row>
    <row r="405" spans="1:1" x14ac:dyDescent="0.25">
      <c r="A405" t="s">
        <v>1595</v>
      </c>
    </row>
    <row r="406" spans="1:1" x14ac:dyDescent="0.25">
      <c r="A406" t="s">
        <v>1596</v>
      </c>
    </row>
    <row r="407" spans="1:1" x14ac:dyDescent="0.25">
      <c r="A407" t="s">
        <v>1597</v>
      </c>
    </row>
    <row r="408" spans="1:1" x14ac:dyDescent="0.25">
      <c r="A408" t="s">
        <v>1598</v>
      </c>
    </row>
    <row r="409" spans="1:1" x14ac:dyDescent="0.25">
      <c r="A409" t="s">
        <v>1599</v>
      </c>
    </row>
    <row r="410" spans="1:1" x14ac:dyDescent="0.25">
      <c r="A410" t="s">
        <v>1600</v>
      </c>
    </row>
    <row r="411" spans="1:1" x14ac:dyDescent="0.25">
      <c r="A411" t="s">
        <v>1601</v>
      </c>
    </row>
    <row r="412" spans="1:1" x14ac:dyDescent="0.25">
      <c r="A412" t="s">
        <v>1602</v>
      </c>
    </row>
    <row r="413" spans="1:1" x14ac:dyDescent="0.25">
      <c r="A413" t="s">
        <v>1603</v>
      </c>
    </row>
    <row r="415" spans="1:1" x14ac:dyDescent="0.25">
      <c r="A415" t="s">
        <v>1604</v>
      </c>
    </row>
    <row r="416" spans="1:1" x14ac:dyDescent="0.25">
      <c r="A416" t="s">
        <v>1605</v>
      </c>
    </row>
    <row r="417" spans="1:1" x14ac:dyDescent="0.25">
      <c r="A417" t="s">
        <v>1606</v>
      </c>
    </row>
    <row r="418" spans="1:1" x14ac:dyDescent="0.25">
      <c r="A418" t="s">
        <v>1607</v>
      </c>
    </row>
    <row r="419" spans="1:1" x14ac:dyDescent="0.25">
      <c r="A419" t="s">
        <v>1608</v>
      </c>
    </row>
    <row r="420" spans="1:1" x14ac:dyDescent="0.25">
      <c r="A420" t="s">
        <v>1609</v>
      </c>
    </row>
    <row r="421" spans="1:1" x14ac:dyDescent="0.25">
      <c r="A421" t="s">
        <v>1610</v>
      </c>
    </row>
    <row r="422" spans="1:1" x14ac:dyDescent="0.25">
      <c r="A422" t="s">
        <v>1611</v>
      </c>
    </row>
    <row r="423" spans="1:1" x14ac:dyDescent="0.25">
      <c r="A423" t="s">
        <v>1612</v>
      </c>
    </row>
    <row r="424" spans="1:1" x14ac:dyDescent="0.25">
      <c r="A424" t="s">
        <v>1613</v>
      </c>
    </row>
    <row r="425" spans="1:1" x14ac:dyDescent="0.25">
      <c r="A425" t="s">
        <v>1614</v>
      </c>
    </row>
    <row r="426" spans="1:1" x14ac:dyDescent="0.25">
      <c r="A426" t="s">
        <v>1615</v>
      </c>
    </row>
    <row r="427" spans="1:1" x14ac:dyDescent="0.25">
      <c r="A427" t="s">
        <v>1616</v>
      </c>
    </row>
    <row r="428" spans="1:1" x14ac:dyDescent="0.25">
      <c r="A428" t="s">
        <v>1617</v>
      </c>
    </row>
    <row r="429" spans="1:1" x14ac:dyDescent="0.25">
      <c r="A429" t="s">
        <v>1618</v>
      </c>
    </row>
    <row r="430" spans="1:1" x14ac:dyDescent="0.25">
      <c r="A430" t="s">
        <v>1619</v>
      </c>
    </row>
    <row r="431" spans="1:1" x14ac:dyDescent="0.25">
      <c r="A431" t="s">
        <v>1620</v>
      </c>
    </row>
    <row r="432" spans="1:1" x14ac:dyDescent="0.25">
      <c r="A432" t="s">
        <v>1621</v>
      </c>
    </row>
    <row r="433" spans="1:1" x14ac:dyDescent="0.25">
      <c r="A433" t="s">
        <v>1622</v>
      </c>
    </row>
    <row r="434" spans="1:1" x14ac:dyDescent="0.25">
      <c r="A434" t="s">
        <v>1623</v>
      </c>
    </row>
    <row r="435" spans="1:1" x14ac:dyDescent="0.25">
      <c r="A435" t="s">
        <v>1624</v>
      </c>
    </row>
    <row r="436" spans="1:1" x14ac:dyDescent="0.25">
      <c r="A436" t="s">
        <v>1625</v>
      </c>
    </row>
    <row r="437" spans="1:1" x14ac:dyDescent="0.25">
      <c r="A437" t="s">
        <v>1626</v>
      </c>
    </row>
    <row r="438" spans="1:1" x14ac:dyDescent="0.25">
      <c r="A438" t="s">
        <v>1627</v>
      </c>
    </row>
    <row r="439" spans="1:1" x14ac:dyDescent="0.25">
      <c r="A439" t="s">
        <v>1628</v>
      </c>
    </row>
    <row r="440" spans="1:1" x14ac:dyDescent="0.25">
      <c r="A440" t="s">
        <v>1629</v>
      </c>
    </row>
    <row r="441" spans="1:1" x14ac:dyDescent="0.25">
      <c r="A441" t="s">
        <v>1630</v>
      </c>
    </row>
    <row r="442" spans="1:1" x14ac:dyDescent="0.25">
      <c r="A442" t="s">
        <v>1631</v>
      </c>
    </row>
    <row r="443" spans="1:1" x14ac:dyDescent="0.25">
      <c r="A443" t="s">
        <v>1632</v>
      </c>
    </row>
    <row r="444" spans="1:1" x14ac:dyDescent="0.25">
      <c r="A444" t="s">
        <v>1633</v>
      </c>
    </row>
    <row r="445" spans="1:1" x14ac:dyDescent="0.25">
      <c r="A445" t="s">
        <v>1634</v>
      </c>
    </row>
    <row r="446" spans="1:1" x14ac:dyDescent="0.25">
      <c r="A446" t="s">
        <v>1635</v>
      </c>
    </row>
    <row r="447" spans="1:1" x14ac:dyDescent="0.25">
      <c r="A447" t="s">
        <v>1636</v>
      </c>
    </row>
    <row r="448" spans="1:1" x14ac:dyDescent="0.25">
      <c r="A448" t="s">
        <v>1637</v>
      </c>
    </row>
    <row r="449" spans="1:1" x14ac:dyDescent="0.25">
      <c r="A449" t="s">
        <v>1638</v>
      </c>
    </row>
    <row r="450" spans="1:1" x14ac:dyDescent="0.25">
      <c r="A450" t="s">
        <v>1639</v>
      </c>
    </row>
    <row r="451" spans="1:1" x14ac:dyDescent="0.25">
      <c r="A451" t="s">
        <v>1640</v>
      </c>
    </row>
    <row r="452" spans="1:1" x14ac:dyDescent="0.25">
      <c r="A452" t="s">
        <v>1641</v>
      </c>
    </row>
    <row r="453" spans="1:1" x14ac:dyDescent="0.25">
      <c r="A453" t="s">
        <v>1642</v>
      </c>
    </row>
    <row r="454" spans="1:1" x14ac:dyDescent="0.25">
      <c r="A454" t="s">
        <v>1643</v>
      </c>
    </row>
    <row r="455" spans="1:1" x14ac:dyDescent="0.25">
      <c r="A455" t="s">
        <v>1644</v>
      </c>
    </row>
    <row r="456" spans="1:1" x14ac:dyDescent="0.25">
      <c r="A456" t="s">
        <v>1645</v>
      </c>
    </row>
    <row r="457" spans="1:1" x14ac:dyDescent="0.25">
      <c r="A457" t="s">
        <v>1646</v>
      </c>
    </row>
    <row r="458" spans="1:1" x14ac:dyDescent="0.25">
      <c r="A458" t="s">
        <v>1647</v>
      </c>
    </row>
    <row r="459" spans="1:1" x14ac:dyDescent="0.25">
      <c r="A459" t="s">
        <v>1648</v>
      </c>
    </row>
    <row r="460" spans="1:1" x14ac:dyDescent="0.25">
      <c r="A460" t="s">
        <v>1649</v>
      </c>
    </row>
    <row r="461" spans="1:1" x14ac:dyDescent="0.25">
      <c r="A461" t="s">
        <v>1650</v>
      </c>
    </row>
    <row r="462" spans="1:1" x14ac:dyDescent="0.25">
      <c r="A462" t="s">
        <v>1651</v>
      </c>
    </row>
    <row r="463" spans="1:1" x14ac:dyDescent="0.25">
      <c r="A463" t="s">
        <v>1652</v>
      </c>
    </row>
    <row r="464" spans="1:1" x14ac:dyDescent="0.25">
      <c r="A464" t="s">
        <v>1653</v>
      </c>
    </row>
    <row r="465" spans="1:1" x14ac:dyDescent="0.25">
      <c r="A465" t="s">
        <v>1654</v>
      </c>
    </row>
    <row r="466" spans="1:1" x14ac:dyDescent="0.25">
      <c r="A466" t="s">
        <v>1655</v>
      </c>
    </row>
    <row r="467" spans="1:1" x14ac:dyDescent="0.25">
      <c r="A467" t="s">
        <v>1656</v>
      </c>
    </row>
    <row r="468" spans="1:1" x14ac:dyDescent="0.25">
      <c r="A468" t="s">
        <v>1657</v>
      </c>
    </row>
    <row r="469" spans="1:1" x14ac:dyDescent="0.25">
      <c r="A469" t="s">
        <v>1658</v>
      </c>
    </row>
    <row r="470" spans="1:1" x14ac:dyDescent="0.25">
      <c r="A470" t="s">
        <v>1659</v>
      </c>
    </row>
    <row r="471" spans="1:1" x14ac:dyDescent="0.25">
      <c r="A471" t="s">
        <v>1660</v>
      </c>
    </row>
    <row r="472" spans="1:1" x14ac:dyDescent="0.25">
      <c r="A472" t="s">
        <v>1661</v>
      </c>
    </row>
    <row r="473" spans="1:1" x14ac:dyDescent="0.25">
      <c r="A473" t="s">
        <v>1662</v>
      </c>
    </row>
    <row r="474" spans="1:1" x14ac:dyDescent="0.25">
      <c r="A474" t="s">
        <v>1663</v>
      </c>
    </row>
    <row r="475" spans="1:1" x14ac:dyDescent="0.25">
      <c r="A475" t="s">
        <v>1664</v>
      </c>
    </row>
    <row r="477" spans="1:1" x14ac:dyDescent="0.25">
      <c r="A477" t="s">
        <v>1665</v>
      </c>
    </row>
    <row r="478" spans="1:1" x14ac:dyDescent="0.25">
      <c r="A478" t="s">
        <v>1666</v>
      </c>
    </row>
    <row r="479" spans="1:1" x14ac:dyDescent="0.25">
      <c r="A479" t="s">
        <v>1667</v>
      </c>
    </row>
    <row r="480" spans="1:1" x14ac:dyDescent="0.25">
      <c r="A480" t="s">
        <v>1668</v>
      </c>
    </row>
    <row r="481" spans="1:1" x14ac:dyDescent="0.25">
      <c r="A481" t="s">
        <v>1669</v>
      </c>
    </row>
    <row r="482" spans="1:1" x14ac:dyDescent="0.25">
      <c r="A482" t="s">
        <v>1670</v>
      </c>
    </row>
    <row r="483" spans="1:1" x14ac:dyDescent="0.25">
      <c r="A483" t="s">
        <v>1671</v>
      </c>
    </row>
    <row r="484" spans="1:1" x14ac:dyDescent="0.25">
      <c r="A484" t="s">
        <v>1672</v>
      </c>
    </row>
    <row r="485" spans="1:1" x14ac:dyDescent="0.25">
      <c r="A485" t="s">
        <v>1673</v>
      </c>
    </row>
    <row r="486" spans="1:1" x14ac:dyDescent="0.25">
      <c r="A486" t="s">
        <v>1674</v>
      </c>
    </row>
    <row r="487" spans="1:1" x14ac:dyDescent="0.25">
      <c r="A487" t="s">
        <v>1675</v>
      </c>
    </row>
    <row r="488" spans="1:1" x14ac:dyDescent="0.25">
      <c r="A488" t="s">
        <v>1676</v>
      </c>
    </row>
    <row r="489" spans="1:1" x14ac:dyDescent="0.25">
      <c r="A489" t="s">
        <v>1673</v>
      </c>
    </row>
    <row r="490" spans="1:1" x14ac:dyDescent="0.25">
      <c r="A490" t="s">
        <v>1677</v>
      </c>
    </row>
    <row r="491" spans="1:1" x14ac:dyDescent="0.25">
      <c r="A491" t="s">
        <v>1678</v>
      </c>
    </row>
    <row r="492" spans="1:1" x14ac:dyDescent="0.25">
      <c r="A492" t="s">
        <v>1679</v>
      </c>
    </row>
    <row r="495" spans="1:1" x14ac:dyDescent="0.25">
      <c r="A495" t="s">
        <v>1680</v>
      </c>
    </row>
    <row r="496" spans="1:1" x14ac:dyDescent="0.25">
      <c r="A496" t="s">
        <v>1681</v>
      </c>
    </row>
    <row r="497" spans="1:1" x14ac:dyDescent="0.25">
      <c r="A497" t="s">
        <v>1682</v>
      </c>
    </row>
    <row r="498" spans="1:1" x14ac:dyDescent="0.25">
      <c r="A498" t="s">
        <v>1683</v>
      </c>
    </row>
    <row r="499" spans="1:1" x14ac:dyDescent="0.25">
      <c r="A499" t="s">
        <v>1680</v>
      </c>
    </row>
    <row r="500" spans="1:1" x14ac:dyDescent="0.25">
      <c r="A500" t="s">
        <v>1684</v>
      </c>
    </row>
    <row r="501" spans="1:1" x14ac:dyDescent="0.25">
      <c r="A501" t="s">
        <v>1685</v>
      </c>
    </row>
    <row r="502" spans="1:1" x14ac:dyDescent="0.25">
      <c r="A502" t="s">
        <v>1686</v>
      </c>
    </row>
    <row r="503" spans="1:1" x14ac:dyDescent="0.25">
      <c r="A503" t="s">
        <v>1687</v>
      </c>
    </row>
    <row r="504" spans="1:1" x14ac:dyDescent="0.25">
      <c r="A504" t="s">
        <v>1688</v>
      </c>
    </row>
    <row r="505" spans="1:1" x14ac:dyDescent="0.25">
      <c r="A505" t="s">
        <v>1689</v>
      </c>
    </row>
    <row r="506" spans="1:1" x14ac:dyDescent="0.25">
      <c r="A506" t="s">
        <v>1690</v>
      </c>
    </row>
    <row r="507" spans="1:1" x14ac:dyDescent="0.25">
      <c r="A507" t="s">
        <v>1691</v>
      </c>
    </row>
    <row r="508" spans="1:1" x14ac:dyDescent="0.25">
      <c r="A508" t="s">
        <v>1692</v>
      </c>
    </row>
    <row r="509" spans="1:1" x14ac:dyDescent="0.25">
      <c r="A509" t="s">
        <v>1693</v>
      </c>
    </row>
    <row r="510" spans="1:1" x14ac:dyDescent="0.25">
      <c r="A510" t="s">
        <v>1689</v>
      </c>
    </row>
    <row r="511" spans="1:1" x14ac:dyDescent="0.25">
      <c r="A511" t="s">
        <v>1694</v>
      </c>
    </row>
    <row r="512" spans="1:1" x14ac:dyDescent="0.25">
      <c r="A512" t="s">
        <v>1695</v>
      </c>
    </row>
    <row r="513" spans="1:1" x14ac:dyDescent="0.25">
      <c r="A513" t="s">
        <v>1696</v>
      </c>
    </row>
    <row r="514" spans="1:1" x14ac:dyDescent="0.25">
      <c r="A514" t="s">
        <v>1697</v>
      </c>
    </row>
    <row r="515" spans="1:1" x14ac:dyDescent="0.25">
      <c r="A515" t="s">
        <v>1698</v>
      </c>
    </row>
    <row r="516" spans="1:1" x14ac:dyDescent="0.25">
      <c r="A516" t="s">
        <v>1699</v>
      </c>
    </row>
    <row r="517" spans="1:1" x14ac:dyDescent="0.25">
      <c r="A517" t="s">
        <v>1700</v>
      </c>
    </row>
    <row r="518" spans="1:1" x14ac:dyDescent="0.25">
      <c r="A518" t="s">
        <v>1701</v>
      </c>
    </row>
    <row r="519" spans="1:1" x14ac:dyDescent="0.25">
      <c r="A519" t="s">
        <v>1702</v>
      </c>
    </row>
    <row r="520" spans="1:1" x14ac:dyDescent="0.25">
      <c r="A520" t="s">
        <v>1703</v>
      </c>
    </row>
    <row r="521" spans="1:1" x14ac:dyDescent="0.25">
      <c r="A521" t="s">
        <v>1704</v>
      </c>
    </row>
    <row r="522" spans="1:1" x14ac:dyDescent="0.25">
      <c r="A522" t="s">
        <v>1705</v>
      </c>
    </row>
    <row r="523" spans="1:1" x14ac:dyDescent="0.25">
      <c r="A523" t="s">
        <v>1706</v>
      </c>
    </row>
    <row r="524" spans="1:1" x14ac:dyDescent="0.25">
      <c r="A524" t="s">
        <v>1707</v>
      </c>
    </row>
    <row r="525" spans="1:1" x14ac:dyDescent="0.25">
      <c r="A525" t="s">
        <v>1708</v>
      </c>
    </row>
    <row r="526" spans="1:1" x14ac:dyDescent="0.25">
      <c r="A526" t="s">
        <v>1709</v>
      </c>
    </row>
    <row r="527" spans="1:1" x14ac:dyDescent="0.25">
      <c r="A527" t="s">
        <v>1710</v>
      </c>
    </row>
    <row r="528" spans="1:1" x14ac:dyDescent="0.25">
      <c r="A528" t="s">
        <v>1711</v>
      </c>
    </row>
    <row r="529" spans="1:1" x14ac:dyDescent="0.25">
      <c r="A529" t="s">
        <v>1712</v>
      </c>
    </row>
    <row r="531" spans="1:1" x14ac:dyDescent="0.25">
      <c r="A531" t="s">
        <v>1713</v>
      </c>
    </row>
    <row r="532" spans="1:1" x14ac:dyDescent="0.25">
      <c r="A532" t="s">
        <v>1714</v>
      </c>
    </row>
    <row r="533" spans="1:1" x14ac:dyDescent="0.25">
      <c r="A533" t="s">
        <v>1715</v>
      </c>
    </row>
    <row r="534" spans="1:1" x14ac:dyDescent="0.25">
      <c r="A534" t="s">
        <v>1716</v>
      </c>
    </row>
    <row r="535" spans="1:1" x14ac:dyDescent="0.25">
      <c r="A535" t="s">
        <v>1717</v>
      </c>
    </row>
    <row r="536" spans="1:1" x14ac:dyDescent="0.25">
      <c r="A536" t="s">
        <v>1718</v>
      </c>
    </row>
    <row r="537" spans="1:1" x14ac:dyDescent="0.25">
      <c r="A537" t="s">
        <v>1719</v>
      </c>
    </row>
    <row r="538" spans="1:1" x14ac:dyDescent="0.25">
      <c r="A538" t="s">
        <v>1720</v>
      </c>
    </row>
    <row r="539" spans="1:1" x14ac:dyDescent="0.25">
      <c r="A539" t="s">
        <v>1717</v>
      </c>
    </row>
    <row r="540" spans="1:1" x14ac:dyDescent="0.25">
      <c r="A540" t="s">
        <v>1721</v>
      </c>
    </row>
    <row r="541" spans="1:1" x14ac:dyDescent="0.25">
      <c r="A541" t="s">
        <v>1722</v>
      </c>
    </row>
    <row r="542" spans="1:1" x14ac:dyDescent="0.25">
      <c r="A542" t="s">
        <v>1723</v>
      </c>
    </row>
    <row r="543" spans="1:1" x14ac:dyDescent="0.25">
      <c r="A543" t="s">
        <v>1724</v>
      </c>
    </row>
    <row r="544" spans="1:1" x14ac:dyDescent="0.25">
      <c r="A544" t="s">
        <v>1725</v>
      </c>
    </row>
    <row r="545" spans="1:1" x14ac:dyDescent="0.25">
      <c r="A545" t="s">
        <v>1726</v>
      </c>
    </row>
    <row r="546" spans="1:1" x14ac:dyDescent="0.25">
      <c r="A546" t="s">
        <v>1727</v>
      </c>
    </row>
    <row r="547" spans="1:1" x14ac:dyDescent="0.25">
      <c r="A547" t="s">
        <v>1728</v>
      </c>
    </row>
    <row r="548" spans="1:1" x14ac:dyDescent="0.25">
      <c r="A548" t="s">
        <v>1729</v>
      </c>
    </row>
    <row r="549" spans="1:1" x14ac:dyDescent="0.25">
      <c r="A549" t="s">
        <v>1730</v>
      </c>
    </row>
    <row r="550" spans="1:1" x14ac:dyDescent="0.25">
      <c r="A550" t="s">
        <v>1731</v>
      </c>
    </row>
    <row r="551" spans="1:1" x14ac:dyDescent="0.25">
      <c r="A551" t="s">
        <v>1732</v>
      </c>
    </row>
    <row r="552" spans="1:1" x14ac:dyDescent="0.25">
      <c r="A552" t="s">
        <v>1733</v>
      </c>
    </row>
    <row r="553" spans="1:1" x14ac:dyDescent="0.25">
      <c r="A553" t="s">
        <v>1734</v>
      </c>
    </row>
    <row r="554" spans="1:1" x14ac:dyDescent="0.25">
      <c r="A554" t="s">
        <v>1735</v>
      </c>
    </row>
    <row r="555" spans="1:1" x14ac:dyDescent="0.25">
      <c r="A555" t="s">
        <v>1736</v>
      </c>
    </row>
    <row r="556" spans="1:1" x14ac:dyDescent="0.25">
      <c r="A556" t="s">
        <v>1737</v>
      </c>
    </row>
    <row r="557" spans="1:1" x14ac:dyDescent="0.25">
      <c r="A557" t="s">
        <v>1738</v>
      </c>
    </row>
    <row r="558" spans="1:1" x14ac:dyDescent="0.25">
      <c r="A558" t="s">
        <v>1739</v>
      </c>
    </row>
    <row r="559" spans="1:1" x14ac:dyDescent="0.25">
      <c r="A559" t="s">
        <v>1740</v>
      </c>
    </row>
    <row r="560" spans="1:1" x14ac:dyDescent="0.25">
      <c r="A560" t="s">
        <v>1741</v>
      </c>
    </row>
    <row r="561" spans="1:1" x14ac:dyDescent="0.25">
      <c r="A561" t="s">
        <v>1742</v>
      </c>
    </row>
    <row r="562" spans="1:1" x14ac:dyDescent="0.25">
      <c r="A562" t="s">
        <v>1743</v>
      </c>
    </row>
    <row r="563" spans="1:1" x14ac:dyDescent="0.25">
      <c r="A563" t="s">
        <v>1744</v>
      </c>
    </row>
    <row r="564" spans="1:1" x14ac:dyDescent="0.25">
      <c r="A564" t="s">
        <v>1745</v>
      </c>
    </row>
    <row r="565" spans="1:1" x14ac:dyDescent="0.25">
      <c r="A565" t="s">
        <v>1746</v>
      </c>
    </row>
    <row r="566" spans="1:1" x14ac:dyDescent="0.25">
      <c r="A566" t="s">
        <v>1747</v>
      </c>
    </row>
    <row r="567" spans="1:1" x14ac:dyDescent="0.25">
      <c r="A567" t="s">
        <v>1748</v>
      </c>
    </row>
    <row r="568" spans="1:1" x14ac:dyDescent="0.25">
      <c r="A568" t="s">
        <v>1749</v>
      </c>
    </row>
    <row r="569" spans="1:1" x14ac:dyDescent="0.25">
      <c r="A569" t="s">
        <v>1750</v>
      </c>
    </row>
    <row r="570" spans="1:1" x14ac:dyDescent="0.25">
      <c r="A570" t="s">
        <v>1751</v>
      </c>
    </row>
    <row r="571" spans="1:1" x14ac:dyDescent="0.25">
      <c r="A571" t="s">
        <v>1752</v>
      </c>
    </row>
    <row r="572" spans="1:1" x14ac:dyDescent="0.25">
      <c r="A572" t="s">
        <v>1753</v>
      </c>
    </row>
    <row r="573" spans="1:1" x14ac:dyDescent="0.25">
      <c r="A573" t="s">
        <v>1750</v>
      </c>
    </row>
    <row r="574" spans="1:1" x14ac:dyDescent="0.25">
      <c r="A574" t="s">
        <v>1754</v>
      </c>
    </row>
    <row r="575" spans="1:1" x14ac:dyDescent="0.25">
      <c r="A575" t="s">
        <v>1755</v>
      </c>
    </row>
    <row r="576" spans="1:1" x14ac:dyDescent="0.25">
      <c r="A576" t="s">
        <v>1756</v>
      </c>
    </row>
    <row r="579" spans="1:1" x14ac:dyDescent="0.25">
      <c r="A579" t="s">
        <v>1757</v>
      </c>
    </row>
    <row r="580" spans="1:1" x14ac:dyDescent="0.25">
      <c r="A580" t="s">
        <v>1758</v>
      </c>
    </row>
    <row r="581" spans="1:1" x14ac:dyDescent="0.25">
      <c r="A581" t="s">
        <v>1759</v>
      </c>
    </row>
    <row r="582" spans="1:1" x14ac:dyDescent="0.25">
      <c r="A582" t="s">
        <v>1760</v>
      </c>
    </row>
    <row r="583" spans="1:1" x14ac:dyDescent="0.25">
      <c r="A583" t="s">
        <v>1761</v>
      </c>
    </row>
    <row r="584" spans="1:1" x14ac:dyDescent="0.25">
      <c r="A584" t="s">
        <v>1762</v>
      </c>
    </row>
    <row r="585" spans="1:1" x14ac:dyDescent="0.25">
      <c r="A585" t="s">
        <v>1763</v>
      </c>
    </row>
    <row r="586" spans="1:1" x14ac:dyDescent="0.25">
      <c r="A586" t="s">
        <v>1764</v>
      </c>
    </row>
    <row r="587" spans="1:1" x14ac:dyDescent="0.25">
      <c r="A587" t="s">
        <v>1761</v>
      </c>
    </row>
    <row r="588" spans="1:1" x14ac:dyDescent="0.25">
      <c r="A588" t="s">
        <v>1765</v>
      </c>
    </row>
    <row r="589" spans="1:1" x14ac:dyDescent="0.25">
      <c r="A589" t="s">
        <v>1766</v>
      </c>
    </row>
    <row r="590" spans="1:1" x14ac:dyDescent="0.25">
      <c r="A590" t="s">
        <v>1767</v>
      </c>
    </row>
    <row r="592" spans="1:1" x14ac:dyDescent="0.25">
      <c r="A592" t="s">
        <v>1768</v>
      </c>
    </row>
    <row r="593" spans="1:1" x14ac:dyDescent="0.25">
      <c r="A593" t="s">
        <v>1769</v>
      </c>
    </row>
    <row r="594" spans="1:1" x14ac:dyDescent="0.25">
      <c r="A594" t="s">
        <v>1770</v>
      </c>
    </row>
    <row r="595" spans="1:1" x14ac:dyDescent="0.25">
      <c r="A595" t="s">
        <v>1771</v>
      </c>
    </row>
    <row r="597" spans="1:1" x14ac:dyDescent="0.25">
      <c r="A597" t="s">
        <v>1772</v>
      </c>
    </row>
    <row r="598" spans="1:1" x14ac:dyDescent="0.25">
      <c r="A598" t="s">
        <v>1773</v>
      </c>
    </row>
    <row r="599" spans="1:1" x14ac:dyDescent="0.25">
      <c r="A599" t="s">
        <v>1774</v>
      </c>
    </row>
    <row r="600" spans="1:1" x14ac:dyDescent="0.25">
      <c r="A600" t="s">
        <v>1775</v>
      </c>
    </row>
    <row r="601" spans="1:1" x14ac:dyDescent="0.25">
      <c r="A601" t="s">
        <v>1776</v>
      </c>
    </row>
    <row r="602" spans="1:1" x14ac:dyDescent="0.25">
      <c r="A602" t="s">
        <v>1772</v>
      </c>
    </row>
    <row r="603" spans="1:1" x14ac:dyDescent="0.25">
      <c r="A603" t="s">
        <v>1777</v>
      </c>
    </row>
    <row r="604" spans="1:1" x14ac:dyDescent="0.25">
      <c r="A604" t="s">
        <v>1778</v>
      </c>
    </row>
    <row r="605" spans="1:1" x14ac:dyDescent="0.25">
      <c r="A605" t="s">
        <v>1779</v>
      </c>
    </row>
    <row r="606" spans="1:1" x14ac:dyDescent="0.25">
      <c r="A606" t="s">
        <v>1780</v>
      </c>
    </row>
    <row r="607" spans="1:1" x14ac:dyDescent="0.25">
      <c r="A607" t="s">
        <v>1781</v>
      </c>
    </row>
    <row r="608" spans="1:1" x14ac:dyDescent="0.25">
      <c r="A608" t="s">
        <v>1782</v>
      </c>
    </row>
    <row r="609" spans="1:1" x14ac:dyDescent="0.25">
      <c r="A609" t="s">
        <v>1783</v>
      </c>
    </row>
    <row r="610" spans="1:1" x14ac:dyDescent="0.25">
      <c r="A610" t="s">
        <v>1603</v>
      </c>
    </row>
    <row r="613" spans="1:1" x14ac:dyDescent="0.25">
      <c r="A613" t="s">
        <v>1781</v>
      </c>
    </row>
    <row r="614" spans="1:1" x14ac:dyDescent="0.25">
      <c r="A614" t="s">
        <v>1784</v>
      </c>
    </row>
    <row r="615" spans="1:1" x14ac:dyDescent="0.25">
      <c r="A615" t="s">
        <v>1785</v>
      </c>
    </row>
    <row r="616" spans="1:1" x14ac:dyDescent="0.25">
      <c r="A616" t="s">
        <v>1603</v>
      </c>
    </row>
    <row r="619" spans="1:1" x14ac:dyDescent="0.25">
      <c r="A619" t="s">
        <v>1786</v>
      </c>
    </row>
    <row r="620" spans="1:1" x14ac:dyDescent="0.25">
      <c r="A620" t="s">
        <v>1787</v>
      </c>
    </row>
    <row r="621" spans="1:1" x14ac:dyDescent="0.25">
      <c r="A621" t="s">
        <v>1788</v>
      </c>
    </row>
    <row r="622" spans="1:1" x14ac:dyDescent="0.25">
      <c r="A622" t="s">
        <v>1789</v>
      </c>
    </row>
    <row r="623" spans="1:1" x14ac:dyDescent="0.25">
      <c r="A623" t="s">
        <v>1790</v>
      </c>
    </row>
    <row r="624" spans="1:1" x14ac:dyDescent="0.25">
      <c r="A624" t="s">
        <v>1791</v>
      </c>
    </row>
    <row r="625" spans="1:1" x14ac:dyDescent="0.25">
      <c r="A625" t="s">
        <v>1792</v>
      </c>
    </row>
    <row r="626" spans="1:1" x14ac:dyDescent="0.25">
      <c r="A626" t="s">
        <v>1793</v>
      </c>
    </row>
    <row r="627" spans="1:1" x14ac:dyDescent="0.25">
      <c r="A627" t="s">
        <v>1790</v>
      </c>
    </row>
    <row r="628" spans="1:1" x14ac:dyDescent="0.25">
      <c r="A628" t="s">
        <v>1794</v>
      </c>
    </row>
    <row r="629" spans="1:1" x14ac:dyDescent="0.25">
      <c r="A629" t="s">
        <v>1795</v>
      </c>
    </row>
    <row r="630" spans="1:1" x14ac:dyDescent="0.25">
      <c r="A630" t="s">
        <v>1796</v>
      </c>
    </row>
    <row r="631" spans="1:1" x14ac:dyDescent="0.25">
      <c r="A631" t="s">
        <v>1797</v>
      </c>
    </row>
    <row r="632" spans="1:1" x14ac:dyDescent="0.25">
      <c r="A632" t="s">
        <v>1798</v>
      </c>
    </row>
    <row r="633" spans="1:1" x14ac:dyDescent="0.25">
      <c r="A633" t="s">
        <v>1799</v>
      </c>
    </row>
    <row r="634" spans="1:1" x14ac:dyDescent="0.25">
      <c r="A634" t="s">
        <v>1800</v>
      </c>
    </row>
    <row r="635" spans="1:1" x14ac:dyDescent="0.25">
      <c r="A635" t="s">
        <v>1797</v>
      </c>
    </row>
    <row r="636" spans="1:1" x14ac:dyDescent="0.25">
      <c r="A636" t="s">
        <v>1801</v>
      </c>
    </row>
    <row r="637" spans="1:1" x14ac:dyDescent="0.25">
      <c r="A637" t="s">
        <v>1802</v>
      </c>
    </row>
    <row r="638" spans="1:1" x14ac:dyDescent="0.25">
      <c r="A638" t="s">
        <v>1704</v>
      </c>
    </row>
    <row r="640" spans="1:1" x14ac:dyDescent="0.25">
      <c r="A640" t="s">
        <v>1797</v>
      </c>
    </row>
    <row r="641" spans="1:1" x14ac:dyDescent="0.25">
      <c r="A641" t="s">
        <v>1803</v>
      </c>
    </row>
    <row r="642" spans="1:1" x14ac:dyDescent="0.25">
      <c r="A642" t="s">
        <v>1804</v>
      </c>
    </row>
    <row r="643" spans="1:1" x14ac:dyDescent="0.25">
      <c r="A643" t="s">
        <v>1805</v>
      </c>
    </row>
    <row r="646" spans="1:1" x14ac:dyDescent="0.25">
      <c r="A646" t="s">
        <v>1806</v>
      </c>
    </row>
    <row r="647" spans="1:1" x14ac:dyDescent="0.25">
      <c r="A647" t="s">
        <v>1807</v>
      </c>
    </row>
    <row r="648" spans="1:1" x14ac:dyDescent="0.25">
      <c r="A648" t="s">
        <v>1808</v>
      </c>
    </row>
    <row r="649" spans="1:1" x14ac:dyDescent="0.25">
      <c r="A649" t="s">
        <v>1809</v>
      </c>
    </row>
    <row r="650" spans="1:1" x14ac:dyDescent="0.25">
      <c r="A650" t="s">
        <v>1806</v>
      </c>
    </row>
    <row r="651" spans="1:1" x14ac:dyDescent="0.25">
      <c r="A651" t="s">
        <v>1810</v>
      </c>
    </row>
    <row r="652" spans="1:1" x14ac:dyDescent="0.25">
      <c r="A652" t="s">
        <v>1811</v>
      </c>
    </row>
    <row r="653" spans="1:1" x14ac:dyDescent="0.25">
      <c r="A653" t="s">
        <v>1812</v>
      </c>
    </row>
    <row r="654" spans="1:1" x14ac:dyDescent="0.25">
      <c r="A654" t="s">
        <v>1813</v>
      </c>
    </row>
    <row r="655" spans="1:1" x14ac:dyDescent="0.25">
      <c r="A655" t="s">
        <v>1814</v>
      </c>
    </row>
    <row r="656" spans="1:1" x14ac:dyDescent="0.25">
      <c r="A656" t="s">
        <v>1815</v>
      </c>
    </row>
    <row r="657" spans="1:2" x14ac:dyDescent="0.25">
      <c r="A657" t="s">
        <v>1816</v>
      </c>
      <c r="B657" t="s">
        <v>1817</v>
      </c>
    </row>
    <row r="658" spans="1:2" x14ac:dyDescent="0.25">
      <c r="A658" t="s">
        <v>1818</v>
      </c>
    </row>
    <row r="659" spans="1:2" x14ac:dyDescent="0.25">
      <c r="A659" t="s">
        <v>1819</v>
      </c>
    </row>
    <row r="660" spans="1:2" x14ac:dyDescent="0.25">
      <c r="A660" t="s">
        <v>1820</v>
      </c>
    </row>
    <row r="661" spans="1:2" x14ac:dyDescent="0.25">
      <c r="A661" t="s">
        <v>1821</v>
      </c>
    </row>
    <row r="662" spans="1:2" x14ac:dyDescent="0.25">
      <c r="A662" t="s">
        <v>1818</v>
      </c>
    </row>
    <row r="663" spans="1:2" x14ac:dyDescent="0.25">
      <c r="A663" t="s">
        <v>1822</v>
      </c>
    </row>
    <row r="664" spans="1:2" x14ac:dyDescent="0.25">
      <c r="A664" t="s">
        <v>1823</v>
      </c>
    </row>
    <row r="665" spans="1:2" x14ac:dyDescent="0.25">
      <c r="A665" t="s">
        <v>1824</v>
      </c>
    </row>
    <row r="666" spans="1:2" x14ac:dyDescent="0.25">
      <c r="A666" t="s">
        <v>1825</v>
      </c>
    </row>
    <row r="667" spans="1:2" x14ac:dyDescent="0.25">
      <c r="A667" t="s">
        <v>1826</v>
      </c>
    </row>
    <row r="668" spans="1:2" x14ac:dyDescent="0.25">
      <c r="A668" t="s">
        <v>1827</v>
      </c>
    </row>
    <row r="669" spans="1:2" x14ac:dyDescent="0.25">
      <c r="A669" t="s">
        <v>1828</v>
      </c>
    </row>
    <row r="670" spans="1:2" x14ac:dyDescent="0.25">
      <c r="A670" t="s">
        <v>1829</v>
      </c>
    </row>
    <row r="671" spans="1:2" x14ac:dyDescent="0.25">
      <c r="A671" t="s">
        <v>1830</v>
      </c>
    </row>
    <row r="672" spans="1:2" x14ac:dyDescent="0.25">
      <c r="A672" t="s">
        <v>1831</v>
      </c>
    </row>
    <row r="673" spans="1:1" x14ac:dyDescent="0.25">
      <c r="A673" t="s">
        <v>1832</v>
      </c>
    </row>
    <row r="674" spans="1:1" x14ac:dyDescent="0.25">
      <c r="A674" t="s">
        <v>1833</v>
      </c>
    </row>
    <row r="675" spans="1:1" x14ac:dyDescent="0.25">
      <c r="A675" t="s">
        <v>1834</v>
      </c>
    </row>
    <row r="676" spans="1:1" x14ac:dyDescent="0.25">
      <c r="A676" t="s">
        <v>1835</v>
      </c>
    </row>
    <row r="677" spans="1:1" x14ac:dyDescent="0.25">
      <c r="A677" t="s">
        <v>1836</v>
      </c>
    </row>
    <row r="678" spans="1:1" x14ac:dyDescent="0.25">
      <c r="A678" t="s">
        <v>1837</v>
      </c>
    </row>
    <row r="679" spans="1:1" x14ac:dyDescent="0.25">
      <c r="A679" t="s">
        <v>1838</v>
      </c>
    </row>
    <row r="680" spans="1:1" x14ac:dyDescent="0.25">
      <c r="A680" t="s">
        <v>1839</v>
      </c>
    </row>
    <row r="681" spans="1:1" x14ac:dyDescent="0.25">
      <c r="A681" t="s">
        <v>1840</v>
      </c>
    </row>
    <row r="682" spans="1:1" x14ac:dyDescent="0.25">
      <c r="A682" t="s">
        <v>1841</v>
      </c>
    </row>
    <row r="683" spans="1:1" x14ac:dyDescent="0.25">
      <c r="A683" t="s">
        <v>1842</v>
      </c>
    </row>
    <row r="684" spans="1:1" x14ac:dyDescent="0.25">
      <c r="A684" t="s">
        <v>1843</v>
      </c>
    </row>
    <row r="685" spans="1:1" x14ac:dyDescent="0.25">
      <c r="A685" t="s">
        <v>1844</v>
      </c>
    </row>
    <row r="686" spans="1:1" x14ac:dyDescent="0.25">
      <c r="A686" t="s">
        <v>1845</v>
      </c>
    </row>
    <row r="687" spans="1:1" x14ac:dyDescent="0.25">
      <c r="A687" t="s">
        <v>1842</v>
      </c>
    </row>
    <row r="688" spans="1:1" x14ac:dyDescent="0.25">
      <c r="A688" t="s">
        <v>1798</v>
      </c>
    </row>
    <row r="689" spans="1:1" x14ac:dyDescent="0.25">
      <c r="A689" t="s">
        <v>1846</v>
      </c>
    </row>
    <row r="690" spans="1:1" x14ac:dyDescent="0.25">
      <c r="A690" t="s">
        <v>1800</v>
      </c>
    </row>
    <row r="691" spans="1:1" x14ac:dyDescent="0.25">
      <c r="A691" t="s">
        <v>1842</v>
      </c>
    </row>
    <row r="692" spans="1:1" x14ac:dyDescent="0.25">
      <c r="A692" t="s">
        <v>1847</v>
      </c>
    </row>
    <row r="693" spans="1:1" x14ac:dyDescent="0.25">
      <c r="A693" t="s">
        <v>1848</v>
      </c>
    </row>
    <row r="694" spans="1:1" x14ac:dyDescent="0.25">
      <c r="A694" t="s">
        <v>1842</v>
      </c>
    </row>
    <row r="695" spans="1:1" x14ac:dyDescent="0.25">
      <c r="A695" t="s">
        <v>1849</v>
      </c>
    </row>
    <row r="696" spans="1:1" x14ac:dyDescent="0.25">
      <c r="A696" t="s">
        <v>1850</v>
      </c>
    </row>
    <row r="697" spans="1:1" x14ac:dyDescent="0.25">
      <c r="A697" t="s">
        <v>1851</v>
      </c>
    </row>
    <row r="700" spans="1:1" x14ac:dyDescent="0.25">
      <c r="A700" t="s">
        <v>1852</v>
      </c>
    </row>
    <row r="701" spans="1:1" x14ac:dyDescent="0.25">
      <c r="A701" t="s">
        <v>1853</v>
      </c>
    </row>
    <row r="702" spans="1:1" x14ac:dyDescent="0.25">
      <c r="A702" t="s">
        <v>1854</v>
      </c>
    </row>
    <row r="703" spans="1:1" x14ac:dyDescent="0.25">
      <c r="A703" t="s">
        <v>1855</v>
      </c>
    </row>
    <row r="704" spans="1:1" x14ac:dyDescent="0.25">
      <c r="A704" t="s">
        <v>1856</v>
      </c>
    </row>
    <row r="705" spans="1:1" x14ac:dyDescent="0.25">
      <c r="A705" t="s">
        <v>1857</v>
      </c>
    </row>
    <row r="706" spans="1:1" x14ac:dyDescent="0.25">
      <c r="A706" t="s">
        <v>1858</v>
      </c>
    </row>
    <row r="707" spans="1:1" x14ac:dyDescent="0.25">
      <c r="A707" t="s">
        <v>1859</v>
      </c>
    </row>
    <row r="708" spans="1:1" x14ac:dyDescent="0.25">
      <c r="A708" t="s">
        <v>1860</v>
      </c>
    </row>
    <row r="709" spans="1:1" x14ac:dyDescent="0.25">
      <c r="A709" t="s">
        <v>1861</v>
      </c>
    </row>
    <row r="710" spans="1:1" x14ac:dyDescent="0.25">
      <c r="A710" t="s">
        <v>1862</v>
      </c>
    </row>
    <row r="711" spans="1:1" x14ac:dyDescent="0.25">
      <c r="A711" t="s">
        <v>1863</v>
      </c>
    </row>
    <row r="712" spans="1:1" x14ac:dyDescent="0.25">
      <c r="A712" t="s">
        <v>1860</v>
      </c>
    </row>
    <row r="713" spans="1:1" x14ac:dyDescent="0.25">
      <c r="A713" t="s">
        <v>1864</v>
      </c>
    </row>
    <row r="714" spans="1:1" x14ac:dyDescent="0.25">
      <c r="A714" t="s">
        <v>1865</v>
      </c>
    </row>
    <row r="715" spans="1:1" x14ac:dyDescent="0.25">
      <c r="A715" t="s">
        <v>1866</v>
      </c>
    </row>
    <row r="716" spans="1:1" x14ac:dyDescent="0.25">
      <c r="A716" t="s">
        <v>1867</v>
      </c>
    </row>
    <row r="717" spans="1:1" x14ac:dyDescent="0.25">
      <c r="A717" t="s">
        <v>1868</v>
      </c>
    </row>
    <row r="718" spans="1:1" x14ac:dyDescent="0.25">
      <c r="A718" t="s">
        <v>1869</v>
      </c>
    </row>
    <row r="719" spans="1:1" x14ac:dyDescent="0.25">
      <c r="A719" t="s">
        <v>1764</v>
      </c>
    </row>
    <row r="720" spans="1:1" x14ac:dyDescent="0.25">
      <c r="A720" t="s">
        <v>1870</v>
      </c>
    </row>
    <row r="721" spans="1:1" x14ac:dyDescent="0.25">
      <c r="A721" t="s">
        <v>1871</v>
      </c>
    </row>
    <row r="722" spans="1:1" x14ac:dyDescent="0.25">
      <c r="A722" t="s">
        <v>1872</v>
      </c>
    </row>
    <row r="723" spans="1:1" x14ac:dyDescent="0.25">
      <c r="A723" t="s">
        <v>1873</v>
      </c>
    </row>
    <row r="724" spans="1:1" x14ac:dyDescent="0.25">
      <c r="A724" t="s">
        <v>1874</v>
      </c>
    </row>
    <row r="725" spans="1:1" x14ac:dyDescent="0.25">
      <c r="A725" t="s">
        <v>1875</v>
      </c>
    </row>
    <row r="726" spans="1:1" x14ac:dyDescent="0.25">
      <c r="A726" t="s">
        <v>1876</v>
      </c>
    </row>
    <row r="727" spans="1:1" x14ac:dyDescent="0.25">
      <c r="A727" t="s">
        <v>1877</v>
      </c>
    </row>
    <row r="728" spans="1:1" x14ac:dyDescent="0.25">
      <c r="A728" t="s">
        <v>1878</v>
      </c>
    </row>
    <row r="729" spans="1:1" x14ac:dyDescent="0.25">
      <c r="A729" t="s">
        <v>1879</v>
      </c>
    </row>
    <row r="730" spans="1:1" x14ac:dyDescent="0.25">
      <c r="A730" s="4">
        <v>46032</v>
      </c>
    </row>
    <row r="731" spans="1:1" x14ac:dyDescent="0.25">
      <c r="A731" t="s">
        <v>1880</v>
      </c>
    </row>
    <row r="732" spans="1:1" x14ac:dyDescent="0.25">
      <c r="A732" t="s">
        <v>1881</v>
      </c>
    </row>
    <row r="733" spans="1:1" x14ac:dyDescent="0.25">
      <c r="A733" s="4">
        <v>46032</v>
      </c>
    </row>
    <row r="734" spans="1:1" x14ac:dyDescent="0.25">
      <c r="A734" t="s">
        <v>1882</v>
      </c>
    </row>
    <row r="735" spans="1:1" x14ac:dyDescent="0.25">
      <c r="A735" t="s">
        <v>1883</v>
      </c>
    </row>
    <row r="736" spans="1:1" x14ac:dyDescent="0.25">
      <c r="A736" t="s">
        <v>1884</v>
      </c>
    </row>
    <row r="737" spans="1:1" x14ac:dyDescent="0.25">
      <c r="A737" s="4">
        <v>46033</v>
      </c>
    </row>
    <row r="738" spans="1:1" x14ac:dyDescent="0.25">
      <c r="A738" t="s">
        <v>1885</v>
      </c>
    </row>
    <row r="739" spans="1:1" x14ac:dyDescent="0.25">
      <c r="A739" t="s">
        <v>1886</v>
      </c>
    </row>
    <row r="740" spans="1:1" x14ac:dyDescent="0.25">
      <c r="A740" t="s">
        <v>1887</v>
      </c>
    </row>
    <row r="741" spans="1:1" x14ac:dyDescent="0.25">
      <c r="A741" t="s">
        <v>1888</v>
      </c>
    </row>
    <row r="742" spans="1:1" x14ac:dyDescent="0.25">
      <c r="A742" t="s">
        <v>1889</v>
      </c>
    </row>
    <row r="743" spans="1:1" x14ac:dyDescent="0.25">
      <c r="A743" t="s">
        <v>1890</v>
      </c>
    </row>
    <row r="744" spans="1:1" x14ac:dyDescent="0.25">
      <c r="A744" t="s">
        <v>1891</v>
      </c>
    </row>
    <row r="745" spans="1:1" x14ac:dyDescent="0.25">
      <c r="A745" s="4">
        <v>46035</v>
      </c>
    </row>
    <row r="746" spans="1:1" x14ac:dyDescent="0.25">
      <c r="A746" t="s">
        <v>1892</v>
      </c>
    </row>
    <row r="747" spans="1:1" x14ac:dyDescent="0.25">
      <c r="A747" t="s">
        <v>1893</v>
      </c>
    </row>
    <row r="748" spans="1:1" x14ac:dyDescent="0.25">
      <c r="A748" s="4">
        <v>46035</v>
      </c>
    </row>
    <row r="749" spans="1:1" x14ac:dyDescent="0.25">
      <c r="A749" t="s">
        <v>1894</v>
      </c>
    </row>
    <row r="750" spans="1:1" x14ac:dyDescent="0.25">
      <c r="A750" t="s">
        <v>1895</v>
      </c>
    </row>
    <row r="751" spans="1:1" x14ac:dyDescent="0.25">
      <c r="A751" t="s">
        <v>1896</v>
      </c>
    </row>
    <row r="752" spans="1:1" x14ac:dyDescent="0.25">
      <c r="A752" t="s">
        <v>1897</v>
      </c>
    </row>
    <row r="753" spans="1:1" x14ac:dyDescent="0.25">
      <c r="A753" s="4">
        <v>46035</v>
      </c>
    </row>
    <row r="754" spans="1:1" x14ac:dyDescent="0.25">
      <c r="A754" t="s">
        <v>1898</v>
      </c>
    </row>
    <row r="755" spans="1:1" x14ac:dyDescent="0.25">
      <c r="A755" t="s">
        <v>1899</v>
      </c>
    </row>
    <row r="756" spans="1:1" x14ac:dyDescent="0.25">
      <c r="A756" t="s">
        <v>1900</v>
      </c>
    </row>
    <row r="757" spans="1:1" x14ac:dyDescent="0.25">
      <c r="A757" t="s">
        <v>1901</v>
      </c>
    </row>
    <row r="758" spans="1:1" x14ac:dyDescent="0.25">
      <c r="A758" t="s">
        <v>1902</v>
      </c>
    </row>
    <row r="759" spans="1:1" x14ac:dyDescent="0.25">
      <c r="A759" t="s">
        <v>1903</v>
      </c>
    </row>
    <row r="760" spans="1:1" x14ac:dyDescent="0.25">
      <c r="A760" t="s">
        <v>1904</v>
      </c>
    </row>
    <row r="761" spans="1:1" x14ac:dyDescent="0.25">
      <c r="A761" t="s">
        <v>1905</v>
      </c>
    </row>
    <row r="762" spans="1:1" x14ac:dyDescent="0.25">
      <c r="A762" t="s">
        <v>1906</v>
      </c>
    </row>
    <row r="763" spans="1:1" x14ac:dyDescent="0.25">
      <c r="A763" s="4">
        <v>46036</v>
      </c>
    </row>
    <row r="764" spans="1:1" x14ac:dyDescent="0.25">
      <c r="A764" t="s">
        <v>1907</v>
      </c>
    </row>
    <row r="765" spans="1:1" x14ac:dyDescent="0.25">
      <c r="A765" t="s">
        <v>1908</v>
      </c>
    </row>
    <row r="766" spans="1:1" x14ac:dyDescent="0.25">
      <c r="A766" t="s">
        <v>1909</v>
      </c>
    </row>
    <row r="767" spans="1:1" x14ac:dyDescent="0.25">
      <c r="A767" t="s">
        <v>1910</v>
      </c>
    </row>
    <row r="768" spans="1:1" x14ac:dyDescent="0.25">
      <c r="A768" t="s">
        <v>1911</v>
      </c>
    </row>
    <row r="769" spans="1:1" x14ac:dyDescent="0.25">
      <c r="A769" t="s">
        <v>1912</v>
      </c>
    </row>
    <row r="770" spans="1:1" x14ac:dyDescent="0.25">
      <c r="A770" s="4">
        <v>46036</v>
      </c>
    </row>
    <row r="771" spans="1:1" x14ac:dyDescent="0.25">
      <c r="A771" t="s">
        <v>1913</v>
      </c>
    </row>
    <row r="772" spans="1:1" x14ac:dyDescent="0.25">
      <c r="A772" t="s">
        <v>1914</v>
      </c>
    </row>
    <row r="773" spans="1:1" x14ac:dyDescent="0.25">
      <c r="A773" t="s">
        <v>1915</v>
      </c>
    </row>
    <row r="774" spans="1:1" x14ac:dyDescent="0.25">
      <c r="A774" t="s">
        <v>1916</v>
      </c>
    </row>
    <row r="775" spans="1:1" x14ac:dyDescent="0.25">
      <c r="A775" t="s">
        <v>1917</v>
      </c>
    </row>
    <row r="776" spans="1:1" x14ac:dyDescent="0.25">
      <c r="A776" t="s">
        <v>1918</v>
      </c>
    </row>
    <row r="777" spans="1:1" x14ac:dyDescent="0.25">
      <c r="A777" t="s">
        <v>1919</v>
      </c>
    </row>
    <row r="778" spans="1:1" x14ac:dyDescent="0.25">
      <c r="A778" t="s">
        <v>1915</v>
      </c>
    </row>
    <row r="779" spans="1:1" x14ac:dyDescent="0.25">
      <c r="A779" t="s">
        <v>1916</v>
      </c>
    </row>
    <row r="780" spans="1:1" x14ac:dyDescent="0.25">
      <c r="A780" t="s">
        <v>1917</v>
      </c>
    </row>
    <row r="781" spans="1:1" x14ac:dyDescent="0.25">
      <c r="A781" t="s">
        <v>1918</v>
      </c>
    </row>
    <row r="782" spans="1:1" x14ac:dyDescent="0.25">
      <c r="A782" t="s">
        <v>1920</v>
      </c>
    </row>
    <row r="783" spans="1:1" x14ac:dyDescent="0.25">
      <c r="A783" s="55">
        <v>43845</v>
      </c>
    </row>
    <row r="784" spans="1:1" x14ac:dyDescent="0.25">
      <c r="A784" t="s">
        <v>1921</v>
      </c>
    </row>
    <row r="785" spans="1:1" x14ac:dyDescent="0.25">
      <c r="A785" t="s">
        <v>1922</v>
      </c>
    </row>
    <row r="786" spans="1:1" x14ac:dyDescent="0.25">
      <c r="A786" t="s">
        <v>1923</v>
      </c>
    </row>
    <row r="787" spans="1:1" x14ac:dyDescent="0.25">
      <c r="A787" t="s">
        <v>1924</v>
      </c>
    </row>
    <row r="788" spans="1:1" x14ac:dyDescent="0.25">
      <c r="A788" t="s">
        <v>1925</v>
      </c>
    </row>
    <row r="789" spans="1:1" x14ac:dyDescent="0.25">
      <c r="A789" s="55">
        <v>43845</v>
      </c>
    </row>
    <row r="790" spans="1:1" x14ac:dyDescent="0.25">
      <c r="A790" t="s">
        <v>1926</v>
      </c>
    </row>
    <row r="791" spans="1:1" x14ac:dyDescent="0.25">
      <c r="A791" t="s">
        <v>1927</v>
      </c>
    </row>
    <row r="792" spans="1:1" x14ac:dyDescent="0.25">
      <c r="A792" t="s">
        <v>1928</v>
      </c>
    </row>
    <row r="793" spans="1:1" x14ac:dyDescent="0.25">
      <c r="A793" t="s">
        <v>1929</v>
      </c>
    </row>
    <row r="794" spans="1:1" x14ac:dyDescent="0.25">
      <c r="A794" t="s">
        <v>1930</v>
      </c>
    </row>
    <row r="795" spans="1:1" x14ac:dyDescent="0.25">
      <c r="A795" t="s">
        <v>1931</v>
      </c>
    </row>
    <row r="796" spans="1:1" x14ac:dyDescent="0.25">
      <c r="A796" s="55">
        <v>43845</v>
      </c>
    </row>
    <row r="797" spans="1:1" x14ac:dyDescent="0.25">
      <c r="A797" t="s">
        <v>1932</v>
      </c>
    </row>
    <row r="798" spans="1:1" x14ac:dyDescent="0.25">
      <c r="A798" t="s">
        <v>1933</v>
      </c>
    </row>
    <row r="799" spans="1:1" x14ac:dyDescent="0.25">
      <c r="A799" t="s">
        <v>1934</v>
      </c>
    </row>
    <row r="800" spans="1:1" x14ac:dyDescent="0.25">
      <c r="A800" t="s">
        <v>1935</v>
      </c>
    </row>
    <row r="801" spans="1:1" x14ac:dyDescent="0.25">
      <c r="A801" s="55">
        <v>43845</v>
      </c>
    </row>
    <row r="802" spans="1:1" x14ac:dyDescent="0.25">
      <c r="A802" t="s">
        <v>1936</v>
      </c>
    </row>
    <row r="803" spans="1:1" x14ac:dyDescent="0.25">
      <c r="A803" t="s">
        <v>1937</v>
      </c>
    </row>
    <row r="804" spans="1:1" x14ac:dyDescent="0.25">
      <c r="A804" t="s">
        <v>1938</v>
      </c>
    </row>
    <row r="805" spans="1:1" x14ac:dyDescent="0.25">
      <c r="A805" t="s">
        <v>1939</v>
      </c>
    </row>
    <row r="807" spans="1:1" x14ac:dyDescent="0.25">
      <c r="A807" s="55">
        <v>43845</v>
      </c>
    </row>
    <row r="808" spans="1:1" x14ac:dyDescent="0.25">
      <c r="A808" t="s">
        <v>1940</v>
      </c>
    </row>
    <row r="809" spans="1:1" x14ac:dyDescent="0.25">
      <c r="A809" t="s">
        <v>1941</v>
      </c>
    </row>
    <row r="810" spans="1:1" x14ac:dyDescent="0.25">
      <c r="A810" t="s">
        <v>1942</v>
      </c>
    </row>
    <row r="811" spans="1:1" x14ac:dyDescent="0.25">
      <c r="A811" t="s">
        <v>1943</v>
      </c>
    </row>
    <row r="812" spans="1:1" x14ac:dyDescent="0.25">
      <c r="A812" s="55">
        <v>43845</v>
      </c>
    </row>
    <row r="813" spans="1:1" x14ac:dyDescent="0.25">
      <c r="A813" t="s">
        <v>1944</v>
      </c>
    </row>
    <row r="814" spans="1:1" x14ac:dyDescent="0.25">
      <c r="A814" t="s">
        <v>1945</v>
      </c>
    </row>
    <row r="815" spans="1:1" x14ac:dyDescent="0.25">
      <c r="A815" t="s">
        <v>1946</v>
      </c>
    </row>
    <row r="816" spans="1:1" x14ac:dyDescent="0.25">
      <c r="A816" t="s">
        <v>1947</v>
      </c>
    </row>
    <row r="817" spans="1:1" x14ac:dyDescent="0.25">
      <c r="A817" s="4">
        <v>46037</v>
      </c>
    </row>
    <row r="818" spans="1:1" x14ac:dyDescent="0.25">
      <c r="A818" t="s">
        <v>1948</v>
      </c>
    </row>
    <row r="819" spans="1:1" x14ac:dyDescent="0.25">
      <c r="A819" t="s">
        <v>1949</v>
      </c>
    </row>
    <row r="820" spans="1:1" x14ac:dyDescent="0.25">
      <c r="A820" s="4">
        <v>46037</v>
      </c>
    </row>
    <row r="821" spans="1:1" x14ac:dyDescent="0.25">
      <c r="A821" t="s">
        <v>1948</v>
      </c>
    </row>
    <row r="822" spans="1:1" x14ac:dyDescent="0.25">
      <c r="A822" t="s">
        <v>1950</v>
      </c>
    </row>
    <row r="823" spans="1:1" x14ac:dyDescent="0.25">
      <c r="A823" s="4">
        <v>46037</v>
      </c>
    </row>
    <row r="824" spans="1:1" x14ac:dyDescent="0.25">
      <c r="A824" t="s">
        <v>1951</v>
      </c>
    </row>
    <row r="825" spans="1:1" x14ac:dyDescent="0.25">
      <c r="A825" t="s">
        <v>1952</v>
      </c>
    </row>
    <row r="826" spans="1:1" x14ac:dyDescent="0.25">
      <c r="A826" t="s">
        <v>1953</v>
      </c>
    </row>
    <row r="827" spans="1:1" x14ac:dyDescent="0.25">
      <c r="A827" t="s">
        <v>1954</v>
      </c>
    </row>
    <row r="828" spans="1:1" x14ac:dyDescent="0.25">
      <c r="A828" s="4">
        <v>46037</v>
      </c>
    </row>
    <row r="829" spans="1:1" x14ac:dyDescent="0.25">
      <c r="A829" t="s">
        <v>1955</v>
      </c>
    </row>
    <row r="830" spans="1:1" x14ac:dyDescent="0.25">
      <c r="A830" t="s">
        <v>1956</v>
      </c>
    </row>
    <row r="832" spans="1:1" x14ac:dyDescent="0.25">
      <c r="A832" s="4">
        <v>46037</v>
      </c>
    </row>
    <row r="833" spans="1:1" x14ac:dyDescent="0.25">
      <c r="A833" t="s">
        <v>1957</v>
      </c>
    </row>
    <row r="834" spans="1:1" x14ac:dyDescent="0.25">
      <c r="A834" t="s">
        <v>1958</v>
      </c>
    </row>
    <row r="835" spans="1:1" x14ac:dyDescent="0.25">
      <c r="A835" s="55">
        <v>43846</v>
      </c>
    </row>
    <row r="837" spans="1:1" x14ac:dyDescent="0.25">
      <c r="A837" t="s">
        <v>1959</v>
      </c>
    </row>
    <row r="839" spans="1:1" x14ac:dyDescent="0.25">
      <c r="A839" t="s">
        <v>1960</v>
      </c>
    </row>
    <row r="840" spans="1:1" x14ac:dyDescent="0.25">
      <c r="A840" t="s">
        <v>1961</v>
      </c>
    </row>
    <row r="841" spans="1:1" x14ac:dyDescent="0.25">
      <c r="A841" s="55">
        <v>43847</v>
      </c>
    </row>
    <row r="842" spans="1:1" x14ac:dyDescent="0.25">
      <c r="A842" t="s">
        <v>1962</v>
      </c>
    </row>
    <row r="843" spans="1:1" x14ac:dyDescent="0.25">
      <c r="A843" t="s">
        <v>1963</v>
      </c>
    </row>
    <row r="844" spans="1:1" x14ac:dyDescent="0.25">
      <c r="A844" t="s">
        <v>1964</v>
      </c>
    </row>
    <row r="845" spans="1:1" x14ac:dyDescent="0.25">
      <c r="A845" t="s">
        <v>1965</v>
      </c>
    </row>
    <row r="846" spans="1:1" x14ac:dyDescent="0.25">
      <c r="A846" s="55">
        <v>43847</v>
      </c>
    </row>
    <row r="847" spans="1:1" x14ac:dyDescent="0.25">
      <c r="A847" t="s">
        <v>1966</v>
      </c>
    </row>
    <row r="848" spans="1:1" x14ac:dyDescent="0.25">
      <c r="A848" t="s">
        <v>1967</v>
      </c>
    </row>
    <row r="849" spans="1:1" x14ac:dyDescent="0.25">
      <c r="A849" t="s">
        <v>1968</v>
      </c>
    </row>
    <row r="851" spans="1:1" x14ac:dyDescent="0.25">
      <c r="A851" t="s">
        <v>1969</v>
      </c>
    </row>
    <row r="852" spans="1:1" x14ac:dyDescent="0.25">
      <c r="A852" t="s">
        <v>1970</v>
      </c>
    </row>
    <row r="853" spans="1:1" x14ac:dyDescent="0.25">
      <c r="A853" s="4">
        <v>46070</v>
      </c>
    </row>
    <row r="854" spans="1:1" x14ac:dyDescent="0.25">
      <c r="A854" t="s">
        <v>1971</v>
      </c>
    </row>
    <row r="855" spans="1:1" x14ac:dyDescent="0.25">
      <c r="A855" t="s">
        <v>1972</v>
      </c>
    </row>
    <row r="856" spans="1:1" x14ac:dyDescent="0.25">
      <c r="A856" s="4">
        <v>46040</v>
      </c>
    </row>
    <row r="857" spans="1:1" x14ac:dyDescent="0.25">
      <c r="A857" t="s">
        <v>1973</v>
      </c>
    </row>
    <row r="858" spans="1:1" x14ac:dyDescent="0.25">
      <c r="A858" t="s">
        <v>1974</v>
      </c>
    </row>
    <row r="860" spans="1:1" x14ac:dyDescent="0.25">
      <c r="A860" t="s">
        <v>1975</v>
      </c>
    </row>
    <row r="861" spans="1:1" x14ac:dyDescent="0.25">
      <c r="A861" t="s">
        <v>1976</v>
      </c>
    </row>
    <row r="862" spans="1:1" x14ac:dyDescent="0.25">
      <c r="A862">
        <v>1934075784</v>
      </c>
    </row>
    <row r="863" spans="1:1" x14ac:dyDescent="0.25">
      <c r="A863" t="s">
        <v>1977</v>
      </c>
    </row>
    <row r="864" spans="1:1" x14ac:dyDescent="0.25">
      <c r="A864" t="s">
        <v>1978</v>
      </c>
    </row>
    <row r="865" spans="1:3" x14ac:dyDescent="0.25">
      <c r="A865" t="s">
        <v>1449</v>
      </c>
    </row>
    <row r="866" spans="1:3" x14ac:dyDescent="0.25">
      <c r="A866" t="s">
        <v>1979</v>
      </c>
    </row>
    <row r="867" spans="1:3" x14ac:dyDescent="0.25">
      <c r="A867" t="s">
        <v>1980</v>
      </c>
    </row>
    <row r="868" spans="1:3" x14ac:dyDescent="0.25">
      <c r="A868" t="s">
        <v>1981</v>
      </c>
    </row>
    <row r="869" spans="1:3" x14ac:dyDescent="0.25">
      <c r="A869" t="s">
        <v>1982</v>
      </c>
    </row>
    <row r="870" spans="1:3" x14ac:dyDescent="0.25">
      <c r="A870" t="s">
        <v>1983</v>
      </c>
    </row>
    <row r="871" spans="1:3" x14ac:dyDescent="0.25">
      <c r="A871" t="s">
        <v>1984</v>
      </c>
    </row>
    <row r="872" spans="1:3" x14ac:dyDescent="0.25">
      <c r="A872" t="s">
        <v>1985</v>
      </c>
    </row>
    <row r="873" spans="1:3" x14ac:dyDescent="0.25">
      <c r="A873" t="s">
        <v>1986</v>
      </c>
    </row>
    <row r="875" spans="1:3" x14ac:dyDescent="0.25">
      <c r="A875" t="s">
        <v>1505</v>
      </c>
      <c r="B875" t="s">
        <v>1506</v>
      </c>
      <c r="C875" t="s">
        <v>1507</v>
      </c>
    </row>
    <row r="876" spans="1:3" x14ac:dyDescent="0.25">
      <c r="A876" t="s">
        <v>1987</v>
      </c>
      <c r="B876">
        <v>24283.05</v>
      </c>
      <c r="C876" s="55">
        <v>42990</v>
      </c>
    </row>
    <row r="877" spans="1:3" x14ac:dyDescent="0.25">
      <c r="A877" t="s">
        <v>1988</v>
      </c>
      <c r="B877">
        <v>523.37</v>
      </c>
      <c r="C877" s="55">
        <v>43490</v>
      </c>
    </row>
    <row r="878" spans="1:3" x14ac:dyDescent="0.25">
      <c r="A878" t="s">
        <v>1989</v>
      </c>
    </row>
    <row r="879" spans="1:3" x14ac:dyDescent="0.25">
      <c r="A879" t="s">
        <v>1990</v>
      </c>
    </row>
    <row r="880" spans="1:3" x14ac:dyDescent="0.25">
      <c r="A880" t="s">
        <v>1991</v>
      </c>
    </row>
    <row r="881" spans="1:1" x14ac:dyDescent="0.25">
      <c r="A881" t="s">
        <v>1992</v>
      </c>
    </row>
    <row r="882" spans="1:1" x14ac:dyDescent="0.25">
      <c r="A882" t="s">
        <v>1993</v>
      </c>
    </row>
    <row r="883" spans="1:1" x14ac:dyDescent="0.25">
      <c r="A883" t="s">
        <v>1994</v>
      </c>
    </row>
    <row r="884" spans="1:1" x14ac:dyDescent="0.25">
      <c r="A884" t="s">
        <v>1995</v>
      </c>
    </row>
    <row r="885" spans="1:1" x14ac:dyDescent="0.25">
      <c r="A885" s="55">
        <v>43850</v>
      </c>
    </row>
    <row r="887" spans="1:1" x14ac:dyDescent="0.25">
      <c r="A887" t="s">
        <v>1996</v>
      </c>
    </row>
    <row r="889" spans="1:1" x14ac:dyDescent="0.25">
      <c r="A889" t="s">
        <v>1997</v>
      </c>
    </row>
    <row r="890" spans="1:1" x14ac:dyDescent="0.25">
      <c r="A890" t="s">
        <v>1998</v>
      </c>
    </row>
    <row r="891" spans="1:1" x14ac:dyDescent="0.25">
      <c r="A891" t="s">
        <v>1999</v>
      </c>
    </row>
    <row r="892" spans="1:1" x14ac:dyDescent="0.25">
      <c r="A892" t="s">
        <v>2000</v>
      </c>
    </row>
    <row r="893" spans="1:1" x14ac:dyDescent="0.25">
      <c r="A893" t="s">
        <v>2001</v>
      </c>
    </row>
    <row r="894" spans="1:1" x14ac:dyDescent="0.25">
      <c r="A894" t="s">
        <v>2002</v>
      </c>
    </row>
    <row r="895" spans="1:1" x14ac:dyDescent="0.25">
      <c r="A895" t="s">
        <v>2003</v>
      </c>
    </row>
    <row r="896" spans="1:1" x14ac:dyDescent="0.25">
      <c r="A896" t="s">
        <v>2004</v>
      </c>
    </row>
    <row r="897" spans="1:5" x14ac:dyDescent="0.25">
      <c r="A897" t="s">
        <v>2005</v>
      </c>
    </row>
    <row r="898" spans="1:5" x14ac:dyDescent="0.25">
      <c r="A898" s="4">
        <v>46042</v>
      </c>
    </row>
    <row r="899" spans="1:5" x14ac:dyDescent="0.25">
      <c r="A899" t="s">
        <v>2006</v>
      </c>
    </row>
    <row r="900" spans="1:5" x14ac:dyDescent="0.25">
      <c r="A900" t="s">
        <v>2007</v>
      </c>
    </row>
    <row r="903" spans="1:5" x14ac:dyDescent="0.25">
      <c r="A903" s="4">
        <v>46042</v>
      </c>
    </row>
    <row r="904" spans="1:5" x14ac:dyDescent="0.25">
      <c r="A904" t="s">
        <v>2008</v>
      </c>
    </row>
    <row r="905" spans="1:5" x14ac:dyDescent="0.25">
      <c r="A905" t="s">
        <v>2009</v>
      </c>
    </row>
    <row r="906" spans="1:5" x14ac:dyDescent="0.25">
      <c r="A906" t="s">
        <v>2010</v>
      </c>
    </row>
    <row r="908" spans="1:5" x14ac:dyDescent="0.25">
      <c r="A908" s="4">
        <v>46042</v>
      </c>
    </row>
    <row r="909" spans="1:5" x14ac:dyDescent="0.25">
      <c r="A909" t="s">
        <v>2011</v>
      </c>
    </row>
    <row r="910" spans="1:5" x14ac:dyDescent="0.25">
      <c r="A910" t="s">
        <v>2012</v>
      </c>
    </row>
    <row r="911" spans="1:5" x14ac:dyDescent="0.25">
      <c r="A911">
        <v>20148289825</v>
      </c>
      <c r="B911" t="s">
        <v>2013</v>
      </c>
      <c r="C911">
        <v>201909</v>
      </c>
      <c r="D911" t="s">
        <v>2014</v>
      </c>
      <c r="E911">
        <v>1200</v>
      </c>
    </row>
    <row r="912" spans="1:5" x14ac:dyDescent="0.25">
      <c r="A912" s="4">
        <v>46024</v>
      </c>
    </row>
    <row r="913" spans="1:1" x14ac:dyDescent="0.25">
      <c r="A913" t="s">
        <v>2015</v>
      </c>
    </row>
    <row r="914" spans="1:1" x14ac:dyDescent="0.25">
      <c r="A914" t="s">
        <v>2016</v>
      </c>
    </row>
    <row r="915" spans="1:1" x14ac:dyDescent="0.25">
      <c r="A915" t="s">
        <v>2017</v>
      </c>
    </row>
    <row r="916" spans="1:1" x14ac:dyDescent="0.25">
      <c r="A916" t="s">
        <v>2018</v>
      </c>
    </row>
    <row r="917" spans="1:1" x14ac:dyDescent="0.25">
      <c r="A917" s="4">
        <v>46043</v>
      </c>
    </row>
    <row r="918" spans="1:1" x14ac:dyDescent="0.25">
      <c r="A918" t="s">
        <v>2019</v>
      </c>
    </row>
    <row r="919" spans="1:1" x14ac:dyDescent="0.25">
      <c r="A919" t="s">
        <v>2020</v>
      </c>
    </row>
    <row r="920" spans="1:1" x14ac:dyDescent="0.25">
      <c r="A920" t="s">
        <v>2021</v>
      </c>
    </row>
    <row r="921" spans="1:1" x14ac:dyDescent="0.25">
      <c r="A921" t="s">
        <v>2022</v>
      </c>
    </row>
    <row r="922" spans="1:1" x14ac:dyDescent="0.25">
      <c r="A922" t="s">
        <v>2023</v>
      </c>
    </row>
    <row r="923" spans="1:1" x14ac:dyDescent="0.25">
      <c r="A923" t="s">
        <v>2024</v>
      </c>
    </row>
    <row r="924" spans="1:1" x14ac:dyDescent="0.25">
      <c r="A924" t="s">
        <v>2025</v>
      </c>
    </row>
    <row r="925" spans="1:1" x14ac:dyDescent="0.25">
      <c r="A925" s="4">
        <v>46044</v>
      </c>
    </row>
    <row r="926" spans="1:1" x14ac:dyDescent="0.25">
      <c r="A926" t="s">
        <v>2026</v>
      </c>
    </row>
    <row r="927" spans="1:1" x14ac:dyDescent="0.25">
      <c r="A927" t="s">
        <v>2027</v>
      </c>
    </row>
    <row r="928" spans="1:1" x14ac:dyDescent="0.25">
      <c r="A928" t="s">
        <v>2028</v>
      </c>
    </row>
    <row r="930" spans="1:1" x14ac:dyDescent="0.25">
      <c r="A930" t="s">
        <v>2029</v>
      </c>
    </row>
    <row r="931" spans="1:1" x14ac:dyDescent="0.25">
      <c r="A931" s="55">
        <v>43854</v>
      </c>
    </row>
    <row r="932" spans="1:1" x14ac:dyDescent="0.25">
      <c r="A932" t="s">
        <v>2030</v>
      </c>
    </row>
    <row r="933" spans="1:1" x14ac:dyDescent="0.25">
      <c r="A933" t="s">
        <v>2031</v>
      </c>
    </row>
    <row r="934" spans="1:1" x14ac:dyDescent="0.25">
      <c r="A934" t="s">
        <v>2032</v>
      </c>
    </row>
    <row r="935" spans="1:1" x14ac:dyDescent="0.25">
      <c r="A935" s="4">
        <v>46046</v>
      </c>
    </row>
    <row r="936" spans="1:1" x14ac:dyDescent="0.25">
      <c r="A936" t="s">
        <v>2033</v>
      </c>
    </row>
    <row r="937" spans="1:1" x14ac:dyDescent="0.25">
      <c r="A937" t="s">
        <v>2034</v>
      </c>
    </row>
    <row r="938" spans="1:1" x14ac:dyDescent="0.25">
      <c r="A938" t="s">
        <v>2035</v>
      </c>
    </row>
    <row r="939" spans="1:1" x14ac:dyDescent="0.25">
      <c r="A939" t="s">
        <v>2036</v>
      </c>
    </row>
    <row r="940" spans="1:1" x14ac:dyDescent="0.25">
      <c r="A940" s="4">
        <v>46046</v>
      </c>
    </row>
    <row r="941" spans="1:1" x14ac:dyDescent="0.25">
      <c r="A941" t="s">
        <v>2037</v>
      </c>
    </row>
    <row r="942" spans="1:1" x14ac:dyDescent="0.25">
      <c r="A942" t="s">
        <v>2038</v>
      </c>
    </row>
    <row r="943" spans="1:1" x14ac:dyDescent="0.25">
      <c r="A943" t="s">
        <v>2039</v>
      </c>
    </row>
    <row r="944" spans="1:1" x14ac:dyDescent="0.25">
      <c r="A944" s="4">
        <v>46047</v>
      </c>
    </row>
    <row r="945" spans="1:1" x14ac:dyDescent="0.25">
      <c r="A945" t="s">
        <v>2040</v>
      </c>
    </row>
    <row r="946" spans="1:1" x14ac:dyDescent="0.25">
      <c r="A946" t="s">
        <v>2041</v>
      </c>
    </row>
    <row r="947" spans="1:1" x14ac:dyDescent="0.25">
      <c r="A947" t="s">
        <v>2042</v>
      </c>
    </row>
    <row r="948" spans="1:1" x14ac:dyDescent="0.25">
      <c r="A948" t="s">
        <v>2043</v>
      </c>
    </row>
    <row r="949" spans="1:1" x14ac:dyDescent="0.25">
      <c r="A949" t="s">
        <v>2044</v>
      </c>
    </row>
    <row r="950" spans="1:1" x14ac:dyDescent="0.25">
      <c r="A950" t="s">
        <v>2045</v>
      </c>
    </row>
    <row r="951" spans="1:1" x14ac:dyDescent="0.25">
      <c r="A951" t="s">
        <v>2046</v>
      </c>
    </row>
    <row r="952" spans="1:1" x14ac:dyDescent="0.25">
      <c r="A952" t="s">
        <v>2047</v>
      </c>
    </row>
    <row r="953" spans="1:1" x14ac:dyDescent="0.25">
      <c r="A953" s="4">
        <v>46049</v>
      </c>
    </row>
    <row r="954" spans="1:1" x14ac:dyDescent="0.25">
      <c r="A954" t="s">
        <v>2048</v>
      </c>
    </row>
    <row r="955" spans="1:1" x14ac:dyDescent="0.25">
      <c r="A955" t="s">
        <v>2049</v>
      </c>
    </row>
    <row r="958" spans="1:1" x14ac:dyDescent="0.25">
      <c r="A958" t="s">
        <v>2050</v>
      </c>
    </row>
    <row r="959" spans="1:1" x14ac:dyDescent="0.25">
      <c r="A959" t="s">
        <v>2051</v>
      </c>
    </row>
    <row r="960" spans="1:1" x14ac:dyDescent="0.25">
      <c r="A960" s="4">
        <v>46050</v>
      </c>
    </row>
    <row r="961" spans="1:1" x14ac:dyDescent="0.25">
      <c r="A961" t="s">
        <v>2052</v>
      </c>
    </row>
    <row r="962" spans="1:1" x14ac:dyDescent="0.25">
      <c r="A962" t="s">
        <v>2053</v>
      </c>
    </row>
    <row r="963" spans="1:1" x14ac:dyDescent="0.25">
      <c r="A963" s="4">
        <v>46050</v>
      </c>
    </row>
    <row r="964" spans="1:1" x14ac:dyDescent="0.25">
      <c r="A964" t="s">
        <v>2054</v>
      </c>
    </row>
    <row r="965" spans="1:1" x14ac:dyDescent="0.25">
      <c r="A965" t="s">
        <v>2055</v>
      </c>
    </row>
    <row r="966" spans="1:1" x14ac:dyDescent="0.25">
      <c r="A966" t="s">
        <v>2056</v>
      </c>
    </row>
    <row r="967" spans="1:1" x14ac:dyDescent="0.25">
      <c r="A967" t="s">
        <v>1317</v>
      </c>
    </row>
    <row r="968" spans="1:1" x14ac:dyDescent="0.25">
      <c r="A968" s="4">
        <v>46384</v>
      </c>
    </row>
    <row r="969" spans="1:1" x14ac:dyDescent="0.25">
      <c r="A969" t="s">
        <v>2057</v>
      </c>
    </row>
    <row r="970" spans="1:1" x14ac:dyDescent="0.25">
      <c r="A970" t="s">
        <v>2058</v>
      </c>
    </row>
    <row r="971" spans="1:1" x14ac:dyDescent="0.25">
      <c r="A971" s="4">
        <v>46081</v>
      </c>
    </row>
    <row r="972" spans="1:1" x14ac:dyDescent="0.25">
      <c r="A972" t="s">
        <v>2059</v>
      </c>
    </row>
    <row r="973" spans="1:1" x14ac:dyDescent="0.25">
      <c r="A973" t="s">
        <v>2060</v>
      </c>
    </row>
    <row r="974" spans="1:1" x14ac:dyDescent="0.25">
      <c r="A974" s="55">
        <v>43859</v>
      </c>
    </row>
    <row r="975" spans="1:1" x14ac:dyDescent="0.25">
      <c r="A975" t="s">
        <v>2061</v>
      </c>
    </row>
    <row r="976" spans="1:1" x14ac:dyDescent="0.25">
      <c r="A976" t="s">
        <v>1923</v>
      </c>
    </row>
    <row r="978" spans="1:1" x14ac:dyDescent="0.25">
      <c r="A978" t="s">
        <v>2062</v>
      </c>
    </row>
    <row r="979" spans="1:1" x14ac:dyDescent="0.25">
      <c r="A979" t="s">
        <v>2063</v>
      </c>
    </row>
    <row r="980" spans="1:1" x14ac:dyDescent="0.25">
      <c r="A980" s="4">
        <v>46051</v>
      </c>
    </row>
    <row r="981" spans="1:1" x14ac:dyDescent="0.25">
      <c r="A981" t="s">
        <v>2064</v>
      </c>
    </row>
    <row r="982" spans="1:1" x14ac:dyDescent="0.25">
      <c r="A982" t="s">
        <v>2065</v>
      </c>
    </row>
    <row r="983" spans="1:1" x14ac:dyDescent="0.25">
      <c r="A983" t="s">
        <v>2066</v>
      </c>
    </row>
    <row r="984" spans="1:1" x14ac:dyDescent="0.25">
      <c r="A984" t="s">
        <v>2067</v>
      </c>
    </row>
    <row r="985" spans="1:1" x14ac:dyDescent="0.25">
      <c r="A985" t="s">
        <v>2068</v>
      </c>
    </row>
    <row r="986" spans="1:1" x14ac:dyDescent="0.25">
      <c r="A986" t="s">
        <v>2069</v>
      </c>
    </row>
    <row r="987" spans="1:1" x14ac:dyDescent="0.25">
      <c r="A987" t="s">
        <v>2070</v>
      </c>
    </row>
    <row r="988" spans="1:1" x14ac:dyDescent="0.25">
      <c r="A988" s="4">
        <v>46052</v>
      </c>
    </row>
    <row r="989" spans="1:1" x14ac:dyDescent="0.25">
      <c r="A989" t="s">
        <v>2071</v>
      </c>
    </row>
    <row r="990" spans="1:1" x14ac:dyDescent="0.25">
      <c r="A990" t="s">
        <v>2072</v>
      </c>
    </row>
    <row r="991" spans="1:1" x14ac:dyDescent="0.25">
      <c r="A991" t="s">
        <v>2073</v>
      </c>
    </row>
    <row r="992" spans="1:1" x14ac:dyDescent="0.25">
      <c r="A992" t="s">
        <v>2074</v>
      </c>
    </row>
    <row r="993" spans="1:1" x14ac:dyDescent="0.25">
      <c r="A993" t="s">
        <v>2075</v>
      </c>
    </row>
    <row r="994" spans="1:1" x14ac:dyDescent="0.25">
      <c r="A994" t="s">
        <v>2076</v>
      </c>
    </row>
    <row r="995" spans="1:1" x14ac:dyDescent="0.25">
      <c r="A995" s="55">
        <v>43860</v>
      </c>
    </row>
    <row r="996" spans="1:1" x14ac:dyDescent="0.25">
      <c r="A996" t="s">
        <v>1966</v>
      </c>
    </row>
    <row r="997" spans="1:1" x14ac:dyDescent="0.25">
      <c r="A997" t="s">
        <v>1928</v>
      </c>
    </row>
    <row r="998" spans="1:1" x14ac:dyDescent="0.25">
      <c r="A998" t="s">
        <v>2077</v>
      </c>
    </row>
    <row r="1000" spans="1:1" x14ac:dyDescent="0.25">
      <c r="A1000" t="s">
        <v>2078</v>
      </c>
    </row>
    <row r="1001" spans="1:1" x14ac:dyDescent="0.25">
      <c r="A1001" t="s">
        <v>2079</v>
      </c>
    </row>
    <row r="1002" spans="1:1" x14ac:dyDescent="0.25">
      <c r="A1002" s="4">
        <v>46052</v>
      </c>
    </row>
    <row r="1003" spans="1:1" x14ac:dyDescent="0.25">
      <c r="A1003" t="s">
        <v>2080</v>
      </c>
    </row>
    <row r="1004" spans="1:1" x14ac:dyDescent="0.25">
      <c r="A1004" t="s">
        <v>2081</v>
      </c>
    </row>
    <row r="1005" spans="1:1" x14ac:dyDescent="0.25">
      <c r="A1005" t="s">
        <v>2082</v>
      </c>
    </row>
    <row r="1006" spans="1:1" x14ac:dyDescent="0.25">
      <c r="A1006" s="4">
        <v>46386</v>
      </c>
    </row>
    <row r="1007" spans="1:1" x14ac:dyDescent="0.25">
      <c r="A1007" t="s">
        <v>2083</v>
      </c>
    </row>
    <row r="1008" spans="1:1" x14ac:dyDescent="0.25">
      <c r="A1008" t="s">
        <v>2084</v>
      </c>
    </row>
    <row r="1009" spans="1:1" x14ac:dyDescent="0.25">
      <c r="A1009" s="4">
        <v>46386</v>
      </c>
    </row>
    <row r="1010" spans="1:1" x14ac:dyDescent="0.25">
      <c r="A1010" t="s">
        <v>2085</v>
      </c>
    </row>
    <row r="1011" spans="1:1" x14ac:dyDescent="0.25">
      <c r="A1011" t="s">
        <v>2086</v>
      </c>
    </row>
    <row r="1012" spans="1:1" x14ac:dyDescent="0.25">
      <c r="A1012" s="4">
        <v>46052</v>
      </c>
    </row>
    <row r="1013" spans="1:1" x14ac:dyDescent="0.25">
      <c r="A1013" t="s">
        <v>2087</v>
      </c>
    </row>
    <row r="1014" spans="1:1" x14ac:dyDescent="0.25">
      <c r="A1014" t="s">
        <v>2088</v>
      </c>
    </row>
    <row r="1015" spans="1:1" x14ac:dyDescent="0.25">
      <c r="A1015" t="s">
        <v>2089</v>
      </c>
    </row>
    <row r="1016" spans="1:1" x14ac:dyDescent="0.25">
      <c r="A1016" t="s">
        <v>2090</v>
      </c>
    </row>
    <row r="1017" spans="1:1" x14ac:dyDescent="0.25">
      <c r="A1017" t="s">
        <v>2091</v>
      </c>
    </row>
    <row r="1018" spans="1:1" x14ac:dyDescent="0.25">
      <c r="A1018" t="s">
        <v>2092</v>
      </c>
    </row>
    <row r="1019" spans="1:1" x14ac:dyDescent="0.25">
      <c r="A1019" t="s">
        <v>2093</v>
      </c>
    </row>
    <row r="1021" spans="1:1" x14ac:dyDescent="0.25">
      <c r="A1021" s="55">
        <v>43861</v>
      </c>
    </row>
    <row r="1022" spans="1:1" x14ac:dyDescent="0.25">
      <c r="A1022" t="s">
        <v>2094</v>
      </c>
    </row>
    <row r="1023" spans="1:1" x14ac:dyDescent="0.25">
      <c r="A1023" t="s">
        <v>2095</v>
      </c>
    </row>
    <row r="1024" spans="1:1" x14ac:dyDescent="0.25">
      <c r="A1024" t="s">
        <v>2096</v>
      </c>
    </row>
    <row r="1025" spans="1:1" x14ac:dyDescent="0.25">
      <c r="A1025" t="s">
        <v>2097</v>
      </c>
    </row>
    <row r="1026" spans="1:1" x14ac:dyDescent="0.25">
      <c r="A1026" s="55">
        <v>43861</v>
      </c>
    </row>
    <row r="1027" spans="1:1" x14ac:dyDescent="0.25">
      <c r="A1027" t="s">
        <v>2098</v>
      </c>
    </row>
    <row r="1028" spans="1:1" x14ac:dyDescent="0.25">
      <c r="A1028" t="s">
        <v>2099</v>
      </c>
    </row>
    <row r="1029" spans="1:1" x14ac:dyDescent="0.25">
      <c r="A1029" t="s">
        <v>2100</v>
      </c>
    </row>
    <row r="1030" spans="1:1" x14ac:dyDescent="0.25">
      <c r="A1030" t="s">
        <v>2101</v>
      </c>
    </row>
    <row r="1032" spans="1:1" x14ac:dyDescent="0.25">
      <c r="A1032" t="s">
        <v>2102</v>
      </c>
    </row>
    <row r="1033" spans="1:1" x14ac:dyDescent="0.25">
      <c r="A1033" s="55">
        <v>43861</v>
      </c>
    </row>
    <row r="1034" spans="1:1" x14ac:dyDescent="0.25">
      <c r="A1034" t="s">
        <v>2103</v>
      </c>
    </row>
    <row r="1035" spans="1:1" x14ac:dyDescent="0.25">
      <c r="A1035" s="4">
        <v>46053</v>
      </c>
    </row>
    <row r="1036" spans="1:1" x14ac:dyDescent="0.25">
      <c r="A1036" t="s">
        <v>2104</v>
      </c>
    </row>
    <row r="1037" spans="1:1" x14ac:dyDescent="0.25">
      <c r="A1037" t="s">
        <v>2105</v>
      </c>
    </row>
    <row r="1038" spans="1:1" x14ac:dyDescent="0.25">
      <c r="A1038" s="4">
        <v>46053</v>
      </c>
    </row>
    <row r="1039" spans="1:1" x14ac:dyDescent="0.25">
      <c r="A1039" t="s">
        <v>2106</v>
      </c>
    </row>
    <row r="1040" spans="1:1" x14ac:dyDescent="0.25">
      <c r="A1040" t="s">
        <v>2107</v>
      </c>
    </row>
    <row r="1041" spans="1:1" x14ac:dyDescent="0.25">
      <c r="A1041" t="s">
        <v>1900</v>
      </c>
    </row>
    <row r="1042" spans="1:1" x14ac:dyDescent="0.25">
      <c r="A1042" s="4">
        <v>46053</v>
      </c>
    </row>
    <row r="1043" spans="1:1" x14ac:dyDescent="0.25">
      <c r="A1043" t="s">
        <v>2108</v>
      </c>
    </row>
    <row r="1044" spans="1:1" x14ac:dyDescent="0.25">
      <c r="A1044" t="s">
        <v>2109</v>
      </c>
    </row>
    <row r="1046" spans="1:1" x14ac:dyDescent="0.25">
      <c r="A1046" s="4">
        <v>46053</v>
      </c>
    </row>
    <row r="1047" spans="1:1" x14ac:dyDescent="0.25">
      <c r="A1047" t="s">
        <v>2110</v>
      </c>
    </row>
    <row r="1048" spans="1:1" x14ac:dyDescent="0.25">
      <c r="A1048" t="s">
        <v>2111</v>
      </c>
    </row>
    <row r="1049" spans="1:1" x14ac:dyDescent="0.25">
      <c r="A1049" t="s">
        <v>2112</v>
      </c>
    </row>
    <row r="1051" spans="1:1" x14ac:dyDescent="0.25">
      <c r="A1051" s="4">
        <v>46053</v>
      </c>
    </row>
    <row r="1052" spans="1:1" x14ac:dyDescent="0.25">
      <c r="A1052" t="s">
        <v>2113</v>
      </c>
    </row>
    <row r="1053" spans="1:1" x14ac:dyDescent="0.25">
      <c r="A1053" t="s">
        <v>2114</v>
      </c>
    </row>
    <row r="1054" spans="1:1" x14ac:dyDescent="0.25">
      <c r="A1054" t="s">
        <v>2115</v>
      </c>
    </row>
    <row r="1056" spans="1:1" x14ac:dyDescent="0.25">
      <c r="A1056" s="4">
        <v>46053</v>
      </c>
    </row>
    <row r="1057" spans="1:1" x14ac:dyDescent="0.25">
      <c r="A1057" t="s">
        <v>2116</v>
      </c>
    </row>
    <row r="1058" spans="1:1" x14ac:dyDescent="0.25">
      <c r="A1058" t="s">
        <v>2117</v>
      </c>
    </row>
    <row r="1059" spans="1:1" x14ac:dyDescent="0.25">
      <c r="A1059" s="4">
        <v>46053</v>
      </c>
    </row>
    <row r="1060" spans="1:1" x14ac:dyDescent="0.25">
      <c r="A1060" t="s">
        <v>2118</v>
      </c>
    </row>
    <row r="1061" spans="1:1" x14ac:dyDescent="0.25">
      <c r="A1061" t="s">
        <v>2119</v>
      </c>
    </row>
    <row r="1062" spans="1:1" x14ac:dyDescent="0.25">
      <c r="A1062" s="4">
        <v>46053</v>
      </c>
    </row>
    <row r="1063" spans="1:1" x14ac:dyDescent="0.25">
      <c r="A1063" t="s">
        <v>2120</v>
      </c>
    </row>
    <row r="1064" spans="1:1" x14ac:dyDescent="0.25">
      <c r="A1064" t="s">
        <v>2119</v>
      </c>
    </row>
    <row r="1065" spans="1:1" x14ac:dyDescent="0.25">
      <c r="A1065" t="s">
        <v>2121</v>
      </c>
    </row>
    <row r="1066" spans="1:1" x14ac:dyDescent="0.25">
      <c r="A1066" t="s">
        <v>2122</v>
      </c>
    </row>
    <row r="1067" spans="1:1" x14ac:dyDescent="0.25">
      <c r="A1067" t="s">
        <v>2123</v>
      </c>
    </row>
    <row r="1069" spans="1:1" x14ac:dyDescent="0.25">
      <c r="A1069" t="s">
        <v>2124</v>
      </c>
    </row>
    <row r="1070" spans="1:1" x14ac:dyDescent="0.25">
      <c r="A1070" t="s">
        <v>2125</v>
      </c>
    </row>
    <row r="1071" spans="1:1" x14ac:dyDescent="0.25">
      <c r="A1071" t="s">
        <v>2126</v>
      </c>
    </row>
    <row r="1072" spans="1:1" x14ac:dyDescent="0.25">
      <c r="A1072" t="s">
        <v>1463</v>
      </c>
    </row>
    <row r="1073" spans="1:1" x14ac:dyDescent="0.25">
      <c r="A1073" t="s">
        <v>2127</v>
      </c>
    </row>
    <row r="1074" spans="1:1" x14ac:dyDescent="0.25">
      <c r="A1074" t="s">
        <v>2128</v>
      </c>
    </row>
    <row r="1075" spans="1:1" x14ac:dyDescent="0.25">
      <c r="A1075" t="s">
        <v>2129</v>
      </c>
    </row>
    <row r="1076" spans="1:1" x14ac:dyDescent="0.25">
      <c r="A1076" t="s">
        <v>2130</v>
      </c>
    </row>
    <row r="1077" spans="1:1" x14ac:dyDescent="0.25">
      <c r="A1077" t="s">
        <v>2131</v>
      </c>
    </row>
    <row r="1078" spans="1:1" x14ac:dyDescent="0.25">
      <c r="A1078" t="s">
        <v>2132</v>
      </c>
    </row>
    <row r="1079" spans="1:1" x14ac:dyDescent="0.25">
      <c r="A1079" t="s">
        <v>2133</v>
      </c>
    </row>
    <row r="1080" spans="1:1" x14ac:dyDescent="0.25">
      <c r="A1080" t="s">
        <v>2134</v>
      </c>
    </row>
    <row r="1081" spans="1:1" x14ac:dyDescent="0.25">
      <c r="A1081" t="s">
        <v>2135</v>
      </c>
    </row>
    <row r="1082" spans="1:1" x14ac:dyDescent="0.25">
      <c r="A1082" t="s">
        <v>2136</v>
      </c>
    </row>
    <row r="1083" spans="1:1" x14ac:dyDescent="0.25">
      <c r="A1083" t="s">
        <v>2137</v>
      </c>
    </row>
    <row r="1084" spans="1:1" x14ac:dyDescent="0.25">
      <c r="A1084" t="s">
        <v>2138</v>
      </c>
    </row>
    <row r="1085" spans="1:1" x14ac:dyDescent="0.25">
      <c r="A1085" t="s">
        <v>2139</v>
      </c>
    </row>
    <row r="1086" spans="1:1" x14ac:dyDescent="0.25">
      <c r="A1086" t="s">
        <v>2140</v>
      </c>
    </row>
    <row r="1088" spans="1:1" x14ac:dyDescent="0.25">
      <c r="A1088" t="s">
        <v>2141</v>
      </c>
    </row>
    <row r="1089" spans="1:1" x14ac:dyDescent="0.25">
      <c r="A1089" t="s">
        <v>2142</v>
      </c>
    </row>
    <row r="1090" spans="1:1" x14ac:dyDescent="0.25">
      <c r="A1090" t="s">
        <v>2143</v>
      </c>
    </row>
    <row r="1091" spans="1:1" x14ac:dyDescent="0.25">
      <c r="A1091" t="s">
        <v>2144</v>
      </c>
    </row>
    <row r="1092" spans="1:1" x14ac:dyDescent="0.25">
      <c r="A1092" t="s">
        <v>2145</v>
      </c>
    </row>
    <row r="1093" spans="1:1" x14ac:dyDescent="0.25">
      <c r="A1093" s="4">
        <v>46059</v>
      </c>
    </row>
    <row r="1094" spans="1:1" x14ac:dyDescent="0.25">
      <c r="A1094" t="s">
        <v>2146</v>
      </c>
    </row>
    <row r="1095" spans="1:1" x14ac:dyDescent="0.25">
      <c r="A1095" t="s">
        <v>2147</v>
      </c>
    </row>
    <row r="1096" spans="1:1" x14ac:dyDescent="0.25">
      <c r="A1096" t="s">
        <v>2148</v>
      </c>
    </row>
    <row r="1097" spans="1:1" x14ac:dyDescent="0.25">
      <c r="A1097">
        <v>65</v>
      </c>
    </row>
    <row r="1098" spans="1:1" x14ac:dyDescent="0.25">
      <c r="A1098" t="s">
        <v>2149</v>
      </c>
    </row>
    <row r="1099" spans="1:1" x14ac:dyDescent="0.25">
      <c r="A1099" t="s">
        <v>2150</v>
      </c>
    </row>
    <row r="1100" spans="1:1" x14ac:dyDescent="0.25">
      <c r="A1100" t="s">
        <v>2151</v>
      </c>
    </row>
    <row r="1101" spans="1:1" x14ac:dyDescent="0.25">
      <c r="A1101" t="s">
        <v>2152</v>
      </c>
    </row>
    <row r="1102" spans="1:1" x14ac:dyDescent="0.25">
      <c r="A1102" t="s">
        <v>2153</v>
      </c>
    </row>
    <row r="1103" spans="1:1" x14ac:dyDescent="0.25">
      <c r="A1103" t="s">
        <v>2154</v>
      </c>
    </row>
    <row r="1104" spans="1:1" x14ac:dyDescent="0.25">
      <c r="A1104" s="4">
        <v>46060</v>
      </c>
    </row>
    <row r="1105" spans="1:1" x14ac:dyDescent="0.25">
      <c r="A1105" t="s">
        <v>2155</v>
      </c>
    </row>
    <row r="1106" spans="1:1" x14ac:dyDescent="0.25">
      <c r="A1106" t="s">
        <v>2156</v>
      </c>
    </row>
    <row r="1107" spans="1:1" x14ac:dyDescent="0.25">
      <c r="A1107" t="s">
        <v>2157</v>
      </c>
    </row>
    <row r="1108" spans="1:1" x14ac:dyDescent="0.25">
      <c r="A1108" t="s">
        <v>2158</v>
      </c>
    </row>
    <row r="1109" spans="1:1" x14ac:dyDescent="0.25">
      <c r="A1109" t="s">
        <v>2159</v>
      </c>
    </row>
    <row r="1110" spans="1:1" x14ac:dyDescent="0.25">
      <c r="A1110" t="s">
        <v>2160</v>
      </c>
    </row>
    <row r="1111" spans="1:1" x14ac:dyDescent="0.25">
      <c r="A1111">
        <v>851945216432</v>
      </c>
    </row>
    <row r="1112" spans="1:1" x14ac:dyDescent="0.25">
      <c r="A1112" t="s">
        <v>2161</v>
      </c>
    </row>
    <row r="1114" spans="1:1" x14ac:dyDescent="0.25">
      <c r="A1114" t="s">
        <v>2162</v>
      </c>
    </row>
    <row r="1115" spans="1:1" x14ac:dyDescent="0.25">
      <c r="A1115" t="s">
        <v>2163</v>
      </c>
    </row>
    <row r="1116" spans="1:1" x14ac:dyDescent="0.25">
      <c r="A1116" t="s">
        <v>2164</v>
      </c>
    </row>
    <row r="1118" spans="1:1" x14ac:dyDescent="0.25">
      <c r="A1118" t="s">
        <v>1515</v>
      </c>
    </row>
    <row r="1119" spans="1:1" x14ac:dyDescent="0.25">
      <c r="A1119" t="s">
        <v>2165</v>
      </c>
    </row>
    <row r="1121" spans="1:5" x14ac:dyDescent="0.25">
      <c r="A1121" t="s">
        <v>2166</v>
      </c>
    </row>
    <row r="1122" spans="1:5" x14ac:dyDescent="0.25">
      <c r="A1122" t="s">
        <v>2167</v>
      </c>
    </row>
    <row r="1124" spans="1:5" x14ac:dyDescent="0.25">
      <c r="A1124" t="s">
        <v>1519</v>
      </c>
    </row>
    <row r="1125" spans="1:5" x14ac:dyDescent="0.25">
      <c r="A1125" t="s">
        <v>2168</v>
      </c>
    </row>
    <row r="1126" spans="1:5" x14ac:dyDescent="0.25">
      <c r="A1126" t="s">
        <v>2169</v>
      </c>
    </row>
    <row r="1127" spans="1:5" x14ac:dyDescent="0.25">
      <c r="A1127" t="s">
        <v>2170</v>
      </c>
    </row>
    <row r="1128" spans="1:5" x14ac:dyDescent="0.25">
      <c r="A1128" t="s">
        <v>1523</v>
      </c>
    </row>
    <row r="1129" spans="1:5" x14ac:dyDescent="0.25">
      <c r="A1129" t="s">
        <v>2171</v>
      </c>
      <c r="B1129">
        <v>2906.42</v>
      </c>
      <c r="C1129" s="55">
        <v>43799</v>
      </c>
      <c r="D1129">
        <v>5192</v>
      </c>
    </row>
    <row r="1130" spans="1:5" x14ac:dyDescent="0.25">
      <c r="A1130" t="s">
        <v>2172</v>
      </c>
      <c r="B1130">
        <v>206.33</v>
      </c>
      <c r="C1130" s="55">
        <v>43799</v>
      </c>
      <c r="D1130">
        <v>5</v>
      </c>
      <c r="E1130">
        <v>429</v>
      </c>
    </row>
    <row r="1132" spans="1:5" x14ac:dyDescent="0.25">
      <c r="A1132">
        <v>851953990015</v>
      </c>
    </row>
    <row r="1133" spans="1:5" x14ac:dyDescent="0.25">
      <c r="A1133" t="s">
        <v>2173</v>
      </c>
    </row>
    <row r="1134" spans="1:5" x14ac:dyDescent="0.25">
      <c r="A1134" t="s">
        <v>2174</v>
      </c>
    </row>
    <row r="1135" spans="1:5" x14ac:dyDescent="0.25">
      <c r="A1135" t="s">
        <v>2175</v>
      </c>
    </row>
    <row r="1136" spans="1:5" x14ac:dyDescent="0.25">
      <c r="A1136" t="s">
        <v>2176</v>
      </c>
    </row>
    <row r="1137" spans="1:1" x14ac:dyDescent="0.25">
      <c r="A1137">
        <v>851963781886</v>
      </c>
    </row>
    <row r="1138" spans="1:1" x14ac:dyDescent="0.25">
      <c r="A1138" t="s">
        <v>2177</v>
      </c>
    </row>
    <row r="1139" spans="1:1" x14ac:dyDescent="0.25">
      <c r="A1139" t="s">
        <v>2178</v>
      </c>
    </row>
    <row r="1140" spans="1:1" x14ac:dyDescent="0.25">
      <c r="A1140" t="s">
        <v>2179</v>
      </c>
    </row>
    <row r="1141" spans="1:1" x14ac:dyDescent="0.25">
      <c r="A1141" t="s">
        <v>2180</v>
      </c>
    </row>
    <row r="1142" spans="1:1" x14ac:dyDescent="0.25">
      <c r="A1142">
        <v>47117362</v>
      </c>
    </row>
    <row r="1143" spans="1:1" x14ac:dyDescent="0.25">
      <c r="A1143" t="s">
        <v>1330</v>
      </c>
    </row>
    <row r="1144" spans="1:1" x14ac:dyDescent="0.25">
      <c r="A1144" t="s">
        <v>2181</v>
      </c>
    </row>
    <row r="1145" spans="1:1" x14ac:dyDescent="0.25">
      <c r="A1145" t="s">
        <v>1984</v>
      </c>
    </row>
    <row r="1146" spans="1:1" x14ac:dyDescent="0.25">
      <c r="A1146" t="s">
        <v>2182</v>
      </c>
    </row>
    <row r="1147" spans="1:1" x14ac:dyDescent="0.25">
      <c r="A1147">
        <v>851971034613</v>
      </c>
    </row>
    <row r="1148" spans="1:1" x14ac:dyDescent="0.25">
      <c r="A1148" t="s">
        <v>2183</v>
      </c>
    </row>
    <row r="1150" spans="1:1" x14ac:dyDescent="0.25">
      <c r="A1150" t="s">
        <v>2184</v>
      </c>
    </row>
    <row r="1151" spans="1:1" x14ac:dyDescent="0.25">
      <c r="A1151" t="s">
        <v>2185</v>
      </c>
    </row>
    <row r="1152" spans="1:1" x14ac:dyDescent="0.25">
      <c r="A1152" t="s">
        <v>2186</v>
      </c>
    </row>
    <row r="1154" spans="1:3" x14ac:dyDescent="0.25">
      <c r="A1154" t="s">
        <v>1515</v>
      </c>
    </row>
    <row r="1155" spans="1:3" x14ac:dyDescent="0.25">
      <c r="A1155" t="s">
        <v>2187</v>
      </c>
    </row>
    <row r="1156" spans="1:3" x14ac:dyDescent="0.25">
      <c r="A1156" t="s">
        <v>2188</v>
      </c>
    </row>
    <row r="1157" spans="1:3" x14ac:dyDescent="0.25">
      <c r="A1157" t="s">
        <v>2189</v>
      </c>
    </row>
    <row r="1159" spans="1:3" x14ac:dyDescent="0.25">
      <c r="A1159" t="s">
        <v>1519</v>
      </c>
    </row>
    <row r="1160" spans="1:3" x14ac:dyDescent="0.25">
      <c r="A1160" t="s">
        <v>2190</v>
      </c>
    </row>
    <row r="1161" spans="1:3" x14ac:dyDescent="0.25">
      <c r="A1161" t="s">
        <v>2191</v>
      </c>
    </row>
    <row r="1162" spans="1:3" x14ac:dyDescent="0.25">
      <c r="A1162" t="s">
        <v>2192</v>
      </c>
    </row>
    <row r="1163" spans="1:3" x14ac:dyDescent="0.25">
      <c r="A1163" t="s">
        <v>1523</v>
      </c>
    </row>
    <row r="1165" spans="1:3" x14ac:dyDescent="0.25">
      <c r="A1165" t="s">
        <v>1505</v>
      </c>
      <c r="B1165" t="s">
        <v>1506</v>
      </c>
      <c r="C1165" t="s">
        <v>1507</v>
      </c>
    </row>
    <row r="1166" spans="1:3" x14ac:dyDescent="0.25">
      <c r="A1166" t="s">
        <v>1279</v>
      </c>
      <c r="B1166">
        <v>38.06</v>
      </c>
      <c r="C1166" s="55">
        <v>43156</v>
      </c>
    </row>
    <row r="1168" spans="1:3" x14ac:dyDescent="0.25">
      <c r="A1168" s="4">
        <v>46031</v>
      </c>
    </row>
    <row r="1169" spans="1:1" x14ac:dyDescent="0.25">
      <c r="A1169" t="s">
        <v>2193</v>
      </c>
    </row>
    <row r="1170" spans="1:1" x14ac:dyDescent="0.25">
      <c r="A1170" t="s">
        <v>2194</v>
      </c>
    </row>
    <row r="1171" spans="1:1" x14ac:dyDescent="0.25">
      <c r="A1171" t="s">
        <v>2195</v>
      </c>
    </row>
    <row r="1172" spans="1:1" x14ac:dyDescent="0.25">
      <c r="A1172">
        <v>910917485</v>
      </c>
    </row>
    <row r="1173" spans="1:1" x14ac:dyDescent="0.25">
      <c r="A1173" t="s">
        <v>2196</v>
      </c>
    </row>
    <row r="1174" spans="1:1" x14ac:dyDescent="0.25">
      <c r="A1174" t="s">
        <v>2197</v>
      </c>
    </row>
    <row r="1175" spans="1:1" x14ac:dyDescent="0.25">
      <c r="A1175" t="s">
        <v>2198</v>
      </c>
    </row>
    <row r="1176" spans="1:1" x14ac:dyDescent="0.25">
      <c r="A1176" t="s">
        <v>2199</v>
      </c>
    </row>
    <row r="1177" spans="1:1" x14ac:dyDescent="0.25">
      <c r="A1177" t="s">
        <v>2200</v>
      </c>
    </row>
    <row r="1178" spans="1:1" x14ac:dyDescent="0.25">
      <c r="A1178" t="s">
        <v>2201</v>
      </c>
    </row>
    <row r="1179" spans="1:1" x14ac:dyDescent="0.25">
      <c r="A1179" t="s">
        <v>2202</v>
      </c>
    </row>
    <row r="1180" spans="1:1" x14ac:dyDescent="0.25">
      <c r="A1180" t="s">
        <v>2203</v>
      </c>
    </row>
    <row r="1181" spans="1:1" x14ac:dyDescent="0.25">
      <c r="A1181" t="s">
        <v>2204</v>
      </c>
    </row>
    <row r="1183" spans="1:1" x14ac:dyDescent="0.25">
      <c r="A1183" t="s">
        <v>2205</v>
      </c>
    </row>
    <row r="1184" spans="1:1" x14ac:dyDescent="0.25">
      <c r="A1184" t="s">
        <v>2206</v>
      </c>
    </row>
    <row r="1186" spans="1:1" x14ac:dyDescent="0.25">
      <c r="A1186">
        <v>914455341</v>
      </c>
    </row>
    <row r="1187" spans="1:1" x14ac:dyDescent="0.25">
      <c r="A1187" t="s">
        <v>2207</v>
      </c>
    </row>
    <row r="1188" spans="1:1" x14ac:dyDescent="0.25">
      <c r="A1188" t="s">
        <v>2208</v>
      </c>
    </row>
    <row r="1189" spans="1:1" x14ac:dyDescent="0.25">
      <c r="A1189" t="s">
        <v>2209</v>
      </c>
    </row>
    <row r="1190" spans="1:1" x14ac:dyDescent="0.25">
      <c r="A1190" t="s">
        <v>2210</v>
      </c>
    </row>
    <row r="1191" spans="1:1" x14ac:dyDescent="0.25">
      <c r="A1191" t="s">
        <v>2211</v>
      </c>
    </row>
    <row r="1192" spans="1:1" x14ac:dyDescent="0.25">
      <c r="A1192" t="s">
        <v>2212</v>
      </c>
    </row>
    <row r="1193" spans="1:1" x14ac:dyDescent="0.25">
      <c r="A1193" t="s">
        <v>2213</v>
      </c>
    </row>
    <row r="1196" spans="1:1" x14ac:dyDescent="0.25">
      <c r="A1196" t="s">
        <v>2214</v>
      </c>
    </row>
    <row r="1197" spans="1:1" x14ac:dyDescent="0.25">
      <c r="A1197" t="s">
        <v>2215</v>
      </c>
    </row>
    <row r="1198" spans="1:1" x14ac:dyDescent="0.25">
      <c r="A1198" t="s">
        <v>2216</v>
      </c>
    </row>
    <row r="1199" spans="1:1" x14ac:dyDescent="0.25">
      <c r="A1199" t="s">
        <v>2217</v>
      </c>
    </row>
    <row r="1200" spans="1:1" x14ac:dyDescent="0.25">
      <c r="A1200" t="s">
        <v>2218</v>
      </c>
    </row>
    <row r="1201" spans="1:1" x14ac:dyDescent="0.25">
      <c r="A1201" t="s">
        <v>2219</v>
      </c>
    </row>
    <row r="1202" spans="1:1" x14ac:dyDescent="0.25">
      <c r="A1202" t="s">
        <v>2220</v>
      </c>
    </row>
    <row r="1203" spans="1:1" x14ac:dyDescent="0.25">
      <c r="A1203" t="s">
        <v>2221</v>
      </c>
    </row>
    <row r="1204" spans="1:1" x14ac:dyDescent="0.25">
      <c r="A1204" t="s">
        <v>2222</v>
      </c>
    </row>
    <row r="1205" spans="1:1" x14ac:dyDescent="0.25">
      <c r="A1205" t="s">
        <v>2223</v>
      </c>
    </row>
    <row r="1206" spans="1:1" x14ac:dyDescent="0.25">
      <c r="A1206" t="s">
        <v>2224</v>
      </c>
    </row>
    <row r="1207" spans="1:1" x14ac:dyDescent="0.25">
      <c r="A1207" t="s">
        <v>2225</v>
      </c>
    </row>
    <row r="1208" spans="1:1" x14ac:dyDescent="0.25">
      <c r="A1208" t="s">
        <v>2226</v>
      </c>
    </row>
    <row r="1209" spans="1:1" x14ac:dyDescent="0.25">
      <c r="A1209" t="s">
        <v>2227</v>
      </c>
    </row>
    <row r="1210" spans="1:1" x14ac:dyDescent="0.25">
      <c r="A1210" t="s">
        <v>2228</v>
      </c>
    </row>
    <row r="1211" spans="1:1" x14ac:dyDescent="0.25">
      <c r="A1211" t="s">
        <v>2229</v>
      </c>
    </row>
    <row r="1212" spans="1:1" x14ac:dyDescent="0.25">
      <c r="A1212" t="s">
        <v>2230</v>
      </c>
    </row>
    <row r="1213" spans="1:1" x14ac:dyDescent="0.25">
      <c r="A1213" t="s">
        <v>2231</v>
      </c>
    </row>
    <row r="1214" spans="1:1" x14ac:dyDescent="0.25">
      <c r="A1214" t="s">
        <v>2232</v>
      </c>
    </row>
    <row r="1215" spans="1:1" x14ac:dyDescent="0.25">
      <c r="A1215" t="s">
        <v>2233</v>
      </c>
    </row>
    <row r="1216" spans="1:1" x14ac:dyDescent="0.25">
      <c r="A1216" t="s">
        <v>2234</v>
      </c>
    </row>
    <row r="1217" spans="1:1" x14ac:dyDescent="0.25">
      <c r="A1217" t="s">
        <v>2235</v>
      </c>
    </row>
    <row r="1218" spans="1:1" x14ac:dyDescent="0.25">
      <c r="A1218" t="s">
        <v>2236</v>
      </c>
    </row>
    <row r="1219" spans="1:1" x14ac:dyDescent="0.25">
      <c r="A1219">
        <v>918983211</v>
      </c>
    </row>
    <row r="1222" spans="1:1" x14ac:dyDescent="0.25">
      <c r="A1222" t="s">
        <v>2237</v>
      </c>
    </row>
    <row r="1223" spans="1:1" x14ac:dyDescent="0.25">
      <c r="A1223" t="s">
        <v>2238</v>
      </c>
    </row>
    <row r="1224" spans="1:1" x14ac:dyDescent="0.25">
      <c r="A1224" t="s">
        <v>2239</v>
      </c>
    </row>
    <row r="1225" spans="1:1" x14ac:dyDescent="0.25">
      <c r="A1225" t="s">
        <v>2240</v>
      </c>
    </row>
    <row r="1226" spans="1:1" x14ac:dyDescent="0.25">
      <c r="A1226" t="s">
        <v>2241</v>
      </c>
    </row>
    <row r="1227" spans="1:1" x14ac:dyDescent="0.25">
      <c r="A1227" t="s">
        <v>2242</v>
      </c>
    </row>
    <row r="1228" spans="1:1" x14ac:dyDescent="0.25">
      <c r="A1228">
        <v>2035479</v>
      </c>
    </row>
    <row r="1229" spans="1:1" x14ac:dyDescent="0.25">
      <c r="A1229" t="s">
        <v>2243</v>
      </c>
    </row>
    <row r="1230" spans="1:1" x14ac:dyDescent="0.25">
      <c r="A1230" t="s">
        <v>2244</v>
      </c>
    </row>
    <row r="1231" spans="1:1" x14ac:dyDescent="0.25">
      <c r="A1231" t="s">
        <v>2245</v>
      </c>
    </row>
    <row r="1232" spans="1:1" x14ac:dyDescent="0.25">
      <c r="A1232" t="s">
        <v>2246</v>
      </c>
    </row>
    <row r="1233" spans="1:1" x14ac:dyDescent="0.25">
      <c r="A1233">
        <v>919062002</v>
      </c>
    </row>
    <row r="1234" spans="1:1" x14ac:dyDescent="0.25">
      <c r="A1234" t="s">
        <v>2247</v>
      </c>
    </row>
    <row r="1235" spans="1:1" x14ac:dyDescent="0.25">
      <c r="A1235" t="s">
        <v>2248</v>
      </c>
    </row>
    <row r="1236" spans="1:1" x14ac:dyDescent="0.25">
      <c r="A1236" t="s">
        <v>2249</v>
      </c>
    </row>
    <row r="1237" spans="1:1" x14ac:dyDescent="0.25">
      <c r="A1237" t="s">
        <v>2250</v>
      </c>
    </row>
    <row r="1238" spans="1:1" x14ac:dyDescent="0.25">
      <c r="A1238" t="s">
        <v>2251</v>
      </c>
    </row>
    <row r="1239" spans="1:1" x14ac:dyDescent="0.25">
      <c r="A1239" t="s">
        <v>2252</v>
      </c>
    </row>
    <row r="1240" spans="1:1" x14ac:dyDescent="0.25">
      <c r="A1240" t="s">
        <v>2253</v>
      </c>
    </row>
    <row r="1241" spans="1:1" x14ac:dyDescent="0.25">
      <c r="A1241" t="s">
        <v>2254</v>
      </c>
    </row>
    <row r="1242" spans="1:1" x14ac:dyDescent="0.25">
      <c r="A1242">
        <v>920397528</v>
      </c>
    </row>
    <row r="1243" spans="1:1" x14ac:dyDescent="0.25">
      <c r="A1243" t="s">
        <v>2255</v>
      </c>
    </row>
    <row r="1244" spans="1:1" x14ac:dyDescent="0.25">
      <c r="A1244" t="s">
        <v>2256</v>
      </c>
    </row>
    <row r="1245" spans="1:1" x14ac:dyDescent="0.25">
      <c r="A1245" t="s">
        <v>2257</v>
      </c>
    </row>
    <row r="1246" spans="1:1" x14ac:dyDescent="0.25">
      <c r="A1246" t="s">
        <v>2258</v>
      </c>
    </row>
    <row r="1247" spans="1:1" x14ac:dyDescent="0.25">
      <c r="A1247" t="s">
        <v>2259</v>
      </c>
    </row>
    <row r="1248" spans="1:1" x14ac:dyDescent="0.25">
      <c r="A1248" t="s">
        <v>2260</v>
      </c>
    </row>
    <row r="1249" spans="1:1" x14ac:dyDescent="0.25">
      <c r="A1249" t="s">
        <v>2261</v>
      </c>
    </row>
    <row r="1250" spans="1:1" x14ac:dyDescent="0.25">
      <c r="A1250" t="s">
        <v>2262</v>
      </c>
    </row>
    <row r="1251" spans="1:1" x14ac:dyDescent="0.25">
      <c r="A1251" t="s">
        <v>2263</v>
      </c>
    </row>
    <row r="1252" spans="1:1" x14ac:dyDescent="0.25">
      <c r="A1252" t="s">
        <v>2264</v>
      </c>
    </row>
    <row r="1253" spans="1:1" x14ac:dyDescent="0.25">
      <c r="A1253">
        <v>920397528</v>
      </c>
    </row>
    <row r="1254" spans="1:1" x14ac:dyDescent="0.25">
      <c r="A1254" t="s">
        <v>2255</v>
      </c>
    </row>
    <row r="1255" spans="1:1" x14ac:dyDescent="0.25">
      <c r="A1255" t="s">
        <v>2256</v>
      </c>
    </row>
    <row r="1256" spans="1:1" x14ac:dyDescent="0.25">
      <c r="A1256" t="s">
        <v>2257</v>
      </c>
    </row>
    <row r="1257" spans="1:1" x14ac:dyDescent="0.25">
      <c r="A1257" t="s">
        <v>2258</v>
      </c>
    </row>
    <row r="1258" spans="1:1" x14ac:dyDescent="0.25">
      <c r="A1258" t="s">
        <v>2259</v>
      </c>
    </row>
    <row r="1259" spans="1:1" x14ac:dyDescent="0.25">
      <c r="A1259" t="s">
        <v>2260</v>
      </c>
    </row>
    <row r="1260" spans="1:1" x14ac:dyDescent="0.25">
      <c r="A1260" t="s">
        <v>2261</v>
      </c>
    </row>
    <row r="1261" spans="1:1" x14ac:dyDescent="0.25">
      <c r="A1261" t="s">
        <v>2262</v>
      </c>
    </row>
    <row r="1262" spans="1:1" x14ac:dyDescent="0.25">
      <c r="A1262" t="s">
        <v>2263</v>
      </c>
    </row>
    <row r="1263" spans="1:1" x14ac:dyDescent="0.25">
      <c r="A1263" t="s">
        <v>2265</v>
      </c>
    </row>
    <row r="1264" spans="1:1" x14ac:dyDescent="0.25">
      <c r="A1264" t="s">
        <v>2266</v>
      </c>
    </row>
    <row r="1265" spans="1:1" x14ac:dyDescent="0.25">
      <c r="A1265" t="s">
        <v>1317</v>
      </c>
    </row>
    <row r="1266" spans="1:1" x14ac:dyDescent="0.25">
      <c r="A1266" t="s">
        <v>2267</v>
      </c>
    </row>
    <row r="1267" spans="1:1" x14ac:dyDescent="0.25">
      <c r="A1267" t="s">
        <v>2268</v>
      </c>
    </row>
    <row r="1268" spans="1:1" x14ac:dyDescent="0.25">
      <c r="A1268" t="s">
        <v>2269</v>
      </c>
    </row>
    <row r="1269" spans="1:1" x14ac:dyDescent="0.25">
      <c r="A1269" t="s">
        <v>2270</v>
      </c>
    </row>
    <row r="1270" spans="1:1" x14ac:dyDescent="0.25">
      <c r="A1270" t="s">
        <v>2271</v>
      </c>
    </row>
    <row r="1271" spans="1:1" x14ac:dyDescent="0.25">
      <c r="A1271" t="s">
        <v>2272</v>
      </c>
    </row>
    <row r="1272" spans="1:1" x14ac:dyDescent="0.25">
      <c r="A1272" t="s">
        <v>2273</v>
      </c>
    </row>
    <row r="1273" spans="1:1" x14ac:dyDescent="0.25">
      <c r="A1273" t="s">
        <v>2274</v>
      </c>
    </row>
    <row r="1274" spans="1:1" x14ac:dyDescent="0.25">
      <c r="A1274" t="s">
        <v>2275</v>
      </c>
    </row>
    <row r="1275" spans="1:1" x14ac:dyDescent="0.25">
      <c r="A1275" t="s">
        <v>2276</v>
      </c>
    </row>
    <row r="1276" spans="1:1" x14ac:dyDescent="0.25">
      <c r="A1276" t="s">
        <v>2277</v>
      </c>
    </row>
    <row r="1277" spans="1:1" x14ac:dyDescent="0.25">
      <c r="A1277" t="s">
        <v>2278</v>
      </c>
    </row>
    <row r="1278" spans="1:1" x14ac:dyDescent="0.25">
      <c r="A1278" t="s">
        <v>2279</v>
      </c>
    </row>
    <row r="1279" spans="1:1" x14ac:dyDescent="0.25">
      <c r="A1279" t="s">
        <v>2280</v>
      </c>
    </row>
    <row r="1280" spans="1:1" x14ac:dyDescent="0.25">
      <c r="A1280">
        <v>923047278</v>
      </c>
    </row>
    <row r="1281" spans="1:1" x14ac:dyDescent="0.25">
      <c r="A1281" t="s">
        <v>2281</v>
      </c>
    </row>
    <row r="1282" spans="1:1" x14ac:dyDescent="0.25">
      <c r="A1282" t="s">
        <v>2282</v>
      </c>
    </row>
    <row r="1283" spans="1:1" x14ac:dyDescent="0.25">
      <c r="A1283" t="s">
        <v>2283</v>
      </c>
    </row>
    <row r="1284" spans="1:1" x14ac:dyDescent="0.25">
      <c r="A1284" t="s">
        <v>2284</v>
      </c>
    </row>
    <row r="1285" spans="1:1" x14ac:dyDescent="0.25">
      <c r="A1285" t="s">
        <v>2285</v>
      </c>
    </row>
    <row r="1286" spans="1:1" x14ac:dyDescent="0.25">
      <c r="A1286" t="s">
        <v>2286</v>
      </c>
    </row>
    <row r="1287" spans="1:1" x14ac:dyDescent="0.25">
      <c r="A1287" t="s">
        <v>2287</v>
      </c>
    </row>
    <row r="1289" spans="1:1" x14ac:dyDescent="0.25">
      <c r="A1289" t="s">
        <v>2288</v>
      </c>
    </row>
    <row r="1290" spans="1:1" x14ac:dyDescent="0.25">
      <c r="A1290" t="s">
        <v>2289</v>
      </c>
    </row>
    <row r="1291" spans="1:1" x14ac:dyDescent="0.25">
      <c r="A1291" t="s">
        <v>2290</v>
      </c>
    </row>
    <row r="1292" spans="1:1" x14ac:dyDescent="0.25">
      <c r="A1292" t="s">
        <v>2291</v>
      </c>
    </row>
    <row r="1293" spans="1:1" x14ac:dyDescent="0.25">
      <c r="A1293" t="s">
        <v>2292</v>
      </c>
    </row>
    <row r="1294" spans="1:1" x14ac:dyDescent="0.25">
      <c r="A1294" t="s">
        <v>2293</v>
      </c>
    </row>
    <row r="1295" spans="1:1" x14ac:dyDescent="0.25">
      <c r="A1295" t="s">
        <v>2294</v>
      </c>
    </row>
    <row r="1296" spans="1:1" x14ac:dyDescent="0.25">
      <c r="A1296" t="s">
        <v>2295</v>
      </c>
    </row>
    <row r="1297" spans="1:1" x14ac:dyDescent="0.25">
      <c r="A1297" t="s">
        <v>2296</v>
      </c>
    </row>
    <row r="1298" spans="1:1" x14ac:dyDescent="0.25">
      <c r="A1298" t="s">
        <v>2297</v>
      </c>
    </row>
    <row r="1299" spans="1:1" x14ac:dyDescent="0.25">
      <c r="A1299">
        <v>923761750</v>
      </c>
    </row>
    <row r="1300" spans="1:1" x14ac:dyDescent="0.25">
      <c r="A1300" t="s">
        <v>2298</v>
      </c>
    </row>
    <row r="1301" spans="1:1" x14ac:dyDescent="0.25">
      <c r="A1301">
        <v>925010365</v>
      </c>
    </row>
    <row r="1302" spans="1:1" x14ac:dyDescent="0.25">
      <c r="A1302" t="s">
        <v>2299</v>
      </c>
    </row>
    <row r="1303" spans="1:1" x14ac:dyDescent="0.25">
      <c r="A1303" t="s">
        <v>2300</v>
      </c>
    </row>
    <row r="1304" spans="1:1" x14ac:dyDescent="0.25">
      <c r="A1304">
        <v>925225672</v>
      </c>
    </row>
    <row r="1305" spans="1:1" x14ac:dyDescent="0.25">
      <c r="A1305" t="s">
        <v>2301</v>
      </c>
    </row>
    <row r="1306" spans="1:1" x14ac:dyDescent="0.25">
      <c r="A1306" t="s">
        <v>2302</v>
      </c>
    </row>
    <row r="1307" spans="1:1" x14ac:dyDescent="0.25">
      <c r="A1307" t="s">
        <v>2303</v>
      </c>
    </row>
    <row r="1308" spans="1:1" x14ac:dyDescent="0.25">
      <c r="A1308" t="s">
        <v>2304</v>
      </c>
    </row>
    <row r="1309" spans="1:1" x14ac:dyDescent="0.25">
      <c r="A1309" t="s">
        <v>2305</v>
      </c>
    </row>
    <row r="1310" spans="1:1" x14ac:dyDescent="0.25">
      <c r="A1310" t="s">
        <v>2306</v>
      </c>
    </row>
    <row r="1311" spans="1:1" x14ac:dyDescent="0.25">
      <c r="A1311" t="s">
        <v>2307</v>
      </c>
    </row>
    <row r="1312" spans="1:1" x14ac:dyDescent="0.25">
      <c r="A1312" t="s">
        <v>2308</v>
      </c>
    </row>
    <row r="1313" spans="1:1" x14ac:dyDescent="0.25">
      <c r="A1313" t="s">
        <v>2309</v>
      </c>
    </row>
    <row r="1314" spans="1:1" x14ac:dyDescent="0.25">
      <c r="A1314">
        <v>925381499</v>
      </c>
    </row>
    <row r="1315" spans="1:1" x14ac:dyDescent="0.25">
      <c r="A1315">
        <v>72017108</v>
      </c>
    </row>
    <row r="1316" spans="1:1" x14ac:dyDescent="0.25">
      <c r="A1316">
        <v>72017108</v>
      </c>
    </row>
    <row r="1317" spans="1:1" x14ac:dyDescent="0.25">
      <c r="A1317" t="s">
        <v>2310</v>
      </c>
    </row>
    <row r="1319" spans="1:1" x14ac:dyDescent="0.25">
      <c r="A1319" t="s">
        <v>1458</v>
      </c>
    </row>
    <row r="1320" spans="1:1" x14ac:dyDescent="0.25">
      <c r="A1320" t="s">
        <v>2311</v>
      </c>
    </row>
    <row r="1321" spans="1:1" x14ac:dyDescent="0.25">
      <c r="A1321" t="s">
        <v>2312</v>
      </c>
    </row>
    <row r="1322" spans="1:1" x14ac:dyDescent="0.25">
      <c r="A1322" t="s">
        <v>2313</v>
      </c>
    </row>
    <row r="1323" spans="1:1" x14ac:dyDescent="0.25">
      <c r="A1323" t="s">
        <v>2314</v>
      </c>
    </row>
    <row r="1324" spans="1:1" x14ac:dyDescent="0.25">
      <c r="A1324" t="s">
        <v>2315</v>
      </c>
    </row>
    <row r="1325" spans="1:1" x14ac:dyDescent="0.25">
      <c r="A1325" t="s">
        <v>2316</v>
      </c>
    </row>
    <row r="1326" spans="1:1" x14ac:dyDescent="0.25">
      <c r="A1326" t="s">
        <v>2317</v>
      </c>
    </row>
    <row r="1327" spans="1:1" x14ac:dyDescent="0.25">
      <c r="A1327">
        <v>926031956</v>
      </c>
    </row>
    <row r="1328" spans="1:1" x14ac:dyDescent="0.25">
      <c r="A1328">
        <v>29694941</v>
      </c>
    </row>
    <row r="1329" spans="1:1" x14ac:dyDescent="0.25">
      <c r="A1329" t="s">
        <v>2318</v>
      </c>
    </row>
    <row r="1330" spans="1:1" x14ac:dyDescent="0.25">
      <c r="A1330" t="s">
        <v>2319</v>
      </c>
    </row>
    <row r="1331" spans="1:1" x14ac:dyDescent="0.25">
      <c r="A1331" t="s">
        <v>2320</v>
      </c>
    </row>
    <row r="1332" spans="1:1" x14ac:dyDescent="0.25">
      <c r="A1332" t="s">
        <v>2321</v>
      </c>
    </row>
    <row r="1333" spans="1:1" x14ac:dyDescent="0.25">
      <c r="A1333" t="s">
        <v>2322</v>
      </c>
    </row>
    <row r="1334" spans="1:1" x14ac:dyDescent="0.25">
      <c r="A1334" t="s">
        <v>2323</v>
      </c>
    </row>
    <row r="1335" spans="1:1" x14ac:dyDescent="0.25">
      <c r="A1335" t="s">
        <v>2324</v>
      </c>
    </row>
    <row r="1336" spans="1:1" x14ac:dyDescent="0.25">
      <c r="A1336" t="s">
        <v>2325</v>
      </c>
    </row>
    <row r="1337" spans="1:1" x14ac:dyDescent="0.25">
      <c r="A1337" t="s">
        <v>2326</v>
      </c>
    </row>
    <row r="1338" spans="1:1" x14ac:dyDescent="0.25">
      <c r="A1338">
        <v>926925481</v>
      </c>
    </row>
    <row r="1339" spans="1:1" x14ac:dyDescent="0.25">
      <c r="A1339" t="s">
        <v>2327</v>
      </c>
    </row>
    <row r="1340" spans="1:1" x14ac:dyDescent="0.25">
      <c r="A1340" t="s">
        <v>2328</v>
      </c>
    </row>
    <row r="1341" spans="1:1" x14ac:dyDescent="0.25">
      <c r="A1341" t="s">
        <v>2329</v>
      </c>
    </row>
    <row r="1342" spans="1:1" x14ac:dyDescent="0.25">
      <c r="A1342" t="s">
        <v>2330</v>
      </c>
    </row>
    <row r="1343" spans="1:1" x14ac:dyDescent="0.25">
      <c r="A1343" t="s">
        <v>2331</v>
      </c>
    </row>
    <row r="1344" spans="1:1" x14ac:dyDescent="0.25">
      <c r="A1344" t="s">
        <v>2332</v>
      </c>
    </row>
    <row r="1345" spans="1:1" x14ac:dyDescent="0.25">
      <c r="A1345" t="s">
        <v>2333</v>
      </c>
    </row>
    <row r="1346" spans="1:1" x14ac:dyDescent="0.25">
      <c r="A1346" t="s">
        <v>2334</v>
      </c>
    </row>
    <row r="1347" spans="1:1" x14ac:dyDescent="0.25">
      <c r="A1347" t="s">
        <v>2335</v>
      </c>
    </row>
    <row r="1348" spans="1:1" x14ac:dyDescent="0.25">
      <c r="A1348" t="s">
        <v>2336</v>
      </c>
    </row>
    <row r="1349" spans="1:1" x14ac:dyDescent="0.25">
      <c r="A1349" t="s">
        <v>2337</v>
      </c>
    </row>
    <row r="1350" spans="1:1" x14ac:dyDescent="0.25">
      <c r="A1350" t="s">
        <v>2338</v>
      </c>
    </row>
    <row r="1351" spans="1:1" x14ac:dyDescent="0.25">
      <c r="A1351" t="s">
        <v>2339</v>
      </c>
    </row>
    <row r="1352" spans="1:1" x14ac:dyDescent="0.25">
      <c r="A1352" t="s">
        <v>2340</v>
      </c>
    </row>
    <row r="1353" spans="1:1" x14ac:dyDescent="0.25">
      <c r="A1353">
        <v>927749828</v>
      </c>
    </row>
    <row r="1354" spans="1:1" x14ac:dyDescent="0.25">
      <c r="A1354" t="s">
        <v>2237</v>
      </c>
    </row>
    <row r="1355" spans="1:1" x14ac:dyDescent="0.25">
      <c r="A1355" t="s">
        <v>2341</v>
      </c>
    </row>
    <row r="1356" spans="1:1" x14ac:dyDescent="0.25">
      <c r="A1356" t="s">
        <v>2342</v>
      </c>
    </row>
    <row r="1357" spans="1:1" x14ac:dyDescent="0.25">
      <c r="A1357" t="s">
        <v>2343</v>
      </c>
    </row>
    <row r="1358" spans="1:1" x14ac:dyDescent="0.25">
      <c r="A1358" t="s">
        <v>2344</v>
      </c>
    </row>
    <row r="1359" spans="1:1" x14ac:dyDescent="0.25">
      <c r="A1359" t="s">
        <v>2345</v>
      </c>
    </row>
    <row r="1360" spans="1:1" x14ac:dyDescent="0.25">
      <c r="A1360" t="s">
        <v>2346</v>
      </c>
    </row>
    <row r="1361" spans="1:1" x14ac:dyDescent="0.25">
      <c r="A1361" t="s">
        <v>2347</v>
      </c>
    </row>
    <row r="1362" spans="1:1" x14ac:dyDescent="0.25">
      <c r="A1362" t="s">
        <v>2348</v>
      </c>
    </row>
    <row r="1363" spans="1:1" x14ac:dyDescent="0.25">
      <c r="A1363" t="s">
        <v>2349</v>
      </c>
    </row>
    <row r="1364" spans="1:1" x14ac:dyDescent="0.25">
      <c r="A1364" t="s">
        <v>2350</v>
      </c>
    </row>
    <row r="1365" spans="1:1" x14ac:dyDescent="0.25">
      <c r="A1365" t="s">
        <v>2351</v>
      </c>
    </row>
    <row r="1366" spans="1:1" x14ac:dyDescent="0.25">
      <c r="A1366" t="s">
        <v>2352</v>
      </c>
    </row>
    <row r="1367" spans="1:1" x14ac:dyDescent="0.25">
      <c r="A1367" t="s">
        <v>2353</v>
      </c>
    </row>
    <row r="1368" spans="1:1" x14ac:dyDescent="0.25">
      <c r="A1368" t="s">
        <v>2354</v>
      </c>
    </row>
    <row r="1369" spans="1:1" x14ac:dyDescent="0.25">
      <c r="A1369" t="s">
        <v>2355</v>
      </c>
    </row>
    <row r="1370" spans="1:1" x14ac:dyDescent="0.25">
      <c r="A1370" t="s">
        <v>2356</v>
      </c>
    </row>
    <row r="1371" spans="1:1" x14ac:dyDescent="0.25">
      <c r="A1371" t="s">
        <v>2357</v>
      </c>
    </row>
    <row r="1372" spans="1:1" x14ac:dyDescent="0.25">
      <c r="A1372" t="s">
        <v>2358</v>
      </c>
    </row>
    <row r="1373" spans="1:1" x14ac:dyDescent="0.25">
      <c r="A1373" t="s">
        <v>2359</v>
      </c>
    </row>
    <row r="1374" spans="1:1" x14ac:dyDescent="0.25">
      <c r="A1374" t="s">
        <v>2360</v>
      </c>
    </row>
    <row r="1375" spans="1:1" x14ac:dyDescent="0.25">
      <c r="A1375" t="s">
        <v>2361</v>
      </c>
    </row>
    <row r="1376" spans="1:1" x14ac:dyDescent="0.25">
      <c r="A1376" t="s">
        <v>2362</v>
      </c>
    </row>
    <row r="1377" spans="1:1" x14ac:dyDescent="0.25">
      <c r="A1377" t="s">
        <v>2363</v>
      </c>
    </row>
    <row r="1378" spans="1:1" x14ac:dyDescent="0.25">
      <c r="A1378" t="s">
        <v>2364</v>
      </c>
    </row>
    <row r="1379" spans="1:1" x14ac:dyDescent="0.25">
      <c r="A1379" t="s">
        <v>2365</v>
      </c>
    </row>
    <row r="1380" spans="1:1" x14ac:dyDescent="0.25">
      <c r="A1380" t="s">
        <v>2366</v>
      </c>
    </row>
    <row r="1381" spans="1:1" x14ac:dyDescent="0.25">
      <c r="A1381" t="s">
        <v>2367</v>
      </c>
    </row>
    <row r="1382" spans="1:1" x14ac:dyDescent="0.25">
      <c r="A1382" t="s">
        <v>2368</v>
      </c>
    </row>
    <row r="1383" spans="1:1" x14ac:dyDescent="0.25">
      <c r="A1383" t="s">
        <v>2369</v>
      </c>
    </row>
    <row r="1384" spans="1:1" x14ac:dyDescent="0.25">
      <c r="A1384" t="s">
        <v>2370</v>
      </c>
    </row>
    <row r="1385" spans="1:1" x14ac:dyDescent="0.25">
      <c r="A1385" t="s">
        <v>2371</v>
      </c>
    </row>
    <row r="1386" spans="1:1" x14ac:dyDescent="0.25">
      <c r="A1386" t="s">
        <v>2372</v>
      </c>
    </row>
    <row r="1387" spans="1:1" x14ac:dyDescent="0.25">
      <c r="A1387" t="s">
        <v>2373</v>
      </c>
    </row>
    <row r="1388" spans="1:1" x14ac:dyDescent="0.25">
      <c r="A1388" t="s">
        <v>2374</v>
      </c>
    </row>
    <row r="1389" spans="1:1" x14ac:dyDescent="0.25">
      <c r="A1389" t="s">
        <v>2375</v>
      </c>
    </row>
    <row r="1390" spans="1:1" x14ac:dyDescent="0.25">
      <c r="A1390" t="s">
        <v>2376</v>
      </c>
    </row>
    <row r="1391" spans="1:1" x14ac:dyDescent="0.25">
      <c r="A1391">
        <v>934518345</v>
      </c>
    </row>
    <row r="1392" spans="1:1" x14ac:dyDescent="0.25">
      <c r="A1392" t="s">
        <v>2377</v>
      </c>
    </row>
    <row r="1393" spans="1:1" x14ac:dyDescent="0.25">
      <c r="A1393">
        <v>934518345</v>
      </c>
    </row>
    <row r="1394" spans="1:1" x14ac:dyDescent="0.25">
      <c r="A1394" t="s">
        <v>2378</v>
      </c>
    </row>
    <row r="1395" spans="1:1" x14ac:dyDescent="0.25">
      <c r="A1395" t="s">
        <v>2379</v>
      </c>
    </row>
    <row r="1396" spans="1:1" x14ac:dyDescent="0.25">
      <c r="A1396">
        <v>935441213</v>
      </c>
    </row>
    <row r="1397" spans="1:1" x14ac:dyDescent="0.25">
      <c r="A1397" t="s">
        <v>2380</v>
      </c>
    </row>
    <row r="1399" spans="1:1" x14ac:dyDescent="0.25">
      <c r="A1399" t="s">
        <v>2381</v>
      </c>
    </row>
    <row r="1400" spans="1:1" x14ac:dyDescent="0.25">
      <c r="A1400" t="s">
        <v>2382</v>
      </c>
    </row>
    <row r="1401" spans="1:1" x14ac:dyDescent="0.25">
      <c r="A1401" t="s">
        <v>2283</v>
      </c>
    </row>
    <row r="1403" spans="1:1" x14ac:dyDescent="0.25">
      <c r="A1403" t="s">
        <v>1515</v>
      </c>
    </row>
    <row r="1404" spans="1:1" x14ac:dyDescent="0.25">
      <c r="A1404" t="s">
        <v>2383</v>
      </c>
    </row>
    <row r="1406" spans="1:1" x14ac:dyDescent="0.25">
      <c r="A1406" t="s">
        <v>2384</v>
      </c>
    </row>
    <row r="1407" spans="1:1" x14ac:dyDescent="0.25">
      <c r="A1407">
        <v>42028212</v>
      </c>
    </row>
    <row r="1408" spans="1:1" x14ac:dyDescent="0.25">
      <c r="A1408" t="s">
        <v>2385</v>
      </c>
    </row>
    <row r="1409" spans="1:3" x14ac:dyDescent="0.25">
      <c r="A1409" t="s">
        <v>2386</v>
      </c>
    </row>
    <row r="1410" spans="1:3" x14ac:dyDescent="0.25">
      <c r="A1410" t="s">
        <v>1521</v>
      </c>
    </row>
    <row r="1411" spans="1:3" x14ac:dyDescent="0.25">
      <c r="A1411" t="s">
        <v>2387</v>
      </c>
    </row>
    <row r="1412" spans="1:3" x14ac:dyDescent="0.25">
      <c r="A1412" t="s">
        <v>1523</v>
      </c>
    </row>
    <row r="1413" spans="1:3" x14ac:dyDescent="0.25">
      <c r="A1413" t="s">
        <v>2388</v>
      </c>
      <c r="B1413">
        <v>0</v>
      </c>
      <c r="C1413" s="55">
        <v>43769</v>
      </c>
    </row>
    <row r="1414" spans="1:3" x14ac:dyDescent="0.25">
      <c r="A1414" t="s">
        <v>2389</v>
      </c>
      <c r="B1414">
        <v>408.42</v>
      </c>
    </row>
    <row r="1415" spans="1:3" x14ac:dyDescent="0.25">
      <c r="A1415" t="s">
        <v>2390</v>
      </c>
      <c r="B1415">
        <v>382.27</v>
      </c>
    </row>
    <row r="1416" spans="1:3" x14ac:dyDescent="0.25">
      <c r="A1416" t="s">
        <v>2391</v>
      </c>
    </row>
    <row r="1417" spans="1:3" x14ac:dyDescent="0.25">
      <c r="A1417" t="s">
        <v>2392</v>
      </c>
    </row>
    <row r="1418" spans="1:3" x14ac:dyDescent="0.25">
      <c r="A1418" t="s">
        <v>2393</v>
      </c>
    </row>
    <row r="1419" spans="1:3" x14ac:dyDescent="0.25">
      <c r="A1419" t="s">
        <v>2394</v>
      </c>
    </row>
    <row r="1420" spans="1:3" x14ac:dyDescent="0.25">
      <c r="A1420" t="s">
        <v>2395</v>
      </c>
    </row>
    <row r="1421" spans="1:3" x14ac:dyDescent="0.25">
      <c r="A1421" t="s">
        <v>2396</v>
      </c>
    </row>
    <row r="1422" spans="1:3" x14ac:dyDescent="0.25">
      <c r="A1422" t="s">
        <v>2397</v>
      </c>
    </row>
    <row r="1423" spans="1:3" x14ac:dyDescent="0.25">
      <c r="A1423" t="s">
        <v>2398</v>
      </c>
    </row>
    <row r="1424" spans="1:3" x14ac:dyDescent="0.25">
      <c r="A1424" t="s">
        <v>2399</v>
      </c>
    </row>
    <row r="1425" spans="1:1" x14ac:dyDescent="0.25">
      <c r="A1425" t="s">
        <v>2400</v>
      </c>
    </row>
    <row r="1426" spans="1:1" x14ac:dyDescent="0.25">
      <c r="A1426" t="s">
        <v>2401</v>
      </c>
    </row>
    <row r="1428" spans="1:1" x14ac:dyDescent="0.25">
      <c r="A1428" t="s">
        <v>2402</v>
      </c>
    </row>
    <row r="1429" spans="1:1" x14ac:dyDescent="0.25">
      <c r="A1429" t="s">
        <v>2403</v>
      </c>
    </row>
    <row r="1430" spans="1:1" x14ac:dyDescent="0.25">
      <c r="A1430" t="s">
        <v>2404</v>
      </c>
    </row>
    <row r="1431" spans="1:1" x14ac:dyDescent="0.25">
      <c r="A1431" t="s">
        <v>1434</v>
      </c>
    </row>
    <row r="1432" spans="1:1" x14ac:dyDescent="0.25">
      <c r="A1432" t="s">
        <v>2285</v>
      </c>
    </row>
    <row r="1433" spans="1:1" x14ac:dyDescent="0.25">
      <c r="A1433" t="s">
        <v>2405</v>
      </c>
    </row>
    <row r="1435" spans="1:1" x14ac:dyDescent="0.25">
      <c r="A1435" t="s">
        <v>2406</v>
      </c>
    </row>
    <row r="1436" spans="1:1" x14ac:dyDescent="0.25">
      <c r="A1436" t="s">
        <v>2407</v>
      </c>
    </row>
    <row r="1437" spans="1:1" x14ac:dyDescent="0.25">
      <c r="A1437">
        <v>937526166</v>
      </c>
    </row>
    <row r="1438" spans="1:1" x14ac:dyDescent="0.25">
      <c r="A1438" t="s">
        <v>2408</v>
      </c>
    </row>
    <row r="1439" spans="1:1" x14ac:dyDescent="0.25">
      <c r="A1439" t="s">
        <v>2409</v>
      </c>
    </row>
    <row r="1440" spans="1:1" x14ac:dyDescent="0.25">
      <c r="A1440" t="s">
        <v>2410</v>
      </c>
    </row>
    <row r="1441" spans="1:1" x14ac:dyDescent="0.25">
      <c r="A1441" t="s">
        <v>2411</v>
      </c>
    </row>
    <row r="1442" spans="1:1" x14ac:dyDescent="0.25">
      <c r="A1442" t="s">
        <v>2412</v>
      </c>
    </row>
    <row r="1443" spans="1:1" x14ac:dyDescent="0.25">
      <c r="A1443" t="s">
        <v>2413</v>
      </c>
    </row>
    <row r="1444" spans="1:1" x14ac:dyDescent="0.25">
      <c r="A1444" t="s">
        <v>2414</v>
      </c>
    </row>
    <row r="1446" spans="1:1" x14ac:dyDescent="0.25">
      <c r="A1446" t="s">
        <v>2415</v>
      </c>
    </row>
    <row r="1447" spans="1:1" x14ac:dyDescent="0.25">
      <c r="A1447" t="s">
        <v>2416</v>
      </c>
    </row>
    <row r="1448" spans="1:1" x14ac:dyDescent="0.25">
      <c r="A1448" t="s">
        <v>2417</v>
      </c>
    </row>
    <row r="1449" spans="1:1" x14ac:dyDescent="0.25">
      <c r="A1449" t="s">
        <v>2418</v>
      </c>
    </row>
    <row r="1450" spans="1:1" x14ac:dyDescent="0.25">
      <c r="A1450" t="s">
        <v>2419</v>
      </c>
    </row>
    <row r="1452" spans="1:1" x14ac:dyDescent="0.25">
      <c r="A1452">
        <v>938990792</v>
      </c>
    </row>
    <row r="1453" spans="1:1" x14ac:dyDescent="0.25">
      <c r="A1453" t="s">
        <v>2420</v>
      </c>
    </row>
    <row r="1454" spans="1:1" x14ac:dyDescent="0.25">
      <c r="A1454" t="s">
        <v>2421</v>
      </c>
    </row>
    <row r="1455" spans="1:1" x14ac:dyDescent="0.25">
      <c r="A1455" t="s">
        <v>2422</v>
      </c>
    </row>
    <row r="1456" spans="1:1" x14ac:dyDescent="0.25">
      <c r="A1456" t="s">
        <v>2423</v>
      </c>
    </row>
    <row r="1457" spans="1:1" x14ac:dyDescent="0.25">
      <c r="A1457" t="s">
        <v>2424</v>
      </c>
    </row>
    <row r="1458" spans="1:1" x14ac:dyDescent="0.25">
      <c r="A1458" t="s">
        <v>2425</v>
      </c>
    </row>
    <row r="1459" spans="1:1" x14ac:dyDescent="0.25">
      <c r="A1459" t="s">
        <v>2426</v>
      </c>
    </row>
    <row r="1461" spans="1:1" x14ac:dyDescent="0.25">
      <c r="A1461" t="s">
        <v>2427</v>
      </c>
    </row>
    <row r="1462" spans="1:1" x14ac:dyDescent="0.25">
      <c r="A1462" t="s">
        <v>2428</v>
      </c>
    </row>
    <row r="1463" spans="1:1" x14ac:dyDescent="0.25">
      <c r="A1463" t="s">
        <v>2429</v>
      </c>
    </row>
    <row r="1464" spans="1:1" x14ac:dyDescent="0.25">
      <c r="A1464" t="s">
        <v>2430</v>
      </c>
    </row>
    <row r="1466" spans="1:1" x14ac:dyDescent="0.25">
      <c r="A1466" t="s">
        <v>2431</v>
      </c>
    </row>
    <row r="1467" spans="1:1" x14ac:dyDescent="0.25">
      <c r="A1467" t="s">
        <v>2432</v>
      </c>
    </row>
    <row r="1468" spans="1:1" x14ac:dyDescent="0.25">
      <c r="A1468" t="s">
        <v>2433</v>
      </c>
    </row>
    <row r="1469" spans="1:1" x14ac:dyDescent="0.25">
      <c r="A1469" t="s">
        <v>2434</v>
      </c>
    </row>
    <row r="1470" spans="1:1" x14ac:dyDescent="0.25">
      <c r="A1470" t="s">
        <v>2432</v>
      </c>
    </row>
    <row r="1471" spans="1:1" x14ac:dyDescent="0.25">
      <c r="A1471" t="s">
        <v>2433</v>
      </c>
    </row>
    <row r="1472" spans="1:1" x14ac:dyDescent="0.25">
      <c r="A1472" t="s">
        <v>2435</v>
      </c>
    </row>
    <row r="1473" spans="1:1" x14ac:dyDescent="0.25">
      <c r="A1473">
        <v>942069221</v>
      </c>
    </row>
    <row r="1474" spans="1:1" x14ac:dyDescent="0.25">
      <c r="A1474" t="s">
        <v>2436</v>
      </c>
    </row>
    <row r="1475" spans="1:1" x14ac:dyDescent="0.25">
      <c r="A1475" t="s">
        <v>2437</v>
      </c>
    </row>
    <row r="1476" spans="1:1" x14ac:dyDescent="0.25">
      <c r="A1476" t="s">
        <v>2438</v>
      </c>
    </row>
    <row r="1477" spans="1:1" x14ac:dyDescent="0.25">
      <c r="A1477" t="s">
        <v>2439</v>
      </c>
    </row>
    <row r="1478" spans="1:1" x14ac:dyDescent="0.25">
      <c r="A1478" t="s">
        <v>2440</v>
      </c>
    </row>
    <row r="1479" spans="1:1" x14ac:dyDescent="0.25">
      <c r="A1479" t="s">
        <v>2441</v>
      </c>
    </row>
    <row r="1480" spans="1:1" x14ac:dyDescent="0.25">
      <c r="A1480" t="s">
        <v>2442</v>
      </c>
    </row>
    <row r="1481" spans="1:1" x14ac:dyDescent="0.25">
      <c r="A1481">
        <v>942447207</v>
      </c>
    </row>
    <row r="1483" spans="1:1" x14ac:dyDescent="0.25">
      <c r="A1483" t="s">
        <v>2443</v>
      </c>
    </row>
    <row r="1484" spans="1:1" x14ac:dyDescent="0.25">
      <c r="A1484" t="s">
        <v>2444</v>
      </c>
    </row>
    <row r="1485" spans="1:1" x14ac:dyDescent="0.25">
      <c r="A1485" t="s">
        <v>2445</v>
      </c>
    </row>
    <row r="1486" spans="1:1" x14ac:dyDescent="0.25">
      <c r="A1486" t="s">
        <v>2446</v>
      </c>
    </row>
    <row r="1487" spans="1:1" x14ac:dyDescent="0.25">
      <c r="A1487" t="s">
        <v>2447</v>
      </c>
    </row>
    <row r="1488" spans="1:1" x14ac:dyDescent="0.25">
      <c r="A1488" t="s">
        <v>2243</v>
      </c>
    </row>
    <row r="1489" spans="1:1" x14ac:dyDescent="0.25">
      <c r="A1489" t="s">
        <v>2448</v>
      </c>
    </row>
    <row r="1490" spans="1:1" x14ac:dyDescent="0.25">
      <c r="A1490" t="s">
        <v>2449</v>
      </c>
    </row>
    <row r="1491" spans="1:1" x14ac:dyDescent="0.25">
      <c r="A1491" t="s">
        <v>2450</v>
      </c>
    </row>
    <row r="1493" spans="1:1" x14ac:dyDescent="0.25">
      <c r="A1493">
        <v>942523277</v>
      </c>
    </row>
    <row r="1495" spans="1:1" x14ac:dyDescent="0.25">
      <c r="A1495" t="s">
        <v>2451</v>
      </c>
    </row>
    <row r="1496" spans="1:1" x14ac:dyDescent="0.25">
      <c r="A1496" t="s">
        <v>2452</v>
      </c>
    </row>
    <row r="1497" spans="1:1" x14ac:dyDescent="0.25">
      <c r="A1497" t="s">
        <v>2453</v>
      </c>
    </row>
    <row r="1498" spans="1:1" x14ac:dyDescent="0.25">
      <c r="A1498" t="s">
        <v>2454</v>
      </c>
    </row>
    <row r="1499" spans="1:1" x14ac:dyDescent="0.25">
      <c r="A1499" t="s">
        <v>2455</v>
      </c>
    </row>
    <row r="1500" spans="1:1" x14ac:dyDescent="0.25">
      <c r="A1500" t="s">
        <v>2456</v>
      </c>
    </row>
    <row r="1501" spans="1:1" x14ac:dyDescent="0.25">
      <c r="A1501" t="s">
        <v>2457</v>
      </c>
    </row>
    <row r="1504" spans="1:1" x14ac:dyDescent="0.25">
      <c r="A1504" t="s">
        <v>2458</v>
      </c>
    </row>
    <row r="1505" spans="1:1" x14ac:dyDescent="0.25">
      <c r="A1505" t="s">
        <v>2459</v>
      </c>
    </row>
    <row r="1506" spans="1:1" x14ac:dyDescent="0.25">
      <c r="A1506" t="s">
        <v>2460</v>
      </c>
    </row>
    <row r="1507" spans="1:1" x14ac:dyDescent="0.25">
      <c r="A1507" t="s">
        <v>2461</v>
      </c>
    </row>
    <row r="1508" spans="1:1" x14ac:dyDescent="0.25">
      <c r="A1508" t="s">
        <v>2462</v>
      </c>
    </row>
    <row r="1509" spans="1:1" x14ac:dyDescent="0.25">
      <c r="A1509" t="s">
        <v>2463</v>
      </c>
    </row>
    <row r="1510" spans="1:1" x14ac:dyDescent="0.25">
      <c r="A1510" t="s">
        <v>2464</v>
      </c>
    </row>
    <row r="1511" spans="1:1" x14ac:dyDescent="0.25">
      <c r="A1511" t="s">
        <v>2465</v>
      </c>
    </row>
    <row r="1512" spans="1:1" x14ac:dyDescent="0.25">
      <c r="A1512" t="s">
        <v>2466</v>
      </c>
    </row>
    <row r="1513" spans="1:1" x14ac:dyDescent="0.25">
      <c r="A1513" t="s">
        <v>2467</v>
      </c>
    </row>
    <row r="1514" spans="1:1" x14ac:dyDescent="0.25">
      <c r="A1514" t="s">
        <v>2468</v>
      </c>
    </row>
    <row r="1515" spans="1:1" x14ac:dyDescent="0.25">
      <c r="A1515" t="s">
        <v>2469</v>
      </c>
    </row>
    <row r="1516" spans="1:1" x14ac:dyDescent="0.25">
      <c r="A1516" t="s">
        <v>2470</v>
      </c>
    </row>
    <row r="1517" spans="1:1" x14ac:dyDescent="0.25">
      <c r="A1517" t="s">
        <v>2471</v>
      </c>
    </row>
    <row r="1518" spans="1:1" x14ac:dyDescent="0.25">
      <c r="A1518" t="s">
        <v>2472</v>
      </c>
    </row>
    <row r="1519" spans="1:1" x14ac:dyDescent="0.25">
      <c r="A1519" t="s">
        <v>2473</v>
      </c>
    </row>
    <row r="1520" spans="1:1" x14ac:dyDescent="0.25">
      <c r="A1520" t="s">
        <v>2474</v>
      </c>
    </row>
    <row r="1521" spans="1:1" x14ac:dyDescent="0.25">
      <c r="A1521" t="s">
        <v>2475</v>
      </c>
    </row>
    <row r="1522" spans="1:1" x14ac:dyDescent="0.25">
      <c r="A1522" t="s">
        <v>2476</v>
      </c>
    </row>
    <row r="1523" spans="1:1" x14ac:dyDescent="0.25">
      <c r="A1523" t="s">
        <v>2477</v>
      </c>
    </row>
    <row r="1524" spans="1:1" x14ac:dyDescent="0.25">
      <c r="A1524" t="s">
        <v>2478</v>
      </c>
    </row>
    <row r="1525" spans="1:1" x14ac:dyDescent="0.25">
      <c r="A1525" t="s">
        <v>2277</v>
      </c>
    </row>
    <row r="1526" spans="1:1" x14ac:dyDescent="0.25">
      <c r="A1526" t="s">
        <v>2479</v>
      </c>
    </row>
    <row r="1527" spans="1:1" x14ac:dyDescent="0.25">
      <c r="A1527" t="s">
        <v>2480</v>
      </c>
    </row>
    <row r="1528" spans="1:1" x14ac:dyDescent="0.25">
      <c r="A1528">
        <v>943372944</v>
      </c>
    </row>
    <row r="1529" spans="1:1" x14ac:dyDescent="0.25">
      <c r="A1529" t="s">
        <v>2481</v>
      </c>
    </row>
    <row r="1530" spans="1:1" x14ac:dyDescent="0.25">
      <c r="A1530" t="s">
        <v>2482</v>
      </c>
    </row>
    <row r="1531" spans="1:1" x14ac:dyDescent="0.25">
      <c r="A1531" t="s">
        <v>2483</v>
      </c>
    </row>
    <row r="1532" spans="1:1" x14ac:dyDescent="0.25">
      <c r="A1532" t="s">
        <v>2484</v>
      </c>
    </row>
    <row r="1533" spans="1:1" x14ac:dyDescent="0.25">
      <c r="A1533" t="s">
        <v>2485</v>
      </c>
    </row>
    <row r="1534" spans="1:1" x14ac:dyDescent="0.25">
      <c r="A1534" t="s">
        <v>2486</v>
      </c>
    </row>
    <row r="1535" spans="1:1" x14ac:dyDescent="0.25">
      <c r="A1535" t="s">
        <v>2487</v>
      </c>
    </row>
    <row r="1536" spans="1:1" x14ac:dyDescent="0.25">
      <c r="A1536" t="s">
        <v>2488</v>
      </c>
    </row>
    <row r="1537" spans="1:1" x14ac:dyDescent="0.25">
      <c r="A1537" t="s">
        <v>2489</v>
      </c>
    </row>
    <row r="1538" spans="1:1" x14ac:dyDescent="0.25">
      <c r="A1538" t="s">
        <v>2490</v>
      </c>
    </row>
    <row r="1539" spans="1:1" x14ac:dyDescent="0.25">
      <c r="A1539" t="s">
        <v>2491</v>
      </c>
    </row>
    <row r="1540" spans="1:1" x14ac:dyDescent="0.25">
      <c r="A1540" t="s">
        <v>2492</v>
      </c>
    </row>
    <row r="1541" spans="1:1" x14ac:dyDescent="0.25">
      <c r="A1541" t="s">
        <v>2493</v>
      </c>
    </row>
    <row r="1542" spans="1:1" x14ac:dyDescent="0.25">
      <c r="A1542" t="s">
        <v>2494</v>
      </c>
    </row>
    <row r="1543" spans="1:1" x14ac:dyDescent="0.25">
      <c r="A1543" t="s">
        <v>2495</v>
      </c>
    </row>
    <row r="1544" spans="1:1" x14ac:dyDescent="0.25">
      <c r="A1544">
        <v>946518488</v>
      </c>
    </row>
    <row r="1545" spans="1:1" x14ac:dyDescent="0.25">
      <c r="A1545" t="s">
        <v>2496</v>
      </c>
    </row>
    <row r="1546" spans="1:1" x14ac:dyDescent="0.25">
      <c r="A1546" t="s">
        <v>2497</v>
      </c>
    </row>
    <row r="1547" spans="1:1" x14ac:dyDescent="0.25">
      <c r="A1547" t="s">
        <v>2498</v>
      </c>
    </row>
    <row r="1548" spans="1:1" x14ac:dyDescent="0.25">
      <c r="A1548" t="s">
        <v>2499</v>
      </c>
    </row>
    <row r="1549" spans="1:1" x14ac:dyDescent="0.25">
      <c r="A1549" t="s">
        <v>2500</v>
      </c>
    </row>
    <row r="1550" spans="1:1" x14ac:dyDescent="0.25">
      <c r="A1550">
        <v>946761242</v>
      </c>
    </row>
    <row r="1551" spans="1:1" x14ac:dyDescent="0.25">
      <c r="A1551" t="s">
        <v>2501</v>
      </c>
    </row>
    <row r="1552" spans="1:1" x14ac:dyDescent="0.25">
      <c r="A1552" t="s">
        <v>2502</v>
      </c>
    </row>
    <row r="1553" spans="1:1" x14ac:dyDescent="0.25">
      <c r="A1553" t="s">
        <v>2503</v>
      </c>
    </row>
    <row r="1554" spans="1:1" x14ac:dyDescent="0.25">
      <c r="A1554" t="s">
        <v>2504</v>
      </c>
    </row>
    <row r="1555" spans="1:1" x14ac:dyDescent="0.25">
      <c r="A1555" t="s">
        <v>2505</v>
      </c>
    </row>
    <row r="1556" spans="1:1" x14ac:dyDescent="0.25">
      <c r="A1556" t="s">
        <v>2506</v>
      </c>
    </row>
    <row r="1557" spans="1:1" x14ac:dyDescent="0.25">
      <c r="A1557" t="s">
        <v>2507</v>
      </c>
    </row>
    <row r="1558" spans="1:1" x14ac:dyDescent="0.25">
      <c r="A1558" t="s">
        <v>2508</v>
      </c>
    </row>
    <row r="1559" spans="1:1" x14ac:dyDescent="0.25">
      <c r="A1559" t="s">
        <v>2509</v>
      </c>
    </row>
    <row r="1560" spans="1:1" x14ac:dyDescent="0.25">
      <c r="A1560" t="s">
        <v>2510</v>
      </c>
    </row>
    <row r="1561" spans="1:1" x14ac:dyDescent="0.25">
      <c r="A1561" t="s">
        <v>2511</v>
      </c>
    </row>
    <row r="1562" spans="1:1" x14ac:dyDescent="0.25">
      <c r="A1562" t="s">
        <v>2512</v>
      </c>
    </row>
    <row r="1563" spans="1:1" x14ac:dyDescent="0.25">
      <c r="A1563" t="s">
        <v>2513</v>
      </c>
    </row>
    <row r="1564" spans="1:1" x14ac:dyDescent="0.25">
      <c r="A1564" t="s">
        <v>2514</v>
      </c>
    </row>
    <row r="1565" spans="1:1" x14ac:dyDescent="0.25">
      <c r="A1565" t="s">
        <v>2515</v>
      </c>
    </row>
    <row r="1566" spans="1:1" x14ac:dyDescent="0.25">
      <c r="A1566" t="s">
        <v>2516</v>
      </c>
    </row>
    <row r="1567" spans="1:1" x14ac:dyDescent="0.25">
      <c r="A1567" t="s">
        <v>2517</v>
      </c>
    </row>
    <row r="1568" spans="1:1" x14ac:dyDescent="0.25">
      <c r="A1568" t="s">
        <v>2518</v>
      </c>
    </row>
    <row r="1570" spans="1:1" x14ac:dyDescent="0.25">
      <c r="A1570" t="s">
        <v>2519</v>
      </c>
    </row>
    <row r="1571" spans="1:1" x14ac:dyDescent="0.25">
      <c r="A1571" t="s">
        <v>2520</v>
      </c>
    </row>
    <row r="1572" spans="1:1" x14ac:dyDescent="0.25">
      <c r="A1572">
        <v>950208918</v>
      </c>
    </row>
    <row r="1573" spans="1:1" x14ac:dyDescent="0.25">
      <c r="A1573" t="s">
        <v>2521</v>
      </c>
    </row>
    <row r="1574" spans="1:1" x14ac:dyDescent="0.25">
      <c r="A1574" t="s">
        <v>2522</v>
      </c>
    </row>
    <row r="1575" spans="1:1" x14ac:dyDescent="0.25">
      <c r="A1575" t="s">
        <v>2523</v>
      </c>
    </row>
    <row r="1576" spans="1:1" x14ac:dyDescent="0.25">
      <c r="A1576" t="s">
        <v>2524</v>
      </c>
    </row>
    <row r="1577" spans="1:1" x14ac:dyDescent="0.25">
      <c r="A1577" t="s">
        <v>2525</v>
      </c>
    </row>
    <row r="1578" spans="1:1" x14ac:dyDescent="0.25">
      <c r="A1578" t="s">
        <v>2526</v>
      </c>
    </row>
    <row r="1579" spans="1:1" x14ac:dyDescent="0.25">
      <c r="A1579" t="s">
        <v>2527</v>
      </c>
    </row>
    <row r="1580" spans="1:1" x14ac:dyDescent="0.25">
      <c r="A1580" t="s">
        <v>2528</v>
      </c>
    </row>
    <row r="1581" spans="1:1" x14ac:dyDescent="0.25">
      <c r="A1581" t="s">
        <v>2529</v>
      </c>
    </row>
    <row r="1582" spans="1:1" x14ac:dyDescent="0.25">
      <c r="A1582" t="s">
        <v>2530</v>
      </c>
    </row>
    <row r="1583" spans="1:1" x14ac:dyDescent="0.25">
      <c r="A1583" t="s">
        <v>2531</v>
      </c>
    </row>
    <row r="1584" spans="1:1" x14ac:dyDescent="0.25">
      <c r="A1584">
        <v>950366982</v>
      </c>
    </row>
    <row r="1585" spans="1:1" x14ac:dyDescent="0.25">
      <c r="A1585" t="s">
        <v>2532</v>
      </c>
    </row>
    <row r="1586" spans="1:1" x14ac:dyDescent="0.25">
      <c r="A1586" t="s">
        <v>2533</v>
      </c>
    </row>
    <row r="1587" spans="1:1" x14ac:dyDescent="0.25">
      <c r="A1587" t="s">
        <v>2534</v>
      </c>
    </row>
    <row r="1588" spans="1:1" x14ac:dyDescent="0.25">
      <c r="A1588" t="s">
        <v>2535</v>
      </c>
    </row>
    <row r="1589" spans="1:1" x14ac:dyDescent="0.25">
      <c r="A1589" t="s">
        <v>2536</v>
      </c>
    </row>
    <row r="1590" spans="1:1" x14ac:dyDescent="0.25">
      <c r="A1590" t="s">
        <v>2537</v>
      </c>
    </row>
    <row r="1591" spans="1:1" x14ac:dyDescent="0.25">
      <c r="A1591" t="s">
        <v>2538</v>
      </c>
    </row>
    <row r="1592" spans="1:1" x14ac:dyDescent="0.25">
      <c r="A1592" t="s">
        <v>2539</v>
      </c>
    </row>
    <row r="1593" spans="1:1" x14ac:dyDescent="0.25">
      <c r="A1593" t="s">
        <v>2540</v>
      </c>
    </row>
    <row r="1594" spans="1:1" x14ac:dyDescent="0.25">
      <c r="A1594" t="s">
        <v>2541</v>
      </c>
    </row>
    <row r="1595" spans="1:1" x14ac:dyDescent="0.25">
      <c r="A1595" t="s">
        <v>2542</v>
      </c>
    </row>
    <row r="1596" spans="1:1" x14ac:dyDescent="0.25">
      <c r="A1596" t="s">
        <v>2543</v>
      </c>
    </row>
    <row r="1597" spans="1:1" x14ac:dyDescent="0.25">
      <c r="A1597" t="s">
        <v>2544</v>
      </c>
    </row>
    <row r="1598" spans="1:1" x14ac:dyDescent="0.25">
      <c r="A1598" t="s">
        <v>2545</v>
      </c>
    </row>
    <row r="1599" spans="1:1" x14ac:dyDescent="0.25">
      <c r="A1599" t="s">
        <v>2546</v>
      </c>
    </row>
    <row r="1600" spans="1:1" x14ac:dyDescent="0.25">
      <c r="A1600" t="s">
        <v>2547</v>
      </c>
    </row>
    <row r="1601" spans="1:1" x14ac:dyDescent="0.25">
      <c r="A1601" t="s">
        <v>2548</v>
      </c>
    </row>
    <row r="1602" spans="1:1" x14ac:dyDescent="0.25">
      <c r="A1602" t="s">
        <v>2549</v>
      </c>
    </row>
    <row r="1603" spans="1:1" x14ac:dyDescent="0.25">
      <c r="A1603" t="s">
        <v>2550</v>
      </c>
    </row>
    <row r="1604" spans="1:1" x14ac:dyDescent="0.25">
      <c r="A1604">
        <v>950815293</v>
      </c>
    </row>
    <row r="1605" spans="1:1" x14ac:dyDescent="0.25">
      <c r="A1605" t="s">
        <v>2551</v>
      </c>
    </row>
    <row r="1606" spans="1:1" x14ac:dyDescent="0.25">
      <c r="A1606" t="s">
        <v>2552</v>
      </c>
    </row>
    <row r="1607" spans="1:1" x14ac:dyDescent="0.25">
      <c r="A1607" t="s">
        <v>2283</v>
      </c>
    </row>
    <row r="1608" spans="1:1" x14ac:dyDescent="0.25">
      <c r="A1608" t="s">
        <v>2553</v>
      </c>
    </row>
    <row r="1609" spans="1:1" x14ac:dyDescent="0.25">
      <c r="A1609" t="s">
        <v>2554</v>
      </c>
    </row>
    <row r="1610" spans="1:1" x14ac:dyDescent="0.25">
      <c r="A1610" t="s">
        <v>2555</v>
      </c>
    </row>
    <row r="1611" spans="1:1" x14ac:dyDescent="0.25">
      <c r="A1611" t="s">
        <v>2556</v>
      </c>
    </row>
    <row r="1612" spans="1:1" x14ac:dyDescent="0.25">
      <c r="A1612" t="s">
        <v>2557</v>
      </c>
    </row>
    <row r="1613" spans="1:1" x14ac:dyDescent="0.25">
      <c r="A1613" t="s">
        <v>2558</v>
      </c>
    </row>
    <row r="1614" spans="1:1" x14ac:dyDescent="0.25">
      <c r="A1614" t="s">
        <v>2559</v>
      </c>
    </row>
    <row r="1615" spans="1:1" x14ac:dyDescent="0.25">
      <c r="A1615" t="s">
        <v>2560</v>
      </c>
    </row>
    <row r="1616" spans="1:1" x14ac:dyDescent="0.25">
      <c r="A1616" t="s">
        <v>2561</v>
      </c>
    </row>
    <row r="1617" spans="1:1" x14ac:dyDescent="0.25">
      <c r="A1617" t="s">
        <v>2562</v>
      </c>
    </row>
    <row r="1618" spans="1:1" x14ac:dyDescent="0.25">
      <c r="A1618" t="s">
        <v>2563</v>
      </c>
    </row>
    <row r="1619" spans="1:1" x14ac:dyDescent="0.25">
      <c r="A1619" t="s">
        <v>2564</v>
      </c>
    </row>
    <row r="1620" spans="1:1" x14ac:dyDescent="0.25">
      <c r="A1620" t="s">
        <v>2565</v>
      </c>
    </row>
    <row r="1621" spans="1:1" x14ac:dyDescent="0.25">
      <c r="A1621" t="s">
        <v>2566</v>
      </c>
    </row>
    <row r="1622" spans="1:1" x14ac:dyDescent="0.25">
      <c r="A1622" t="s">
        <v>2567</v>
      </c>
    </row>
    <row r="1623" spans="1:1" x14ac:dyDescent="0.25">
      <c r="A1623" t="s">
        <v>2568</v>
      </c>
    </row>
    <row r="1624" spans="1:1" x14ac:dyDescent="0.25">
      <c r="A1624" t="s">
        <v>2569</v>
      </c>
    </row>
    <row r="1625" spans="1:1" x14ac:dyDescent="0.25">
      <c r="A1625" t="s">
        <v>2570</v>
      </c>
    </row>
    <row r="1626" spans="1:1" x14ac:dyDescent="0.25">
      <c r="A1626" t="s">
        <v>2571</v>
      </c>
    </row>
    <row r="1627" spans="1:1" x14ac:dyDescent="0.25">
      <c r="A1627" t="s">
        <v>2572</v>
      </c>
    </row>
    <row r="1628" spans="1:1" x14ac:dyDescent="0.25">
      <c r="A1628" t="s">
        <v>2573</v>
      </c>
    </row>
    <row r="1629" spans="1:1" x14ac:dyDescent="0.25">
      <c r="A1629" t="s">
        <v>2574</v>
      </c>
    </row>
    <row r="1630" spans="1:1" x14ac:dyDescent="0.25">
      <c r="A1630" t="s">
        <v>2575</v>
      </c>
    </row>
    <row r="1631" spans="1:1" x14ac:dyDescent="0.25">
      <c r="A1631" t="s">
        <v>2576</v>
      </c>
    </row>
    <row r="1632" spans="1:1" x14ac:dyDescent="0.25">
      <c r="A1632" t="s">
        <v>2577</v>
      </c>
    </row>
    <row r="1633" spans="1:1" x14ac:dyDescent="0.25">
      <c r="A1633" t="s">
        <v>2578</v>
      </c>
    </row>
    <row r="1634" spans="1:1" x14ac:dyDescent="0.25">
      <c r="A1634" t="s">
        <v>2579</v>
      </c>
    </row>
    <row r="1635" spans="1:1" x14ac:dyDescent="0.25">
      <c r="A1635" t="s">
        <v>2580</v>
      </c>
    </row>
    <row r="1636" spans="1:1" x14ac:dyDescent="0.25">
      <c r="A1636" t="s">
        <v>2581</v>
      </c>
    </row>
    <row r="1637" spans="1:1" x14ac:dyDescent="0.25">
      <c r="A1637" t="s">
        <v>2582</v>
      </c>
    </row>
    <row r="1638" spans="1:1" x14ac:dyDescent="0.25">
      <c r="A1638" t="s">
        <v>2583</v>
      </c>
    </row>
    <row r="1639" spans="1:1" x14ac:dyDescent="0.25">
      <c r="A1639" t="s">
        <v>2584</v>
      </c>
    </row>
    <row r="1640" spans="1:1" x14ac:dyDescent="0.25">
      <c r="A1640" t="s">
        <v>2585</v>
      </c>
    </row>
    <row r="1641" spans="1:1" x14ac:dyDescent="0.25">
      <c r="A1641" t="s">
        <v>2586</v>
      </c>
    </row>
    <row r="1642" spans="1:1" x14ac:dyDescent="0.25">
      <c r="A1642" t="s">
        <v>2587</v>
      </c>
    </row>
    <row r="1643" spans="1:1" x14ac:dyDescent="0.25">
      <c r="A1643">
        <v>953187435</v>
      </c>
    </row>
    <row r="1644" spans="1:1" x14ac:dyDescent="0.25">
      <c r="A1644" t="s">
        <v>2588</v>
      </c>
    </row>
    <row r="1645" spans="1:1" x14ac:dyDescent="0.25">
      <c r="A1645" t="s">
        <v>2589</v>
      </c>
    </row>
    <row r="1646" spans="1:1" x14ac:dyDescent="0.25">
      <c r="A1646" t="s">
        <v>2590</v>
      </c>
    </row>
    <row r="1647" spans="1:1" x14ac:dyDescent="0.25">
      <c r="A1647" t="s">
        <v>2591</v>
      </c>
    </row>
    <row r="1648" spans="1:1" x14ac:dyDescent="0.25">
      <c r="A1648" t="s">
        <v>2592</v>
      </c>
    </row>
    <row r="1649" spans="1:1" x14ac:dyDescent="0.25">
      <c r="A1649" t="s">
        <v>2593</v>
      </c>
    </row>
    <row r="1650" spans="1:1" x14ac:dyDescent="0.25">
      <c r="A1650" t="s">
        <v>2594</v>
      </c>
    </row>
    <row r="1651" spans="1:1" x14ac:dyDescent="0.25">
      <c r="A1651" t="s">
        <v>2595</v>
      </c>
    </row>
    <row r="1652" spans="1:1" x14ac:dyDescent="0.25">
      <c r="A1652" t="s">
        <v>2596</v>
      </c>
    </row>
    <row r="1654" spans="1:1" x14ac:dyDescent="0.25">
      <c r="A1654" t="s">
        <v>2597</v>
      </c>
    </row>
    <row r="1655" spans="1:1" x14ac:dyDescent="0.25">
      <c r="A1655" t="s">
        <v>2598</v>
      </c>
    </row>
    <row r="1656" spans="1:1" x14ac:dyDescent="0.25">
      <c r="A1656" t="s">
        <v>2599</v>
      </c>
    </row>
    <row r="1657" spans="1:1" x14ac:dyDescent="0.25">
      <c r="A1657">
        <v>955322626</v>
      </c>
    </row>
    <row r="1659" spans="1:1" x14ac:dyDescent="0.25">
      <c r="A1659" t="s">
        <v>2600</v>
      </c>
    </row>
    <row r="1660" spans="1:1" x14ac:dyDescent="0.25">
      <c r="A1660" t="s">
        <v>2601</v>
      </c>
    </row>
    <row r="1661" spans="1:1" x14ac:dyDescent="0.25">
      <c r="A1661" t="s">
        <v>2602</v>
      </c>
    </row>
    <row r="1662" spans="1:1" x14ac:dyDescent="0.25">
      <c r="A1662" t="s">
        <v>2603</v>
      </c>
    </row>
    <row r="1663" spans="1:1" x14ac:dyDescent="0.25">
      <c r="A1663" t="s">
        <v>2604</v>
      </c>
    </row>
    <row r="1664" spans="1:1" x14ac:dyDescent="0.25">
      <c r="A1664" t="s">
        <v>2605</v>
      </c>
    </row>
    <row r="1665" spans="1:1" x14ac:dyDescent="0.25">
      <c r="A1665" t="s">
        <v>2606</v>
      </c>
    </row>
    <row r="1666" spans="1:1" x14ac:dyDescent="0.25">
      <c r="A1666" t="s">
        <v>2607</v>
      </c>
    </row>
    <row r="1667" spans="1:1" x14ac:dyDescent="0.25">
      <c r="A1667" t="s">
        <v>2608</v>
      </c>
    </row>
    <row r="1668" spans="1:1" x14ac:dyDescent="0.25">
      <c r="A1668" t="s">
        <v>2609</v>
      </c>
    </row>
    <row r="1669" spans="1:1" x14ac:dyDescent="0.25">
      <c r="A1669">
        <v>956319026</v>
      </c>
    </row>
    <row r="1670" spans="1:1" x14ac:dyDescent="0.25">
      <c r="A1670" t="s">
        <v>2610</v>
      </c>
    </row>
    <row r="1671" spans="1:1" x14ac:dyDescent="0.25">
      <c r="A1671" t="s">
        <v>2611</v>
      </c>
    </row>
    <row r="1672" spans="1:1" x14ac:dyDescent="0.25">
      <c r="A1672" t="s">
        <v>2612</v>
      </c>
    </row>
    <row r="1673" spans="1:1" x14ac:dyDescent="0.25">
      <c r="A1673" t="s">
        <v>2613</v>
      </c>
    </row>
    <row r="1674" spans="1:1" x14ac:dyDescent="0.25">
      <c r="A1674" t="s">
        <v>2614</v>
      </c>
    </row>
    <row r="1675" spans="1:1" x14ac:dyDescent="0.25">
      <c r="A1675" t="s">
        <v>2615</v>
      </c>
    </row>
    <row r="1676" spans="1:1" x14ac:dyDescent="0.25">
      <c r="A1676" t="s">
        <v>2616</v>
      </c>
    </row>
    <row r="1677" spans="1:1" x14ac:dyDescent="0.25">
      <c r="A1677" t="s">
        <v>2617</v>
      </c>
    </row>
    <row r="1678" spans="1:1" x14ac:dyDescent="0.25">
      <c r="A1678" t="s">
        <v>2618</v>
      </c>
    </row>
    <row r="1679" spans="1:1" x14ac:dyDescent="0.25">
      <c r="A1679" t="s">
        <v>2619</v>
      </c>
    </row>
    <row r="1680" spans="1:1" x14ac:dyDescent="0.25">
      <c r="A1680" t="s">
        <v>2620</v>
      </c>
    </row>
    <row r="1681" spans="1:1" x14ac:dyDescent="0.25">
      <c r="A1681" t="s">
        <v>2621</v>
      </c>
    </row>
    <row r="1682" spans="1:1" x14ac:dyDescent="0.25">
      <c r="A1682" t="s">
        <v>2622</v>
      </c>
    </row>
    <row r="1683" spans="1:1" x14ac:dyDescent="0.25">
      <c r="A1683" t="s">
        <v>2623</v>
      </c>
    </row>
    <row r="1684" spans="1:1" x14ac:dyDescent="0.25">
      <c r="A1684" t="s">
        <v>2624</v>
      </c>
    </row>
    <row r="1685" spans="1:1" x14ac:dyDescent="0.25">
      <c r="A1685" t="s">
        <v>2625</v>
      </c>
    </row>
    <row r="1686" spans="1:1" x14ac:dyDescent="0.25">
      <c r="A1686" t="s">
        <v>2626</v>
      </c>
    </row>
    <row r="1687" spans="1:1" x14ac:dyDescent="0.25">
      <c r="A1687" t="s">
        <v>2627</v>
      </c>
    </row>
    <row r="1688" spans="1:1" x14ac:dyDescent="0.25">
      <c r="A1688" t="s">
        <v>2628</v>
      </c>
    </row>
    <row r="1689" spans="1:1" x14ac:dyDescent="0.25">
      <c r="A1689" t="s">
        <v>2629</v>
      </c>
    </row>
    <row r="1690" spans="1:1" x14ac:dyDescent="0.25">
      <c r="A1690" t="s">
        <v>2630</v>
      </c>
    </row>
    <row r="1691" spans="1:1" x14ac:dyDescent="0.25">
      <c r="A1691" t="s">
        <v>2631</v>
      </c>
    </row>
    <row r="1692" spans="1:1" x14ac:dyDescent="0.25">
      <c r="A1692">
        <v>957287093</v>
      </c>
    </row>
    <row r="1693" spans="1:1" x14ac:dyDescent="0.25">
      <c r="A1693" t="s">
        <v>2632</v>
      </c>
    </row>
    <row r="1694" spans="1:1" x14ac:dyDescent="0.25">
      <c r="A1694" t="s">
        <v>2633</v>
      </c>
    </row>
    <row r="1695" spans="1:1" x14ac:dyDescent="0.25">
      <c r="A1695" t="s">
        <v>2634</v>
      </c>
    </row>
    <row r="1696" spans="1:1" x14ac:dyDescent="0.25">
      <c r="A1696" t="s">
        <v>2635</v>
      </c>
    </row>
    <row r="1697" spans="1:1" x14ac:dyDescent="0.25">
      <c r="A1697" t="s">
        <v>2636</v>
      </c>
    </row>
    <row r="1698" spans="1:1" x14ac:dyDescent="0.25">
      <c r="A1698" t="s">
        <v>2637</v>
      </c>
    </row>
    <row r="1699" spans="1:1" x14ac:dyDescent="0.25">
      <c r="A1699" t="s">
        <v>2638</v>
      </c>
    </row>
    <row r="1700" spans="1:1" x14ac:dyDescent="0.25">
      <c r="A1700" t="s">
        <v>2639</v>
      </c>
    </row>
    <row r="1701" spans="1:1" x14ac:dyDescent="0.25">
      <c r="A1701" t="s">
        <v>2640</v>
      </c>
    </row>
    <row r="1702" spans="1:1" x14ac:dyDescent="0.25">
      <c r="A1702" t="s">
        <v>2641</v>
      </c>
    </row>
    <row r="1703" spans="1:1" x14ac:dyDescent="0.25">
      <c r="A1703" t="s">
        <v>2642</v>
      </c>
    </row>
    <row r="1704" spans="1:1" x14ac:dyDescent="0.25">
      <c r="A1704" t="s">
        <v>2643</v>
      </c>
    </row>
    <row r="1705" spans="1:1" x14ac:dyDescent="0.25">
      <c r="A1705" t="s">
        <v>2644</v>
      </c>
    </row>
    <row r="1706" spans="1:1" x14ac:dyDescent="0.25">
      <c r="A1706" t="s">
        <v>2645</v>
      </c>
    </row>
    <row r="1707" spans="1:1" x14ac:dyDescent="0.25">
      <c r="A1707" t="s">
        <v>2646</v>
      </c>
    </row>
    <row r="1708" spans="1:1" x14ac:dyDescent="0.25">
      <c r="A1708" t="s">
        <v>2647</v>
      </c>
    </row>
    <row r="1709" spans="1:1" x14ac:dyDescent="0.25">
      <c r="A1709" t="s">
        <v>2648</v>
      </c>
    </row>
    <row r="1710" spans="1:1" x14ac:dyDescent="0.25">
      <c r="A1710" t="s">
        <v>2649</v>
      </c>
    </row>
    <row r="1711" spans="1:1" x14ac:dyDescent="0.25">
      <c r="A1711" t="s">
        <v>2650</v>
      </c>
    </row>
    <row r="1712" spans="1:1" x14ac:dyDescent="0.25">
      <c r="A1712" t="s">
        <v>2651</v>
      </c>
    </row>
    <row r="1713" spans="1:1" x14ac:dyDescent="0.25">
      <c r="A1713" t="s">
        <v>2652</v>
      </c>
    </row>
    <row r="1714" spans="1:1" x14ac:dyDescent="0.25">
      <c r="A1714" t="s">
        <v>2653</v>
      </c>
    </row>
    <row r="1715" spans="1:1" x14ac:dyDescent="0.25">
      <c r="A1715" t="s">
        <v>2654</v>
      </c>
    </row>
    <row r="1716" spans="1:1" x14ac:dyDescent="0.25">
      <c r="A1716" t="s">
        <v>2655</v>
      </c>
    </row>
    <row r="1717" spans="1:1" x14ac:dyDescent="0.25">
      <c r="A1717" t="s">
        <v>2656</v>
      </c>
    </row>
    <row r="1718" spans="1:1" x14ac:dyDescent="0.25">
      <c r="A1718" t="s">
        <v>2657</v>
      </c>
    </row>
    <row r="1719" spans="1:1" x14ac:dyDescent="0.25">
      <c r="A1719" t="s">
        <v>2658</v>
      </c>
    </row>
    <row r="1720" spans="1:1" x14ac:dyDescent="0.25">
      <c r="A1720" t="s">
        <v>2659</v>
      </c>
    </row>
    <row r="1721" spans="1:1" x14ac:dyDescent="0.25">
      <c r="A1721" t="s">
        <v>2660</v>
      </c>
    </row>
    <row r="1722" spans="1:1" x14ac:dyDescent="0.25">
      <c r="A1722">
        <v>960530589</v>
      </c>
    </row>
    <row r="1723" spans="1:1" x14ac:dyDescent="0.25">
      <c r="A1723" t="s">
        <v>2661</v>
      </c>
    </row>
    <row r="1724" spans="1:1" x14ac:dyDescent="0.25">
      <c r="A1724" t="s">
        <v>2662</v>
      </c>
    </row>
    <row r="1725" spans="1:1" x14ac:dyDescent="0.25">
      <c r="A1725" t="s">
        <v>2663</v>
      </c>
    </row>
    <row r="1726" spans="1:1" x14ac:dyDescent="0.25">
      <c r="A1726" t="s">
        <v>2664</v>
      </c>
    </row>
    <row r="1727" spans="1:1" x14ac:dyDescent="0.25">
      <c r="A1727" t="s">
        <v>2665</v>
      </c>
    </row>
    <row r="1728" spans="1:1" x14ac:dyDescent="0.25">
      <c r="A1728" t="s">
        <v>2666</v>
      </c>
    </row>
    <row r="1729" spans="1:1" x14ac:dyDescent="0.25">
      <c r="A1729" t="s">
        <v>2667</v>
      </c>
    </row>
    <row r="1730" spans="1:1" x14ac:dyDescent="0.25">
      <c r="A1730" t="s">
        <v>2668</v>
      </c>
    </row>
    <row r="1731" spans="1:1" x14ac:dyDescent="0.25">
      <c r="A1731" t="s">
        <v>2669</v>
      </c>
    </row>
    <row r="1732" spans="1:1" x14ac:dyDescent="0.25">
      <c r="A1732" t="s">
        <v>2670</v>
      </c>
    </row>
    <row r="1733" spans="1:1" x14ac:dyDescent="0.25">
      <c r="A1733" t="s">
        <v>2671</v>
      </c>
    </row>
    <row r="1734" spans="1:1" x14ac:dyDescent="0.25">
      <c r="A1734" t="s">
        <v>2672</v>
      </c>
    </row>
    <row r="1735" spans="1:1" x14ac:dyDescent="0.25">
      <c r="A1735" t="s">
        <v>2673</v>
      </c>
    </row>
    <row r="1736" spans="1:1" x14ac:dyDescent="0.25">
      <c r="A1736" t="s">
        <v>2674</v>
      </c>
    </row>
    <row r="1737" spans="1:1" x14ac:dyDescent="0.25">
      <c r="A1737" t="s">
        <v>2675</v>
      </c>
    </row>
    <row r="1738" spans="1:1" x14ac:dyDescent="0.25">
      <c r="A1738" t="s">
        <v>2676</v>
      </c>
    </row>
    <row r="1739" spans="1:1" x14ac:dyDescent="0.25">
      <c r="A1739" t="s">
        <v>2677</v>
      </c>
    </row>
    <row r="1740" spans="1:1" x14ac:dyDescent="0.25">
      <c r="A1740" t="s">
        <v>2678</v>
      </c>
    </row>
    <row r="1741" spans="1:1" x14ac:dyDescent="0.25">
      <c r="A1741" t="s">
        <v>2679</v>
      </c>
    </row>
    <row r="1742" spans="1:1" x14ac:dyDescent="0.25">
      <c r="A1742" t="s">
        <v>2680</v>
      </c>
    </row>
    <row r="1743" spans="1:1" x14ac:dyDescent="0.25">
      <c r="A1743" t="s">
        <v>2681</v>
      </c>
    </row>
    <row r="1744" spans="1:1" x14ac:dyDescent="0.25">
      <c r="A1744" t="s">
        <v>2682</v>
      </c>
    </row>
    <row r="1745" spans="1:1" x14ac:dyDescent="0.25">
      <c r="A1745" t="s">
        <v>2679</v>
      </c>
    </row>
    <row r="1746" spans="1:1" x14ac:dyDescent="0.25">
      <c r="A1746" t="s">
        <v>2680</v>
      </c>
    </row>
    <row r="1747" spans="1:1" x14ac:dyDescent="0.25">
      <c r="A1747" t="s">
        <v>2683</v>
      </c>
    </row>
    <row r="1748" spans="1:1" x14ac:dyDescent="0.25">
      <c r="A1748">
        <v>963721904</v>
      </c>
    </row>
    <row r="1749" spans="1:1" x14ac:dyDescent="0.25">
      <c r="A1749" t="s">
        <v>2684</v>
      </c>
    </row>
    <row r="1750" spans="1:1" x14ac:dyDescent="0.25">
      <c r="A1750" t="s">
        <v>2685</v>
      </c>
    </row>
    <row r="1751" spans="1:1" x14ac:dyDescent="0.25">
      <c r="A1751" t="s">
        <v>1996</v>
      </c>
    </row>
    <row r="1752" spans="1:1" x14ac:dyDescent="0.25">
      <c r="A1752" t="s">
        <v>2686</v>
      </c>
    </row>
    <row r="1753" spans="1:1" x14ac:dyDescent="0.25">
      <c r="A1753" t="s">
        <v>2687</v>
      </c>
    </row>
    <row r="1754" spans="1:1" x14ac:dyDescent="0.25">
      <c r="A1754" t="s">
        <v>2688</v>
      </c>
    </row>
    <row r="1755" spans="1:1" x14ac:dyDescent="0.25">
      <c r="A1755" t="s">
        <v>2689</v>
      </c>
    </row>
    <row r="1756" spans="1:1" x14ac:dyDescent="0.25">
      <c r="A1756" t="s">
        <v>2690</v>
      </c>
    </row>
    <row r="1757" spans="1:1" x14ac:dyDescent="0.25">
      <c r="A1757" t="s">
        <v>2691</v>
      </c>
    </row>
    <row r="1758" spans="1:1" x14ac:dyDescent="0.25">
      <c r="A1758" t="s">
        <v>2692</v>
      </c>
    </row>
    <row r="1759" spans="1:1" x14ac:dyDescent="0.25">
      <c r="A1759" t="s">
        <v>2693</v>
      </c>
    </row>
    <row r="1760" spans="1:1" x14ac:dyDescent="0.25">
      <c r="A1760" t="s">
        <v>2694</v>
      </c>
    </row>
    <row r="1761" spans="1:1" x14ac:dyDescent="0.25">
      <c r="A1761" t="s">
        <v>2695</v>
      </c>
    </row>
    <row r="1762" spans="1:1" x14ac:dyDescent="0.25">
      <c r="A1762" t="s">
        <v>2696</v>
      </c>
    </row>
    <row r="1763" spans="1:1" x14ac:dyDescent="0.25">
      <c r="A1763" t="s">
        <v>2697</v>
      </c>
    </row>
    <row r="1764" spans="1:1" x14ac:dyDescent="0.25">
      <c r="A1764" t="s">
        <v>2698</v>
      </c>
    </row>
    <row r="1765" spans="1:1" x14ac:dyDescent="0.25">
      <c r="A1765" t="s">
        <v>2699</v>
      </c>
    </row>
    <row r="1766" spans="1:1" x14ac:dyDescent="0.25">
      <c r="A1766">
        <v>964420326</v>
      </c>
    </row>
    <row r="1767" spans="1:1" x14ac:dyDescent="0.25">
      <c r="A1767" t="s">
        <v>2700</v>
      </c>
    </row>
    <row r="1768" spans="1:1" x14ac:dyDescent="0.25">
      <c r="A1768">
        <v>964420326</v>
      </c>
    </row>
    <row r="1769" spans="1:1" x14ac:dyDescent="0.25">
      <c r="A1769" t="s">
        <v>2701</v>
      </c>
    </row>
    <row r="1770" spans="1:1" x14ac:dyDescent="0.25">
      <c r="A1770" t="s">
        <v>2702</v>
      </c>
    </row>
    <row r="1771" spans="1:1" x14ac:dyDescent="0.25">
      <c r="A1771" t="s">
        <v>2703</v>
      </c>
    </row>
    <row r="1772" spans="1:1" x14ac:dyDescent="0.25">
      <c r="A1772" t="s">
        <v>2704</v>
      </c>
    </row>
    <row r="1773" spans="1:1" x14ac:dyDescent="0.25">
      <c r="A1773" t="s">
        <v>2705</v>
      </c>
    </row>
    <row r="1774" spans="1:1" x14ac:dyDescent="0.25">
      <c r="A1774" t="s">
        <v>2706</v>
      </c>
    </row>
    <row r="1775" spans="1:1" x14ac:dyDescent="0.25">
      <c r="A1775" t="s">
        <v>2707</v>
      </c>
    </row>
    <row r="1776" spans="1:1" x14ac:dyDescent="0.25">
      <c r="A1776" t="s">
        <v>2708</v>
      </c>
    </row>
    <row r="1777" spans="1:1" x14ac:dyDescent="0.25">
      <c r="A1777">
        <v>965876595</v>
      </c>
    </row>
    <row r="1778" spans="1:1" x14ac:dyDescent="0.25">
      <c r="A1778" t="s">
        <v>2709</v>
      </c>
    </row>
    <row r="1779" spans="1:1" x14ac:dyDescent="0.25">
      <c r="A1779" t="s">
        <v>2710</v>
      </c>
    </row>
    <row r="1780" spans="1:1" x14ac:dyDescent="0.25">
      <c r="A1780" t="s">
        <v>2711</v>
      </c>
    </row>
    <row r="1781" spans="1:1" x14ac:dyDescent="0.25">
      <c r="A1781" t="s">
        <v>2712</v>
      </c>
    </row>
    <row r="1782" spans="1:1" x14ac:dyDescent="0.25">
      <c r="A1782" t="s">
        <v>2713</v>
      </c>
    </row>
    <row r="1783" spans="1:1" x14ac:dyDescent="0.25">
      <c r="A1783" t="e" cm="1">
        <f t="array" ref="A1783">- RUBRO: TRABAJA INDEPENDIENTE</f>
        <v>#NAME?</v>
      </c>
    </row>
    <row r="1784" spans="1:1" x14ac:dyDescent="0.25">
      <c r="A1784" t="e" cm="1">
        <f t="array" ref="A1784">- EL PRESTAMO LO USO PARA: AVAL</f>
        <v>#NAME?</v>
      </c>
    </row>
    <row r="1785" spans="1:1" x14ac:dyDescent="0.25">
      <c r="A1785" t="s">
        <v>2714</v>
      </c>
    </row>
    <row r="1786" spans="1:1" x14ac:dyDescent="0.25">
      <c r="A1786" t="s">
        <v>2715</v>
      </c>
    </row>
    <row r="1787" spans="1:1" x14ac:dyDescent="0.25">
      <c r="A1787" t="s">
        <v>2716</v>
      </c>
    </row>
    <row r="1788" spans="1:1" x14ac:dyDescent="0.25">
      <c r="A1788" t="s">
        <v>2717</v>
      </c>
    </row>
    <row r="1789" spans="1:1" x14ac:dyDescent="0.25">
      <c r="A1789" t="s">
        <v>2718</v>
      </c>
    </row>
    <row r="1790" spans="1:1" x14ac:dyDescent="0.25">
      <c r="A1790" t="s">
        <v>2719</v>
      </c>
    </row>
    <row r="1791" spans="1:1" x14ac:dyDescent="0.25">
      <c r="A1791" t="s">
        <v>2720</v>
      </c>
    </row>
    <row r="1792" spans="1:1" x14ac:dyDescent="0.25">
      <c r="A1792" t="s">
        <v>2721</v>
      </c>
    </row>
    <row r="1793" spans="1:1" x14ac:dyDescent="0.25">
      <c r="A1793" t="s">
        <v>2722</v>
      </c>
    </row>
    <row r="1794" spans="1:1" x14ac:dyDescent="0.25">
      <c r="A1794" t="s">
        <v>2723</v>
      </c>
    </row>
    <row r="1795" spans="1:1" x14ac:dyDescent="0.25">
      <c r="A1795" t="s">
        <v>2724</v>
      </c>
    </row>
    <row r="1796" spans="1:1" x14ac:dyDescent="0.25">
      <c r="A1796">
        <v>966323376</v>
      </c>
    </row>
    <row r="1797" spans="1:1" x14ac:dyDescent="0.25">
      <c r="A1797" t="s">
        <v>2725</v>
      </c>
    </row>
    <row r="1798" spans="1:1" x14ac:dyDescent="0.25">
      <c r="A1798">
        <v>966357586</v>
      </c>
    </row>
    <row r="1799" spans="1:1" x14ac:dyDescent="0.25">
      <c r="A1799" t="s">
        <v>2726</v>
      </c>
    </row>
    <row r="1800" spans="1:1" x14ac:dyDescent="0.25">
      <c r="A1800" t="s">
        <v>2727</v>
      </c>
    </row>
    <row r="1801" spans="1:1" x14ac:dyDescent="0.25">
      <c r="A1801" t="s">
        <v>2728</v>
      </c>
    </row>
    <row r="1802" spans="1:1" x14ac:dyDescent="0.25">
      <c r="A1802" t="s">
        <v>2729</v>
      </c>
    </row>
    <row r="1803" spans="1:1" x14ac:dyDescent="0.25">
      <c r="A1803" t="s">
        <v>2730</v>
      </c>
    </row>
    <row r="1804" spans="1:1" x14ac:dyDescent="0.25">
      <c r="A1804" t="s">
        <v>2731</v>
      </c>
    </row>
    <row r="1805" spans="1:1" x14ac:dyDescent="0.25">
      <c r="A1805" t="s">
        <v>2732</v>
      </c>
    </row>
    <row r="1806" spans="1:1" x14ac:dyDescent="0.25">
      <c r="A1806" t="s">
        <v>2733</v>
      </c>
    </row>
    <row r="1807" spans="1:1" x14ac:dyDescent="0.25">
      <c r="A1807" t="s">
        <v>2734</v>
      </c>
    </row>
    <row r="1808" spans="1:1" x14ac:dyDescent="0.25">
      <c r="A1808" t="s">
        <v>2735</v>
      </c>
    </row>
    <row r="1809" spans="1:1" x14ac:dyDescent="0.25">
      <c r="A1809" t="s">
        <v>2736</v>
      </c>
    </row>
    <row r="1810" spans="1:1" x14ac:dyDescent="0.25">
      <c r="A1810" t="s">
        <v>2737</v>
      </c>
    </row>
    <row r="1811" spans="1:1" x14ac:dyDescent="0.25">
      <c r="A1811" t="s">
        <v>2738</v>
      </c>
    </row>
    <row r="1812" spans="1:1" x14ac:dyDescent="0.25">
      <c r="A1812" t="s">
        <v>2739</v>
      </c>
    </row>
    <row r="1813" spans="1:1" x14ac:dyDescent="0.25">
      <c r="A1813" t="s">
        <v>2740</v>
      </c>
    </row>
    <row r="1814" spans="1:1" x14ac:dyDescent="0.25">
      <c r="A1814" t="s">
        <v>2741</v>
      </c>
    </row>
    <row r="1815" spans="1:1" x14ac:dyDescent="0.25">
      <c r="A1815">
        <v>967732425</v>
      </c>
    </row>
    <row r="1816" spans="1:1" x14ac:dyDescent="0.25">
      <c r="A1816" s="4">
        <v>46042</v>
      </c>
    </row>
    <row r="1817" spans="1:1" x14ac:dyDescent="0.25">
      <c r="A1817" t="s">
        <v>2742</v>
      </c>
    </row>
    <row r="1818" spans="1:1" x14ac:dyDescent="0.25">
      <c r="A1818" t="s">
        <v>1513</v>
      </c>
    </row>
    <row r="1819" spans="1:1" x14ac:dyDescent="0.25">
      <c r="A1819" t="s">
        <v>2743</v>
      </c>
    </row>
    <row r="1820" spans="1:1" x14ac:dyDescent="0.25">
      <c r="A1820" t="s">
        <v>2744</v>
      </c>
    </row>
    <row r="1822" spans="1:1" x14ac:dyDescent="0.25">
      <c r="A1822">
        <v>968039966</v>
      </c>
    </row>
    <row r="1824" spans="1:1" x14ac:dyDescent="0.25">
      <c r="A1824" t="s">
        <v>2745</v>
      </c>
    </row>
    <row r="1825" spans="1:1" x14ac:dyDescent="0.25">
      <c r="A1825" t="s">
        <v>2746</v>
      </c>
    </row>
    <row r="1826" spans="1:1" x14ac:dyDescent="0.25">
      <c r="A1826" t="s">
        <v>2747</v>
      </c>
    </row>
    <row r="1827" spans="1:1" x14ac:dyDescent="0.25">
      <c r="A1827" t="s">
        <v>2210</v>
      </c>
    </row>
    <row r="1828" spans="1:1" x14ac:dyDescent="0.25">
      <c r="A1828" t="s">
        <v>2748</v>
      </c>
    </row>
    <row r="1829" spans="1:1" x14ac:dyDescent="0.25">
      <c r="A1829" t="s">
        <v>2749</v>
      </c>
    </row>
    <row r="1830" spans="1:1" x14ac:dyDescent="0.25">
      <c r="A1830">
        <v>969565165</v>
      </c>
    </row>
    <row r="1831" spans="1:1" x14ac:dyDescent="0.25">
      <c r="A1831" t="s">
        <v>2750</v>
      </c>
    </row>
    <row r="1832" spans="1:1" x14ac:dyDescent="0.25">
      <c r="A1832" t="s">
        <v>2751</v>
      </c>
    </row>
    <row r="1833" spans="1:1" x14ac:dyDescent="0.25">
      <c r="A1833" t="s">
        <v>2752</v>
      </c>
    </row>
    <row r="1834" spans="1:1" x14ac:dyDescent="0.25">
      <c r="A1834">
        <v>969623814</v>
      </c>
    </row>
    <row r="1835" spans="1:1" x14ac:dyDescent="0.25">
      <c r="A1835" t="s">
        <v>2753</v>
      </c>
    </row>
    <row r="1836" spans="1:1" x14ac:dyDescent="0.25">
      <c r="A1836" t="s">
        <v>2754</v>
      </c>
    </row>
    <row r="1837" spans="1:1" x14ac:dyDescent="0.25">
      <c r="A1837" t="s">
        <v>2755</v>
      </c>
    </row>
    <row r="1838" spans="1:1" x14ac:dyDescent="0.25">
      <c r="A1838" t="s">
        <v>2756</v>
      </c>
    </row>
    <row r="1839" spans="1:1" x14ac:dyDescent="0.25">
      <c r="A1839" t="s">
        <v>2757</v>
      </c>
    </row>
    <row r="1840" spans="1:1" x14ac:dyDescent="0.25">
      <c r="A1840" t="s">
        <v>2758</v>
      </c>
    </row>
    <row r="1841" spans="1:1" x14ac:dyDescent="0.25">
      <c r="A1841" t="s">
        <v>2759</v>
      </c>
    </row>
    <row r="1842" spans="1:1" x14ac:dyDescent="0.25">
      <c r="A1842" t="s">
        <v>2760</v>
      </c>
    </row>
    <row r="1843" spans="1:1" x14ac:dyDescent="0.25">
      <c r="A1843">
        <v>970031681</v>
      </c>
    </row>
    <row r="1844" spans="1:1" x14ac:dyDescent="0.25">
      <c r="A1844" t="s">
        <v>2761</v>
      </c>
    </row>
    <row r="1845" spans="1:1" x14ac:dyDescent="0.25">
      <c r="A1845" t="s">
        <v>2762</v>
      </c>
    </row>
    <row r="1846" spans="1:1" x14ac:dyDescent="0.25">
      <c r="A1846" t="s">
        <v>2763</v>
      </c>
    </row>
    <row r="1847" spans="1:1" x14ac:dyDescent="0.25">
      <c r="A1847" t="s">
        <v>2764</v>
      </c>
    </row>
    <row r="1848" spans="1:1" x14ac:dyDescent="0.25">
      <c r="A1848" t="s">
        <v>2765</v>
      </c>
    </row>
    <row r="1849" spans="1:1" x14ac:dyDescent="0.25">
      <c r="A1849" t="s">
        <v>2766</v>
      </c>
    </row>
    <row r="1850" spans="1:1" x14ac:dyDescent="0.25">
      <c r="A1850" t="s">
        <v>2767</v>
      </c>
    </row>
    <row r="1851" spans="1:1" x14ac:dyDescent="0.25">
      <c r="A1851">
        <v>970031681</v>
      </c>
    </row>
    <row r="1852" spans="1:1" x14ac:dyDescent="0.25">
      <c r="A1852" t="s">
        <v>2768</v>
      </c>
    </row>
    <row r="1853" spans="1:1" x14ac:dyDescent="0.25">
      <c r="A1853" t="s">
        <v>2769</v>
      </c>
    </row>
    <row r="1854" spans="1:1" x14ac:dyDescent="0.25">
      <c r="A1854" t="s">
        <v>2763</v>
      </c>
    </row>
    <row r="1855" spans="1:1" x14ac:dyDescent="0.25">
      <c r="A1855" t="s">
        <v>2764</v>
      </c>
    </row>
    <row r="1856" spans="1:1" x14ac:dyDescent="0.25">
      <c r="A1856" t="s">
        <v>2770</v>
      </c>
    </row>
    <row r="1857" spans="1:1" x14ac:dyDescent="0.25">
      <c r="A1857" t="s">
        <v>2771</v>
      </c>
    </row>
    <row r="1858" spans="1:1" x14ac:dyDescent="0.25">
      <c r="A1858" t="s">
        <v>2772</v>
      </c>
    </row>
    <row r="1859" spans="1:1" x14ac:dyDescent="0.25">
      <c r="A1859" t="s">
        <v>2773</v>
      </c>
    </row>
    <row r="1860" spans="1:1" x14ac:dyDescent="0.25">
      <c r="A1860" t="s">
        <v>2774</v>
      </c>
    </row>
    <row r="1861" spans="1:1" x14ac:dyDescent="0.25">
      <c r="A1861" t="s">
        <v>2775</v>
      </c>
    </row>
    <row r="1862" spans="1:1" x14ac:dyDescent="0.25">
      <c r="A1862" t="s">
        <v>2776</v>
      </c>
    </row>
    <row r="1863" spans="1:1" x14ac:dyDescent="0.25">
      <c r="A1863" t="s">
        <v>2777</v>
      </c>
    </row>
    <row r="1864" spans="1:1" x14ac:dyDescent="0.25">
      <c r="A1864" t="s">
        <v>2778</v>
      </c>
    </row>
    <row r="1865" spans="1:1" x14ac:dyDescent="0.25">
      <c r="A1865" t="s">
        <v>2779</v>
      </c>
    </row>
    <row r="1866" spans="1:1" x14ac:dyDescent="0.25">
      <c r="A1866" t="s">
        <v>2780</v>
      </c>
    </row>
    <row r="1867" spans="1:1" x14ac:dyDescent="0.25">
      <c r="A1867" t="s">
        <v>2776</v>
      </c>
    </row>
    <row r="1868" spans="1:1" x14ac:dyDescent="0.25">
      <c r="A1868" t="s">
        <v>2781</v>
      </c>
    </row>
    <row r="1869" spans="1:1" x14ac:dyDescent="0.25">
      <c r="A1869" t="s">
        <v>2782</v>
      </c>
    </row>
    <row r="1870" spans="1:1" x14ac:dyDescent="0.25">
      <c r="A1870" t="s">
        <v>2783</v>
      </c>
    </row>
    <row r="1871" spans="1:1" x14ac:dyDescent="0.25">
      <c r="A1871" t="s">
        <v>2784</v>
      </c>
    </row>
    <row r="1872" spans="1:1" x14ac:dyDescent="0.25">
      <c r="A1872" t="s">
        <v>2785</v>
      </c>
    </row>
    <row r="1873" spans="1:1" x14ac:dyDescent="0.25">
      <c r="A1873" t="s">
        <v>2786</v>
      </c>
    </row>
    <row r="1874" spans="1:1" x14ac:dyDescent="0.25">
      <c r="A1874" t="s">
        <v>2787</v>
      </c>
    </row>
    <row r="1875" spans="1:1" x14ac:dyDescent="0.25">
      <c r="A1875" t="s">
        <v>2788</v>
      </c>
    </row>
    <row r="1876" spans="1:1" x14ac:dyDescent="0.25">
      <c r="A1876" t="s">
        <v>2789</v>
      </c>
    </row>
    <row r="1877" spans="1:1" x14ac:dyDescent="0.25">
      <c r="A1877" t="s">
        <v>2790</v>
      </c>
    </row>
    <row r="1878" spans="1:1" x14ac:dyDescent="0.25">
      <c r="A1878">
        <v>971426622</v>
      </c>
    </row>
    <row r="1880" spans="1:1" x14ac:dyDescent="0.25">
      <c r="A1880" t="s">
        <v>2791</v>
      </c>
    </row>
    <row r="1881" spans="1:1" x14ac:dyDescent="0.25">
      <c r="A1881" t="s">
        <v>2792</v>
      </c>
    </row>
    <row r="1882" spans="1:1" x14ac:dyDescent="0.25">
      <c r="A1882" t="s">
        <v>2793</v>
      </c>
    </row>
    <row r="1883" spans="1:1" x14ac:dyDescent="0.25">
      <c r="A1883" t="s">
        <v>2794</v>
      </c>
    </row>
    <row r="1884" spans="1:1" x14ac:dyDescent="0.25">
      <c r="A1884" t="s">
        <v>2307</v>
      </c>
    </row>
    <row r="1885" spans="1:1" x14ac:dyDescent="0.25">
      <c r="A1885" t="s">
        <v>2795</v>
      </c>
    </row>
    <row r="1886" spans="1:1" x14ac:dyDescent="0.25">
      <c r="A1886" t="s">
        <v>2796</v>
      </c>
    </row>
    <row r="1887" spans="1:1" x14ac:dyDescent="0.25">
      <c r="A1887" t="s">
        <v>2797</v>
      </c>
    </row>
    <row r="1888" spans="1:1" x14ac:dyDescent="0.25">
      <c r="A1888" t="s">
        <v>2798</v>
      </c>
    </row>
    <row r="1889" spans="1:1" x14ac:dyDescent="0.25">
      <c r="A1889" t="s">
        <v>2799</v>
      </c>
    </row>
    <row r="1890" spans="1:1" x14ac:dyDescent="0.25">
      <c r="A1890" t="s">
        <v>2800</v>
      </c>
    </row>
    <row r="1891" spans="1:1" x14ac:dyDescent="0.25">
      <c r="A1891" t="s">
        <v>2801</v>
      </c>
    </row>
    <row r="1892" spans="1:1" x14ac:dyDescent="0.25">
      <c r="A1892" t="s">
        <v>2802</v>
      </c>
    </row>
    <row r="1893" spans="1:1" x14ac:dyDescent="0.25">
      <c r="A1893" t="s">
        <v>2803</v>
      </c>
    </row>
    <row r="1894" spans="1:1" x14ac:dyDescent="0.25">
      <c r="A1894" t="s">
        <v>2804</v>
      </c>
    </row>
    <row r="1895" spans="1:1" x14ac:dyDescent="0.25">
      <c r="A1895" t="s">
        <v>2805</v>
      </c>
    </row>
    <row r="1896" spans="1:1" x14ac:dyDescent="0.25">
      <c r="A1896" t="s">
        <v>2806</v>
      </c>
    </row>
    <row r="1897" spans="1:1" x14ac:dyDescent="0.25">
      <c r="A1897" t="s">
        <v>2807</v>
      </c>
    </row>
    <row r="1898" spans="1:1" x14ac:dyDescent="0.25">
      <c r="A1898" t="s">
        <v>2808</v>
      </c>
    </row>
    <row r="1899" spans="1:1" x14ac:dyDescent="0.25">
      <c r="A1899" t="s">
        <v>2809</v>
      </c>
    </row>
    <row r="1900" spans="1:1" x14ac:dyDescent="0.25">
      <c r="A1900" t="s">
        <v>2810</v>
      </c>
    </row>
    <row r="1901" spans="1:1" x14ac:dyDescent="0.25">
      <c r="A1901" t="s">
        <v>2811</v>
      </c>
    </row>
    <row r="1902" spans="1:1" x14ac:dyDescent="0.25">
      <c r="A1902" t="s">
        <v>2812</v>
      </c>
    </row>
    <row r="1903" spans="1:1" x14ac:dyDescent="0.25">
      <c r="A1903" t="s">
        <v>2813</v>
      </c>
    </row>
    <row r="1904" spans="1:1" x14ac:dyDescent="0.25">
      <c r="A1904" t="s">
        <v>2814</v>
      </c>
    </row>
    <row r="1905" spans="1:1" x14ac:dyDescent="0.25">
      <c r="A1905" t="s">
        <v>2815</v>
      </c>
    </row>
    <row r="1906" spans="1:1" x14ac:dyDescent="0.25">
      <c r="A1906" t="s">
        <v>2816</v>
      </c>
    </row>
    <row r="1907" spans="1:1" x14ac:dyDescent="0.25">
      <c r="A1907" t="s">
        <v>2817</v>
      </c>
    </row>
    <row r="1908" spans="1:1" x14ac:dyDescent="0.25">
      <c r="A1908" t="s">
        <v>2818</v>
      </c>
    </row>
    <row r="1909" spans="1:1" x14ac:dyDescent="0.25">
      <c r="A1909" t="s">
        <v>2819</v>
      </c>
    </row>
    <row r="1910" spans="1:1" x14ac:dyDescent="0.25">
      <c r="A1910" t="s">
        <v>2820</v>
      </c>
    </row>
    <row r="1911" spans="1:1" x14ac:dyDescent="0.25">
      <c r="A1911" t="s">
        <v>2821</v>
      </c>
    </row>
    <row r="1913" spans="1:1" x14ac:dyDescent="0.25">
      <c r="A1913" t="s">
        <v>2822</v>
      </c>
    </row>
    <row r="1914" spans="1:1" x14ac:dyDescent="0.25">
      <c r="A1914">
        <v>974551966</v>
      </c>
    </row>
    <row r="1916" spans="1:1" x14ac:dyDescent="0.25">
      <c r="A1916" t="s">
        <v>2823</v>
      </c>
    </row>
    <row r="1917" spans="1:1" x14ac:dyDescent="0.25">
      <c r="A1917" t="s">
        <v>2824</v>
      </c>
    </row>
    <row r="1918" spans="1:1" x14ac:dyDescent="0.25">
      <c r="A1918" t="s">
        <v>2825</v>
      </c>
    </row>
    <row r="1919" spans="1:1" x14ac:dyDescent="0.25">
      <c r="A1919" t="s">
        <v>2826</v>
      </c>
    </row>
    <row r="1920" spans="1:1" x14ac:dyDescent="0.25">
      <c r="A1920" t="s">
        <v>2827</v>
      </c>
    </row>
    <row r="1921" spans="1:1" x14ac:dyDescent="0.25">
      <c r="A1921" t="s">
        <v>2828</v>
      </c>
    </row>
    <row r="1922" spans="1:1" x14ac:dyDescent="0.25">
      <c r="A1922" t="s">
        <v>2457</v>
      </c>
    </row>
    <row r="1923" spans="1:1" x14ac:dyDescent="0.25">
      <c r="A1923">
        <v>974551966</v>
      </c>
    </row>
    <row r="1924" spans="1:1" x14ac:dyDescent="0.25">
      <c r="A1924" t="s">
        <v>2829</v>
      </c>
    </row>
    <row r="1925" spans="1:1" x14ac:dyDescent="0.25">
      <c r="A1925">
        <v>974657103</v>
      </c>
    </row>
    <row r="1926" spans="1:1" x14ac:dyDescent="0.25">
      <c r="A1926" t="s">
        <v>2830</v>
      </c>
    </row>
    <row r="1927" spans="1:1" x14ac:dyDescent="0.25">
      <c r="A1927" t="s">
        <v>2831</v>
      </c>
    </row>
    <row r="1928" spans="1:1" x14ac:dyDescent="0.25">
      <c r="A1928" t="s">
        <v>2832</v>
      </c>
    </row>
    <row r="1929" spans="1:1" x14ac:dyDescent="0.25">
      <c r="A1929" t="s">
        <v>2833</v>
      </c>
    </row>
    <row r="1930" spans="1:1" x14ac:dyDescent="0.25">
      <c r="A1930" t="s">
        <v>2834</v>
      </c>
    </row>
    <row r="1931" spans="1:1" x14ac:dyDescent="0.25">
      <c r="A1931" t="s">
        <v>2835</v>
      </c>
    </row>
    <row r="1932" spans="1:1" x14ac:dyDescent="0.25">
      <c r="A1932" t="s">
        <v>2836</v>
      </c>
    </row>
    <row r="1933" spans="1:1" x14ac:dyDescent="0.25">
      <c r="A1933" t="s">
        <v>2837</v>
      </c>
    </row>
    <row r="1934" spans="1:1" x14ac:dyDescent="0.25">
      <c r="A1934" t="s">
        <v>2838</v>
      </c>
    </row>
    <row r="1935" spans="1:1" x14ac:dyDescent="0.25">
      <c r="A1935" t="s">
        <v>2839</v>
      </c>
    </row>
    <row r="1936" spans="1:1" x14ac:dyDescent="0.25">
      <c r="A1936" t="s">
        <v>2840</v>
      </c>
    </row>
    <row r="1937" spans="1:1" x14ac:dyDescent="0.25">
      <c r="A1937" t="s">
        <v>2841</v>
      </c>
    </row>
    <row r="1938" spans="1:1" x14ac:dyDescent="0.25">
      <c r="A1938" t="s">
        <v>2842</v>
      </c>
    </row>
    <row r="1939" spans="1:1" x14ac:dyDescent="0.25">
      <c r="A1939" t="s">
        <v>2843</v>
      </c>
    </row>
    <row r="1940" spans="1:1" x14ac:dyDescent="0.25">
      <c r="A1940" t="s">
        <v>2844</v>
      </c>
    </row>
    <row r="1941" spans="1:1" x14ac:dyDescent="0.25">
      <c r="A1941" t="s">
        <v>2845</v>
      </c>
    </row>
    <row r="1942" spans="1:1" x14ac:dyDescent="0.25">
      <c r="A1942" t="s">
        <v>2846</v>
      </c>
    </row>
    <row r="1943" spans="1:1" x14ac:dyDescent="0.25">
      <c r="A1943" t="s">
        <v>2847</v>
      </c>
    </row>
    <row r="1944" spans="1:1" x14ac:dyDescent="0.25">
      <c r="A1944" t="s">
        <v>2848</v>
      </c>
    </row>
    <row r="1945" spans="1:1" x14ac:dyDescent="0.25">
      <c r="A1945" t="s">
        <v>2849</v>
      </c>
    </row>
    <row r="1946" spans="1:1" x14ac:dyDescent="0.25">
      <c r="A1946" t="s">
        <v>2850</v>
      </c>
    </row>
    <row r="1947" spans="1:1" x14ac:dyDescent="0.25">
      <c r="A1947" t="s">
        <v>2851</v>
      </c>
    </row>
    <row r="1948" spans="1:1" x14ac:dyDescent="0.25">
      <c r="A1948" t="s">
        <v>2852</v>
      </c>
    </row>
    <row r="1949" spans="1:1" x14ac:dyDescent="0.25">
      <c r="A1949" t="s">
        <v>2853</v>
      </c>
    </row>
    <row r="1950" spans="1:1" x14ac:dyDescent="0.25">
      <c r="A1950" t="s">
        <v>2854</v>
      </c>
    </row>
    <row r="1951" spans="1:1" x14ac:dyDescent="0.25">
      <c r="A1951" t="s">
        <v>2855</v>
      </c>
    </row>
    <row r="1952" spans="1:1" x14ac:dyDescent="0.25">
      <c r="A1952" t="s">
        <v>2856</v>
      </c>
    </row>
    <row r="1953" spans="1:1" x14ac:dyDescent="0.25">
      <c r="A1953" t="s">
        <v>2857</v>
      </c>
    </row>
    <row r="1954" spans="1:1" x14ac:dyDescent="0.25">
      <c r="A1954">
        <v>977310684</v>
      </c>
    </row>
    <row r="1955" spans="1:1" x14ac:dyDescent="0.25">
      <c r="A1955" t="s">
        <v>2858</v>
      </c>
    </row>
    <row r="1956" spans="1:1" x14ac:dyDescent="0.25">
      <c r="A1956" t="s">
        <v>2859</v>
      </c>
    </row>
    <row r="1957" spans="1:1" x14ac:dyDescent="0.25">
      <c r="A1957" t="s">
        <v>2860</v>
      </c>
    </row>
    <row r="1958" spans="1:1" x14ac:dyDescent="0.25">
      <c r="A1958" t="s">
        <v>2861</v>
      </c>
    </row>
    <row r="1959" spans="1:1" x14ac:dyDescent="0.25">
      <c r="A1959" t="s">
        <v>2862</v>
      </c>
    </row>
    <row r="1960" spans="1:1" x14ac:dyDescent="0.25">
      <c r="A1960" t="s">
        <v>2863</v>
      </c>
    </row>
    <row r="1961" spans="1:1" x14ac:dyDescent="0.25">
      <c r="A1961" t="s">
        <v>2864</v>
      </c>
    </row>
    <row r="1963" spans="1:1" x14ac:dyDescent="0.25">
      <c r="A1963" t="s">
        <v>2865</v>
      </c>
    </row>
    <row r="1964" spans="1:1" x14ac:dyDescent="0.25">
      <c r="A1964" t="s">
        <v>2866</v>
      </c>
    </row>
    <row r="1965" spans="1:1" x14ac:dyDescent="0.25">
      <c r="A1965">
        <v>978581164</v>
      </c>
    </row>
    <row r="1966" spans="1:1" x14ac:dyDescent="0.25">
      <c r="A1966" t="s">
        <v>2867</v>
      </c>
    </row>
    <row r="1967" spans="1:1" x14ac:dyDescent="0.25">
      <c r="A1967">
        <v>978822848</v>
      </c>
    </row>
    <row r="1968" spans="1:1" x14ac:dyDescent="0.25">
      <c r="A1968" t="s">
        <v>2868</v>
      </c>
    </row>
    <row r="1969" spans="1:1" x14ac:dyDescent="0.25">
      <c r="A1969" t="s">
        <v>2869</v>
      </c>
    </row>
    <row r="1970" spans="1:1" x14ac:dyDescent="0.25">
      <c r="A1970" t="s">
        <v>2870</v>
      </c>
    </row>
    <row r="1971" spans="1:1" x14ac:dyDescent="0.25">
      <c r="A1971" t="s">
        <v>2871</v>
      </c>
    </row>
    <row r="1972" spans="1:1" x14ac:dyDescent="0.25">
      <c r="A1972" t="s">
        <v>2872</v>
      </c>
    </row>
    <row r="1973" spans="1:1" x14ac:dyDescent="0.25">
      <c r="A1973" t="s">
        <v>2873</v>
      </c>
    </row>
    <row r="1974" spans="1:1" x14ac:dyDescent="0.25">
      <c r="A1974" t="s">
        <v>2874</v>
      </c>
    </row>
    <row r="1975" spans="1:1" x14ac:dyDescent="0.25">
      <c r="A1975" t="s">
        <v>2875</v>
      </c>
    </row>
    <row r="1976" spans="1:1" x14ac:dyDescent="0.25">
      <c r="A1976" t="s">
        <v>2876</v>
      </c>
    </row>
    <row r="1977" spans="1:1" x14ac:dyDescent="0.25">
      <c r="A1977" t="s">
        <v>2877</v>
      </c>
    </row>
    <row r="1978" spans="1:1" x14ac:dyDescent="0.25">
      <c r="A1978">
        <v>979823052</v>
      </c>
    </row>
    <row r="1979" spans="1:1" x14ac:dyDescent="0.25">
      <c r="A1979" t="s">
        <v>2878</v>
      </c>
    </row>
    <row r="1980" spans="1:1" x14ac:dyDescent="0.25">
      <c r="A1980" t="s">
        <v>2879</v>
      </c>
    </row>
    <row r="1981" spans="1:1" x14ac:dyDescent="0.25">
      <c r="A1981" t="s">
        <v>2880</v>
      </c>
    </row>
    <row r="1982" spans="1:1" x14ac:dyDescent="0.25">
      <c r="A1982" t="s">
        <v>2881</v>
      </c>
    </row>
    <row r="1983" spans="1:1" x14ac:dyDescent="0.25">
      <c r="A1983" t="s">
        <v>2882</v>
      </c>
    </row>
    <row r="1984" spans="1:1" x14ac:dyDescent="0.25">
      <c r="A1984" t="s">
        <v>2883</v>
      </c>
    </row>
    <row r="1985" spans="1:1" x14ac:dyDescent="0.25">
      <c r="A1985">
        <v>979866653</v>
      </c>
    </row>
    <row r="1986" spans="1:1" x14ac:dyDescent="0.25">
      <c r="A1986" t="s">
        <v>2884</v>
      </c>
    </row>
    <row r="1987" spans="1:1" x14ac:dyDescent="0.25">
      <c r="A1987" t="s">
        <v>2885</v>
      </c>
    </row>
    <row r="1988" spans="1:1" x14ac:dyDescent="0.25">
      <c r="A1988" t="s">
        <v>2886</v>
      </c>
    </row>
    <row r="1989" spans="1:1" x14ac:dyDescent="0.25">
      <c r="A1989" t="s">
        <v>2887</v>
      </c>
    </row>
    <row r="1990" spans="1:1" x14ac:dyDescent="0.25">
      <c r="A1990" t="s">
        <v>2888</v>
      </c>
    </row>
    <row r="1991" spans="1:1" x14ac:dyDescent="0.25">
      <c r="A1991" t="s">
        <v>2889</v>
      </c>
    </row>
    <row r="1992" spans="1:1" x14ac:dyDescent="0.25">
      <c r="A1992">
        <v>980831669</v>
      </c>
    </row>
    <row r="1993" spans="1:1" x14ac:dyDescent="0.25">
      <c r="A1993" t="s">
        <v>2890</v>
      </c>
    </row>
    <row r="1994" spans="1:1" x14ac:dyDescent="0.25">
      <c r="A1994" t="s">
        <v>2891</v>
      </c>
    </row>
    <row r="1995" spans="1:1" x14ac:dyDescent="0.25">
      <c r="A1995" t="s">
        <v>2892</v>
      </c>
    </row>
    <row r="1996" spans="1:1" x14ac:dyDescent="0.25">
      <c r="A1996" t="s">
        <v>2893</v>
      </c>
    </row>
    <row r="1997" spans="1:1" x14ac:dyDescent="0.25">
      <c r="A1997" t="s">
        <v>2894</v>
      </c>
    </row>
    <row r="1998" spans="1:1" x14ac:dyDescent="0.25">
      <c r="A1998" t="s">
        <v>2895</v>
      </c>
    </row>
    <row r="1999" spans="1:1" x14ac:dyDescent="0.25">
      <c r="A1999" t="s">
        <v>2896</v>
      </c>
    </row>
    <row r="2000" spans="1:1" x14ac:dyDescent="0.25">
      <c r="A2000" t="s">
        <v>2897</v>
      </c>
    </row>
    <row r="2001" spans="1:1" x14ac:dyDescent="0.25">
      <c r="A2001" t="s">
        <v>2898</v>
      </c>
    </row>
    <row r="2002" spans="1:1" x14ac:dyDescent="0.25">
      <c r="A2002" t="s">
        <v>2899</v>
      </c>
    </row>
    <row r="2003" spans="1:1" x14ac:dyDescent="0.25">
      <c r="A2003">
        <v>981969800</v>
      </c>
    </row>
    <row r="2004" spans="1:1" x14ac:dyDescent="0.25">
      <c r="A2004" t="s">
        <v>2900</v>
      </c>
    </row>
    <row r="2005" spans="1:1" x14ac:dyDescent="0.25">
      <c r="A2005" t="s">
        <v>2901</v>
      </c>
    </row>
    <row r="2006" spans="1:1" x14ac:dyDescent="0.25">
      <c r="A2006" t="s">
        <v>2902</v>
      </c>
    </row>
    <row r="2007" spans="1:1" x14ac:dyDescent="0.25">
      <c r="A2007" t="s">
        <v>2903</v>
      </c>
    </row>
    <row r="2008" spans="1:1" x14ac:dyDescent="0.25">
      <c r="A2008" t="s">
        <v>2904</v>
      </c>
    </row>
    <row r="2009" spans="1:1" x14ac:dyDescent="0.25">
      <c r="A2009" t="s">
        <v>2905</v>
      </c>
    </row>
    <row r="2010" spans="1:1" x14ac:dyDescent="0.25">
      <c r="A2010" t="s">
        <v>2906</v>
      </c>
    </row>
    <row r="2011" spans="1:1" x14ac:dyDescent="0.25">
      <c r="A2011" t="s">
        <v>2907</v>
      </c>
    </row>
    <row r="2012" spans="1:1" x14ac:dyDescent="0.25">
      <c r="A2012" t="s">
        <v>2908</v>
      </c>
    </row>
    <row r="2013" spans="1:1" x14ac:dyDescent="0.25">
      <c r="A2013" t="s">
        <v>2909</v>
      </c>
    </row>
    <row r="2014" spans="1:1" x14ac:dyDescent="0.25">
      <c r="A2014">
        <v>982537388</v>
      </c>
    </row>
    <row r="2016" spans="1:1" x14ac:dyDescent="0.25">
      <c r="A2016" t="s">
        <v>2910</v>
      </c>
    </row>
    <row r="2017" spans="1:1" x14ac:dyDescent="0.25">
      <c r="A2017" t="s">
        <v>2911</v>
      </c>
    </row>
    <row r="2018" spans="1:1" x14ac:dyDescent="0.25">
      <c r="A2018" t="s">
        <v>2912</v>
      </c>
    </row>
    <row r="2019" spans="1:1" x14ac:dyDescent="0.25">
      <c r="A2019" t="s">
        <v>2913</v>
      </c>
    </row>
    <row r="2020" spans="1:1" x14ac:dyDescent="0.25">
      <c r="A2020" t="s">
        <v>2914</v>
      </c>
    </row>
    <row r="2021" spans="1:1" x14ac:dyDescent="0.25">
      <c r="A2021" t="s">
        <v>2915</v>
      </c>
    </row>
    <row r="2022" spans="1:1" x14ac:dyDescent="0.25">
      <c r="A2022" t="s">
        <v>2916</v>
      </c>
    </row>
    <row r="2023" spans="1:1" x14ac:dyDescent="0.25">
      <c r="A2023" t="s">
        <v>2917</v>
      </c>
    </row>
    <row r="2024" spans="1:1" x14ac:dyDescent="0.25">
      <c r="A2024" t="s">
        <v>2918</v>
      </c>
    </row>
    <row r="2025" spans="1:1" x14ac:dyDescent="0.25">
      <c r="A2025" t="s">
        <v>1317</v>
      </c>
    </row>
    <row r="2026" spans="1:1" x14ac:dyDescent="0.25">
      <c r="A2026">
        <v>982959595</v>
      </c>
    </row>
    <row r="2027" spans="1:1" x14ac:dyDescent="0.25">
      <c r="A2027" t="s">
        <v>2919</v>
      </c>
    </row>
    <row r="2028" spans="1:1" x14ac:dyDescent="0.25">
      <c r="A2028" t="s">
        <v>2920</v>
      </c>
    </row>
    <row r="2029" spans="1:1" x14ac:dyDescent="0.25">
      <c r="A2029" t="s">
        <v>2921</v>
      </c>
    </row>
    <row r="2030" spans="1:1" x14ac:dyDescent="0.25">
      <c r="A2030" t="s">
        <v>2922</v>
      </c>
    </row>
    <row r="2031" spans="1:1" x14ac:dyDescent="0.25">
      <c r="A2031" t="s">
        <v>2923</v>
      </c>
    </row>
    <row r="2032" spans="1:1" x14ac:dyDescent="0.25">
      <c r="A2032" t="s">
        <v>2924</v>
      </c>
    </row>
    <row r="2033" spans="1:1" x14ac:dyDescent="0.25">
      <c r="A2033" t="s">
        <v>2925</v>
      </c>
    </row>
    <row r="2034" spans="1:1" x14ac:dyDescent="0.25">
      <c r="A2034" t="s">
        <v>2926</v>
      </c>
    </row>
    <row r="2035" spans="1:1" x14ac:dyDescent="0.25">
      <c r="A2035" t="s">
        <v>2263</v>
      </c>
    </row>
    <row r="2036" spans="1:1" x14ac:dyDescent="0.25">
      <c r="A2036" t="s">
        <v>2927</v>
      </c>
    </row>
    <row r="2037" spans="1:1" x14ac:dyDescent="0.25">
      <c r="A2037" t="s">
        <v>2928</v>
      </c>
    </row>
    <row r="2038" spans="1:1" x14ac:dyDescent="0.25">
      <c r="A2038" t="s">
        <v>2929</v>
      </c>
    </row>
    <row r="2039" spans="1:1" x14ac:dyDescent="0.25">
      <c r="A2039" t="s">
        <v>2930</v>
      </c>
    </row>
    <row r="2040" spans="1:1" x14ac:dyDescent="0.25">
      <c r="A2040" t="s">
        <v>2931</v>
      </c>
    </row>
    <row r="2041" spans="1:1" x14ac:dyDescent="0.25">
      <c r="A2041" t="s">
        <v>2932</v>
      </c>
    </row>
    <row r="2043" spans="1:1" x14ac:dyDescent="0.25">
      <c r="A2043" t="s">
        <v>2933</v>
      </c>
    </row>
    <row r="2044" spans="1:1" x14ac:dyDescent="0.25">
      <c r="A2044" t="s">
        <v>2929</v>
      </c>
    </row>
    <row r="2045" spans="1:1" x14ac:dyDescent="0.25">
      <c r="A2045" t="s">
        <v>2934</v>
      </c>
    </row>
    <row r="2046" spans="1:1" x14ac:dyDescent="0.25">
      <c r="A2046" t="s">
        <v>2935</v>
      </c>
    </row>
    <row r="2047" spans="1:1" x14ac:dyDescent="0.25">
      <c r="A2047" t="s">
        <v>2936</v>
      </c>
    </row>
    <row r="2049" spans="1:1" x14ac:dyDescent="0.25">
      <c r="A2049">
        <v>983224912</v>
      </c>
    </row>
    <row r="2050" spans="1:1" x14ac:dyDescent="0.25">
      <c r="A2050" t="s">
        <v>2937</v>
      </c>
    </row>
    <row r="2051" spans="1:1" x14ac:dyDescent="0.25">
      <c r="A2051" t="s">
        <v>2938</v>
      </c>
    </row>
    <row r="2052" spans="1:1" x14ac:dyDescent="0.25">
      <c r="A2052" t="s">
        <v>2939</v>
      </c>
    </row>
    <row r="2053" spans="1:1" x14ac:dyDescent="0.25">
      <c r="A2053" t="s">
        <v>2940</v>
      </c>
    </row>
    <row r="2054" spans="1:1" x14ac:dyDescent="0.25">
      <c r="A2054" t="s">
        <v>2941</v>
      </c>
    </row>
    <row r="2055" spans="1:1" x14ac:dyDescent="0.25">
      <c r="A2055" t="s">
        <v>2942</v>
      </c>
    </row>
    <row r="2056" spans="1:1" x14ac:dyDescent="0.25">
      <c r="A2056">
        <v>983332765</v>
      </c>
    </row>
    <row r="2057" spans="1:1" x14ac:dyDescent="0.25">
      <c r="A2057" t="s">
        <v>2943</v>
      </c>
    </row>
    <row r="2058" spans="1:1" x14ac:dyDescent="0.25">
      <c r="A2058" t="s">
        <v>2944</v>
      </c>
    </row>
    <row r="2059" spans="1:1" x14ac:dyDescent="0.25">
      <c r="A2059" t="s">
        <v>2945</v>
      </c>
    </row>
    <row r="2060" spans="1:1" x14ac:dyDescent="0.25">
      <c r="A2060" t="s">
        <v>2946</v>
      </c>
    </row>
    <row r="2061" spans="1:1" x14ac:dyDescent="0.25">
      <c r="A2061" t="s">
        <v>2947</v>
      </c>
    </row>
    <row r="2062" spans="1:1" x14ac:dyDescent="0.25">
      <c r="A2062" t="s">
        <v>2948</v>
      </c>
    </row>
    <row r="2064" spans="1:1" x14ac:dyDescent="0.25">
      <c r="A2064">
        <v>983452343</v>
      </c>
    </row>
    <row r="2065" spans="1:1" x14ac:dyDescent="0.25">
      <c r="A2065" t="s">
        <v>2949</v>
      </c>
    </row>
    <row r="2066" spans="1:1" x14ac:dyDescent="0.25">
      <c r="A2066" t="s">
        <v>2950</v>
      </c>
    </row>
    <row r="2067" spans="1:1" x14ac:dyDescent="0.25">
      <c r="A2067" t="s">
        <v>2951</v>
      </c>
    </row>
    <row r="2068" spans="1:1" x14ac:dyDescent="0.25">
      <c r="A2068" t="s">
        <v>2952</v>
      </c>
    </row>
    <row r="2069" spans="1:1" x14ac:dyDescent="0.25">
      <c r="A2069" t="s">
        <v>2953</v>
      </c>
    </row>
    <row r="2070" spans="1:1" x14ac:dyDescent="0.25">
      <c r="A2070" t="s">
        <v>2954</v>
      </c>
    </row>
    <row r="2071" spans="1:1" x14ac:dyDescent="0.25">
      <c r="A2071" t="s">
        <v>2955</v>
      </c>
    </row>
    <row r="2072" spans="1:1" x14ac:dyDescent="0.25">
      <c r="A2072" t="s">
        <v>2956</v>
      </c>
    </row>
    <row r="2073" spans="1:1" x14ac:dyDescent="0.25">
      <c r="A2073" t="s">
        <v>2957</v>
      </c>
    </row>
    <row r="2074" spans="1:1" x14ac:dyDescent="0.25">
      <c r="A2074" t="s">
        <v>2958</v>
      </c>
    </row>
    <row r="2076" spans="1:1" x14ac:dyDescent="0.25">
      <c r="A2076" t="s">
        <v>2959</v>
      </c>
    </row>
    <row r="2077" spans="1:1" x14ac:dyDescent="0.25">
      <c r="A2077">
        <v>984304111</v>
      </c>
    </row>
    <row r="2078" spans="1:1" x14ac:dyDescent="0.25">
      <c r="A2078" t="s">
        <v>2960</v>
      </c>
    </row>
    <row r="2079" spans="1:1" x14ac:dyDescent="0.25">
      <c r="A2079">
        <v>984393698</v>
      </c>
    </row>
    <row r="2080" spans="1:1" x14ac:dyDescent="0.25">
      <c r="A2080" t="s">
        <v>2961</v>
      </c>
    </row>
    <row r="2081" spans="1:1" x14ac:dyDescent="0.25">
      <c r="A2081" t="s">
        <v>2962</v>
      </c>
    </row>
    <row r="2082" spans="1:1" x14ac:dyDescent="0.25">
      <c r="A2082" t="s">
        <v>2963</v>
      </c>
    </row>
    <row r="2083" spans="1:1" x14ac:dyDescent="0.25">
      <c r="A2083" t="s">
        <v>2964</v>
      </c>
    </row>
    <row r="2084" spans="1:1" x14ac:dyDescent="0.25">
      <c r="A2084" t="s">
        <v>2965</v>
      </c>
    </row>
    <row r="2085" spans="1:1" x14ac:dyDescent="0.25">
      <c r="A2085" t="s">
        <v>2966</v>
      </c>
    </row>
    <row r="2086" spans="1:1" x14ac:dyDescent="0.25">
      <c r="A2086">
        <v>984769391</v>
      </c>
    </row>
    <row r="2087" spans="1:1" x14ac:dyDescent="0.25">
      <c r="A2087" t="s">
        <v>2967</v>
      </c>
    </row>
    <row r="2088" spans="1:1" x14ac:dyDescent="0.25">
      <c r="A2088" t="s">
        <v>2968</v>
      </c>
    </row>
    <row r="2089" spans="1:1" x14ac:dyDescent="0.25">
      <c r="A2089" t="s">
        <v>2969</v>
      </c>
    </row>
    <row r="2090" spans="1:1" x14ac:dyDescent="0.25">
      <c r="A2090" t="s">
        <v>2970</v>
      </c>
    </row>
    <row r="2091" spans="1:1" x14ac:dyDescent="0.25">
      <c r="A2091" t="s">
        <v>2971</v>
      </c>
    </row>
    <row r="2092" spans="1:1" x14ac:dyDescent="0.25">
      <c r="A2092" t="s">
        <v>2972</v>
      </c>
    </row>
    <row r="2093" spans="1:1" x14ac:dyDescent="0.25">
      <c r="A2093" t="s">
        <v>2973</v>
      </c>
    </row>
    <row r="2094" spans="1:1" x14ac:dyDescent="0.25">
      <c r="A2094" t="s">
        <v>2974</v>
      </c>
    </row>
    <row r="2095" spans="1:1" x14ac:dyDescent="0.25">
      <c r="A2095" t="s">
        <v>2975</v>
      </c>
    </row>
    <row r="2096" spans="1:1" x14ac:dyDescent="0.25">
      <c r="A2096" t="s">
        <v>2976</v>
      </c>
    </row>
    <row r="2097" spans="1:2" x14ac:dyDescent="0.25">
      <c r="A2097" t="s">
        <v>2977</v>
      </c>
    </row>
    <row r="2098" spans="1:2" x14ac:dyDescent="0.25">
      <c r="A2098" t="s">
        <v>2978</v>
      </c>
    </row>
    <row r="2099" spans="1:2" x14ac:dyDescent="0.25">
      <c r="A2099" t="s">
        <v>2979</v>
      </c>
    </row>
    <row r="2100" spans="1:2" x14ac:dyDescent="0.25">
      <c r="A2100" t="s">
        <v>2980</v>
      </c>
    </row>
    <row r="2101" spans="1:2" x14ac:dyDescent="0.25">
      <c r="A2101" t="s">
        <v>2981</v>
      </c>
    </row>
    <row r="2102" spans="1:2" x14ac:dyDescent="0.25">
      <c r="A2102" t="s">
        <v>2982</v>
      </c>
    </row>
    <row r="2103" spans="1:2" x14ac:dyDescent="0.25">
      <c r="A2103" t="s">
        <v>2983</v>
      </c>
    </row>
    <row r="2104" spans="1:2" x14ac:dyDescent="0.25">
      <c r="A2104" t="s">
        <v>2984</v>
      </c>
    </row>
    <row r="2105" spans="1:2" x14ac:dyDescent="0.25">
      <c r="A2105" t="s">
        <v>2985</v>
      </c>
    </row>
    <row r="2106" spans="1:2" x14ac:dyDescent="0.25">
      <c r="A2106" t="s">
        <v>2986</v>
      </c>
    </row>
    <row r="2107" spans="1:2" x14ac:dyDescent="0.25">
      <c r="A2107" t="s">
        <v>2987</v>
      </c>
    </row>
    <row r="2108" spans="1:2" x14ac:dyDescent="0.25">
      <c r="A2108" t="s">
        <v>2988</v>
      </c>
    </row>
    <row r="2109" spans="1:2" x14ac:dyDescent="0.25">
      <c r="A2109" t="s">
        <v>2989</v>
      </c>
      <c r="B2109" t="s">
        <v>2990</v>
      </c>
    </row>
    <row r="2111" spans="1:2" x14ac:dyDescent="0.25">
      <c r="A2111">
        <v>984981128</v>
      </c>
    </row>
    <row r="2112" spans="1:2" x14ac:dyDescent="0.25">
      <c r="A2112" t="s">
        <v>2991</v>
      </c>
    </row>
    <row r="2113" spans="1:1" x14ac:dyDescent="0.25">
      <c r="A2113" t="s">
        <v>2992</v>
      </c>
    </row>
    <row r="2114" spans="1:1" x14ac:dyDescent="0.25">
      <c r="A2114" t="s">
        <v>2993</v>
      </c>
    </row>
    <row r="2115" spans="1:1" x14ac:dyDescent="0.25">
      <c r="A2115" t="s">
        <v>2994</v>
      </c>
    </row>
    <row r="2116" spans="1:1" x14ac:dyDescent="0.25">
      <c r="A2116" t="s">
        <v>2995</v>
      </c>
    </row>
    <row r="2117" spans="1:1" x14ac:dyDescent="0.25">
      <c r="A2117" t="s">
        <v>2996</v>
      </c>
    </row>
    <row r="2118" spans="1:1" x14ac:dyDescent="0.25">
      <c r="A2118" t="s">
        <v>2997</v>
      </c>
    </row>
    <row r="2120" spans="1:1" x14ac:dyDescent="0.25">
      <c r="A2120" t="s">
        <v>2998</v>
      </c>
    </row>
    <row r="2121" spans="1:1" x14ac:dyDescent="0.25">
      <c r="A2121" t="s">
        <v>2999</v>
      </c>
    </row>
    <row r="2122" spans="1:1" x14ac:dyDescent="0.25">
      <c r="A2122" t="s">
        <v>3000</v>
      </c>
    </row>
    <row r="2123" spans="1:1" x14ac:dyDescent="0.25">
      <c r="A2123" t="s">
        <v>3001</v>
      </c>
    </row>
    <row r="2124" spans="1:1" x14ac:dyDescent="0.25">
      <c r="A2124" t="s">
        <v>3002</v>
      </c>
    </row>
    <row r="2125" spans="1:1" x14ac:dyDescent="0.25">
      <c r="A2125">
        <v>985266838</v>
      </c>
    </row>
    <row r="2126" spans="1:1" x14ac:dyDescent="0.25">
      <c r="A2126" t="s">
        <v>3003</v>
      </c>
    </row>
    <row r="2127" spans="1:1" x14ac:dyDescent="0.25">
      <c r="A2127" t="s">
        <v>3004</v>
      </c>
    </row>
    <row r="2128" spans="1:1" x14ac:dyDescent="0.25">
      <c r="A2128" t="s">
        <v>3005</v>
      </c>
    </row>
    <row r="2129" spans="1:1" x14ac:dyDescent="0.25">
      <c r="A2129" t="s">
        <v>2988</v>
      </c>
    </row>
    <row r="2130" spans="1:1" x14ac:dyDescent="0.25">
      <c r="A2130" t="s">
        <v>3006</v>
      </c>
    </row>
    <row r="2131" spans="1:1" x14ac:dyDescent="0.25">
      <c r="A2131">
        <v>986039386</v>
      </c>
    </row>
    <row r="2132" spans="1:1" x14ac:dyDescent="0.25">
      <c r="A2132" t="s">
        <v>3007</v>
      </c>
    </row>
    <row r="2133" spans="1:1" x14ac:dyDescent="0.25">
      <c r="A2133" t="s">
        <v>3008</v>
      </c>
    </row>
    <row r="2134" spans="1:1" x14ac:dyDescent="0.25">
      <c r="A2134" t="s">
        <v>3009</v>
      </c>
    </row>
    <row r="2135" spans="1:1" x14ac:dyDescent="0.25">
      <c r="A2135" t="s">
        <v>3010</v>
      </c>
    </row>
    <row r="2136" spans="1:1" x14ac:dyDescent="0.25">
      <c r="A2136" t="s">
        <v>3011</v>
      </c>
    </row>
    <row r="2137" spans="1:1" x14ac:dyDescent="0.25">
      <c r="A2137" t="s">
        <v>3012</v>
      </c>
    </row>
    <row r="2138" spans="1:1" x14ac:dyDescent="0.25">
      <c r="A2138" t="s">
        <v>3013</v>
      </c>
    </row>
    <row r="2139" spans="1:1" x14ac:dyDescent="0.25">
      <c r="A2139" t="s">
        <v>3014</v>
      </c>
    </row>
    <row r="2140" spans="1:1" x14ac:dyDescent="0.25">
      <c r="A2140" t="s">
        <v>3015</v>
      </c>
    </row>
    <row r="2141" spans="1:1" x14ac:dyDescent="0.25">
      <c r="A2141" t="s">
        <v>3016</v>
      </c>
    </row>
    <row r="2143" spans="1:1" x14ac:dyDescent="0.25">
      <c r="A2143" t="s">
        <v>3017</v>
      </c>
    </row>
    <row r="2144" spans="1:1" x14ac:dyDescent="0.25">
      <c r="A2144" t="s">
        <v>3018</v>
      </c>
    </row>
    <row r="2145" spans="1:1" x14ac:dyDescent="0.25">
      <c r="A2145" t="s">
        <v>3019</v>
      </c>
    </row>
    <row r="2146" spans="1:1" x14ac:dyDescent="0.25">
      <c r="A2146" t="s">
        <v>3020</v>
      </c>
    </row>
    <row r="2148" spans="1:1" x14ac:dyDescent="0.25">
      <c r="A2148" t="s">
        <v>3017</v>
      </c>
    </row>
    <row r="2149" spans="1:1" x14ac:dyDescent="0.25">
      <c r="A2149" t="s">
        <v>3021</v>
      </c>
    </row>
    <row r="2150" spans="1:1" x14ac:dyDescent="0.25">
      <c r="A2150" t="s">
        <v>3022</v>
      </c>
    </row>
    <row r="2151" spans="1:1" x14ac:dyDescent="0.25">
      <c r="A2151" t="s">
        <v>3023</v>
      </c>
    </row>
    <row r="2152" spans="1:1" x14ac:dyDescent="0.25">
      <c r="A2152" t="s">
        <v>3024</v>
      </c>
    </row>
    <row r="2153" spans="1:1" x14ac:dyDescent="0.25">
      <c r="A2153" t="s">
        <v>3025</v>
      </c>
    </row>
    <row r="2154" spans="1:1" x14ac:dyDescent="0.25">
      <c r="A2154">
        <v>987454834</v>
      </c>
    </row>
    <row r="2155" spans="1:1" x14ac:dyDescent="0.25">
      <c r="A2155" t="s">
        <v>3026</v>
      </c>
    </row>
    <row r="2156" spans="1:1" x14ac:dyDescent="0.25">
      <c r="A2156" t="s">
        <v>3027</v>
      </c>
    </row>
    <row r="2157" spans="1:1" x14ac:dyDescent="0.25">
      <c r="A2157" t="s">
        <v>3028</v>
      </c>
    </row>
    <row r="2158" spans="1:1" x14ac:dyDescent="0.25">
      <c r="A2158" t="s">
        <v>3029</v>
      </c>
    </row>
    <row r="2159" spans="1:1" x14ac:dyDescent="0.25">
      <c r="A2159" t="s">
        <v>3030</v>
      </c>
    </row>
    <row r="2160" spans="1:1" x14ac:dyDescent="0.25">
      <c r="A2160" t="s">
        <v>3031</v>
      </c>
    </row>
    <row r="2161" spans="1:2" x14ac:dyDescent="0.25">
      <c r="A2161" t="s">
        <v>2333</v>
      </c>
    </row>
    <row r="2162" spans="1:2" x14ac:dyDescent="0.25">
      <c r="A2162" t="s">
        <v>2595</v>
      </c>
    </row>
    <row r="2163" spans="1:2" x14ac:dyDescent="0.25">
      <c r="A2163" t="s">
        <v>2263</v>
      </c>
    </row>
    <row r="2164" spans="1:2" x14ac:dyDescent="0.25">
      <c r="A2164" t="s">
        <v>3032</v>
      </c>
    </row>
    <row r="2166" spans="1:2" x14ac:dyDescent="0.25">
      <c r="A2166">
        <v>987737259</v>
      </c>
    </row>
    <row r="2167" spans="1:2" x14ac:dyDescent="0.25">
      <c r="A2167" t="s">
        <v>3033</v>
      </c>
    </row>
    <row r="2168" spans="1:2" x14ac:dyDescent="0.25">
      <c r="A2168" t="s">
        <v>3034</v>
      </c>
    </row>
    <row r="2169" spans="1:2" x14ac:dyDescent="0.25">
      <c r="A2169" t="s">
        <v>3035</v>
      </c>
    </row>
    <row r="2170" spans="1:2" x14ac:dyDescent="0.25">
      <c r="A2170" t="s">
        <v>2210</v>
      </c>
    </row>
    <row r="2171" spans="1:2" x14ac:dyDescent="0.25">
      <c r="A2171" t="s">
        <v>3036</v>
      </c>
    </row>
    <row r="2172" spans="1:2" x14ac:dyDescent="0.25">
      <c r="A2172" t="s">
        <v>3037</v>
      </c>
    </row>
    <row r="2173" spans="1:2" x14ac:dyDescent="0.25">
      <c r="A2173" t="s">
        <v>3038</v>
      </c>
      <c r="B2173" t="s">
        <v>3039</v>
      </c>
    </row>
    <row r="2174" spans="1:2" x14ac:dyDescent="0.25">
      <c r="A2174" t="s">
        <v>3040</v>
      </c>
    </row>
    <row r="2175" spans="1:2" x14ac:dyDescent="0.25">
      <c r="A2175">
        <v>987737259</v>
      </c>
    </row>
    <row r="2176" spans="1:2" x14ac:dyDescent="0.25">
      <c r="A2176" t="s">
        <v>3041</v>
      </c>
    </row>
    <row r="2177" spans="1:1" x14ac:dyDescent="0.25">
      <c r="A2177" t="s">
        <v>3034</v>
      </c>
    </row>
    <row r="2178" spans="1:1" x14ac:dyDescent="0.25">
      <c r="A2178" t="s">
        <v>3035</v>
      </c>
    </row>
    <row r="2179" spans="1:1" x14ac:dyDescent="0.25">
      <c r="A2179" t="s">
        <v>3042</v>
      </c>
    </row>
    <row r="2180" spans="1:1" x14ac:dyDescent="0.25">
      <c r="A2180" t="s">
        <v>3036</v>
      </c>
    </row>
    <row r="2181" spans="1:1" x14ac:dyDescent="0.25">
      <c r="A2181" t="s">
        <v>3037</v>
      </c>
    </row>
    <row r="2182" spans="1:1" x14ac:dyDescent="0.25">
      <c r="A2182" t="s">
        <v>3043</v>
      </c>
    </row>
    <row r="2183" spans="1:1" x14ac:dyDescent="0.25">
      <c r="A2183" t="s">
        <v>3044</v>
      </c>
    </row>
    <row r="2184" spans="1:1" x14ac:dyDescent="0.25">
      <c r="A2184" t="s">
        <v>3045</v>
      </c>
    </row>
    <row r="2185" spans="1:1" x14ac:dyDescent="0.25">
      <c r="A2185" t="s">
        <v>3046</v>
      </c>
    </row>
    <row r="2186" spans="1:1" x14ac:dyDescent="0.25">
      <c r="A2186" t="s">
        <v>3047</v>
      </c>
    </row>
    <row r="2187" spans="1:1" x14ac:dyDescent="0.25">
      <c r="A2187" t="s">
        <v>3048</v>
      </c>
    </row>
    <row r="2188" spans="1:1" x14ac:dyDescent="0.25">
      <c r="A2188" t="s">
        <v>3049</v>
      </c>
    </row>
    <row r="2189" spans="1:1" x14ac:dyDescent="0.25">
      <c r="A2189" t="s">
        <v>3046</v>
      </c>
    </row>
    <row r="2190" spans="1:1" x14ac:dyDescent="0.25">
      <c r="A2190" t="s">
        <v>3050</v>
      </c>
    </row>
    <row r="2191" spans="1:1" x14ac:dyDescent="0.25">
      <c r="A2191" t="s">
        <v>3051</v>
      </c>
    </row>
    <row r="2192" spans="1:1" x14ac:dyDescent="0.25">
      <c r="A2192" t="s">
        <v>3049</v>
      </c>
    </row>
    <row r="2193" spans="1:1" x14ac:dyDescent="0.25">
      <c r="A2193" t="s">
        <v>3052</v>
      </c>
    </row>
    <row r="2196" spans="1:1" x14ac:dyDescent="0.25">
      <c r="A2196">
        <v>988679163</v>
      </c>
    </row>
    <row r="2197" spans="1:1" x14ac:dyDescent="0.25">
      <c r="A2197" t="s">
        <v>3053</v>
      </c>
    </row>
    <row r="2198" spans="1:1" x14ac:dyDescent="0.25">
      <c r="A2198" t="s">
        <v>3054</v>
      </c>
    </row>
    <row r="2199" spans="1:1" x14ac:dyDescent="0.25">
      <c r="A2199">
        <v>989009433</v>
      </c>
    </row>
    <row r="2200" spans="1:1" x14ac:dyDescent="0.25">
      <c r="A2200" t="s">
        <v>3055</v>
      </c>
    </row>
    <row r="2201" spans="1:1" x14ac:dyDescent="0.25">
      <c r="A2201" t="s">
        <v>3056</v>
      </c>
    </row>
    <row r="2202" spans="1:1" x14ac:dyDescent="0.25">
      <c r="A2202" t="s">
        <v>3057</v>
      </c>
    </row>
    <row r="2203" spans="1:1" x14ac:dyDescent="0.25">
      <c r="A2203" t="s">
        <v>3058</v>
      </c>
    </row>
    <row r="2204" spans="1:1" x14ac:dyDescent="0.25">
      <c r="A2204" t="s">
        <v>3059</v>
      </c>
    </row>
    <row r="2205" spans="1:1" x14ac:dyDescent="0.25">
      <c r="A2205" t="s">
        <v>3060</v>
      </c>
    </row>
    <row r="2206" spans="1:1" x14ac:dyDescent="0.25">
      <c r="A2206" t="s">
        <v>3061</v>
      </c>
    </row>
    <row r="2207" spans="1:1" x14ac:dyDescent="0.25">
      <c r="A2207" t="s">
        <v>3062</v>
      </c>
    </row>
    <row r="2208" spans="1:1" x14ac:dyDescent="0.25">
      <c r="A2208" t="s">
        <v>3063</v>
      </c>
    </row>
    <row r="2209" spans="1:1" x14ac:dyDescent="0.25">
      <c r="A2209" t="s">
        <v>3064</v>
      </c>
    </row>
    <row r="2210" spans="1:1" x14ac:dyDescent="0.25">
      <c r="A2210" t="s">
        <v>3065</v>
      </c>
    </row>
    <row r="2211" spans="1:1" x14ac:dyDescent="0.25">
      <c r="A2211" t="s">
        <v>3066</v>
      </c>
    </row>
    <row r="2212" spans="1:1" x14ac:dyDescent="0.25">
      <c r="A2212" t="s">
        <v>3067</v>
      </c>
    </row>
    <row r="2213" spans="1:1" x14ac:dyDescent="0.25">
      <c r="A2213" t="s">
        <v>3068</v>
      </c>
    </row>
    <row r="2214" spans="1:1" x14ac:dyDescent="0.25">
      <c r="A2214" t="s">
        <v>3069</v>
      </c>
    </row>
    <row r="2215" spans="1:1" x14ac:dyDescent="0.25">
      <c r="A2215" t="s">
        <v>3070</v>
      </c>
    </row>
    <row r="2216" spans="1:1" x14ac:dyDescent="0.25">
      <c r="A2216" t="s">
        <v>3071</v>
      </c>
    </row>
    <row r="2217" spans="1:1" x14ac:dyDescent="0.25">
      <c r="A2217" t="s">
        <v>3072</v>
      </c>
    </row>
    <row r="2218" spans="1:1" x14ac:dyDescent="0.25">
      <c r="A2218" t="s">
        <v>3073</v>
      </c>
    </row>
    <row r="2219" spans="1:1" x14ac:dyDescent="0.25">
      <c r="A2219" t="s">
        <v>3074</v>
      </c>
    </row>
    <row r="2220" spans="1:1" x14ac:dyDescent="0.25">
      <c r="A2220">
        <v>994531501</v>
      </c>
    </row>
    <row r="2221" spans="1:1" x14ac:dyDescent="0.25">
      <c r="A2221" t="s">
        <v>3075</v>
      </c>
    </row>
    <row r="2222" spans="1:1" x14ac:dyDescent="0.25">
      <c r="A2222" t="s">
        <v>3076</v>
      </c>
    </row>
    <row r="2223" spans="1:1" x14ac:dyDescent="0.25">
      <c r="A2223" t="s">
        <v>3077</v>
      </c>
    </row>
    <row r="2224" spans="1:1" x14ac:dyDescent="0.25">
      <c r="A2224" t="s">
        <v>3078</v>
      </c>
    </row>
    <row r="2225" spans="1:1" x14ac:dyDescent="0.25">
      <c r="A2225" t="s">
        <v>3079</v>
      </c>
    </row>
    <row r="2226" spans="1:1" x14ac:dyDescent="0.25">
      <c r="A2226" t="s">
        <v>3080</v>
      </c>
    </row>
    <row r="2227" spans="1:1" x14ac:dyDescent="0.25">
      <c r="A2227">
        <v>996376822</v>
      </c>
    </row>
    <row r="2228" spans="1:1" x14ac:dyDescent="0.25">
      <c r="A2228" t="s">
        <v>2436</v>
      </c>
    </row>
    <row r="2229" spans="1:1" x14ac:dyDescent="0.25">
      <c r="A2229" t="s">
        <v>3081</v>
      </c>
    </row>
    <row r="2230" spans="1:1" x14ac:dyDescent="0.25">
      <c r="A2230" t="s">
        <v>3082</v>
      </c>
    </row>
    <row r="2231" spans="1:1" x14ac:dyDescent="0.25">
      <c r="A2231" t="s">
        <v>3083</v>
      </c>
    </row>
    <row r="2232" spans="1:1" x14ac:dyDescent="0.25">
      <c r="A2232" t="s">
        <v>3084</v>
      </c>
    </row>
    <row r="2233" spans="1:1" x14ac:dyDescent="0.25">
      <c r="A2233" t="s">
        <v>3085</v>
      </c>
    </row>
    <row r="2234" spans="1:1" x14ac:dyDescent="0.25">
      <c r="A2234" t="s">
        <v>3086</v>
      </c>
    </row>
    <row r="2235" spans="1:1" x14ac:dyDescent="0.25">
      <c r="A2235" t="s">
        <v>3087</v>
      </c>
    </row>
    <row r="2236" spans="1:1" x14ac:dyDescent="0.25">
      <c r="A2236" t="s">
        <v>3088</v>
      </c>
    </row>
    <row r="2237" spans="1:1" x14ac:dyDescent="0.25">
      <c r="A2237" t="s">
        <v>1317</v>
      </c>
    </row>
    <row r="2238" spans="1:1" x14ac:dyDescent="0.25">
      <c r="A2238" t="s">
        <v>3089</v>
      </c>
    </row>
    <row r="2239" spans="1:1" x14ac:dyDescent="0.25">
      <c r="A2239" t="s">
        <v>3090</v>
      </c>
    </row>
    <row r="2240" spans="1:1" x14ac:dyDescent="0.25">
      <c r="A2240" t="s">
        <v>3091</v>
      </c>
    </row>
    <row r="2241" spans="1:1" x14ac:dyDescent="0.25">
      <c r="A2241" t="s">
        <v>3092</v>
      </c>
    </row>
    <row r="2242" spans="1:1" x14ac:dyDescent="0.25">
      <c r="A2242" t="s">
        <v>3093</v>
      </c>
    </row>
    <row r="2243" spans="1:1" x14ac:dyDescent="0.25">
      <c r="A2243" t="s">
        <v>3094</v>
      </c>
    </row>
    <row r="2244" spans="1:1" x14ac:dyDescent="0.25">
      <c r="A2244" t="s">
        <v>3095</v>
      </c>
    </row>
    <row r="2245" spans="1:1" x14ac:dyDescent="0.25">
      <c r="A2245" t="s">
        <v>3096</v>
      </c>
    </row>
    <row r="2246" spans="1:1" x14ac:dyDescent="0.25">
      <c r="A2246" t="s">
        <v>3097</v>
      </c>
    </row>
    <row r="2247" spans="1:1" x14ac:dyDescent="0.25">
      <c r="A2247" t="s">
        <v>3098</v>
      </c>
    </row>
    <row r="2248" spans="1:1" x14ac:dyDescent="0.25">
      <c r="A2248" t="s">
        <v>3099</v>
      </c>
    </row>
    <row r="2249" spans="1:1" x14ac:dyDescent="0.25">
      <c r="A2249" t="s">
        <v>3095</v>
      </c>
    </row>
    <row r="2250" spans="1:1" x14ac:dyDescent="0.25">
      <c r="A2250" t="s">
        <v>3100</v>
      </c>
    </row>
    <row r="2251" spans="1:1" x14ac:dyDescent="0.25">
      <c r="A2251" t="s">
        <v>3101</v>
      </c>
    </row>
    <row r="2252" spans="1:1" x14ac:dyDescent="0.25">
      <c r="A2252" t="s">
        <v>3098</v>
      </c>
    </row>
    <row r="2254" spans="1:1" x14ac:dyDescent="0.25">
      <c r="A2254" t="s">
        <v>3093</v>
      </c>
    </row>
    <row r="2255" spans="1:1" x14ac:dyDescent="0.25">
      <c r="A2255" t="s">
        <v>3094</v>
      </c>
    </row>
    <row r="2256" spans="1:1" x14ac:dyDescent="0.25">
      <c r="A2256" t="s">
        <v>3102</v>
      </c>
    </row>
    <row r="2257" spans="1:1" x14ac:dyDescent="0.25">
      <c r="A2257" t="s">
        <v>3103</v>
      </c>
    </row>
    <row r="2258" spans="1:1" x14ac:dyDescent="0.25">
      <c r="A2258" t="s">
        <v>3104</v>
      </c>
    </row>
    <row r="2259" spans="1:1" x14ac:dyDescent="0.25">
      <c r="A2259" t="s">
        <v>3105</v>
      </c>
    </row>
    <row r="2260" spans="1:1" x14ac:dyDescent="0.25">
      <c r="A2260" t="s">
        <v>3106</v>
      </c>
    </row>
    <row r="2261" spans="1:1" x14ac:dyDescent="0.25">
      <c r="A2261" t="s">
        <v>3107</v>
      </c>
    </row>
    <row r="2262" spans="1:1" x14ac:dyDescent="0.25">
      <c r="A2262" t="s">
        <v>3108</v>
      </c>
    </row>
    <row r="2263" spans="1:1" x14ac:dyDescent="0.25">
      <c r="A2263" t="s">
        <v>3103</v>
      </c>
    </row>
    <row r="2264" spans="1:1" x14ac:dyDescent="0.25">
      <c r="A2264" t="s">
        <v>2340</v>
      </c>
    </row>
    <row r="2265" spans="1:1" x14ac:dyDescent="0.25">
      <c r="A2265" t="s">
        <v>3109</v>
      </c>
    </row>
    <row r="2266" spans="1:1" x14ac:dyDescent="0.25">
      <c r="A2266" t="s">
        <v>3110</v>
      </c>
    </row>
    <row r="2267" spans="1:1" x14ac:dyDescent="0.25">
      <c r="A2267" t="s">
        <v>3099</v>
      </c>
    </row>
    <row r="2268" spans="1:1" x14ac:dyDescent="0.25">
      <c r="A2268" t="s">
        <v>3111</v>
      </c>
    </row>
    <row r="2269" spans="1:1" x14ac:dyDescent="0.25">
      <c r="A2269" t="s">
        <v>3112</v>
      </c>
    </row>
    <row r="2270" spans="1:1" x14ac:dyDescent="0.25">
      <c r="A2270" t="s">
        <v>3113</v>
      </c>
    </row>
    <row r="2271" spans="1:1" x14ac:dyDescent="0.25">
      <c r="A2271" t="s">
        <v>3114</v>
      </c>
    </row>
    <row r="2272" spans="1:1" x14ac:dyDescent="0.25">
      <c r="A2272" t="s">
        <v>3115</v>
      </c>
    </row>
    <row r="2273" spans="1:1" x14ac:dyDescent="0.25">
      <c r="A2273" t="s">
        <v>3116</v>
      </c>
    </row>
    <row r="2274" spans="1:1" x14ac:dyDescent="0.25">
      <c r="A2274" t="s">
        <v>3117</v>
      </c>
    </row>
    <row r="2275" spans="1:1" x14ac:dyDescent="0.25">
      <c r="A2275" t="s">
        <v>3118</v>
      </c>
    </row>
    <row r="2276" spans="1:1" x14ac:dyDescent="0.25">
      <c r="A2276" t="s">
        <v>3119</v>
      </c>
    </row>
    <row r="2277" spans="1:1" x14ac:dyDescent="0.25">
      <c r="A2277" t="s">
        <v>3120</v>
      </c>
    </row>
    <row r="2278" spans="1:1" x14ac:dyDescent="0.25">
      <c r="A2278" t="s">
        <v>3115</v>
      </c>
    </row>
    <row r="2279" spans="1:1" x14ac:dyDescent="0.25">
      <c r="A2279" t="s">
        <v>3116</v>
      </c>
    </row>
    <row r="2280" spans="1:1" x14ac:dyDescent="0.25">
      <c r="A2280" t="s">
        <v>3117</v>
      </c>
    </row>
    <row r="2281" spans="1:1" x14ac:dyDescent="0.25">
      <c r="A2281" t="s">
        <v>3118</v>
      </c>
    </row>
    <row r="2282" spans="1:1" x14ac:dyDescent="0.25">
      <c r="A2282" t="s">
        <v>3119</v>
      </c>
    </row>
    <row r="2283" spans="1:1" x14ac:dyDescent="0.25">
      <c r="A2283" t="s">
        <v>3121</v>
      </c>
    </row>
    <row r="2284" spans="1:1" x14ac:dyDescent="0.25">
      <c r="A2284" t="s">
        <v>2277</v>
      </c>
    </row>
    <row r="2285" spans="1:1" x14ac:dyDescent="0.25">
      <c r="A2285" t="s">
        <v>3122</v>
      </c>
    </row>
    <row r="2286" spans="1:1" x14ac:dyDescent="0.25">
      <c r="A2286" t="s">
        <v>2279</v>
      </c>
    </row>
    <row r="2287" spans="1:1" x14ac:dyDescent="0.25">
      <c r="A2287" t="s">
        <v>3123</v>
      </c>
    </row>
    <row r="2288" spans="1:1" x14ac:dyDescent="0.25">
      <c r="A2288" t="s">
        <v>3121</v>
      </c>
    </row>
    <row r="2289" spans="1:1" x14ac:dyDescent="0.25">
      <c r="A2289" t="s">
        <v>2277</v>
      </c>
    </row>
    <row r="2290" spans="1:1" x14ac:dyDescent="0.25">
      <c r="A2290" t="s">
        <v>3122</v>
      </c>
    </row>
    <row r="2291" spans="1:1" x14ac:dyDescent="0.25">
      <c r="A2291" t="s">
        <v>2279</v>
      </c>
    </row>
    <row r="2292" spans="1:1" x14ac:dyDescent="0.25">
      <c r="A2292" t="s">
        <v>3124</v>
      </c>
    </row>
    <row r="2293" spans="1:1" x14ac:dyDescent="0.25">
      <c r="A2293">
        <v>997063151</v>
      </c>
    </row>
    <row r="2294" spans="1:1" x14ac:dyDescent="0.25">
      <c r="A2294" t="s">
        <v>3125</v>
      </c>
    </row>
    <row r="2295" spans="1:1" x14ac:dyDescent="0.25">
      <c r="A2295" t="s">
        <v>3126</v>
      </c>
    </row>
    <row r="2296" spans="1:1" x14ac:dyDescent="0.25">
      <c r="A2296" t="s">
        <v>3127</v>
      </c>
    </row>
    <row r="2297" spans="1:1" x14ac:dyDescent="0.25">
      <c r="A2297" t="s">
        <v>3128</v>
      </c>
    </row>
    <row r="2298" spans="1:1" x14ac:dyDescent="0.25">
      <c r="A2298" t="s">
        <v>3129</v>
      </c>
    </row>
    <row r="2299" spans="1:1" x14ac:dyDescent="0.25">
      <c r="A2299">
        <v>997808937</v>
      </c>
    </row>
    <row r="2300" spans="1:1" x14ac:dyDescent="0.25">
      <c r="A2300" t="s">
        <v>3130</v>
      </c>
    </row>
    <row r="2301" spans="1:1" x14ac:dyDescent="0.25">
      <c r="A2301" t="s">
        <v>3131</v>
      </c>
    </row>
    <row r="2302" spans="1:1" x14ac:dyDescent="0.25">
      <c r="A2302" t="s">
        <v>1330</v>
      </c>
    </row>
    <row r="2303" spans="1:1" x14ac:dyDescent="0.25">
      <c r="A2303" t="s">
        <v>3132</v>
      </c>
    </row>
    <row r="2304" spans="1:1" x14ac:dyDescent="0.25">
      <c r="A2304" t="s">
        <v>3133</v>
      </c>
    </row>
    <row r="2305" spans="1:1" x14ac:dyDescent="0.25">
      <c r="A2305" t="s">
        <v>3134</v>
      </c>
    </row>
    <row r="2306" spans="1:1" x14ac:dyDescent="0.25">
      <c r="A2306" t="s">
        <v>3135</v>
      </c>
    </row>
    <row r="2308" spans="1:1" x14ac:dyDescent="0.25">
      <c r="A2308" t="s">
        <v>3134</v>
      </c>
    </row>
    <row r="2309" spans="1:1" x14ac:dyDescent="0.25">
      <c r="A2309" t="s">
        <v>3136</v>
      </c>
    </row>
    <row r="2310" spans="1:1" x14ac:dyDescent="0.25">
      <c r="A2310" t="s">
        <v>3137</v>
      </c>
    </row>
    <row r="2311" spans="1:1" x14ac:dyDescent="0.25">
      <c r="A2311" t="s">
        <v>3138</v>
      </c>
    </row>
    <row r="2312" spans="1:1" x14ac:dyDescent="0.25">
      <c r="A2312" t="s">
        <v>3139</v>
      </c>
    </row>
    <row r="2313" spans="1:1" x14ac:dyDescent="0.25">
      <c r="A2313" t="s">
        <v>3140</v>
      </c>
    </row>
    <row r="2314" spans="1:1" x14ac:dyDescent="0.25">
      <c r="A2314" t="s">
        <v>3141</v>
      </c>
    </row>
    <row r="2315" spans="1:1" x14ac:dyDescent="0.25">
      <c r="A2315" t="s">
        <v>3142</v>
      </c>
    </row>
    <row r="2316" spans="1:1" x14ac:dyDescent="0.25">
      <c r="A2316" t="s">
        <v>3143</v>
      </c>
    </row>
    <row r="2317" spans="1:1" x14ac:dyDescent="0.25">
      <c r="A2317" t="s">
        <v>2263</v>
      </c>
    </row>
    <row r="2318" spans="1:1" x14ac:dyDescent="0.25">
      <c r="A2318" t="s">
        <v>3144</v>
      </c>
    </row>
    <row r="2321" spans="1:1" x14ac:dyDescent="0.25">
      <c r="A2321" t="s">
        <v>3145</v>
      </c>
    </row>
    <row r="2322" spans="1:1" x14ac:dyDescent="0.25">
      <c r="A2322" t="s">
        <v>3146</v>
      </c>
    </row>
    <row r="2323" spans="1:1" x14ac:dyDescent="0.25">
      <c r="A2323" t="s">
        <v>3147</v>
      </c>
    </row>
    <row r="2324" spans="1:1" x14ac:dyDescent="0.25">
      <c r="A2324" t="s">
        <v>3148</v>
      </c>
    </row>
    <row r="2325" spans="1:1" x14ac:dyDescent="0.25">
      <c r="A2325">
        <v>998689835</v>
      </c>
    </row>
    <row r="2326" spans="1:1" x14ac:dyDescent="0.25">
      <c r="A2326" t="s">
        <v>3149</v>
      </c>
    </row>
    <row r="2327" spans="1:1" x14ac:dyDescent="0.25">
      <c r="A2327" t="s">
        <v>3150</v>
      </c>
    </row>
    <row r="2328" spans="1:1" x14ac:dyDescent="0.25">
      <c r="A2328" t="s">
        <v>3151</v>
      </c>
    </row>
    <row r="2329" spans="1:1" x14ac:dyDescent="0.25">
      <c r="A2329" t="s">
        <v>3152</v>
      </c>
    </row>
    <row r="2330" spans="1:1" x14ac:dyDescent="0.25">
      <c r="A2330" t="s">
        <v>3030</v>
      </c>
    </row>
    <row r="2331" spans="1:1" x14ac:dyDescent="0.25">
      <c r="A2331" t="s">
        <v>3153</v>
      </c>
    </row>
    <row r="2332" spans="1:1" x14ac:dyDescent="0.25">
      <c r="A2332" t="s">
        <v>2973</v>
      </c>
    </row>
    <row r="2333" spans="1:1" x14ac:dyDescent="0.25">
      <c r="A2333" t="s">
        <v>3154</v>
      </c>
    </row>
    <row r="2334" spans="1:1" x14ac:dyDescent="0.25">
      <c r="A2334" t="s">
        <v>3155</v>
      </c>
    </row>
    <row r="2335" spans="1:1" x14ac:dyDescent="0.25">
      <c r="A2335">
        <v>999199981</v>
      </c>
    </row>
    <row r="2337" spans="1:1" x14ac:dyDescent="0.25">
      <c r="A2337" t="s">
        <v>3156</v>
      </c>
    </row>
    <row r="2338" spans="1:1" x14ac:dyDescent="0.25">
      <c r="A2338" t="s">
        <v>3157</v>
      </c>
    </row>
    <row r="2339" spans="1:1" x14ac:dyDescent="0.25">
      <c r="A2339" t="s">
        <v>3158</v>
      </c>
    </row>
    <row r="2340" spans="1:1" x14ac:dyDescent="0.25">
      <c r="A2340" t="s">
        <v>3159</v>
      </c>
    </row>
    <row r="2341" spans="1:1" x14ac:dyDescent="0.25">
      <c r="A2341" t="s">
        <v>3160</v>
      </c>
    </row>
    <row r="2342" spans="1:1" x14ac:dyDescent="0.25">
      <c r="A2342" t="s">
        <v>3161</v>
      </c>
    </row>
    <row r="2343" spans="1:1" x14ac:dyDescent="0.25">
      <c r="A2343" t="s">
        <v>3162</v>
      </c>
    </row>
    <row r="2344" spans="1:1" x14ac:dyDescent="0.25">
      <c r="A2344" t="s">
        <v>3163</v>
      </c>
    </row>
    <row r="2345" spans="1:1" x14ac:dyDescent="0.25">
      <c r="A2345" t="s">
        <v>3164</v>
      </c>
    </row>
    <row r="2346" spans="1:1" x14ac:dyDescent="0.25">
      <c r="A2346" t="s">
        <v>3165</v>
      </c>
    </row>
    <row r="2347" spans="1:1" x14ac:dyDescent="0.25">
      <c r="A2347" t="s">
        <v>3166</v>
      </c>
    </row>
    <row r="2348" spans="1:1" x14ac:dyDescent="0.25">
      <c r="A2348" t="s">
        <v>3167</v>
      </c>
    </row>
    <row r="2349" spans="1:1" x14ac:dyDescent="0.25">
      <c r="A2349" t="s">
        <v>3168</v>
      </c>
    </row>
    <row r="2350" spans="1:1" x14ac:dyDescent="0.25">
      <c r="A2350">
        <v>999645357</v>
      </c>
    </row>
    <row r="2351" spans="1:1" x14ac:dyDescent="0.25">
      <c r="A2351" t="s">
        <v>3169</v>
      </c>
    </row>
    <row r="2352" spans="1:1" x14ac:dyDescent="0.25">
      <c r="A2352" t="s">
        <v>3170</v>
      </c>
    </row>
    <row r="2353" spans="1:1" x14ac:dyDescent="0.25">
      <c r="A2353">
        <v>7856054</v>
      </c>
    </row>
    <row r="2354" spans="1:1" x14ac:dyDescent="0.25">
      <c r="A2354" t="s">
        <v>3171</v>
      </c>
    </row>
    <row r="2355" spans="1:1" x14ac:dyDescent="0.25">
      <c r="A2355" t="s">
        <v>3172</v>
      </c>
    </row>
    <row r="2356" spans="1:1" x14ac:dyDescent="0.25">
      <c r="A2356" t="s">
        <v>3173</v>
      </c>
    </row>
    <row r="2358" spans="1:1" x14ac:dyDescent="0.25">
      <c r="A2358" t="s">
        <v>3174</v>
      </c>
    </row>
    <row r="2360" spans="1:1" x14ac:dyDescent="0.25">
      <c r="A2360" t="s">
        <v>3175</v>
      </c>
    </row>
    <row r="2361" spans="1:1" x14ac:dyDescent="0.25">
      <c r="A2361" t="s">
        <v>3176</v>
      </c>
    </row>
    <row r="2362" spans="1:1" x14ac:dyDescent="0.25">
      <c r="A2362" t="s">
        <v>3177</v>
      </c>
    </row>
    <row r="2363" spans="1:1" x14ac:dyDescent="0.25">
      <c r="A2363" t="s">
        <v>3178</v>
      </c>
    </row>
    <row r="2364" spans="1:1" x14ac:dyDescent="0.25">
      <c r="A2364" t="s">
        <v>3179</v>
      </c>
    </row>
    <row r="2365" spans="1:1" x14ac:dyDescent="0.25">
      <c r="A2365" t="s">
        <v>3180</v>
      </c>
    </row>
    <row r="2366" spans="1:1" x14ac:dyDescent="0.25">
      <c r="A2366" t="s">
        <v>3181</v>
      </c>
    </row>
    <row r="2368" spans="1:1" x14ac:dyDescent="0.25">
      <c r="A2368" t="s">
        <v>3182</v>
      </c>
    </row>
    <row r="2369" spans="1:1" x14ac:dyDescent="0.25">
      <c r="A2369" t="s">
        <v>3183</v>
      </c>
    </row>
    <row r="2370" spans="1:1" x14ac:dyDescent="0.25">
      <c r="A2370" t="s">
        <v>3184</v>
      </c>
    </row>
    <row r="2371" spans="1:1" x14ac:dyDescent="0.25">
      <c r="A2371" t="s">
        <v>3185</v>
      </c>
    </row>
    <row r="2372" spans="1:1" x14ac:dyDescent="0.25">
      <c r="A2372" t="s">
        <v>3186</v>
      </c>
    </row>
    <row r="2373" spans="1:1" x14ac:dyDescent="0.25">
      <c r="A2373" t="s">
        <v>3187</v>
      </c>
    </row>
    <row r="2374" spans="1:1" x14ac:dyDescent="0.25">
      <c r="A2374" t="s">
        <v>3188</v>
      </c>
    </row>
    <row r="2375" spans="1:1" x14ac:dyDescent="0.25">
      <c r="A2375" t="s">
        <v>3189</v>
      </c>
    </row>
    <row r="2376" spans="1:1" x14ac:dyDescent="0.25">
      <c r="A2376" t="s">
        <v>3190</v>
      </c>
    </row>
    <row r="2377" spans="1:1" x14ac:dyDescent="0.25">
      <c r="A2377" t="s">
        <v>3191</v>
      </c>
    </row>
    <row r="2378" spans="1:1" x14ac:dyDescent="0.25">
      <c r="A2378" t="s">
        <v>3192</v>
      </c>
    </row>
    <row r="2379" spans="1:1" x14ac:dyDescent="0.25">
      <c r="A2379" t="s">
        <v>3193</v>
      </c>
    </row>
    <row r="2380" spans="1:1" x14ac:dyDescent="0.25">
      <c r="A2380" t="s">
        <v>3194</v>
      </c>
    </row>
    <row r="2381" spans="1:1" x14ac:dyDescent="0.25">
      <c r="A2381" t="s">
        <v>3195</v>
      </c>
    </row>
    <row r="2382" spans="1:1" x14ac:dyDescent="0.25">
      <c r="A2382" t="s">
        <v>3196</v>
      </c>
    </row>
    <row r="2383" spans="1:1" x14ac:dyDescent="0.25">
      <c r="A2383" t="s">
        <v>3197</v>
      </c>
    </row>
    <row r="2384" spans="1:1" x14ac:dyDescent="0.25">
      <c r="A2384" t="s">
        <v>3198</v>
      </c>
    </row>
    <row r="2385" spans="1:1" x14ac:dyDescent="0.25">
      <c r="A2385" t="s">
        <v>3199</v>
      </c>
    </row>
    <row r="2386" spans="1:1" x14ac:dyDescent="0.25">
      <c r="A2386" t="s">
        <v>3200</v>
      </c>
    </row>
    <row r="2387" spans="1:1" x14ac:dyDescent="0.25">
      <c r="A2387" t="s">
        <v>3201</v>
      </c>
    </row>
    <row r="2388" spans="1:1" x14ac:dyDescent="0.25">
      <c r="A2388" t="s">
        <v>3202</v>
      </c>
    </row>
    <row r="2389" spans="1:1" x14ac:dyDescent="0.25">
      <c r="A2389" t="s">
        <v>3203</v>
      </c>
    </row>
    <row r="2391" spans="1:1" x14ac:dyDescent="0.25">
      <c r="A2391" t="s">
        <v>3204</v>
      </c>
    </row>
    <row r="2392" spans="1:1" x14ac:dyDescent="0.25">
      <c r="A2392" t="s">
        <v>3205</v>
      </c>
    </row>
    <row r="2393" spans="1:1" x14ac:dyDescent="0.25">
      <c r="A2393" t="s">
        <v>3206</v>
      </c>
    </row>
    <row r="2394" spans="1:1" x14ac:dyDescent="0.25">
      <c r="A2394" t="s">
        <v>3207</v>
      </c>
    </row>
    <row r="2395" spans="1:1" x14ac:dyDescent="0.25">
      <c r="A2395" t="s">
        <v>3208</v>
      </c>
    </row>
    <row r="2396" spans="1:1" x14ac:dyDescent="0.25">
      <c r="A2396" t="s">
        <v>3209</v>
      </c>
    </row>
    <row r="2397" spans="1:1" x14ac:dyDescent="0.25">
      <c r="A2397" t="s">
        <v>3204</v>
      </c>
    </row>
    <row r="2398" spans="1:1" x14ac:dyDescent="0.25">
      <c r="A2398" t="s">
        <v>3210</v>
      </c>
    </row>
    <row r="2399" spans="1:1" x14ac:dyDescent="0.25">
      <c r="A2399" t="s">
        <v>3206</v>
      </c>
    </row>
    <row r="2400" spans="1:1" x14ac:dyDescent="0.25">
      <c r="A2400" t="s">
        <v>3207</v>
      </c>
    </row>
    <row r="2401" spans="1:1" x14ac:dyDescent="0.25">
      <c r="A2401" t="s">
        <v>3211</v>
      </c>
    </row>
    <row r="2402" spans="1:1" x14ac:dyDescent="0.25">
      <c r="A2402" t="s">
        <v>3209</v>
      </c>
    </row>
    <row r="2403" spans="1:1" x14ac:dyDescent="0.25">
      <c r="A2403" t="s">
        <v>3204</v>
      </c>
    </row>
    <row r="2404" spans="1:1" x14ac:dyDescent="0.25">
      <c r="A2404" t="s">
        <v>3212</v>
      </c>
    </row>
    <row r="2405" spans="1:1" x14ac:dyDescent="0.25">
      <c r="A2405" t="s">
        <v>3206</v>
      </c>
    </row>
    <row r="2406" spans="1:1" x14ac:dyDescent="0.25">
      <c r="A2406" t="s">
        <v>3207</v>
      </c>
    </row>
    <row r="2407" spans="1:1" x14ac:dyDescent="0.25">
      <c r="A2407" t="s">
        <v>3213</v>
      </c>
    </row>
    <row r="2408" spans="1:1" x14ac:dyDescent="0.25">
      <c r="A2408" t="s">
        <v>3209</v>
      </c>
    </row>
    <row r="2409" spans="1:1" x14ac:dyDescent="0.25">
      <c r="A2409" t="s">
        <v>3214</v>
      </c>
    </row>
    <row r="2410" spans="1:1" x14ac:dyDescent="0.25">
      <c r="A2410" t="s">
        <v>3215</v>
      </c>
    </row>
    <row r="2411" spans="1:1" x14ac:dyDescent="0.25">
      <c r="A2411" t="s">
        <v>3216</v>
      </c>
    </row>
    <row r="2412" spans="1:1" x14ac:dyDescent="0.25">
      <c r="A2412" t="s">
        <v>3217</v>
      </c>
    </row>
    <row r="2413" spans="1:1" x14ac:dyDescent="0.25">
      <c r="A2413" t="s">
        <v>3218</v>
      </c>
    </row>
    <row r="2414" spans="1:1" x14ac:dyDescent="0.25">
      <c r="A2414" t="s">
        <v>3219</v>
      </c>
    </row>
    <row r="2415" spans="1:1" x14ac:dyDescent="0.25">
      <c r="A2415" t="s">
        <v>3220</v>
      </c>
    </row>
    <row r="2416" spans="1:1" x14ac:dyDescent="0.25">
      <c r="A2416" t="s">
        <v>3221</v>
      </c>
    </row>
    <row r="2417" spans="1:2" x14ac:dyDescent="0.25">
      <c r="A2417" t="s">
        <v>3222</v>
      </c>
    </row>
    <row r="2418" spans="1:2" x14ac:dyDescent="0.25">
      <c r="A2418" t="s">
        <v>3223</v>
      </c>
    </row>
    <row r="2419" spans="1:2" x14ac:dyDescent="0.25">
      <c r="A2419" t="s">
        <v>3224</v>
      </c>
    </row>
    <row r="2420" spans="1:2" x14ac:dyDescent="0.25">
      <c r="A2420" t="s">
        <v>3225</v>
      </c>
    </row>
    <row r="2421" spans="1:2" x14ac:dyDescent="0.25">
      <c r="A2421" t="s">
        <v>3226</v>
      </c>
    </row>
    <row r="2422" spans="1:2" x14ac:dyDescent="0.25">
      <c r="A2422" t="s">
        <v>3227</v>
      </c>
    </row>
    <row r="2424" spans="1:2" x14ac:dyDescent="0.25">
      <c r="A2424" t="s">
        <v>3228</v>
      </c>
    </row>
    <row r="2425" spans="1:2" x14ac:dyDescent="0.25">
      <c r="A2425" t="s">
        <v>3229</v>
      </c>
    </row>
    <row r="2426" spans="1:2" x14ac:dyDescent="0.25">
      <c r="A2426" t="s">
        <v>3230</v>
      </c>
    </row>
    <row r="2427" spans="1:2" x14ac:dyDescent="0.25">
      <c r="A2427" t="s">
        <v>3231</v>
      </c>
      <c r="B2427" t="s">
        <v>3232</v>
      </c>
    </row>
    <row r="2428" spans="1:2" x14ac:dyDescent="0.25">
      <c r="A2428" t="s">
        <v>3233</v>
      </c>
    </row>
    <row r="2429" spans="1:2" x14ac:dyDescent="0.25">
      <c r="A2429" t="s">
        <v>3234</v>
      </c>
    </row>
    <row r="2430" spans="1:2" x14ac:dyDescent="0.25">
      <c r="A2430" t="s">
        <v>3235</v>
      </c>
    </row>
    <row r="2431" spans="1:2" x14ac:dyDescent="0.25">
      <c r="A2431" t="s">
        <v>3236</v>
      </c>
    </row>
    <row r="2433" spans="1:1" x14ac:dyDescent="0.25">
      <c r="A2433" t="s">
        <v>3237</v>
      </c>
    </row>
    <row r="2434" spans="1:1" x14ac:dyDescent="0.25">
      <c r="A2434" t="s">
        <v>3238</v>
      </c>
    </row>
    <row r="2435" spans="1:1" x14ac:dyDescent="0.25">
      <c r="A2435" t="s">
        <v>3239</v>
      </c>
    </row>
    <row r="2436" spans="1:1" x14ac:dyDescent="0.25">
      <c r="A2436" t="s">
        <v>3240</v>
      </c>
    </row>
    <row r="2437" spans="1:1" x14ac:dyDescent="0.25">
      <c r="A2437" t="s">
        <v>3241</v>
      </c>
    </row>
    <row r="2438" spans="1:1" x14ac:dyDescent="0.25">
      <c r="A2438" t="s">
        <v>3242</v>
      </c>
    </row>
    <row r="2439" spans="1:1" x14ac:dyDescent="0.25">
      <c r="A2439" t="s">
        <v>3243</v>
      </c>
    </row>
    <row r="2440" spans="1:1" x14ac:dyDescent="0.25">
      <c r="A2440" t="s">
        <v>3244</v>
      </c>
    </row>
    <row r="2441" spans="1:1" x14ac:dyDescent="0.25">
      <c r="A2441" t="s">
        <v>3245</v>
      </c>
    </row>
    <row r="2442" spans="1:1" x14ac:dyDescent="0.25">
      <c r="A2442" t="s">
        <v>3246</v>
      </c>
    </row>
    <row r="2443" spans="1:1" x14ac:dyDescent="0.25">
      <c r="A2443" t="s">
        <v>3247</v>
      </c>
    </row>
    <row r="2444" spans="1:1" x14ac:dyDescent="0.25">
      <c r="A2444" t="s">
        <v>3248</v>
      </c>
    </row>
    <row r="2445" spans="1:1" x14ac:dyDescent="0.25">
      <c r="A2445" t="s">
        <v>3249</v>
      </c>
    </row>
    <row r="2446" spans="1:1" x14ac:dyDescent="0.25">
      <c r="A2446" t="s">
        <v>3250</v>
      </c>
    </row>
    <row r="2447" spans="1:1" x14ac:dyDescent="0.25">
      <c r="A2447" t="s">
        <v>3251</v>
      </c>
    </row>
    <row r="2448" spans="1:1" x14ac:dyDescent="0.25">
      <c r="A2448" t="s">
        <v>3252</v>
      </c>
    </row>
    <row r="2449" spans="1:1" x14ac:dyDescent="0.25">
      <c r="A2449" t="s">
        <v>3253</v>
      </c>
    </row>
    <row r="2450" spans="1:1" x14ac:dyDescent="0.25">
      <c r="A2450" t="s">
        <v>3254</v>
      </c>
    </row>
    <row r="2451" spans="1:1" x14ac:dyDescent="0.25">
      <c r="A2451" t="s">
        <v>3255</v>
      </c>
    </row>
    <row r="2452" spans="1:1" x14ac:dyDescent="0.25">
      <c r="A2452" t="s">
        <v>3256</v>
      </c>
    </row>
    <row r="2453" spans="1:1" x14ac:dyDescent="0.25">
      <c r="A2453" t="s">
        <v>3257</v>
      </c>
    </row>
    <row r="2454" spans="1:1" x14ac:dyDescent="0.25">
      <c r="A2454" t="s">
        <v>1330</v>
      </c>
    </row>
    <row r="2455" spans="1:1" x14ac:dyDescent="0.25">
      <c r="A2455" t="s">
        <v>3258</v>
      </c>
    </row>
    <row r="2456" spans="1:1" x14ac:dyDescent="0.25">
      <c r="A2456" t="s">
        <v>3259</v>
      </c>
    </row>
    <row r="2457" spans="1:1" x14ac:dyDescent="0.25">
      <c r="A2457" t="s">
        <v>3260</v>
      </c>
    </row>
    <row r="2458" spans="1:1" x14ac:dyDescent="0.25">
      <c r="A2458" t="s">
        <v>3261</v>
      </c>
    </row>
    <row r="2459" spans="1:1" x14ac:dyDescent="0.25">
      <c r="A2459" t="s">
        <v>3262</v>
      </c>
    </row>
    <row r="2460" spans="1:1" x14ac:dyDescent="0.25">
      <c r="A2460" t="s">
        <v>3263</v>
      </c>
    </row>
    <row r="2461" spans="1:1" x14ac:dyDescent="0.25">
      <c r="A2461" t="s">
        <v>3264</v>
      </c>
    </row>
    <row r="2462" spans="1:1" x14ac:dyDescent="0.25">
      <c r="A2462" t="s">
        <v>3265</v>
      </c>
    </row>
    <row r="2463" spans="1:1" x14ac:dyDescent="0.25">
      <c r="A2463" t="s">
        <v>3266</v>
      </c>
    </row>
    <row r="2464" spans="1:1" x14ac:dyDescent="0.25">
      <c r="A2464" t="s">
        <v>3267</v>
      </c>
    </row>
    <row r="2465" spans="1:1" x14ac:dyDescent="0.25">
      <c r="A2465" t="s">
        <v>3268</v>
      </c>
    </row>
    <row r="2467" spans="1:1" x14ac:dyDescent="0.25">
      <c r="A2467" t="s">
        <v>3269</v>
      </c>
    </row>
    <row r="2468" spans="1:1" x14ac:dyDescent="0.25">
      <c r="A2468" t="s">
        <v>3270</v>
      </c>
    </row>
    <row r="2469" spans="1:1" x14ac:dyDescent="0.25">
      <c r="A2469" t="s">
        <v>3271</v>
      </c>
    </row>
    <row r="2470" spans="1:1" x14ac:dyDescent="0.25">
      <c r="A2470" t="s">
        <v>3272</v>
      </c>
    </row>
    <row r="2471" spans="1:1" x14ac:dyDescent="0.25">
      <c r="A2471" t="s">
        <v>3273</v>
      </c>
    </row>
    <row r="2472" spans="1:1" x14ac:dyDescent="0.25">
      <c r="A2472" t="s">
        <v>3274</v>
      </c>
    </row>
    <row r="2473" spans="1:1" x14ac:dyDescent="0.25">
      <c r="A2473" t="s">
        <v>3270</v>
      </c>
    </row>
    <row r="2474" spans="1:1" x14ac:dyDescent="0.25">
      <c r="A2474" t="s">
        <v>3275</v>
      </c>
    </row>
    <row r="2475" spans="1:1" x14ac:dyDescent="0.25">
      <c r="A2475" t="s">
        <v>3276</v>
      </c>
    </row>
    <row r="2476" spans="1:1" x14ac:dyDescent="0.25">
      <c r="A2476" t="s">
        <v>3273</v>
      </c>
    </row>
    <row r="2477" spans="1:1" x14ac:dyDescent="0.25">
      <c r="A2477" t="s">
        <v>3277</v>
      </c>
    </row>
    <row r="2478" spans="1:1" x14ac:dyDescent="0.25">
      <c r="A2478" t="s">
        <v>3278</v>
      </c>
    </row>
    <row r="2479" spans="1:1" x14ac:dyDescent="0.25">
      <c r="A2479" t="s">
        <v>3279</v>
      </c>
    </row>
    <row r="2480" spans="1:1" x14ac:dyDescent="0.25">
      <c r="A2480" t="s">
        <v>3280</v>
      </c>
    </row>
    <row r="2481" spans="1:1" x14ac:dyDescent="0.25">
      <c r="A2481" t="s">
        <v>3281</v>
      </c>
    </row>
    <row r="2482" spans="1:1" x14ac:dyDescent="0.25">
      <c r="A2482" t="s">
        <v>3282</v>
      </c>
    </row>
    <row r="2483" spans="1:1" x14ac:dyDescent="0.25">
      <c r="A2483" t="s">
        <v>3283</v>
      </c>
    </row>
    <row r="2484" spans="1:1" x14ac:dyDescent="0.25">
      <c r="A2484" t="s">
        <v>3284</v>
      </c>
    </row>
    <row r="2485" spans="1:1" x14ac:dyDescent="0.25">
      <c r="A2485" t="s">
        <v>3285</v>
      </c>
    </row>
    <row r="2486" spans="1:1" x14ac:dyDescent="0.25">
      <c r="A2486" t="s">
        <v>3286</v>
      </c>
    </row>
    <row r="2487" spans="1:1" x14ac:dyDescent="0.25">
      <c r="A2487" t="s">
        <v>3287</v>
      </c>
    </row>
    <row r="2488" spans="1:1" x14ac:dyDescent="0.25">
      <c r="A2488" t="s">
        <v>3288</v>
      </c>
    </row>
    <row r="2489" spans="1:1" x14ac:dyDescent="0.25">
      <c r="A2489" t="s">
        <v>3289</v>
      </c>
    </row>
    <row r="2490" spans="1:1" x14ac:dyDescent="0.25">
      <c r="A2490" t="s">
        <v>3290</v>
      </c>
    </row>
    <row r="2491" spans="1:1" x14ac:dyDescent="0.25">
      <c r="A2491" t="s">
        <v>3291</v>
      </c>
    </row>
    <row r="2492" spans="1:1" x14ac:dyDescent="0.25">
      <c r="A2492" t="s">
        <v>3292</v>
      </c>
    </row>
    <row r="2493" spans="1:1" x14ac:dyDescent="0.25">
      <c r="A2493" t="s">
        <v>3293</v>
      </c>
    </row>
    <row r="2494" spans="1:1" x14ac:dyDescent="0.25">
      <c r="A2494" t="s">
        <v>3294</v>
      </c>
    </row>
    <row r="2495" spans="1:1" x14ac:dyDescent="0.25">
      <c r="A2495" t="s">
        <v>3295</v>
      </c>
    </row>
    <row r="2496" spans="1:1" x14ac:dyDescent="0.25">
      <c r="A2496" t="s">
        <v>3296</v>
      </c>
    </row>
    <row r="2497" spans="1:1" x14ac:dyDescent="0.25">
      <c r="A2497" t="s">
        <v>3297</v>
      </c>
    </row>
    <row r="2498" spans="1:1" x14ac:dyDescent="0.25">
      <c r="A2498" t="s">
        <v>3298</v>
      </c>
    </row>
    <row r="2499" spans="1:1" x14ac:dyDescent="0.25">
      <c r="A2499" t="s">
        <v>3299</v>
      </c>
    </row>
    <row r="2500" spans="1:1" x14ac:dyDescent="0.25">
      <c r="A2500" t="s">
        <v>3300</v>
      </c>
    </row>
    <row r="2501" spans="1:1" x14ac:dyDescent="0.25">
      <c r="A2501" t="s">
        <v>3301</v>
      </c>
    </row>
    <row r="2502" spans="1:1" x14ac:dyDescent="0.25">
      <c r="A2502" t="s">
        <v>3302</v>
      </c>
    </row>
    <row r="2503" spans="1:1" x14ac:dyDescent="0.25">
      <c r="A2503" t="s">
        <v>3303</v>
      </c>
    </row>
    <row r="2504" spans="1:1" x14ac:dyDescent="0.25">
      <c r="A2504" t="s">
        <v>3304</v>
      </c>
    </row>
    <row r="2505" spans="1:1" x14ac:dyDescent="0.25">
      <c r="A2505" t="s">
        <v>3305</v>
      </c>
    </row>
    <row r="2506" spans="1:1" x14ac:dyDescent="0.25">
      <c r="A2506" t="s">
        <v>3306</v>
      </c>
    </row>
    <row r="2507" spans="1:1" x14ac:dyDescent="0.25">
      <c r="A2507" t="s">
        <v>3307</v>
      </c>
    </row>
    <row r="2508" spans="1:1" x14ac:dyDescent="0.25">
      <c r="A2508" t="s">
        <v>3308</v>
      </c>
    </row>
    <row r="2509" spans="1:1" x14ac:dyDescent="0.25">
      <c r="A2509" t="s">
        <v>3309</v>
      </c>
    </row>
    <row r="2510" spans="1:1" x14ac:dyDescent="0.25">
      <c r="A2510" t="s">
        <v>3310</v>
      </c>
    </row>
    <row r="2511" spans="1:1" x14ac:dyDescent="0.25">
      <c r="A2511" t="s">
        <v>3311</v>
      </c>
    </row>
    <row r="2512" spans="1:1" x14ac:dyDescent="0.25">
      <c r="A2512" t="s">
        <v>3312</v>
      </c>
    </row>
    <row r="2513" spans="1:1" x14ac:dyDescent="0.25">
      <c r="A2513" t="s">
        <v>3313</v>
      </c>
    </row>
    <row r="2514" spans="1:1" x14ac:dyDescent="0.25">
      <c r="A2514" t="s">
        <v>3314</v>
      </c>
    </row>
    <row r="2515" spans="1:1" x14ac:dyDescent="0.25">
      <c r="A2515" t="s">
        <v>3315</v>
      </c>
    </row>
    <row r="2516" spans="1:1" x14ac:dyDescent="0.25">
      <c r="A2516" t="s">
        <v>3316</v>
      </c>
    </row>
    <row r="2517" spans="1:1" x14ac:dyDescent="0.25">
      <c r="A2517" t="s">
        <v>3317</v>
      </c>
    </row>
    <row r="2518" spans="1:1" x14ac:dyDescent="0.25">
      <c r="A2518" t="s">
        <v>3318</v>
      </c>
    </row>
    <row r="2519" spans="1:1" x14ac:dyDescent="0.25">
      <c r="A2519" t="s">
        <v>3319</v>
      </c>
    </row>
    <row r="2520" spans="1:1" x14ac:dyDescent="0.25">
      <c r="A2520" t="s">
        <v>3320</v>
      </c>
    </row>
    <row r="2521" spans="1:1" x14ac:dyDescent="0.25">
      <c r="A2521" t="s">
        <v>3321</v>
      </c>
    </row>
    <row r="2522" spans="1:1" x14ac:dyDescent="0.25">
      <c r="A2522" t="s">
        <v>3322</v>
      </c>
    </row>
    <row r="2523" spans="1:1" x14ac:dyDescent="0.25">
      <c r="A2523" t="s">
        <v>3323</v>
      </c>
    </row>
    <row r="2524" spans="1:1" x14ac:dyDescent="0.25">
      <c r="A2524" t="s">
        <v>3324</v>
      </c>
    </row>
    <row r="2525" spans="1:1" x14ac:dyDescent="0.25">
      <c r="A2525" t="s">
        <v>3325</v>
      </c>
    </row>
    <row r="2526" spans="1:1" x14ac:dyDescent="0.25">
      <c r="A2526" t="s">
        <v>3326</v>
      </c>
    </row>
    <row r="2527" spans="1:1" x14ac:dyDescent="0.25">
      <c r="A2527" t="s">
        <v>3327</v>
      </c>
    </row>
    <row r="2528" spans="1:1" x14ac:dyDescent="0.25">
      <c r="A2528" t="s">
        <v>3328</v>
      </c>
    </row>
    <row r="2529" spans="1:1" x14ac:dyDescent="0.25">
      <c r="A2529" t="s">
        <v>3329</v>
      </c>
    </row>
    <row r="2530" spans="1:1" x14ac:dyDescent="0.25">
      <c r="A2530" t="s">
        <v>1463</v>
      </c>
    </row>
    <row r="2531" spans="1:1" x14ac:dyDescent="0.25">
      <c r="A2531" t="s">
        <v>3330</v>
      </c>
    </row>
    <row r="2532" spans="1:1" x14ac:dyDescent="0.25">
      <c r="A2532" t="s">
        <v>3331</v>
      </c>
    </row>
    <row r="2533" spans="1:1" x14ac:dyDescent="0.25">
      <c r="A2533" t="s">
        <v>3332</v>
      </c>
    </row>
    <row r="2534" spans="1:1" x14ac:dyDescent="0.25">
      <c r="A2534" t="s">
        <v>3333</v>
      </c>
    </row>
    <row r="2535" spans="1:1" x14ac:dyDescent="0.25">
      <c r="A2535" t="s">
        <v>3334</v>
      </c>
    </row>
    <row r="2536" spans="1:1" x14ac:dyDescent="0.25">
      <c r="A2536" t="s">
        <v>3335</v>
      </c>
    </row>
    <row r="2537" spans="1:1" x14ac:dyDescent="0.25">
      <c r="A2537" t="s">
        <v>3336</v>
      </c>
    </row>
    <row r="2538" spans="1:1" x14ac:dyDescent="0.25">
      <c r="A2538" t="s">
        <v>3337</v>
      </c>
    </row>
    <row r="2539" spans="1:1" x14ac:dyDescent="0.25">
      <c r="A2539" t="s">
        <v>3338</v>
      </c>
    </row>
    <row r="2540" spans="1:1" x14ac:dyDescent="0.25">
      <c r="A2540" t="s">
        <v>3339</v>
      </c>
    </row>
    <row r="2541" spans="1:1" x14ac:dyDescent="0.25">
      <c r="A2541" t="s">
        <v>3340</v>
      </c>
    </row>
    <row r="2542" spans="1:1" x14ac:dyDescent="0.25">
      <c r="A2542" t="s">
        <v>3341</v>
      </c>
    </row>
    <row r="2543" spans="1:1" x14ac:dyDescent="0.25">
      <c r="A2543" t="s">
        <v>3342</v>
      </c>
    </row>
    <row r="2545" spans="1:1" x14ac:dyDescent="0.25">
      <c r="A2545" t="s">
        <v>3343</v>
      </c>
    </row>
    <row r="2546" spans="1:1" x14ac:dyDescent="0.25">
      <c r="A2546" t="s">
        <v>3344</v>
      </c>
    </row>
    <row r="2547" spans="1:1" x14ac:dyDescent="0.25">
      <c r="A2547" t="s">
        <v>3287</v>
      </c>
    </row>
    <row r="2548" spans="1:1" x14ac:dyDescent="0.25">
      <c r="A2548" t="s">
        <v>3288</v>
      </c>
    </row>
    <row r="2549" spans="1:1" x14ac:dyDescent="0.25">
      <c r="A2549" t="s">
        <v>3345</v>
      </c>
    </row>
    <row r="2550" spans="1:1" x14ac:dyDescent="0.25">
      <c r="A2550" t="s">
        <v>3346</v>
      </c>
    </row>
    <row r="2551" spans="1:1" x14ac:dyDescent="0.25">
      <c r="A2551" t="s">
        <v>3347</v>
      </c>
    </row>
    <row r="2552" spans="1:1" x14ac:dyDescent="0.25">
      <c r="A2552" t="s">
        <v>3348</v>
      </c>
    </row>
    <row r="2553" spans="1:1" x14ac:dyDescent="0.25">
      <c r="A2553" t="s">
        <v>3349</v>
      </c>
    </row>
    <row r="2554" spans="1:1" x14ac:dyDescent="0.25">
      <c r="A2554" t="s">
        <v>3350</v>
      </c>
    </row>
    <row r="2555" spans="1:1" x14ac:dyDescent="0.25">
      <c r="A2555" t="s">
        <v>3351</v>
      </c>
    </row>
    <row r="2556" spans="1:1" x14ac:dyDescent="0.25">
      <c r="A2556" t="s">
        <v>3352</v>
      </c>
    </row>
    <row r="2557" spans="1:1" x14ac:dyDescent="0.25">
      <c r="A2557" t="s">
        <v>1501</v>
      </c>
    </row>
    <row r="2558" spans="1:1" x14ac:dyDescent="0.25">
      <c r="A2558" t="s">
        <v>3353</v>
      </c>
    </row>
    <row r="2559" spans="1:1" x14ac:dyDescent="0.25">
      <c r="A2559" t="s">
        <v>3354</v>
      </c>
    </row>
    <row r="2561" spans="1:1" x14ac:dyDescent="0.25">
      <c r="A2561" t="s">
        <v>3355</v>
      </c>
    </row>
    <row r="2562" spans="1:1" x14ac:dyDescent="0.25">
      <c r="A2562" t="s">
        <v>3356</v>
      </c>
    </row>
    <row r="2563" spans="1:1" x14ac:dyDescent="0.25">
      <c r="A2563" t="s">
        <v>3357</v>
      </c>
    </row>
    <row r="2564" spans="1:1" x14ac:dyDescent="0.25">
      <c r="A2564" t="s">
        <v>3358</v>
      </c>
    </row>
    <row r="2565" spans="1:1" x14ac:dyDescent="0.25">
      <c r="A2565" t="s">
        <v>3359</v>
      </c>
    </row>
    <row r="2566" spans="1:1" x14ac:dyDescent="0.25">
      <c r="A2566" t="s">
        <v>3360</v>
      </c>
    </row>
    <row r="2567" spans="1:1" x14ac:dyDescent="0.25">
      <c r="A2567" t="s">
        <v>3361</v>
      </c>
    </row>
    <row r="2568" spans="1:1" x14ac:dyDescent="0.25">
      <c r="A2568" t="s">
        <v>3362</v>
      </c>
    </row>
    <row r="2569" spans="1:1" x14ac:dyDescent="0.25">
      <c r="A2569" t="s">
        <v>3363</v>
      </c>
    </row>
    <row r="2570" spans="1:1" x14ac:dyDescent="0.25">
      <c r="A2570" t="s">
        <v>3364</v>
      </c>
    </row>
    <row r="2571" spans="1:1" x14ac:dyDescent="0.25">
      <c r="A2571" t="s">
        <v>3365</v>
      </c>
    </row>
    <row r="2572" spans="1:1" x14ac:dyDescent="0.25">
      <c r="A2572" t="s">
        <v>3366</v>
      </c>
    </row>
    <row r="2573" spans="1:1" x14ac:dyDescent="0.25">
      <c r="A2573" t="s">
        <v>3367</v>
      </c>
    </row>
    <row r="2574" spans="1:1" x14ac:dyDescent="0.25">
      <c r="A2574" t="s">
        <v>3368</v>
      </c>
    </row>
    <row r="2575" spans="1:1" x14ac:dyDescent="0.25">
      <c r="A2575" t="s">
        <v>3369</v>
      </c>
    </row>
    <row r="2576" spans="1:1" x14ac:dyDescent="0.25">
      <c r="A2576" t="s">
        <v>3370</v>
      </c>
    </row>
    <row r="2577" spans="1:1" x14ac:dyDescent="0.25">
      <c r="A2577" t="s">
        <v>3371</v>
      </c>
    </row>
    <row r="2578" spans="1:1" x14ac:dyDescent="0.25">
      <c r="A2578" t="s">
        <v>3372</v>
      </c>
    </row>
    <row r="2579" spans="1:1" x14ac:dyDescent="0.25">
      <c r="A2579" t="s">
        <v>3373</v>
      </c>
    </row>
    <row r="2580" spans="1:1" x14ac:dyDescent="0.25">
      <c r="A2580" t="s">
        <v>3374</v>
      </c>
    </row>
    <row r="2581" spans="1:1" x14ac:dyDescent="0.25">
      <c r="A2581" t="s">
        <v>3375</v>
      </c>
    </row>
    <row r="2582" spans="1:1" x14ac:dyDescent="0.25">
      <c r="A2582" t="s">
        <v>3376</v>
      </c>
    </row>
    <row r="2583" spans="1:1" x14ac:dyDescent="0.25">
      <c r="A2583" t="s">
        <v>3377</v>
      </c>
    </row>
    <row r="2584" spans="1:1" x14ac:dyDescent="0.25">
      <c r="A2584" t="s">
        <v>3378</v>
      </c>
    </row>
    <row r="2585" spans="1:1" x14ac:dyDescent="0.25">
      <c r="A2585" t="s">
        <v>3379</v>
      </c>
    </row>
    <row r="2586" spans="1:1" x14ac:dyDescent="0.25">
      <c r="A2586" t="s">
        <v>3380</v>
      </c>
    </row>
    <row r="2587" spans="1:1" x14ac:dyDescent="0.25">
      <c r="A2587" t="s">
        <v>3381</v>
      </c>
    </row>
    <row r="2588" spans="1:1" x14ac:dyDescent="0.25">
      <c r="A2588" t="s">
        <v>3382</v>
      </c>
    </row>
    <row r="2589" spans="1:1" x14ac:dyDescent="0.25">
      <c r="A2589" t="s">
        <v>3383</v>
      </c>
    </row>
    <row r="2590" spans="1:1" x14ac:dyDescent="0.25">
      <c r="A2590" t="s">
        <v>3384</v>
      </c>
    </row>
    <row r="2591" spans="1:1" x14ac:dyDescent="0.25">
      <c r="A2591" t="s">
        <v>3385</v>
      </c>
    </row>
    <row r="2592" spans="1:1" x14ac:dyDescent="0.25">
      <c r="A2592" t="s">
        <v>3386</v>
      </c>
    </row>
    <row r="2593" spans="1:1" x14ac:dyDescent="0.25">
      <c r="A2593" t="s">
        <v>3387</v>
      </c>
    </row>
    <row r="2594" spans="1:1" x14ac:dyDescent="0.25">
      <c r="A2594" t="s">
        <v>3388</v>
      </c>
    </row>
    <row r="2595" spans="1:1" x14ac:dyDescent="0.25">
      <c r="A2595" t="s">
        <v>3389</v>
      </c>
    </row>
    <row r="2596" spans="1:1" x14ac:dyDescent="0.25">
      <c r="A2596" t="s">
        <v>3390</v>
      </c>
    </row>
    <row r="2597" spans="1:1" x14ac:dyDescent="0.25">
      <c r="A2597" t="s">
        <v>3391</v>
      </c>
    </row>
    <row r="2598" spans="1:1" x14ac:dyDescent="0.25">
      <c r="A2598" t="s">
        <v>3392</v>
      </c>
    </row>
    <row r="2599" spans="1:1" x14ac:dyDescent="0.25">
      <c r="A2599" t="s">
        <v>3393</v>
      </c>
    </row>
    <row r="2600" spans="1:1" x14ac:dyDescent="0.25">
      <c r="A2600" t="s">
        <v>3394</v>
      </c>
    </row>
    <row r="2601" spans="1:1" x14ac:dyDescent="0.25">
      <c r="A2601" t="s">
        <v>3395</v>
      </c>
    </row>
    <row r="2602" spans="1:1" x14ac:dyDescent="0.25">
      <c r="A2602" t="s">
        <v>3396</v>
      </c>
    </row>
    <row r="2603" spans="1:1" x14ac:dyDescent="0.25">
      <c r="A2603" t="s">
        <v>3397</v>
      </c>
    </row>
    <row r="2604" spans="1:1" x14ac:dyDescent="0.25">
      <c r="A2604" t="s">
        <v>3398</v>
      </c>
    </row>
    <row r="2605" spans="1:1" x14ac:dyDescent="0.25">
      <c r="A2605" t="s">
        <v>3399</v>
      </c>
    </row>
    <row r="2606" spans="1:1" x14ac:dyDescent="0.25">
      <c r="A2606" t="s">
        <v>3400</v>
      </c>
    </row>
    <row r="2607" spans="1:1" x14ac:dyDescent="0.25">
      <c r="A2607" t="s">
        <v>3401</v>
      </c>
    </row>
    <row r="2608" spans="1:1" x14ac:dyDescent="0.25">
      <c r="A2608" t="s">
        <v>3402</v>
      </c>
    </row>
    <row r="2609" spans="1:1" x14ac:dyDescent="0.25">
      <c r="A2609" t="s">
        <v>3403</v>
      </c>
    </row>
    <row r="2610" spans="1:1" x14ac:dyDescent="0.25">
      <c r="A2610" t="s">
        <v>3404</v>
      </c>
    </row>
    <row r="2611" spans="1:1" x14ac:dyDescent="0.25">
      <c r="A2611" t="s">
        <v>3405</v>
      </c>
    </row>
    <row r="2612" spans="1:1" x14ac:dyDescent="0.25">
      <c r="A2612" t="s">
        <v>3406</v>
      </c>
    </row>
    <row r="2613" spans="1:1" x14ac:dyDescent="0.25">
      <c r="A2613" t="s">
        <v>3407</v>
      </c>
    </row>
    <row r="2614" spans="1:1" x14ac:dyDescent="0.25">
      <c r="A2614" t="s">
        <v>3408</v>
      </c>
    </row>
    <row r="2615" spans="1:1" x14ac:dyDescent="0.25">
      <c r="A2615" t="s">
        <v>3409</v>
      </c>
    </row>
    <row r="2616" spans="1:1" x14ac:dyDescent="0.25">
      <c r="A2616" t="s">
        <v>3410</v>
      </c>
    </row>
    <row r="2617" spans="1:1" x14ac:dyDescent="0.25">
      <c r="A2617" t="s">
        <v>3411</v>
      </c>
    </row>
    <row r="2618" spans="1:1" x14ac:dyDescent="0.25">
      <c r="A2618" t="s">
        <v>3412</v>
      </c>
    </row>
    <row r="2619" spans="1:1" x14ac:dyDescent="0.25">
      <c r="A2619" t="s">
        <v>3413</v>
      </c>
    </row>
    <row r="2620" spans="1:1" x14ac:dyDescent="0.25">
      <c r="A2620" t="s">
        <v>3414</v>
      </c>
    </row>
    <row r="2621" spans="1:1" x14ac:dyDescent="0.25">
      <c r="A2621" t="s">
        <v>3415</v>
      </c>
    </row>
    <row r="2622" spans="1:1" x14ac:dyDescent="0.25">
      <c r="A2622" t="s">
        <v>1473</v>
      </c>
    </row>
    <row r="2623" spans="1:1" x14ac:dyDescent="0.25">
      <c r="A2623" t="s">
        <v>3416</v>
      </c>
    </row>
    <row r="2624" spans="1:1" x14ac:dyDescent="0.25">
      <c r="A2624" t="s">
        <v>3417</v>
      </c>
    </row>
    <row r="2625" spans="1:5" x14ac:dyDescent="0.25">
      <c r="A2625" t="s">
        <v>3418</v>
      </c>
    </row>
    <row r="2626" spans="1:5" x14ac:dyDescent="0.25">
      <c r="A2626" t="s">
        <v>3419</v>
      </c>
    </row>
    <row r="2627" spans="1:5" x14ac:dyDescent="0.25">
      <c r="A2627" t="s">
        <v>3420</v>
      </c>
    </row>
    <row r="2628" spans="1:5" x14ac:dyDescent="0.25">
      <c r="A2628" t="s">
        <v>3421</v>
      </c>
    </row>
    <row r="2629" spans="1:5" x14ac:dyDescent="0.25">
      <c r="A2629" t="s">
        <v>3422</v>
      </c>
    </row>
    <row r="2630" spans="1:5" x14ac:dyDescent="0.25">
      <c r="A2630" t="s">
        <v>3423</v>
      </c>
    </row>
    <row r="2631" spans="1:5" x14ac:dyDescent="0.25">
      <c r="A2631" t="s">
        <v>3424</v>
      </c>
    </row>
    <row r="2632" spans="1:5" x14ac:dyDescent="0.25">
      <c r="A2632" t="s">
        <v>1473</v>
      </c>
    </row>
    <row r="2633" spans="1:5" x14ac:dyDescent="0.25">
      <c r="A2633" t="s">
        <v>3425</v>
      </c>
    </row>
    <row r="2635" spans="1:5" x14ac:dyDescent="0.25">
      <c r="A2635" t="s">
        <v>3426</v>
      </c>
      <c r="B2635" t="s">
        <v>3427</v>
      </c>
      <c r="C2635">
        <v>15030.44</v>
      </c>
      <c r="D2635" t="s">
        <v>3428</v>
      </c>
      <c r="E2635">
        <v>999</v>
      </c>
    </row>
    <row r="2636" spans="1:5" x14ac:dyDescent="0.25">
      <c r="A2636" t="s">
        <v>3426</v>
      </c>
      <c r="B2636" t="s">
        <v>3429</v>
      </c>
      <c r="C2636">
        <v>5.18</v>
      </c>
      <c r="D2636" t="s">
        <v>3428</v>
      </c>
      <c r="E2636">
        <v>999</v>
      </c>
    </row>
    <row r="2637" spans="1:5" x14ac:dyDescent="0.25">
      <c r="A2637" t="s">
        <v>3426</v>
      </c>
      <c r="B2637" t="s">
        <v>3430</v>
      </c>
      <c r="C2637">
        <v>150903.94</v>
      </c>
      <c r="D2637" t="s">
        <v>3428</v>
      </c>
      <c r="E2637">
        <v>362</v>
      </c>
    </row>
    <row r="2638" spans="1:5" x14ac:dyDescent="0.25">
      <c r="A2638" t="s">
        <v>3426</v>
      </c>
      <c r="B2638" t="s">
        <v>3431</v>
      </c>
      <c r="C2638">
        <v>32192.959999999999</v>
      </c>
      <c r="D2638" t="s">
        <v>3428</v>
      </c>
      <c r="E2638">
        <v>453</v>
      </c>
    </row>
    <row r="2639" spans="1:5" x14ac:dyDescent="0.25">
      <c r="A2639" t="s">
        <v>3426</v>
      </c>
      <c r="B2639" t="s">
        <v>3432</v>
      </c>
      <c r="C2639">
        <v>15035.62</v>
      </c>
      <c r="D2639" t="s">
        <v>3428</v>
      </c>
      <c r="E2639">
        <v>0</v>
      </c>
    </row>
    <row r="2640" spans="1:5" x14ac:dyDescent="0.25">
      <c r="A2640" t="s">
        <v>3426</v>
      </c>
      <c r="B2640" t="s">
        <v>3432</v>
      </c>
      <c r="C2640">
        <v>150903.94</v>
      </c>
      <c r="D2640" t="s">
        <v>3428</v>
      </c>
      <c r="E2640">
        <v>0</v>
      </c>
    </row>
    <row r="2641" spans="1:5" x14ac:dyDescent="0.25">
      <c r="A2641" t="s">
        <v>3426</v>
      </c>
      <c r="B2641" t="s">
        <v>3432</v>
      </c>
      <c r="C2641">
        <v>32192.959999999999</v>
      </c>
      <c r="D2641" t="s">
        <v>3428</v>
      </c>
      <c r="E2641">
        <v>0</v>
      </c>
    </row>
    <row r="2642" spans="1:5" x14ac:dyDescent="0.25">
      <c r="A2642" t="s">
        <v>3426</v>
      </c>
      <c r="C2642">
        <v>248.4</v>
      </c>
      <c r="D2642" t="s">
        <v>3428</v>
      </c>
      <c r="E2642">
        <v>0</v>
      </c>
    </row>
    <row r="2643" spans="1:5" x14ac:dyDescent="0.25">
      <c r="A2643" t="s">
        <v>3426</v>
      </c>
      <c r="C2643">
        <v>750.83</v>
      </c>
      <c r="D2643" t="s">
        <v>3428</v>
      </c>
      <c r="E2643">
        <v>0</v>
      </c>
    </row>
    <row r="2644" spans="1:5" x14ac:dyDescent="0.25">
      <c r="A2644" t="s">
        <v>3426</v>
      </c>
      <c r="B2644" t="s">
        <v>3433</v>
      </c>
      <c r="C2644">
        <v>212875.14</v>
      </c>
      <c r="D2644" t="s">
        <v>3428</v>
      </c>
      <c r="E2644">
        <v>1352</v>
      </c>
    </row>
    <row r="2645" spans="1:5" x14ac:dyDescent="0.25">
      <c r="A2645" t="s">
        <v>3434</v>
      </c>
    </row>
    <row r="2646" spans="1:5" x14ac:dyDescent="0.25">
      <c r="A2646" t="s">
        <v>3435</v>
      </c>
    </row>
    <row r="2647" spans="1:5" x14ac:dyDescent="0.25">
      <c r="A2647" t="s">
        <v>3436</v>
      </c>
    </row>
    <row r="2648" spans="1:5" x14ac:dyDescent="0.25">
      <c r="A2648" t="s">
        <v>3437</v>
      </c>
    </row>
    <row r="2649" spans="1:5" x14ac:dyDescent="0.25">
      <c r="A2649" t="s">
        <v>3438</v>
      </c>
    </row>
    <row r="2650" spans="1:5" x14ac:dyDescent="0.25">
      <c r="A2650" t="s">
        <v>3439</v>
      </c>
    </row>
    <row r="2651" spans="1:5" x14ac:dyDescent="0.25">
      <c r="A2651" t="s">
        <v>3440</v>
      </c>
    </row>
    <row r="2652" spans="1:5" x14ac:dyDescent="0.25">
      <c r="A2652" t="s">
        <v>3441</v>
      </c>
    </row>
    <row r="2653" spans="1:5" x14ac:dyDescent="0.25">
      <c r="A2653" t="s">
        <v>3442</v>
      </c>
    </row>
    <row r="2654" spans="1:5" x14ac:dyDescent="0.25">
      <c r="A2654" t="s">
        <v>3443</v>
      </c>
    </row>
    <row r="2655" spans="1:5" x14ac:dyDescent="0.25">
      <c r="A2655" t="s">
        <v>3444</v>
      </c>
    </row>
    <row r="2656" spans="1:5" x14ac:dyDescent="0.25">
      <c r="A2656" t="s">
        <v>3445</v>
      </c>
    </row>
    <row r="2657" spans="1:1" x14ac:dyDescent="0.25">
      <c r="A2657" t="s">
        <v>3446</v>
      </c>
    </row>
    <row r="2658" spans="1:1" x14ac:dyDescent="0.25">
      <c r="A2658" t="s">
        <v>3447</v>
      </c>
    </row>
    <row r="2659" spans="1:1" x14ac:dyDescent="0.25">
      <c r="A2659" t="s">
        <v>3448</v>
      </c>
    </row>
    <row r="2660" spans="1:1" x14ac:dyDescent="0.25">
      <c r="A2660" t="s">
        <v>3449</v>
      </c>
    </row>
    <row r="2661" spans="1:1" x14ac:dyDescent="0.25">
      <c r="A2661" t="s">
        <v>3450</v>
      </c>
    </row>
    <row r="2662" spans="1:1" x14ac:dyDescent="0.25">
      <c r="A2662" t="s">
        <v>3451</v>
      </c>
    </row>
    <row r="2663" spans="1:1" x14ac:dyDescent="0.25">
      <c r="A2663" t="s">
        <v>3452</v>
      </c>
    </row>
    <row r="2664" spans="1:1" x14ac:dyDescent="0.25">
      <c r="A2664" t="s">
        <v>3453</v>
      </c>
    </row>
    <row r="2665" spans="1:1" x14ac:dyDescent="0.25">
      <c r="A2665" t="s">
        <v>3454</v>
      </c>
    </row>
    <row r="2666" spans="1:1" x14ac:dyDescent="0.25">
      <c r="A2666" t="s">
        <v>3455</v>
      </c>
    </row>
    <row r="2667" spans="1:1" x14ac:dyDescent="0.25">
      <c r="A2667" t="s">
        <v>3456</v>
      </c>
    </row>
    <row r="2668" spans="1:1" x14ac:dyDescent="0.25">
      <c r="A2668" t="s">
        <v>3457</v>
      </c>
    </row>
    <row r="2669" spans="1:1" x14ac:dyDescent="0.25">
      <c r="A2669" t="s">
        <v>3458</v>
      </c>
    </row>
    <row r="2670" spans="1:1" x14ac:dyDescent="0.25">
      <c r="A2670" t="s">
        <v>3459</v>
      </c>
    </row>
    <row r="2671" spans="1:1" x14ac:dyDescent="0.25">
      <c r="A2671" t="s">
        <v>3460</v>
      </c>
    </row>
    <row r="2672" spans="1:1" x14ac:dyDescent="0.25">
      <c r="A2672" t="s">
        <v>3461</v>
      </c>
    </row>
    <row r="2673" spans="1:1" x14ac:dyDescent="0.25">
      <c r="A2673" t="s">
        <v>3462</v>
      </c>
    </row>
    <row r="2674" spans="1:1" x14ac:dyDescent="0.25">
      <c r="A2674" t="s">
        <v>3463</v>
      </c>
    </row>
    <row r="2675" spans="1:1" x14ac:dyDescent="0.25">
      <c r="A2675" t="s">
        <v>3464</v>
      </c>
    </row>
    <row r="2676" spans="1:1" x14ac:dyDescent="0.25">
      <c r="A2676" t="s">
        <v>3465</v>
      </c>
    </row>
    <row r="2677" spans="1:1" x14ac:dyDescent="0.25">
      <c r="A2677" t="s">
        <v>3466</v>
      </c>
    </row>
    <row r="2678" spans="1:1" x14ac:dyDescent="0.25">
      <c r="A2678" t="s">
        <v>3467</v>
      </c>
    </row>
    <row r="2679" spans="1:1" x14ac:dyDescent="0.25">
      <c r="A2679" t="s">
        <v>3468</v>
      </c>
    </row>
    <row r="2680" spans="1:1" x14ac:dyDescent="0.25">
      <c r="A2680" t="s">
        <v>3469</v>
      </c>
    </row>
    <row r="2681" spans="1:1" x14ac:dyDescent="0.25">
      <c r="A2681" t="s">
        <v>3470</v>
      </c>
    </row>
    <row r="2682" spans="1:1" x14ac:dyDescent="0.25">
      <c r="A2682" t="s">
        <v>3471</v>
      </c>
    </row>
    <row r="2683" spans="1:1" x14ac:dyDescent="0.25">
      <c r="A2683" t="s">
        <v>3472</v>
      </c>
    </row>
    <row r="2684" spans="1:1" x14ac:dyDescent="0.25">
      <c r="A2684" t="s">
        <v>3473</v>
      </c>
    </row>
    <row r="2685" spans="1:1" x14ac:dyDescent="0.25">
      <c r="A2685" t="s">
        <v>3474</v>
      </c>
    </row>
    <row r="2686" spans="1:1" x14ac:dyDescent="0.25">
      <c r="A2686" t="s">
        <v>3475</v>
      </c>
    </row>
    <row r="2687" spans="1:1" x14ac:dyDescent="0.25">
      <c r="A2687" t="s">
        <v>3476</v>
      </c>
    </row>
    <row r="2688" spans="1:1" x14ac:dyDescent="0.25">
      <c r="A2688" t="s">
        <v>3477</v>
      </c>
    </row>
    <row r="2689" spans="1:1" x14ac:dyDescent="0.25">
      <c r="A2689" t="s">
        <v>3478</v>
      </c>
    </row>
    <row r="2690" spans="1:1" x14ac:dyDescent="0.25">
      <c r="A2690" t="s">
        <v>3479</v>
      </c>
    </row>
    <row r="2691" spans="1:1" x14ac:dyDescent="0.25">
      <c r="A2691" t="s">
        <v>3480</v>
      </c>
    </row>
    <row r="2692" spans="1:1" x14ac:dyDescent="0.25">
      <c r="A2692" t="s">
        <v>3481</v>
      </c>
    </row>
    <row r="2693" spans="1:1" x14ac:dyDescent="0.25">
      <c r="A2693" t="s">
        <v>3482</v>
      </c>
    </row>
    <row r="2694" spans="1:1" x14ac:dyDescent="0.25">
      <c r="A2694" t="s">
        <v>3483</v>
      </c>
    </row>
    <row r="2695" spans="1:1" x14ac:dyDescent="0.25">
      <c r="A2695" t="s">
        <v>3484</v>
      </c>
    </row>
    <row r="2696" spans="1:1" x14ac:dyDescent="0.25">
      <c r="A2696" t="s">
        <v>3485</v>
      </c>
    </row>
    <row r="2697" spans="1:1" x14ac:dyDescent="0.25">
      <c r="A2697" t="s">
        <v>3486</v>
      </c>
    </row>
    <row r="2698" spans="1:1" x14ac:dyDescent="0.25">
      <c r="A2698" t="s">
        <v>3487</v>
      </c>
    </row>
    <row r="2699" spans="1:1" x14ac:dyDescent="0.25">
      <c r="A2699" t="s">
        <v>3488</v>
      </c>
    </row>
    <row r="2700" spans="1:1" x14ac:dyDescent="0.25">
      <c r="A2700" t="s">
        <v>3489</v>
      </c>
    </row>
    <row r="2701" spans="1:1" x14ac:dyDescent="0.25">
      <c r="A2701" t="s">
        <v>3490</v>
      </c>
    </row>
    <row r="2702" spans="1:1" x14ac:dyDescent="0.25">
      <c r="A2702" t="s">
        <v>3491</v>
      </c>
    </row>
    <row r="2703" spans="1:1" x14ac:dyDescent="0.25">
      <c r="A2703" t="s">
        <v>3492</v>
      </c>
    </row>
    <row r="2704" spans="1:1" x14ac:dyDescent="0.25">
      <c r="A2704" t="s">
        <v>3493</v>
      </c>
    </row>
    <row r="2705" spans="1:1" x14ac:dyDescent="0.25">
      <c r="A2705" t="s">
        <v>3494</v>
      </c>
    </row>
    <row r="2706" spans="1:1" x14ac:dyDescent="0.25">
      <c r="A2706" t="s">
        <v>3495</v>
      </c>
    </row>
    <row r="2707" spans="1:1" x14ac:dyDescent="0.25">
      <c r="A2707" t="s">
        <v>3496</v>
      </c>
    </row>
    <row r="2708" spans="1:1" x14ac:dyDescent="0.25">
      <c r="A2708" t="s">
        <v>3497</v>
      </c>
    </row>
    <row r="2709" spans="1:1" x14ac:dyDescent="0.25">
      <c r="A2709" t="s">
        <v>3498</v>
      </c>
    </row>
    <row r="2710" spans="1:1" x14ac:dyDescent="0.25">
      <c r="A2710" t="s">
        <v>3499</v>
      </c>
    </row>
    <row r="2711" spans="1:1" x14ac:dyDescent="0.25">
      <c r="A2711" t="s">
        <v>3500</v>
      </c>
    </row>
    <row r="2712" spans="1:1" x14ac:dyDescent="0.25">
      <c r="A2712" t="s">
        <v>3501</v>
      </c>
    </row>
    <row r="2713" spans="1:1" x14ac:dyDescent="0.25">
      <c r="A2713" t="s">
        <v>3502</v>
      </c>
    </row>
    <row r="2714" spans="1:1" x14ac:dyDescent="0.25">
      <c r="A2714" t="s">
        <v>3503</v>
      </c>
    </row>
    <row r="2715" spans="1:1" x14ac:dyDescent="0.25">
      <c r="A2715" t="s">
        <v>3504</v>
      </c>
    </row>
    <row r="2716" spans="1:1" x14ac:dyDescent="0.25">
      <c r="A2716" t="s">
        <v>3505</v>
      </c>
    </row>
    <row r="2717" spans="1:1" x14ac:dyDescent="0.25">
      <c r="A2717" t="s">
        <v>3506</v>
      </c>
    </row>
    <row r="2718" spans="1:1" x14ac:dyDescent="0.25">
      <c r="A2718" t="s">
        <v>3507</v>
      </c>
    </row>
    <row r="2719" spans="1:1" x14ac:dyDescent="0.25">
      <c r="A2719" t="s">
        <v>3508</v>
      </c>
    </row>
    <row r="2720" spans="1:1" x14ac:dyDescent="0.25">
      <c r="A2720" t="s">
        <v>3509</v>
      </c>
    </row>
    <row r="2721" spans="1:1" x14ac:dyDescent="0.25">
      <c r="A2721" t="s">
        <v>3510</v>
      </c>
    </row>
    <row r="2722" spans="1:1" x14ac:dyDescent="0.25">
      <c r="A2722" t="s">
        <v>3511</v>
      </c>
    </row>
    <row r="2723" spans="1:1" x14ac:dyDescent="0.25">
      <c r="A2723" t="s">
        <v>3512</v>
      </c>
    </row>
    <row r="2724" spans="1:1" x14ac:dyDescent="0.25">
      <c r="A2724" t="s">
        <v>3513</v>
      </c>
    </row>
    <row r="2725" spans="1:1" x14ac:dyDescent="0.25">
      <c r="A2725" t="s">
        <v>3514</v>
      </c>
    </row>
    <row r="2726" spans="1:1" x14ac:dyDescent="0.25">
      <c r="A2726" t="s">
        <v>3515</v>
      </c>
    </row>
    <row r="2727" spans="1:1" x14ac:dyDescent="0.25">
      <c r="A2727" t="s">
        <v>3516</v>
      </c>
    </row>
    <row r="2728" spans="1:1" x14ac:dyDescent="0.25">
      <c r="A2728" t="s">
        <v>3517</v>
      </c>
    </row>
    <row r="2729" spans="1:1" x14ac:dyDescent="0.25">
      <c r="A2729" t="s">
        <v>3518</v>
      </c>
    </row>
    <row r="2730" spans="1:1" x14ac:dyDescent="0.25">
      <c r="A2730" t="s">
        <v>3519</v>
      </c>
    </row>
    <row r="2731" spans="1:1" x14ac:dyDescent="0.25">
      <c r="A2731" t="s">
        <v>3520</v>
      </c>
    </row>
    <row r="2732" spans="1:1" x14ac:dyDescent="0.25">
      <c r="A2732" t="s">
        <v>3521</v>
      </c>
    </row>
    <row r="2733" spans="1:1" x14ac:dyDescent="0.25">
      <c r="A2733" t="s">
        <v>3522</v>
      </c>
    </row>
    <row r="2734" spans="1:1" x14ac:dyDescent="0.25">
      <c r="A2734" t="s">
        <v>3523</v>
      </c>
    </row>
    <row r="2735" spans="1:1" x14ac:dyDescent="0.25">
      <c r="A2735" t="s">
        <v>3524</v>
      </c>
    </row>
    <row r="2736" spans="1:1" x14ac:dyDescent="0.25">
      <c r="A2736" t="s">
        <v>3525</v>
      </c>
    </row>
    <row r="2737" spans="1:1" x14ac:dyDescent="0.25">
      <c r="A2737" t="s">
        <v>3526</v>
      </c>
    </row>
    <row r="2738" spans="1:1" x14ac:dyDescent="0.25">
      <c r="A2738" t="s">
        <v>3527</v>
      </c>
    </row>
    <row r="2739" spans="1:1" x14ac:dyDescent="0.25">
      <c r="A2739" t="s">
        <v>3528</v>
      </c>
    </row>
    <row r="2740" spans="1:1" x14ac:dyDescent="0.25">
      <c r="A2740" t="s">
        <v>3529</v>
      </c>
    </row>
    <row r="2741" spans="1:1" x14ac:dyDescent="0.25">
      <c r="A2741" t="s">
        <v>3530</v>
      </c>
    </row>
    <row r="2742" spans="1:1" x14ac:dyDescent="0.25">
      <c r="A2742" t="s">
        <v>3531</v>
      </c>
    </row>
    <row r="2743" spans="1:1" x14ac:dyDescent="0.25">
      <c r="A2743" t="s">
        <v>3532</v>
      </c>
    </row>
    <row r="2744" spans="1:1" x14ac:dyDescent="0.25">
      <c r="A2744" t="s">
        <v>3533</v>
      </c>
    </row>
    <row r="2745" spans="1:1" x14ac:dyDescent="0.25">
      <c r="A2745" t="s">
        <v>3534</v>
      </c>
    </row>
    <row r="2746" spans="1:1" x14ac:dyDescent="0.25">
      <c r="A2746" t="s">
        <v>3535</v>
      </c>
    </row>
    <row r="2747" spans="1:1" x14ac:dyDescent="0.25">
      <c r="A2747" t="s">
        <v>3536</v>
      </c>
    </row>
    <row r="2748" spans="1:1" x14ac:dyDescent="0.25">
      <c r="A2748" t="s">
        <v>3537</v>
      </c>
    </row>
    <row r="2749" spans="1:1" x14ac:dyDescent="0.25">
      <c r="A2749" t="s">
        <v>3538</v>
      </c>
    </row>
    <row r="2750" spans="1:1" x14ac:dyDescent="0.25">
      <c r="A2750" t="s">
        <v>3539</v>
      </c>
    </row>
    <row r="2751" spans="1:1" x14ac:dyDescent="0.25">
      <c r="A2751" t="s">
        <v>3540</v>
      </c>
    </row>
    <row r="2752" spans="1:1" x14ac:dyDescent="0.25">
      <c r="A2752" t="s">
        <v>3541</v>
      </c>
    </row>
    <row r="2753" spans="1:1" x14ac:dyDescent="0.25">
      <c r="A2753" t="s">
        <v>3542</v>
      </c>
    </row>
    <row r="2754" spans="1:1" x14ac:dyDescent="0.25">
      <c r="A2754" t="s">
        <v>3543</v>
      </c>
    </row>
    <row r="2755" spans="1:1" x14ac:dyDescent="0.25">
      <c r="A2755" t="s">
        <v>3544</v>
      </c>
    </row>
    <row r="2756" spans="1:1" x14ac:dyDescent="0.25">
      <c r="A2756" t="s">
        <v>3545</v>
      </c>
    </row>
    <row r="2757" spans="1:1" x14ac:dyDescent="0.25">
      <c r="A2757" t="s">
        <v>3546</v>
      </c>
    </row>
    <row r="2758" spans="1:1" x14ac:dyDescent="0.25">
      <c r="A2758" t="s">
        <v>3547</v>
      </c>
    </row>
    <row r="2759" spans="1:1" x14ac:dyDescent="0.25">
      <c r="A2759" t="s">
        <v>3548</v>
      </c>
    </row>
    <row r="2760" spans="1:1" x14ac:dyDescent="0.25">
      <c r="A2760" t="s">
        <v>3549</v>
      </c>
    </row>
    <row r="2761" spans="1:1" x14ac:dyDescent="0.25">
      <c r="A2761" t="s">
        <v>3550</v>
      </c>
    </row>
    <row r="2762" spans="1:1" x14ac:dyDescent="0.25">
      <c r="A2762" t="s">
        <v>3551</v>
      </c>
    </row>
    <row r="2764" spans="1:1" x14ac:dyDescent="0.25">
      <c r="A2764" t="s">
        <v>3552</v>
      </c>
    </row>
    <row r="2765" spans="1:1" x14ac:dyDescent="0.25">
      <c r="A2765" t="s">
        <v>3553</v>
      </c>
    </row>
    <row r="2766" spans="1:1" x14ac:dyDescent="0.25">
      <c r="A2766" t="s">
        <v>3554</v>
      </c>
    </row>
    <row r="2767" spans="1:1" x14ac:dyDescent="0.25">
      <c r="A2767" t="s">
        <v>3555</v>
      </c>
    </row>
    <row r="2768" spans="1:1" x14ac:dyDescent="0.25">
      <c r="A2768" t="s">
        <v>3556</v>
      </c>
    </row>
    <row r="2769" spans="1:1" x14ac:dyDescent="0.25">
      <c r="A2769" t="s">
        <v>3557</v>
      </c>
    </row>
    <row r="2770" spans="1:1" x14ac:dyDescent="0.25">
      <c r="A2770" t="s">
        <v>3558</v>
      </c>
    </row>
    <row r="2771" spans="1:1" x14ac:dyDescent="0.25">
      <c r="A2771" t="s">
        <v>3559</v>
      </c>
    </row>
    <row r="2772" spans="1:1" x14ac:dyDescent="0.25">
      <c r="A2772" t="s">
        <v>3560</v>
      </c>
    </row>
    <row r="2773" spans="1:1" x14ac:dyDescent="0.25">
      <c r="A2773" t="s">
        <v>3561</v>
      </c>
    </row>
    <row r="2774" spans="1:1" x14ac:dyDescent="0.25">
      <c r="A2774" t="s">
        <v>3562</v>
      </c>
    </row>
    <row r="2775" spans="1:1" x14ac:dyDescent="0.25">
      <c r="A2775" t="s">
        <v>3563</v>
      </c>
    </row>
    <row r="2777" spans="1:1" x14ac:dyDescent="0.25">
      <c r="A2777" t="s">
        <v>3564</v>
      </c>
    </row>
    <row r="2778" spans="1:1" x14ac:dyDescent="0.25">
      <c r="A2778" t="s">
        <v>3565</v>
      </c>
    </row>
    <row r="2779" spans="1:1" x14ac:dyDescent="0.25">
      <c r="A2779" t="s">
        <v>3566</v>
      </c>
    </row>
    <row r="2780" spans="1:1" x14ac:dyDescent="0.25">
      <c r="A2780" t="s">
        <v>3567</v>
      </c>
    </row>
    <row r="2781" spans="1:1" x14ac:dyDescent="0.25">
      <c r="A2781" t="s">
        <v>3568</v>
      </c>
    </row>
    <row r="2782" spans="1:1" x14ac:dyDescent="0.25">
      <c r="A2782" t="s">
        <v>3569</v>
      </c>
    </row>
    <row r="2783" spans="1:1" x14ac:dyDescent="0.25">
      <c r="A2783" t="s">
        <v>3570</v>
      </c>
    </row>
    <row r="2784" spans="1:1" x14ac:dyDescent="0.25">
      <c r="A2784" t="s">
        <v>3571</v>
      </c>
    </row>
    <row r="2785" spans="1:1" x14ac:dyDescent="0.25">
      <c r="A2785" t="s">
        <v>3572</v>
      </c>
    </row>
    <row r="2786" spans="1:1" x14ac:dyDescent="0.25">
      <c r="A2786" t="s">
        <v>3573</v>
      </c>
    </row>
    <row r="2787" spans="1:1" x14ac:dyDescent="0.25">
      <c r="A2787" t="s">
        <v>3574</v>
      </c>
    </row>
    <row r="2788" spans="1:1" x14ac:dyDescent="0.25">
      <c r="A2788" t="s">
        <v>3575</v>
      </c>
    </row>
    <row r="2789" spans="1:1" x14ac:dyDescent="0.25">
      <c r="A2789" t="s">
        <v>3576</v>
      </c>
    </row>
    <row r="2790" spans="1:1" x14ac:dyDescent="0.25">
      <c r="A2790" t="s">
        <v>3577</v>
      </c>
    </row>
    <row r="2791" spans="1:1" x14ac:dyDescent="0.25">
      <c r="A2791" t="s">
        <v>3578</v>
      </c>
    </row>
    <row r="2792" spans="1:1" x14ac:dyDescent="0.25">
      <c r="A2792" t="s">
        <v>3579</v>
      </c>
    </row>
    <row r="2793" spans="1:1" x14ac:dyDescent="0.25">
      <c r="A2793" t="s">
        <v>3580</v>
      </c>
    </row>
    <row r="2794" spans="1:1" x14ac:dyDescent="0.25">
      <c r="A2794" t="s">
        <v>3581</v>
      </c>
    </row>
    <row r="2795" spans="1:1" x14ac:dyDescent="0.25">
      <c r="A2795" t="s">
        <v>3582</v>
      </c>
    </row>
    <row r="2796" spans="1:1" x14ac:dyDescent="0.25">
      <c r="A2796" t="s">
        <v>3583</v>
      </c>
    </row>
    <row r="2797" spans="1:1" x14ac:dyDescent="0.25">
      <c r="A2797" t="s">
        <v>3584</v>
      </c>
    </row>
    <row r="2798" spans="1:1" x14ac:dyDescent="0.25">
      <c r="A2798" t="s">
        <v>3585</v>
      </c>
    </row>
    <row r="2799" spans="1:1" x14ac:dyDescent="0.25">
      <c r="A2799" t="s">
        <v>3586</v>
      </c>
    </row>
    <row r="2800" spans="1:1" x14ac:dyDescent="0.25">
      <c r="A2800" t="s">
        <v>3587</v>
      </c>
    </row>
    <row r="2801" spans="1:1" x14ac:dyDescent="0.25">
      <c r="A2801" t="s">
        <v>3588</v>
      </c>
    </row>
    <row r="2802" spans="1:1" x14ac:dyDescent="0.25">
      <c r="A2802" t="s">
        <v>3589</v>
      </c>
    </row>
    <row r="2803" spans="1:1" x14ac:dyDescent="0.25">
      <c r="A2803" t="s">
        <v>3590</v>
      </c>
    </row>
    <row r="2804" spans="1:1" x14ac:dyDescent="0.25">
      <c r="A2804" t="s">
        <v>3591</v>
      </c>
    </row>
    <row r="2805" spans="1:1" x14ac:dyDescent="0.25">
      <c r="A2805" t="s">
        <v>3592</v>
      </c>
    </row>
    <row r="2806" spans="1:1" x14ac:dyDescent="0.25">
      <c r="A2806" t="s">
        <v>3593</v>
      </c>
    </row>
    <row r="2807" spans="1:1" x14ac:dyDescent="0.25">
      <c r="A2807" t="s">
        <v>3594</v>
      </c>
    </row>
    <row r="2808" spans="1:1" x14ac:dyDescent="0.25">
      <c r="A2808" t="s">
        <v>3595</v>
      </c>
    </row>
    <row r="2809" spans="1:1" x14ac:dyDescent="0.25">
      <c r="A2809" t="s">
        <v>3596</v>
      </c>
    </row>
    <row r="2810" spans="1:1" x14ac:dyDescent="0.25">
      <c r="A2810" t="s">
        <v>3597</v>
      </c>
    </row>
    <row r="2811" spans="1:1" x14ac:dyDescent="0.25">
      <c r="A2811" t="s">
        <v>3598</v>
      </c>
    </row>
    <row r="2812" spans="1:1" x14ac:dyDescent="0.25">
      <c r="A2812" t="s">
        <v>3599</v>
      </c>
    </row>
    <row r="2813" spans="1:1" x14ac:dyDescent="0.25">
      <c r="A2813" t="s">
        <v>3600</v>
      </c>
    </row>
    <row r="2814" spans="1:1" x14ac:dyDescent="0.25">
      <c r="A2814" t="s">
        <v>3601</v>
      </c>
    </row>
    <row r="2815" spans="1:1" x14ac:dyDescent="0.25">
      <c r="A2815" t="s">
        <v>3602</v>
      </c>
    </row>
    <row r="2816" spans="1:1" x14ac:dyDescent="0.25">
      <c r="A2816" t="s">
        <v>3603</v>
      </c>
    </row>
    <row r="2817" spans="1:1" x14ac:dyDescent="0.25">
      <c r="A2817" t="s">
        <v>3604</v>
      </c>
    </row>
    <row r="2819" spans="1:1" x14ac:dyDescent="0.25">
      <c r="A2819" t="s">
        <v>3605</v>
      </c>
    </row>
    <row r="2820" spans="1:1" x14ac:dyDescent="0.25">
      <c r="A2820" t="s">
        <v>3606</v>
      </c>
    </row>
    <row r="2821" spans="1:1" x14ac:dyDescent="0.25">
      <c r="A2821" t="s">
        <v>3607</v>
      </c>
    </row>
    <row r="2822" spans="1:1" x14ac:dyDescent="0.25">
      <c r="A2822" t="s">
        <v>3608</v>
      </c>
    </row>
    <row r="2823" spans="1:1" x14ac:dyDescent="0.25">
      <c r="A2823" t="s">
        <v>3609</v>
      </c>
    </row>
    <row r="2824" spans="1:1" x14ac:dyDescent="0.25">
      <c r="A2824" t="s">
        <v>3610</v>
      </c>
    </row>
    <row r="2826" spans="1:1" x14ac:dyDescent="0.25">
      <c r="A2826" t="s">
        <v>3611</v>
      </c>
    </row>
    <row r="2827" spans="1:1" x14ac:dyDescent="0.25">
      <c r="A2827" t="s">
        <v>3612</v>
      </c>
    </row>
    <row r="2828" spans="1:1" x14ac:dyDescent="0.25">
      <c r="A2828" t="s">
        <v>3613</v>
      </c>
    </row>
    <row r="2829" spans="1:1" x14ac:dyDescent="0.25">
      <c r="A2829" t="s">
        <v>3614</v>
      </c>
    </row>
    <row r="2830" spans="1:1" x14ac:dyDescent="0.25">
      <c r="A2830" t="s">
        <v>3615</v>
      </c>
    </row>
    <row r="2831" spans="1:1" x14ac:dyDescent="0.25">
      <c r="A2831" t="s">
        <v>3616</v>
      </c>
    </row>
    <row r="2832" spans="1:1" x14ac:dyDescent="0.25">
      <c r="A2832" t="s">
        <v>3617</v>
      </c>
    </row>
    <row r="2833" spans="1:1" x14ac:dyDescent="0.25">
      <c r="A2833" t="s">
        <v>3618</v>
      </c>
    </row>
    <row r="2834" spans="1:1" x14ac:dyDescent="0.25">
      <c r="A2834" t="s">
        <v>3619</v>
      </c>
    </row>
    <row r="2835" spans="1:1" x14ac:dyDescent="0.25">
      <c r="A2835" t="s">
        <v>3620</v>
      </c>
    </row>
    <row r="2836" spans="1:1" x14ac:dyDescent="0.25">
      <c r="A2836" t="s">
        <v>3621</v>
      </c>
    </row>
    <row r="2837" spans="1:1" x14ac:dyDescent="0.25">
      <c r="A2837" t="s">
        <v>3622</v>
      </c>
    </row>
    <row r="2838" spans="1:1" x14ac:dyDescent="0.25">
      <c r="A2838" t="s">
        <v>3623</v>
      </c>
    </row>
    <row r="2839" spans="1:1" x14ac:dyDescent="0.25">
      <c r="A2839" t="s">
        <v>3624</v>
      </c>
    </row>
    <row r="2840" spans="1:1" x14ac:dyDescent="0.25">
      <c r="A2840" t="s">
        <v>3625</v>
      </c>
    </row>
    <row r="2841" spans="1:1" x14ac:dyDescent="0.25">
      <c r="A2841" t="s">
        <v>3626</v>
      </c>
    </row>
    <row r="2842" spans="1:1" x14ac:dyDescent="0.25">
      <c r="A2842" t="s">
        <v>3627</v>
      </c>
    </row>
    <row r="2843" spans="1:1" x14ac:dyDescent="0.25">
      <c r="A2843" t="s">
        <v>3628</v>
      </c>
    </row>
    <row r="2844" spans="1:1" x14ac:dyDescent="0.25">
      <c r="A2844" t="s">
        <v>3629</v>
      </c>
    </row>
    <row r="2845" spans="1:1" x14ac:dyDescent="0.25">
      <c r="A2845" t="s">
        <v>3630</v>
      </c>
    </row>
    <row r="2846" spans="1:1" x14ac:dyDescent="0.25">
      <c r="A2846" t="s">
        <v>3631</v>
      </c>
    </row>
    <row r="2847" spans="1:1" x14ac:dyDescent="0.25">
      <c r="A2847" t="s">
        <v>3632</v>
      </c>
    </row>
    <row r="2848" spans="1:1" x14ac:dyDescent="0.25">
      <c r="A2848" t="s">
        <v>3633</v>
      </c>
    </row>
    <row r="2849" spans="1:1" x14ac:dyDescent="0.25">
      <c r="A2849" t="s">
        <v>3634</v>
      </c>
    </row>
    <row r="2850" spans="1:1" x14ac:dyDescent="0.25">
      <c r="A2850" t="s">
        <v>3635</v>
      </c>
    </row>
    <row r="2851" spans="1:1" x14ac:dyDescent="0.25">
      <c r="A2851" t="s">
        <v>3636</v>
      </c>
    </row>
    <row r="2852" spans="1:1" x14ac:dyDescent="0.25">
      <c r="A2852" t="s">
        <v>3637</v>
      </c>
    </row>
    <row r="2853" spans="1:1" x14ac:dyDescent="0.25">
      <c r="A2853" t="s">
        <v>3638</v>
      </c>
    </row>
    <row r="2854" spans="1:1" x14ac:dyDescent="0.25">
      <c r="A2854" t="s">
        <v>3639</v>
      </c>
    </row>
    <row r="2855" spans="1:1" x14ac:dyDescent="0.25">
      <c r="A2855" t="s">
        <v>3640</v>
      </c>
    </row>
    <row r="2856" spans="1:1" x14ac:dyDescent="0.25">
      <c r="A2856" t="s">
        <v>3641</v>
      </c>
    </row>
    <row r="2857" spans="1:1" x14ac:dyDescent="0.25">
      <c r="A2857" t="s">
        <v>3642</v>
      </c>
    </row>
    <row r="2858" spans="1:1" x14ac:dyDescent="0.25">
      <c r="A2858" t="s">
        <v>3643</v>
      </c>
    </row>
    <row r="2859" spans="1:1" x14ac:dyDescent="0.25">
      <c r="A2859" t="s">
        <v>3644</v>
      </c>
    </row>
    <row r="2860" spans="1:1" x14ac:dyDescent="0.25">
      <c r="A2860" t="s">
        <v>3645</v>
      </c>
    </row>
    <row r="2861" spans="1:1" x14ac:dyDescent="0.25">
      <c r="A2861" t="s">
        <v>3646</v>
      </c>
    </row>
    <row r="2862" spans="1:1" x14ac:dyDescent="0.25">
      <c r="A2862" t="s">
        <v>3647</v>
      </c>
    </row>
    <row r="2863" spans="1:1" x14ac:dyDescent="0.25">
      <c r="A2863" t="s">
        <v>3648</v>
      </c>
    </row>
    <row r="2864" spans="1:1" x14ac:dyDescent="0.25">
      <c r="A2864" t="s">
        <v>3649</v>
      </c>
    </row>
    <row r="2865" spans="1:1" x14ac:dyDescent="0.25">
      <c r="A2865" t="s">
        <v>3650</v>
      </c>
    </row>
    <row r="2866" spans="1:1" x14ac:dyDescent="0.25">
      <c r="A2866" t="s">
        <v>3651</v>
      </c>
    </row>
    <row r="2867" spans="1:1" x14ac:dyDescent="0.25">
      <c r="A2867" t="s">
        <v>3652</v>
      </c>
    </row>
    <row r="2868" spans="1:1" x14ac:dyDescent="0.25">
      <c r="A2868" t="s">
        <v>3653</v>
      </c>
    </row>
    <row r="2869" spans="1:1" x14ac:dyDescent="0.25">
      <c r="A2869" t="s">
        <v>3654</v>
      </c>
    </row>
    <row r="2870" spans="1:1" x14ac:dyDescent="0.25">
      <c r="A2870" t="s">
        <v>3655</v>
      </c>
    </row>
    <row r="2871" spans="1:1" x14ac:dyDescent="0.25">
      <c r="A2871" t="s">
        <v>3656</v>
      </c>
    </row>
    <row r="2872" spans="1:1" x14ac:dyDescent="0.25">
      <c r="A2872" t="s">
        <v>3657</v>
      </c>
    </row>
    <row r="2873" spans="1:1" x14ac:dyDescent="0.25">
      <c r="A2873" t="s">
        <v>3658</v>
      </c>
    </row>
    <row r="2874" spans="1:1" x14ac:dyDescent="0.25">
      <c r="A2874" t="s">
        <v>3659</v>
      </c>
    </row>
    <row r="2875" spans="1:1" x14ac:dyDescent="0.25">
      <c r="A2875" t="s">
        <v>3660</v>
      </c>
    </row>
    <row r="2876" spans="1:1" x14ac:dyDescent="0.25">
      <c r="A2876" t="s">
        <v>3661</v>
      </c>
    </row>
    <row r="2877" spans="1:1" x14ac:dyDescent="0.25">
      <c r="A2877" t="s">
        <v>3662</v>
      </c>
    </row>
    <row r="2878" spans="1:1" x14ac:dyDescent="0.25">
      <c r="A2878" t="s">
        <v>3663</v>
      </c>
    </row>
    <row r="2879" spans="1:1" x14ac:dyDescent="0.25">
      <c r="A2879" t="s">
        <v>3664</v>
      </c>
    </row>
    <row r="2880" spans="1:1" x14ac:dyDescent="0.25">
      <c r="A2880" t="s">
        <v>3665</v>
      </c>
    </row>
    <row r="2881" spans="1:1" x14ac:dyDescent="0.25">
      <c r="A2881" t="s">
        <v>3666</v>
      </c>
    </row>
    <row r="2882" spans="1:1" x14ac:dyDescent="0.25">
      <c r="A2882" t="s">
        <v>3667</v>
      </c>
    </row>
    <row r="2883" spans="1:1" x14ac:dyDescent="0.25">
      <c r="A2883" t="s">
        <v>3668</v>
      </c>
    </row>
    <row r="2884" spans="1:1" x14ac:dyDescent="0.25">
      <c r="A2884" t="s">
        <v>3669</v>
      </c>
    </row>
    <row r="2885" spans="1:1" x14ac:dyDescent="0.25">
      <c r="A2885" t="s">
        <v>3670</v>
      </c>
    </row>
    <row r="2886" spans="1:1" x14ac:dyDescent="0.25">
      <c r="A2886" t="s">
        <v>3671</v>
      </c>
    </row>
    <row r="2887" spans="1:1" x14ac:dyDescent="0.25">
      <c r="A2887" t="s">
        <v>3672</v>
      </c>
    </row>
    <row r="2888" spans="1:1" x14ac:dyDescent="0.25">
      <c r="A2888" t="s">
        <v>3673</v>
      </c>
    </row>
    <row r="2889" spans="1:1" x14ac:dyDescent="0.25">
      <c r="A2889" t="s">
        <v>3674</v>
      </c>
    </row>
    <row r="2890" spans="1:1" x14ac:dyDescent="0.25">
      <c r="A2890" t="s">
        <v>3675</v>
      </c>
    </row>
    <row r="2891" spans="1:1" x14ac:dyDescent="0.25">
      <c r="A2891" t="s">
        <v>3676</v>
      </c>
    </row>
    <row r="2892" spans="1:1" x14ac:dyDescent="0.25">
      <c r="A2892" t="s">
        <v>3677</v>
      </c>
    </row>
    <row r="2893" spans="1:1" x14ac:dyDescent="0.25">
      <c r="A2893" t="s">
        <v>3678</v>
      </c>
    </row>
    <row r="2894" spans="1:1" x14ac:dyDescent="0.25">
      <c r="A2894" t="s">
        <v>3679</v>
      </c>
    </row>
    <row r="2895" spans="1:1" x14ac:dyDescent="0.25">
      <c r="A2895" t="s">
        <v>3680</v>
      </c>
    </row>
    <row r="2896" spans="1:1" x14ac:dyDescent="0.25">
      <c r="A2896" t="s">
        <v>3681</v>
      </c>
    </row>
    <row r="2897" spans="1:1" x14ac:dyDescent="0.25">
      <c r="A2897" t="s">
        <v>3682</v>
      </c>
    </row>
    <row r="2898" spans="1:1" x14ac:dyDescent="0.25">
      <c r="A2898" t="s">
        <v>3683</v>
      </c>
    </row>
    <row r="2899" spans="1:1" x14ac:dyDescent="0.25">
      <c r="A2899" t="s">
        <v>3684</v>
      </c>
    </row>
    <row r="2900" spans="1:1" x14ac:dyDescent="0.25">
      <c r="A2900" t="s">
        <v>3685</v>
      </c>
    </row>
    <row r="2901" spans="1:1" x14ac:dyDescent="0.25">
      <c r="A2901" t="s">
        <v>3686</v>
      </c>
    </row>
    <row r="2902" spans="1:1" x14ac:dyDescent="0.25">
      <c r="A2902" t="s">
        <v>3687</v>
      </c>
    </row>
    <row r="2903" spans="1:1" x14ac:dyDescent="0.25">
      <c r="A2903" t="s">
        <v>3688</v>
      </c>
    </row>
    <row r="2904" spans="1:1" x14ac:dyDescent="0.25">
      <c r="A2904" t="s">
        <v>3689</v>
      </c>
    </row>
    <row r="2905" spans="1:1" x14ac:dyDescent="0.25">
      <c r="A2905" t="s">
        <v>3690</v>
      </c>
    </row>
    <row r="2906" spans="1:1" x14ac:dyDescent="0.25">
      <c r="A2906" t="s">
        <v>3691</v>
      </c>
    </row>
    <row r="2907" spans="1:1" x14ac:dyDescent="0.25">
      <c r="A2907" t="s">
        <v>3692</v>
      </c>
    </row>
    <row r="2908" spans="1:1" x14ac:dyDescent="0.25">
      <c r="A2908" t="s">
        <v>3693</v>
      </c>
    </row>
    <row r="2909" spans="1:1" x14ac:dyDescent="0.25">
      <c r="A2909" t="s">
        <v>3694</v>
      </c>
    </row>
    <row r="2910" spans="1:1" x14ac:dyDescent="0.25">
      <c r="A2910" t="s">
        <v>3695</v>
      </c>
    </row>
    <row r="2911" spans="1:1" x14ac:dyDescent="0.25">
      <c r="A2911" t="s">
        <v>3696</v>
      </c>
    </row>
    <row r="2912" spans="1:1" x14ac:dyDescent="0.25">
      <c r="A2912" t="s">
        <v>3697</v>
      </c>
    </row>
    <row r="2913" spans="1:1" x14ac:dyDescent="0.25">
      <c r="A2913" t="s">
        <v>3687</v>
      </c>
    </row>
    <row r="2914" spans="1:1" x14ac:dyDescent="0.25">
      <c r="A2914" t="s">
        <v>3698</v>
      </c>
    </row>
    <row r="2915" spans="1:1" x14ac:dyDescent="0.25">
      <c r="A2915" t="s">
        <v>3699</v>
      </c>
    </row>
    <row r="2916" spans="1:1" x14ac:dyDescent="0.25">
      <c r="A2916" t="s">
        <v>3700</v>
      </c>
    </row>
    <row r="2917" spans="1:1" x14ac:dyDescent="0.25">
      <c r="A2917" t="s">
        <v>3701</v>
      </c>
    </row>
    <row r="2918" spans="1:1" x14ac:dyDescent="0.25">
      <c r="A2918" t="s">
        <v>3501</v>
      </c>
    </row>
    <row r="2919" spans="1:1" x14ac:dyDescent="0.25">
      <c r="A2919" t="s">
        <v>3702</v>
      </c>
    </row>
    <row r="2920" spans="1:1" x14ac:dyDescent="0.25">
      <c r="A2920" t="s">
        <v>3703</v>
      </c>
    </row>
    <row r="2921" spans="1:1" x14ac:dyDescent="0.25">
      <c r="A2921" t="s">
        <v>3704</v>
      </c>
    </row>
    <row r="2922" spans="1:1" x14ac:dyDescent="0.25">
      <c r="A2922" t="s">
        <v>3705</v>
      </c>
    </row>
    <row r="2923" spans="1:1" x14ac:dyDescent="0.25">
      <c r="A2923" t="s">
        <v>3555</v>
      </c>
    </row>
    <row r="2924" spans="1:1" x14ac:dyDescent="0.25">
      <c r="A2924" t="s">
        <v>3706</v>
      </c>
    </row>
    <row r="2925" spans="1:1" x14ac:dyDescent="0.25">
      <c r="A2925" t="s">
        <v>3707</v>
      </c>
    </row>
    <row r="2926" spans="1:1" x14ac:dyDescent="0.25">
      <c r="A2926" t="s">
        <v>3708</v>
      </c>
    </row>
    <row r="2928" spans="1:1" x14ac:dyDescent="0.25">
      <c r="A2928" t="s">
        <v>3709</v>
      </c>
    </row>
    <row r="2929" spans="1:1" x14ac:dyDescent="0.25">
      <c r="A2929" t="s">
        <v>3710</v>
      </c>
    </row>
    <row r="2930" spans="1:1" x14ac:dyDescent="0.25">
      <c r="A2930" t="s">
        <v>3711</v>
      </c>
    </row>
    <row r="2931" spans="1:1" x14ac:dyDescent="0.25">
      <c r="A2931" t="s">
        <v>3712</v>
      </c>
    </row>
    <row r="2932" spans="1:1" x14ac:dyDescent="0.25">
      <c r="A2932" t="s">
        <v>3713</v>
      </c>
    </row>
    <row r="2933" spans="1:1" x14ac:dyDescent="0.25">
      <c r="A2933" t="s">
        <v>3714</v>
      </c>
    </row>
    <row r="2934" spans="1:1" x14ac:dyDescent="0.25">
      <c r="A2934" t="s">
        <v>3715</v>
      </c>
    </row>
    <row r="2935" spans="1:1" x14ac:dyDescent="0.25">
      <c r="A2935" t="s">
        <v>3716</v>
      </c>
    </row>
    <row r="2936" spans="1:1" x14ac:dyDescent="0.25">
      <c r="A2936" t="s">
        <v>3701</v>
      </c>
    </row>
    <row r="2937" spans="1:1" x14ac:dyDescent="0.25">
      <c r="A2937" t="s">
        <v>3717</v>
      </c>
    </row>
    <row r="2938" spans="1:1" x14ac:dyDescent="0.25">
      <c r="A2938" t="s">
        <v>3718</v>
      </c>
    </row>
    <row r="2939" spans="1:1" x14ac:dyDescent="0.25">
      <c r="A2939" t="s">
        <v>3719</v>
      </c>
    </row>
    <row r="2940" spans="1:1" x14ac:dyDescent="0.25">
      <c r="A2940" t="s">
        <v>3720</v>
      </c>
    </row>
    <row r="2941" spans="1:1" x14ac:dyDescent="0.25">
      <c r="A2941" t="s">
        <v>3721</v>
      </c>
    </row>
    <row r="2942" spans="1:1" x14ac:dyDescent="0.25">
      <c r="A2942" t="s">
        <v>3722</v>
      </c>
    </row>
    <row r="2943" spans="1:1" x14ac:dyDescent="0.25">
      <c r="A2943" t="s">
        <v>3723</v>
      </c>
    </row>
    <row r="2944" spans="1:1" x14ac:dyDescent="0.25">
      <c r="A2944" t="s">
        <v>3724</v>
      </c>
    </row>
    <row r="2945" spans="1:1" x14ac:dyDescent="0.25">
      <c r="A2945" t="s">
        <v>3725</v>
      </c>
    </row>
    <row r="2946" spans="1:1" x14ac:dyDescent="0.25">
      <c r="A2946" t="s">
        <v>3726</v>
      </c>
    </row>
    <row r="2947" spans="1:1" x14ac:dyDescent="0.25">
      <c r="A2947" t="s">
        <v>3727</v>
      </c>
    </row>
    <row r="2948" spans="1:1" x14ac:dyDescent="0.25">
      <c r="A2948" t="s">
        <v>3728</v>
      </c>
    </row>
    <row r="2949" spans="1:1" x14ac:dyDescent="0.25">
      <c r="A2949" t="s">
        <v>3729</v>
      </c>
    </row>
    <row r="2950" spans="1:1" x14ac:dyDescent="0.25">
      <c r="A2950" t="s">
        <v>3730</v>
      </c>
    </row>
    <row r="2951" spans="1:1" x14ac:dyDescent="0.25">
      <c r="A2951" t="s">
        <v>3731</v>
      </c>
    </row>
    <row r="2952" spans="1:1" x14ac:dyDescent="0.25">
      <c r="A2952" t="s">
        <v>3509</v>
      </c>
    </row>
    <row r="2953" spans="1:1" x14ac:dyDescent="0.25">
      <c r="A2953" t="s">
        <v>3732</v>
      </c>
    </row>
    <row r="2954" spans="1:1" x14ac:dyDescent="0.25">
      <c r="A2954" t="s">
        <v>3733</v>
      </c>
    </row>
    <row r="2955" spans="1:1" x14ac:dyDescent="0.25">
      <c r="A2955" t="s">
        <v>3734</v>
      </c>
    </row>
    <row r="2956" spans="1:1" x14ac:dyDescent="0.25">
      <c r="A2956" t="s">
        <v>3735</v>
      </c>
    </row>
    <row r="2957" spans="1:1" x14ac:dyDescent="0.25">
      <c r="A2957" t="s">
        <v>3736</v>
      </c>
    </row>
    <row r="2958" spans="1:1" x14ac:dyDescent="0.25">
      <c r="A2958" t="s">
        <v>3737</v>
      </c>
    </row>
    <row r="2959" spans="1:1" x14ac:dyDescent="0.25">
      <c r="A2959" t="s">
        <v>3738</v>
      </c>
    </row>
    <row r="2960" spans="1:1" x14ac:dyDescent="0.25">
      <c r="A2960" t="s">
        <v>3739</v>
      </c>
    </row>
    <row r="2961" spans="1:1" x14ac:dyDescent="0.25">
      <c r="A2961" t="s">
        <v>3740</v>
      </c>
    </row>
    <row r="2962" spans="1:1" x14ac:dyDescent="0.25">
      <c r="A2962" t="s">
        <v>3741</v>
      </c>
    </row>
    <row r="2963" spans="1:1" x14ac:dyDescent="0.25">
      <c r="A2963" t="s">
        <v>3742</v>
      </c>
    </row>
    <row r="2964" spans="1:1" x14ac:dyDescent="0.25">
      <c r="A2964" t="s">
        <v>3743</v>
      </c>
    </row>
    <row r="2965" spans="1:1" x14ac:dyDescent="0.25">
      <c r="A2965" t="s">
        <v>3744</v>
      </c>
    </row>
    <row r="2966" spans="1:1" x14ac:dyDescent="0.25">
      <c r="A2966" t="s">
        <v>3745</v>
      </c>
    </row>
    <row r="2967" spans="1:1" x14ac:dyDescent="0.25">
      <c r="A2967" t="s">
        <v>3746</v>
      </c>
    </row>
    <row r="2968" spans="1:1" x14ac:dyDescent="0.25">
      <c r="A2968" t="s">
        <v>3747</v>
      </c>
    </row>
    <row r="2969" spans="1:1" x14ac:dyDescent="0.25">
      <c r="A2969" t="s">
        <v>3748</v>
      </c>
    </row>
    <row r="2970" spans="1:1" x14ac:dyDescent="0.25">
      <c r="A2970" t="s">
        <v>3749</v>
      </c>
    </row>
    <row r="2971" spans="1:1" x14ac:dyDescent="0.25">
      <c r="A2971" t="s">
        <v>3750</v>
      </c>
    </row>
    <row r="2972" spans="1:1" x14ac:dyDescent="0.25">
      <c r="A2972" t="s">
        <v>3751</v>
      </c>
    </row>
    <row r="2973" spans="1:1" x14ac:dyDescent="0.25">
      <c r="A2973" t="s">
        <v>3752</v>
      </c>
    </row>
    <row r="2974" spans="1:1" x14ac:dyDescent="0.25">
      <c r="A2974" t="s">
        <v>3753</v>
      </c>
    </row>
    <row r="2975" spans="1:1" x14ac:dyDescent="0.25">
      <c r="A2975" t="s">
        <v>3754</v>
      </c>
    </row>
    <row r="2976" spans="1:1" x14ac:dyDescent="0.25">
      <c r="A2976" t="s">
        <v>3755</v>
      </c>
    </row>
    <row r="2977" spans="1:1" x14ac:dyDescent="0.25">
      <c r="A2977" t="s">
        <v>3756</v>
      </c>
    </row>
    <row r="2978" spans="1:1" x14ac:dyDescent="0.25">
      <c r="A2978" t="s">
        <v>3757</v>
      </c>
    </row>
    <row r="2979" spans="1:1" x14ac:dyDescent="0.25">
      <c r="A2979" t="s">
        <v>3758</v>
      </c>
    </row>
    <row r="2980" spans="1:1" x14ac:dyDescent="0.25">
      <c r="A2980" t="s">
        <v>3759</v>
      </c>
    </row>
    <row r="2981" spans="1:1" x14ac:dyDescent="0.25">
      <c r="A2981" t="s">
        <v>3760</v>
      </c>
    </row>
    <row r="2982" spans="1:1" x14ac:dyDescent="0.25">
      <c r="A2982" t="s">
        <v>3761</v>
      </c>
    </row>
    <row r="2983" spans="1:1" x14ac:dyDescent="0.25">
      <c r="A2983" t="s">
        <v>3762</v>
      </c>
    </row>
    <row r="2984" spans="1:1" x14ac:dyDescent="0.25">
      <c r="A2984" t="s">
        <v>3763</v>
      </c>
    </row>
    <row r="2985" spans="1:1" x14ac:dyDescent="0.25">
      <c r="A2985" t="s">
        <v>3764</v>
      </c>
    </row>
    <row r="2986" spans="1:1" x14ac:dyDescent="0.25">
      <c r="A2986" t="s">
        <v>3765</v>
      </c>
    </row>
    <row r="2987" spans="1:1" x14ac:dyDescent="0.25">
      <c r="A2987" t="s">
        <v>3766</v>
      </c>
    </row>
    <row r="2988" spans="1:1" x14ac:dyDescent="0.25">
      <c r="A2988" t="s">
        <v>3767</v>
      </c>
    </row>
    <row r="2989" spans="1:1" x14ac:dyDescent="0.25">
      <c r="A2989" t="s">
        <v>3768</v>
      </c>
    </row>
    <row r="2990" spans="1:1" x14ac:dyDescent="0.25">
      <c r="A2990" t="s">
        <v>3769</v>
      </c>
    </row>
    <row r="2991" spans="1:1" x14ac:dyDescent="0.25">
      <c r="A2991" t="s">
        <v>3770</v>
      </c>
    </row>
    <row r="2992" spans="1:1" x14ac:dyDescent="0.25">
      <c r="A2992" t="s">
        <v>3771</v>
      </c>
    </row>
    <row r="2993" spans="1:1" x14ac:dyDescent="0.25">
      <c r="A2993" t="s">
        <v>3772</v>
      </c>
    </row>
    <row r="2994" spans="1:1" x14ac:dyDescent="0.25">
      <c r="A2994" t="s">
        <v>3773</v>
      </c>
    </row>
    <row r="2995" spans="1:1" x14ac:dyDescent="0.25">
      <c r="A2995" t="s">
        <v>3774</v>
      </c>
    </row>
    <row r="2996" spans="1:1" x14ac:dyDescent="0.25">
      <c r="A2996" t="s">
        <v>3775</v>
      </c>
    </row>
    <row r="2997" spans="1:1" x14ac:dyDescent="0.25">
      <c r="A2997" t="s">
        <v>3776</v>
      </c>
    </row>
    <row r="2998" spans="1:1" x14ac:dyDescent="0.25">
      <c r="A2998" t="s">
        <v>3777</v>
      </c>
    </row>
    <row r="2999" spans="1:1" x14ac:dyDescent="0.25">
      <c r="A2999" t="s">
        <v>3778</v>
      </c>
    </row>
    <row r="3000" spans="1:1" x14ac:dyDescent="0.25">
      <c r="A3000" t="s">
        <v>3779</v>
      </c>
    </row>
    <row r="3001" spans="1:1" x14ac:dyDescent="0.25">
      <c r="A3001" t="s">
        <v>3780</v>
      </c>
    </row>
    <row r="3002" spans="1:1" x14ac:dyDescent="0.25">
      <c r="A3002" t="s">
        <v>3781</v>
      </c>
    </row>
    <row r="3003" spans="1:1" x14ac:dyDescent="0.25">
      <c r="A3003" t="s">
        <v>3782</v>
      </c>
    </row>
    <row r="3004" spans="1:1" x14ac:dyDescent="0.25">
      <c r="A3004" t="s">
        <v>3783</v>
      </c>
    </row>
    <row r="3005" spans="1:1" x14ac:dyDescent="0.25">
      <c r="A3005" t="s">
        <v>3784</v>
      </c>
    </row>
    <row r="3006" spans="1:1" x14ac:dyDescent="0.25">
      <c r="A3006" t="s">
        <v>3785</v>
      </c>
    </row>
    <row r="3007" spans="1:1" x14ac:dyDescent="0.25">
      <c r="A3007" t="s">
        <v>3786</v>
      </c>
    </row>
    <row r="3008" spans="1:1" x14ac:dyDescent="0.25">
      <c r="A3008" t="s">
        <v>3787</v>
      </c>
    </row>
    <row r="3009" spans="1:1" x14ac:dyDescent="0.25">
      <c r="A3009" t="s">
        <v>3788</v>
      </c>
    </row>
    <row r="3010" spans="1:1" x14ac:dyDescent="0.25">
      <c r="A3010" t="s">
        <v>3789</v>
      </c>
    </row>
    <row r="3011" spans="1:1" x14ac:dyDescent="0.25">
      <c r="A3011" t="s">
        <v>3790</v>
      </c>
    </row>
    <row r="3012" spans="1:1" x14ac:dyDescent="0.25">
      <c r="A3012" t="s">
        <v>3791</v>
      </c>
    </row>
    <row r="3013" spans="1:1" x14ac:dyDescent="0.25">
      <c r="A3013" t="s">
        <v>3792</v>
      </c>
    </row>
    <row r="3014" spans="1:1" x14ac:dyDescent="0.25">
      <c r="A3014" t="s">
        <v>3793</v>
      </c>
    </row>
    <row r="3015" spans="1:1" x14ac:dyDescent="0.25">
      <c r="A3015" t="s">
        <v>3794</v>
      </c>
    </row>
    <row r="3016" spans="1:1" x14ac:dyDescent="0.25">
      <c r="A3016" t="s">
        <v>3795</v>
      </c>
    </row>
    <row r="3017" spans="1:1" x14ac:dyDescent="0.25">
      <c r="A3017" t="s">
        <v>3796</v>
      </c>
    </row>
    <row r="3018" spans="1:1" x14ac:dyDescent="0.25">
      <c r="A3018" t="s">
        <v>3797</v>
      </c>
    </row>
    <row r="3019" spans="1:1" x14ac:dyDescent="0.25">
      <c r="A3019" t="s">
        <v>3798</v>
      </c>
    </row>
    <row r="3020" spans="1:1" x14ac:dyDescent="0.25">
      <c r="A3020" t="s">
        <v>3799</v>
      </c>
    </row>
    <row r="3021" spans="1:1" x14ac:dyDescent="0.25">
      <c r="A3021" t="s">
        <v>3800</v>
      </c>
    </row>
    <row r="3022" spans="1:1" x14ac:dyDescent="0.25">
      <c r="A3022" t="s">
        <v>3801</v>
      </c>
    </row>
    <row r="3023" spans="1:1" x14ac:dyDescent="0.25">
      <c r="A3023" t="s">
        <v>3802</v>
      </c>
    </row>
    <row r="3024" spans="1:1" x14ac:dyDescent="0.25">
      <c r="A3024" t="s">
        <v>3803</v>
      </c>
    </row>
    <row r="3025" spans="1:1" x14ac:dyDescent="0.25">
      <c r="A3025" t="s">
        <v>3804</v>
      </c>
    </row>
    <row r="3026" spans="1:1" x14ac:dyDescent="0.25">
      <c r="A3026" t="s">
        <v>3805</v>
      </c>
    </row>
    <row r="3027" spans="1:1" x14ac:dyDescent="0.25">
      <c r="A3027" t="s">
        <v>3806</v>
      </c>
    </row>
    <row r="3028" spans="1:1" x14ac:dyDescent="0.25">
      <c r="A3028" t="s">
        <v>3807</v>
      </c>
    </row>
    <row r="3029" spans="1:1" x14ac:dyDescent="0.25">
      <c r="A3029" t="s">
        <v>3808</v>
      </c>
    </row>
    <row r="3030" spans="1:1" x14ac:dyDescent="0.25">
      <c r="A3030" t="s">
        <v>3809</v>
      </c>
    </row>
    <row r="3031" spans="1:1" x14ac:dyDescent="0.25">
      <c r="A3031" t="s">
        <v>3810</v>
      </c>
    </row>
    <row r="3032" spans="1:1" x14ac:dyDescent="0.25">
      <c r="A3032" t="s">
        <v>3811</v>
      </c>
    </row>
    <row r="3033" spans="1:1" x14ac:dyDescent="0.25">
      <c r="A3033" t="s">
        <v>3812</v>
      </c>
    </row>
    <row r="3034" spans="1:1" x14ac:dyDescent="0.25">
      <c r="A3034" t="s">
        <v>3813</v>
      </c>
    </row>
    <row r="3035" spans="1:1" x14ac:dyDescent="0.25">
      <c r="A3035" t="s">
        <v>3814</v>
      </c>
    </row>
    <row r="3036" spans="1:1" x14ac:dyDescent="0.25">
      <c r="A3036" t="s">
        <v>1342</v>
      </c>
    </row>
    <row r="3037" spans="1:1" x14ac:dyDescent="0.25">
      <c r="A3037" t="s">
        <v>3815</v>
      </c>
    </row>
    <row r="3038" spans="1:1" x14ac:dyDescent="0.25">
      <c r="A3038" t="s">
        <v>3816</v>
      </c>
    </row>
    <row r="3039" spans="1:1" x14ac:dyDescent="0.25">
      <c r="A3039" t="s">
        <v>3817</v>
      </c>
    </row>
    <row r="3040" spans="1:1" x14ac:dyDescent="0.25">
      <c r="A3040" t="s">
        <v>3818</v>
      </c>
    </row>
    <row r="3041" spans="1:1" x14ac:dyDescent="0.25">
      <c r="A3041" t="s">
        <v>3819</v>
      </c>
    </row>
    <row r="3042" spans="1:1" x14ac:dyDescent="0.25">
      <c r="A3042" t="s">
        <v>3820</v>
      </c>
    </row>
    <row r="3043" spans="1:1" x14ac:dyDescent="0.25">
      <c r="A3043" t="s">
        <v>3821</v>
      </c>
    </row>
    <row r="3044" spans="1:1" x14ac:dyDescent="0.25">
      <c r="A3044" t="s">
        <v>3822</v>
      </c>
    </row>
    <row r="3045" spans="1:1" x14ac:dyDescent="0.25">
      <c r="A3045" t="s">
        <v>3823</v>
      </c>
    </row>
    <row r="3046" spans="1:1" x14ac:dyDescent="0.25">
      <c r="A3046" t="s">
        <v>3824</v>
      </c>
    </row>
    <row r="3047" spans="1:1" x14ac:dyDescent="0.25">
      <c r="A3047" t="s">
        <v>3825</v>
      </c>
    </row>
    <row r="3048" spans="1:1" x14ac:dyDescent="0.25">
      <c r="A3048" t="s">
        <v>3826</v>
      </c>
    </row>
    <row r="3049" spans="1:1" x14ac:dyDescent="0.25">
      <c r="A3049" t="s">
        <v>3827</v>
      </c>
    </row>
    <row r="3050" spans="1:1" x14ac:dyDescent="0.25">
      <c r="A3050" t="s">
        <v>3828</v>
      </c>
    </row>
    <row r="3051" spans="1:1" x14ac:dyDescent="0.25">
      <c r="A3051" t="s">
        <v>3829</v>
      </c>
    </row>
    <row r="3053" spans="1:1" x14ac:dyDescent="0.25">
      <c r="A3053" t="s">
        <v>3830</v>
      </c>
    </row>
    <row r="3054" spans="1:1" x14ac:dyDescent="0.25">
      <c r="A3054" t="s">
        <v>3831</v>
      </c>
    </row>
    <row r="3055" spans="1:1" x14ac:dyDescent="0.25">
      <c r="A3055" t="s">
        <v>3832</v>
      </c>
    </row>
    <row r="3056" spans="1:1" x14ac:dyDescent="0.25">
      <c r="A3056" t="s">
        <v>3833</v>
      </c>
    </row>
    <row r="3057" spans="1:1" x14ac:dyDescent="0.25">
      <c r="A3057" t="s">
        <v>3834</v>
      </c>
    </row>
    <row r="3058" spans="1:1" x14ac:dyDescent="0.25">
      <c r="A3058" t="s">
        <v>3835</v>
      </c>
    </row>
    <row r="3059" spans="1:1" x14ac:dyDescent="0.25">
      <c r="A3059" t="s">
        <v>3836</v>
      </c>
    </row>
    <row r="3060" spans="1:1" x14ac:dyDescent="0.25">
      <c r="A3060" t="s">
        <v>3837</v>
      </c>
    </row>
    <row r="3061" spans="1:1" x14ac:dyDescent="0.25">
      <c r="A3061" t="s">
        <v>3838</v>
      </c>
    </row>
    <row r="3062" spans="1:1" x14ac:dyDescent="0.25">
      <c r="A3062" t="s">
        <v>3839</v>
      </c>
    </row>
    <row r="3063" spans="1:1" x14ac:dyDescent="0.25">
      <c r="A3063" t="s">
        <v>3840</v>
      </c>
    </row>
    <row r="3064" spans="1:1" x14ac:dyDescent="0.25">
      <c r="A3064" t="s">
        <v>3841</v>
      </c>
    </row>
    <row r="3065" spans="1:1" x14ac:dyDescent="0.25">
      <c r="A3065" t="s">
        <v>3842</v>
      </c>
    </row>
    <row r="3066" spans="1:1" x14ac:dyDescent="0.25">
      <c r="A3066" t="s">
        <v>3843</v>
      </c>
    </row>
    <row r="3067" spans="1:1" x14ac:dyDescent="0.25">
      <c r="A3067" t="s">
        <v>3844</v>
      </c>
    </row>
    <row r="3068" spans="1:1" x14ac:dyDescent="0.25">
      <c r="A3068" t="s">
        <v>3845</v>
      </c>
    </row>
    <row r="3069" spans="1:1" x14ac:dyDescent="0.25">
      <c r="A3069" t="s">
        <v>3846</v>
      </c>
    </row>
    <row r="3070" spans="1:1" x14ac:dyDescent="0.25">
      <c r="A3070" t="s">
        <v>3847</v>
      </c>
    </row>
    <row r="3071" spans="1:1" x14ac:dyDescent="0.25">
      <c r="A3071" t="s">
        <v>3848</v>
      </c>
    </row>
    <row r="3072" spans="1:1" x14ac:dyDescent="0.25">
      <c r="A3072" t="s">
        <v>3849</v>
      </c>
    </row>
    <row r="3073" spans="1:1" x14ac:dyDescent="0.25">
      <c r="A3073" t="s">
        <v>3850</v>
      </c>
    </row>
    <row r="3074" spans="1:1" x14ac:dyDescent="0.25">
      <c r="A3074" t="s">
        <v>3851</v>
      </c>
    </row>
    <row r="3075" spans="1:1" x14ac:dyDescent="0.25">
      <c r="A3075" t="s">
        <v>3852</v>
      </c>
    </row>
    <row r="3076" spans="1:1" x14ac:dyDescent="0.25">
      <c r="A3076" t="s">
        <v>3853</v>
      </c>
    </row>
    <row r="3077" spans="1:1" x14ac:dyDescent="0.25">
      <c r="A3077" t="s">
        <v>3854</v>
      </c>
    </row>
    <row r="3078" spans="1:1" x14ac:dyDescent="0.25">
      <c r="A3078" t="s">
        <v>3855</v>
      </c>
    </row>
    <row r="3079" spans="1:1" x14ac:dyDescent="0.25">
      <c r="A3079" t="s">
        <v>3856</v>
      </c>
    </row>
    <row r="3080" spans="1:1" x14ac:dyDescent="0.25">
      <c r="A3080" t="s">
        <v>3857</v>
      </c>
    </row>
    <row r="3081" spans="1:1" x14ac:dyDescent="0.25">
      <c r="A3081" t="s">
        <v>3858</v>
      </c>
    </row>
    <row r="3082" spans="1:1" x14ac:dyDescent="0.25">
      <c r="A3082" t="s">
        <v>3859</v>
      </c>
    </row>
    <row r="3083" spans="1:1" x14ac:dyDescent="0.25">
      <c r="A3083" t="s">
        <v>3860</v>
      </c>
    </row>
    <row r="3084" spans="1:1" x14ac:dyDescent="0.25">
      <c r="A3084" t="s">
        <v>3861</v>
      </c>
    </row>
    <row r="3085" spans="1:1" x14ac:dyDescent="0.25">
      <c r="A3085" t="s">
        <v>3862</v>
      </c>
    </row>
    <row r="3087" spans="1:1" x14ac:dyDescent="0.25">
      <c r="A3087" t="s">
        <v>3863</v>
      </c>
    </row>
    <row r="3088" spans="1:1" x14ac:dyDescent="0.25">
      <c r="A3088" t="s">
        <v>3864</v>
      </c>
    </row>
    <row r="3089" spans="1:1" x14ac:dyDescent="0.25">
      <c r="A3089" t="s">
        <v>3865</v>
      </c>
    </row>
    <row r="3090" spans="1:1" x14ac:dyDescent="0.25">
      <c r="A3090" t="s">
        <v>3866</v>
      </c>
    </row>
    <row r="3091" spans="1:1" x14ac:dyDescent="0.25">
      <c r="A3091" t="s">
        <v>3867</v>
      </c>
    </row>
    <row r="3092" spans="1:1" x14ac:dyDescent="0.25">
      <c r="A3092" t="s">
        <v>3868</v>
      </c>
    </row>
    <row r="3093" spans="1:1" x14ac:dyDescent="0.25">
      <c r="A3093" t="s">
        <v>3869</v>
      </c>
    </row>
    <row r="3094" spans="1:1" x14ac:dyDescent="0.25">
      <c r="A3094" t="s">
        <v>3870</v>
      </c>
    </row>
    <row r="3095" spans="1:1" x14ac:dyDescent="0.25">
      <c r="A3095" t="s">
        <v>3871</v>
      </c>
    </row>
    <row r="3096" spans="1:1" x14ac:dyDescent="0.25">
      <c r="A3096" t="s">
        <v>3872</v>
      </c>
    </row>
    <row r="3097" spans="1:1" x14ac:dyDescent="0.25">
      <c r="A3097" t="s">
        <v>3873</v>
      </c>
    </row>
    <row r="3098" spans="1:1" x14ac:dyDescent="0.25">
      <c r="A3098" t="s">
        <v>3874</v>
      </c>
    </row>
    <row r="3099" spans="1:1" x14ac:dyDescent="0.25">
      <c r="A3099" t="s">
        <v>3875</v>
      </c>
    </row>
    <row r="3100" spans="1:1" x14ac:dyDescent="0.25">
      <c r="A3100" t="s">
        <v>3876</v>
      </c>
    </row>
    <row r="3101" spans="1:1" x14ac:dyDescent="0.25">
      <c r="A3101" t="s">
        <v>3877</v>
      </c>
    </row>
    <row r="3102" spans="1:1" x14ac:dyDescent="0.25">
      <c r="A3102" t="s">
        <v>3878</v>
      </c>
    </row>
    <row r="3103" spans="1:1" x14ac:dyDescent="0.25">
      <c r="A3103" t="s">
        <v>3879</v>
      </c>
    </row>
    <row r="3104" spans="1:1" x14ac:dyDescent="0.25">
      <c r="A3104" t="s">
        <v>3880</v>
      </c>
    </row>
    <row r="3105" spans="1:1" x14ac:dyDescent="0.25">
      <c r="A3105" t="s">
        <v>3881</v>
      </c>
    </row>
    <row r="3106" spans="1:1" x14ac:dyDescent="0.25">
      <c r="A3106" t="s">
        <v>3882</v>
      </c>
    </row>
    <row r="3107" spans="1:1" x14ac:dyDescent="0.25">
      <c r="A3107" t="s">
        <v>3877</v>
      </c>
    </row>
    <row r="3108" spans="1:1" x14ac:dyDescent="0.25">
      <c r="A3108" t="s">
        <v>3878</v>
      </c>
    </row>
    <row r="3109" spans="1:1" x14ac:dyDescent="0.25">
      <c r="A3109" t="s">
        <v>3879</v>
      </c>
    </row>
    <row r="3110" spans="1:1" x14ac:dyDescent="0.25">
      <c r="A3110" t="s">
        <v>3880</v>
      </c>
    </row>
    <row r="3111" spans="1:1" x14ac:dyDescent="0.25">
      <c r="A3111" t="s">
        <v>3881</v>
      </c>
    </row>
    <row r="3112" spans="1:1" x14ac:dyDescent="0.25">
      <c r="A3112" t="s">
        <v>3883</v>
      </c>
    </row>
    <row r="3113" spans="1:1" x14ac:dyDescent="0.25">
      <c r="A3113" t="s">
        <v>3884</v>
      </c>
    </row>
    <row r="3114" spans="1:1" x14ac:dyDescent="0.25">
      <c r="A3114" t="s">
        <v>3885</v>
      </c>
    </row>
    <row r="3115" spans="1:1" x14ac:dyDescent="0.25">
      <c r="A3115" t="s">
        <v>3886</v>
      </c>
    </row>
    <row r="3116" spans="1:1" x14ac:dyDescent="0.25">
      <c r="A3116" t="s">
        <v>3887</v>
      </c>
    </row>
    <row r="3117" spans="1:1" x14ac:dyDescent="0.25">
      <c r="A3117" t="s">
        <v>3888</v>
      </c>
    </row>
    <row r="3118" spans="1:1" x14ac:dyDescent="0.25">
      <c r="A3118" t="s">
        <v>3889</v>
      </c>
    </row>
    <row r="3119" spans="1:1" x14ac:dyDescent="0.25">
      <c r="A3119" t="s">
        <v>3890</v>
      </c>
    </row>
    <row r="3120" spans="1:1" x14ac:dyDescent="0.25">
      <c r="A3120" t="s">
        <v>3891</v>
      </c>
    </row>
    <row r="3121" spans="1:1" x14ac:dyDescent="0.25">
      <c r="A3121" t="s">
        <v>3892</v>
      </c>
    </row>
    <row r="3122" spans="1:1" x14ac:dyDescent="0.25">
      <c r="A3122" t="s">
        <v>3893</v>
      </c>
    </row>
    <row r="3123" spans="1:1" x14ac:dyDescent="0.25">
      <c r="A3123" t="s">
        <v>3894</v>
      </c>
    </row>
    <row r="3124" spans="1:1" x14ac:dyDescent="0.25">
      <c r="A3124" t="s">
        <v>3895</v>
      </c>
    </row>
    <row r="3125" spans="1:1" x14ac:dyDescent="0.25">
      <c r="A3125" t="s">
        <v>3896</v>
      </c>
    </row>
    <row r="3126" spans="1:1" x14ac:dyDescent="0.25">
      <c r="A3126" t="s">
        <v>3897</v>
      </c>
    </row>
    <row r="3128" spans="1:1" x14ac:dyDescent="0.25">
      <c r="A3128" t="s">
        <v>3898</v>
      </c>
    </row>
    <row r="3129" spans="1:1" x14ac:dyDescent="0.25">
      <c r="A3129" t="s">
        <v>3899</v>
      </c>
    </row>
    <row r="3130" spans="1:1" x14ac:dyDescent="0.25">
      <c r="A3130" t="s">
        <v>1966</v>
      </c>
    </row>
    <row r="3131" spans="1:1" x14ac:dyDescent="0.25">
      <c r="A3131" t="s">
        <v>1937</v>
      </c>
    </row>
    <row r="3132" spans="1:1" x14ac:dyDescent="0.25">
      <c r="A3132" t="s">
        <v>3900</v>
      </c>
    </row>
    <row r="3133" spans="1:1" x14ac:dyDescent="0.25">
      <c r="A3133" t="s">
        <v>3901</v>
      </c>
    </row>
    <row r="3134" spans="1:1" x14ac:dyDescent="0.25">
      <c r="A3134" t="s">
        <v>3902</v>
      </c>
    </row>
    <row r="3135" spans="1:1" x14ac:dyDescent="0.25">
      <c r="A3135" t="s">
        <v>3903</v>
      </c>
    </row>
    <row r="3136" spans="1:1" x14ac:dyDescent="0.25">
      <c r="A3136" t="s">
        <v>3904</v>
      </c>
    </row>
    <row r="3137" spans="1:1" x14ac:dyDescent="0.25">
      <c r="A3137" t="s">
        <v>3905</v>
      </c>
    </row>
    <row r="3138" spans="1:1" x14ac:dyDescent="0.25">
      <c r="A3138" t="s">
        <v>3906</v>
      </c>
    </row>
    <row r="3139" spans="1:1" x14ac:dyDescent="0.25">
      <c r="A3139" t="s">
        <v>3907</v>
      </c>
    </row>
    <row r="3140" spans="1:1" x14ac:dyDescent="0.25">
      <c r="A3140" t="s">
        <v>3908</v>
      </c>
    </row>
    <row r="3141" spans="1:1" x14ac:dyDescent="0.25">
      <c r="A3141" t="s">
        <v>3909</v>
      </c>
    </row>
    <row r="3142" spans="1:1" x14ac:dyDescent="0.25">
      <c r="A3142" t="s">
        <v>3910</v>
      </c>
    </row>
    <row r="3143" spans="1:1" x14ac:dyDescent="0.25">
      <c r="A3143" t="s">
        <v>3911</v>
      </c>
    </row>
    <row r="3144" spans="1:1" x14ac:dyDescent="0.25">
      <c r="A3144" t="s">
        <v>3912</v>
      </c>
    </row>
    <row r="3145" spans="1:1" x14ac:dyDescent="0.25">
      <c r="A3145" t="s">
        <v>3913</v>
      </c>
    </row>
    <row r="3146" spans="1:1" x14ac:dyDescent="0.25">
      <c r="A3146" t="s">
        <v>3914</v>
      </c>
    </row>
    <row r="3147" spans="1:1" x14ac:dyDescent="0.25">
      <c r="A3147" t="s">
        <v>3915</v>
      </c>
    </row>
    <row r="3148" spans="1:1" x14ac:dyDescent="0.25">
      <c r="A3148" t="s">
        <v>3916</v>
      </c>
    </row>
    <row r="3149" spans="1:1" x14ac:dyDescent="0.25">
      <c r="A3149" t="s">
        <v>3917</v>
      </c>
    </row>
    <row r="3150" spans="1:1" x14ac:dyDescent="0.25">
      <c r="A3150" t="s">
        <v>3918</v>
      </c>
    </row>
    <row r="3151" spans="1:1" x14ac:dyDescent="0.25">
      <c r="A3151" t="s">
        <v>3919</v>
      </c>
    </row>
    <row r="3152" spans="1:1" x14ac:dyDescent="0.25">
      <c r="A3152" t="s">
        <v>3920</v>
      </c>
    </row>
    <row r="3153" spans="1:2" x14ac:dyDescent="0.25">
      <c r="A3153" t="s">
        <v>3921</v>
      </c>
    </row>
    <row r="3154" spans="1:2" x14ac:dyDescent="0.25">
      <c r="A3154" t="s">
        <v>3922</v>
      </c>
    </row>
    <row r="3155" spans="1:2" x14ac:dyDescent="0.25">
      <c r="A3155" t="s">
        <v>3923</v>
      </c>
    </row>
    <row r="3156" spans="1:2" x14ac:dyDescent="0.25">
      <c r="A3156" t="s">
        <v>3924</v>
      </c>
    </row>
    <row r="3157" spans="1:2" x14ac:dyDescent="0.25">
      <c r="A3157" t="s">
        <v>3925</v>
      </c>
    </row>
    <row r="3158" spans="1:2" x14ac:dyDescent="0.25">
      <c r="A3158" t="s">
        <v>3926</v>
      </c>
    </row>
    <row r="3159" spans="1:2" x14ac:dyDescent="0.25">
      <c r="A3159" t="s">
        <v>3927</v>
      </c>
      <c r="B3159">
        <v>4366.3900000000003</v>
      </c>
    </row>
    <row r="3160" spans="1:2" x14ac:dyDescent="0.25">
      <c r="A3160" t="s">
        <v>3928</v>
      </c>
      <c r="B3160">
        <v>1476.39</v>
      </c>
    </row>
    <row r="3161" spans="1:2" x14ac:dyDescent="0.25">
      <c r="A3161" t="s">
        <v>3929</v>
      </c>
      <c r="B3161">
        <v>5842.78</v>
      </c>
    </row>
    <row r="3162" spans="1:2" x14ac:dyDescent="0.25">
      <c r="A3162" t="s">
        <v>3930</v>
      </c>
    </row>
    <row r="3163" spans="1:2" x14ac:dyDescent="0.25">
      <c r="A3163" t="s">
        <v>3931</v>
      </c>
    </row>
    <row r="3164" spans="1:2" x14ac:dyDescent="0.25">
      <c r="A3164" t="s">
        <v>3932</v>
      </c>
    </row>
    <row r="3165" spans="1:2" x14ac:dyDescent="0.25">
      <c r="A3165" t="s">
        <v>3933</v>
      </c>
    </row>
    <row r="3166" spans="1:2" x14ac:dyDescent="0.25">
      <c r="A3166" t="s">
        <v>3934</v>
      </c>
    </row>
    <row r="3167" spans="1:2" x14ac:dyDescent="0.25">
      <c r="A3167" t="s">
        <v>3935</v>
      </c>
    </row>
    <row r="3168" spans="1:2" x14ac:dyDescent="0.25">
      <c r="A3168" t="s">
        <v>3936</v>
      </c>
    </row>
    <row r="3169" spans="1:2" x14ac:dyDescent="0.25">
      <c r="A3169" t="s">
        <v>3937</v>
      </c>
    </row>
    <row r="3170" spans="1:2" x14ac:dyDescent="0.25">
      <c r="A3170" t="s">
        <v>3938</v>
      </c>
    </row>
    <row r="3171" spans="1:2" x14ac:dyDescent="0.25">
      <c r="A3171" t="s">
        <v>3939</v>
      </c>
    </row>
    <row r="3172" spans="1:2" x14ac:dyDescent="0.25">
      <c r="A3172" t="s">
        <v>3940</v>
      </c>
    </row>
    <row r="3173" spans="1:2" x14ac:dyDescent="0.25">
      <c r="A3173" t="s">
        <v>3941</v>
      </c>
    </row>
    <row r="3174" spans="1:2" x14ac:dyDescent="0.25">
      <c r="A3174" t="s">
        <v>3942</v>
      </c>
    </row>
    <row r="3175" spans="1:2" x14ac:dyDescent="0.25">
      <c r="A3175" t="s">
        <v>3943</v>
      </c>
    </row>
    <row r="3176" spans="1:2" x14ac:dyDescent="0.25">
      <c r="A3176" t="s">
        <v>3944</v>
      </c>
    </row>
    <row r="3177" spans="1:2" x14ac:dyDescent="0.25">
      <c r="A3177" t="s">
        <v>3945</v>
      </c>
    </row>
    <row r="3178" spans="1:2" x14ac:dyDescent="0.25">
      <c r="A3178" t="s">
        <v>3946</v>
      </c>
    </row>
    <row r="3179" spans="1:2" x14ac:dyDescent="0.25">
      <c r="A3179" t="s">
        <v>3947</v>
      </c>
    </row>
    <row r="3180" spans="1:2" x14ac:dyDescent="0.25">
      <c r="A3180" t="s">
        <v>3948</v>
      </c>
    </row>
    <row r="3181" spans="1:2" x14ac:dyDescent="0.25">
      <c r="A3181" t="s">
        <v>3949</v>
      </c>
    </row>
    <row r="3182" spans="1:2" x14ac:dyDescent="0.25">
      <c r="A3182" t="s">
        <v>3950</v>
      </c>
    </row>
    <row r="3183" spans="1:2" x14ac:dyDescent="0.25">
      <c r="A3183" t="s">
        <v>3951</v>
      </c>
      <c r="B3183">
        <v>2168.46</v>
      </c>
    </row>
    <row r="3184" spans="1:2" x14ac:dyDescent="0.25">
      <c r="A3184" t="s">
        <v>3952</v>
      </c>
    </row>
    <row r="3185" spans="1:1" x14ac:dyDescent="0.25">
      <c r="A3185" t="s">
        <v>3953</v>
      </c>
    </row>
    <row r="3186" spans="1:1" x14ac:dyDescent="0.25">
      <c r="A3186" t="s">
        <v>3954</v>
      </c>
    </row>
    <row r="3187" spans="1:1" x14ac:dyDescent="0.25">
      <c r="A3187" t="s">
        <v>3955</v>
      </c>
    </row>
    <row r="3188" spans="1:1" x14ac:dyDescent="0.25">
      <c r="A3188" t="s">
        <v>3956</v>
      </c>
    </row>
    <row r="3189" spans="1:1" x14ac:dyDescent="0.25">
      <c r="A3189" t="s">
        <v>3957</v>
      </c>
    </row>
    <row r="3190" spans="1:1" x14ac:dyDescent="0.25">
      <c r="A3190" t="s">
        <v>3958</v>
      </c>
    </row>
    <row r="3191" spans="1:1" x14ac:dyDescent="0.25">
      <c r="A3191" t="s">
        <v>3959</v>
      </c>
    </row>
    <row r="3192" spans="1:1" x14ac:dyDescent="0.25">
      <c r="A3192" t="s">
        <v>3960</v>
      </c>
    </row>
    <row r="3193" spans="1:1" x14ac:dyDescent="0.25">
      <c r="A3193" t="s">
        <v>3961</v>
      </c>
    </row>
    <row r="3194" spans="1:1" x14ac:dyDescent="0.25">
      <c r="A3194" t="s">
        <v>3962</v>
      </c>
    </row>
    <row r="3195" spans="1:1" x14ac:dyDescent="0.25">
      <c r="A3195" t="s">
        <v>3963</v>
      </c>
    </row>
    <row r="3196" spans="1:1" x14ac:dyDescent="0.25">
      <c r="A3196" t="s">
        <v>3964</v>
      </c>
    </row>
    <row r="3197" spans="1:1" x14ac:dyDescent="0.25">
      <c r="A3197" t="s">
        <v>3965</v>
      </c>
    </row>
    <row r="3198" spans="1:1" x14ac:dyDescent="0.25">
      <c r="A3198" t="s">
        <v>3966</v>
      </c>
    </row>
    <row r="3199" spans="1:1" x14ac:dyDescent="0.25">
      <c r="A3199" t="s">
        <v>3967</v>
      </c>
    </row>
    <row r="3200" spans="1:1" x14ac:dyDescent="0.25">
      <c r="A3200" t="s">
        <v>3968</v>
      </c>
    </row>
    <row r="3201" spans="1:1" x14ac:dyDescent="0.25">
      <c r="A3201" t="s">
        <v>3969</v>
      </c>
    </row>
    <row r="3202" spans="1:1" x14ac:dyDescent="0.25">
      <c r="A3202" t="s">
        <v>3970</v>
      </c>
    </row>
    <row r="3203" spans="1:1" x14ac:dyDescent="0.25">
      <c r="A3203" t="s">
        <v>3971</v>
      </c>
    </row>
    <row r="3204" spans="1:1" x14ac:dyDescent="0.25">
      <c r="A3204" t="s">
        <v>3972</v>
      </c>
    </row>
    <row r="3205" spans="1:1" x14ac:dyDescent="0.25">
      <c r="A3205" t="s">
        <v>3973</v>
      </c>
    </row>
    <row r="3206" spans="1:1" x14ac:dyDescent="0.25">
      <c r="A3206" t="s">
        <v>3974</v>
      </c>
    </row>
    <row r="3207" spans="1:1" x14ac:dyDescent="0.25">
      <c r="A3207" t="s">
        <v>3975</v>
      </c>
    </row>
    <row r="3208" spans="1:1" x14ac:dyDescent="0.25">
      <c r="A3208" t="s">
        <v>3976</v>
      </c>
    </row>
    <row r="3209" spans="1:1" x14ac:dyDescent="0.25">
      <c r="A3209" t="s">
        <v>3977</v>
      </c>
    </row>
    <row r="3210" spans="1:1" x14ac:dyDescent="0.25">
      <c r="A3210" t="s">
        <v>3978</v>
      </c>
    </row>
    <row r="3211" spans="1:1" x14ac:dyDescent="0.25">
      <c r="A3211" t="s">
        <v>3979</v>
      </c>
    </row>
    <row r="3212" spans="1:1" x14ac:dyDescent="0.25">
      <c r="A3212" t="s">
        <v>3980</v>
      </c>
    </row>
    <row r="3216" spans="1:1" x14ac:dyDescent="0.25">
      <c r="A3216" t="s">
        <v>3981</v>
      </c>
    </row>
    <row r="3217" spans="1:6" x14ac:dyDescent="0.25">
      <c r="A3217" t="s">
        <v>3982</v>
      </c>
    </row>
    <row r="3218" spans="1:6" x14ac:dyDescent="0.25">
      <c r="A3218" t="s">
        <v>3983</v>
      </c>
    </row>
    <row r="3219" spans="1:6" x14ac:dyDescent="0.25">
      <c r="A3219" t="s">
        <v>3984</v>
      </c>
    </row>
    <row r="3220" spans="1:6" x14ac:dyDescent="0.25">
      <c r="A3220">
        <v>1</v>
      </c>
      <c r="B3220" t="s">
        <v>3927</v>
      </c>
      <c r="C3220">
        <v>3824.02</v>
      </c>
      <c r="D3220" s="55">
        <v>43830</v>
      </c>
      <c r="E3220">
        <v>5</v>
      </c>
      <c r="F3220">
        <v>532</v>
      </c>
    </row>
    <row r="3221" spans="1:6" x14ac:dyDescent="0.25">
      <c r="A3221" t="s">
        <v>3929</v>
      </c>
      <c r="B3221">
        <v>3824.02</v>
      </c>
    </row>
    <row r="3223" spans="1:6" x14ac:dyDescent="0.25">
      <c r="A3223" t="s">
        <v>3985</v>
      </c>
    </row>
    <row r="3224" spans="1:6" x14ac:dyDescent="0.25">
      <c r="A3224" t="s">
        <v>3986</v>
      </c>
    </row>
    <row r="3225" spans="1:6" x14ac:dyDescent="0.25">
      <c r="A3225" t="s">
        <v>3987</v>
      </c>
    </row>
    <row r="3226" spans="1:6" x14ac:dyDescent="0.25">
      <c r="A3226" t="s">
        <v>3988</v>
      </c>
    </row>
    <row r="3227" spans="1:6" x14ac:dyDescent="0.25">
      <c r="A3227" t="s">
        <v>3989</v>
      </c>
    </row>
    <row r="3228" spans="1:6" x14ac:dyDescent="0.25">
      <c r="A3228" t="s">
        <v>3990</v>
      </c>
    </row>
    <row r="3229" spans="1:6" x14ac:dyDescent="0.25">
      <c r="A3229" t="s">
        <v>3991</v>
      </c>
    </row>
    <row r="3231" spans="1:6" x14ac:dyDescent="0.25">
      <c r="A3231" t="s">
        <v>3992</v>
      </c>
    </row>
    <row r="3232" spans="1:6" x14ac:dyDescent="0.25">
      <c r="A3232" t="s">
        <v>3993</v>
      </c>
    </row>
    <row r="3233" spans="1:2" x14ac:dyDescent="0.25">
      <c r="A3233" t="s">
        <v>3994</v>
      </c>
    </row>
    <row r="3234" spans="1:2" x14ac:dyDescent="0.25">
      <c r="A3234" t="s">
        <v>3995</v>
      </c>
    </row>
    <row r="3235" spans="1:2" x14ac:dyDescent="0.25">
      <c r="A3235" t="s">
        <v>3996</v>
      </c>
    </row>
    <row r="3236" spans="1:2" x14ac:dyDescent="0.25">
      <c r="A3236" t="s">
        <v>3997</v>
      </c>
    </row>
    <row r="3237" spans="1:2" x14ac:dyDescent="0.25">
      <c r="A3237" t="s">
        <v>3998</v>
      </c>
      <c r="B3237" t="s">
        <v>3999</v>
      </c>
    </row>
    <row r="3238" spans="1:2" x14ac:dyDescent="0.25">
      <c r="A3238" t="s">
        <v>4000</v>
      </c>
    </row>
    <row r="3239" spans="1:2" x14ac:dyDescent="0.25">
      <c r="A3239" t="s">
        <v>4001</v>
      </c>
    </row>
    <row r="3240" spans="1:2" x14ac:dyDescent="0.25">
      <c r="A3240" t="s">
        <v>4002</v>
      </c>
    </row>
    <row r="3242" spans="1:2" x14ac:dyDescent="0.25">
      <c r="A3242" t="s">
        <v>4003</v>
      </c>
    </row>
    <row r="3243" spans="1:2" x14ac:dyDescent="0.25">
      <c r="A3243" t="s">
        <v>4004</v>
      </c>
    </row>
    <row r="3244" spans="1:2" x14ac:dyDescent="0.25">
      <c r="A3244" t="s">
        <v>4005</v>
      </c>
    </row>
    <row r="3246" spans="1:2" x14ac:dyDescent="0.25">
      <c r="A3246">
        <v>942920794</v>
      </c>
    </row>
    <row r="3247" spans="1:2" x14ac:dyDescent="0.25">
      <c r="A3247" t="s">
        <v>4006</v>
      </c>
    </row>
    <row r="3249" spans="1:1" x14ac:dyDescent="0.25">
      <c r="A3249" t="s">
        <v>4007</v>
      </c>
    </row>
    <row r="3250" spans="1:1" x14ac:dyDescent="0.25">
      <c r="A3250" t="s">
        <v>4008</v>
      </c>
    </row>
    <row r="3251" spans="1:1" x14ac:dyDescent="0.25">
      <c r="A3251" t="s">
        <v>4009</v>
      </c>
    </row>
    <row r="3252" spans="1:1" x14ac:dyDescent="0.25">
      <c r="A3252" t="s">
        <v>4010</v>
      </c>
    </row>
    <row r="3254" spans="1:1" x14ac:dyDescent="0.25">
      <c r="A3254" t="s">
        <v>4011</v>
      </c>
    </row>
    <row r="3255" spans="1:1" x14ac:dyDescent="0.25">
      <c r="A3255" t="s">
        <v>4012</v>
      </c>
    </row>
    <row r="3256" spans="1:1" x14ac:dyDescent="0.25">
      <c r="A3256" t="s">
        <v>4013</v>
      </c>
    </row>
    <row r="3257" spans="1:1" x14ac:dyDescent="0.25">
      <c r="A3257" t="s">
        <v>4014</v>
      </c>
    </row>
    <row r="3258" spans="1:1" x14ac:dyDescent="0.25">
      <c r="A3258" t="s">
        <v>4015</v>
      </c>
    </row>
    <row r="3260" spans="1:1" x14ac:dyDescent="0.25">
      <c r="A3260" t="s">
        <v>4016</v>
      </c>
    </row>
    <row r="3261" spans="1:1" x14ac:dyDescent="0.25">
      <c r="A3261" t="s">
        <v>4017</v>
      </c>
    </row>
    <row r="3262" spans="1:1" x14ac:dyDescent="0.25">
      <c r="A3262" t="s">
        <v>4018</v>
      </c>
    </row>
    <row r="3263" spans="1:1" x14ac:dyDescent="0.25">
      <c r="A3263" t="s">
        <v>4019</v>
      </c>
    </row>
    <row r="3265" spans="1:1" x14ac:dyDescent="0.25">
      <c r="A3265" t="s">
        <v>4020</v>
      </c>
    </row>
    <row r="3266" spans="1:1" x14ac:dyDescent="0.25">
      <c r="A3266" t="s">
        <v>4021</v>
      </c>
    </row>
    <row r="3267" spans="1:1" x14ac:dyDescent="0.25">
      <c r="A3267" t="s">
        <v>4022</v>
      </c>
    </row>
    <row r="3269" spans="1:1" x14ac:dyDescent="0.25">
      <c r="A3269" t="s">
        <v>4023</v>
      </c>
    </row>
    <row r="3270" spans="1:1" x14ac:dyDescent="0.25">
      <c r="A3270" t="s">
        <v>4024</v>
      </c>
    </row>
    <row r="3271" spans="1:1" x14ac:dyDescent="0.25">
      <c r="A3271" t="s">
        <v>4025</v>
      </c>
    </row>
    <row r="3272" spans="1:1" x14ac:dyDescent="0.25">
      <c r="A3272" t="s">
        <v>4026</v>
      </c>
    </row>
    <row r="3273" spans="1:1" x14ac:dyDescent="0.25">
      <c r="A3273" t="s">
        <v>4027</v>
      </c>
    </row>
    <row r="3274" spans="1:1" x14ac:dyDescent="0.25">
      <c r="A3274" t="s">
        <v>4028</v>
      </c>
    </row>
    <row r="3275" spans="1:1" x14ac:dyDescent="0.25">
      <c r="A3275" t="s">
        <v>4029</v>
      </c>
    </row>
    <row r="3276" spans="1:1" x14ac:dyDescent="0.25">
      <c r="A3276" t="s">
        <v>4030</v>
      </c>
    </row>
    <row r="3277" spans="1:1" x14ac:dyDescent="0.25">
      <c r="A3277" t="s">
        <v>4031</v>
      </c>
    </row>
    <row r="3279" spans="1:1" x14ac:dyDescent="0.25">
      <c r="A3279" t="s">
        <v>4021</v>
      </c>
    </row>
    <row r="3280" spans="1:1" x14ac:dyDescent="0.25">
      <c r="A3280" t="s">
        <v>4032</v>
      </c>
    </row>
    <row r="3281" spans="1:1" x14ac:dyDescent="0.25">
      <c r="A3281" t="s">
        <v>4033</v>
      </c>
    </row>
    <row r="3282" spans="1:1" x14ac:dyDescent="0.25">
      <c r="A3282" t="s">
        <v>4034</v>
      </c>
    </row>
    <row r="3283" spans="1:1" x14ac:dyDescent="0.25">
      <c r="A3283" t="s">
        <v>4035</v>
      </c>
    </row>
    <row r="3284" spans="1:1" x14ac:dyDescent="0.25">
      <c r="A3284" t="s">
        <v>4036</v>
      </c>
    </row>
    <row r="3285" spans="1:1" x14ac:dyDescent="0.25">
      <c r="A3285" t="s">
        <v>4037</v>
      </c>
    </row>
    <row r="3286" spans="1:1" x14ac:dyDescent="0.25">
      <c r="A3286" t="s">
        <v>4038</v>
      </c>
    </row>
    <row r="3287" spans="1:1" x14ac:dyDescent="0.25">
      <c r="A3287" t="s">
        <v>4039</v>
      </c>
    </row>
    <row r="3289" spans="1:1" x14ac:dyDescent="0.25">
      <c r="A3289" t="s">
        <v>4040</v>
      </c>
    </row>
    <row r="3290" spans="1:1" x14ac:dyDescent="0.25">
      <c r="A3290" t="s">
        <v>4041</v>
      </c>
    </row>
    <row r="3291" spans="1:1" x14ac:dyDescent="0.25">
      <c r="A3291" t="s">
        <v>4042</v>
      </c>
    </row>
    <row r="3293" spans="1:1" x14ac:dyDescent="0.25">
      <c r="A3293" t="s">
        <v>4043</v>
      </c>
    </row>
    <row r="3294" spans="1:1" x14ac:dyDescent="0.25">
      <c r="A3294" t="s">
        <v>4044</v>
      </c>
    </row>
    <row r="3295" spans="1:1" x14ac:dyDescent="0.25">
      <c r="A3295" t="s">
        <v>4045</v>
      </c>
    </row>
    <row r="3296" spans="1:1" x14ac:dyDescent="0.25">
      <c r="A3296" t="s">
        <v>4046</v>
      </c>
    </row>
    <row r="3297" spans="1:2" x14ac:dyDescent="0.25">
      <c r="A3297" t="s">
        <v>4047</v>
      </c>
    </row>
    <row r="3298" spans="1:2" x14ac:dyDescent="0.25">
      <c r="A3298" t="s">
        <v>4048</v>
      </c>
    </row>
    <row r="3299" spans="1:2" x14ac:dyDescent="0.25">
      <c r="A3299" t="s">
        <v>4049</v>
      </c>
    </row>
    <row r="3300" spans="1:2" x14ac:dyDescent="0.25">
      <c r="A3300" t="s">
        <v>4050</v>
      </c>
    </row>
    <row r="3301" spans="1:2" x14ac:dyDescent="0.25">
      <c r="A3301" t="s">
        <v>4051</v>
      </c>
    </row>
    <row r="3302" spans="1:2" x14ac:dyDescent="0.25">
      <c r="A3302" t="s">
        <v>4052</v>
      </c>
    </row>
    <row r="3303" spans="1:2" x14ac:dyDescent="0.25">
      <c r="A3303" t="s">
        <v>4053</v>
      </c>
      <c r="B3303" t="s">
        <v>4054</v>
      </c>
    </row>
    <row r="3304" spans="1:2" x14ac:dyDescent="0.25">
      <c r="A3304" t="s">
        <v>4055</v>
      </c>
    </row>
    <row r="3305" spans="1:2" x14ac:dyDescent="0.25">
      <c r="A3305" t="s">
        <v>4056</v>
      </c>
    </row>
    <row r="3306" spans="1:2" x14ac:dyDescent="0.25">
      <c r="A3306" t="s">
        <v>4057</v>
      </c>
    </row>
    <row r="3307" spans="1:2" x14ac:dyDescent="0.25">
      <c r="A3307" t="s">
        <v>4058</v>
      </c>
    </row>
    <row r="3308" spans="1:2" x14ac:dyDescent="0.25">
      <c r="A3308" t="s">
        <v>4059</v>
      </c>
    </row>
    <row r="3310" spans="1:2" x14ac:dyDescent="0.25">
      <c r="A3310" t="s">
        <v>4060</v>
      </c>
    </row>
    <row r="3311" spans="1:2" x14ac:dyDescent="0.25">
      <c r="A3311" t="s">
        <v>4061</v>
      </c>
    </row>
    <row r="3312" spans="1:2" x14ac:dyDescent="0.25">
      <c r="A3312" t="s">
        <v>4062</v>
      </c>
    </row>
    <row r="3313" spans="1:2" x14ac:dyDescent="0.25">
      <c r="A3313" t="s">
        <v>4063</v>
      </c>
    </row>
    <row r="3314" spans="1:2" x14ac:dyDescent="0.25">
      <c r="A3314" t="s">
        <v>4064</v>
      </c>
    </row>
    <row r="3315" spans="1:2" x14ac:dyDescent="0.25">
      <c r="A3315" t="s">
        <v>4065</v>
      </c>
    </row>
    <row r="3316" spans="1:2" x14ac:dyDescent="0.25">
      <c r="A3316" t="s">
        <v>4066</v>
      </c>
    </row>
    <row r="3317" spans="1:2" x14ac:dyDescent="0.25">
      <c r="A3317" t="s">
        <v>4067</v>
      </c>
    </row>
    <row r="3319" spans="1:2" x14ac:dyDescent="0.25">
      <c r="A3319" t="s">
        <v>4068</v>
      </c>
    </row>
    <row r="3320" spans="1:2" x14ac:dyDescent="0.25">
      <c r="A3320" t="s">
        <v>4069</v>
      </c>
    </row>
    <row r="3321" spans="1:2" x14ac:dyDescent="0.25">
      <c r="A3321" t="s">
        <v>4070</v>
      </c>
    </row>
    <row r="3322" spans="1:2" x14ac:dyDescent="0.25">
      <c r="A3322" t="s">
        <v>4071</v>
      </c>
    </row>
    <row r="3324" spans="1:2" x14ac:dyDescent="0.25">
      <c r="A3324" t="s">
        <v>4072</v>
      </c>
    </row>
    <row r="3325" spans="1:2" x14ac:dyDescent="0.25">
      <c r="A3325" t="s">
        <v>4042</v>
      </c>
    </row>
    <row r="3326" spans="1:2" x14ac:dyDescent="0.25">
      <c r="A3326" t="s">
        <v>4073</v>
      </c>
    </row>
    <row r="3327" spans="1:2" x14ac:dyDescent="0.25">
      <c r="A3327" t="s">
        <v>4074</v>
      </c>
      <c r="B3327" t="s">
        <v>4075</v>
      </c>
    </row>
    <row r="3328" spans="1:2" x14ac:dyDescent="0.25">
      <c r="A3328" t="s">
        <v>4076</v>
      </c>
    </row>
    <row r="3329" spans="1:1" x14ac:dyDescent="0.25">
      <c r="A3329">
        <v>924161137</v>
      </c>
    </row>
    <row r="3330" spans="1:1" x14ac:dyDescent="0.25">
      <c r="A3330" t="s">
        <v>4077</v>
      </c>
    </row>
    <row r="3332" spans="1:1" x14ac:dyDescent="0.25">
      <c r="A3332" t="s">
        <v>4078</v>
      </c>
    </row>
    <row r="3333" spans="1:1" x14ac:dyDescent="0.25">
      <c r="A3333" t="s">
        <v>4079</v>
      </c>
    </row>
    <row r="3335" spans="1:1" x14ac:dyDescent="0.25">
      <c r="A3335" t="s">
        <v>4080</v>
      </c>
    </row>
    <row r="3336" spans="1:1" x14ac:dyDescent="0.25">
      <c r="A3336" t="s">
        <v>4081</v>
      </c>
    </row>
    <row r="3337" spans="1:1" x14ac:dyDescent="0.25">
      <c r="A3337" t="s">
        <v>4082</v>
      </c>
    </row>
    <row r="3338" spans="1:1" x14ac:dyDescent="0.25">
      <c r="A3338" t="s">
        <v>4083</v>
      </c>
    </row>
    <row r="3339" spans="1:1" x14ac:dyDescent="0.25">
      <c r="A3339" t="s">
        <v>4084</v>
      </c>
    </row>
    <row r="3340" spans="1:1" x14ac:dyDescent="0.25">
      <c r="A3340" t="s">
        <v>2299</v>
      </c>
    </row>
    <row r="3341" spans="1:1" x14ac:dyDescent="0.25">
      <c r="A3341" t="s">
        <v>4085</v>
      </c>
    </row>
    <row r="3342" spans="1:1" x14ac:dyDescent="0.25">
      <c r="A3342" t="s">
        <v>4086</v>
      </c>
    </row>
    <row r="3343" spans="1:1" x14ac:dyDescent="0.25">
      <c r="A3343" t="s">
        <v>4087</v>
      </c>
    </row>
    <row r="3344" spans="1:1" x14ac:dyDescent="0.25">
      <c r="A3344" t="s">
        <v>4086</v>
      </c>
    </row>
    <row r="3345" spans="1:1" x14ac:dyDescent="0.25">
      <c r="A3345" t="s">
        <v>4088</v>
      </c>
    </row>
    <row r="3346" spans="1:1" x14ac:dyDescent="0.25">
      <c r="A3346" t="s">
        <v>4089</v>
      </c>
    </row>
    <row r="3347" spans="1:1" x14ac:dyDescent="0.25">
      <c r="A3347" t="s">
        <v>4090</v>
      </c>
    </row>
    <row r="3348" spans="1:1" x14ac:dyDescent="0.25">
      <c r="A3348" t="s">
        <v>4091</v>
      </c>
    </row>
    <row r="3349" spans="1:1" x14ac:dyDescent="0.25">
      <c r="A3349" t="s">
        <v>4092</v>
      </c>
    </row>
    <row r="3350" spans="1:1" x14ac:dyDescent="0.25">
      <c r="A3350" t="s">
        <v>4086</v>
      </c>
    </row>
    <row r="3351" spans="1:1" x14ac:dyDescent="0.25">
      <c r="A3351" t="s">
        <v>4093</v>
      </c>
    </row>
    <row r="3352" spans="1:1" x14ac:dyDescent="0.25">
      <c r="A3352" t="s">
        <v>4094</v>
      </c>
    </row>
    <row r="3354" spans="1:1" x14ac:dyDescent="0.25">
      <c r="A3354" t="s">
        <v>4086</v>
      </c>
    </row>
    <row r="3355" spans="1:1" x14ac:dyDescent="0.25">
      <c r="A3355" t="s">
        <v>4095</v>
      </c>
    </row>
    <row r="3356" spans="1:1" x14ac:dyDescent="0.25">
      <c r="A3356" t="s">
        <v>4096</v>
      </c>
    </row>
    <row r="3357" spans="1:1" x14ac:dyDescent="0.25">
      <c r="A3357" t="s">
        <v>4086</v>
      </c>
    </row>
    <row r="3358" spans="1:1" x14ac:dyDescent="0.25">
      <c r="A3358" t="s">
        <v>4097</v>
      </c>
    </row>
    <row r="3359" spans="1:1" x14ac:dyDescent="0.25">
      <c r="A3359" t="s">
        <v>4098</v>
      </c>
    </row>
    <row r="3360" spans="1:1" x14ac:dyDescent="0.25">
      <c r="A3360" t="s">
        <v>4099</v>
      </c>
    </row>
    <row r="3361" spans="1:1" x14ac:dyDescent="0.25">
      <c r="A3361" t="s">
        <v>4100</v>
      </c>
    </row>
    <row r="3362" spans="1:1" x14ac:dyDescent="0.25">
      <c r="A3362" t="s">
        <v>4101</v>
      </c>
    </row>
    <row r="3363" spans="1:1" x14ac:dyDescent="0.25">
      <c r="A3363" t="s">
        <v>4102</v>
      </c>
    </row>
    <row r="3364" spans="1:1" x14ac:dyDescent="0.25">
      <c r="A3364" t="s">
        <v>4103</v>
      </c>
    </row>
    <row r="3365" spans="1:1" x14ac:dyDescent="0.25">
      <c r="A3365" t="s">
        <v>4104</v>
      </c>
    </row>
    <row r="3366" spans="1:1" x14ac:dyDescent="0.25">
      <c r="A3366" t="s">
        <v>4105</v>
      </c>
    </row>
    <row r="3367" spans="1:1" x14ac:dyDescent="0.25">
      <c r="A3367" t="s">
        <v>4106</v>
      </c>
    </row>
    <row r="3368" spans="1:1" x14ac:dyDescent="0.25">
      <c r="A3368" t="s">
        <v>4107</v>
      </c>
    </row>
    <row r="3369" spans="1:1" x14ac:dyDescent="0.25">
      <c r="A3369" t="s">
        <v>4108</v>
      </c>
    </row>
    <row r="3370" spans="1:1" x14ac:dyDescent="0.25">
      <c r="A3370" t="s">
        <v>4109</v>
      </c>
    </row>
    <row r="3371" spans="1:1" x14ac:dyDescent="0.25">
      <c r="A3371" t="s">
        <v>1966</v>
      </c>
    </row>
    <row r="3372" spans="1:1" x14ac:dyDescent="0.25">
      <c r="A3372" t="s">
        <v>4110</v>
      </c>
    </row>
    <row r="3373" spans="1:1" x14ac:dyDescent="0.25">
      <c r="A3373" t="s">
        <v>4111</v>
      </c>
    </row>
    <row r="3374" spans="1:1" x14ac:dyDescent="0.25">
      <c r="A3374" t="s">
        <v>4112</v>
      </c>
    </row>
    <row r="3375" spans="1:1" x14ac:dyDescent="0.25">
      <c r="A3375" t="s">
        <v>4113</v>
      </c>
    </row>
    <row r="3376" spans="1:1" x14ac:dyDescent="0.25">
      <c r="A3376" t="s">
        <v>4114</v>
      </c>
    </row>
    <row r="3377" spans="1:1" x14ac:dyDescent="0.25">
      <c r="A3377" t="s">
        <v>4115</v>
      </c>
    </row>
    <row r="3378" spans="1:1" x14ac:dyDescent="0.25">
      <c r="A3378" t="s">
        <v>4116</v>
      </c>
    </row>
    <row r="3380" spans="1:1" x14ac:dyDescent="0.25">
      <c r="A3380" t="s">
        <v>4117</v>
      </c>
    </row>
    <row r="3381" spans="1:1" x14ac:dyDescent="0.25">
      <c r="A3381" t="s">
        <v>4118</v>
      </c>
    </row>
    <row r="3382" spans="1:1" x14ac:dyDescent="0.25">
      <c r="A3382" t="s">
        <v>4119</v>
      </c>
    </row>
    <row r="3383" spans="1:1" x14ac:dyDescent="0.25">
      <c r="A3383" t="s">
        <v>4120</v>
      </c>
    </row>
    <row r="3384" spans="1:1" x14ac:dyDescent="0.25">
      <c r="A3384" t="s">
        <v>4121</v>
      </c>
    </row>
    <row r="3385" spans="1:1" x14ac:dyDescent="0.25">
      <c r="A3385" t="s">
        <v>4122</v>
      </c>
    </row>
    <row r="3386" spans="1:1" x14ac:dyDescent="0.25">
      <c r="A3386" t="s">
        <v>4123</v>
      </c>
    </row>
    <row r="3387" spans="1:1" x14ac:dyDescent="0.25">
      <c r="A3387" t="s">
        <v>4124</v>
      </c>
    </row>
    <row r="3388" spans="1:1" x14ac:dyDescent="0.25">
      <c r="A3388" t="s">
        <v>4125</v>
      </c>
    </row>
    <row r="3389" spans="1:1" x14ac:dyDescent="0.25">
      <c r="A3389" t="s">
        <v>4126</v>
      </c>
    </row>
    <row r="3390" spans="1:1" x14ac:dyDescent="0.25">
      <c r="A3390" t="s">
        <v>2186</v>
      </c>
    </row>
    <row r="3391" spans="1:1" x14ac:dyDescent="0.25">
      <c r="A3391" t="s">
        <v>4127</v>
      </c>
    </row>
    <row r="3392" spans="1:1" x14ac:dyDescent="0.25">
      <c r="A3392" t="s">
        <v>4128</v>
      </c>
    </row>
    <row r="3393" spans="1:1" x14ac:dyDescent="0.25">
      <c r="A3393" t="s">
        <v>4129</v>
      </c>
    </row>
    <row r="3394" spans="1:1" x14ac:dyDescent="0.25">
      <c r="A3394" t="s">
        <v>4130</v>
      </c>
    </row>
    <row r="3395" spans="1:1" x14ac:dyDescent="0.25">
      <c r="A3395" t="s">
        <v>4131</v>
      </c>
    </row>
    <row r="3396" spans="1:1" x14ac:dyDescent="0.25">
      <c r="A3396" t="s">
        <v>4132</v>
      </c>
    </row>
    <row r="3397" spans="1:1" x14ac:dyDescent="0.25">
      <c r="A3397" t="s">
        <v>4133</v>
      </c>
    </row>
    <row r="3398" spans="1:1" x14ac:dyDescent="0.25">
      <c r="A3398" t="s">
        <v>4134</v>
      </c>
    </row>
    <row r="3399" spans="1:1" x14ac:dyDescent="0.25">
      <c r="A3399" t="s">
        <v>4135</v>
      </c>
    </row>
    <row r="3400" spans="1:1" x14ac:dyDescent="0.25">
      <c r="A3400" t="s">
        <v>4136</v>
      </c>
    </row>
    <row r="3401" spans="1:1" x14ac:dyDescent="0.25">
      <c r="A3401" t="s">
        <v>4137</v>
      </c>
    </row>
    <row r="3402" spans="1:1" x14ac:dyDescent="0.25">
      <c r="A3402" t="s">
        <v>4138</v>
      </c>
    </row>
    <row r="3403" spans="1:1" x14ac:dyDescent="0.25">
      <c r="A3403" t="s">
        <v>4139</v>
      </c>
    </row>
    <row r="3404" spans="1:1" x14ac:dyDescent="0.25">
      <c r="A3404" t="s">
        <v>1463</v>
      </c>
    </row>
    <row r="3405" spans="1:1" x14ac:dyDescent="0.25">
      <c r="A3405" t="s">
        <v>4140</v>
      </c>
    </row>
    <row r="3406" spans="1:1" x14ac:dyDescent="0.25">
      <c r="A3406" t="s">
        <v>4141</v>
      </c>
    </row>
    <row r="3407" spans="1:1" x14ac:dyDescent="0.25">
      <c r="A3407" t="s">
        <v>4142</v>
      </c>
    </row>
    <row r="3408" spans="1:1" x14ac:dyDescent="0.25">
      <c r="A3408" t="s">
        <v>4143</v>
      </c>
    </row>
    <row r="3409" spans="1:1" x14ac:dyDescent="0.25">
      <c r="A3409" t="s">
        <v>4144</v>
      </c>
    </row>
    <row r="3410" spans="1:1" x14ac:dyDescent="0.25">
      <c r="A3410" t="s">
        <v>4145</v>
      </c>
    </row>
    <row r="3411" spans="1:1" x14ac:dyDescent="0.25">
      <c r="A3411" s="55">
        <v>43981</v>
      </c>
    </row>
    <row r="3412" spans="1:1" x14ac:dyDescent="0.25">
      <c r="A3412" t="s">
        <v>4146</v>
      </c>
    </row>
    <row r="3413" spans="1:1" x14ac:dyDescent="0.25">
      <c r="A3413" t="s">
        <v>4147</v>
      </c>
    </row>
    <row r="3414" spans="1:1" x14ac:dyDescent="0.25">
      <c r="A3414" t="s">
        <v>4148</v>
      </c>
    </row>
    <row r="3415" spans="1:1" x14ac:dyDescent="0.25">
      <c r="A3415" t="s">
        <v>4149</v>
      </c>
    </row>
    <row r="3417" spans="1:1" x14ac:dyDescent="0.25">
      <c r="A3417" t="s">
        <v>4150</v>
      </c>
    </row>
    <row r="3418" spans="1:1" x14ac:dyDescent="0.25">
      <c r="A3418" t="s">
        <v>4151</v>
      </c>
    </row>
    <row r="3419" spans="1:1" x14ac:dyDescent="0.25">
      <c r="A3419" t="s">
        <v>4152</v>
      </c>
    </row>
    <row r="3420" spans="1:1" x14ac:dyDescent="0.25">
      <c r="A3420" t="s">
        <v>4153</v>
      </c>
    </row>
    <row r="3421" spans="1:1" x14ac:dyDescent="0.25">
      <c r="A3421" t="s">
        <v>4154</v>
      </c>
    </row>
    <row r="3422" spans="1:1" x14ac:dyDescent="0.25">
      <c r="A3422" t="s">
        <v>4155</v>
      </c>
    </row>
    <row r="3423" spans="1:1" x14ac:dyDescent="0.25">
      <c r="A3423" t="s">
        <v>4156</v>
      </c>
    </row>
    <row r="3424" spans="1:1" x14ac:dyDescent="0.25">
      <c r="A3424" t="s">
        <v>4157</v>
      </c>
    </row>
    <row r="3425" spans="1:1" x14ac:dyDescent="0.25">
      <c r="A3425" t="s">
        <v>4153</v>
      </c>
    </row>
    <row r="3426" spans="1:1" x14ac:dyDescent="0.25">
      <c r="A3426" t="s">
        <v>4158</v>
      </c>
    </row>
    <row r="3427" spans="1:1" x14ac:dyDescent="0.25">
      <c r="A3427" t="s">
        <v>4159</v>
      </c>
    </row>
    <row r="3428" spans="1:1" x14ac:dyDescent="0.25">
      <c r="A3428" t="s">
        <v>4160</v>
      </c>
    </row>
    <row r="3429" spans="1:1" x14ac:dyDescent="0.25">
      <c r="A3429" t="s">
        <v>4161</v>
      </c>
    </row>
    <row r="3430" spans="1:1" x14ac:dyDescent="0.25">
      <c r="A3430" t="s">
        <v>4162</v>
      </c>
    </row>
    <row r="3431" spans="1:1" x14ac:dyDescent="0.25">
      <c r="A3431" t="s">
        <v>4163</v>
      </c>
    </row>
    <row r="3434" spans="1:1" x14ac:dyDescent="0.25">
      <c r="A3434" t="s">
        <v>4164</v>
      </c>
    </row>
    <row r="3435" spans="1:1" x14ac:dyDescent="0.25">
      <c r="A3435" t="s">
        <v>4165</v>
      </c>
    </row>
    <row r="3436" spans="1:1" x14ac:dyDescent="0.25">
      <c r="A3436" t="s">
        <v>4166</v>
      </c>
    </row>
    <row r="3437" spans="1:1" x14ac:dyDescent="0.25">
      <c r="A3437" t="s">
        <v>4167</v>
      </c>
    </row>
    <row r="3438" spans="1:1" x14ac:dyDescent="0.25">
      <c r="A3438" t="s">
        <v>4168</v>
      </c>
    </row>
    <row r="3439" spans="1:1" x14ac:dyDescent="0.25">
      <c r="A3439" t="s">
        <v>4169</v>
      </c>
    </row>
    <row r="3440" spans="1:1" x14ac:dyDescent="0.25">
      <c r="A3440" t="s">
        <v>4170</v>
      </c>
    </row>
    <row r="3441" spans="1:1" x14ac:dyDescent="0.25">
      <c r="A3441" t="s">
        <v>4171</v>
      </c>
    </row>
    <row r="3442" spans="1:1" x14ac:dyDescent="0.25">
      <c r="A3442" t="s">
        <v>4172</v>
      </c>
    </row>
    <row r="3443" spans="1:1" x14ac:dyDescent="0.25">
      <c r="A3443" t="s">
        <v>4173</v>
      </c>
    </row>
    <row r="3444" spans="1:1" x14ac:dyDescent="0.25">
      <c r="A3444" t="s">
        <v>4163</v>
      </c>
    </row>
    <row r="3446" spans="1:1" x14ac:dyDescent="0.25">
      <c r="A3446" t="s">
        <v>4174</v>
      </c>
    </row>
    <row r="3447" spans="1:1" x14ac:dyDescent="0.25">
      <c r="A3447" t="s">
        <v>4175</v>
      </c>
    </row>
    <row r="3448" spans="1:1" x14ac:dyDescent="0.25">
      <c r="A3448" t="s">
        <v>4152</v>
      </c>
    </row>
    <row r="3449" spans="1:1" x14ac:dyDescent="0.25">
      <c r="A3449" t="s">
        <v>4153</v>
      </c>
    </row>
    <row r="3450" spans="1:1" x14ac:dyDescent="0.25">
      <c r="A3450" t="s">
        <v>4176</v>
      </c>
    </row>
    <row r="3451" spans="1:1" x14ac:dyDescent="0.25">
      <c r="A3451" t="s">
        <v>4177</v>
      </c>
    </row>
    <row r="3452" spans="1:1" x14ac:dyDescent="0.25">
      <c r="A3452" t="s">
        <v>4178</v>
      </c>
    </row>
    <row r="3453" spans="1:1" x14ac:dyDescent="0.25">
      <c r="A3453" t="s">
        <v>4179</v>
      </c>
    </row>
    <row r="3454" spans="1:1" x14ac:dyDescent="0.25">
      <c r="A3454" t="s">
        <v>4180</v>
      </c>
    </row>
    <row r="3455" spans="1:1" x14ac:dyDescent="0.25">
      <c r="A3455" t="s">
        <v>4181</v>
      </c>
    </row>
    <row r="3456" spans="1:1" x14ac:dyDescent="0.25">
      <c r="A3456" t="s">
        <v>4182</v>
      </c>
    </row>
    <row r="3457" spans="1:1" x14ac:dyDescent="0.25">
      <c r="A3457" t="s">
        <v>4183</v>
      </c>
    </row>
    <row r="3459" spans="1:1" x14ac:dyDescent="0.25">
      <c r="A3459" t="s">
        <v>4184</v>
      </c>
    </row>
    <row r="3460" spans="1:1" x14ac:dyDescent="0.25">
      <c r="A3460" t="s">
        <v>1485</v>
      </c>
    </row>
    <row r="3461" spans="1:1" x14ac:dyDescent="0.25">
      <c r="A3461" t="s">
        <v>4185</v>
      </c>
    </row>
    <row r="3462" spans="1:1" x14ac:dyDescent="0.25">
      <c r="A3462" t="s">
        <v>4186</v>
      </c>
    </row>
    <row r="3463" spans="1:1" x14ac:dyDescent="0.25">
      <c r="A3463" t="s">
        <v>4187</v>
      </c>
    </row>
    <row r="3464" spans="1:1" x14ac:dyDescent="0.25">
      <c r="A3464" t="s">
        <v>4188</v>
      </c>
    </row>
    <row r="3465" spans="1:1" x14ac:dyDescent="0.25">
      <c r="A3465" t="s">
        <v>4189</v>
      </c>
    </row>
    <row r="3466" spans="1:1" x14ac:dyDescent="0.25">
      <c r="A3466" t="s">
        <v>4190</v>
      </c>
    </row>
    <row r="3467" spans="1:1" x14ac:dyDescent="0.25">
      <c r="A3467" t="s">
        <v>4191</v>
      </c>
    </row>
    <row r="3468" spans="1:1" x14ac:dyDescent="0.25">
      <c r="A3468" t="s">
        <v>4192</v>
      </c>
    </row>
    <row r="3469" spans="1:1" x14ac:dyDescent="0.25">
      <c r="A3469" t="s">
        <v>4193</v>
      </c>
    </row>
    <row r="3470" spans="1:1" x14ac:dyDescent="0.25">
      <c r="A3470" t="s">
        <v>4194</v>
      </c>
    </row>
    <row r="3471" spans="1:1" x14ac:dyDescent="0.25">
      <c r="A3471" t="s">
        <v>4195</v>
      </c>
    </row>
    <row r="3472" spans="1:1" x14ac:dyDescent="0.25">
      <c r="A3472" t="s">
        <v>4196</v>
      </c>
    </row>
    <row r="3473" spans="1:1" x14ac:dyDescent="0.25">
      <c r="A3473" t="s">
        <v>4197</v>
      </c>
    </row>
    <row r="3474" spans="1:1" x14ac:dyDescent="0.25">
      <c r="A3474" t="s">
        <v>4198</v>
      </c>
    </row>
    <row r="3475" spans="1:1" x14ac:dyDescent="0.25">
      <c r="A3475" t="s">
        <v>4199</v>
      </c>
    </row>
    <row r="3476" spans="1:1" x14ac:dyDescent="0.25">
      <c r="A3476" t="s">
        <v>4200</v>
      </c>
    </row>
    <row r="3477" spans="1:1" x14ac:dyDescent="0.25">
      <c r="A3477" t="s">
        <v>4201</v>
      </c>
    </row>
    <row r="3478" spans="1:1" x14ac:dyDescent="0.25">
      <c r="A3478" t="s">
        <v>4202</v>
      </c>
    </row>
    <row r="3479" spans="1:1" x14ac:dyDescent="0.25">
      <c r="A3479" t="s">
        <v>4203</v>
      </c>
    </row>
    <row r="3480" spans="1:1" x14ac:dyDescent="0.25">
      <c r="A3480" t="s">
        <v>4204</v>
      </c>
    </row>
    <row r="3481" spans="1:1" x14ac:dyDescent="0.25">
      <c r="A3481" t="s">
        <v>4205</v>
      </c>
    </row>
    <row r="3482" spans="1:1" x14ac:dyDescent="0.25">
      <c r="A3482" t="s">
        <v>4206</v>
      </c>
    </row>
    <row r="3483" spans="1:1" x14ac:dyDescent="0.25">
      <c r="A3483" t="s">
        <v>4207</v>
      </c>
    </row>
    <row r="3485" spans="1:1" x14ac:dyDescent="0.25">
      <c r="A3485" t="s">
        <v>4208</v>
      </c>
    </row>
    <row r="3486" spans="1:1" x14ac:dyDescent="0.25">
      <c r="A3486" t="s">
        <v>4209</v>
      </c>
    </row>
    <row r="3487" spans="1:1" x14ac:dyDescent="0.25">
      <c r="A3487" t="s">
        <v>4210</v>
      </c>
    </row>
    <row r="3488" spans="1:1" x14ac:dyDescent="0.25">
      <c r="A3488" t="s">
        <v>4211</v>
      </c>
    </row>
    <row r="3489" spans="1:1" x14ac:dyDescent="0.25">
      <c r="A3489" t="s">
        <v>4212</v>
      </c>
    </row>
    <row r="3490" spans="1:1" x14ac:dyDescent="0.25">
      <c r="A3490" t="s">
        <v>4213</v>
      </c>
    </row>
    <row r="3491" spans="1:1" x14ac:dyDescent="0.25">
      <c r="A3491" t="s">
        <v>4214</v>
      </c>
    </row>
    <row r="3492" spans="1:1" x14ac:dyDescent="0.25">
      <c r="A3492" t="s">
        <v>4215</v>
      </c>
    </row>
    <row r="3493" spans="1:1" x14ac:dyDescent="0.25">
      <c r="A3493" t="s">
        <v>4216</v>
      </c>
    </row>
    <row r="3494" spans="1:1" x14ac:dyDescent="0.25">
      <c r="A3494" t="s">
        <v>4217</v>
      </c>
    </row>
    <row r="3495" spans="1:1" x14ac:dyDescent="0.25">
      <c r="A3495" t="s">
        <v>4218</v>
      </c>
    </row>
    <row r="3496" spans="1:1" x14ac:dyDescent="0.25">
      <c r="A3496" t="s">
        <v>4217</v>
      </c>
    </row>
    <row r="3497" spans="1:1" x14ac:dyDescent="0.25">
      <c r="A3497" t="s">
        <v>4219</v>
      </c>
    </row>
    <row r="3498" spans="1:1" x14ac:dyDescent="0.25">
      <c r="A3498" t="s">
        <v>4220</v>
      </c>
    </row>
    <row r="3499" spans="1:1" x14ac:dyDescent="0.25">
      <c r="A3499" t="s">
        <v>4221</v>
      </c>
    </row>
    <row r="3500" spans="1:1" x14ac:dyDescent="0.25">
      <c r="A3500" t="s">
        <v>4222</v>
      </c>
    </row>
    <row r="3502" spans="1:1" x14ac:dyDescent="0.25">
      <c r="A3502" t="s">
        <v>4223</v>
      </c>
    </row>
    <row r="3503" spans="1:1" x14ac:dyDescent="0.25">
      <c r="A3503" t="s">
        <v>4224</v>
      </c>
    </row>
    <row r="3504" spans="1:1" x14ac:dyDescent="0.25">
      <c r="A3504" t="s">
        <v>4225</v>
      </c>
    </row>
    <row r="3505" spans="1:1" x14ac:dyDescent="0.25">
      <c r="A3505" t="s">
        <v>4226</v>
      </c>
    </row>
    <row r="3506" spans="1:1" x14ac:dyDescent="0.25">
      <c r="A3506" t="s">
        <v>4227</v>
      </c>
    </row>
    <row r="3507" spans="1:1" x14ac:dyDescent="0.25">
      <c r="A3507" t="s">
        <v>4228</v>
      </c>
    </row>
    <row r="3508" spans="1:1" x14ac:dyDescent="0.25">
      <c r="A3508" t="s">
        <v>4229</v>
      </c>
    </row>
    <row r="3509" spans="1:1" x14ac:dyDescent="0.25">
      <c r="A3509" t="s">
        <v>4230</v>
      </c>
    </row>
    <row r="3510" spans="1:1" x14ac:dyDescent="0.25">
      <c r="A3510" t="s">
        <v>4231</v>
      </c>
    </row>
    <row r="3511" spans="1:1" x14ac:dyDescent="0.25">
      <c r="A3511" t="s">
        <v>4232</v>
      </c>
    </row>
    <row r="3512" spans="1:1" x14ac:dyDescent="0.25">
      <c r="A3512" t="s">
        <v>4233</v>
      </c>
    </row>
    <row r="3513" spans="1:1" x14ac:dyDescent="0.25">
      <c r="A3513" t="s">
        <v>4234</v>
      </c>
    </row>
    <row r="3514" spans="1:1" x14ac:dyDescent="0.25">
      <c r="A3514" t="s">
        <v>3718</v>
      </c>
    </row>
    <row r="3515" spans="1:1" x14ac:dyDescent="0.25">
      <c r="A3515" t="s">
        <v>4235</v>
      </c>
    </row>
    <row r="3516" spans="1:1" x14ac:dyDescent="0.25">
      <c r="A3516" t="s">
        <v>4236</v>
      </c>
    </row>
    <row r="3518" spans="1:1" x14ac:dyDescent="0.25">
      <c r="A3518" t="s">
        <v>4237</v>
      </c>
    </row>
    <row r="3519" spans="1:1" x14ac:dyDescent="0.25">
      <c r="A3519" t="s">
        <v>4238</v>
      </c>
    </row>
    <row r="3520" spans="1:1" x14ac:dyDescent="0.25">
      <c r="A3520" t="s">
        <v>4239</v>
      </c>
    </row>
    <row r="3521" spans="1:1" x14ac:dyDescent="0.25">
      <c r="A3521" t="s">
        <v>4240</v>
      </c>
    </row>
    <row r="3522" spans="1:1" x14ac:dyDescent="0.25">
      <c r="A3522" t="s">
        <v>4241</v>
      </c>
    </row>
    <row r="3523" spans="1:1" x14ac:dyDescent="0.25">
      <c r="A3523" t="s">
        <v>4242</v>
      </c>
    </row>
    <row r="3524" spans="1:1" x14ac:dyDescent="0.25">
      <c r="A3524" t="s">
        <v>4243</v>
      </c>
    </row>
    <row r="3525" spans="1:1" x14ac:dyDescent="0.25">
      <c r="A3525" t="s">
        <v>4244</v>
      </c>
    </row>
    <row r="3526" spans="1:1" x14ac:dyDescent="0.25">
      <c r="A3526" t="s">
        <v>4245</v>
      </c>
    </row>
    <row r="3527" spans="1:1" x14ac:dyDescent="0.25">
      <c r="A3527" t="s">
        <v>4246</v>
      </c>
    </row>
    <row r="3528" spans="1:1" x14ac:dyDescent="0.25">
      <c r="A3528" t="s">
        <v>4247</v>
      </c>
    </row>
    <row r="3529" spans="1:1" x14ac:dyDescent="0.25">
      <c r="A3529" t="s">
        <v>4248</v>
      </c>
    </row>
    <row r="3530" spans="1:1" x14ac:dyDescent="0.25">
      <c r="A3530" t="s">
        <v>4249</v>
      </c>
    </row>
    <row r="3531" spans="1:1" x14ac:dyDescent="0.25">
      <c r="A3531" t="s">
        <v>4250</v>
      </c>
    </row>
    <row r="3532" spans="1:1" x14ac:dyDescent="0.25">
      <c r="A3532" t="s">
        <v>4251</v>
      </c>
    </row>
    <row r="3533" spans="1:1" x14ac:dyDescent="0.25">
      <c r="A3533" t="s">
        <v>4252</v>
      </c>
    </row>
    <row r="3534" spans="1:1" x14ac:dyDescent="0.25">
      <c r="A3534" t="s">
        <v>4253</v>
      </c>
    </row>
    <row r="3535" spans="1:1" x14ac:dyDescent="0.25">
      <c r="A3535" t="s">
        <v>4254</v>
      </c>
    </row>
    <row r="3537" spans="1:1" x14ac:dyDescent="0.25">
      <c r="A3537" t="s">
        <v>4255</v>
      </c>
    </row>
    <row r="3538" spans="1:1" x14ac:dyDescent="0.25">
      <c r="A3538" t="s">
        <v>4256</v>
      </c>
    </row>
    <row r="3539" spans="1:1" x14ac:dyDescent="0.25">
      <c r="A3539" t="s">
        <v>4257</v>
      </c>
    </row>
    <row r="3540" spans="1:1" x14ac:dyDescent="0.25">
      <c r="A3540" t="s">
        <v>4258</v>
      </c>
    </row>
    <row r="3541" spans="1:1" x14ac:dyDescent="0.25">
      <c r="A3541" t="s">
        <v>4259</v>
      </c>
    </row>
    <row r="3542" spans="1:1" x14ac:dyDescent="0.25">
      <c r="A3542" t="s">
        <v>4260</v>
      </c>
    </row>
    <row r="3543" spans="1:1" x14ac:dyDescent="0.25">
      <c r="A3543" t="s">
        <v>4261</v>
      </c>
    </row>
    <row r="3544" spans="1:1" x14ac:dyDescent="0.25">
      <c r="A3544" t="s">
        <v>4262</v>
      </c>
    </row>
    <row r="3545" spans="1:1" x14ac:dyDescent="0.25">
      <c r="A3545" t="s">
        <v>4263</v>
      </c>
    </row>
    <row r="3546" spans="1:1" x14ac:dyDescent="0.25">
      <c r="A3546" t="s">
        <v>4264</v>
      </c>
    </row>
    <row r="3547" spans="1:1" x14ac:dyDescent="0.25">
      <c r="A3547" t="s">
        <v>4265</v>
      </c>
    </row>
    <row r="3548" spans="1:1" x14ac:dyDescent="0.25">
      <c r="A3548" t="s">
        <v>4266</v>
      </c>
    </row>
    <row r="3549" spans="1:1" x14ac:dyDescent="0.25">
      <c r="A3549" t="s">
        <v>4267</v>
      </c>
    </row>
    <row r="3550" spans="1:1" x14ac:dyDescent="0.25">
      <c r="A3550" t="s">
        <v>4268</v>
      </c>
    </row>
    <row r="3551" spans="1:1" x14ac:dyDescent="0.25">
      <c r="A3551" t="s">
        <v>4269</v>
      </c>
    </row>
    <row r="3552" spans="1:1" x14ac:dyDescent="0.25">
      <c r="A3552" t="s">
        <v>4270</v>
      </c>
    </row>
    <row r="3553" spans="1:1" x14ac:dyDescent="0.25">
      <c r="A3553" t="s">
        <v>4271</v>
      </c>
    </row>
    <row r="3554" spans="1:1" x14ac:dyDescent="0.25">
      <c r="A3554" t="s">
        <v>4272</v>
      </c>
    </row>
    <row r="3555" spans="1:1" x14ac:dyDescent="0.25">
      <c r="A3555" t="s">
        <v>4273</v>
      </c>
    </row>
    <row r="3556" spans="1:1" x14ac:dyDescent="0.25">
      <c r="A3556" t="s">
        <v>4274</v>
      </c>
    </row>
    <row r="3557" spans="1:1" x14ac:dyDescent="0.25">
      <c r="A3557" t="s">
        <v>4275</v>
      </c>
    </row>
    <row r="3558" spans="1:1" x14ac:dyDescent="0.25">
      <c r="A3558" t="s">
        <v>4276</v>
      </c>
    </row>
    <row r="3559" spans="1:1" x14ac:dyDescent="0.25">
      <c r="A3559" t="s">
        <v>4277</v>
      </c>
    </row>
    <row r="3560" spans="1:1" x14ac:dyDescent="0.25">
      <c r="A3560" t="s">
        <v>4278</v>
      </c>
    </row>
    <row r="3561" spans="1:1" x14ac:dyDescent="0.25">
      <c r="A3561" t="s">
        <v>4279</v>
      </c>
    </row>
    <row r="3562" spans="1:1" x14ac:dyDescent="0.25">
      <c r="A3562" t="s">
        <v>4280</v>
      </c>
    </row>
    <row r="3563" spans="1:1" x14ac:dyDescent="0.25">
      <c r="A3563" t="s">
        <v>4281</v>
      </c>
    </row>
    <row r="3564" spans="1:1" x14ac:dyDescent="0.25">
      <c r="A3564" t="s">
        <v>4282</v>
      </c>
    </row>
    <row r="3565" spans="1:1" x14ac:dyDescent="0.25">
      <c r="A3565" t="s">
        <v>4283</v>
      </c>
    </row>
    <row r="3566" spans="1:1" x14ac:dyDescent="0.25">
      <c r="A3566" t="s">
        <v>4284</v>
      </c>
    </row>
    <row r="3567" spans="1:1" x14ac:dyDescent="0.25">
      <c r="A3567" t="s">
        <v>4285</v>
      </c>
    </row>
    <row r="3568" spans="1:1" x14ac:dyDescent="0.25">
      <c r="A3568" t="s">
        <v>4286</v>
      </c>
    </row>
    <row r="3569" spans="1:1" x14ac:dyDescent="0.25">
      <c r="A3569" t="s">
        <v>4287</v>
      </c>
    </row>
    <row r="3570" spans="1:1" x14ac:dyDescent="0.25">
      <c r="A3570" t="s">
        <v>4288</v>
      </c>
    </row>
    <row r="3571" spans="1:1" x14ac:dyDescent="0.25">
      <c r="A3571" t="s">
        <v>4289</v>
      </c>
    </row>
    <row r="3572" spans="1:1" x14ac:dyDescent="0.25">
      <c r="A3572" t="s">
        <v>4290</v>
      </c>
    </row>
    <row r="3573" spans="1:1" x14ac:dyDescent="0.25">
      <c r="A3573" t="s">
        <v>4291</v>
      </c>
    </row>
    <row r="3575" spans="1:1" x14ac:dyDescent="0.25">
      <c r="A3575" t="s">
        <v>4292</v>
      </c>
    </row>
    <row r="3576" spans="1:1" x14ac:dyDescent="0.25">
      <c r="A3576" t="s">
        <v>4293</v>
      </c>
    </row>
    <row r="3577" spans="1:1" x14ac:dyDescent="0.25">
      <c r="A3577" t="s">
        <v>4294</v>
      </c>
    </row>
    <row r="3579" spans="1:1" x14ac:dyDescent="0.25">
      <c r="A3579" t="s">
        <v>4295</v>
      </c>
    </row>
    <row r="3580" spans="1:1" x14ac:dyDescent="0.25">
      <c r="A3580" t="s">
        <v>4296</v>
      </c>
    </row>
    <row r="3581" spans="1:1" x14ac:dyDescent="0.25">
      <c r="A3581" t="s">
        <v>4297</v>
      </c>
    </row>
    <row r="3582" spans="1:1" x14ac:dyDescent="0.25">
      <c r="A3582" t="s">
        <v>4298</v>
      </c>
    </row>
    <row r="3584" spans="1:1" x14ac:dyDescent="0.25">
      <c r="A3584" t="s">
        <v>4299</v>
      </c>
    </row>
    <row r="3585" spans="1:1" x14ac:dyDescent="0.25">
      <c r="A3585" t="s">
        <v>4300</v>
      </c>
    </row>
    <row r="3586" spans="1:1" x14ac:dyDescent="0.25">
      <c r="A3586" t="s">
        <v>4301</v>
      </c>
    </row>
    <row r="3587" spans="1:1" x14ac:dyDescent="0.25">
      <c r="A3587" t="s">
        <v>4302</v>
      </c>
    </row>
    <row r="3588" spans="1:1" x14ac:dyDescent="0.25">
      <c r="A3588" t="s">
        <v>4303</v>
      </c>
    </row>
    <row r="3589" spans="1:1" x14ac:dyDescent="0.25">
      <c r="A3589" t="s">
        <v>4304</v>
      </c>
    </row>
    <row r="3590" spans="1:1" x14ac:dyDescent="0.25">
      <c r="A3590" t="s">
        <v>4305</v>
      </c>
    </row>
    <row r="3591" spans="1:1" x14ac:dyDescent="0.25">
      <c r="A3591" t="s">
        <v>4306</v>
      </c>
    </row>
    <row r="3592" spans="1:1" x14ac:dyDescent="0.25">
      <c r="A3592" t="s">
        <v>4307</v>
      </c>
    </row>
    <row r="3593" spans="1:1" x14ac:dyDescent="0.25">
      <c r="A3593" t="s">
        <v>4308</v>
      </c>
    </row>
    <row r="3594" spans="1:1" x14ac:dyDescent="0.25">
      <c r="A3594" t="s">
        <v>4309</v>
      </c>
    </row>
    <row r="3595" spans="1:1" x14ac:dyDescent="0.25">
      <c r="A3595" t="s">
        <v>4310</v>
      </c>
    </row>
    <row r="3596" spans="1:1" x14ac:dyDescent="0.25">
      <c r="A3596" t="s">
        <v>4311</v>
      </c>
    </row>
    <row r="3597" spans="1:1" x14ac:dyDescent="0.25">
      <c r="A3597" t="s">
        <v>4312</v>
      </c>
    </row>
    <row r="3598" spans="1:1" x14ac:dyDescent="0.25">
      <c r="A3598" t="s">
        <v>4313</v>
      </c>
    </row>
    <row r="3599" spans="1:1" x14ac:dyDescent="0.25">
      <c r="A3599" t="s">
        <v>4314</v>
      </c>
    </row>
    <row r="3600" spans="1:1" x14ac:dyDescent="0.25">
      <c r="A3600" t="s">
        <v>4315</v>
      </c>
    </row>
    <row r="3601" spans="1:1" x14ac:dyDescent="0.25">
      <c r="A3601" t="s">
        <v>4316</v>
      </c>
    </row>
    <row r="3602" spans="1:1" x14ac:dyDescent="0.25">
      <c r="A3602" t="s">
        <v>4317</v>
      </c>
    </row>
    <row r="3603" spans="1:1" x14ac:dyDescent="0.25">
      <c r="A3603" t="s">
        <v>4318</v>
      </c>
    </row>
    <row r="3604" spans="1:1" x14ac:dyDescent="0.25">
      <c r="A3604" t="s">
        <v>4319</v>
      </c>
    </row>
    <row r="3605" spans="1:1" x14ac:dyDescent="0.25">
      <c r="A3605" t="s">
        <v>4320</v>
      </c>
    </row>
    <row r="3606" spans="1:1" x14ac:dyDescent="0.25">
      <c r="A3606" t="s">
        <v>4321</v>
      </c>
    </row>
    <row r="3607" spans="1:1" x14ac:dyDescent="0.25">
      <c r="A3607" t="s">
        <v>4322</v>
      </c>
    </row>
    <row r="3608" spans="1:1" x14ac:dyDescent="0.25">
      <c r="A3608" t="s">
        <v>4323</v>
      </c>
    </row>
    <row r="3609" spans="1:1" x14ac:dyDescent="0.25">
      <c r="A3609" t="s">
        <v>4324</v>
      </c>
    </row>
    <row r="3610" spans="1:1" x14ac:dyDescent="0.25">
      <c r="A3610" t="s">
        <v>4325</v>
      </c>
    </row>
    <row r="3612" spans="1:1" x14ac:dyDescent="0.25">
      <c r="A3612" t="s">
        <v>4326</v>
      </c>
    </row>
    <row r="3613" spans="1:1" x14ac:dyDescent="0.25">
      <c r="A3613" t="s">
        <v>4327</v>
      </c>
    </row>
    <row r="3614" spans="1:1" x14ac:dyDescent="0.25">
      <c r="A3614" t="s">
        <v>4328</v>
      </c>
    </row>
    <row r="3615" spans="1:1" x14ac:dyDescent="0.25">
      <c r="A3615" t="s">
        <v>4329</v>
      </c>
    </row>
    <row r="3616" spans="1:1" x14ac:dyDescent="0.25">
      <c r="A3616" t="s">
        <v>4330</v>
      </c>
    </row>
    <row r="3617" spans="1:1" x14ac:dyDescent="0.25">
      <c r="A3617" t="s">
        <v>4331</v>
      </c>
    </row>
    <row r="3618" spans="1:1" x14ac:dyDescent="0.25">
      <c r="A3618" t="s">
        <v>4332</v>
      </c>
    </row>
    <row r="3619" spans="1:1" x14ac:dyDescent="0.25">
      <c r="A3619" t="s">
        <v>4333</v>
      </c>
    </row>
    <row r="3620" spans="1:1" x14ac:dyDescent="0.25">
      <c r="A3620" t="s">
        <v>4334</v>
      </c>
    </row>
    <row r="3621" spans="1:1" x14ac:dyDescent="0.25">
      <c r="A3621" t="s">
        <v>4335</v>
      </c>
    </row>
    <row r="3622" spans="1:1" x14ac:dyDescent="0.25">
      <c r="A3622" t="s">
        <v>4336</v>
      </c>
    </row>
    <row r="3623" spans="1:1" x14ac:dyDescent="0.25">
      <c r="A3623" t="s">
        <v>4337</v>
      </c>
    </row>
    <row r="3624" spans="1:1" x14ac:dyDescent="0.25">
      <c r="A3624" t="s">
        <v>4338</v>
      </c>
    </row>
    <row r="3625" spans="1:1" x14ac:dyDescent="0.25">
      <c r="A3625" t="s">
        <v>4339</v>
      </c>
    </row>
    <row r="3626" spans="1:1" x14ac:dyDescent="0.25">
      <c r="A3626" t="s">
        <v>4340</v>
      </c>
    </row>
    <row r="3627" spans="1:1" x14ac:dyDescent="0.25">
      <c r="A3627" t="s">
        <v>4341</v>
      </c>
    </row>
    <row r="3628" spans="1:1" x14ac:dyDescent="0.25">
      <c r="A3628" t="s">
        <v>4342</v>
      </c>
    </row>
    <row r="3629" spans="1:1" x14ac:dyDescent="0.25">
      <c r="A3629" t="s">
        <v>4343</v>
      </c>
    </row>
    <row r="3630" spans="1:1" x14ac:dyDescent="0.25">
      <c r="A3630" t="s">
        <v>4344</v>
      </c>
    </row>
    <row r="3631" spans="1:1" x14ac:dyDescent="0.25">
      <c r="A3631" t="s">
        <v>4345</v>
      </c>
    </row>
    <row r="3632" spans="1:1" x14ac:dyDescent="0.25">
      <c r="A3632" t="s">
        <v>4346</v>
      </c>
    </row>
    <row r="3633" spans="1:6" x14ac:dyDescent="0.25">
      <c r="A3633" t="s">
        <v>4347</v>
      </c>
    </row>
    <row r="3634" spans="1:6" x14ac:dyDescent="0.25">
      <c r="A3634" t="s">
        <v>4348</v>
      </c>
    </row>
    <row r="3635" spans="1:6" x14ac:dyDescent="0.25">
      <c r="A3635" t="s">
        <v>4349</v>
      </c>
    </row>
    <row r="3636" spans="1:6" x14ac:dyDescent="0.25">
      <c r="A3636" t="s">
        <v>4350</v>
      </c>
    </row>
    <row r="3637" spans="1:6" x14ac:dyDescent="0.25">
      <c r="A3637" t="s">
        <v>4351</v>
      </c>
    </row>
    <row r="3638" spans="1:6" x14ac:dyDescent="0.25">
      <c r="A3638" t="s">
        <v>4352</v>
      </c>
    </row>
    <row r="3639" spans="1:6" x14ac:dyDescent="0.25">
      <c r="A3639" t="s">
        <v>4353</v>
      </c>
    </row>
    <row r="3640" spans="1:6" x14ac:dyDescent="0.25">
      <c r="A3640" t="s">
        <v>4354</v>
      </c>
    </row>
    <row r="3641" spans="1:6" x14ac:dyDescent="0.25">
      <c r="A3641" t="s">
        <v>4355</v>
      </c>
    </row>
    <row r="3642" spans="1:6" x14ac:dyDescent="0.25">
      <c r="A3642" t="s">
        <v>4356</v>
      </c>
    </row>
    <row r="3643" spans="1:6" x14ac:dyDescent="0.25">
      <c r="A3643">
        <v>1</v>
      </c>
      <c r="B3643" t="s">
        <v>4357</v>
      </c>
      <c r="C3643">
        <v>493.55</v>
      </c>
      <c r="D3643" s="55">
        <v>43799</v>
      </c>
      <c r="E3643">
        <v>1</v>
      </c>
      <c r="F3643">
        <v>0</v>
      </c>
    </row>
    <row r="3644" spans="1:6" x14ac:dyDescent="0.25">
      <c r="A3644">
        <v>2</v>
      </c>
      <c r="B3644" t="s">
        <v>2171</v>
      </c>
      <c r="C3644">
        <v>105.89</v>
      </c>
      <c r="D3644" s="55">
        <v>43799</v>
      </c>
      <c r="E3644">
        <v>1</v>
      </c>
      <c r="F3644">
        <v>0</v>
      </c>
    </row>
    <row r="3645" spans="1:6" x14ac:dyDescent="0.25">
      <c r="A3645" t="s">
        <v>4358</v>
      </c>
    </row>
    <row r="3646" spans="1:6" x14ac:dyDescent="0.25">
      <c r="A3646" t="s">
        <v>4359</v>
      </c>
    </row>
    <row r="3647" spans="1:6" x14ac:dyDescent="0.25">
      <c r="A3647" t="s">
        <v>4360</v>
      </c>
    </row>
    <row r="3648" spans="1:6" x14ac:dyDescent="0.25">
      <c r="A3648" t="s">
        <v>4361</v>
      </c>
    </row>
    <row r="3650" spans="1:6" x14ac:dyDescent="0.25">
      <c r="A3650" t="s">
        <v>4362</v>
      </c>
    </row>
    <row r="3651" spans="1:6" x14ac:dyDescent="0.25">
      <c r="A3651" t="s">
        <v>4363</v>
      </c>
    </row>
    <row r="3652" spans="1:6" x14ac:dyDescent="0.25">
      <c r="A3652" t="s">
        <v>4364</v>
      </c>
    </row>
    <row r="3653" spans="1:6" x14ac:dyDescent="0.25">
      <c r="A3653" t="s">
        <v>4365</v>
      </c>
    </row>
    <row r="3654" spans="1:6" x14ac:dyDescent="0.25">
      <c r="A3654" t="s">
        <v>4366</v>
      </c>
    </row>
    <row r="3655" spans="1:6" x14ac:dyDescent="0.25">
      <c r="A3655" t="s">
        <v>4367</v>
      </c>
    </row>
    <row r="3656" spans="1:6" x14ac:dyDescent="0.25">
      <c r="A3656" t="s">
        <v>4368</v>
      </c>
    </row>
    <row r="3657" spans="1:6" x14ac:dyDescent="0.25">
      <c r="A3657" t="s">
        <v>4369</v>
      </c>
    </row>
    <row r="3658" spans="1:6" x14ac:dyDescent="0.25">
      <c r="A3658" t="s">
        <v>4370</v>
      </c>
    </row>
    <row r="3659" spans="1:6" x14ac:dyDescent="0.25">
      <c r="A3659" t="s">
        <v>4371</v>
      </c>
    </row>
    <row r="3660" spans="1:6" x14ac:dyDescent="0.25">
      <c r="A3660" t="s">
        <v>4372</v>
      </c>
    </row>
    <row r="3661" spans="1:6" x14ac:dyDescent="0.25">
      <c r="A3661" t="s">
        <v>1982</v>
      </c>
    </row>
    <row r="3662" spans="1:6" x14ac:dyDescent="0.25">
      <c r="A3662">
        <v>1</v>
      </c>
      <c r="B3662" t="s">
        <v>2171</v>
      </c>
      <c r="C3662">
        <v>1899.04</v>
      </c>
      <c r="D3662" s="55">
        <v>43799</v>
      </c>
      <c r="E3662">
        <v>5</v>
      </c>
      <c r="F3662">
        <v>1171</v>
      </c>
    </row>
    <row r="3663" spans="1:6" x14ac:dyDescent="0.25">
      <c r="A3663">
        <v>2</v>
      </c>
      <c r="B3663" t="s">
        <v>4373</v>
      </c>
      <c r="C3663">
        <v>0</v>
      </c>
      <c r="D3663" s="55">
        <v>43799</v>
      </c>
      <c r="E3663">
        <v>0</v>
      </c>
      <c r="F3663">
        <v>0</v>
      </c>
    </row>
    <row r="3664" spans="1:6" x14ac:dyDescent="0.25">
      <c r="A3664" t="s">
        <v>4374</v>
      </c>
    </row>
    <row r="3665" spans="1:1" x14ac:dyDescent="0.25">
      <c r="A3665" t="s">
        <v>4375</v>
      </c>
    </row>
    <row r="3666" spans="1:1" x14ac:dyDescent="0.25">
      <c r="A3666" t="s">
        <v>4376</v>
      </c>
    </row>
    <row r="3667" spans="1:1" x14ac:dyDescent="0.25">
      <c r="A3667" t="s">
        <v>4377</v>
      </c>
    </row>
    <row r="3668" spans="1:1" x14ac:dyDescent="0.25">
      <c r="A3668" t="s">
        <v>4378</v>
      </c>
    </row>
    <row r="3669" spans="1:1" x14ac:dyDescent="0.25">
      <c r="A3669" t="s">
        <v>4379</v>
      </c>
    </row>
    <row r="3670" spans="1:1" x14ac:dyDescent="0.25">
      <c r="A3670" t="s">
        <v>4380</v>
      </c>
    </row>
    <row r="3671" spans="1:1" x14ac:dyDescent="0.25">
      <c r="A3671" t="s">
        <v>4381</v>
      </c>
    </row>
    <row r="3672" spans="1:1" x14ac:dyDescent="0.25">
      <c r="A3672" t="s">
        <v>4382</v>
      </c>
    </row>
    <row r="3673" spans="1:1" x14ac:dyDescent="0.25">
      <c r="A3673" t="s">
        <v>4383</v>
      </c>
    </row>
    <row r="3674" spans="1:1" x14ac:dyDescent="0.25">
      <c r="A3674" t="s">
        <v>4384</v>
      </c>
    </row>
    <row r="3675" spans="1:1" x14ac:dyDescent="0.25">
      <c r="A3675" t="s">
        <v>4385</v>
      </c>
    </row>
    <row r="3676" spans="1:1" x14ac:dyDescent="0.25">
      <c r="A3676" t="s">
        <v>4386</v>
      </c>
    </row>
    <row r="3677" spans="1:1" x14ac:dyDescent="0.25">
      <c r="A3677" t="s">
        <v>4387</v>
      </c>
    </row>
    <row r="3678" spans="1:1" x14ac:dyDescent="0.25">
      <c r="A3678" t="s">
        <v>2555</v>
      </c>
    </row>
    <row r="3679" spans="1:1" x14ac:dyDescent="0.25">
      <c r="A3679" t="s">
        <v>1358</v>
      </c>
    </row>
    <row r="3680" spans="1:1" x14ac:dyDescent="0.25">
      <c r="A3680" t="s">
        <v>4388</v>
      </c>
    </row>
    <row r="3681" spans="1:1" x14ac:dyDescent="0.25">
      <c r="A3681" t="s">
        <v>4389</v>
      </c>
    </row>
    <row r="3682" spans="1:1" x14ac:dyDescent="0.25">
      <c r="A3682" t="s">
        <v>4390</v>
      </c>
    </row>
    <row r="3683" spans="1:1" x14ac:dyDescent="0.25">
      <c r="A3683" t="s">
        <v>4391</v>
      </c>
    </row>
    <row r="3684" spans="1:1" x14ac:dyDescent="0.25">
      <c r="A3684" t="s">
        <v>4392</v>
      </c>
    </row>
    <row r="3685" spans="1:1" x14ac:dyDescent="0.25">
      <c r="A3685" t="s">
        <v>4393</v>
      </c>
    </row>
    <row r="3686" spans="1:1" x14ac:dyDescent="0.25">
      <c r="A3686" t="s">
        <v>4394</v>
      </c>
    </row>
    <row r="3687" spans="1:1" x14ac:dyDescent="0.25">
      <c r="A3687" t="s">
        <v>4395</v>
      </c>
    </row>
    <row r="3688" spans="1:1" x14ac:dyDescent="0.25">
      <c r="A3688" t="s">
        <v>4396</v>
      </c>
    </row>
    <row r="3689" spans="1:1" x14ac:dyDescent="0.25">
      <c r="A3689" t="s">
        <v>4397</v>
      </c>
    </row>
    <row r="3690" spans="1:1" x14ac:dyDescent="0.25">
      <c r="A3690" t="s">
        <v>4398</v>
      </c>
    </row>
    <row r="3692" spans="1:1" x14ac:dyDescent="0.25">
      <c r="A3692" t="s">
        <v>4399</v>
      </c>
    </row>
    <row r="3693" spans="1:1" x14ac:dyDescent="0.25">
      <c r="A3693" t="s">
        <v>4400</v>
      </c>
    </row>
    <row r="3694" spans="1:1" x14ac:dyDescent="0.25">
      <c r="A3694" t="s">
        <v>4401</v>
      </c>
    </row>
    <row r="3695" spans="1:1" x14ac:dyDescent="0.25">
      <c r="A3695" t="s">
        <v>4402</v>
      </c>
    </row>
    <row r="3696" spans="1:1" x14ac:dyDescent="0.25">
      <c r="A3696" t="s">
        <v>4403</v>
      </c>
    </row>
    <row r="3697" spans="1:5" x14ac:dyDescent="0.25">
      <c r="A3697" t="s">
        <v>4404</v>
      </c>
    </row>
    <row r="3698" spans="1:5" x14ac:dyDescent="0.25">
      <c r="A3698" t="s">
        <v>4405</v>
      </c>
    </row>
    <row r="3699" spans="1:5" x14ac:dyDescent="0.25">
      <c r="A3699" t="s">
        <v>4406</v>
      </c>
    </row>
    <row r="3700" spans="1:5" x14ac:dyDescent="0.25">
      <c r="A3700" t="s">
        <v>4407</v>
      </c>
    </row>
    <row r="3701" spans="1:5" x14ac:dyDescent="0.25">
      <c r="A3701" t="s">
        <v>4408</v>
      </c>
    </row>
    <row r="3702" spans="1:5" x14ac:dyDescent="0.25">
      <c r="A3702" t="s">
        <v>4409</v>
      </c>
    </row>
    <row r="3703" spans="1:5" x14ac:dyDescent="0.25">
      <c r="A3703" t="s">
        <v>4410</v>
      </c>
    </row>
    <row r="3704" spans="1:5" x14ac:dyDescent="0.25">
      <c r="A3704" t="s">
        <v>4411</v>
      </c>
    </row>
    <row r="3705" spans="1:5" x14ac:dyDescent="0.25">
      <c r="A3705" t="s">
        <v>4412</v>
      </c>
      <c r="B3705">
        <v>429.73</v>
      </c>
      <c r="C3705" s="55">
        <v>43769</v>
      </c>
      <c r="D3705">
        <v>5</v>
      </c>
      <c r="E3705">
        <v>675</v>
      </c>
    </row>
    <row r="3706" spans="1:5" x14ac:dyDescent="0.25">
      <c r="A3706" t="s">
        <v>4413</v>
      </c>
    </row>
    <row r="3707" spans="1:5" x14ac:dyDescent="0.25">
      <c r="A3707" t="s">
        <v>4414</v>
      </c>
    </row>
    <row r="3708" spans="1:5" x14ac:dyDescent="0.25">
      <c r="A3708" t="s">
        <v>4415</v>
      </c>
    </row>
    <row r="3709" spans="1:5" x14ac:dyDescent="0.25">
      <c r="A3709" t="s">
        <v>4416</v>
      </c>
    </row>
    <row r="3710" spans="1:5" x14ac:dyDescent="0.25">
      <c r="A3710" t="s">
        <v>1330</v>
      </c>
    </row>
    <row r="3711" spans="1:5" x14ac:dyDescent="0.25">
      <c r="A3711" t="s">
        <v>4417</v>
      </c>
    </row>
    <row r="3712" spans="1:5" x14ac:dyDescent="0.25">
      <c r="A3712" t="s">
        <v>3222</v>
      </c>
    </row>
    <row r="3713" spans="1:1" x14ac:dyDescent="0.25">
      <c r="A3713" t="s">
        <v>4418</v>
      </c>
    </row>
    <row r="3714" spans="1:1" x14ac:dyDescent="0.25">
      <c r="A3714" t="s">
        <v>4419</v>
      </c>
    </row>
    <row r="3715" spans="1:1" x14ac:dyDescent="0.25">
      <c r="A3715" t="s">
        <v>4420</v>
      </c>
    </row>
    <row r="3716" spans="1:1" x14ac:dyDescent="0.25">
      <c r="A3716" t="s">
        <v>4421</v>
      </c>
    </row>
    <row r="3717" spans="1:1" x14ac:dyDescent="0.25">
      <c r="A3717" t="s">
        <v>4422</v>
      </c>
    </row>
    <row r="3718" spans="1:1" x14ac:dyDescent="0.25">
      <c r="A3718" t="s">
        <v>4423</v>
      </c>
    </row>
    <row r="3719" spans="1:1" x14ac:dyDescent="0.25">
      <c r="A3719" t="s">
        <v>4424</v>
      </c>
    </row>
    <row r="3720" spans="1:1" x14ac:dyDescent="0.25">
      <c r="A3720" t="s">
        <v>4425</v>
      </c>
    </row>
    <row r="3721" spans="1:1" x14ac:dyDescent="0.25">
      <c r="A3721" t="s">
        <v>4426</v>
      </c>
    </row>
    <row r="3722" spans="1:1" x14ac:dyDescent="0.25">
      <c r="A3722" t="s">
        <v>4427</v>
      </c>
    </row>
    <row r="3723" spans="1:1" x14ac:dyDescent="0.25">
      <c r="A3723" t="s">
        <v>4428</v>
      </c>
    </row>
    <row r="3724" spans="1:1" x14ac:dyDescent="0.25">
      <c r="A3724" t="s">
        <v>4429</v>
      </c>
    </row>
    <row r="3725" spans="1:1" x14ac:dyDescent="0.25">
      <c r="A3725" t="s">
        <v>4430</v>
      </c>
    </row>
    <row r="3726" spans="1:1" x14ac:dyDescent="0.25">
      <c r="A3726" t="s">
        <v>4431</v>
      </c>
    </row>
    <row r="3727" spans="1:1" x14ac:dyDescent="0.25">
      <c r="A3727" t="s">
        <v>4432</v>
      </c>
    </row>
    <row r="3728" spans="1:1" x14ac:dyDescent="0.25">
      <c r="A3728" t="s">
        <v>4433</v>
      </c>
    </row>
    <row r="3729" spans="1:1" x14ac:dyDescent="0.25">
      <c r="A3729" t="s">
        <v>4434</v>
      </c>
    </row>
    <row r="3731" spans="1:1" x14ac:dyDescent="0.25">
      <c r="A3731" t="s">
        <v>4435</v>
      </c>
    </row>
    <row r="3732" spans="1:1" x14ac:dyDescent="0.25">
      <c r="A3732" t="s">
        <v>4436</v>
      </c>
    </row>
    <row r="3733" spans="1:1" x14ac:dyDescent="0.25">
      <c r="A3733" t="s">
        <v>4437</v>
      </c>
    </row>
    <row r="3734" spans="1:1" x14ac:dyDescent="0.25">
      <c r="A3734" t="s">
        <v>4438</v>
      </c>
    </row>
    <row r="3735" spans="1:1" x14ac:dyDescent="0.25">
      <c r="A3735" t="s">
        <v>4439</v>
      </c>
    </row>
    <row r="3737" spans="1:1" x14ac:dyDescent="0.25">
      <c r="A3737" t="s">
        <v>4440</v>
      </c>
    </row>
    <row r="3738" spans="1:1" x14ac:dyDescent="0.25">
      <c r="A3738" t="s">
        <v>4441</v>
      </c>
    </row>
    <row r="3739" spans="1:1" x14ac:dyDescent="0.25">
      <c r="A3739" t="s">
        <v>4442</v>
      </c>
    </row>
    <row r="3740" spans="1:1" x14ac:dyDescent="0.25">
      <c r="A3740" t="s">
        <v>4443</v>
      </c>
    </row>
    <row r="3741" spans="1:1" x14ac:dyDescent="0.25">
      <c r="A3741" t="s">
        <v>4444</v>
      </c>
    </row>
    <row r="3742" spans="1:1" x14ac:dyDescent="0.25">
      <c r="A3742" t="s">
        <v>4445</v>
      </c>
    </row>
    <row r="3743" spans="1:1" x14ac:dyDescent="0.25">
      <c r="A3743" t="s">
        <v>4446</v>
      </c>
    </row>
    <row r="3744" spans="1:1" x14ac:dyDescent="0.25">
      <c r="A3744" t="s">
        <v>4447</v>
      </c>
    </row>
    <row r="3745" spans="1:1" x14ac:dyDescent="0.25">
      <c r="A3745" t="s">
        <v>4448</v>
      </c>
    </row>
    <row r="3746" spans="1:1" x14ac:dyDescent="0.25">
      <c r="A3746" t="s">
        <v>4449</v>
      </c>
    </row>
    <row r="3747" spans="1:1" x14ac:dyDescent="0.25">
      <c r="A3747" t="s">
        <v>4450</v>
      </c>
    </row>
    <row r="3748" spans="1:1" x14ac:dyDescent="0.25">
      <c r="A3748" t="s">
        <v>4451</v>
      </c>
    </row>
    <row r="3749" spans="1:1" x14ac:dyDescent="0.25">
      <c r="A3749" t="s">
        <v>4452</v>
      </c>
    </row>
    <row r="3750" spans="1:1" x14ac:dyDescent="0.25">
      <c r="A3750" t="s">
        <v>4453</v>
      </c>
    </row>
    <row r="3751" spans="1:1" x14ac:dyDescent="0.25">
      <c r="A3751" t="s">
        <v>4454</v>
      </c>
    </row>
    <row r="3753" spans="1:1" x14ac:dyDescent="0.25">
      <c r="A3753" t="s">
        <v>4455</v>
      </c>
    </row>
    <row r="3754" spans="1:1" x14ac:dyDescent="0.25">
      <c r="A3754" t="s">
        <v>4456</v>
      </c>
    </row>
    <row r="3755" spans="1:1" x14ac:dyDescent="0.25">
      <c r="A3755" t="s">
        <v>4457</v>
      </c>
    </row>
    <row r="3756" spans="1:1" x14ac:dyDescent="0.25">
      <c r="A3756" t="s">
        <v>1458</v>
      </c>
    </row>
    <row r="3757" spans="1:1" x14ac:dyDescent="0.25">
      <c r="A3757" t="s">
        <v>4458</v>
      </c>
    </row>
    <row r="3758" spans="1:1" x14ac:dyDescent="0.25">
      <c r="A3758" t="s">
        <v>4459</v>
      </c>
    </row>
    <row r="3759" spans="1:1" x14ac:dyDescent="0.25">
      <c r="A3759" t="s">
        <v>4460</v>
      </c>
    </row>
    <row r="3760" spans="1:1" x14ac:dyDescent="0.25">
      <c r="A3760" t="s">
        <v>4461</v>
      </c>
    </row>
    <row r="3761" spans="1:1" x14ac:dyDescent="0.25">
      <c r="A3761" t="s">
        <v>1458</v>
      </c>
    </row>
    <row r="3762" spans="1:1" x14ac:dyDescent="0.25">
      <c r="A3762" t="s">
        <v>1928</v>
      </c>
    </row>
    <row r="3763" spans="1:1" x14ac:dyDescent="0.25">
      <c r="A3763" t="s">
        <v>4462</v>
      </c>
    </row>
    <row r="3764" spans="1:1" x14ac:dyDescent="0.25">
      <c r="A3764" t="s">
        <v>4463</v>
      </c>
    </row>
    <row r="3765" spans="1:1" x14ac:dyDescent="0.25">
      <c r="A3765" t="s">
        <v>1458</v>
      </c>
    </row>
    <row r="3766" spans="1:1" x14ac:dyDescent="0.25">
      <c r="A3766" t="s">
        <v>4464</v>
      </c>
    </row>
    <row r="3767" spans="1:1" x14ac:dyDescent="0.25">
      <c r="A3767" t="s">
        <v>4465</v>
      </c>
    </row>
    <row r="3768" spans="1:1" x14ac:dyDescent="0.25">
      <c r="A3768" t="s">
        <v>1458</v>
      </c>
    </row>
    <row r="3769" spans="1:1" x14ac:dyDescent="0.25">
      <c r="A3769" t="s">
        <v>4466</v>
      </c>
    </row>
    <row r="3770" spans="1:1" x14ac:dyDescent="0.25">
      <c r="A3770" t="s">
        <v>4467</v>
      </c>
    </row>
    <row r="3771" spans="1:1" x14ac:dyDescent="0.25">
      <c r="A3771" t="s">
        <v>4468</v>
      </c>
    </row>
    <row r="3772" spans="1:1" x14ac:dyDescent="0.25">
      <c r="A3772" t="s">
        <v>4469</v>
      </c>
    </row>
    <row r="3773" spans="1:1" x14ac:dyDescent="0.25">
      <c r="A3773" t="s">
        <v>4470</v>
      </c>
    </row>
    <row r="3775" spans="1:1" x14ac:dyDescent="0.25">
      <c r="A3775" t="s">
        <v>4471</v>
      </c>
    </row>
    <row r="3776" spans="1:1" x14ac:dyDescent="0.25">
      <c r="A3776" t="s">
        <v>4472</v>
      </c>
    </row>
    <row r="3777" spans="1:1" x14ac:dyDescent="0.25">
      <c r="A3777" t="s">
        <v>4473</v>
      </c>
    </row>
    <row r="3778" spans="1:1" x14ac:dyDescent="0.25">
      <c r="A3778" t="s">
        <v>4474</v>
      </c>
    </row>
    <row r="3779" spans="1:1" x14ac:dyDescent="0.25">
      <c r="A3779" t="s">
        <v>4475</v>
      </c>
    </row>
    <row r="3780" spans="1:1" x14ac:dyDescent="0.25">
      <c r="A3780" t="s">
        <v>4476</v>
      </c>
    </row>
    <row r="3781" spans="1:1" x14ac:dyDescent="0.25">
      <c r="A3781" t="s">
        <v>4477</v>
      </c>
    </row>
    <row r="3782" spans="1:1" x14ac:dyDescent="0.25">
      <c r="A3782" t="s">
        <v>4478</v>
      </c>
    </row>
    <row r="3783" spans="1:1" x14ac:dyDescent="0.25">
      <c r="A3783">
        <v>32402543</v>
      </c>
    </row>
    <row r="3784" spans="1:1" x14ac:dyDescent="0.25">
      <c r="A3784" t="s">
        <v>4479</v>
      </c>
    </row>
    <row r="3785" spans="1:1" x14ac:dyDescent="0.25">
      <c r="A3785" t="s">
        <v>4480</v>
      </c>
    </row>
    <row r="3786" spans="1:1" x14ac:dyDescent="0.25">
      <c r="A3786" t="s">
        <v>4481</v>
      </c>
    </row>
    <row r="3787" spans="1:1" x14ac:dyDescent="0.25">
      <c r="A3787" t="s">
        <v>4482</v>
      </c>
    </row>
    <row r="3788" spans="1:1" x14ac:dyDescent="0.25">
      <c r="A3788" t="s">
        <v>2312</v>
      </c>
    </row>
    <row r="3789" spans="1:1" x14ac:dyDescent="0.25">
      <c r="A3789" t="s">
        <v>4483</v>
      </c>
    </row>
    <row r="3790" spans="1:1" x14ac:dyDescent="0.25">
      <c r="A3790" t="s">
        <v>4484</v>
      </c>
    </row>
    <row r="3791" spans="1:1" x14ac:dyDescent="0.25">
      <c r="A3791" t="s">
        <v>4485</v>
      </c>
    </row>
    <row r="3792" spans="1:1" x14ac:dyDescent="0.25">
      <c r="A3792" t="s">
        <v>4486</v>
      </c>
    </row>
    <row r="3793" spans="1:1" x14ac:dyDescent="0.25">
      <c r="A3793" t="s">
        <v>4487</v>
      </c>
    </row>
    <row r="3794" spans="1:1" x14ac:dyDescent="0.25">
      <c r="A3794" t="s">
        <v>2501</v>
      </c>
    </row>
    <row r="3795" spans="1:1" x14ac:dyDescent="0.25">
      <c r="A3795" t="s">
        <v>4488</v>
      </c>
    </row>
    <row r="3796" spans="1:1" x14ac:dyDescent="0.25">
      <c r="A3796" t="s">
        <v>4489</v>
      </c>
    </row>
    <row r="3797" spans="1:1" x14ac:dyDescent="0.25">
      <c r="A3797" t="s">
        <v>4490</v>
      </c>
    </row>
    <row r="3798" spans="1:1" x14ac:dyDescent="0.25">
      <c r="A3798" t="s">
        <v>4491</v>
      </c>
    </row>
    <row r="3799" spans="1:1" x14ac:dyDescent="0.25">
      <c r="A3799" t="s">
        <v>4492</v>
      </c>
    </row>
    <row r="3800" spans="1:1" x14ac:dyDescent="0.25">
      <c r="A3800" t="s">
        <v>4493</v>
      </c>
    </row>
    <row r="3801" spans="1:1" x14ac:dyDescent="0.25">
      <c r="A3801" t="s">
        <v>4494</v>
      </c>
    </row>
    <row r="3802" spans="1:1" x14ac:dyDescent="0.25">
      <c r="A3802" t="s">
        <v>4495</v>
      </c>
    </row>
    <row r="3803" spans="1:1" x14ac:dyDescent="0.25">
      <c r="A3803" t="s">
        <v>4496</v>
      </c>
    </row>
    <row r="3804" spans="1:1" x14ac:dyDescent="0.25">
      <c r="A3804" t="s">
        <v>4497</v>
      </c>
    </row>
    <row r="3805" spans="1:1" x14ac:dyDescent="0.25">
      <c r="A3805" t="s">
        <v>4498</v>
      </c>
    </row>
    <row r="3806" spans="1:1" x14ac:dyDescent="0.25">
      <c r="A3806" t="s">
        <v>4499</v>
      </c>
    </row>
    <row r="3807" spans="1:1" x14ac:dyDescent="0.25">
      <c r="A3807" t="s">
        <v>4500</v>
      </c>
    </row>
    <row r="3808" spans="1:1" x14ac:dyDescent="0.25">
      <c r="A3808" t="s">
        <v>4501</v>
      </c>
    </row>
    <row r="3809" spans="1:1" x14ac:dyDescent="0.25">
      <c r="A3809" t="s">
        <v>1563</v>
      </c>
    </row>
    <row r="3810" spans="1:1" x14ac:dyDescent="0.25">
      <c r="A3810" t="s">
        <v>4502</v>
      </c>
    </row>
    <row r="3812" spans="1:1" x14ac:dyDescent="0.25">
      <c r="A3812" t="s">
        <v>4503</v>
      </c>
    </row>
    <row r="3814" spans="1:1" x14ac:dyDescent="0.25">
      <c r="A3814" t="s">
        <v>4504</v>
      </c>
    </row>
    <row r="3815" spans="1:1" x14ac:dyDescent="0.25">
      <c r="A3815" t="s">
        <v>2884</v>
      </c>
    </row>
    <row r="3816" spans="1:1" x14ac:dyDescent="0.25">
      <c r="A3816" t="s">
        <v>4505</v>
      </c>
    </row>
    <row r="3817" spans="1:1" x14ac:dyDescent="0.25">
      <c r="A3817" t="s">
        <v>4506</v>
      </c>
    </row>
    <row r="3819" spans="1:1" x14ac:dyDescent="0.25">
      <c r="A3819" t="s">
        <v>4507</v>
      </c>
    </row>
    <row r="3820" spans="1:1" x14ac:dyDescent="0.25">
      <c r="A3820" t="s">
        <v>4508</v>
      </c>
    </row>
    <row r="3821" spans="1:1" x14ac:dyDescent="0.25">
      <c r="A3821" t="s">
        <v>4509</v>
      </c>
    </row>
    <row r="3822" spans="1:1" x14ac:dyDescent="0.25">
      <c r="A3822" t="s">
        <v>4510</v>
      </c>
    </row>
    <row r="3825" spans="1:3" x14ac:dyDescent="0.25">
      <c r="A3825" t="s">
        <v>1505</v>
      </c>
      <c r="B3825" t="s">
        <v>1506</v>
      </c>
      <c r="C3825" t="s">
        <v>1507</v>
      </c>
    </row>
    <row r="3826" spans="1:3" x14ac:dyDescent="0.25">
      <c r="A3826" t="s">
        <v>4511</v>
      </c>
      <c r="B3826">
        <v>414.62</v>
      </c>
      <c r="C3826" s="55">
        <v>43001</v>
      </c>
    </row>
    <row r="3827" spans="1:3" x14ac:dyDescent="0.25">
      <c r="A3827" t="s">
        <v>4512</v>
      </c>
      <c r="B3827">
        <v>402.63</v>
      </c>
      <c r="C3827" s="55">
        <v>42984</v>
      </c>
    </row>
    <row r="3828" spans="1:3" x14ac:dyDescent="0.25">
      <c r="A3828" t="s">
        <v>1509</v>
      </c>
      <c r="B3828">
        <v>288.45999999999998</v>
      </c>
      <c r="C3828" s="55">
        <v>42301</v>
      </c>
    </row>
    <row r="3829" spans="1:3" x14ac:dyDescent="0.25">
      <c r="A3829" t="s">
        <v>4513</v>
      </c>
      <c r="B3829">
        <v>178.35</v>
      </c>
      <c r="C3829" s="55">
        <v>42248</v>
      </c>
    </row>
    <row r="3831" spans="1:3" x14ac:dyDescent="0.25">
      <c r="A3831" t="s">
        <v>1962</v>
      </c>
    </row>
    <row r="3832" spans="1:3" x14ac:dyDescent="0.25">
      <c r="A3832" t="s">
        <v>4514</v>
      </c>
    </row>
    <row r="3833" spans="1:3" x14ac:dyDescent="0.25">
      <c r="A3833" t="s">
        <v>4515</v>
      </c>
    </row>
    <row r="3834" spans="1:3" x14ac:dyDescent="0.25">
      <c r="A3834" t="s">
        <v>4516</v>
      </c>
    </row>
    <row r="3835" spans="1:3" x14ac:dyDescent="0.25">
      <c r="A3835" t="s">
        <v>4517</v>
      </c>
    </row>
    <row r="3836" spans="1:3" x14ac:dyDescent="0.25">
      <c r="A3836" t="s">
        <v>4518</v>
      </c>
    </row>
    <row r="3837" spans="1:3" x14ac:dyDescent="0.25">
      <c r="A3837" t="s">
        <v>4519</v>
      </c>
    </row>
    <row r="3838" spans="1:3" x14ac:dyDescent="0.25">
      <c r="A3838" t="s">
        <v>4520</v>
      </c>
    </row>
    <row r="3839" spans="1:3" x14ac:dyDescent="0.25">
      <c r="A3839" t="s">
        <v>4521</v>
      </c>
    </row>
    <row r="3840" spans="1:3" x14ac:dyDescent="0.25">
      <c r="A3840" t="s">
        <v>4522</v>
      </c>
    </row>
    <row r="3841" spans="1:1" x14ac:dyDescent="0.25">
      <c r="A3841" t="s">
        <v>4523</v>
      </c>
    </row>
    <row r="3842" spans="1:1" x14ac:dyDescent="0.25">
      <c r="A3842" t="s">
        <v>4519</v>
      </c>
    </row>
    <row r="3843" spans="1:1" x14ac:dyDescent="0.25">
      <c r="A3843" t="s">
        <v>4524</v>
      </c>
    </row>
    <row r="3844" spans="1:1" x14ac:dyDescent="0.25">
      <c r="A3844" t="s">
        <v>4525</v>
      </c>
    </row>
    <row r="3845" spans="1:1" x14ac:dyDescent="0.25">
      <c r="A3845" t="s">
        <v>4526</v>
      </c>
    </row>
    <row r="3846" spans="1:1" x14ac:dyDescent="0.25">
      <c r="A3846" t="s">
        <v>4527</v>
      </c>
    </row>
    <row r="3847" spans="1:1" x14ac:dyDescent="0.25">
      <c r="A3847" t="s">
        <v>4528</v>
      </c>
    </row>
    <row r="3848" spans="1:1" x14ac:dyDescent="0.25">
      <c r="A3848" t="s">
        <v>4529</v>
      </c>
    </row>
    <row r="3849" spans="1:1" x14ac:dyDescent="0.25">
      <c r="A3849" t="s">
        <v>4530</v>
      </c>
    </row>
    <row r="3850" spans="1:1" x14ac:dyDescent="0.25">
      <c r="A3850" t="s">
        <v>1962</v>
      </c>
    </row>
    <row r="3851" spans="1:1" x14ac:dyDescent="0.25">
      <c r="A3851" t="s">
        <v>4531</v>
      </c>
    </row>
    <row r="3852" spans="1:1" x14ac:dyDescent="0.25">
      <c r="A3852" t="s">
        <v>4532</v>
      </c>
    </row>
    <row r="3853" spans="1:1" x14ac:dyDescent="0.25">
      <c r="A3853" t="s">
        <v>4533</v>
      </c>
    </row>
    <row r="3854" spans="1:1" x14ac:dyDescent="0.25">
      <c r="A3854" t="s">
        <v>1962</v>
      </c>
    </row>
    <row r="3855" spans="1:1" x14ac:dyDescent="0.25">
      <c r="A3855" t="s">
        <v>4534</v>
      </c>
    </row>
    <row r="3856" spans="1:1" x14ac:dyDescent="0.25">
      <c r="A3856" t="s">
        <v>4535</v>
      </c>
    </row>
    <row r="3858" spans="1:1" x14ac:dyDescent="0.25">
      <c r="A3858" t="s">
        <v>4536</v>
      </c>
    </row>
    <row r="3859" spans="1:1" x14ac:dyDescent="0.25">
      <c r="A3859" t="s">
        <v>1463</v>
      </c>
    </row>
    <row r="3861" spans="1:1" x14ac:dyDescent="0.25">
      <c r="A3861" t="s">
        <v>4537</v>
      </c>
    </row>
    <row r="3862" spans="1:1" x14ac:dyDescent="0.25">
      <c r="A3862" t="s">
        <v>4538</v>
      </c>
    </row>
    <row r="3863" spans="1:1" x14ac:dyDescent="0.25">
      <c r="A3863" t="s">
        <v>4539</v>
      </c>
    </row>
    <row r="3864" spans="1:1" x14ac:dyDescent="0.25">
      <c r="A3864" t="s">
        <v>4540</v>
      </c>
    </row>
    <row r="3866" spans="1:1" x14ac:dyDescent="0.25">
      <c r="A3866" t="s">
        <v>4519</v>
      </c>
    </row>
    <row r="3867" spans="1:1" x14ac:dyDescent="0.25">
      <c r="A3867" t="s">
        <v>4541</v>
      </c>
    </row>
    <row r="3868" spans="1:1" x14ac:dyDescent="0.25">
      <c r="A3868" t="s">
        <v>4542</v>
      </c>
    </row>
    <row r="3869" spans="1:1" x14ac:dyDescent="0.25">
      <c r="A3869" t="s">
        <v>4543</v>
      </c>
    </row>
    <row r="3870" spans="1:1" x14ac:dyDescent="0.25">
      <c r="A3870" t="s">
        <v>1962</v>
      </c>
    </row>
    <row r="3871" spans="1:1" x14ac:dyDescent="0.25">
      <c r="A3871" t="s">
        <v>4544</v>
      </c>
    </row>
    <row r="3872" spans="1:1" x14ac:dyDescent="0.25">
      <c r="A3872" t="s">
        <v>4545</v>
      </c>
    </row>
    <row r="3873" spans="1:1" x14ac:dyDescent="0.25">
      <c r="A3873" t="s">
        <v>4546</v>
      </c>
    </row>
    <row r="3874" spans="1:1" x14ac:dyDescent="0.25">
      <c r="A3874" t="s">
        <v>4547</v>
      </c>
    </row>
    <row r="3876" spans="1:1" x14ac:dyDescent="0.25">
      <c r="A3876" t="s">
        <v>4548</v>
      </c>
    </row>
    <row r="3877" spans="1:1" x14ac:dyDescent="0.25">
      <c r="A3877" t="s">
        <v>4549</v>
      </c>
    </row>
    <row r="3878" spans="1:1" x14ac:dyDescent="0.25">
      <c r="A3878" t="s">
        <v>4550</v>
      </c>
    </row>
    <row r="3879" spans="1:1" x14ac:dyDescent="0.25">
      <c r="A3879" t="s">
        <v>4551</v>
      </c>
    </row>
    <row r="3880" spans="1:1" x14ac:dyDescent="0.25">
      <c r="A3880" t="s">
        <v>2073</v>
      </c>
    </row>
    <row r="3881" spans="1:1" x14ac:dyDescent="0.25">
      <c r="A3881" t="s">
        <v>4552</v>
      </c>
    </row>
    <row r="3882" spans="1:1" x14ac:dyDescent="0.25">
      <c r="A3882" t="s">
        <v>4553</v>
      </c>
    </row>
    <row r="3883" spans="1:1" x14ac:dyDescent="0.25">
      <c r="A3883" t="s">
        <v>4554</v>
      </c>
    </row>
    <row r="3884" spans="1:1" x14ac:dyDescent="0.25">
      <c r="A3884" t="s">
        <v>4555</v>
      </c>
    </row>
    <row r="3885" spans="1:1" x14ac:dyDescent="0.25">
      <c r="A3885" t="s">
        <v>4556</v>
      </c>
    </row>
    <row r="3886" spans="1:1" x14ac:dyDescent="0.25">
      <c r="A3886" t="s">
        <v>4557</v>
      </c>
    </row>
    <row r="3887" spans="1:1" x14ac:dyDescent="0.25">
      <c r="A3887" t="s">
        <v>4558</v>
      </c>
    </row>
    <row r="3888" spans="1:1" x14ac:dyDescent="0.25">
      <c r="A3888" t="s">
        <v>4559</v>
      </c>
    </row>
    <row r="3889" spans="1:1" x14ac:dyDescent="0.25">
      <c r="A3889" t="s">
        <v>4560</v>
      </c>
    </row>
    <row r="3890" spans="1:1" x14ac:dyDescent="0.25">
      <c r="A3890" t="s">
        <v>4561</v>
      </c>
    </row>
    <row r="3891" spans="1:1" x14ac:dyDescent="0.25">
      <c r="A3891" t="s">
        <v>4562</v>
      </c>
    </row>
    <row r="3892" spans="1:1" x14ac:dyDescent="0.25">
      <c r="A3892" t="s">
        <v>4563</v>
      </c>
    </row>
    <row r="3893" spans="1:1" x14ac:dyDescent="0.25">
      <c r="A3893" t="s">
        <v>4564</v>
      </c>
    </row>
    <row r="3894" spans="1:1" x14ac:dyDescent="0.25">
      <c r="A3894" t="s">
        <v>4565</v>
      </c>
    </row>
    <row r="3895" spans="1:1" x14ac:dyDescent="0.25">
      <c r="A3895" t="s">
        <v>4566</v>
      </c>
    </row>
    <row r="3896" spans="1:1" x14ac:dyDescent="0.25">
      <c r="A3896" t="s">
        <v>4567</v>
      </c>
    </row>
    <row r="3898" spans="1:1" x14ac:dyDescent="0.25">
      <c r="A3898" t="s">
        <v>4568</v>
      </c>
    </row>
    <row r="3899" spans="1:1" x14ac:dyDescent="0.25">
      <c r="A3899" t="s">
        <v>4569</v>
      </c>
    </row>
    <row r="3900" spans="1:1" x14ac:dyDescent="0.25">
      <c r="A3900" t="s">
        <v>4570</v>
      </c>
    </row>
    <row r="3901" spans="1:1" x14ac:dyDescent="0.25">
      <c r="A3901" t="s">
        <v>4571</v>
      </c>
    </row>
    <row r="3902" spans="1:1" x14ac:dyDescent="0.25">
      <c r="A3902" t="s">
        <v>4572</v>
      </c>
    </row>
    <row r="3903" spans="1:1" x14ac:dyDescent="0.25">
      <c r="A3903" t="s">
        <v>4573</v>
      </c>
    </row>
    <row r="3905" spans="1:1" x14ac:dyDescent="0.25">
      <c r="A3905" t="s">
        <v>4574</v>
      </c>
    </row>
    <row r="3906" spans="1:1" x14ac:dyDescent="0.25">
      <c r="A3906" t="s">
        <v>4575</v>
      </c>
    </row>
    <row r="3907" spans="1:1" x14ac:dyDescent="0.25">
      <c r="A3907" t="s">
        <v>4576</v>
      </c>
    </row>
    <row r="3908" spans="1:1" x14ac:dyDescent="0.25">
      <c r="A3908">
        <v>46896518</v>
      </c>
    </row>
    <row r="3909" spans="1:1" x14ac:dyDescent="0.25">
      <c r="A3909" t="s">
        <v>4577</v>
      </c>
    </row>
    <row r="3910" spans="1:1" x14ac:dyDescent="0.25">
      <c r="A3910" t="s">
        <v>4578</v>
      </c>
    </row>
    <row r="3911" spans="1:1" x14ac:dyDescent="0.25">
      <c r="A3911" t="s">
        <v>4547</v>
      </c>
    </row>
    <row r="3912" spans="1:1" x14ac:dyDescent="0.25">
      <c r="A3912" t="s">
        <v>4579</v>
      </c>
    </row>
    <row r="3913" spans="1:1" x14ac:dyDescent="0.25">
      <c r="A3913" t="s">
        <v>4580</v>
      </c>
    </row>
    <row r="3914" spans="1:1" x14ac:dyDescent="0.25">
      <c r="A3914" t="s">
        <v>4581</v>
      </c>
    </row>
    <row r="3915" spans="1:1" x14ac:dyDescent="0.25">
      <c r="A3915" t="s">
        <v>4404</v>
      </c>
    </row>
    <row r="3916" spans="1:1" x14ac:dyDescent="0.25">
      <c r="A3916" t="s">
        <v>4582</v>
      </c>
    </row>
    <row r="3917" spans="1:1" x14ac:dyDescent="0.25">
      <c r="A3917" t="s">
        <v>4583</v>
      </c>
    </row>
    <row r="3918" spans="1:1" x14ac:dyDescent="0.25">
      <c r="A3918" t="s">
        <v>4584</v>
      </c>
    </row>
    <row r="3919" spans="1:1" x14ac:dyDescent="0.25">
      <c r="A3919" t="s">
        <v>4118</v>
      </c>
    </row>
    <row r="3920" spans="1:1" x14ac:dyDescent="0.25">
      <c r="A3920" t="s">
        <v>4585</v>
      </c>
    </row>
    <row r="3921" spans="1:1" x14ac:dyDescent="0.25">
      <c r="A3921" t="s">
        <v>4586</v>
      </c>
    </row>
    <row r="3922" spans="1:1" x14ac:dyDescent="0.25">
      <c r="A3922" t="s">
        <v>4587</v>
      </c>
    </row>
    <row r="3923" spans="1:1" x14ac:dyDescent="0.25">
      <c r="A3923" t="s">
        <v>4118</v>
      </c>
    </row>
    <row r="3924" spans="1:1" x14ac:dyDescent="0.25">
      <c r="A3924" t="s">
        <v>4588</v>
      </c>
    </row>
    <row r="3925" spans="1:1" x14ac:dyDescent="0.25">
      <c r="A3925" t="s">
        <v>4589</v>
      </c>
    </row>
    <row r="3926" spans="1:1" x14ac:dyDescent="0.25">
      <c r="A3926" t="s">
        <v>4590</v>
      </c>
    </row>
    <row r="3927" spans="1:1" x14ac:dyDescent="0.25">
      <c r="A3927" t="s">
        <v>4591</v>
      </c>
    </row>
    <row r="3928" spans="1:1" x14ac:dyDescent="0.25">
      <c r="A3928" t="s">
        <v>4118</v>
      </c>
    </row>
    <row r="3929" spans="1:1" x14ac:dyDescent="0.25">
      <c r="A3929" t="s">
        <v>4592</v>
      </c>
    </row>
    <row r="3930" spans="1:1" x14ac:dyDescent="0.25">
      <c r="A3930" t="s">
        <v>4593</v>
      </c>
    </row>
    <row r="3931" spans="1:1" x14ac:dyDescent="0.25">
      <c r="A3931" t="s">
        <v>4594</v>
      </c>
    </row>
    <row r="3932" spans="1:1" x14ac:dyDescent="0.25">
      <c r="A3932" t="s">
        <v>4595</v>
      </c>
    </row>
    <row r="3933" spans="1:1" x14ac:dyDescent="0.25">
      <c r="A3933" t="s">
        <v>4118</v>
      </c>
    </row>
    <row r="3934" spans="1:1" x14ac:dyDescent="0.25">
      <c r="A3934" t="s">
        <v>4596</v>
      </c>
    </row>
    <row r="3935" spans="1:1" x14ac:dyDescent="0.25">
      <c r="A3935" t="s">
        <v>4597</v>
      </c>
    </row>
    <row r="3936" spans="1:1" x14ac:dyDescent="0.25">
      <c r="A3936" t="s">
        <v>4118</v>
      </c>
    </row>
    <row r="3937" spans="1:1" x14ac:dyDescent="0.25">
      <c r="A3937" t="s">
        <v>4598</v>
      </c>
    </row>
    <row r="3938" spans="1:1" x14ac:dyDescent="0.25">
      <c r="A3938" t="s">
        <v>4599</v>
      </c>
    </row>
    <row r="3939" spans="1:1" x14ac:dyDescent="0.25">
      <c r="A3939" t="s">
        <v>1463</v>
      </c>
    </row>
    <row r="3940" spans="1:1" x14ac:dyDescent="0.25">
      <c r="A3940" t="s">
        <v>4600</v>
      </c>
    </row>
    <row r="3941" spans="1:1" x14ac:dyDescent="0.25">
      <c r="A3941" t="s">
        <v>4601</v>
      </c>
    </row>
    <row r="3942" spans="1:1" x14ac:dyDescent="0.25">
      <c r="A3942" t="s">
        <v>4602</v>
      </c>
    </row>
    <row r="3943" spans="1:1" x14ac:dyDescent="0.25">
      <c r="A3943" t="s">
        <v>4603</v>
      </c>
    </row>
    <row r="3945" spans="1:1" x14ac:dyDescent="0.25">
      <c r="A3945" t="s">
        <v>4604</v>
      </c>
    </row>
    <row r="3946" spans="1:1" x14ac:dyDescent="0.25">
      <c r="A3946" t="s">
        <v>4605</v>
      </c>
    </row>
    <row r="3947" spans="1:1" x14ac:dyDescent="0.25">
      <c r="A3947" t="s">
        <v>4606</v>
      </c>
    </row>
    <row r="3948" spans="1:1" x14ac:dyDescent="0.25">
      <c r="A3948" t="s">
        <v>4607</v>
      </c>
    </row>
    <row r="3949" spans="1:1" x14ac:dyDescent="0.25">
      <c r="A3949" t="s">
        <v>4608</v>
      </c>
    </row>
    <row r="3950" spans="1:1" x14ac:dyDescent="0.25">
      <c r="A3950" t="s">
        <v>4609</v>
      </c>
    </row>
    <row r="3951" spans="1:1" x14ac:dyDescent="0.25">
      <c r="A3951" t="s">
        <v>4610</v>
      </c>
    </row>
    <row r="3952" spans="1:1" x14ac:dyDescent="0.25">
      <c r="A3952" t="s">
        <v>1317</v>
      </c>
    </row>
    <row r="3953" spans="1:1" x14ac:dyDescent="0.25">
      <c r="A3953" t="s">
        <v>4611</v>
      </c>
    </row>
    <row r="3954" spans="1:1" x14ac:dyDescent="0.25">
      <c r="A3954" t="s">
        <v>4612</v>
      </c>
    </row>
    <row r="3955" spans="1:1" x14ac:dyDescent="0.25">
      <c r="A3955" t="s">
        <v>4613</v>
      </c>
    </row>
    <row r="3956" spans="1:1" x14ac:dyDescent="0.25">
      <c r="A3956" t="s">
        <v>4614</v>
      </c>
    </row>
    <row r="3957" spans="1:1" x14ac:dyDescent="0.25">
      <c r="A3957" t="s">
        <v>4615</v>
      </c>
    </row>
    <row r="3958" spans="1:1" x14ac:dyDescent="0.25">
      <c r="A3958" t="s">
        <v>4616</v>
      </c>
    </row>
    <row r="3959" spans="1:1" x14ac:dyDescent="0.25">
      <c r="A3959" t="s">
        <v>4617</v>
      </c>
    </row>
    <row r="3960" spans="1:1" x14ac:dyDescent="0.25">
      <c r="A3960" t="s">
        <v>4618</v>
      </c>
    </row>
    <row r="3961" spans="1:1" x14ac:dyDescent="0.25">
      <c r="A3961" t="s">
        <v>4619</v>
      </c>
    </row>
    <row r="3962" spans="1:1" x14ac:dyDescent="0.25">
      <c r="A3962" t="s">
        <v>4620</v>
      </c>
    </row>
    <row r="3963" spans="1:1" x14ac:dyDescent="0.25">
      <c r="A3963" t="s">
        <v>4621</v>
      </c>
    </row>
    <row r="3964" spans="1:1" x14ac:dyDescent="0.25">
      <c r="A3964" t="s">
        <v>4622</v>
      </c>
    </row>
    <row r="3965" spans="1:1" x14ac:dyDescent="0.25">
      <c r="A3965" t="s">
        <v>4623</v>
      </c>
    </row>
    <row r="3966" spans="1:1" x14ac:dyDescent="0.25">
      <c r="A3966" t="s">
        <v>4624</v>
      </c>
    </row>
    <row r="3967" spans="1:1" x14ac:dyDescent="0.25">
      <c r="A3967" t="s">
        <v>4625</v>
      </c>
    </row>
    <row r="3968" spans="1:1" x14ac:dyDescent="0.25">
      <c r="A3968" t="s">
        <v>4626</v>
      </c>
    </row>
    <row r="3969" spans="1:1" x14ac:dyDescent="0.25">
      <c r="A3969" t="s">
        <v>4627</v>
      </c>
    </row>
    <row r="3970" spans="1:1" x14ac:dyDescent="0.25">
      <c r="A3970" t="s">
        <v>4626</v>
      </c>
    </row>
    <row r="3971" spans="1:1" x14ac:dyDescent="0.25">
      <c r="A3971" t="s">
        <v>4628</v>
      </c>
    </row>
    <row r="3972" spans="1:1" x14ac:dyDescent="0.25">
      <c r="A3972" t="s">
        <v>4626</v>
      </c>
    </row>
    <row r="3973" spans="1:1" x14ac:dyDescent="0.25">
      <c r="A3973" t="s">
        <v>4629</v>
      </c>
    </row>
    <row r="3974" spans="1:1" x14ac:dyDescent="0.25">
      <c r="A3974" t="s">
        <v>4630</v>
      </c>
    </row>
    <row r="3975" spans="1:1" x14ac:dyDescent="0.25">
      <c r="A3975" t="s">
        <v>4631</v>
      </c>
    </row>
    <row r="3976" spans="1:1" x14ac:dyDescent="0.25">
      <c r="A3976" t="s">
        <v>4632</v>
      </c>
    </row>
    <row r="3977" spans="1:1" x14ac:dyDescent="0.25">
      <c r="A3977" t="s">
        <v>1963</v>
      </c>
    </row>
    <row r="3978" spans="1:1" x14ac:dyDescent="0.25">
      <c r="A3978" t="s">
        <v>4633</v>
      </c>
    </row>
    <row r="3979" spans="1:1" x14ac:dyDescent="0.25">
      <c r="A3979" t="s">
        <v>4634</v>
      </c>
    </row>
    <row r="3982" spans="1:1" x14ac:dyDescent="0.25">
      <c r="A3982" t="s">
        <v>4635</v>
      </c>
    </row>
    <row r="3983" spans="1:1" x14ac:dyDescent="0.25">
      <c r="A3983" t="s">
        <v>4636</v>
      </c>
    </row>
    <row r="3984" spans="1:1" x14ac:dyDescent="0.25">
      <c r="A3984" t="s">
        <v>4637</v>
      </c>
    </row>
    <row r="3985" spans="1:1" x14ac:dyDescent="0.25">
      <c r="A3985" t="s">
        <v>4638</v>
      </c>
    </row>
    <row r="3986" spans="1:1" x14ac:dyDescent="0.25">
      <c r="A3986" t="s">
        <v>4639</v>
      </c>
    </row>
    <row r="3987" spans="1:1" x14ac:dyDescent="0.25">
      <c r="A3987" t="s">
        <v>4640</v>
      </c>
    </row>
    <row r="3988" spans="1:1" x14ac:dyDescent="0.25">
      <c r="A3988" t="s">
        <v>4641</v>
      </c>
    </row>
    <row r="3989" spans="1:1" x14ac:dyDescent="0.25">
      <c r="A3989" t="s">
        <v>4642</v>
      </c>
    </row>
    <row r="3990" spans="1:1" x14ac:dyDescent="0.25">
      <c r="A3990" t="s">
        <v>4643</v>
      </c>
    </row>
    <row r="3991" spans="1:1" x14ac:dyDescent="0.25">
      <c r="A3991" t="s">
        <v>4644</v>
      </c>
    </row>
    <row r="3992" spans="1:1" x14ac:dyDescent="0.25">
      <c r="A3992" t="s">
        <v>4645</v>
      </c>
    </row>
    <row r="3993" spans="1:1" x14ac:dyDescent="0.25">
      <c r="A3993" t="s">
        <v>4646</v>
      </c>
    </row>
    <row r="3994" spans="1:1" x14ac:dyDescent="0.25">
      <c r="A3994" t="s">
        <v>4647</v>
      </c>
    </row>
    <row r="3995" spans="1:1" x14ac:dyDescent="0.25">
      <c r="A3995" t="s">
        <v>4648</v>
      </c>
    </row>
    <row r="3996" spans="1:1" x14ac:dyDescent="0.25">
      <c r="A3996" t="s">
        <v>4649</v>
      </c>
    </row>
    <row r="3997" spans="1:1" x14ac:dyDescent="0.25">
      <c r="A3997" t="s">
        <v>4650</v>
      </c>
    </row>
    <row r="3998" spans="1:1" x14ac:dyDescent="0.25">
      <c r="A3998" t="s">
        <v>4651</v>
      </c>
    </row>
    <row r="3999" spans="1:1" x14ac:dyDescent="0.25">
      <c r="A3999" t="s">
        <v>4652</v>
      </c>
    </row>
    <row r="4000" spans="1:1" x14ac:dyDescent="0.25">
      <c r="A4000" t="s">
        <v>4653</v>
      </c>
    </row>
    <row r="4001" spans="1:1" x14ac:dyDescent="0.25">
      <c r="A4001" t="s">
        <v>4654</v>
      </c>
    </row>
    <row r="4002" spans="1:1" x14ac:dyDescent="0.25">
      <c r="A4002" t="s">
        <v>4655</v>
      </c>
    </row>
    <row r="4003" spans="1:1" x14ac:dyDescent="0.25">
      <c r="A4003" t="s">
        <v>4656</v>
      </c>
    </row>
    <row r="4004" spans="1:1" x14ac:dyDescent="0.25">
      <c r="A4004" t="s">
        <v>4657</v>
      </c>
    </row>
    <row r="4005" spans="1:1" x14ac:dyDescent="0.25">
      <c r="A4005" t="s">
        <v>4658</v>
      </c>
    </row>
    <row r="4006" spans="1:1" x14ac:dyDescent="0.25">
      <c r="A4006" t="s">
        <v>4659</v>
      </c>
    </row>
    <row r="4010" spans="1:1" x14ac:dyDescent="0.25">
      <c r="A4010" t="s">
        <v>4660</v>
      </c>
    </row>
    <row r="4011" spans="1:1" x14ac:dyDescent="0.25">
      <c r="A4011" t="s">
        <v>4661</v>
      </c>
    </row>
    <row r="4012" spans="1:1" x14ac:dyDescent="0.25">
      <c r="A4012" t="s">
        <v>4662</v>
      </c>
    </row>
    <row r="4013" spans="1:1" x14ac:dyDescent="0.25">
      <c r="A4013" t="s">
        <v>4663</v>
      </c>
    </row>
    <row r="4014" spans="1:1" x14ac:dyDescent="0.25">
      <c r="A4014" t="s">
        <v>4664</v>
      </c>
    </row>
    <row r="4015" spans="1:1" x14ac:dyDescent="0.25">
      <c r="A4015" t="s">
        <v>4665</v>
      </c>
    </row>
    <row r="4016" spans="1:1" x14ac:dyDescent="0.25">
      <c r="A4016" t="s">
        <v>4666</v>
      </c>
    </row>
    <row r="4017" spans="1:1" x14ac:dyDescent="0.25">
      <c r="A4017" t="s">
        <v>4667</v>
      </c>
    </row>
    <row r="4018" spans="1:1" x14ac:dyDescent="0.25">
      <c r="A4018" t="s">
        <v>4668</v>
      </c>
    </row>
    <row r="4019" spans="1:1" x14ac:dyDescent="0.25">
      <c r="A4019" t="s">
        <v>4669</v>
      </c>
    </row>
    <row r="4020" spans="1:1" x14ac:dyDescent="0.25">
      <c r="A4020" t="s">
        <v>4670</v>
      </c>
    </row>
    <row r="4021" spans="1:1" x14ac:dyDescent="0.25">
      <c r="A4021" t="s">
        <v>4671</v>
      </c>
    </row>
    <row r="4022" spans="1:1" x14ac:dyDescent="0.25">
      <c r="A4022" t="s">
        <v>4672</v>
      </c>
    </row>
    <row r="4023" spans="1:1" x14ac:dyDescent="0.25">
      <c r="A4023" t="s">
        <v>2502</v>
      </c>
    </row>
    <row r="4024" spans="1:1" x14ac:dyDescent="0.25">
      <c r="A4024" t="s">
        <v>4673</v>
      </c>
    </row>
    <row r="4025" spans="1:1" x14ac:dyDescent="0.25">
      <c r="A4025" t="s">
        <v>4674</v>
      </c>
    </row>
    <row r="4026" spans="1:1" x14ac:dyDescent="0.25">
      <c r="A4026" t="s">
        <v>4675</v>
      </c>
    </row>
    <row r="4027" spans="1:1" x14ac:dyDescent="0.25">
      <c r="A4027" t="s">
        <v>4676</v>
      </c>
    </row>
    <row r="4028" spans="1:1" x14ac:dyDescent="0.25">
      <c r="A4028" t="s">
        <v>4677</v>
      </c>
    </row>
    <row r="4029" spans="1:1" x14ac:dyDescent="0.25">
      <c r="A4029" t="s">
        <v>4678</v>
      </c>
    </row>
    <row r="4030" spans="1:1" x14ac:dyDescent="0.25">
      <c r="A4030" t="s">
        <v>4679</v>
      </c>
    </row>
    <row r="4031" spans="1:1" x14ac:dyDescent="0.25">
      <c r="A4031" t="s">
        <v>4680</v>
      </c>
    </row>
    <row r="4032" spans="1:1" x14ac:dyDescent="0.25">
      <c r="A4032" t="s">
        <v>4681</v>
      </c>
    </row>
    <row r="4033" spans="1:1" x14ac:dyDescent="0.25">
      <c r="A4033" t="s">
        <v>4682</v>
      </c>
    </row>
    <row r="4034" spans="1:1" x14ac:dyDescent="0.25">
      <c r="A4034" t="s">
        <v>4683</v>
      </c>
    </row>
    <row r="4035" spans="1:1" x14ac:dyDescent="0.25">
      <c r="A4035" t="s">
        <v>4684</v>
      </c>
    </row>
    <row r="4036" spans="1:1" x14ac:dyDescent="0.25">
      <c r="A4036" t="s">
        <v>4648</v>
      </c>
    </row>
    <row r="4037" spans="1:1" x14ac:dyDescent="0.25">
      <c r="A4037" t="s">
        <v>4685</v>
      </c>
    </row>
    <row r="4038" spans="1:1" x14ac:dyDescent="0.25">
      <c r="A4038" t="s">
        <v>4686</v>
      </c>
    </row>
    <row r="4039" spans="1:1" x14ac:dyDescent="0.25">
      <c r="A4039" t="s">
        <v>4687</v>
      </c>
    </row>
    <row r="4040" spans="1:1" x14ac:dyDescent="0.25">
      <c r="A4040" t="s">
        <v>4688</v>
      </c>
    </row>
    <row r="4041" spans="1:1" x14ac:dyDescent="0.25">
      <c r="A4041" t="s">
        <v>4689</v>
      </c>
    </row>
    <row r="4042" spans="1:1" x14ac:dyDescent="0.25">
      <c r="A4042" t="s">
        <v>4690</v>
      </c>
    </row>
    <row r="4043" spans="1:1" x14ac:dyDescent="0.25">
      <c r="A4043" t="s">
        <v>4691</v>
      </c>
    </row>
    <row r="4044" spans="1:1" x14ac:dyDescent="0.25">
      <c r="A4044" t="s">
        <v>4692</v>
      </c>
    </row>
    <row r="4045" spans="1:1" x14ac:dyDescent="0.25">
      <c r="A4045" t="s">
        <v>4693</v>
      </c>
    </row>
    <row r="4046" spans="1:1" x14ac:dyDescent="0.25">
      <c r="A4046" t="s">
        <v>4694</v>
      </c>
    </row>
    <row r="4047" spans="1:1" x14ac:dyDescent="0.25">
      <c r="A4047" t="s">
        <v>4695</v>
      </c>
    </row>
    <row r="4048" spans="1:1" x14ac:dyDescent="0.25">
      <c r="A4048" t="s">
        <v>4696</v>
      </c>
    </row>
    <row r="4049" spans="1:1" x14ac:dyDescent="0.25">
      <c r="A4049" t="s">
        <v>4697</v>
      </c>
    </row>
    <row r="4050" spans="1:1" x14ac:dyDescent="0.25">
      <c r="A4050" t="s">
        <v>4698</v>
      </c>
    </row>
    <row r="4051" spans="1:1" x14ac:dyDescent="0.25">
      <c r="A4051" t="s">
        <v>4699</v>
      </c>
    </row>
    <row r="4052" spans="1:1" x14ac:dyDescent="0.25">
      <c r="A4052" t="s">
        <v>4700</v>
      </c>
    </row>
    <row r="4054" spans="1:1" x14ac:dyDescent="0.25">
      <c r="A4054" t="s">
        <v>4701</v>
      </c>
    </row>
    <row r="4055" spans="1:1" x14ac:dyDescent="0.25">
      <c r="A4055" t="s">
        <v>4702</v>
      </c>
    </row>
    <row r="4056" spans="1:1" x14ac:dyDescent="0.25">
      <c r="A4056" t="s">
        <v>4703</v>
      </c>
    </row>
    <row r="4057" spans="1:1" x14ac:dyDescent="0.25">
      <c r="A4057" t="s">
        <v>4704</v>
      </c>
    </row>
    <row r="4058" spans="1:1" x14ac:dyDescent="0.25">
      <c r="A4058" t="s">
        <v>4705</v>
      </c>
    </row>
    <row r="4059" spans="1:1" x14ac:dyDescent="0.25">
      <c r="A4059" t="s">
        <v>4706</v>
      </c>
    </row>
    <row r="4061" spans="1:1" x14ac:dyDescent="0.25">
      <c r="A4061" t="s">
        <v>4707</v>
      </c>
    </row>
    <row r="4062" spans="1:1" x14ac:dyDescent="0.25">
      <c r="A4062" t="s">
        <v>4708</v>
      </c>
    </row>
    <row r="4063" spans="1:1" x14ac:dyDescent="0.25">
      <c r="A4063" t="s">
        <v>4709</v>
      </c>
    </row>
    <row r="4064" spans="1:1" x14ac:dyDescent="0.25">
      <c r="A4064" t="s">
        <v>4710</v>
      </c>
    </row>
    <row r="4065" spans="1:1" x14ac:dyDescent="0.25">
      <c r="A4065" t="s">
        <v>4711</v>
      </c>
    </row>
    <row r="4066" spans="1:1" x14ac:dyDescent="0.25">
      <c r="A4066" t="s">
        <v>4712</v>
      </c>
    </row>
    <row r="4067" spans="1:1" x14ac:dyDescent="0.25">
      <c r="A4067" t="s">
        <v>4713</v>
      </c>
    </row>
    <row r="4068" spans="1:1" x14ac:dyDescent="0.25">
      <c r="A4068" t="s">
        <v>4714</v>
      </c>
    </row>
    <row r="4069" spans="1:1" x14ac:dyDescent="0.25">
      <c r="A4069" t="s">
        <v>4715</v>
      </c>
    </row>
    <row r="4070" spans="1:1" x14ac:dyDescent="0.25">
      <c r="A4070" t="s">
        <v>4711</v>
      </c>
    </row>
    <row r="4071" spans="1:1" x14ac:dyDescent="0.25">
      <c r="A4071" t="s">
        <v>4712</v>
      </c>
    </row>
    <row r="4072" spans="1:1" x14ac:dyDescent="0.25">
      <c r="A4072" t="s">
        <v>4713</v>
      </c>
    </row>
    <row r="4073" spans="1:1" x14ac:dyDescent="0.25">
      <c r="A4073" t="s">
        <v>4716</v>
      </c>
    </row>
    <row r="4074" spans="1:1" x14ac:dyDescent="0.25">
      <c r="A4074" t="s">
        <v>4717</v>
      </c>
    </row>
    <row r="4076" spans="1:1" x14ac:dyDescent="0.25">
      <c r="A4076" t="s">
        <v>4718</v>
      </c>
    </row>
    <row r="4077" spans="1:1" x14ac:dyDescent="0.25">
      <c r="A4077" t="s">
        <v>4719</v>
      </c>
    </row>
    <row r="4078" spans="1:1" x14ac:dyDescent="0.25">
      <c r="A4078" t="s">
        <v>4720</v>
      </c>
    </row>
    <row r="4079" spans="1:1" x14ac:dyDescent="0.25">
      <c r="A4079" t="s">
        <v>4721</v>
      </c>
    </row>
    <row r="4080" spans="1:1" x14ac:dyDescent="0.25">
      <c r="A4080" t="s">
        <v>4722</v>
      </c>
    </row>
    <row r="4081" spans="1:1" x14ac:dyDescent="0.25">
      <c r="A4081" t="s">
        <v>1563</v>
      </c>
    </row>
    <row r="4082" spans="1:1" x14ac:dyDescent="0.25">
      <c r="A4082" t="s">
        <v>4723</v>
      </c>
    </row>
    <row r="4084" spans="1:1" x14ac:dyDescent="0.25">
      <c r="A4084" t="s">
        <v>4724</v>
      </c>
    </row>
    <row r="4085" spans="1:1" x14ac:dyDescent="0.25">
      <c r="A4085" t="s">
        <v>4725</v>
      </c>
    </row>
    <row r="4086" spans="1:1" x14ac:dyDescent="0.25">
      <c r="A4086" t="s">
        <v>4726</v>
      </c>
    </row>
    <row r="4087" spans="1:1" x14ac:dyDescent="0.25">
      <c r="A4087" t="s">
        <v>4727</v>
      </c>
    </row>
    <row r="4088" spans="1:1" x14ac:dyDescent="0.25">
      <c r="A4088" t="s">
        <v>4728</v>
      </c>
    </row>
    <row r="4089" spans="1:1" x14ac:dyDescent="0.25">
      <c r="A4089" t="s">
        <v>4729</v>
      </c>
    </row>
    <row r="4090" spans="1:1" x14ac:dyDescent="0.25">
      <c r="A4090" t="s">
        <v>4730</v>
      </c>
    </row>
    <row r="4091" spans="1:1" x14ac:dyDescent="0.25">
      <c r="A4091" t="s">
        <v>4731</v>
      </c>
    </row>
    <row r="4092" spans="1:1" x14ac:dyDescent="0.25">
      <c r="A4092" t="s">
        <v>4732</v>
      </c>
    </row>
    <row r="4093" spans="1:1" x14ac:dyDescent="0.25">
      <c r="A4093" t="s">
        <v>4733</v>
      </c>
    </row>
    <row r="4094" spans="1:1" x14ac:dyDescent="0.25">
      <c r="A4094" t="s">
        <v>4734</v>
      </c>
    </row>
    <row r="4095" spans="1:1" x14ac:dyDescent="0.25">
      <c r="A4095">
        <v>851995127006</v>
      </c>
    </row>
    <row r="4096" spans="1:1" x14ac:dyDescent="0.25">
      <c r="A4096" t="s">
        <v>4735</v>
      </c>
    </row>
    <row r="4098" spans="1:1" x14ac:dyDescent="0.25">
      <c r="A4098" t="s">
        <v>4736</v>
      </c>
    </row>
    <row r="4099" spans="1:1" x14ac:dyDescent="0.25">
      <c r="A4099" t="s">
        <v>4737</v>
      </c>
    </row>
    <row r="4100" spans="1:1" x14ac:dyDescent="0.25">
      <c r="A4100" t="s">
        <v>4738</v>
      </c>
    </row>
    <row r="4101" spans="1:1" x14ac:dyDescent="0.25">
      <c r="A4101" t="s">
        <v>4739</v>
      </c>
    </row>
    <row r="4102" spans="1:1" x14ac:dyDescent="0.25">
      <c r="A4102" t="s">
        <v>4740</v>
      </c>
    </row>
    <row r="4103" spans="1:1" x14ac:dyDescent="0.25">
      <c r="A4103" t="s">
        <v>4741</v>
      </c>
    </row>
    <row r="4105" spans="1:1" x14ac:dyDescent="0.25">
      <c r="A4105" t="s">
        <v>4742</v>
      </c>
    </row>
    <row r="4106" spans="1:1" x14ac:dyDescent="0.25">
      <c r="A4106" t="s">
        <v>4743</v>
      </c>
    </row>
    <row r="4107" spans="1:1" x14ac:dyDescent="0.25">
      <c r="A4107" t="s">
        <v>4744</v>
      </c>
    </row>
    <row r="4108" spans="1:1" x14ac:dyDescent="0.25">
      <c r="A4108" t="s">
        <v>4745</v>
      </c>
    </row>
    <row r="4109" spans="1:1" x14ac:dyDescent="0.25">
      <c r="A4109" t="s">
        <v>1463</v>
      </c>
    </row>
    <row r="4110" spans="1:1" x14ac:dyDescent="0.25">
      <c r="A4110" t="s">
        <v>4746</v>
      </c>
    </row>
    <row r="4111" spans="1:1" x14ac:dyDescent="0.25">
      <c r="A4111" t="s">
        <v>4747</v>
      </c>
    </row>
    <row r="4112" spans="1:1" x14ac:dyDescent="0.25">
      <c r="A4112" t="s">
        <v>4748</v>
      </c>
    </row>
    <row r="4113" spans="1:6" x14ac:dyDescent="0.25">
      <c r="A4113">
        <v>851929332817</v>
      </c>
    </row>
    <row r="4115" spans="1:6" x14ac:dyDescent="0.25">
      <c r="A4115" t="s">
        <v>1449</v>
      </c>
    </row>
    <row r="4116" spans="1:6" x14ac:dyDescent="0.25">
      <c r="A4116" t="s">
        <v>4749</v>
      </c>
    </row>
    <row r="4117" spans="1:6" x14ac:dyDescent="0.25">
      <c r="A4117" t="s">
        <v>4438</v>
      </c>
    </row>
    <row r="4118" spans="1:6" x14ac:dyDescent="0.25">
      <c r="A4118" t="s">
        <v>4750</v>
      </c>
    </row>
    <row r="4119" spans="1:6" x14ac:dyDescent="0.25">
      <c r="A4119" t="s">
        <v>4751</v>
      </c>
      <c r="B4119" t="s">
        <v>4752</v>
      </c>
      <c r="C4119" t="s">
        <v>4753</v>
      </c>
      <c r="D4119" t="s">
        <v>4754</v>
      </c>
      <c r="E4119" t="s">
        <v>4755</v>
      </c>
    </row>
    <row r="4120" spans="1:6" x14ac:dyDescent="0.25">
      <c r="A4120">
        <v>1</v>
      </c>
      <c r="B4120" t="s">
        <v>2171</v>
      </c>
      <c r="C4120">
        <v>443.34</v>
      </c>
      <c r="D4120" s="55">
        <v>43799</v>
      </c>
      <c r="E4120">
        <v>5</v>
      </c>
      <c r="F4120">
        <v>990</v>
      </c>
    </row>
    <row r="4121" spans="1:6" x14ac:dyDescent="0.25">
      <c r="A4121" t="s">
        <v>4756</v>
      </c>
    </row>
    <row r="4122" spans="1:6" x14ac:dyDescent="0.25">
      <c r="A4122" t="s">
        <v>3959</v>
      </c>
    </row>
    <row r="4123" spans="1:6" x14ac:dyDescent="0.25">
      <c r="A4123" t="s">
        <v>4585</v>
      </c>
    </row>
    <row r="4124" spans="1:6" x14ac:dyDescent="0.25">
      <c r="A4124" t="s">
        <v>4757</v>
      </c>
    </row>
    <row r="4125" spans="1:6" x14ac:dyDescent="0.25">
      <c r="A4125" t="s">
        <v>4758</v>
      </c>
    </row>
    <row r="4126" spans="1:6" x14ac:dyDescent="0.25">
      <c r="A4126" t="s">
        <v>4759</v>
      </c>
    </row>
    <row r="4127" spans="1:6" x14ac:dyDescent="0.25">
      <c r="A4127" t="s">
        <v>4760</v>
      </c>
    </row>
    <row r="4128" spans="1:6" x14ac:dyDescent="0.25">
      <c r="A4128" t="s">
        <v>4761</v>
      </c>
    </row>
    <row r="4129" spans="1:1" x14ac:dyDescent="0.25">
      <c r="A4129" t="s">
        <v>4572</v>
      </c>
    </row>
    <row r="4130" spans="1:1" x14ac:dyDescent="0.25">
      <c r="A4130" t="s">
        <v>4762</v>
      </c>
    </row>
    <row r="4131" spans="1:1" x14ac:dyDescent="0.25">
      <c r="A4131" t="s">
        <v>4763</v>
      </c>
    </row>
    <row r="4132" spans="1:1" x14ac:dyDescent="0.25">
      <c r="A4132" t="s">
        <v>4764</v>
      </c>
    </row>
    <row r="4133" spans="1:1" x14ac:dyDescent="0.25">
      <c r="A4133" t="s">
        <v>4765</v>
      </c>
    </row>
    <row r="4134" spans="1:1" x14ac:dyDescent="0.25">
      <c r="A4134" t="s">
        <v>4766</v>
      </c>
    </row>
    <row r="4135" spans="1:1" x14ac:dyDescent="0.25">
      <c r="A4135" t="s">
        <v>4767</v>
      </c>
    </row>
    <row r="4136" spans="1:1" x14ac:dyDescent="0.25">
      <c r="A4136" t="s">
        <v>4768</v>
      </c>
    </row>
    <row r="4137" spans="1:1" x14ac:dyDescent="0.25">
      <c r="A4137" t="s">
        <v>4769</v>
      </c>
    </row>
    <row r="4138" spans="1:1" x14ac:dyDescent="0.25">
      <c r="A4138" t="s">
        <v>4770</v>
      </c>
    </row>
    <row r="4139" spans="1:1" x14ac:dyDescent="0.25">
      <c r="A4139" t="s">
        <v>4771</v>
      </c>
    </row>
    <row r="4140" spans="1:1" x14ac:dyDescent="0.25">
      <c r="A4140" t="s">
        <v>4772</v>
      </c>
    </row>
    <row r="4141" spans="1:1" x14ac:dyDescent="0.25">
      <c r="A4141" t="s">
        <v>4773</v>
      </c>
    </row>
    <row r="4142" spans="1:1" x14ac:dyDescent="0.25">
      <c r="A4142" t="s">
        <v>4774</v>
      </c>
    </row>
    <row r="4143" spans="1:1" x14ac:dyDescent="0.25">
      <c r="A4143" t="s">
        <v>4775</v>
      </c>
    </row>
    <row r="4144" spans="1:1" x14ac:dyDescent="0.25">
      <c r="A4144" t="s">
        <v>4776</v>
      </c>
    </row>
    <row r="4145" spans="1:1" x14ac:dyDescent="0.25">
      <c r="A4145" t="s">
        <v>4777</v>
      </c>
    </row>
    <row r="4146" spans="1:1" x14ac:dyDescent="0.25">
      <c r="A4146" t="s">
        <v>4778</v>
      </c>
    </row>
    <row r="4147" spans="1:1" x14ac:dyDescent="0.25">
      <c r="A4147" t="s">
        <v>1463</v>
      </c>
    </row>
    <row r="4148" spans="1:1" x14ac:dyDescent="0.25">
      <c r="A4148" t="s">
        <v>4779</v>
      </c>
    </row>
    <row r="4149" spans="1:1" x14ac:dyDescent="0.25">
      <c r="A4149" t="s">
        <v>4780</v>
      </c>
    </row>
    <row r="4150" spans="1:1" x14ac:dyDescent="0.25">
      <c r="A4150" t="s">
        <v>4781</v>
      </c>
    </row>
    <row r="4151" spans="1:1" x14ac:dyDescent="0.25">
      <c r="A4151" t="s">
        <v>4782</v>
      </c>
    </row>
    <row r="4152" spans="1:1" x14ac:dyDescent="0.25">
      <c r="A4152" t="s">
        <v>4783</v>
      </c>
    </row>
    <row r="4153" spans="1:1" x14ac:dyDescent="0.25">
      <c r="A4153" t="s">
        <v>4784</v>
      </c>
    </row>
    <row r="4154" spans="1:1" x14ac:dyDescent="0.25">
      <c r="A4154" t="s">
        <v>4781</v>
      </c>
    </row>
    <row r="4155" spans="1:1" x14ac:dyDescent="0.25">
      <c r="A4155" t="s">
        <v>4785</v>
      </c>
    </row>
    <row r="4156" spans="1:1" x14ac:dyDescent="0.25">
      <c r="A4156" t="s">
        <v>4786</v>
      </c>
    </row>
    <row r="4157" spans="1:1" x14ac:dyDescent="0.25">
      <c r="A4157" t="s">
        <v>4787</v>
      </c>
    </row>
    <row r="4158" spans="1:1" x14ac:dyDescent="0.25">
      <c r="A4158" t="s">
        <v>4788</v>
      </c>
    </row>
    <row r="4159" spans="1:1" x14ac:dyDescent="0.25">
      <c r="A4159" t="s">
        <v>4789</v>
      </c>
    </row>
    <row r="4160" spans="1:1" x14ac:dyDescent="0.25">
      <c r="A4160" t="s">
        <v>4790</v>
      </c>
    </row>
    <row r="4161" spans="1:1" x14ac:dyDescent="0.25">
      <c r="A4161" t="s">
        <v>4791</v>
      </c>
    </row>
    <row r="4162" spans="1:1" x14ac:dyDescent="0.25">
      <c r="A4162" t="s">
        <v>4792</v>
      </c>
    </row>
    <row r="4163" spans="1:1" x14ac:dyDescent="0.25">
      <c r="A4163" t="s">
        <v>4793</v>
      </c>
    </row>
    <row r="4164" spans="1:1" x14ac:dyDescent="0.25">
      <c r="A4164">
        <v>996101118</v>
      </c>
    </row>
    <row r="4165" spans="1:1" x14ac:dyDescent="0.25">
      <c r="A4165" t="s">
        <v>4794</v>
      </c>
    </row>
    <row r="4166" spans="1:1" x14ac:dyDescent="0.25">
      <c r="A4166" t="s">
        <v>4795</v>
      </c>
    </row>
    <row r="4167" spans="1:1" x14ac:dyDescent="0.25">
      <c r="A4167" t="s">
        <v>4662</v>
      </c>
    </row>
    <row r="4168" spans="1:1" x14ac:dyDescent="0.25">
      <c r="A4168" t="s">
        <v>4796</v>
      </c>
    </row>
    <row r="4169" spans="1:1" x14ac:dyDescent="0.25">
      <c r="A4169" t="s">
        <v>4797</v>
      </c>
    </row>
    <row r="4171" spans="1:1" x14ac:dyDescent="0.25">
      <c r="A4171" t="s">
        <v>4798</v>
      </c>
    </row>
    <row r="4172" spans="1:1" x14ac:dyDescent="0.25">
      <c r="A4172" t="s">
        <v>4799</v>
      </c>
    </row>
    <row r="4173" spans="1:1" x14ac:dyDescent="0.25">
      <c r="A4173" t="s">
        <v>4800</v>
      </c>
    </row>
    <row r="4174" spans="1:1" x14ac:dyDescent="0.25">
      <c r="A4174" t="s">
        <v>4801</v>
      </c>
    </row>
    <row r="4176" spans="1:1" x14ac:dyDescent="0.25">
      <c r="A4176" t="s">
        <v>4802</v>
      </c>
    </row>
    <row r="4177" spans="1:1" x14ac:dyDescent="0.25">
      <c r="A4177" t="s">
        <v>4803</v>
      </c>
    </row>
    <row r="4178" spans="1:1" x14ac:dyDescent="0.25">
      <c r="A4178" t="s">
        <v>4804</v>
      </c>
    </row>
    <row r="4179" spans="1:1" x14ac:dyDescent="0.25">
      <c r="A4179" t="s">
        <v>4805</v>
      </c>
    </row>
    <row r="4180" spans="1:1" x14ac:dyDescent="0.25">
      <c r="A4180" t="s">
        <v>4806</v>
      </c>
    </row>
    <row r="4181" spans="1:1" x14ac:dyDescent="0.25">
      <c r="A4181" t="s">
        <v>4807</v>
      </c>
    </row>
    <row r="4182" spans="1:1" x14ac:dyDescent="0.25">
      <c r="A4182" t="s">
        <v>4808</v>
      </c>
    </row>
    <row r="4183" spans="1:1" x14ac:dyDescent="0.25">
      <c r="A4183" t="s">
        <v>4809</v>
      </c>
    </row>
    <row r="4184" spans="1:1" x14ac:dyDescent="0.25">
      <c r="A4184" t="s">
        <v>1463</v>
      </c>
    </row>
    <row r="4185" spans="1:1" x14ac:dyDescent="0.25">
      <c r="A4185" t="s">
        <v>4810</v>
      </c>
    </row>
    <row r="4186" spans="1:1" x14ac:dyDescent="0.25">
      <c r="A4186" t="s">
        <v>4602</v>
      </c>
    </row>
    <row r="4187" spans="1:1" x14ac:dyDescent="0.25">
      <c r="A4187" t="s">
        <v>4811</v>
      </c>
    </row>
    <row r="4188" spans="1:1" x14ac:dyDescent="0.25">
      <c r="A4188" t="s">
        <v>4601</v>
      </c>
    </row>
    <row r="4189" spans="1:1" x14ac:dyDescent="0.25">
      <c r="A4189" t="s">
        <v>4812</v>
      </c>
    </row>
    <row r="4191" spans="1:1" x14ac:dyDescent="0.25">
      <c r="A4191" t="s">
        <v>4813</v>
      </c>
    </row>
    <row r="4192" spans="1:1" x14ac:dyDescent="0.25">
      <c r="A4192" t="s">
        <v>4814</v>
      </c>
    </row>
    <row r="4193" spans="1:1" x14ac:dyDescent="0.25">
      <c r="A4193" t="s">
        <v>4815</v>
      </c>
    </row>
    <row r="4194" spans="1:1" x14ac:dyDescent="0.25">
      <c r="A4194" t="s">
        <v>4816</v>
      </c>
    </row>
    <row r="4195" spans="1:1" x14ac:dyDescent="0.25">
      <c r="A4195" t="s">
        <v>4817</v>
      </c>
    </row>
    <row r="4196" spans="1:1" x14ac:dyDescent="0.25">
      <c r="A4196" t="s">
        <v>4818</v>
      </c>
    </row>
    <row r="4197" spans="1:1" x14ac:dyDescent="0.25">
      <c r="A4197" t="s">
        <v>4819</v>
      </c>
    </row>
    <row r="4198" spans="1:1" x14ac:dyDescent="0.25">
      <c r="A4198" t="s">
        <v>4820</v>
      </c>
    </row>
    <row r="4199" spans="1:1" x14ac:dyDescent="0.25">
      <c r="A4199" t="s">
        <v>4821</v>
      </c>
    </row>
    <row r="4200" spans="1:1" x14ac:dyDescent="0.25">
      <c r="A4200" t="s">
        <v>4822</v>
      </c>
    </row>
    <row r="4201" spans="1:1" x14ac:dyDescent="0.25">
      <c r="A4201" t="s">
        <v>4823</v>
      </c>
    </row>
    <row r="4202" spans="1:1" x14ac:dyDescent="0.25">
      <c r="A4202" t="s">
        <v>4824</v>
      </c>
    </row>
    <row r="4203" spans="1:1" x14ac:dyDescent="0.25">
      <c r="A4203" t="s">
        <v>4825</v>
      </c>
    </row>
    <row r="4204" spans="1:1" x14ac:dyDescent="0.25">
      <c r="A4204" t="s">
        <v>4826</v>
      </c>
    </row>
    <row r="4205" spans="1:1" x14ac:dyDescent="0.25">
      <c r="A4205" t="s">
        <v>1465</v>
      </c>
    </row>
    <row r="4206" spans="1:1" x14ac:dyDescent="0.25">
      <c r="A4206" t="s">
        <v>4827</v>
      </c>
    </row>
    <row r="4207" spans="1:1" x14ac:dyDescent="0.25">
      <c r="A4207" t="s">
        <v>4828</v>
      </c>
    </row>
    <row r="4208" spans="1:1" x14ac:dyDescent="0.25">
      <c r="A4208" t="s">
        <v>4829</v>
      </c>
    </row>
    <row r="4209" spans="1:1" x14ac:dyDescent="0.25">
      <c r="A4209" t="s">
        <v>4830</v>
      </c>
    </row>
    <row r="4210" spans="1:1" x14ac:dyDescent="0.25">
      <c r="A4210" t="s">
        <v>4831</v>
      </c>
    </row>
    <row r="4211" spans="1:1" x14ac:dyDescent="0.25">
      <c r="A4211" t="s">
        <v>4832</v>
      </c>
    </row>
    <row r="4212" spans="1:1" x14ac:dyDescent="0.25">
      <c r="A4212" t="s">
        <v>4833</v>
      </c>
    </row>
    <row r="4213" spans="1:1" x14ac:dyDescent="0.25">
      <c r="A4213" t="s">
        <v>4834</v>
      </c>
    </row>
    <row r="4214" spans="1:1" x14ac:dyDescent="0.25">
      <c r="A4214" t="s">
        <v>4835</v>
      </c>
    </row>
    <row r="4215" spans="1:1" x14ac:dyDescent="0.25">
      <c r="A4215" t="s">
        <v>4836</v>
      </c>
    </row>
    <row r="4216" spans="1:1" x14ac:dyDescent="0.25">
      <c r="A4216" t="s">
        <v>4837</v>
      </c>
    </row>
    <row r="4217" spans="1:1" x14ac:dyDescent="0.25">
      <c r="A4217" t="s">
        <v>4838</v>
      </c>
    </row>
    <row r="4218" spans="1:1" x14ac:dyDescent="0.25">
      <c r="A4218" t="s">
        <v>1463</v>
      </c>
    </row>
    <row r="4219" spans="1:1" x14ac:dyDescent="0.25">
      <c r="A4219" t="s">
        <v>4839</v>
      </c>
    </row>
    <row r="4220" spans="1:1" x14ac:dyDescent="0.25">
      <c r="A4220" t="s">
        <v>4840</v>
      </c>
    </row>
    <row r="4221" spans="1:1" x14ac:dyDescent="0.25">
      <c r="A4221" t="s">
        <v>4841</v>
      </c>
    </row>
    <row r="4222" spans="1:1" x14ac:dyDescent="0.25">
      <c r="A4222" t="s">
        <v>4842</v>
      </c>
    </row>
    <row r="4223" spans="1:1" x14ac:dyDescent="0.25">
      <c r="A4223" t="s">
        <v>4843</v>
      </c>
    </row>
    <row r="4224" spans="1:1" x14ac:dyDescent="0.25">
      <c r="A4224" t="s">
        <v>4844</v>
      </c>
    </row>
    <row r="4225" spans="1:1" x14ac:dyDescent="0.25">
      <c r="A4225" t="s">
        <v>4845</v>
      </c>
    </row>
    <row r="4226" spans="1:1" x14ac:dyDescent="0.25">
      <c r="A4226" t="s">
        <v>4846</v>
      </c>
    </row>
    <row r="4227" spans="1:1" x14ac:dyDescent="0.25">
      <c r="A4227" t="s">
        <v>4847</v>
      </c>
    </row>
    <row r="4228" spans="1:1" x14ac:dyDescent="0.25">
      <c r="A4228" t="s">
        <v>4848</v>
      </c>
    </row>
    <row r="4229" spans="1:1" x14ac:dyDescent="0.25">
      <c r="A4229" t="s">
        <v>4849</v>
      </c>
    </row>
    <row r="4230" spans="1:1" x14ac:dyDescent="0.25">
      <c r="A4230" t="s">
        <v>4850</v>
      </c>
    </row>
    <row r="4231" spans="1:1" x14ac:dyDescent="0.25">
      <c r="A4231" t="s">
        <v>4851</v>
      </c>
    </row>
    <row r="4233" spans="1:1" x14ac:dyDescent="0.25">
      <c r="A4233" t="s">
        <v>4852</v>
      </c>
    </row>
    <row r="4234" spans="1:1" x14ac:dyDescent="0.25">
      <c r="A4234" t="s">
        <v>4853</v>
      </c>
    </row>
    <row r="4235" spans="1:1" x14ac:dyDescent="0.25">
      <c r="A4235" t="s">
        <v>4854</v>
      </c>
    </row>
    <row r="4236" spans="1:1" x14ac:dyDescent="0.25">
      <c r="A4236" t="s">
        <v>4855</v>
      </c>
    </row>
    <row r="4237" spans="1:1" x14ac:dyDescent="0.25">
      <c r="A4237" t="s">
        <v>4856</v>
      </c>
    </row>
    <row r="4238" spans="1:1" x14ac:dyDescent="0.25">
      <c r="A4238" t="s">
        <v>4857</v>
      </c>
    </row>
    <row r="4239" spans="1:1" x14ac:dyDescent="0.25">
      <c r="A4239" t="s">
        <v>4858</v>
      </c>
    </row>
    <row r="4240" spans="1:1" x14ac:dyDescent="0.25">
      <c r="A4240" t="s">
        <v>4859</v>
      </c>
    </row>
    <row r="4241" spans="1:2" x14ac:dyDescent="0.25">
      <c r="A4241" t="s">
        <v>4860</v>
      </c>
    </row>
    <row r="4242" spans="1:2" x14ac:dyDescent="0.25">
      <c r="A4242" t="s">
        <v>4861</v>
      </c>
    </row>
    <row r="4243" spans="1:2" x14ac:dyDescent="0.25">
      <c r="A4243" t="s">
        <v>4862</v>
      </c>
    </row>
    <row r="4244" spans="1:2" x14ac:dyDescent="0.25">
      <c r="A4244" t="s">
        <v>4863</v>
      </c>
    </row>
    <row r="4245" spans="1:2" x14ac:dyDescent="0.25">
      <c r="A4245" t="s">
        <v>4864</v>
      </c>
    </row>
    <row r="4246" spans="1:2" x14ac:dyDescent="0.25">
      <c r="A4246" t="s">
        <v>4865</v>
      </c>
    </row>
    <row r="4247" spans="1:2" x14ac:dyDescent="0.25">
      <c r="A4247" t="s">
        <v>4866</v>
      </c>
    </row>
    <row r="4248" spans="1:2" x14ac:dyDescent="0.25">
      <c r="A4248" t="s">
        <v>4867</v>
      </c>
    </row>
    <row r="4249" spans="1:2" x14ac:dyDescent="0.25">
      <c r="A4249" t="s">
        <v>4868</v>
      </c>
    </row>
    <row r="4250" spans="1:2" x14ac:dyDescent="0.25">
      <c r="A4250" t="s">
        <v>4869</v>
      </c>
    </row>
    <row r="4251" spans="1:2" x14ac:dyDescent="0.25">
      <c r="A4251" t="s">
        <v>4870</v>
      </c>
      <c r="B4251" t="s">
        <v>4871</v>
      </c>
    </row>
    <row r="4252" spans="1:2" x14ac:dyDescent="0.25">
      <c r="A4252" t="s">
        <v>4872</v>
      </c>
    </row>
    <row r="4253" spans="1:2" x14ac:dyDescent="0.25">
      <c r="A4253" t="s">
        <v>4873</v>
      </c>
    </row>
    <row r="4254" spans="1:2" x14ac:dyDescent="0.25">
      <c r="A4254" t="s">
        <v>4874</v>
      </c>
    </row>
    <row r="4255" spans="1:2" x14ac:dyDescent="0.25">
      <c r="A4255" t="s">
        <v>4875</v>
      </c>
    </row>
    <row r="4256" spans="1:2" x14ac:dyDescent="0.25">
      <c r="A4256" t="s">
        <v>4876</v>
      </c>
    </row>
    <row r="4257" spans="1:1" x14ac:dyDescent="0.25">
      <c r="A4257" t="s">
        <v>4877</v>
      </c>
    </row>
    <row r="4258" spans="1:1" x14ac:dyDescent="0.25">
      <c r="A4258" t="s">
        <v>4878</v>
      </c>
    </row>
    <row r="4259" spans="1:1" x14ac:dyDescent="0.25">
      <c r="A4259" t="s">
        <v>4879</v>
      </c>
    </row>
    <row r="4260" spans="1:1" x14ac:dyDescent="0.25">
      <c r="A4260" t="s">
        <v>4880</v>
      </c>
    </row>
    <row r="4261" spans="1:1" x14ac:dyDescent="0.25">
      <c r="A4261" t="s">
        <v>4881</v>
      </c>
    </row>
    <row r="4262" spans="1:1" x14ac:dyDescent="0.25">
      <c r="A4262" t="s">
        <v>4882</v>
      </c>
    </row>
    <row r="4263" spans="1:1" x14ac:dyDescent="0.25">
      <c r="A4263" t="s">
        <v>4883</v>
      </c>
    </row>
    <row r="4264" spans="1:1" x14ac:dyDescent="0.25">
      <c r="A4264" t="s">
        <v>4884</v>
      </c>
    </row>
    <row r="4265" spans="1:1" x14ac:dyDescent="0.25">
      <c r="A4265" t="s">
        <v>4885</v>
      </c>
    </row>
    <row r="4266" spans="1:1" x14ac:dyDescent="0.25">
      <c r="A4266" t="s">
        <v>1449</v>
      </c>
    </row>
    <row r="4267" spans="1:1" x14ac:dyDescent="0.25">
      <c r="A4267" t="s">
        <v>4886</v>
      </c>
    </row>
    <row r="4269" spans="1:1" x14ac:dyDescent="0.25">
      <c r="A4269" t="s">
        <v>4887</v>
      </c>
    </row>
    <row r="4270" spans="1:1" x14ac:dyDescent="0.25">
      <c r="A4270" t="s">
        <v>4888</v>
      </c>
    </row>
    <row r="4272" spans="1:1" x14ac:dyDescent="0.25">
      <c r="A4272" t="s">
        <v>4889</v>
      </c>
    </row>
    <row r="4273" spans="1:6" x14ac:dyDescent="0.25">
      <c r="A4273" t="s">
        <v>4890</v>
      </c>
    </row>
    <row r="4274" spans="1:6" x14ac:dyDescent="0.25">
      <c r="A4274" t="s">
        <v>4891</v>
      </c>
    </row>
    <row r="4275" spans="1:6" x14ac:dyDescent="0.25">
      <c r="A4275" t="s">
        <v>4892</v>
      </c>
    </row>
    <row r="4276" spans="1:6" x14ac:dyDescent="0.25">
      <c r="A4276" t="s">
        <v>4893</v>
      </c>
    </row>
    <row r="4277" spans="1:6" x14ac:dyDescent="0.25">
      <c r="A4277" t="s">
        <v>4894</v>
      </c>
    </row>
    <row r="4278" spans="1:6" x14ac:dyDescent="0.25">
      <c r="A4278" t="s">
        <v>4895</v>
      </c>
    </row>
    <row r="4279" spans="1:6" x14ac:dyDescent="0.25">
      <c r="A4279" t="s">
        <v>4896</v>
      </c>
    </row>
    <row r="4280" spans="1:6" x14ac:dyDescent="0.25">
      <c r="A4280" t="s">
        <v>4897</v>
      </c>
      <c r="B4280" t="s">
        <v>4751</v>
      </c>
      <c r="C4280" t="s">
        <v>4752</v>
      </c>
      <c r="D4280" t="s">
        <v>4753</v>
      </c>
      <c r="E4280" t="s">
        <v>4754</v>
      </c>
      <c r="F4280" t="s">
        <v>4755</v>
      </c>
    </row>
    <row r="4281" spans="1:6" x14ac:dyDescent="0.25">
      <c r="A4281" t="s">
        <v>4357</v>
      </c>
      <c r="B4281">
        <v>1807.29</v>
      </c>
      <c r="C4281" s="55">
        <v>43830</v>
      </c>
      <c r="D4281">
        <v>1</v>
      </c>
      <c r="E4281">
        <v>0</v>
      </c>
    </row>
    <row r="4285" spans="1:6" x14ac:dyDescent="0.25">
      <c r="A4285" t="s">
        <v>1966</v>
      </c>
    </row>
    <row r="4286" spans="1:6" x14ac:dyDescent="0.25">
      <c r="A4286" t="s">
        <v>4898</v>
      </c>
    </row>
    <row r="4287" spans="1:6" x14ac:dyDescent="0.25">
      <c r="A4287" t="s">
        <v>4899</v>
      </c>
    </row>
    <row r="4288" spans="1:6" x14ac:dyDescent="0.25">
      <c r="A4288" t="s">
        <v>4900</v>
      </c>
    </row>
    <row r="4289" spans="1:1" x14ac:dyDescent="0.25">
      <c r="A4289" t="s">
        <v>4901</v>
      </c>
    </row>
    <row r="4290" spans="1:1" x14ac:dyDescent="0.25">
      <c r="A4290" t="s">
        <v>4902</v>
      </c>
    </row>
    <row r="4291" spans="1:1" x14ac:dyDescent="0.25">
      <c r="A4291" t="s">
        <v>4903</v>
      </c>
    </row>
    <row r="4292" spans="1:1" x14ac:dyDescent="0.25">
      <c r="A4292" t="s">
        <v>4904</v>
      </c>
    </row>
    <row r="4293" spans="1:1" x14ac:dyDescent="0.25">
      <c r="A4293" t="s">
        <v>4905</v>
      </c>
    </row>
    <row r="4294" spans="1:1" x14ac:dyDescent="0.25">
      <c r="A4294" t="s">
        <v>4906</v>
      </c>
    </row>
    <row r="4295" spans="1:1" x14ac:dyDescent="0.25">
      <c r="A4295" t="s">
        <v>4907</v>
      </c>
    </row>
    <row r="4296" spans="1:1" x14ac:dyDescent="0.25">
      <c r="A4296" t="s">
        <v>4908</v>
      </c>
    </row>
    <row r="4297" spans="1:1" x14ac:dyDescent="0.25">
      <c r="A4297" t="s">
        <v>4909</v>
      </c>
    </row>
    <row r="4298" spans="1:1" x14ac:dyDescent="0.25">
      <c r="A4298" t="s">
        <v>4910</v>
      </c>
    </row>
    <row r="4299" spans="1:1" x14ac:dyDescent="0.25">
      <c r="A4299" t="s">
        <v>4905</v>
      </c>
    </row>
    <row r="4300" spans="1:1" x14ac:dyDescent="0.25">
      <c r="A4300" t="s">
        <v>4906</v>
      </c>
    </row>
    <row r="4301" spans="1:1" x14ac:dyDescent="0.25">
      <c r="A4301" t="s">
        <v>4907</v>
      </c>
    </row>
    <row r="4302" spans="1:1" x14ac:dyDescent="0.25">
      <c r="A4302" t="s">
        <v>4908</v>
      </c>
    </row>
    <row r="4303" spans="1:1" x14ac:dyDescent="0.25">
      <c r="A4303" t="s">
        <v>4911</v>
      </c>
    </row>
    <row r="4304" spans="1:1" x14ac:dyDescent="0.25">
      <c r="A4304" t="s">
        <v>4912</v>
      </c>
    </row>
    <row r="4305" spans="1:1" x14ac:dyDescent="0.25">
      <c r="A4305" t="s">
        <v>2991</v>
      </c>
    </row>
    <row r="4306" spans="1:1" x14ac:dyDescent="0.25">
      <c r="A4306" t="s">
        <v>2992</v>
      </c>
    </row>
    <row r="4307" spans="1:1" x14ac:dyDescent="0.25">
      <c r="A4307" t="s">
        <v>2993</v>
      </c>
    </row>
    <row r="4308" spans="1:1" x14ac:dyDescent="0.25">
      <c r="A4308" t="s">
        <v>2994</v>
      </c>
    </row>
    <row r="4309" spans="1:1" x14ac:dyDescent="0.25">
      <c r="A4309" t="s">
        <v>2995</v>
      </c>
    </row>
    <row r="4310" spans="1:1" x14ac:dyDescent="0.25">
      <c r="A4310" t="s">
        <v>4913</v>
      </c>
    </row>
    <row r="4311" spans="1:1" x14ac:dyDescent="0.25">
      <c r="A4311" t="s">
        <v>2991</v>
      </c>
    </row>
    <row r="4312" spans="1:1" x14ac:dyDescent="0.25">
      <c r="A4312" t="s">
        <v>2992</v>
      </c>
    </row>
    <row r="4313" spans="1:1" x14ac:dyDescent="0.25">
      <c r="A4313" t="s">
        <v>2993</v>
      </c>
    </row>
    <row r="4314" spans="1:1" x14ac:dyDescent="0.25">
      <c r="A4314" t="s">
        <v>2994</v>
      </c>
    </row>
    <row r="4315" spans="1:1" x14ac:dyDescent="0.25">
      <c r="A4315" t="s">
        <v>2995</v>
      </c>
    </row>
    <row r="4316" spans="1:1" x14ac:dyDescent="0.25">
      <c r="A4316" t="s">
        <v>4913</v>
      </c>
    </row>
    <row r="4317" spans="1:1" x14ac:dyDescent="0.25">
      <c r="A4317" t="s">
        <v>4914</v>
      </c>
    </row>
    <row r="4318" spans="1:1" x14ac:dyDescent="0.25">
      <c r="A4318" t="s">
        <v>4915</v>
      </c>
    </row>
    <row r="4319" spans="1:1" x14ac:dyDescent="0.25">
      <c r="A4319" t="s">
        <v>4916</v>
      </c>
    </row>
    <row r="4320" spans="1:1" x14ac:dyDescent="0.25">
      <c r="A4320" t="s">
        <v>4917</v>
      </c>
    </row>
    <row r="4321" spans="1:1" x14ac:dyDescent="0.25">
      <c r="A4321" t="s">
        <v>4918</v>
      </c>
    </row>
    <row r="4322" spans="1:1" x14ac:dyDescent="0.25">
      <c r="A4322" t="s">
        <v>4919</v>
      </c>
    </row>
    <row r="4323" spans="1:1" x14ac:dyDescent="0.25">
      <c r="A4323" t="s">
        <v>4920</v>
      </c>
    </row>
    <row r="4325" spans="1:1" x14ac:dyDescent="0.25">
      <c r="A4325" t="s">
        <v>4921</v>
      </c>
    </row>
    <row r="4326" spans="1:1" x14ac:dyDescent="0.25">
      <c r="A4326" t="s">
        <v>4922</v>
      </c>
    </row>
    <row r="4327" spans="1:1" x14ac:dyDescent="0.25">
      <c r="A4327" t="s">
        <v>4923</v>
      </c>
    </row>
    <row r="4328" spans="1:1" x14ac:dyDescent="0.25">
      <c r="A4328" t="s">
        <v>4924</v>
      </c>
    </row>
    <row r="4329" spans="1:1" x14ac:dyDescent="0.25">
      <c r="A4329" t="s">
        <v>4925</v>
      </c>
    </row>
    <row r="4330" spans="1:1" x14ac:dyDescent="0.25">
      <c r="A4330" t="s">
        <v>4926</v>
      </c>
    </row>
    <row r="4331" spans="1:1" x14ac:dyDescent="0.25">
      <c r="A4331" t="s">
        <v>4927</v>
      </c>
    </row>
    <row r="4332" spans="1:1" x14ac:dyDescent="0.25">
      <c r="A4332" t="s">
        <v>4928</v>
      </c>
    </row>
    <row r="4333" spans="1:1" x14ac:dyDescent="0.25">
      <c r="A4333" t="s">
        <v>2312</v>
      </c>
    </row>
    <row r="4334" spans="1:1" x14ac:dyDescent="0.25">
      <c r="A4334" t="s">
        <v>4929</v>
      </c>
    </row>
    <row r="4335" spans="1:1" x14ac:dyDescent="0.25">
      <c r="A4335" t="s">
        <v>4930</v>
      </c>
    </row>
    <row r="4336" spans="1:1" x14ac:dyDescent="0.25">
      <c r="A4336" t="s">
        <v>4931</v>
      </c>
    </row>
    <row r="4338" spans="1:1" x14ac:dyDescent="0.25">
      <c r="A4338" t="s">
        <v>4932</v>
      </c>
    </row>
    <row r="4339" spans="1:1" x14ac:dyDescent="0.25">
      <c r="A4339" t="s">
        <v>4933</v>
      </c>
    </row>
    <row r="4340" spans="1:1" x14ac:dyDescent="0.25">
      <c r="A4340" t="s">
        <v>4934</v>
      </c>
    </row>
    <row r="4341" spans="1:1" x14ac:dyDescent="0.25">
      <c r="A4341" t="s">
        <v>4935</v>
      </c>
    </row>
    <row r="4342" spans="1:1" x14ac:dyDescent="0.25">
      <c r="A4342" t="s">
        <v>4932</v>
      </c>
    </row>
    <row r="4343" spans="1:1" x14ac:dyDescent="0.25">
      <c r="A4343" t="s">
        <v>4933</v>
      </c>
    </row>
    <row r="4344" spans="1:1" x14ac:dyDescent="0.25">
      <c r="A4344" t="s">
        <v>4936</v>
      </c>
    </row>
    <row r="4345" spans="1:1" x14ac:dyDescent="0.25">
      <c r="A4345" t="s">
        <v>4935</v>
      </c>
    </row>
    <row r="4346" spans="1:1" x14ac:dyDescent="0.25">
      <c r="A4346" t="s">
        <v>4937</v>
      </c>
    </row>
    <row r="4347" spans="1:1" x14ac:dyDescent="0.25">
      <c r="A4347" t="s">
        <v>4938</v>
      </c>
    </row>
    <row r="4348" spans="1:1" x14ac:dyDescent="0.25">
      <c r="A4348" t="s">
        <v>4939</v>
      </c>
    </row>
    <row r="4349" spans="1:1" x14ac:dyDescent="0.25">
      <c r="A4349" t="s">
        <v>4940</v>
      </c>
    </row>
    <row r="4350" spans="1:1" x14ac:dyDescent="0.25">
      <c r="A4350" t="s">
        <v>4941</v>
      </c>
    </row>
    <row r="4351" spans="1:1" x14ac:dyDescent="0.25">
      <c r="A4351" t="s">
        <v>4942</v>
      </c>
    </row>
    <row r="4352" spans="1:1" x14ac:dyDescent="0.25">
      <c r="A4352">
        <v>964846715</v>
      </c>
    </row>
    <row r="4353" spans="1:5" x14ac:dyDescent="0.25">
      <c r="A4353" t="s">
        <v>4943</v>
      </c>
    </row>
    <row r="4354" spans="1:5" x14ac:dyDescent="0.25">
      <c r="A4354" t="s">
        <v>4944</v>
      </c>
    </row>
    <row r="4355" spans="1:5" x14ac:dyDescent="0.25">
      <c r="A4355" t="s">
        <v>4516</v>
      </c>
    </row>
    <row r="4356" spans="1:5" x14ac:dyDescent="0.25">
      <c r="A4356" t="s">
        <v>4945</v>
      </c>
      <c r="B4356" t="s">
        <v>4946</v>
      </c>
      <c r="C4356">
        <v>572.91999999999996</v>
      </c>
      <c r="D4356" t="s">
        <v>3428</v>
      </c>
      <c r="E4356">
        <v>802</v>
      </c>
    </row>
    <row r="4357" spans="1:5" x14ac:dyDescent="0.25">
      <c r="A4357" t="s">
        <v>4947</v>
      </c>
      <c r="B4357" t="s">
        <v>4946</v>
      </c>
      <c r="C4357">
        <v>1400.32</v>
      </c>
      <c r="D4357" t="s">
        <v>3428</v>
      </c>
      <c r="E4357">
        <v>681</v>
      </c>
    </row>
    <row r="4358" spans="1:5" x14ac:dyDescent="0.25">
      <c r="A4358" t="s">
        <v>4948</v>
      </c>
      <c r="B4358" t="s">
        <v>4946</v>
      </c>
      <c r="C4358">
        <v>921.42</v>
      </c>
      <c r="D4358" t="s">
        <v>3428</v>
      </c>
      <c r="E4358">
        <v>821</v>
      </c>
    </row>
    <row r="4359" spans="1:5" x14ac:dyDescent="0.25">
      <c r="A4359" t="s">
        <v>4949</v>
      </c>
    </row>
    <row r="4360" spans="1:5" x14ac:dyDescent="0.25">
      <c r="A4360" t="s">
        <v>4941</v>
      </c>
    </row>
    <row r="4361" spans="1:5" x14ac:dyDescent="0.25">
      <c r="A4361" t="s">
        <v>4950</v>
      </c>
    </row>
    <row r="4362" spans="1:5" x14ac:dyDescent="0.25">
      <c r="A4362" t="s">
        <v>4951</v>
      </c>
    </row>
    <row r="4363" spans="1:5" x14ac:dyDescent="0.25">
      <c r="A4363" t="s">
        <v>1982</v>
      </c>
    </row>
    <row r="4364" spans="1:5" x14ac:dyDescent="0.25">
      <c r="A4364" t="s">
        <v>4952</v>
      </c>
    </row>
    <row r="4365" spans="1:5" x14ac:dyDescent="0.25">
      <c r="A4365" t="s">
        <v>4953</v>
      </c>
    </row>
    <row r="4366" spans="1:5" x14ac:dyDescent="0.25">
      <c r="A4366" t="s">
        <v>4954</v>
      </c>
    </row>
    <row r="4367" spans="1:5" x14ac:dyDescent="0.25">
      <c r="A4367" t="s">
        <v>1585</v>
      </c>
    </row>
    <row r="4368" spans="1:5" x14ac:dyDescent="0.25">
      <c r="A4368" t="s">
        <v>4955</v>
      </c>
    </row>
    <row r="4369" spans="1:1" x14ac:dyDescent="0.25">
      <c r="A4369" t="s">
        <v>4956</v>
      </c>
    </row>
    <row r="4370" spans="1:1" x14ac:dyDescent="0.25">
      <c r="A4370" t="s">
        <v>4957</v>
      </c>
    </row>
    <row r="4371" spans="1:1" x14ac:dyDescent="0.25">
      <c r="A4371" t="s">
        <v>4958</v>
      </c>
    </row>
    <row r="4372" spans="1:1" x14ac:dyDescent="0.25">
      <c r="A4372" t="s">
        <v>4959</v>
      </c>
    </row>
    <row r="4373" spans="1:1" x14ac:dyDescent="0.25">
      <c r="A4373" t="s">
        <v>2844</v>
      </c>
    </row>
    <row r="4374" spans="1:1" x14ac:dyDescent="0.25">
      <c r="A4374" t="s">
        <v>1473</v>
      </c>
    </row>
    <row r="4375" spans="1:1" x14ac:dyDescent="0.25">
      <c r="A4375" t="s">
        <v>4960</v>
      </c>
    </row>
    <row r="4376" spans="1:1" x14ac:dyDescent="0.25">
      <c r="A4376" t="s">
        <v>4961</v>
      </c>
    </row>
    <row r="4377" spans="1:1" x14ac:dyDescent="0.25">
      <c r="A4377" t="s">
        <v>4962</v>
      </c>
    </row>
    <row r="4378" spans="1:1" x14ac:dyDescent="0.25">
      <c r="A4378" t="s">
        <v>4963</v>
      </c>
    </row>
    <row r="4379" spans="1:1" x14ac:dyDescent="0.25">
      <c r="A4379" t="s">
        <v>4964</v>
      </c>
    </row>
    <row r="4380" spans="1:1" x14ac:dyDescent="0.25">
      <c r="A4380" t="s">
        <v>4572</v>
      </c>
    </row>
    <row r="4381" spans="1:1" x14ac:dyDescent="0.25">
      <c r="A4381" t="s">
        <v>4965</v>
      </c>
    </row>
    <row r="4382" spans="1:1" x14ac:dyDescent="0.25">
      <c r="A4382" t="s">
        <v>4966</v>
      </c>
    </row>
    <row r="4383" spans="1:1" x14ac:dyDescent="0.25">
      <c r="A4383" t="s">
        <v>4967</v>
      </c>
    </row>
    <row r="4384" spans="1:1" x14ac:dyDescent="0.25">
      <c r="A4384" t="s">
        <v>4968</v>
      </c>
    </row>
    <row r="4385" spans="1:1" x14ac:dyDescent="0.25">
      <c r="A4385" t="s">
        <v>4969</v>
      </c>
    </row>
    <row r="4386" spans="1:1" x14ac:dyDescent="0.25">
      <c r="A4386" t="s">
        <v>4970</v>
      </c>
    </row>
    <row r="4387" spans="1:1" x14ac:dyDescent="0.25">
      <c r="A4387" t="s">
        <v>4971</v>
      </c>
    </row>
    <row r="4388" spans="1:1" x14ac:dyDescent="0.25">
      <c r="A4388" t="s">
        <v>4972</v>
      </c>
    </row>
    <row r="4389" spans="1:1" x14ac:dyDescent="0.25">
      <c r="A4389" t="s">
        <v>4973</v>
      </c>
    </row>
    <row r="4390" spans="1:1" x14ac:dyDescent="0.25">
      <c r="A4390" t="s">
        <v>4974</v>
      </c>
    </row>
    <row r="4391" spans="1:1" x14ac:dyDescent="0.25">
      <c r="A4391" t="s">
        <v>4975</v>
      </c>
    </row>
    <row r="4392" spans="1:1" x14ac:dyDescent="0.25">
      <c r="A4392" t="s">
        <v>4976</v>
      </c>
    </row>
    <row r="4393" spans="1:1" x14ac:dyDescent="0.25">
      <c r="A4393" t="s">
        <v>4977</v>
      </c>
    </row>
    <row r="4394" spans="1:1" x14ac:dyDescent="0.25">
      <c r="A4394" t="s">
        <v>4978</v>
      </c>
    </row>
    <row r="4395" spans="1:1" x14ac:dyDescent="0.25">
      <c r="A4395" t="s">
        <v>4979</v>
      </c>
    </row>
    <row r="4396" spans="1:1" x14ac:dyDescent="0.25">
      <c r="A4396" t="s">
        <v>4980</v>
      </c>
    </row>
    <row r="4397" spans="1:1" x14ac:dyDescent="0.25">
      <c r="A4397" t="s">
        <v>4981</v>
      </c>
    </row>
    <row r="4399" spans="1:1" x14ac:dyDescent="0.25">
      <c r="A4399" t="s">
        <v>4982</v>
      </c>
    </row>
    <row r="4400" spans="1:1" x14ac:dyDescent="0.25">
      <c r="A4400" t="s">
        <v>4983</v>
      </c>
    </row>
    <row r="4401" spans="1:1" x14ac:dyDescent="0.25">
      <c r="A4401" t="s">
        <v>4984</v>
      </c>
    </row>
    <row r="4402" spans="1:1" x14ac:dyDescent="0.25">
      <c r="A4402" t="s">
        <v>4985</v>
      </c>
    </row>
    <row r="4403" spans="1:1" x14ac:dyDescent="0.25">
      <c r="A4403" t="s">
        <v>4986</v>
      </c>
    </row>
    <row r="4404" spans="1:1" x14ac:dyDescent="0.25">
      <c r="A4404" t="s">
        <v>4987</v>
      </c>
    </row>
    <row r="4405" spans="1:1" x14ac:dyDescent="0.25">
      <c r="A4405" t="s">
        <v>4988</v>
      </c>
    </row>
    <row r="4406" spans="1:1" x14ac:dyDescent="0.25">
      <c r="A4406" t="s">
        <v>4989</v>
      </c>
    </row>
    <row r="4407" spans="1:1" x14ac:dyDescent="0.25">
      <c r="A4407" t="s">
        <v>4990</v>
      </c>
    </row>
    <row r="4408" spans="1:1" x14ac:dyDescent="0.25">
      <c r="A4408" t="s">
        <v>4991</v>
      </c>
    </row>
    <row r="4409" spans="1:1" x14ac:dyDescent="0.25">
      <c r="A4409" t="s">
        <v>4992</v>
      </c>
    </row>
    <row r="4410" spans="1:1" x14ac:dyDescent="0.25">
      <c r="A4410" t="s">
        <v>4993</v>
      </c>
    </row>
    <row r="4411" spans="1:1" x14ac:dyDescent="0.25">
      <c r="A4411" t="s">
        <v>4994</v>
      </c>
    </row>
    <row r="4412" spans="1:1" x14ac:dyDescent="0.25">
      <c r="A4412" t="s">
        <v>4995</v>
      </c>
    </row>
    <row r="4413" spans="1:1" x14ac:dyDescent="0.25">
      <c r="A4413" t="s">
        <v>4996</v>
      </c>
    </row>
    <row r="4414" spans="1:1" x14ac:dyDescent="0.25">
      <c r="A4414" t="s">
        <v>4997</v>
      </c>
    </row>
    <row r="4415" spans="1:1" x14ac:dyDescent="0.25">
      <c r="A4415" t="s">
        <v>4998</v>
      </c>
    </row>
    <row r="4416" spans="1:1" x14ac:dyDescent="0.25">
      <c r="A4416" t="s">
        <v>4999</v>
      </c>
    </row>
    <row r="4417" spans="1:1" x14ac:dyDescent="0.25">
      <c r="A4417" t="s">
        <v>5000</v>
      </c>
    </row>
    <row r="4418" spans="1:1" x14ac:dyDescent="0.25">
      <c r="A4418" t="s">
        <v>5001</v>
      </c>
    </row>
    <row r="4419" spans="1:1" x14ac:dyDescent="0.25">
      <c r="A4419" t="s">
        <v>5002</v>
      </c>
    </row>
    <row r="4420" spans="1:1" x14ac:dyDescent="0.25">
      <c r="A4420" t="s">
        <v>5003</v>
      </c>
    </row>
    <row r="4421" spans="1:1" x14ac:dyDescent="0.25">
      <c r="A4421" t="s">
        <v>5004</v>
      </c>
    </row>
    <row r="4423" spans="1:1" x14ac:dyDescent="0.25">
      <c r="A4423" t="s">
        <v>5005</v>
      </c>
    </row>
    <row r="4424" spans="1:1" x14ac:dyDescent="0.25">
      <c r="A4424" t="s">
        <v>5006</v>
      </c>
    </row>
    <row r="4425" spans="1:1" x14ac:dyDescent="0.25">
      <c r="A4425" t="s">
        <v>5007</v>
      </c>
    </row>
    <row r="4426" spans="1:1" x14ac:dyDescent="0.25">
      <c r="A4426" t="s">
        <v>5008</v>
      </c>
    </row>
    <row r="4427" spans="1:1" x14ac:dyDescent="0.25">
      <c r="A4427" t="s">
        <v>5009</v>
      </c>
    </row>
    <row r="4428" spans="1:1" x14ac:dyDescent="0.25">
      <c r="A4428" t="s">
        <v>5010</v>
      </c>
    </row>
    <row r="4429" spans="1:1" x14ac:dyDescent="0.25">
      <c r="A4429" t="s">
        <v>5011</v>
      </c>
    </row>
    <row r="4430" spans="1:1" x14ac:dyDescent="0.25">
      <c r="A4430" t="s">
        <v>5012</v>
      </c>
    </row>
    <row r="4431" spans="1:1" x14ac:dyDescent="0.25">
      <c r="A4431" t="s">
        <v>5013</v>
      </c>
    </row>
    <row r="4433" spans="1:1" x14ac:dyDescent="0.25">
      <c r="A4433" t="s">
        <v>5014</v>
      </c>
    </row>
    <row r="4434" spans="1:1" x14ac:dyDescent="0.25">
      <c r="A4434" t="s">
        <v>5015</v>
      </c>
    </row>
    <row r="4435" spans="1:1" x14ac:dyDescent="0.25">
      <c r="A4435" t="s">
        <v>5016</v>
      </c>
    </row>
    <row r="4436" spans="1:1" x14ac:dyDescent="0.25">
      <c r="A4436" t="s">
        <v>5017</v>
      </c>
    </row>
    <row r="4437" spans="1:1" x14ac:dyDescent="0.25">
      <c r="A4437" t="s">
        <v>5018</v>
      </c>
    </row>
    <row r="4438" spans="1:1" x14ac:dyDescent="0.25">
      <c r="A4438" t="s">
        <v>4975</v>
      </c>
    </row>
    <row r="4439" spans="1:1" x14ac:dyDescent="0.25">
      <c r="A4439" t="s">
        <v>5019</v>
      </c>
    </row>
    <row r="4440" spans="1:1" x14ac:dyDescent="0.25">
      <c r="A4440" t="s">
        <v>5020</v>
      </c>
    </row>
    <row r="4441" spans="1:1" x14ac:dyDescent="0.25">
      <c r="A4441" t="s">
        <v>5021</v>
      </c>
    </row>
    <row r="4442" spans="1:1" x14ac:dyDescent="0.25">
      <c r="A4442" t="s">
        <v>5022</v>
      </c>
    </row>
    <row r="4443" spans="1:1" x14ac:dyDescent="0.25">
      <c r="A4443" t="s">
        <v>5023</v>
      </c>
    </row>
    <row r="4445" spans="1:1" x14ac:dyDescent="0.25">
      <c r="A4445" t="s">
        <v>5024</v>
      </c>
    </row>
    <row r="4447" spans="1:1" x14ac:dyDescent="0.25">
      <c r="A4447" t="s">
        <v>1463</v>
      </c>
    </row>
    <row r="4448" spans="1:1" x14ac:dyDescent="0.25">
      <c r="A4448" t="s">
        <v>5025</v>
      </c>
    </row>
    <row r="4449" spans="1:1" x14ac:dyDescent="0.25">
      <c r="A4449" t="s">
        <v>5026</v>
      </c>
    </row>
    <row r="4450" spans="1:1" x14ac:dyDescent="0.25">
      <c r="A4450" t="s">
        <v>5027</v>
      </c>
    </row>
    <row r="4451" spans="1:1" x14ac:dyDescent="0.25">
      <c r="A4451" t="s">
        <v>5028</v>
      </c>
    </row>
    <row r="4452" spans="1:1" x14ac:dyDescent="0.25">
      <c r="A4452" t="s">
        <v>5029</v>
      </c>
    </row>
    <row r="4454" spans="1:1" x14ac:dyDescent="0.25">
      <c r="A4454" t="s">
        <v>5030</v>
      </c>
    </row>
    <row r="4455" spans="1:1" x14ac:dyDescent="0.25">
      <c r="A4455" t="s">
        <v>5031</v>
      </c>
    </row>
    <row r="4456" spans="1:1" x14ac:dyDescent="0.25">
      <c r="A4456" t="s">
        <v>5032</v>
      </c>
    </row>
    <row r="4457" spans="1:1" x14ac:dyDescent="0.25">
      <c r="A4457" t="s">
        <v>5033</v>
      </c>
    </row>
    <row r="4458" spans="1:1" x14ac:dyDescent="0.25">
      <c r="A4458" t="s">
        <v>2685</v>
      </c>
    </row>
    <row r="4459" spans="1:1" x14ac:dyDescent="0.25">
      <c r="A4459" t="s">
        <v>5034</v>
      </c>
    </row>
    <row r="4460" spans="1:1" x14ac:dyDescent="0.25">
      <c r="A4460" t="s">
        <v>5035</v>
      </c>
    </row>
    <row r="4461" spans="1:1" x14ac:dyDescent="0.25">
      <c r="A4461" t="s">
        <v>5036</v>
      </c>
    </row>
    <row r="4462" spans="1:1" x14ac:dyDescent="0.25">
      <c r="A4462" t="s">
        <v>5037</v>
      </c>
    </row>
    <row r="4464" spans="1:1" x14ac:dyDescent="0.25">
      <c r="A4464" t="s">
        <v>5038</v>
      </c>
    </row>
    <row r="4465" spans="1:1" x14ac:dyDescent="0.25">
      <c r="A4465" t="s">
        <v>5039</v>
      </c>
    </row>
    <row r="4466" spans="1:1" x14ac:dyDescent="0.25">
      <c r="A4466" t="s">
        <v>5040</v>
      </c>
    </row>
    <row r="4467" spans="1:1" x14ac:dyDescent="0.25">
      <c r="A4467" t="s">
        <v>5041</v>
      </c>
    </row>
    <row r="4468" spans="1:1" x14ac:dyDescent="0.25">
      <c r="A4468" t="s">
        <v>5042</v>
      </c>
    </row>
    <row r="4469" spans="1:1" x14ac:dyDescent="0.25">
      <c r="A4469" t="s">
        <v>5043</v>
      </c>
    </row>
    <row r="4470" spans="1:1" x14ac:dyDescent="0.25">
      <c r="A4470" t="s">
        <v>5044</v>
      </c>
    </row>
    <row r="4471" spans="1:1" x14ac:dyDescent="0.25">
      <c r="A4471" t="s">
        <v>5045</v>
      </c>
    </row>
    <row r="4472" spans="1:1" x14ac:dyDescent="0.25">
      <c r="A4472" t="s">
        <v>5046</v>
      </c>
    </row>
    <row r="4473" spans="1:1" x14ac:dyDescent="0.25">
      <c r="A4473" t="s">
        <v>5047</v>
      </c>
    </row>
    <row r="4474" spans="1:1" x14ac:dyDescent="0.25">
      <c r="A4474" t="s">
        <v>5048</v>
      </c>
    </row>
    <row r="4475" spans="1:1" x14ac:dyDescent="0.25">
      <c r="A4475" t="s">
        <v>5049</v>
      </c>
    </row>
    <row r="4476" spans="1:1" x14ac:dyDescent="0.25">
      <c r="A4476" t="s">
        <v>5050</v>
      </c>
    </row>
    <row r="4477" spans="1:1" x14ac:dyDescent="0.25">
      <c r="A4477" t="s">
        <v>5051</v>
      </c>
    </row>
    <row r="4478" spans="1:1" x14ac:dyDescent="0.25">
      <c r="A4478" t="s">
        <v>5052</v>
      </c>
    </row>
    <row r="4479" spans="1:1" x14ac:dyDescent="0.25">
      <c r="A4479" t="s">
        <v>5053</v>
      </c>
    </row>
    <row r="4480" spans="1:1" x14ac:dyDescent="0.25">
      <c r="A4480" t="s">
        <v>5054</v>
      </c>
    </row>
    <row r="4481" spans="1:1" x14ac:dyDescent="0.25">
      <c r="A4481" t="s">
        <v>5055</v>
      </c>
    </row>
    <row r="4482" spans="1:1" x14ac:dyDescent="0.25">
      <c r="A4482" t="s">
        <v>5056</v>
      </c>
    </row>
    <row r="4483" spans="1:1" x14ac:dyDescent="0.25">
      <c r="A4483" t="s">
        <v>5057</v>
      </c>
    </row>
    <row r="4484" spans="1:1" x14ac:dyDescent="0.25">
      <c r="A4484" t="s">
        <v>5058</v>
      </c>
    </row>
    <row r="4485" spans="1:1" x14ac:dyDescent="0.25">
      <c r="A4485" t="s">
        <v>5059</v>
      </c>
    </row>
    <row r="4486" spans="1:1" x14ac:dyDescent="0.25">
      <c r="A4486" t="s">
        <v>3879</v>
      </c>
    </row>
    <row r="4487" spans="1:1" x14ac:dyDescent="0.25">
      <c r="A4487" t="s">
        <v>5060</v>
      </c>
    </row>
    <row r="4488" spans="1:1" x14ac:dyDescent="0.25">
      <c r="A4488" t="s">
        <v>5061</v>
      </c>
    </row>
    <row r="4489" spans="1:1" x14ac:dyDescent="0.25">
      <c r="A4489" t="s">
        <v>4128</v>
      </c>
    </row>
    <row r="4490" spans="1:1" x14ac:dyDescent="0.25">
      <c r="A4490" t="s">
        <v>5062</v>
      </c>
    </row>
    <row r="4491" spans="1:1" x14ac:dyDescent="0.25">
      <c r="A4491" t="s">
        <v>5063</v>
      </c>
    </row>
    <row r="4492" spans="1:1" x14ac:dyDescent="0.25">
      <c r="A4492" t="s">
        <v>3879</v>
      </c>
    </row>
    <row r="4493" spans="1:1" x14ac:dyDescent="0.25">
      <c r="A4493" t="s">
        <v>4942</v>
      </c>
    </row>
    <row r="4494" spans="1:1" x14ac:dyDescent="0.25">
      <c r="A4494">
        <v>41614050</v>
      </c>
    </row>
    <row r="4495" spans="1:1" x14ac:dyDescent="0.25">
      <c r="A4495">
        <v>950208918</v>
      </c>
    </row>
    <row r="4496" spans="1:1" x14ac:dyDescent="0.25">
      <c r="A4496" t="s">
        <v>5064</v>
      </c>
    </row>
    <row r="4497" spans="1:1" x14ac:dyDescent="0.25">
      <c r="A4497" t="s">
        <v>5065</v>
      </c>
    </row>
    <row r="4498" spans="1:1" x14ac:dyDescent="0.25">
      <c r="A4498" t="s">
        <v>5066</v>
      </c>
    </row>
    <row r="4499" spans="1:1" x14ac:dyDescent="0.25">
      <c r="A4499" t="s">
        <v>4948</v>
      </c>
    </row>
    <row r="4500" spans="1:1" x14ac:dyDescent="0.25">
      <c r="A4500" t="s">
        <v>5067</v>
      </c>
    </row>
    <row r="4501" spans="1:1" x14ac:dyDescent="0.25">
      <c r="A4501" t="s">
        <v>3879</v>
      </c>
    </row>
    <row r="4502" spans="1:1" x14ac:dyDescent="0.25">
      <c r="A4502" t="s">
        <v>5068</v>
      </c>
    </row>
    <row r="4503" spans="1:1" x14ac:dyDescent="0.25">
      <c r="A4503" t="s">
        <v>1460</v>
      </c>
    </row>
    <row r="4505" spans="1:1" x14ac:dyDescent="0.25">
      <c r="A4505" t="s">
        <v>5069</v>
      </c>
    </row>
    <row r="4506" spans="1:1" x14ac:dyDescent="0.25">
      <c r="A4506" t="s">
        <v>5070</v>
      </c>
    </row>
    <row r="4508" spans="1:1" x14ac:dyDescent="0.25">
      <c r="A4508" t="s">
        <v>1330</v>
      </c>
    </row>
    <row r="4509" spans="1:1" x14ac:dyDescent="0.25">
      <c r="A4509" t="s">
        <v>5071</v>
      </c>
    </row>
    <row r="4510" spans="1:1" x14ac:dyDescent="0.25">
      <c r="A4510" t="s">
        <v>5072</v>
      </c>
    </row>
    <row r="4511" spans="1:1" x14ac:dyDescent="0.25">
      <c r="A4511" t="s">
        <v>4538</v>
      </c>
    </row>
    <row r="4512" spans="1:1" x14ac:dyDescent="0.25">
      <c r="A4512" t="s">
        <v>5073</v>
      </c>
    </row>
    <row r="4513" spans="1:1" x14ac:dyDescent="0.25">
      <c r="A4513" t="s">
        <v>4843</v>
      </c>
    </row>
    <row r="4515" spans="1:1" x14ac:dyDescent="0.25">
      <c r="A4515" t="s">
        <v>5074</v>
      </c>
    </row>
    <row r="4516" spans="1:1" x14ac:dyDescent="0.25">
      <c r="A4516" t="s">
        <v>5075</v>
      </c>
    </row>
    <row r="4517" spans="1:1" x14ac:dyDescent="0.25">
      <c r="A4517" t="s">
        <v>5076</v>
      </c>
    </row>
    <row r="4518" spans="1:1" x14ac:dyDescent="0.25">
      <c r="A4518" t="s">
        <v>5077</v>
      </c>
    </row>
    <row r="4519" spans="1:1" x14ac:dyDescent="0.25">
      <c r="A4519" t="s">
        <v>5078</v>
      </c>
    </row>
    <row r="4520" spans="1:1" x14ac:dyDescent="0.25">
      <c r="A4520" t="s">
        <v>5079</v>
      </c>
    </row>
    <row r="4521" spans="1:1" x14ac:dyDescent="0.25">
      <c r="A4521" t="s">
        <v>4572</v>
      </c>
    </row>
    <row r="4522" spans="1:1" x14ac:dyDescent="0.25">
      <c r="A4522" t="s">
        <v>5080</v>
      </c>
    </row>
    <row r="4523" spans="1:1" x14ac:dyDescent="0.25">
      <c r="A4523" t="s">
        <v>5081</v>
      </c>
    </row>
    <row r="4524" spans="1:1" x14ac:dyDescent="0.25">
      <c r="A4524" t="s">
        <v>5082</v>
      </c>
    </row>
    <row r="4525" spans="1:1" x14ac:dyDescent="0.25">
      <c r="A4525" t="s">
        <v>5083</v>
      </c>
    </row>
    <row r="4526" spans="1:1" x14ac:dyDescent="0.25">
      <c r="A4526" t="s">
        <v>5084</v>
      </c>
    </row>
    <row r="4527" spans="1:1" x14ac:dyDescent="0.25">
      <c r="A4527" t="s">
        <v>5085</v>
      </c>
    </row>
    <row r="4528" spans="1:1" x14ac:dyDescent="0.25">
      <c r="A4528" t="s">
        <v>5086</v>
      </c>
    </row>
    <row r="4529" spans="1:1" x14ac:dyDescent="0.25">
      <c r="A4529" t="s">
        <v>5087</v>
      </c>
    </row>
    <row r="4530" spans="1:1" x14ac:dyDescent="0.25">
      <c r="A4530" t="s">
        <v>5088</v>
      </c>
    </row>
    <row r="4531" spans="1:1" x14ac:dyDescent="0.25">
      <c r="A4531" t="s">
        <v>4236</v>
      </c>
    </row>
    <row r="4532" spans="1:1" x14ac:dyDescent="0.25">
      <c r="A4532" t="s">
        <v>5089</v>
      </c>
    </row>
    <row r="4533" spans="1:1" x14ac:dyDescent="0.25">
      <c r="A4533" t="s">
        <v>5090</v>
      </c>
    </row>
    <row r="4534" spans="1:1" x14ac:dyDescent="0.25">
      <c r="A4534" t="s">
        <v>5091</v>
      </c>
    </row>
    <row r="4535" spans="1:1" x14ac:dyDescent="0.25">
      <c r="A4535" t="s">
        <v>5092</v>
      </c>
    </row>
    <row r="4536" spans="1:1" x14ac:dyDescent="0.25">
      <c r="A4536" t="s">
        <v>5093</v>
      </c>
    </row>
    <row r="4537" spans="1:1" x14ac:dyDescent="0.25">
      <c r="A4537" t="s">
        <v>5094</v>
      </c>
    </row>
    <row r="4538" spans="1:1" x14ac:dyDescent="0.25">
      <c r="A4538" t="s">
        <v>5095</v>
      </c>
    </row>
    <row r="4539" spans="1:1" x14ac:dyDescent="0.25">
      <c r="A4539" t="s">
        <v>5096</v>
      </c>
    </row>
    <row r="4540" spans="1:1" x14ac:dyDescent="0.25">
      <c r="A4540" t="s">
        <v>5097</v>
      </c>
    </row>
    <row r="4541" spans="1:1" x14ac:dyDescent="0.25">
      <c r="A4541" t="s">
        <v>5098</v>
      </c>
    </row>
    <row r="4542" spans="1:1" x14ac:dyDescent="0.25">
      <c r="A4542" t="s">
        <v>5099</v>
      </c>
    </row>
    <row r="4543" spans="1:1" x14ac:dyDescent="0.25">
      <c r="A4543" t="s">
        <v>5100</v>
      </c>
    </row>
    <row r="4544" spans="1:1" x14ac:dyDescent="0.25">
      <c r="A4544" t="s">
        <v>5101</v>
      </c>
    </row>
    <row r="4545" spans="1:1" x14ac:dyDescent="0.25">
      <c r="A4545" t="s">
        <v>5102</v>
      </c>
    </row>
    <row r="4546" spans="1:1" x14ac:dyDescent="0.25">
      <c r="A4546" t="s">
        <v>5103</v>
      </c>
    </row>
    <row r="4547" spans="1:1" x14ac:dyDescent="0.25">
      <c r="A4547" t="s">
        <v>5104</v>
      </c>
    </row>
    <row r="4548" spans="1:1" x14ac:dyDescent="0.25">
      <c r="A4548" t="s">
        <v>5105</v>
      </c>
    </row>
    <row r="4549" spans="1:1" x14ac:dyDescent="0.25">
      <c r="A4549" t="s">
        <v>5106</v>
      </c>
    </row>
    <row r="4550" spans="1:1" x14ac:dyDescent="0.25">
      <c r="A4550" t="s">
        <v>5107</v>
      </c>
    </row>
    <row r="4551" spans="1:1" x14ac:dyDescent="0.25">
      <c r="A4551" t="s">
        <v>5108</v>
      </c>
    </row>
    <row r="4552" spans="1:1" x14ac:dyDescent="0.25">
      <c r="A4552" t="s">
        <v>5109</v>
      </c>
    </row>
    <row r="4553" spans="1:1" x14ac:dyDescent="0.25">
      <c r="A4553" t="s">
        <v>5110</v>
      </c>
    </row>
    <row r="4554" spans="1:1" x14ac:dyDescent="0.25">
      <c r="A4554" t="s">
        <v>5111</v>
      </c>
    </row>
    <row r="4555" spans="1:1" x14ac:dyDescent="0.25">
      <c r="A4555" t="s">
        <v>5112</v>
      </c>
    </row>
    <row r="4556" spans="1:1" x14ac:dyDescent="0.25">
      <c r="A4556" t="s">
        <v>5113</v>
      </c>
    </row>
    <row r="4557" spans="1:1" x14ac:dyDescent="0.25">
      <c r="A4557" t="s">
        <v>5114</v>
      </c>
    </row>
    <row r="4558" spans="1:1" x14ac:dyDescent="0.25">
      <c r="A4558" t="s">
        <v>5115</v>
      </c>
    </row>
    <row r="4559" spans="1:1" x14ac:dyDescent="0.25">
      <c r="A4559" t="s">
        <v>5116</v>
      </c>
    </row>
    <row r="4560" spans="1:1" x14ac:dyDescent="0.25">
      <c r="A4560" t="s">
        <v>5117</v>
      </c>
    </row>
    <row r="4561" spans="1:1" x14ac:dyDescent="0.25">
      <c r="A4561" t="s">
        <v>5114</v>
      </c>
    </row>
    <row r="4562" spans="1:1" x14ac:dyDescent="0.25">
      <c r="A4562" t="s">
        <v>5118</v>
      </c>
    </row>
    <row r="4563" spans="1:1" x14ac:dyDescent="0.25">
      <c r="A4563" t="s">
        <v>3414</v>
      </c>
    </row>
    <row r="4564" spans="1:1" x14ac:dyDescent="0.25">
      <c r="A4564" t="s">
        <v>5119</v>
      </c>
    </row>
    <row r="4565" spans="1:1" x14ac:dyDescent="0.25">
      <c r="A4565" t="s">
        <v>5120</v>
      </c>
    </row>
    <row r="4566" spans="1:1" x14ac:dyDescent="0.25">
      <c r="A4566" t="s">
        <v>5121</v>
      </c>
    </row>
    <row r="4569" spans="1:1" x14ac:dyDescent="0.25">
      <c r="A4569" t="s">
        <v>5114</v>
      </c>
    </row>
    <row r="4570" spans="1:1" x14ac:dyDescent="0.25">
      <c r="A4570" t="s">
        <v>5118</v>
      </c>
    </row>
    <row r="4571" spans="1:1" x14ac:dyDescent="0.25">
      <c r="A4571" t="s">
        <v>3414</v>
      </c>
    </row>
    <row r="4572" spans="1:1" x14ac:dyDescent="0.25">
      <c r="A4572" t="s">
        <v>5122</v>
      </c>
    </row>
    <row r="4573" spans="1:1" x14ac:dyDescent="0.25">
      <c r="A4573" t="s">
        <v>5120</v>
      </c>
    </row>
    <row r="4574" spans="1:1" x14ac:dyDescent="0.25">
      <c r="A4574" t="s">
        <v>5123</v>
      </c>
    </row>
    <row r="4576" spans="1:1" x14ac:dyDescent="0.25">
      <c r="A4576" t="s">
        <v>5111</v>
      </c>
    </row>
    <row r="4577" spans="1:1" x14ac:dyDescent="0.25">
      <c r="A4577" t="s">
        <v>5124</v>
      </c>
    </row>
    <row r="4578" spans="1:1" x14ac:dyDescent="0.25">
      <c r="A4578" t="s">
        <v>5125</v>
      </c>
    </row>
    <row r="4579" spans="1:1" x14ac:dyDescent="0.25">
      <c r="A4579" t="s">
        <v>5126</v>
      </c>
    </row>
    <row r="4580" spans="1:1" x14ac:dyDescent="0.25">
      <c r="A4580" t="s">
        <v>5127</v>
      </c>
    </row>
    <row r="4581" spans="1:1" x14ac:dyDescent="0.25">
      <c r="A4581" t="s">
        <v>5128</v>
      </c>
    </row>
    <row r="4582" spans="1:1" x14ac:dyDescent="0.25">
      <c r="A4582" t="s">
        <v>4404</v>
      </c>
    </row>
    <row r="4583" spans="1:1" x14ac:dyDescent="0.25">
      <c r="A4583" t="s">
        <v>5129</v>
      </c>
    </row>
    <row r="4584" spans="1:1" x14ac:dyDescent="0.25">
      <c r="A4584" t="s">
        <v>5130</v>
      </c>
    </row>
    <row r="4585" spans="1:1" x14ac:dyDescent="0.25">
      <c r="A4585" t="s">
        <v>5131</v>
      </c>
    </row>
    <row r="4586" spans="1:1" x14ac:dyDescent="0.25">
      <c r="A4586" t="s">
        <v>5132</v>
      </c>
    </row>
    <row r="4588" spans="1:1" x14ac:dyDescent="0.25">
      <c r="A4588" t="s">
        <v>5133</v>
      </c>
    </row>
    <row r="4589" spans="1:1" x14ac:dyDescent="0.25">
      <c r="A4589" t="s">
        <v>1984</v>
      </c>
    </row>
    <row r="4591" spans="1:1" x14ac:dyDescent="0.25">
      <c r="A4591" t="s">
        <v>5134</v>
      </c>
    </row>
    <row r="4592" spans="1:1" x14ac:dyDescent="0.25">
      <c r="A4592" t="s">
        <v>5135</v>
      </c>
    </row>
    <row r="4593" spans="1:5" x14ac:dyDescent="0.25">
      <c r="A4593" t="s">
        <v>5136</v>
      </c>
    </row>
    <row r="4594" spans="1:5" x14ac:dyDescent="0.25">
      <c r="A4594" t="s">
        <v>5137</v>
      </c>
    </row>
    <row r="4595" spans="1:5" x14ac:dyDescent="0.25">
      <c r="A4595" t="s">
        <v>5138</v>
      </c>
    </row>
    <row r="4596" spans="1:5" x14ac:dyDescent="0.25">
      <c r="A4596" t="s">
        <v>5139</v>
      </c>
    </row>
    <row r="4597" spans="1:5" x14ac:dyDescent="0.25">
      <c r="A4597" t="s">
        <v>5140</v>
      </c>
    </row>
    <row r="4599" spans="1:5" x14ac:dyDescent="0.25">
      <c r="A4599" t="s">
        <v>5141</v>
      </c>
    </row>
    <row r="4600" spans="1:5" x14ac:dyDescent="0.25">
      <c r="A4600" t="s">
        <v>2114</v>
      </c>
    </row>
    <row r="4601" spans="1:5" x14ac:dyDescent="0.25">
      <c r="A4601" t="s">
        <v>2115</v>
      </c>
    </row>
    <row r="4603" spans="1:5" x14ac:dyDescent="0.25">
      <c r="A4603" t="s">
        <v>5142</v>
      </c>
    </row>
    <row r="4604" spans="1:5" x14ac:dyDescent="0.25">
      <c r="A4604" t="s">
        <v>5143</v>
      </c>
    </row>
    <row r="4605" spans="1:5" x14ac:dyDescent="0.25">
      <c r="A4605" t="s">
        <v>5144</v>
      </c>
    </row>
    <row r="4606" spans="1:5" x14ac:dyDescent="0.25">
      <c r="A4606" t="s">
        <v>5145</v>
      </c>
    </row>
    <row r="4607" spans="1:5" x14ac:dyDescent="0.25">
      <c r="A4607" t="s">
        <v>5146</v>
      </c>
      <c r="B4607" t="s">
        <v>4946</v>
      </c>
      <c r="C4607">
        <v>350.61</v>
      </c>
      <c r="D4607" t="s">
        <v>3428</v>
      </c>
      <c r="E4607">
        <v>426</v>
      </c>
    </row>
    <row r="4608" spans="1:5" x14ac:dyDescent="0.25">
      <c r="A4608" t="s">
        <v>5147</v>
      </c>
      <c r="B4608" t="s">
        <v>5148</v>
      </c>
      <c r="C4608">
        <v>496.16</v>
      </c>
      <c r="D4608" t="s">
        <v>3428</v>
      </c>
      <c r="E4608">
        <v>341</v>
      </c>
    </row>
    <row r="4609" spans="1:5" x14ac:dyDescent="0.25">
      <c r="A4609" t="s">
        <v>5147</v>
      </c>
      <c r="B4609" t="s">
        <v>3432</v>
      </c>
      <c r="C4609">
        <v>495.43</v>
      </c>
      <c r="D4609" t="s">
        <v>3428</v>
      </c>
      <c r="E4609">
        <v>0</v>
      </c>
    </row>
    <row r="4610" spans="1:5" x14ac:dyDescent="0.25">
      <c r="A4610" t="s">
        <v>5147</v>
      </c>
      <c r="C4610">
        <v>0.9</v>
      </c>
      <c r="D4610" t="s">
        <v>3428</v>
      </c>
      <c r="E4610">
        <v>341</v>
      </c>
    </row>
    <row r="4611" spans="1:5" x14ac:dyDescent="0.25">
      <c r="A4611" t="s">
        <v>5147</v>
      </c>
      <c r="B4611" t="s">
        <v>5149</v>
      </c>
      <c r="C4611">
        <v>0.73</v>
      </c>
      <c r="D4611" t="s">
        <v>3428</v>
      </c>
    </row>
    <row r="4612" spans="1:5" x14ac:dyDescent="0.25">
      <c r="A4612" t="s">
        <v>5150</v>
      </c>
    </row>
    <row r="4613" spans="1:5" x14ac:dyDescent="0.25">
      <c r="A4613" t="s">
        <v>5151</v>
      </c>
    </row>
    <row r="4614" spans="1:5" x14ac:dyDescent="0.25">
      <c r="A4614" t="s">
        <v>5152</v>
      </c>
    </row>
    <row r="4615" spans="1:5" x14ac:dyDescent="0.25">
      <c r="A4615" t="s">
        <v>5153</v>
      </c>
    </row>
    <row r="4616" spans="1:5" x14ac:dyDescent="0.25">
      <c r="A4616" t="s">
        <v>5154</v>
      </c>
    </row>
    <row r="4617" spans="1:5" x14ac:dyDescent="0.25">
      <c r="A4617" t="s">
        <v>5155</v>
      </c>
    </row>
    <row r="4618" spans="1:5" x14ac:dyDescent="0.25">
      <c r="A4618" t="s">
        <v>5156</v>
      </c>
    </row>
    <row r="4619" spans="1:5" x14ac:dyDescent="0.25">
      <c r="A4619" t="s">
        <v>1330</v>
      </c>
    </row>
    <row r="4620" spans="1:5" x14ac:dyDescent="0.25">
      <c r="A4620" t="s">
        <v>5157</v>
      </c>
    </row>
    <row r="4621" spans="1:5" x14ac:dyDescent="0.25">
      <c r="A4621" t="s">
        <v>5158</v>
      </c>
    </row>
    <row r="4622" spans="1:5" x14ac:dyDescent="0.25">
      <c r="A4622" t="s">
        <v>5159</v>
      </c>
    </row>
    <row r="4623" spans="1:5" x14ac:dyDescent="0.25">
      <c r="A4623" t="s">
        <v>5160</v>
      </c>
    </row>
    <row r="4624" spans="1:5" x14ac:dyDescent="0.25">
      <c r="A4624" t="s">
        <v>5161</v>
      </c>
    </row>
    <row r="4625" spans="1:1" x14ac:dyDescent="0.25">
      <c r="A4625" t="s">
        <v>5162</v>
      </c>
    </row>
    <row r="4626" spans="1:1" x14ac:dyDescent="0.25">
      <c r="A4626" t="s">
        <v>5163</v>
      </c>
    </row>
    <row r="4627" spans="1:1" x14ac:dyDescent="0.25">
      <c r="A4627" t="s">
        <v>5160</v>
      </c>
    </row>
    <row r="4628" spans="1:1" x14ac:dyDescent="0.25">
      <c r="A4628" t="s">
        <v>5164</v>
      </c>
    </row>
    <row r="4629" spans="1:1" x14ac:dyDescent="0.25">
      <c r="A4629" t="s">
        <v>5162</v>
      </c>
    </row>
    <row r="4630" spans="1:1" x14ac:dyDescent="0.25">
      <c r="A4630" t="s">
        <v>5163</v>
      </c>
    </row>
    <row r="4631" spans="1:1" x14ac:dyDescent="0.25">
      <c r="A4631" t="s">
        <v>5165</v>
      </c>
    </row>
    <row r="4632" spans="1:1" x14ac:dyDescent="0.25">
      <c r="A4632" t="s">
        <v>5166</v>
      </c>
    </row>
    <row r="4633" spans="1:1" x14ac:dyDescent="0.25">
      <c r="A4633" t="s">
        <v>5167</v>
      </c>
    </row>
    <row r="4634" spans="1:1" x14ac:dyDescent="0.25">
      <c r="A4634" t="s">
        <v>5168</v>
      </c>
    </row>
    <row r="4635" spans="1:1" x14ac:dyDescent="0.25">
      <c r="A4635" t="s">
        <v>1317</v>
      </c>
    </row>
    <row r="4636" spans="1:1" x14ac:dyDescent="0.25">
      <c r="A4636" t="s">
        <v>5169</v>
      </c>
    </row>
    <row r="4637" spans="1:1" x14ac:dyDescent="0.25">
      <c r="A4637" t="s">
        <v>2178</v>
      </c>
    </row>
    <row r="4638" spans="1:1" x14ac:dyDescent="0.25">
      <c r="A4638" t="s">
        <v>5170</v>
      </c>
    </row>
    <row r="4639" spans="1:1" x14ac:dyDescent="0.25">
      <c r="A4639" t="s">
        <v>5171</v>
      </c>
    </row>
    <row r="4640" spans="1:1" x14ac:dyDescent="0.25">
      <c r="A4640" t="s">
        <v>5172</v>
      </c>
    </row>
    <row r="4641" spans="1:1" x14ac:dyDescent="0.25">
      <c r="A4641" t="s">
        <v>1330</v>
      </c>
    </row>
    <row r="4642" spans="1:1" x14ac:dyDescent="0.25">
      <c r="A4642" t="s">
        <v>5173</v>
      </c>
    </row>
    <row r="4643" spans="1:1" x14ac:dyDescent="0.25">
      <c r="A4643" t="s">
        <v>1984</v>
      </c>
    </row>
    <row r="4644" spans="1:1" x14ac:dyDescent="0.25">
      <c r="A4644" t="s">
        <v>5167</v>
      </c>
    </row>
    <row r="4645" spans="1:1" x14ac:dyDescent="0.25">
      <c r="A4645" t="s">
        <v>5168</v>
      </c>
    </row>
    <row r="4646" spans="1:1" x14ac:dyDescent="0.25">
      <c r="A4646" t="s">
        <v>5174</v>
      </c>
    </row>
    <row r="4647" spans="1:1" x14ac:dyDescent="0.25">
      <c r="A4647" t="s">
        <v>5169</v>
      </c>
    </row>
    <row r="4648" spans="1:1" x14ac:dyDescent="0.25">
      <c r="A4648" t="s">
        <v>2178</v>
      </c>
    </row>
    <row r="4649" spans="1:1" x14ac:dyDescent="0.25">
      <c r="A4649" t="s">
        <v>5170</v>
      </c>
    </row>
    <row r="4650" spans="1:1" x14ac:dyDescent="0.25">
      <c r="A4650" t="s">
        <v>5171</v>
      </c>
    </row>
    <row r="4651" spans="1:1" x14ac:dyDescent="0.25">
      <c r="A4651" t="s">
        <v>5172</v>
      </c>
    </row>
    <row r="4652" spans="1:1" x14ac:dyDescent="0.25">
      <c r="A4652" t="s">
        <v>1330</v>
      </c>
    </row>
    <row r="4653" spans="1:1" x14ac:dyDescent="0.25">
      <c r="A4653" t="s">
        <v>5173</v>
      </c>
    </row>
    <row r="4654" spans="1:1" x14ac:dyDescent="0.25">
      <c r="A4654" t="s">
        <v>1984</v>
      </c>
    </row>
    <row r="4656" spans="1:1" x14ac:dyDescent="0.25">
      <c r="A4656" t="s">
        <v>5175</v>
      </c>
    </row>
    <row r="4657" spans="1:1" x14ac:dyDescent="0.25">
      <c r="A4657" t="s">
        <v>5176</v>
      </c>
    </row>
    <row r="4658" spans="1:1" x14ac:dyDescent="0.25">
      <c r="A4658" t="s">
        <v>5177</v>
      </c>
    </row>
    <row r="4659" spans="1:1" x14ac:dyDescent="0.25">
      <c r="A4659" t="s">
        <v>5178</v>
      </c>
    </row>
    <row r="4660" spans="1:1" x14ac:dyDescent="0.25">
      <c r="A4660" t="s">
        <v>4418</v>
      </c>
    </row>
    <row r="4661" spans="1:1" x14ac:dyDescent="0.25">
      <c r="A4661" t="s">
        <v>5179</v>
      </c>
    </row>
    <row r="4662" spans="1:1" x14ac:dyDescent="0.25">
      <c r="A4662" t="s">
        <v>5180</v>
      </c>
    </row>
    <row r="4663" spans="1:1" x14ac:dyDescent="0.25">
      <c r="A4663" t="s">
        <v>5181</v>
      </c>
    </row>
    <row r="4664" spans="1:1" x14ac:dyDescent="0.25">
      <c r="A4664" t="s">
        <v>5177</v>
      </c>
    </row>
    <row r="4665" spans="1:1" x14ac:dyDescent="0.25">
      <c r="A4665" t="s">
        <v>5178</v>
      </c>
    </row>
    <row r="4666" spans="1:1" x14ac:dyDescent="0.25">
      <c r="A4666" t="s">
        <v>4418</v>
      </c>
    </row>
    <row r="4667" spans="1:1" x14ac:dyDescent="0.25">
      <c r="A4667" t="s">
        <v>5180</v>
      </c>
    </row>
    <row r="4668" spans="1:1" x14ac:dyDescent="0.25">
      <c r="A4668" t="s">
        <v>5181</v>
      </c>
    </row>
    <row r="4669" spans="1:1" x14ac:dyDescent="0.25">
      <c r="A4669" t="s">
        <v>5177</v>
      </c>
    </row>
    <row r="4670" spans="1:1" x14ac:dyDescent="0.25">
      <c r="A4670" t="s">
        <v>5182</v>
      </c>
    </row>
    <row r="4671" spans="1:1" x14ac:dyDescent="0.25">
      <c r="A4671" t="s">
        <v>5183</v>
      </c>
    </row>
    <row r="4673" spans="1:1" x14ac:dyDescent="0.25">
      <c r="A4673" t="s">
        <v>5184</v>
      </c>
    </row>
    <row r="4675" spans="1:1" x14ac:dyDescent="0.25">
      <c r="A4675" t="s">
        <v>1463</v>
      </c>
    </row>
    <row r="4676" spans="1:1" x14ac:dyDescent="0.25">
      <c r="A4676" t="s">
        <v>5185</v>
      </c>
    </row>
    <row r="4677" spans="1:1" x14ac:dyDescent="0.25">
      <c r="A4677" t="s">
        <v>5028</v>
      </c>
    </row>
    <row r="4678" spans="1:1" x14ac:dyDescent="0.25">
      <c r="A4678" t="s">
        <v>5073</v>
      </c>
    </row>
    <row r="4679" spans="1:1" x14ac:dyDescent="0.25">
      <c r="A4679" t="s">
        <v>5186</v>
      </c>
    </row>
    <row r="4681" spans="1:1" x14ac:dyDescent="0.25">
      <c r="A4681" t="s">
        <v>5187</v>
      </c>
    </row>
    <row r="4682" spans="1:1" x14ac:dyDescent="0.25">
      <c r="A4682" t="s">
        <v>5188</v>
      </c>
    </row>
    <row r="4683" spans="1:1" x14ac:dyDescent="0.25">
      <c r="A4683" t="s">
        <v>5189</v>
      </c>
    </row>
    <row r="4684" spans="1:1" x14ac:dyDescent="0.25">
      <c r="A4684" t="s">
        <v>5190</v>
      </c>
    </row>
    <row r="4685" spans="1:1" x14ac:dyDescent="0.25">
      <c r="A4685" t="s">
        <v>5191</v>
      </c>
    </row>
    <row r="4686" spans="1:1" x14ac:dyDescent="0.25">
      <c r="A4686" t="s">
        <v>5192</v>
      </c>
    </row>
    <row r="4687" spans="1:1" x14ac:dyDescent="0.25">
      <c r="A4687" t="s">
        <v>5193</v>
      </c>
    </row>
    <row r="4688" spans="1:1" x14ac:dyDescent="0.25">
      <c r="A4688" t="s">
        <v>5194</v>
      </c>
    </row>
    <row r="4689" spans="1:1" x14ac:dyDescent="0.25">
      <c r="A4689" t="s">
        <v>5195</v>
      </c>
    </row>
    <row r="4690" spans="1:1" x14ac:dyDescent="0.25">
      <c r="A4690" t="s">
        <v>5196</v>
      </c>
    </row>
    <row r="4692" spans="1:1" x14ac:dyDescent="0.25">
      <c r="A4692" t="s">
        <v>5197</v>
      </c>
    </row>
    <row r="4693" spans="1:1" x14ac:dyDescent="0.25">
      <c r="A4693" t="s">
        <v>5198</v>
      </c>
    </row>
    <row r="4694" spans="1:1" x14ac:dyDescent="0.25">
      <c r="A4694" t="s">
        <v>5199</v>
      </c>
    </row>
    <row r="4695" spans="1:1" x14ac:dyDescent="0.25">
      <c r="A4695" t="s">
        <v>5200</v>
      </c>
    </row>
    <row r="4696" spans="1:1" x14ac:dyDescent="0.25">
      <c r="A4696" t="s">
        <v>5201</v>
      </c>
    </row>
    <row r="4697" spans="1:1" x14ac:dyDescent="0.25">
      <c r="A4697" t="s">
        <v>5202</v>
      </c>
    </row>
    <row r="4698" spans="1:1" x14ac:dyDescent="0.25">
      <c r="A4698" t="s">
        <v>5199</v>
      </c>
    </row>
    <row r="4699" spans="1:1" x14ac:dyDescent="0.25">
      <c r="A4699" t="s">
        <v>5203</v>
      </c>
    </row>
    <row r="4700" spans="1:1" x14ac:dyDescent="0.25">
      <c r="A4700" t="s">
        <v>5204</v>
      </c>
    </row>
    <row r="4701" spans="1:1" x14ac:dyDescent="0.25">
      <c r="A4701" t="s">
        <v>5205</v>
      </c>
    </row>
    <row r="4702" spans="1:1" x14ac:dyDescent="0.25">
      <c r="A4702" t="s">
        <v>5206</v>
      </c>
    </row>
    <row r="4703" spans="1:1" x14ac:dyDescent="0.25">
      <c r="A4703" t="s">
        <v>5207</v>
      </c>
    </row>
    <row r="4704" spans="1:1" x14ac:dyDescent="0.25">
      <c r="A4704" t="s">
        <v>5208</v>
      </c>
    </row>
    <row r="4705" spans="1:1" x14ac:dyDescent="0.25">
      <c r="A4705" t="s">
        <v>5209</v>
      </c>
    </row>
    <row r="4706" spans="1:1" x14ac:dyDescent="0.25">
      <c r="A4706" t="s">
        <v>5210</v>
      </c>
    </row>
    <row r="4707" spans="1:1" x14ac:dyDescent="0.25">
      <c r="A4707" t="s">
        <v>5211</v>
      </c>
    </row>
    <row r="4708" spans="1:1" x14ac:dyDescent="0.25">
      <c r="A4708" t="s">
        <v>5212</v>
      </c>
    </row>
    <row r="4709" spans="1:1" x14ac:dyDescent="0.25">
      <c r="A4709" t="s">
        <v>5213</v>
      </c>
    </row>
    <row r="4710" spans="1:1" x14ac:dyDescent="0.25">
      <c r="A4710" t="s">
        <v>5214</v>
      </c>
    </row>
    <row r="4711" spans="1:1" x14ac:dyDescent="0.25">
      <c r="A4711" t="s">
        <v>5215</v>
      </c>
    </row>
    <row r="4712" spans="1:1" x14ac:dyDescent="0.25">
      <c r="A4712" t="s">
        <v>5216</v>
      </c>
    </row>
    <row r="4713" spans="1:1" x14ac:dyDescent="0.25">
      <c r="A4713" t="s">
        <v>5217</v>
      </c>
    </row>
    <row r="4714" spans="1:1" x14ac:dyDescent="0.25">
      <c r="A4714" t="s">
        <v>5218</v>
      </c>
    </row>
    <row r="4715" spans="1:1" x14ac:dyDescent="0.25">
      <c r="A4715" t="s">
        <v>5219</v>
      </c>
    </row>
    <row r="4717" spans="1:1" x14ac:dyDescent="0.25">
      <c r="A4717" t="s">
        <v>5220</v>
      </c>
    </row>
    <row r="4718" spans="1:1" x14ac:dyDescent="0.25">
      <c r="A4718" t="s">
        <v>5221</v>
      </c>
    </row>
    <row r="4719" spans="1:1" x14ac:dyDescent="0.25">
      <c r="A4719" t="s">
        <v>5222</v>
      </c>
    </row>
    <row r="4720" spans="1:1" x14ac:dyDescent="0.25">
      <c r="A4720" t="s">
        <v>5223</v>
      </c>
    </row>
    <row r="4721" spans="1:1" x14ac:dyDescent="0.25">
      <c r="A4721" t="s">
        <v>5224</v>
      </c>
    </row>
    <row r="4722" spans="1:1" x14ac:dyDescent="0.25">
      <c r="A4722" t="s">
        <v>5225</v>
      </c>
    </row>
    <row r="4723" spans="1:1" x14ac:dyDescent="0.25">
      <c r="A4723" t="s">
        <v>5226</v>
      </c>
    </row>
    <row r="4725" spans="1:1" x14ac:dyDescent="0.25">
      <c r="A4725" t="s">
        <v>5227</v>
      </c>
    </row>
    <row r="4726" spans="1:1" x14ac:dyDescent="0.25">
      <c r="A4726" t="s">
        <v>5228</v>
      </c>
    </row>
    <row r="4727" spans="1:1" x14ac:dyDescent="0.25">
      <c r="A4727" t="s">
        <v>5229</v>
      </c>
    </row>
    <row r="4728" spans="1:1" x14ac:dyDescent="0.25">
      <c r="A4728" t="s">
        <v>5230</v>
      </c>
    </row>
    <row r="4729" spans="1:1" x14ac:dyDescent="0.25">
      <c r="A4729" t="s">
        <v>5231</v>
      </c>
    </row>
    <row r="4730" spans="1:1" x14ac:dyDescent="0.25">
      <c r="A4730" t="s">
        <v>4104</v>
      </c>
    </row>
    <row r="4731" spans="1:1" x14ac:dyDescent="0.25">
      <c r="A4731" t="s">
        <v>4105</v>
      </c>
    </row>
    <row r="4732" spans="1:1" x14ac:dyDescent="0.25">
      <c r="A4732" t="s">
        <v>5232</v>
      </c>
    </row>
    <row r="4733" spans="1:1" x14ac:dyDescent="0.25">
      <c r="A4733" t="s">
        <v>5233</v>
      </c>
    </row>
    <row r="4734" spans="1:1" x14ac:dyDescent="0.25">
      <c r="A4734" t="s">
        <v>5234</v>
      </c>
    </row>
    <row r="4735" spans="1:1" x14ac:dyDescent="0.25">
      <c r="A4735" t="s">
        <v>5235</v>
      </c>
    </row>
    <row r="4736" spans="1:1" x14ac:dyDescent="0.25">
      <c r="A4736" t="s">
        <v>5236</v>
      </c>
    </row>
    <row r="4737" spans="1:1" x14ac:dyDescent="0.25">
      <c r="A4737" t="s">
        <v>5237</v>
      </c>
    </row>
    <row r="4738" spans="1:1" x14ac:dyDescent="0.25">
      <c r="A4738" t="s">
        <v>5238</v>
      </c>
    </row>
    <row r="4739" spans="1:1" x14ac:dyDescent="0.25">
      <c r="A4739" t="s">
        <v>5239</v>
      </c>
    </row>
    <row r="4740" spans="1:1" x14ac:dyDescent="0.25">
      <c r="A4740" t="s">
        <v>5240</v>
      </c>
    </row>
    <row r="4741" spans="1:1" x14ac:dyDescent="0.25">
      <c r="A4741" t="s">
        <v>5241</v>
      </c>
    </row>
    <row r="4742" spans="1:1" x14ac:dyDescent="0.25">
      <c r="A4742" t="s">
        <v>5242</v>
      </c>
    </row>
    <row r="4743" spans="1:1" x14ac:dyDescent="0.25">
      <c r="A4743" t="s">
        <v>5243</v>
      </c>
    </row>
    <row r="4744" spans="1:1" x14ac:dyDescent="0.25">
      <c r="A4744" t="s">
        <v>5244</v>
      </c>
    </row>
    <row r="4745" spans="1:1" x14ac:dyDescent="0.25">
      <c r="A4745" t="s">
        <v>5242</v>
      </c>
    </row>
    <row r="4746" spans="1:1" x14ac:dyDescent="0.25">
      <c r="A4746" t="s">
        <v>5245</v>
      </c>
    </row>
    <row r="4747" spans="1:1" x14ac:dyDescent="0.25">
      <c r="A4747" t="s">
        <v>5246</v>
      </c>
    </row>
    <row r="4748" spans="1:1" x14ac:dyDescent="0.25">
      <c r="A4748" t="s">
        <v>5247</v>
      </c>
    </row>
    <row r="4749" spans="1:1" x14ac:dyDescent="0.25">
      <c r="A4749" t="s">
        <v>5248</v>
      </c>
    </row>
    <row r="4750" spans="1:1" x14ac:dyDescent="0.25">
      <c r="A4750" t="s">
        <v>5249</v>
      </c>
    </row>
    <row r="4751" spans="1:1" x14ac:dyDescent="0.25">
      <c r="A4751" t="s">
        <v>5250</v>
      </c>
    </row>
    <row r="4752" spans="1:1" x14ac:dyDescent="0.25">
      <c r="A4752" t="s">
        <v>5251</v>
      </c>
    </row>
    <row r="4754" spans="1:1" x14ac:dyDescent="0.25">
      <c r="A4754" t="s">
        <v>5247</v>
      </c>
    </row>
    <row r="4755" spans="1:1" x14ac:dyDescent="0.25">
      <c r="A4755" t="s">
        <v>5248</v>
      </c>
    </row>
    <row r="4756" spans="1:1" x14ac:dyDescent="0.25">
      <c r="A4756" t="s">
        <v>5249</v>
      </c>
    </row>
    <row r="4757" spans="1:1" x14ac:dyDescent="0.25">
      <c r="A4757" t="s">
        <v>5250</v>
      </c>
    </row>
    <row r="4758" spans="1:1" x14ac:dyDescent="0.25">
      <c r="A4758" t="s">
        <v>5251</v>
      </c>
    </row>
    <row r="4761" spans="1:1" x14ac:dyDescent="0.25">
      <c r="A4761" t="s">
        <v>5252</v>
      </c>
    </row>
    <row r="4762" spans="1:1" x14ac:dyDescent="0.25">
      <c r="A4762" t="s">
        <v>5253</v>
      </c>
    </row>
    <row r="4763" spans="1:1" x14ac:dyDescent="0.25">
      <c r="A4763" t="s">
        <v>5254</v>
      </c>
    </row>
    <row r="4764" spans="1:1" x14ac:dyDescent="0.25">
      <c r="A4764" t="s">
        <v>5255</v>
      </c>
    </row>
    <row r="4766" spans="1:1" x14ac:dyDescent="0.25">
      <c r="A4766" t="s">
        <v>5256</v>
      </c>
    </row>
    <row r="4767" spans="1:1" x14ac:dyDescent="0.25">
      <c r="A4767" t="s">
        <v>5257</v>
      </c>
    </row>
    <row r="4768" spans="1:1" x14ac:dyDescent="0.25">
      <c r="A4768" t="s">
        <v>5258</v>
      </c>
    </row>
    <row r="4769" spans="1:1" x14ac:dyDescent="0.25">
      <c r="A4769" t="s">
        <v>5259</v>
      </c>
    </row>
    <row r="4770" spans="1:1" x14ac:dyDescent="0.25">
      <c r="A4770" t="s">
        <v>5260</v>
      </c>
    </row>
    <row r="4771" spans="1:1" x14ac:dyDescent="0.25">
      <c r="A4771">
        <v>950491627</v>
      </c>
    </row>
    <row r="4772" spans="1:1" x14ac:dyDescent="0.25">
      <c r="A4772" t="s">
        <v>5261</v>
      </c>
    </row>
    <row r="4773" spans="1:1" x14ac:dyDescent="0.25">
      <c r="A4773" t="s">
        <v>5262</v>
      </c>
    </row>
    <row r="4774" spans="1:1" x14ac:dyDescent="0.25">
      <c r="A4774" t="s">
        <v>5263</v>
      </c>
    </row>
    <row r="4775" spans="1:1" x14ac:dyDescent="0.25">
      <c r="A4775" t="s">
        <v>5264</v>
      </c>
    </row>
    <row r="4776" spans="1:1" x14ac:dyDescent="0.25">
      <c r="A4776" t="s">
        <v>5265</v>
      </c>
    </row>
    <row r="4777" spans="1:1" x14ac:dyDescent="0.25">
      <c r="A4777" t="s">
        <v>5266</v>
      </c>
    </row>
    <row r="4778" spans="1:1" x14ac:dyDescent="0.25">
      <c r="A4778" t="s">
        <v>5267</v>
      </c>
    </row>
    <row r="4779" spans="1:1" x14ac:dyDescent="0.25">
      <c r="A4779" t="s">
        <v>5268</v>
      </c>
    </row>
    <row r="4780" spans="1:1" x14ac:dyDescent="0.25">
      <c r="A4780" t="s">
        <v>5269</v>
      </c>
    </row>
    <row r="4781" spans="1:1" x14ac:dyDescent="0.25">
      <c r="A4781" t="s">
        <v>5270</v>
      </c>
    </row>
    <row r="4782" spans="1:1" x14ac:dyDescent="0.25">
      <c r="A4782" t="s">
        <v>5271</v>
      </c>
    </row>
    <row r="4783" spans="1:1" x14ac:dyDescent="0.25">
      <c r="A4783" t="s">
        <v>5272</v>
      </c>
    </row>
    <row r="4785" spans="1:3" x14ac:dyDescent="0.25">
      <c r="A4785" t="s">
        <v>5268</v>
      </c>
    </row>
    <row r="4786" spans="1:3" x14ac:dyDescent="0.25">
      <c r="A4786" t="s">
        <v>5273</v>
      </c>
    </row>
    <row r="4787" spans="1:3" x14ac:dyDescent="0.25">
      <c r="A4787" t="s">
        <v>5274</v>
      </c>
    </row>
    <row r="4788" spans="1:3" x14ac:dyDescent="0.25">
      <c r="A4788" t="s">
        <v>5275</v>
      </c>
    </row>
    <row r="4789" spans="1:3" x14ac:dyDescent="0.25">
      <c r="A4789" t="s">
        <v>5276</v>
      </c>
    </row>
    <row r="4790" spans="1:3" x14ac:dyDescent="0.25">
      <c r="A4790" t="s">
        <v>5277</v>
      </c>
    </row>
    <row r="4791" spans="1:3" x14ac:dyDescent="0.25">
      <c r="A4791" t="s">
        <v>5278</v>
      </c>
    </row>
    <row r="4792" spans="1:3" x14ac:dyDescent="0.25">
      <c r="A4792" t="s">
        <v>5279</v>
      </c>
    </row>
    <row r="4793" spans="1:3" x14ac:dyDescent="0.25">
      <c r="A4793" t="s">
        <v>5280</v>
      </c>
    </row>
    <row r="4794" spans="1:3" x14ac:dyDescent="0.25">
      <c r="A4794" t="s">
        <v>5281</v>
      </c>
    </row>
    <row r="4795" spans="1:3" x14ac:dyDescent="0.25">
      <c r="A4795" t="s">
        <v>1932</v>
      </c>
    </row>
    <row r="4796" spans="1:3" x14ac:dyDescent="0.25">
      <c r="A4796" t="s">
        <v>5282</v>
      </c>
    </row>
    <row r="4797" spans="1:3" x14ac:dyDescent="0.25">
      <c r="A4797" t="s">
        <v>1933</v>
      </c>
    </row>
    <row r="4798" spans="1:3" x14ac:dyDescent="0.25">
      <c r="A4798" t="s">
        <v>5283</v>
      </c>
    </row>
    <row r="4799" spans="1:3" x14ac:dyDescent="0.25">
      <c r="A4799" t="s">
        <v>5284</v>
      </c>
    </row>
    <row r="4800" spans="1:3" x14ac:dyDescent="0.25">
      <c r="A4800" t="s">
        <v>5285</v>
      </c>
      <c r="B4800" t="s">
        <v>5286</v>
      </c>
      <c r="C4800" t="s">
        <v>5287</v>
      </c>
    </row>
    <row r="4802" spans="1:1" x14ac:dyDescent="0.25">
      <c r="A4802" t="s">
        <v>5288</v>
      </c>
    </row>
    <row r="4803" spans="1:1" x14ac:dyDescent="0.25">
      <c r="A4803" t="s">
        <v>5289</v>
      </c>
    </row>
    <row r="4804" spans="1:1" x14ac:dyDescent="0.25">
      <c r="A4804" t="s">
        <v>5290</v>
      </c>
    </row>
    <row r="4805" spans="1:1" x14ac:dyDescent="0.25">
      <c r="A4805" t="s">
        <v>5291</v>
      </c>
    </row>
    <row r="4806" spans="1:1" x14ac:dyDescent="0.25">
      <c r="A4806" t="s">
        <v>5292</v>
      </c>
    </row>
    <row r="4807" spans="1:1" x14ac:dyDescent="0.25">
      <c r="A4807" t="s">
        <v>5293</v>
      </c>
    </row>
    <row r="4808" spans="1:1" x14ac:dyDescent="0.25">
      <c r="A4808" t="s">
        <v>5294</v>
      </c>
    </row>
    <row r="4809" spans="1:1" x14ac:dyDescent="0.25">
      <c r="A4809" t="s">
        <v>5295</v>
      </c>
    </row>
    <row r="4810" spans="1:1" x14ac:dyDescent="0.25">
      <c r="A4810" t="s">
        <v>5296</v>
      </c>
    </row>
    <row r="4811" spans="1:1" x14ac:dyDescent="0.25">
      <c r="A4811" t="s">
        <v>5297</v>
      </c>
    </row>
    <row r="4812" spans="1:1" x14ac:dyDescent="0.25">
      <c r="A4812" t="s">
        <v>5298</v>
      </c>
    </row>
    <row r="4813" spans="1:1" x14ac:dyDescent="0.25">
      <c r="A4813" t="s">
        <v>5299</v>
      </c>
    </row>
    <row r="4814" spans="1:1" x14ac:dyDescent="0.25">
      <c r="A4814" t="s">
        <v>5300</v>
      </c>
    </row>
    <row r="4815" spans="1:1" x14ac:dyDescent="0.25">
      <c r="A4815" t="s">
        <v>5301</v>
      </c>
    </row>
    <row r="4816" spans="1:1" x14ac:dyDescent="0.25">
      <c r="A4816" t="s">
        <v>5302</v>
      </c>
    </row>
    <row r="4817" spans="1:5" x14ac:dyDescent="0.25">
      <c r="A4817" t="s">
        <v>5303</v>
      </c>
    </row>
    <row r="4818" spans="1:5" x14ac:dyDescent="0.25">
      <c r="A4818" t="s">
        <v>5304</v>
      </c>
    </row>
    <row r="4819" spans="1:5" x14ac:dyDescent="0.25">
      <c r="A4819" t="s">
        <v>5305</v>
      </c>
    </row>
    <row r="4820" spans="1:5" x14ac:dyDescent="0.25">
      <c r="A4820" t="s">
        <v>5306</v>
      </c>
    </row>
    <row r="4821" spans="1:5" x14ac:dyDescent="0.25">
      <c r="A4821" t="s">
        <v>5307</v>
      </c>
    </row>
    <row r="4822" spans="1:5" x14ac:dyDescent="0.25">
      <c r="A4822" t="s">
        <v>5308</v>
      </c>
    </row>
    <row r="4823" spans="1:5" x14ac:dyDescent="0.25">
      <c r="A4823" t="s">
        <v>5309</v>
      </c>
    </row>
    <row r="4824" spans="1:5" x14ac:dyDescent="0.25">
      <c r="A4824" t="s">
        <v>5310</v>
      </c>
    </row>
    <row r="4825" spans="1:5" x14ac:dyDescent="0.25">
      <c r="A4825" t="s">
        <v>5311</v>
      </c>
    </row>
    <row r="4826" spans="1:5" x14ac:dyDescent="0.25">
      <c r="A4826" t="s">
        <v>5312</v>
      </c>
    </row>
    <row r="4827" spans="1:5" x14ac:dyDescent="0.25">
      <c r="A4827" t="s">
        <v>5313</v>
      </c>
    </row>
    <row r="4829" spans="1:5" x14ac:dyDescent="0.25">
      <c r="A4829" t="s">
        <v>5314</v>
      </c>
    </row>
    <row r="4831" spans="1:5" x14ac:dyDescent="0.25">
      <c r="A4831" t="s">
        <v>5315</v>
      </c>
    </row>
    <row r="4832" spans="1:5" x14ac:dyDescent="0.25">
      <c r="A4832" t="s">
        <v>5316</v>
      </c>
      <c r="B4832" t="s">
        <v>4946</v>
      </c>
      <c r="C4832">
        <v>1610.13</v>
      </c>
      <c r="D4832" t="s">
        <v>3428</v>
      </c>
      <c r="E4832">
        <v>271</v>
      </c>
    </row>
    <row r="4833" spans="1:5" x14ac:dyDescent="0.25">
      <c r="A4833" t="s">
        <v>5317</v>
      </c>
      <c r="B4833" t="s">
        <v>5148</v>
      </c>
      <c r="C4833">
        <v>437.48</v>
      </c>
      <c r="D4833" t="s">
        <v>5318</v>
      </c>
      <c r="E4833">
        <v>0</v>
      </c>
    </row>
    <row r="4834" spans="1:5" x14ac:dyDescent="0.25">
      <c r="A4834" t="s">
        <v>5317</v>
      </c>
      <c r="B4834" t="s">
        <v>5319</v>
      </c>
      <c r="C4834">
        <v>4.2699999999999996</v>
      </c>
      <c r="D4834" t="s">
        <v>5318</v>
      </c>
      <c r="E4834">
        <v>0</v>
      </c>
    </row>
    <row r="4835" spans="1:5" x14ac:dyDescent="0.25">
      <c r="A4835" t="s">
        <v>5317</v>
      </c>
      <c r="B4835" t="s">
        <v>5149</v>
      </c>
      <c r="C4835">
        <v>0.55000000000000004</v>
      </c>
      <c r="D4835" t="s">
        <v>5318</v>
      </c>
      <c r="E4835">
        <v>0</v>
      </c>
    </row>
    <row r="4836" spans="1:5" x14ac:dyDescent="0.25">
      <c r="A4836" t="s">
        <v>5317</v>
      </c>
      <c r="B4836" t="s">
        <v>5320</v>
      </c>
      <c r="C4836">
        <v>9624.56</v>
      </c>
      <c r="D4836" t="s">
        <v>5318</v>
      </c>
      <c r="E4836">
        <v>0</v>
      </c>
    </row>
    <row r="4837" spans="1:5" x14ac:dyDescent="0.25">
      <c r="A4837" t="s">
        <v>5067</v>
      </c>
    </row>
    <row r="4839" spans="1:5" x14ac:dyDescent="0.25">
      <c r="A4839" t="s">
        <v>5321</v>
      </c>
    </row>
    <row r="4840" spans="1:5" x14ac:dyDescent="0.25">
      <c r="A4840" t="s">
        <v>5322</v>
      </c>
    </row>
    <row r="4841" spans="1:5" x14ac:dyDescent="0.25">
      <c r="A4841" t="s">
        <v>5323</v>
      </c>
    </row>
    <row r="4842" spans="1:5" x14ac:dyDescent="0.25">
      <c r="A4842" t="s">
        <v>5324</v>
      </c>
    </row>
    <row r="4843" spans="1:5" x14ac:dyDescent="0.25">
      <c r="A4843" t="s">
        <v>5325</v>
      </c>
    </row>
    <row r="4844" spans="1:5" x14ac:dyDescent="0.25">
      <c r="A4844" t="s">
        <v>5326</v>
      </c>
    </row>
    <row r="4845" spans="1:5" x14ac:dyDescent="0.25">
      <c r="A4845" t="s">
        <v>5327</v>
      </c>
    </row>
    <row r="4846" spans="1:5" x14ac:dyDescent="0.25">
      <c r="A4846" t="s">
        <v>5328</v>
      </c>
    </row>
    <row r="4847" spans="1:5" x14ac:dyDescent="0.25">
      <c r="A4847" t="s">
        <v>5329</v>
      </c>
    </row>
    <row r="4848" spans="1:5" x14ac:dyDescent="0.25">
      <c r="A4848" t="s">
        <v>5330</v>
      </c>
    </row>
    <row r="4849" spans="1:2" x14ac:dyDescent="0.25">
      <c r="A4849" t="s">
        <v>5331</v>
      </c>
    </row>
    <row r="4850" spans="1:2" x14ac:dyDescent="0.25">
      <c r="A4850" t="s">
        <v>5332</v>
      </c>
    </row>
    <row r="4851" spans="1:2" x14ac:dyDescent="0.25">
      <c r="A4851" t="s">
        <v>5333</v>
      </c>
    </row>
    <row r="4852" spans="1:2" x14ac:dyDescent="0.25">
      <c r="A4852" t="s">
        <v>5334</v>
      </c>
    </row>
    <row r="4853" spans="1:2" x14ac:dyDescent="0.25">
      <c r="A4853" t="s">
        <v>5335</v>
      </c>
    </row>
    <row r="4854" spans="1:2" x14ac:dyDescent="0.25">
      <c r="A4854" t="s">
        <v>5334</v>
      </c>
    </row>
    <row r="4855" spans="1:2" x14ac:dyDescent="0.25">
      <c r="A4855" t="s">
        <v>5336</v>
      </c>
    </row>
    <row r="4856" spans="1:2" x14ac:dyDescent="0.25">
      <c r="A4856" t="s">
        <v>5337</v>
      </c>
    </row>
    <row r="4857" spans="1:2" x14ac:dyDescent="0.25">
      <c r="A4857" t="s">
        <v>5338</v>
      </c>
    </row>
    <row r="4858" spans="1:2" x14ac:dyDescent="0.25">
      <c r="A4858" t="s">
        <v>5339</v>
      </c>
    </row>
    <row r="4859" spans="1:2" x14ac:dyDescent="0.25">
      <c r="A4859" t="s">
        <v>5340</v>
      </c>
    </row>
    <row r="4860" spans="1:2" x14ac:dyDescent="0.25">
      <c r="A4860" t="s">
        <v>5341</v>
      </c>
    </row>
    <row r="4861" spans="1:2" x14ac:dyDescent="0.25">
      <c r="A4861" t="s">
        <v>5342</v>
      </c>
    </row>
    <row r="4862" spans="1:2" x14ac:dyDescent="0.25">
      <c r="A4862" t="s">
        <v>5343</v>
      </c>
    </row>
    <row r="4863" spans="1:2" x14ac:dyDescent="0.25">
      <c r="A4863" t="s">
        <v>5344</v>
      </c>
      <c r="B4863" t="s">
        <v>5345</v>
      </c>
    </row>
    <row r="4864" spans="1:2" x14ac:dyDescent="0.25">
      <c r="A4864" t="s">
        <v>5346</v>
      </c>
    </row>
    <row r="4867" spans="1:1" x14ac:dyDescent="0.25">
      <c r="A4867" t="s">
        <v>5347</v>
      </c>
    </row>
    <row r="4868" spans="1:1" x14ac:dyDescent="0.25">
      <c r="A4868" t="s">
        <v>5348</v>
      </c>
    </row>
    <row r="4869" spans="1:1" x14ac:dyDescent="0.25">
      <c r="A4869" t="s">
        <v>5349</v>
      </c>
    </row>
    <row r="4870" spans="1:1" x14ac:dyDescent="0.25">
      <c r="A4870" t="s">
        <v>5350</v>
      </c>
    </row>
    <row r="4871" spans="1:1" x14ac:dyDescent="0.25">
      <c r="A4871" t="s">
        <v>5351</v>
      </c>
    </row>
    <row r="4872" spans="1:1" x14ac:dyDescent="0.25">
      <c r="A4872" t="s">
        <v>5352</v>
      </c>
    </row>
    <row r="4873" spans="1:1" x14ac:dyDescent="0.25">
      <c r="A4873" t="s">
        <v>5353</v>
      </c>
    </row>
    <row r="4874" spans="1:1" x14ac:dyDescent="0.25">
      <c r="A4874" t="s">
        <v>5354</v>
      </c>
    </row>
    <row r="4875" spans="1:1" x14ac:dyDescent="0.25">
      <c r="A4875" t="s">
        <v>5355</v>
      </c>
    </row>
    <row r="4876" spans="1:1" x14ac:dyDescent="0.25">
      <c r="A4876" t="s">
        <v>5356</v>
      </c>
    </row>
    <row r="4877" spans="1:1" x14ac:dyDescent="0.25">
      <c r="A4877" t="s">
        <v>5357</v>
      </c>
    </row>
    <row r="4878" spans="1:1" x14ac:dyDescent="0.25">
      <c r="A4878" t="s">
        <v>5358</v>
      </c>
    </row>
    <row r="4879" spans="1:1" x14ac:dyDescent="0.25">
      <c r="A4879" t="s">
        <v>5359</v>
      </c>
    </row>
    <row r="4880" spans="1:1" x14ac:dyDescent="0.25">
      <c r="A4880" t="s">
        <v>5360</v>
      </c>
    </row>
    <row r="4881" spans="1:1" x14ac:dyDescent="0.25">
      <c r="A4881" t="s">
        <v>5361</v>
      </c>
    </row>
    <row r="4882" spans="1:1" x14ac:dyDescent="0.25">
      <c r="A4882" t="s">
        <v>5362</v>
      </c>
    </row>
    <row r="4883" spans="1:1" x14ac:dyDescent="0.25">
      <c r="A4883" t="s">
        <v>5359</v>
      </c>
    </row>
    <row r="4884" spans="1:1" x14ac:dyDescent="0.25">
      <c r="A4884" t="s">
        <v>5360</v>
      </c>
    </row>
    <row r="4885" spans="1:1" x14ac:dyDescent="0.25">
      <c r="A4885" t="s">
        <v>5361</v>
      </c>
    </row>
    <row r="4886" spans="1:1" x14ac:dyDescent="0.25">
      <c r="A4886" t="s">
        <v>5362</v>
      </c>
    </row>
    <row r="4887" spans="1:1" x14ac:dyDescent="0.25">
      <c r="A4887" t="s">
        <v>5363</v>
      </c>
    </row>
    <row r="4888" spans="1:1" x14ac:dyDescent="0.25">
      <c r="A4888" t="s">
        <v>5364</v>
      </c>
    </row>
    <row r="4889" spans="1:1" x14ac:dyDescent="0.25">
      <c r="A4889" t="s">
        <v>5365</v>
      </c>
    </row>
    <row r="4890" spans="1:1" x14ac:dyDescent="0.25">
      <c r="A4890" t="s">
        <v>5366</v>
      </c>
    </row>
    <row r="4891" spans="1:1" x14ac:dyDescent="0.25">
      <c r="A4891" t="s">
        <v>5367</v>
      </c>
    </row>
    <row r="4892" spans="1:1" x14ac:dyDescent="0.25">
      <c r="A4892" t="s">
        <v>5368</v>
      </c>
    </row>
    <row r="4893" spans="1:1" x14ac:dyDescent="0.25">
      <c r="A4893" t="s">
        <v>5369</v>
      </c>
    </row>
    <row r="4894" spans="1:1" x14ac:dyDescent="0.25">
      <c r="A4894" t="s">
        <v>5370</v>
      </c>
    </row>
    <row r="4895" spans="1:1" x14ac:dyDescent="0.25">
      <c r="A4895" t="s">
        <v>5371</v>
      </c>
    </row>
    <row r="4896" spans="1:1" x14ac:dyDescent="0.25">
      <c r="A4896" t="s">
        <v>5372</v>
      </c>
    </row>
    <row r="4897" spans="1:1" x14ac:dyDescent="0.25">
      <c r="A4897" t="s">
        <v>5373</v>
      </c>
    </row>
    <row r="4898" spans="1:1" x14ac:dyDescent="0.25">
      <c r="A4898" t="s">
        <v>5374</v>
      </c>
    </row>
    <row r="4899" spans="1:1" x14ac:dyDescent="0.25">
      <c r="A4899" t="s">
        <v>5375</v>
      </c>
    </row>
    <row r="4900" spans="1:1" x14ac:dyDescent="0.25">
      <c r="A4900" t="s">
        <v>5376</v>
      </c>
    </row>
    <row r="4901" spans="1:1" x14ac:dyDescent="0.25">
      <c r="A4901" t="s">
        <v>5377</v>
      </c>
    </row>
    <row r="4902" spans="1:1" x14ac:dyDescent="0.25">
      <c r="A4902" t="s">
        <v>5378</v>
      </c>
    </row>
    <row r="4903" spans="1:1" x14ac:dyDescent="0.25">
      <c r="A4903" t="s">
        <v>5379</v>
      </c>
    </row>
    <row r="4904" spans="1:1" x14ac:dyDescent="0.25">
      <c r="A4904" t="s">
        <v>5380</v>
      </c>
    </row>
    <row r="4906" spans="1:1" x14ac:dyDescent="0.25">
      <c r="A4906" t="s">
        <v>5381</v>
      </c>
    </row>
    <row r="4907" spans="1:1" x14ac:dyDescent="0.25">
      <c r="A4907" t="s">
        <v>5382</v>
      </c>
    </row>
    <row r="4908" spans="1:1" x14ac:dyDescent="0.25">
      <c r="A4908" t="s">
        <v>5383</v>
      </c>
    </row>
    <row r="4909" spans="1:1" x14ac:dyDescent="0.25">
      <c r="A4909" t="s">
        <v>5384</v>
      </c>
    </row>
    <row r="4910" spans="1:1" x14ac:dyDescent="0.25">
      <c r="A4910" t="s">
        <v>5385</v>
      </c>
    </row>
    <row r="4911" spans="1:1" x14ac:dyDescent="0.25">
      <c r="A4911" t="s">
        <v>5386</v>
      </c>
    </row>
    <row r="4912" spans="1:1" x14ac:dyDescent="0.25">
      <c r="A4912" t="s">
        <v>5387</v>
      </c>
    </row>
    <row r="4913" spans="1:1" x14ac:dyDescent="0.25">
      <c r="A4913" t="s">
        <v>5388</v>
      </c>
    </row>
    <row r="4914" spans="1:1" x14ac:dyDescent="0.25">
      <c r="A4914" t="s">
        <v>5389</v>
      </c>
    </row>
    <row r="4915" spans="1:1" x14ac:dyDescent="0.25">
      <c r="A4915" t="s">
        <v>5390</v>
      </c>
    </row>
    <row r="4916" spans="1:1" x14ac:dyDescent="0.25">
      <c r="A4916" t="s">
        <v>5391</v>
      </c>
    </row>
    <row r="4917" spans="1:1" x14ac:dyDescent="0.25">
      <c r="A4917" t="s">
        <v>5392</v>
      </c>
    </row>
    <row r="4918" spans="1:1" x14ac:dyDescent="0.25">
      <c r="A4918" t="s">
        <v>5393</v>
      </c>
    </row>
    <row r="4919" spans="1:1" x14ac:dyDescent="0.25">
      <c r="A4919" t="s">
        <v>5394</v>
      </c>
    </row>
    <row r="4920" spans="1:1" x14ac:dyDescent="0.25">
      <c r="A4920" t="s">
        <v>5395</v>
      </c>
    </row>
    <row r="4921" spans="1:1" x14ac:dyDescent="0.25">
      <c r="A4921" t="s">
        <v>5396</v>
      </c>
    </row>
    <row r="4922" spans="1:1" x14ac:dyDescent="0.25">
      <c r="A4922" t="s">
        <v>5397</v>
      </c>
    </row>
    <row r="4923" spans="1:1" x14ac:dyDescent="0.25">
      <c r="A4923" t="s">
        <v>5398</v>
      </c>
    </row>
    <row r="4924" spans="1:1" x14ac:dyDescent="0.25">
      <c r="A4924" t="s">
        <v>5399</v>
      </c>
    </row>
    <row r="4925" spans="1:1" x14ac:dyDescent="0.25">
      <c r="A4925" t="s">
        <v>5400</v>
      </c>
    </row>
    <row r="4926" spans="1:1" x14ac:dyDescent="0.25">
      <c r="A4926" t="s">
        <v>5401</v>
      </c>
    </row>
    <row r="4927" spans="1:1" x14ac:dyDescent="0.25">
      <c r="A4927" t="s">
        <v>5402</v>
      </c>
    </row>
    <row r="4928" spans="1:1" x14ac:dyDescent="0.25">
      <c r="A4928" t="s">
        <v>5403</v>
      </c>
    </row>
    <row r="4929" spans="1:1" x14ac:dyDescent="0.25">
      <c r="A4929" t="s">
        <v>5404</v>
      </c>
    </row>
    <row r="4930" spans="1:1" x14ac:dyDescent="0.25">
      <c r="A4930" t="s">
        <v>5405</v>
      </c>
    </row>
    <row r="4931" spans="1:1" x14ac:dyDescent="0.25">
      <c r="A4931" t="s">
        <v>5406</v>
      </c>
    </row>
    <row r="4932" spans="1:1" x14ac:dyDescent="0.25">
      <c r="A4932" t="s">
        <v>2178</v>
      </c>
    </row>
    <row r="4933" spans="1:1" x14ac:dyDescent="0.25">
      <c r="A4933" t="s">
        <v>5407</v>
      </c>
    </row>
    <row r="4934" spans="1:1" x14ac:dyDescent="0.25">
      <c r="A4934" t="s">
        <v>5408</v>
      </c>
    </row>
    <row r="4935" spans="1:1" x14ac:dyDescent="0.25">
      <c r="A4935" t="s">
        <v>5409</v>
      </c>
    </row>
    <row r="4936" spans="1:1" x14ac:dyDescent="0.25">
      <c r="A4936" t="s">
        <v>5410</v>
      </c>
    </row>
    <row r="4937" spans="1:1" x14ac:dyDescent="0.25">
      <c r="A4937" t="s">
        <v>5411</v>
      </c>
    </row>
    <row r="4938" spans="1:1" x14ac:dyDescent="0.25">
      <c r="A4938" t="s">
        <v>5412</v>
      </c>
    </row>
    <row r="4939" spans="1:1" x14ac:dyDescent="0.25">
      <c r="A4939" t="s">
        <v>5413</v>
      </c>
    </row>
    <row r="4941" spans="1:1" x14ac:dyDescent="0.25">
      <c r="A4941" t="s">
        <v>5414</v>
      </c>
    </row>
    <row r="4942" spans="1:1" x14ac:dyDescent="0.25">
      <c r="A4942" t="s">
        <v>5415</v>
      </c>
    </row>
    <row r="4943" spans="1:1" x14ac:dyDescent="0.25">
      <c r="A4943" t="s">
        <v>5416</v>
      </c>
    </row>
    <row r="4944" spans="1:1" x14ac:dyDescent="0.25">
      <c r="A4944" t="s">
        <v>5417</v>
      </c>
    </row>
    <row r="4945" spans="1:1" x14ac:dyDescent="0.25">
      <c r="A4945" t="s">
        <v>5418</v>
      </c>
    </row>
    <row r="4946" spans="1:1" x14ac:dyDescent="0.25">
      <c r="A4946" t="s">
        <v>5419</v>
      </c>
    </row>
    <row r="4947" spans="1:1" x14ac:dyDescent="0.25">
      <c r="A4947" t="s">
        <v>5420</v>
      </c>
    </row>
    <row r="4948" spans="1:1" x14ac:dyDescent="0.25">
      <c r="A4948" t="s">
        <v>5421</v>
      </c>
    </row>
    <row r="4949" spans="1:1" x14ac:dyDescent="0.25">
      <c r="A4949" t="s">
        <v>5422</v>
      </c>
    </row>
    <row r="4950" spans="1:1" x14ac:dyDescent="0.25">
      <c r="A4950" t="s">
        <v>5423</v>
      </c>
    </row>
    <row r="4951" spans="1:1" x14ac:dyDescent="0.25">
      <c r="A4951" t="s">
        <v>5424</v>
      </c>
    </row>
    <row r="4952" spans="1:1" x14ac:dyDescent="0.25">
      <c r="A4952" t="s">
        <v>5425</v>
      </c>
    </row>
    <row r="4953" spans="1:1" x14ac:dyDescent="0.25">
      <c r="A4953" t="s">
        <v>5426</v>
      </c>
    </row>
    <row r="4954" spans="1:1" x14ac:dyDescent="0.25">
      <c r="A4954" t="s">
        <v>5427</v>
      </c>
    </row>
    <row r="4955" spans="1:1" x14ac:dyDescent="0.25">
      <c r="A4955" t="s">
        <v>5428</v>
      </c>
    </row>
    <row r="4956" spans="1:1" x14ac:dyDescent="0.25">
      <c r="A4956" t="s">
        <v>5429</v>
      </c>
    </row>
    <row r="4957" spans="1:1" x14ac:dyDescent="0.25">
      <c r="A4957" t="s">
        <v>5430</v>
      </c>
    </row>
    <row r="4958" spans="1:1" x14ac:dyDescent="0.25">
      <c r="A4958" t="s">
        <v>5431</v>
      </c>
    </row>
    <row r="4959" spans="1:1" x14ac:dyDescent="0.25">
      <c r="A4959" t="s">
        <v>5432</v>
      </c>
    </row>
    <row r="4960" spans="1:1" x14ac:dyDescent="0.25">
      <c r="A4960" t="s">
        <v>5433</v>
      </c>
    </row>
    <row r="4961" spans="1:1" x14ac:dyDescent="0.25">
      <c r="A4961" t="s">
        <v>5434</v>
      </c>
    </row>
    <row r="4962" spans="1:1" x14ac:dyDescent="0.25">
      <c r="A4962" t="s">
        <v>5435</v>
      </c>
    </row>
    <row r="4963" spans="1:1" x14ac:dyDescent="0.25">
      <c r="A4963" t="s">
        <v>5436</v>
      </c>
    </row>
    <row r="4964" spans="1:1" x14ac:dyDescent="0.25">
      <c r="A4964" t="s">
        <v>5437</v>
      </c>
    </row>
    <row r="4965" spans="1:1" x14ac:dyDescent="0.25">
      <c r="A4965" t="s">
        <v>5438</v>
      </c>
    </row>
    <row r="4966" spans="1:1" x14ac:dyDescent="0.25">
      <c r="A4966" t="s">
        <v>5439</v>
      </c>
    </row>
    <row r="4967" spans="1:1" x14ac:dyDescent="0.25">
      <c r="A4967" t="s">
        <v>5440</v>
      </c>
    </row>
    <row r="4968" spans="1:1" x14ac:dyDescent="0.25">
      <c r="A4968" t="s">
        <v>5441</v>
      </c>
    </row>
    <row r="4969" spans="1:1" x14ac:dyDescent="0.25">
      <c r="A4969" t="s">
        <v>5442</v>
      </c>
    </row>
    <row r="4970" spans="1:1" x14ac:dyDescent="0.25">
      <c r="A4970" t="s">
        <v>5443</v>
      </c>
    </row>
    <row r="4971" spans="1:1" x14ac:dyDescent="0.25">
      <c r="A4971" t="s">
        <v>5444</v>
      </c>
    </row>
    <row r="4972" spans="1:1" x14ac:dyDescent="0.25">
      <c r="A4972" t="s">
        <v>5445</v>
      </c>
    </row>
    <row r="4973" spans="1:1" x14ac:dyDescent="0.25">
      <c r="A4973" t="s">
        <v>5446</v>
      </c>
    </row>
    <row r="4974" spans="1:1" x14ac:dyDescent="0.25">
      <c r="A4974" t="s">
        <v>5447</v>
      </c>
    </row>
    <row r="4975" spans="1:1" x14ac:dyDescent="0.25">
      <c r="A4975" t="s">
        <v>5448</v>
      </c>
    </row>
    <row r="4976" spans="1:1" x14ac:dyDescent="0.25">
      <c r="A4976" t="s">
        <v>5449</v>
      </c>
    </row>
    <row r="4977" spans="1:1" x14ac:dyDescent="0.25">
      <c r="A4977" t="s">
        <v>5450</v>
      </c>
    </row>
    <row r="4978" spans="1:1" x14ac:dyDescent="0.25">
      <c r="A4978" t="s">
        <v>5451</v>
      </c>
    </row>
    <row r="4979" spans="1:1" x14ac:dyDescent="0.25">
      <c r="A4979" t="s">
        <v>5452</v>
      </c>
    </row>
    <row r="4980" spans="1:1" x14ac:dyDescent="0.25">
      <c r="A4980" t="s">
        <v>4739</v>
      </c>
    </row>
    <row r="4981" spans="1:1" x14ac:dyDescent="0.25">
      <c r="A4981" t="s">
        <v>5453</v>
      </c>
    </row>
    <row r="4982" spans="1:1" x14ac:dyDescent="0.25">
      <c r="A4982" t="s">
        <v>5454</v>
      </c>
    </row>
    <row r="4983" spans="1:1" x14ac:dyDescent="0.25">
      <c r="A4983" t="s">
        <v>5455</v>
      </c>
    </row>
    <row r="4984" spans="1:1" x14ac:dyDescent="0.25">
      <c r="A4984" t="s">
        <v>5456</v>
      </c>
    </row>
    <row r="4985" spans="1:1" x14ac:dyDescent="0.25">
      <c r="A4985" t="s">
        <v>5457</v>
      </c>
    </row>
    <row r="4986" spans="1:1" x14ac:dyDescent="0.25">
      <c r="A4986" t="s">
        <v>5458</v>
      </c>
    </row>
    <row r="4987" spans="1:1" x14ac:dyDescent="0.25">
      <c r="A4987" t="s">
        <v>5459</v>
      </c>
    </row>
    <row r="4988" spans="1:1" x14ac:dyDescent="0.25">
      <c r="A4988" t="s">
        <v>5460</v>
      </c>
    </row>
    <row r="4989" spans="1:1" x14ac:dyDescent="0.25">
      <c r="A4989" t="s">
        <v>5461</v>
      </c>
    </row>
    <row r="4990" spans="1:1" x14ac:dyDescent="0.25">
      <c r="A4990" t="s">
        <v>5462</v>
      </c>
    </row>
    <row r="4991" spans="1:1" x14ac:dyDescent="0.25">
      <c r="A4991" t="s">
        <v>5463</v>
      </c>
    </row>
    <row r="4992" spans="1:1" x14ac:dyDescent="0.25">
      <c r="A4992" t="s">
        <v>5464</v>
      </c>
    </row>
    <row r="4993" spans="1:3" x14ac:dyDescent="0.25">
      <c r="A4993" t="s">
        <v>5465</v>
      </c>
    </row>
    <row r="4994" spans="1:3" x14ac:dyDescent="0.25">
      <c r="A4994" t="s">
        <v>5466</v>
      </c>
    </row>
    <row r="4995" spans="1:3" x14ac:dyDescent="0.25">
      <c r="A4995" t="s">
        <v>5467</v>
      </c>
    </row>
    <row r="4996" spans="1:3" x14ac:dyDescent="0.25">
      <c r="A4996" t="s">
        <v>5468</v>
      </c>
    </row>
    <row r="4997" spans="1:3" x14ac:dyDescent="0.25">
      <c r="A4997" t="s">
        <v>5469</v>
      </c>
    </row>
    <row r="4998" spans="1:3" x14ac:dyDescent="0.25">
      <c r="A4998" t="s">
        <v>5470</v>
      </c>
    </row>
    <row r="4999" spans="1:3" x14ac:dyDescent="0.25">
      <c r="A4999" t="s">
        <v>5471</v>
      </c>
    </row>
    <row r="5000" spans="1:3" x14ac:dyDescent="0.25">
      <c r="A5000" t="s">
        <v>5472</v>
      </c>
    </row>
    <row r="5001" spans="1:3" x14ac:dyDescent="0.25">
      <c r="A5001" t="s">
        <v>5470</v>
      </c>
    </row>
    <row r="5002" spans="1:3" x14ac:dyDescent="0.25">
      <c r="A5002" t="s">
        <v>5473</v>
      </c>
    </row>
    <row r="5003" spans="1:3" x14ac:dyDescent="0.25">
      <c r="A5003" t="s">
        <v>5474</v>
      </c>
    </row>
    <row r="5004" spans="1:3" x14ac:dyDescent="0.25">
      <c r="A5004" t="s">
        <v>5475</v>
      </c>
    </row>
    <row r="5005" spans="1:3" x14ac:dyDescent="0.25">
      <c r="A5005" t="s">
        <v>5476</v>
      </c>
      <c r="B5005" t="s">
        <v>5477</v>
      </c>
      <c r="C5005" t="s">
        <v>5478</v>
      </c>
    </row>
    <row r="5006" spans="1:3" x14ac:dyDescent="0.25">
      <c r="A5006" t="s">
        <v>5470</v>
      </c>
    </row>
    <row r="5007" spans="1:3" x14ac:dyDescent="0.25">
      <c r="A5007" t="s">
        <v>1581</v>
      </c>
    </row>
    <row r="5008" spans="1:3" x14ac:dyDescent="0.25">
      <c r="A5008" t="s">
        <v>5479</v>
      </c>
    </row>
    <row r="5009" spans="1:1" x14ac:dyDescent="0.25">
      <c r="A5009" t="s">
        <v>5470</v>
      </c>
    </row>
    <row r="5010" spans="1:1" x14ac:dyDescent="0.25">
      <c r="A5010" t="s">
        <v>5480</v>
      </c>
    </row>
    <row r="5011" spans="1:1" x14ac:dyDescent="0.25">
      <c r="A5011" t="s">
        <v>5481</v>
      </c>
    </row>
    <row r="5012" spans="1:1" x14ac:dyDescent="0.25">
      <c r="A5012" t="s">
        <v>5482</v>
      </c>
    </row>
    <row r="5015" spans="1:1" x14ac:dyDescent="0.25">
      <c r="A5015" t="s">
        <v>1330</v>
      </c>
    </row>
    <row r="5016" spans="1:1" x14ac:dyDescent="0.25">
      <c r="A5016" t="s">
        <v>5483</v>
      </c>
    </row>
    <row r="5017" spans="1:1" x14ac:dyDescent="0.25">
      <c r="A5017" t="s">
        <v>5484</v>
      </c>
    </row>
    <row r="5018" spans="1:1" x14ac:dyDescent="0.25">
      <c r="A5018" t="s">
        <v>5485</v>
      </c>
    </row>
    <row r="5019" spans="1:1" x14ac:dyDescent="0.25">
      <c r="A5019" t="s">
        <v>1455</v>
      </c>
    </row>
    <row r="5020" spans="1:1" x14ac:dyDescent="0.25">
      <c r="A5020" t="s">
        <v>4843</v>
      </c>
    </row>
    <row r="5021" spans="1:1" x14ac:dyDescent="0.25">
      <c r="A5021" t="s">
        <v>5486</v>
      </c>
    </row>
    <row r="5022" spans="1:1" x14ac:dyDescent="0.25">
      <c r="A5022" t="s">
        <v>5487</v>
      </c>
    </row>
    <row r="5023" spans="1:1" x14ac:dyDescent="0.25">
      <c r="A5023" t="s">
        <v>5488</v>
      </c>
    </row>
    <row r="5024" spans="1:1" x14ac:dyDescent="0.25">
      <c r="A5024" t="s">
        <v>5489</v>
      </c>
    </row>
    <row r="5025" spans="1:1" x14ac:dyDescent="0.25">
      <c r="A5025" t="s">
        <v>5486</v>
      </c>
    </row>
    <row r="5026" spans="1:1" x14ac:dyDescent="0.25">
      <c r="A5026" t="s">
        <v>5490</v>
      </c>
    </row>
    <row r="5027" spans="1:1" x14ac:dyDescent="0.25">
      <c r="A5027" t="s">
        <v>5491</v>
      </c>
    </row>
    <row r="5028" spans="1:1" x14ac:dyDescent="0.25">
      <c r="A5028" t="s">
        <v>5492</v>
      </c>
    </row>
    <row r="5029" spans="1:1" x14ac:dyDescent="0.25">
      <c r="A5029" t="s">
        <v>5493</v>
      </c>
    </row>
    <row r="5030" spans="1:1" x14ac:dyDescent="0.25">
      <c r="A5030" t="s">
        <v>5494</v>
      </c>
    </row>
    <row r="5031" spans="1:1" x14ac:dyDescent="0.25">
      <c r="A5031" t="s">
        <v>5495</v>
      </c>
    </row>
    <row r="5032" spans="1:1" x14ac:dyDescent="0.25">
      <c r="A5032" t="s">
        <v>5496</v>
      </c>
    </row>
    <row r="5034" spans="1:1" x14ac:dyDescent="0.25">
      <c r="A5034" t="s">
        <v>5497</v>
      </c>
    </row>
    <row r="5036" spans="1:1" x14ac:dyDescent="0.25">
      <c r="A5036" t="s">
        <v>1590</v>
      </c>
    </row>
    <row r="5037" spans="1:1" x14ac:dyDescent="0.25">
      <c r="A5037" t="s">
        <v>5498</v>
      </c>
    </row>
    <row r="5038" spans="1:1" x14ac:dyDescent="0.25">
      <c r="A5038" t="s">
        <v>5499</v>
      </c>
    </row>
    <row r="5039" spans="1:1" x14ac:dyDescent="0.25">
      <c r="A5039" t="s">
        <v>5500</v>
      </c>
    </row>
    <row r="5040" spans="1:1" x14ac:dyDescent="0.25">
      <c r="A5040" t="s">
        <v>5501</v>
      </c>
    </row>
    <row r="5041" spans="1:2" x14ac:dyDescent="0.25">
      <c r="A5041" t="s">
        <v>5502</v>
      </c>
    </row>
    <row r="5042" spans="1:2" x14ac:dyDescent="0.25">
      <c r="A5042" t="s">
        <v>5503</v>
      </c>
    </row>
    <row r="5043" spans="1:2" x14ac:dyDescent="0.25">
      <c r="A5043" t="s">
        <v>5504</v>
      </c>
    </row>
    <row r="5044" spans="1:2" x14ac:dyDescent="0.25">
      <c r="A5044" t="s">
        <v>5505</v>
      </c>
    </row>
    <row r="5045" spans="1:2" x14ac:dyDescent="0.25">
      <c r="A5045" t="s">
        <v>5506</v>
      </c>
    </row>
    <row r="5046" spans="1:2" x14ac:dyDescent="0.25">
      <c r="A5046" t="s">
        <v>5507</v>
      </c>
      <c r="B5046" t="s">
        <v>5508</v>
      </c>
    </row>
    <row r="5047" spans="1:2" x14ac:dyDescent="0.25">
      <c r="A5047" t="s">
        <v>5509</v>
      </c>
    </row>
    <row r="5048" spans="1:2" x14ac:dyDescent="0.25">
      <c r="A5048" t="s">
        <v>5510</v>
      </c>
    </row>
    <row r="5050" spans="1:2" x14ac:dyDescent="0.25">
      <c r="A5050" t="s">
        <v>5511</v>
      </c>
    </row>
    <row r="5051" spans="1:2" x14ac:dyDescent="0.25">
      <c r="A5051" t="s">
        <v>5512</v>
      </c>
    </row>
    <row r="5052" spans="1:2" x14ac:dyDescent="0.25">
      <c r="A5052" t="s">
        <v>5270</v>
      </c>
    </row>
    <row r="5053" spans="1:2" x14ac:dyDescent="0.25">
      <c r="A5053" t="s">
        <v>5513</v>
      </c>
    </row>
    <row r="5054" spans="1:2" x14ac:dyDescent="0.25">
      <c r="A5054" t="s">
        <v>5514</v>
      </c>
    </row>
    <row r="5055" spans="1:2" x14ac:dyDescent="0.25">
      <c r="A5055" t="s">
        <v>5515</v>
      </c>
      <c r="B5055" t="s">
        <v>5516</v>
      </c>
    </row>
    <row r="5056" spans="1:2" x14ac:dyDescent="0.25">
      <c r="A5056" t="s">
        <v>5517</v>
      </c>
    </row>
    <row r="5057" spans="1:1" x14ac:dyDescent="0.25">
      <c r="A5057" t="s">
        <v>5518</v>
      </c>
    </row>
    <row r="5058" spans="1:1" x14ac:dyDescent="0.25">
      <c r="A5058" t="s">
        <v>5511</v>
      </c>
    </row>
    <row r="5059" spans="1:1" x14ac:dyDescent="0.25">
      <c r="A5059" t="s">
        <v>5519</v>
      </c>
    </row>
    <row r="5060" spans="1:1" x14ac:dyDescent="0.25">
      <c r="A5060" t="s">
        <v>5520</v>
      </c>
    </row>
    <row r="5061" spans="1:1" x14ac:dyDescent="0.25">
      <c r="A5061" t="s">
        <v>5521</v>
      </c>
    </row>
    <row r="5062" spans="1:1" x14ac:dyDescent="0.25">
      <c r="A5062" t="s">
        <v>5522</v>
      </c>
    </row>
    <row r="5063" spans="1:1" x14ac:dyDescent="0.25">
      <c r="A5063" t="s">
        <v>5523</v>
      </c>
    </row>
    <row r="5064" spans="1:1" x14ac:dyDescent="0.25">
      <c r="A5064" t="s">
        <v>5524</v>
      </c>
    </row>
    <row r="5065" spans="1:1" x14ac:dyDescent="0.25">
      <c r="A5065" t="s">
        <v>5525</v>
      </c>
    </row>
    <row r="5066" spans="1:1" x14ac:dyDescent="0.25">
      <c r="A5066" t="s">
        <v>3969</v>
      </c>
    </row>
    <row r="5067" spans="1:1" x14ac:dyDescent="0.25">
      <c r="A5067" t="s">
        <v>5526</v>
      </c>
    </row>
    <row r="5068" spans="1:1" x14ac:dyDescent="0.25">
      <c r="A5068" t="s">
        <v>5527</v>
      </c>
    </row>
    <row r="5069" spans="1:1" x14ac:dyDescent="0.25">
      <c r="A5069" t="s">
        <v>5528</v>
      </c>
    </row>
    <row r="5070" spans="1:1" x14ac:dyDescent="0.25">
      <c r="A5070" t="s">
        <v>5529</v>
      </c>
    </row>
    <row r="5071" spans="1:1" x14ac:dyDescent="0.25">
      <c r="A5071" t="s">
        <v>5530</v>
      </c>
    </row>
    <row r="5072" spans="1:1" x14ac:dyDescent="0.25">
      <c r="A5072" t="s">
        <v>5445</v>
      </c>
    </row>
    <row r="5073" spans="1:1" x14ac:dyDescent="0.25">
      <c r="A5073" t="s">
        <v>5531</v>
      </c>
    </row>
    <row r="5074" spans="1:1" x14ac:dyDescent="0.25">
      <c r="A5074" t="s">
        <v>5532</v>
      </c>
    </row>
    <row r="5075" spans="1:1" x14ac:dyDescent="0.25">
      <c r="A5075" t="s">
        <v>5533</v>
      </c>
    </row>
    <row r="5076" spans="1:1" x14ac:dyDescent="0.25">
      <c r="A5076" t="s">
        <v>5534</v>
      </c>
    </row>
    <row r="5077" spans="1:1" x14ac:dyDescent="0.25">
      <c r="A5077" t="s">
        <v>5535</v>
      </c>
    </row>
    <row r="5078" spans="1:1" x14ac:dyDescent="0.25">
      <c r="A5078" t="s">
        <v>5536</v>
      </c>
    </row>
    <row r="5079" spans="1:1" x14ac:dyDescent="0.25">
      <c r="A5079" t="s">
        <v>5532</v>
      </c>
    </row>
    <row r="5080" spans="1:1" x14ac:dyDescent="0.25">
      <c r="A5080" t="s">
        <v>5537</v>
      </c>
    </row>
    <row r="5081" spans="1:1" x14ac:dyDescent="0.25">
      <c r="A5081" t="s">
        <v>3423</v>
      </c>
    </row>
    <row r="5082" spans="1:1" x14ac:dyDescent="0.25">
      <c r="A5082" t="s">
        <v>5538</v>
      </c>
    </row>
    <row r="5083" spans="1:1" x14ac:dyDescent="0.25">
      <c r="A5083" t="s">
        <v>5539</v>
      </c>
    </row>
    <row r="5084" spans="1:1" x14ac:dyDescent="0.25">
      <c r="A5084" t="s">
        <v>5540</v>
      </c>
    </row>
    <row r="5085" spans="1:1" x14ac:dyDescent="0.25">
      <c r="A5085" t="s">
        <v>5541</v>
      </c>
    </row>
    <row r="5086" spans="1:1" x14ac:dyDescent="0.25">
      <c r="A5086" t="s">
        <v>5542</v>
      </c>
    </row>
    <row r="5087" spans="1:1" x14ac:dyDescent="0.25">
      <c r="A5087" t="s">
        <v>5532</v>
      </c>
    </row>
    <row r="5088" spans="1:1" x14ac:dyDescent="0.25">
      <c r="A5088" t="s">
        <v>5543</v>
      </c>
    </row>
    <row r="5089" spans="1:1" x14ac:dyDescent="0.25">
      <c r="A5089" t="s">
        <v>5544</v>
      </c>
    </row>
    <row r="5090" spans="1:1" x14ac:dyDescent="0.25">
      <c r="A5090" t="s">
        <v>5545</v>
      </c>
    </row>
    <row r="5091" spans="1:1" x14ac:dyDescent="0.25">
      <c r="A5091" t="s">
        <v>5546</v>
      </c>
    </row>
    <row r="5092" spans="1:1" x14ac:dyDescent="0.25">
      <c r="A5092" t="s">
        <v>5547</v>
      </c>
    </row>
    <row r="5093" spans="1:1" x14ac:dyDescent="0.25">
      <c r="A5093" t="s">
        <v>5532</v>
      </c>
    </row>
    <row r="5094" spans="1:1" x14ac:dyDescent="0.25">
      <c r="A5094" t="s">
        <v>5543</v>
      </c>
    </row>
    <row r="5095" spans="1:1" x14ac:dyDescent="0.25">
      <c r="A5095" t="s">
        <v>5544</v>
      </c>
    </row>
    <row r="5096" spans="1:1" x14ac:dyDescent="0.25">
      <c r="A5096" t="s">
        <v>5548</v>
      </c>
    </row>
    <row r="5097" spans="1:1" x14ac:dyDescent="0.25">
      <c r="A5097" t="s">
        <v>5549</v>
      </c>
    </row>
    <row r="5099" spans="1:1" x14ac:dyDescent="0.25">
      <c r="A5099" t="s">
        <v>5532</v>
      </c>
    </row>
    <row r="5100" spans="1:1" x14ac:dyDescent="0.25">
      <c r="A5100" t="s">
        <v>5550</v>
      </c>
    </row>
    <row r="5101" spans="1:1" x14ac:dyDescent="0.25">
      <c r="A5101" t="s">
        <v>5551</v>
      </c>
    </row>
    <row r="5102" spans="1:1" x14ac:dyDescent="0.25">
      <c r="A5102" t="s">
        <v>5552</v>
      </c>
    </row>
    <row r="5103" spans="1:1" x14ac:dyDescent="0.25">
      <c r="A5103" t="s">
        <v>5553</v>
      </c>
    </row>
    <row r="5104" spans="1:1" x14ac:dyDescent="0.25">
      <c r="A5104" t="s">
        <v>5554</v>
      </c>
    </row>
    <row r="5105" spans="1:1" x14ac:dyDescent="0.25">
      <c r="A5105" t="s">
        <v>5555</v>
      </c>
    </row>
    <row r="5106" spans="1:1" x14ac:dyDescent="0.25">
      <c r="A5106" t="s">
        <v>5556</v>
      </c>
    </row>
    <row r="5107" spans="1:1" x14ac:dyDescent="0.25">
      <c r="A5107" t="s">
        <v>5557</v>
      </c>
    </row>
    <row r="5108" spans="1:1" x14ac:dyDescent="0.25">
      <c r="A5108" t="s">
        <v>5558</v>
      </c>
    </row>
    <row r="5109" spans="1:1" x14ac:dyDescent="0.25">
      <c r="A5109" t="s">
        <v>5559</v>
      </c>
    </row>
    <row r="5110" spans="1:1" x14ac:dyDescent="0.25">
      <c r="A5110" t="s">
        <v>5560</v>
      </c>
    </row>
    <row r="5111" spans="1:1" x14ac:dyDescent="0.25">
      <c r="A5111" t="s">
        <v>5561</v>
      </c>
    </row>
    <row r="5112" spans="1:1" x14ac:dyDescent="0.25">
      <c r="A5112" t="s">
        <v>5562</v>
      </c>
    </row>
    <row r="5113" spans="1:1" x14ac:dyDescent="0.25">
      <c r="A5113" t="s">
        <v>5563</v>
      </c>
    </row>
    <row r="5114" spans="1:1" x14ac:dyDescent="0.25">
      <c r="A5114" t="s">
        <v>5564</v>
      </c>
    </row>
    <row r="5115" spans="1:1" x14ac:dyDescent="0.25">
      <c r="A5115" t="s">
        <v>5565</v>
      </c>
    </row>
    <row r="5116" spans="1:1" x14ac:dyDescent="0.25">
      <c r="A5116" t="s">
        <v>5566</v>
      </c>
    </row>
    <row r="5117" spans="1:1" x14ac:dyDescent="0.25">
      <c r="A5117" t="s">
        <v>5567</v>
      </c>
    </row>
    <row r="5118" spans="1:1" x14ac:dyDescent="0.25">
      <c r="A5118" t="s">
        <v>3549</v>
      </c>
    </row>
    <row r="5119" spans="1:1" x14ac:dyDescent="0.25">
      <c r="A5119" t="s">
        <v>5568</v>
      </c>
    </row>
    <row r="5120" spans="1:1" x14ac:dyDescent="0.25">
      <c r="A5120" t="s">
        <v>5569</v>
      </c>
    </row>
    <row r="5121" spans="1:1" x14ac:dyDescent="0.25">
      <c r="A5121" t="s">
        <v>5570</v>
      </c>
    </row>
    <row r="5122" spans="1:1" x14ac:dyDescent="0.25">
      <c r="A5122" t="s">
        <v>5571</v>
      </c>
    </row>
    <row r="5123" spans="1:1" x14ac:dyDescent="0.25">
      <c r="A5123" t="s">
        <v>5572</v>
      </c>
    </row>
    <row r="5124" spans="1:1" x14ac:dyDescent="0.25">
      <c r="A5124" t="s">
        <v>5573</v>
      </c>
    </row>
    <row r="5125" spans="1:1" x14ac:dyDescent="0.25">
      <c r="A5125" t="s">
        <v>5574</v>
      </c>
    </row>
    <row r="5126" spans="1:1" x14ac:dyDescent="0.25">
      <c r="A5126" t="s">
        <v>5575</v>
      </c>
    </row>
    <row r="5127" spans="1:1" x14ac:dyDescent="0.25">
      <c r="A5127" t="s">
        <v>5576</v>
      </c>
    </row>
    <row r="5128" spans="1:1" x14ac:dyDescent="0.25">
      <c r="A5128" t="s">
        <v>5577</v>
      </c>
    </row>
    <row r="5129" spans="1:1" x14ac:dyDescent="0.25">
      <c r="A5129" t="s">
        <v>5578</v>
      </c>
    </row>
    <row r="5130" spans="1:1" x14ac:dyDescent="0.25">
      <c r="A5130" t="s">
        <v>4524</v>
      </c>
    </row>
    <row r="5131" spans="1:1" x14ac:dyDescent="0.25">
      <c r="A5131" t="s">
        <v>4525</v>
      </c>
    </row>
    <row r="5132" spans="1:1" x14ac:dyDescent="0.25">
      <c r="A5132" t="s">
        <v>5579</v>
      </c>
    </row>
    <row r="5133" spans="1:1" x14ac:dyDescent="0.25">
      <c r="A5133" t="s">
        <v>5580</v>
      </c>
    </row>
    <row r="5134" spans="1:1" x14ac:dyDescent="0.25">
      <c r="A5134" t="s">
        <v>5581</v>
      </c>
    </row>
    <row r="5135" spans="1:1" x14ac:dyDescent="0.25">
      <c r="A5135" t="s">
        <v>5582</v>
      </c>
    </row>
    <row r="5136" spans="1:1" x14ac:dyDescent="0.25">
      <c r="A5136" t="s">
        <v>5583</v>
      </c>
    </row>
    <row r="5137" spans="1:1" x14ac:dyDescent="0.25">
      <c r="A5137" t="s">
        <v>5584</v>
      </c>
    </row>
    <row r="5138" spans="1:1" x14ac:dyDescent="0.25">
      <c r="A5138" t="s">
        <v>5585</v>
      </c>
    </row>
    <row r="5139" spans="1:1" x14ac:dyDescent="0.25">
      <c r="A5139" t="s">
        <v>5586</v>
      </c>
    </row>
    <row r="5140" spans="1:1" x14ac:dyDescent="0.25">
      <c r="A5140" t="s">
        <v>5587</v>
      </c>
    </row>
    <row r="5141" spans="1:1" x14ac:dyDescent="0.25">
      <c r="A5141" t="s">
        <v>5588</v>
      </c>
    </row>
    <row r="5142" spans="1:1" x14ac:dyDescent="0.25">
      <c r="A5142" t="s">
        <v>5454</v>
      </c>
    </row>
    <row r="5143" spans="1:1" x14ac:dyDescent="0.25">
      <c r="A5143" t="s">
        <v>5589</v>
      </c>
    </row>
    <row r="5144" spans="1:1" x14ac:dyDescent="0.25">
      <c r="A5144" t="s">
        <v>5590</v>
      </c>
    </row>
    <row r="5145" spans="1:1" x14ac:dyDescent="0.25">
      <c r="A5145" t="s">
        <v>5591</v>
      </c>
    </row>
    <row r="5146" spans="1:1" x14ac:dyDescent="0.25">
      <c r="A5146" t="s">
        <v>5592</v>
      </c>
    </row>
    <row r="5147" spans="1:1" x14ac:dyDescent="0.25">
      <c r="A5147" t="s">
        <v>5593</v>
      </c>
    </row>
    <row r="5148" spans="1:1" x14ac:dyDescent="0.25">
      <c r="A5148" t="s">
        <v>5594</v>
      </c>
    </row>
    <row r="5149" spans="1:1" x14ac:dyDescent="0.25">
      <c r="A5149" t="s">
        <v>5595</v>
      </c>
    </row>
    <row r="5150" spans="1:1" x14ac:dyDescent="0.25">
      <c r="A5150" t="s">
        <v>5596</v>
      </c>
    </row>
    <row r="5151" spans="1:1" x14ac:dyDescent="0.25">
      <c r="A5151" t="s">
        <v>5597</v>
      </c>
    </row>
    <row r="5152" spans="1:1" x14ac:dyDescent="0.25">
      <c r="A5152" t="s">
        <v>4695</v>
      </c>
    </row>
    <row r="5153" spans="1:1" x14ac:dyDescent="0.25">
      <c r="A5153" t="s">
        <v>5598</v>
      </c>
    </row>
    <row r="5154" spans="1:1" x14ac:dyDescent="0.25">
      <c r="A5154" t="s">
        <v>5599</v>
      </c>
    </row>
    <row r="5155" spans="1:1" x14ac:dyDescent="0.25">
      <c r="A5155" t="s">
        <v>5600</v>
      </c>
    </row>
    <row r="5156" spans="1:1" x14ac:dyDescent="0.25">
      <c r="A5156" t="s">
        <v>5601</v>
      </c>
    </row>
    <row r="5157" spans="1:1" x14ac:dyDescent="0.25">
      <c r="A5157" t="s">
        <v>5602</v>
      </c>
    </row>
    <row r="5158" spans="1:1" x14ac:dyDescent="0.25">
      <c r="A5158" t="s">
        <v>5603</v>
      </c>
    </row>
    <row r="5159" spans="1:1" x14ac:dyDescent="0.25">
      <c r="A5159" t="s">
        <v>5604</v>
      </c>
    </row>
    <row r="5160" spans="1:1" x14ac:dyDescent="0.25">
      <c r="A5160" t="s">
        <v>5605</v>
      </c>
    </row>
    <row r="5161" spans="1:1" x14ac:dyDescent="0.25">
      <c r="A5161" t="s">
        <v>5606</v>
      </c>
    </row>
    <row r="5162" spans="1:1" x14ac:dyDescent="0.25">
      <c r="A5162" t="s">
        <v>5607</v>
      </c>
    </row>
    <row r="5163" spans="1:1" x14ac:dyDescent="0.25">
      <c r="A5163" t="s">
        <v>5608</v>
      </c>
    </row>
    <row r="5164" spans="1:1" x14ac:dyDescent="0.25">
      <c r="A5164" t="s">
        <v>5609</v>
      </c>
    </row>
    <row r="5165" spans="1:1" x14ac:dyDescent="0.25">
      <c r="A5165" t="s">
        <v>5610</v>
      </c>
    </row>
    <row r="5166" spans="1:1" x14ac:dyDescent="0.25">
      <c r="A5166" t="s">
        <v>5611</v>
      </c>
    </row>
    <row r="5167" spans="1:1" x14ac:dyDescent="0.25">
      <c r="A5167" t="s">
        <v>5612</v>
      </c>
    </row>
    <row r="5168" spans="1:1" x14ac:dyDescent="0.25">
      <c r="A5168" t="s">
        <v>5613</v>
      </c>
    </row>
    <row r="5170" spans="1:1" x14ac:dyDescent="0.25">
      <c r="A5170" t="s">
        <v>5614</v>
      </c>
    </row>
    <row r="5171" spans="1:1" x14ac:dyDescent="0.25">
      <c r="A5171" t="s">
        <v>5615</v>
      </c>
    </row>
    <row r="5172" spans="1:1" x14ac:dyDescent="0.25">
      <c r="A5172" t="s">
        <v>5616</v>
      </c>
    </row>
    <row r="5173" spans="1:1" x14ac:dyDescent="0.25">
      <c r="A5173" t="s">
        <v>5617</v>
      </c>
    </row>
    <row r="5174" spans="1:1" x14ac:dyDescent="0.25">
      <c r="A5174" t="s">
        <v>5618</v>
      </c>
    </row>
    <row r="5175" spans="1:1" x14ac:dyDescent="0.25">
      <c r="A5175" t="s">
        <v>5619</v>
      </c>
    </row>
    <row r="5176" spans="1:1" x14ac:dyDescent="0.25">
      <c r="A5176" t="s">
        <v>5620</v>
      </c>
    </row>
    <row r="5177" spans="1:1" x14ac:dyDescent="0.25">
      <c r="A5177" t="s">
        <v>5621</v>
      </c>
    </row>
    <row r="5178" spans="1:1" x14ac:dyDescent="0.25">
      <c r="A5178" t="s">
        <v>4404</v>
      </c>
    </row>
    <row r="5179" spans="1:1" x14ac:dyDescent="0.25">
      <c r="A5179" t="s">
        <v>5622</v>
      </c>
    </row>
    <row r="5180" spans="1:1" x14ac:dyDescent="0.25">
      <c r="A5180" t="s">
        <v>5623</v>
      </c>
    </row>
    <row r="5181" spans="1:1" x14ac:dyDescent="0.25">
      <c r="A5181" t="s">
        <v>5624</v>
      </c>
    </row>
    <row r="5182" spans="1:1" x14ac:dyDescent="0.25">
      <c r="A5182" t="s">
        <v>5625</v>
      </c>
    </row>
    <row r="5183" spans="1:1" x14ac:dyDescent="0.25">
      <c r="A5183" t="s">
        <v>5626</v>
      </c>
    </row>
    <row r="5184" spans="1:1" x14ac:dyDescent="0.25">
      <c r="A5184" t="s">
        <v>5627</v>
      </c>
    </row>
    <row r="5185" spans="1:1" x14ac:dyDescent="0.25">
      <c r="A5185" t="s">
        <v>5628</v>
      </c>
    </row>
    <row r="5186" spans="1:1" x14ac:dyDescent="0.25">
      <c r="A5186" t="s">
        <v>5629</v>
      </c>
    </row>
    <row r="5187" spans="1:1" x14ac:dyDescent="0.25">
      <c r="A5187" t="s">
        <v>5630</v>
      </c>
    </row>
    <row r="5188" spans="1:1" x14ac:dyDescent="0.25">
      <c r="A5188" t="s">
        <v>5631</v>
      </c>
    </row>
    <row r="5189" spans="1:1" x14ac:dyDescent="0.25">
      <c r="A5189" t="s">
        <v>5632</v>
      </c>
    </row>
    <row r="5190" spans="1:1" x14ac:dyDescent="0.25">
      <c r="A5190" t="s">
        <v>5633</v>
      </c>
    </row>
    <row r="5191" spans="1:1" x14ac:dyDescent="0.25">
      <c r="A5191" t="s">
        <v>3963</v>
      </c>
    </row>
    <row r="5192" spans="1:1" x14ac:dyDescent="0.25">
      <c r="A5192" t="s">
        <v>5634</v>
      </c>
    </row>
    <row r="5193" spans="1:1" x14ac:dyDescent="0.25">
      <c r="A5193" t="s">
        <v>5635</v>
      </c>
    </row>
    <row r="5194" spans="1:1" x14ac:dyDescent="0.25">
      <c r="A5194" t="s">
        <v>5636</v>
      </c>
    </row>
    <row r="5195" spans="1:1" x14ac:dyDescent="0.25">
      <c r="A5195" t="s">
        <v>5637</v>
      </c>
    </row>
    <row r="5196" spans="1:1" x14ac:dyDescent="0.25">
      <c r="A5196" t="s">
        <v>5638</v>
      </c>
    </row>
    <row r="5197" spans="1:1" x14ac:dyDescent="0.25">
      <c r="A5197" t="s">
        <v>1342</v>
      </c>
    </row>
    <row r="5198" spans="1:1" x14ac:dyDescent="0.25">
      <c r="A5198" t="s">
        <v>5639</v>
      </c>
    </row>
    <row r="5199" spans="1:1" x14ac:dyDescent="0.25">
      <c r="A5199" t="s">
        <v>4601</v>
      </c>
    </row>
    <row r="5200" spans="1:1" x14ac:dyDescent="0.25">
      <c r="A5200" t="s">
        <v>5640</v>
      </c>
    </row>
    <row r="5201" spans="1:1" x14ac:dyDescent="0.25">
      <c r="A5201" t="s">
        <v>5641</v>
      </c>
    </row>
    <row r="5202" spans="1:1" x14ac:dyDescent="0.25">
      <c r="A5202" t="s">
        <v>5642</v>
      </c>
    </row>
    <row r="5203" spans="1:1" x14ac:dyDescent="0.25">
      <c r="A5203" t="s">
        <v>5636</v>
      </c>
    </row>
    <row r="5204" spans="1:1" x14ac:dyDescent="0.25">
      <c r="A5204" t="s">
        <v>5637</v>
      </c>
    </row>
    <row r="5205" spans="1:1" x14ac:dyDescent="0.25">
      <c r="A5205" t="s">
        <v>5643</v>
      </c>
    </row>
    <row r="5206" spans="1:1" x14ac:dyDescent="0.25">
      <c r="A5206" t="s">
        <v>1342</v>
      </c>
    </row>
    <row r="5207" spans="1:1" x14ac:dyDescent="0.25">
      <c r="A5207" t="s">
        <v>5639</v>
      </c>
    </row>
    <row r="5208" spans="1:1" x14ac:dyDescent="0.25">
      <c r="A5208" t="s">
        <v>4601</v>
      </c>
    </row>
    <row r="5209" spans="1:1" x14ac:dyDescent="0.25">
      <c r="A5209" t="s">
        <v>5640</v>
      </c>
    </row>
    <row r="5210" spans="1:1" x14ac:dyDescent="0.25">
      <c r="A5210" t="s">
        <v>5641</v>
      </c>
    </row>
    <row r="5211" spans="1:1" x14ac:dyDescent="0.25">
      <c r="A5211" t="s">
        <v>5642</v>
      </c>
    </row>
    <row r="5212" spans="1:1" x14ac:dyDescent="0.25">
      <c r="A5212" t="s">
        <v>5644</v>
      </c>
    </row>
    <row r="5213" spans="1:1" x14ac:dyDescent="0.25">
      <c r="A5213" t="s">
        <v>5645</v>
      </c>
    </row>
    <row r="5214" spans="1:1" x14ac:dyDescent="0.25">
      <c r="A5214" t="s">
        <v>5646</v>
      </c>
    </row>
    <row r="5215" spans="1:1" x14ac:dyDescent="0.25">
      <c r="A5215" t="s">
        <v>5647</v>
      </c>
    </row>
    <row r="5216" spans="1:1" x14ac:dyDescent="0.25">
      <c r="A5216" t="s">
        <v>3960</v>
      </c>
    </row>
    <row r="5217" spans="1:1" x14ac:dyDescent="0.25">
      <c r="A5217" t="s">
        <v>5648</v>
      </c>
    </row>
    <row r="5218" spans="1:1" x14ac:dyDescent="0.25">
      <c r="A5218" t="s">
        <v>5649</v>
      </c>
    </row>
    <row r="5219" spans="1:1" x14ac:dyDescent="0.25">
      <c r="A5219" t="s">
        <v>5650</v>
      </c>
    </row>
    <row r="5220" spans="1:1" x14ac:dyDescent="0.25">
      <c r="A5220" t="s">
        <v>5651</v>
      </c>
    </row>
    <row r="5221" spans="1:1" x14ac:dyDescent="0.25">
      <c r="A5221" t="s">
        <v>5647</v>
      </c>
    </row>
    <row r="5222" spans="1:1" x14ac:dyDescent="0.25">
      <c r="A5222" t="s">
        <v>5555</v>
      </c>
    </row>
    <row r="5223" spans="1:1" x14ac:dyDescent="0.25">
      <c r="A5223" t="s">
        <v>5652</v>
      </c>
    </row>
    <row r="5224" spans="1:1" x14ac:dyDescent="0.25">
      <c r="A5224" t="s">
        <v>5653</v>
      </c>
    </row>
    <row r="5225" spans="1:1" x14ac:dyDescent="0.25">
      <c r="A5225" t="s">
        <v>5654</v>
      </c>
    </row>
    <row r="5226" spans="1:1" x14ac:dyDescent="0.25">
      <c r="A5226" t="s">
        <v>5655</v>
      </c>
    </row>
    <row r="5227" spans="1:1" x14ac:dyDescent="0.25">
      <c r="A5227" t="s">
        <v>5656</v>
      </c>
    </row>
    <row r="5228" spans="1:1" x14ac:dyDescent="0.25">
      <c r="A5228" t="s">
        <v>5657</v>
      </c>
    </row>
    <row r="5229" spans="1:1" x14ac:dyDescent="0.25">
      <c r="A5229" t="s">
        <v>1330</v>
      </c>
    </row>
    <row r="5230" spans="1:1" x14ac:dyDescent="0.25">
      <c r="A5230" t="s">
        <v>5658</v>
      </c>
    </row>
    <row r="5231" spans="1:1" x14ac:dyDescent="0.25">
      <c r="A5231" t="s">
        <v>5659</v>
      </c>
    </row>
    <row r="5232" spans="1:1" x14ac:dyDescent="0.25">
      <c r="A5232" t="s">
        <v>3860</v>
      </c>
    </row>
    <row r="5233" spans="1:1" x14ac:dyDescent="0.25">
      <c r="A5233" t="s">
        <v>5660</v>
      </c>
    </row>
    <row r="5234" spans="1:1" x14ac:dyDescent="0.25">
      <c r="A5234" t="s">
        <v>5661</v>
      </c>
    </row>
    <row r="5235" spans="1:1" x14ac:dyDescent="0.25">
      <c r="A5235" t="s">
        <v>5662</v>
      </c>
    </row>
    <row r="5236" spans="1:1" x14ac:dyDescent="0.25">
      <c r="A5236" t="s">
        <v>5663</v>
      </c>
    </row>
    <row r="5237" spans="1:1" x14ac:dyDescent="0.25">
      <c r="A5237" t="s">
        <v>5664</v>
      </c>
    </row>
    <row r="5238" spans="1:1" x14ac:dyDescent="0.25">
      <c r="A5238" t="s">
        <v>3860</v>
      </c>
    </row>
    <row r="5239" spans="1:1" x14ac:dyDescent="0.25">
      <c r="A5239" t="s">
        <v>5665</v>
      </c>
    </row>
    <row r="5240" spans="1:1" x14ac:dyDescent="0.25">
      <c r="A5240" t="s">
        <v>5666</v>
      </c>
    </row>
    <row r="5241" spans="1:1" x14ac:dyDescent="0.25">
      <c r="A5241" t="s">
        <v>5667</v>
      </c>
    </row>
    <row r="5242" spans="1:1" x14ac:dyDescent="0.25">
      <c r="A5242" t="s">
        <v>5668</v>
      </c>
    </row>
    <row r="5243" spans="1:1" x14ac:dyDescent="0.25">
      <c r="A5243" t="s">
        <v>5669</v>
      </c>
    </row>
    <row r="5244" spans="1:1" x14ac:dyDescent="0.25">
      <c r="A5244" t="s">
        <v>5218</v>
      </c>
    </row>
    <row r="5246" spans="1:1" x14ac:dyDescent="0.25">
      <c r="A5246" t="s">
        <v>5670</v>
      </c>
    </row>
    <row r="5247" spans="1:1" x14ac:dyDescent="0.25">
      <c r="A5247" t="s">
        <v>5671</v>
      </c>
    </row>
    <row r="5248" spans="1:1" x14ac:dyDescent="0.25">
      <c r="A5248" t="s">
        <v>5672</v>
      </c>
    </row>
    <row r="5249" spans="1:1" x14ac:dyDescent="0.25">
      <c r="A5249" t="s">
        <v>5673</v>
      </c>
    </row>
    <row r="5250" spans="1:1" x14ac:dyDescent="0.25">
      <c r="A5250" t="s">
        <v>5674</v>
      </c>
    </row>
    <row r="5251" spans="1:1" x14ac:dyDescent="0.25">
      <c r="A5251" t="s">
        <v>5675</v>
      </c>
    </row>
    <row r="5252" spans="1:1" x14ac:dyDescent="0.25">
      <c r="A5252" t="s">
        <v>5676</v>
      </c>
    </row>
    <row r="5253" spans="1:1" x14ac:dyDescent="0.25">
      <c r="A5253" t="s">
        <v>5677</v>
      </c>
    </row>
    <row r="5254" spans="1:1" x14ac:dyDescent="0.25">
      <c r="A5254" t="s">
        <v>5678</v>
      </c>
    </row>
    <row r="5255" spans="1:1" x14ac:dyDescent="0.25">
      <c r="A5255" t="s">
        <v>5679</v>
      </c>
    </row>
    <row r="5256" spans="1:1" x14ac:dyDescent="0.25">
      <c r="A5256" t="s">
        <v>5680</v>
      </c>
    </row>
    <row r="5257" spans="1:1" x14ac:dyDescent="0.25">
      <c r="A5257" t="s">
        <v>5681</v>
      </c>
    </row>
    <row r="5258" spans="1:1" x14ac:dyDescent="0.25">
      <c r="A5258" t="s">
        <v>5682</v>
      </c>
    </row>
    <row r="5259" spans="1:1" x14ac:dyDescent="0.25">
      <c r="A5259" t="s">
        <v>5683</v>
      </c>
    </row>
    <row r="5260" spans="1:1" x14ac:dyDescent="0.25">
      <c r="A5260" t="s">
        <v>5684</v>
      </c>
    </row>
    <row r="5261" spans="1:1" x14ac:dyDescent="0.25">
      <c r="A5261" t="s">
        <v>4404</v>
      </c>
    </row>
    <row r="5262" spans="1:1" x14ac:dyDescent="0.25">
      <c r="A5262" t="s">
        <v>5685</v>
      </c>
    </row>
    <row r="5263" spans="1:1" x14ac:dyDescent="0.25">
      <c r="A5263" t="s">
        <v>5686</v>
      </c>
    </row>
    <row r="5264" spans="1:1" x14ac:dyDescent="0.25">
      <c r="A5264" t="s">
        <v>5687</v>
      </c>
    </row>
    <row r="5265" spans="1:1" x14ac:dyDescent="0.25">
      <c r="A5265" t="s">
        <v>5688</v>
      </c>
    </row>
    <row r="5266" spans="1:1" x14ac:dyDescent="0.25">
      <c r="A5266" t="s">
        <v>4828</v>
      </c>
    </row>
    <row r="5267" spans="1:1" x14ac:dyDescent="0.25">
      <c r="A5267" t="s">
        <v>5689</v>
      </c>
    </row>
    <row r="5268" spans="1:1" x14ac:dyDescent="0.25">
      <c r="A5268" t="s">
        <v>5690</v>
      </c>
    </row>
    <row r="5269" spans="1:1" x14ac:dyDescent="0.25">
      <c r="A5269" t="s">
        <v>5691</v>
      </c>
    </row>
    <row r="5270" spans="1:1" x14ac:dyDescent="0.25">
      <c r="A5270" t="s">
        <v>5692</v>
      </c>
    </row>
    <row r="5271" spans="1:1" x14ac:dyDescent="0.25">
      <c r="A5271" t="s">
        <v>5693</v>
      </c>
    </row>
    <row r="5272" spans="1:1" x14ac:dyDescent="0.25">
      <c r="A5272" t="s">
        <v>3169</v>
      </c>
    </row>
    <row r="5273" spans="1:1" x14ac:dyDescent="0.25">
      <c r="A5273" t="s">
        <v>5312</v>
      </c>
    </row>
    <row r="5274" spans="1:1" x14ac:dyDescent="0.25">
      <c r="A5274" t="s">
        <v>5694</v>
      </c>
    </row>
    <row r="5275" spans="1:1" x14ac:dyDescent="0.25">
      <c r="A5275" t="s">
        <v>5695</v>
      </c>
    </row>
    <row r="5276" spans="1:1" x14ac:dyDescent="0.25">
      <c r="A5276" t="s">
        <v>5696</v>
      </c>
    </row>
    <row r="5277" spans="1:1" x14ac:dyDescent="0.25">
      <c r="A5277" t="s">
        <v>5697</v>
      </c>
    </row>
    <row r="5278" spans="1:1" x14ac:dyDescent="0.25">
      <c r="A5278" t="s">
        <v>5698</v>
      </c>
    </row>
    <row r="5279" spans="1:1" x14ac:dyDescent="0.25">
      <c r="A5279" t="s">
        <v>5699</v>
      </c>
    </row>
    <row r="5280" spans="1:1" x14ac:dyDescent="0.25">
      <c r="A5280" t="s">
        <v>5700</v>
      </c>
    </row>
    <row r="5281" spans="1:1" x14ac:dyDescent="0.25">
      <c r="A5281" t="s">
        <v>5701</v>
      </c>
    </row>
    <row r="5282" spans="1:1" x14ac:dyDescent="0.25">
      <c r="A5282" t="s">
        <v>5702</v>
      </c>
    </row>
    <row r="5283" spans="1:1" x14ac:dyDescent="0.25">
      <c r="A5283" t="s">
        <v>5703</v>
      </c>
    </row>
    <row r="5284" spans="1:1" x14ac:dyDescent="0.25">
      <c r="A5284" t="s">
        <v>5704</v>
      </c>
    </row>
    <row r="5285" spans="1:1" x14ac:dyDescent="0.25">
      <c r="A5285" t="s">
        <v>5705</v>
      </c>
    </row>
    <row r="5286" spans="1:1" x14ac:dyDescent="0.25">
      <c r="A5286" t="s">
        <v>5706</v>
      </c>
    </row>
    <row r="5287" spans="1:1" x14ac:dyDescent="0.25">
      <c r="A5287" t="s">
        <v>5707</v>
      </c>
    </row>
    <row r="5288" spans="1:1" x14ac:dyDescent="0.25">
      <c r="A5288" t="s">
        <v>1563</v>
      </c>
    </row>
    <row r="5289" spans="1:1" x14ac:dyDescent="0.25">
      <c r="A5289" t="s">
        <v>5708</v>
      </c>
    </row>
    <row r="5290" spans="1:1" x14ac:dyDescent="0.25">
      <c r="A5290" t="s">
        <v>5709</v>
      </c>
    </row>
    <row r="5291" spans="1:1" x14ac:dyDescent="0.25">
      <c r="A5291" t="s">
        <v>5710</v>
      </c>
    </row>
    <row r="5292" spans="1:1" x14ac:dyDescent="0.25">
      <c r="A5292" t="s">
        <v>5711</v>
      </c>
    </row>
    <row r="5293" spans="1:1" x14ac:dyDescent="0.25">
      <c r="A5293" t="s">
        <v>5712</v>
      </c>
    </row>
    <row r="5294" spans="1:1" x14ac:dyDescent="0.25">
      <c r="A5294" t="s">
        <v>5705</v>
      </c>
    </row>
    <row r="5295" spans="1:1" x14ac:dyDescent="0.25">
      <c r="A5295" t="s">
        <v>5706</v>
      </c>
    </row>
    <row r="5296" spans="1:1" x14ac:dyDescent="0.25">
      <c r="A5296" t="s">
        <v>5713</v>
      </c>
    </row>
    <row r="5297" spans="1:1" x14ac:dyDescent="0.25">
      <c r="A5297" t="s">
        <v>1563</v>
      </c>
    </row>
    <row r="5298" spans="1:1" x14ac:dyDescent="0.25">
      <c r="A5298" t="s">
        <v>5708</v>
      </c>
    </row>
    <row r="5299" spans="1:1" x14ac:dyDescent="0.25">
      <c r="A5299" t="s">
        <v>5709</v>
      </c>
    </row>
    <row r="5300" spans="1:1" x14ac:dyDescent="0.25">
      <c r="A5300" t="s">
        <v>5710</v>
      </c>
    </row>
    <row r="5301" spans="1:1" x14ac:dyDescent="0.25">
      <c r="A5301" t="s">
        <v>5711</v>
      </c>
    </row>
    <row r="5302" spans="1:1" x14ac:dyDescent="0.25">
      <c r="A5302" t="s">
        <v>5714</v>
      </c>
    </row>
    <row r="5303" spans="1:1" x14ac:dyDescent="0.25">
      <c r="A5303" t="s">
        <v>5715</v>
      </c>
    </row>
    <row r="5304" spans="1:1" x14ac:dyDescent="0.25">
      <c r="A5304" t="s">
        <v>5716</v>
      </c>
    </row>
    <row r="5305" spans="1:1" x14ac:dyDescent="0.25">
      <c r="A5305" t="s">
        <v>5717</v>
      </c>
    </row>
    <row r="5306" spans="1:1" x14ac:dyDescent="0.25">
      <c r="A5306" t="s">
        <v>3423</v>
      </c>
    </row>
    <row r="5307" spans="1:1" x14ac:dyDescent="0.25">
      <c r="A5307" t="s">
        <v>5718</v>
      </c>
    </row>
    <row r="5308" spans="1:1" x14ac:dyDescent="0.25">
      <c r="A5308" t="s">
        <v>5719</v>
      </c>
    </row>
    <row r="5309" spans="1:1" x14ac:dyDescent="0.25">
      <c r="A5309" t="s">
        <v>5720</v>
      </c>
    </row>
    <row r="5310" spans="1:1" x14ac:dyDescent="0.25">
      <c r="A5310" t="s">
        <v>5721</v>
      </c>
    </row>
    <row r="5311" spans="1:1" x14ac:dyDescent="0.25">
      <c r="A5311" t="s">
        <v>5722</v>
      </c>
    </row>
    <row r="5312" spans="1:1" x14ac:dyDescent="0.25">
      <c r="A5312" t="s">
        <v>5723</v>
      </c>
    </row>
    <row r="5313" spans="1:1" x14ac:dyDescent="0.25">
      <c r="A5313" t="s">
        <v>4760</v>
      </c>
    </row>
    <row r="5314" spans="1:1" x14ac:dyDescent="0.25">
      <c r="A5314" t="s">
        <v>5724</v>
      </c>
    </row>
    <row r="5315" spans="1:1" x14ac:dyDescent="0.25">
      <c r="A5315" t="s">
        <v>5725</v>
      </c>
    </row>
    <row r="5316" spans="1:1" x14ac:dyDescent="0.25">
      <c r="A5316" t="s">
        <v>5681</v>
      </c>
    </row>
    <row r="5317" spans="1:1" x14ac:dyDescent="0.25">
      <c r="A5317" t="s">
        <v>5726</v>
      </c>
    </row>
    <row r="5318" spans="1:1" x14ac:dyDescent="0.25">
      <c r="A5318" t="s">
        <v>5717</v>
      </c>
    </row>
    <row r="5319" spans="1:1" x14ac:dyDescent="0.25">
      <c r="A5319" t="s">
        <v>3423</v>
      </c>
    </row>
    <row r="5320" spans="1:1" x14ac:dyDescent="0.25">
      <c r="A5320" t="s">
        <v>5727</v>
      </c>
    </row>
    <row r="5321" spans="1:1" x14ac:dyDescent="0.25">
      <c r="A5321" t="s">
        <v>5728</v>
      </c>
    </row>
    <row r="5322" spans="1:1" x14ac:dyDescent="0.25">
      <c r="A5322" t="s">
        <v>5729</v>
      </c>
    </row>
    <row r="5323" spans="1:1" x14ac:dyDescent="0.25">
      <c r="A5323" t="s">
        <v>4411</v>
      </c>
    </row>
    <row r="5324" spans="1:1" x14ac:dyDescent="0.25">
      <c r="A5324" t="s">
        <v>4760</v>
      </c>
    </row>
    <row r="5325" spans="1:1" x14ac:dyDescent="0.25">
      <c r="A5325" t="s">
        <v>5724</v>
      </c>
    </row>
    <row r="5326" spans="1:1" x14ac:dyDescent="0.25">
      <c r="A5326" t="s">
        <v>5730</v>
      </c>
    </row>
    <row r="5327" spans="1:1" x14ac:dyDescent="0.25">
      <c r="A5327" t="s">
        <v>5731</v>
      </c>
    </row>
    <row r="5328" spans="1:1" x14ac:dyDescent="0.25">
      <c r="A5328" t="s">
        <v>5732</v>
      </c>
    </row>
    <row r="5329" spans="1:1" x14ac:dyDescent="0.25">
      <c r="A5329" t="s">
        <v>5717</v>
      </c>
    </row>
    <row r="5330" spans="1:1" x14ac:dyDescent="0.25">
      <c r="A5330" t="s">
        <v>5733</v>
      </c>
    </row>
    <row r="5331" spans="1:1" x14ac:dyDescent="0.25">
      <c r="A5331" t="s">
        <v>5734</v>
      </c>
    </row>
    <row r="5332" spans="1:1" x14ac:dyDescent="0.25">
      <c r="A5332" t="s">
        <v>5735</v>
      </c>
    </row>
    <row r="5333" spans="1:1" x14ac:dyDescent="0.25">
      <c r="A5333" t="s">
        <v>5736</v>
      </c>
    </row>
    <row r="5334" spans="1:1" x14ac:dyDescent="0.25">
      <c r="A5334" t="s">
        <v>5737</v>
      </c>
    </row>
    <row r="5335" spans="1:1" x14ac:dyDescent="0.25">
      <c r="A5335" t="s">
        <v>5738</v>
      </c>
    </row>
    <row r="5336" spans="1:1" x14ac:dyDescent="0.25">
      <c r="A5336" t="s">
        <v>5717</v>
      </c>
    </row>
    <row r="5337" spans="1:1" x14ac:dyDescent="0.25">
      <c r="A5337" t="s">
        <v>5739</v>
      </c>
    </row>
    <row r="5338" spans="1:1" x14ac:dyDescent="0.25">
      <c r="A5338" t="s">
        <v>5740</v>
      </c>
    </row>
    <row r="5339" spans="1:1" x14ac:dyDescent="0.25">
      <c r="A5339" t="s">
        <v>5741</v>
      </c>
    </row>
    <row r="5340" spans="1:1" x14ac:dyDescent="0.25">
      <c r="A5340" t="s">
        <v>1982</v>
      </c>
    </row>
    <row r="5341" spans="1:1" x14ac:dyDescent="0.25">
      <c r="A5341" t="s">
        <v>5742</v>
      </c>
    </row>
    <row r="5342" spans="1:1" x14ac:dyDescent="0.25">
      <c r="A5342" t="s">
        <v>5743</v>
      </c>
    </row>
    <row r="5343" spans="1:1" x14ac:dyDescent="0.25">
      <c r="A5343" t="s">
        <v>5744</v>
      </c>
    </row>
    <row r="5344" spans="1:1" x14ac:dyDescent="0.25">
      <c r="A5344" t="s">
        <v>5745</v>
      </c>
    </row>
    <row r="5345" spans="1:1" x14ac:dyDescent="0.25">
      <c r="A5345" t="s">
        <v>5746</v>
      </c>
    </row>
    <row r="5346" spans="1:1" x14ac:dyDescent="0.25">
      <c r="A5346" t="s">
        <v>5747</v>
      </c>
    </row>
    <row r="5347" spans="1:1" x14ac:dyDescent="0.25">
      <c r="A5347" t="s">
        <v>5748</v>
      </c>
    </row>
    <row r="5348" spans="1:1" x14ac:dyDescent="0.25">
      <c r="A5348" t="s">
        <v>5749</v>
      </c>
    </row>
    <row r="5349" spans="1:1" x14ac:dyDescent="0.25">
      <c r="A5349" t="s">
        <v>5750</v>
      </c>
    </row>
    <row r="5350" spans="1:1" x14ac:dyDescent="0.25">
      <c r="A5350" t="s">
        <v>5751</v>
      </c>
    </row>
    <row r="5351" spans="1:1" x14ac:dyDescent="0.25">
      <c r="A5351" t="s">
        <v>5752</v>
      </c>
    </row>
    <row r="5352" spans="1:1" x14ac:dyDescent="0.25">
      <c r="A5352" t="s">
        <v>5753</v>
      </c>
    </row>
    <row r="5353" spans="1:1" x14ac:dyDescent="0.25">
      <c r="A5353" t="s">
        <v>5754</v>
      </c>
    </row>
    <row r="5354" spans="1:1" x14ac:dyDescent="0.25">
      <c r="A5354" t="s">
        <v>2555</v>
      </c>
    </row>
    <row r="5355" spans="1:1" x14ac:dyDescent="0.25">
      <c r="A5355" t="s">
        <v>5755</v>
      </c>
    </row>
    <row r="5356" spans="1:1" x14ac:dyDescent="0.25">
      <c r="A5356" t="s">
        <v>5756</v>
      </c>
    </row>
    <row r="5357" spans="1:1" x14ac:dyDescent="0.25">
      <c r="A5357" t="s">
        <v>1330</v>
      </c>
    </row>
    <row r="5358" spans="1:1" x14ac:dyDescent="0.25">
      <c r="A5358" t="s">
        <v>5757</v>
      </c>
    </row>
    <row r="5359" spans="1:1" x14ac:dyDescent="0.25">
      <c r="A5359" t="s">
        <v>5758</v>
      </c>
    </row>
    <row r="5360" spans="1:1" x14ac:dyDescent="0.25">
      <c r="A5360" t="s">
        <v>5759</v>
      </c>
    </row>
    <row r="5361" spans="1:1" x14ac:dyDescent="0.25">
      <c r="A5361" t="s">
        <v>5760</v>
      </c>
    </row>
    <row r="5362" spans="1:1" x14ac:dyDescent="0.25">
      <c r="A5362">
        <v>922624478</v>
      </c>
    </row>
    <row r="5363" spans="1:1" x14ac:dyDescent="0.25">
      <c r="A5363" t="s">
        <v>5761</v>
      </c>
    </row>
    <row r="5364" spans="1:1" x14ac:dyDescent="0.25">
      <c r="A5364" t="s">
        <v>5762</v>
      </c>
    </row>
    <row r="5365" spans="1:1" x14ac:dyDescent="0.25">
      <c r="A5365" t="s">
        <v>5763</v>
      </c>
    </row>
    <row r="5366" spans="1:1" x14ac:dyDescent="0.25">
      <c r="A5366" t="s">
        <v>5764</v>
      </c>
    </row>
    <row r="5367" spans="1:1" x14ac:dyDescent="0.25">
      <c r="A5367" t="s">
        <v>5765</v>
      </c>
    </row>
    <row r="5368" spans="1:1" x14ac:dyDescent="0.25">
      <c r="A5368" t="s">
        <v>5766</v>
      </c>
    </row>
    <row r="5369" spans="1:1" x14ac:dyDescent="0.25">
      <c r="A5369" t="s">
        <v>4623</v>
      </c>
    </row>
    <row r="5370" spans="1:1" x14ac:dyDescent="0.25">
      <c r="A5370" t="s">
        <v>5767</v>
      </c>
    </row>
    <row r="5371" spans="1:1" x14ac:dyDescent="0.25">
      <c r="A5371" t="s">
        <v>5768</v>
      </c>
    </row>
    <row r="5372" spans="1:1" x14ac:dyDescent="0.25">
      <c r="A5372" t="s">
        <v>5769</v>
      </c>
    </row>
    <row r="5373" spans="1:1" x14ac:dyDescent="0.25">
      <c r="A5373" t="s">
        <v>5770</v>
      </c>
    </row>
    <row r="5374" spans="1:1" x14ac:dyDescent="0.25">
      <c r="A5374" t="s">
        <v>5771</v>
      </c>
    </row>
    <row r="5376" spans="1:1" x14ac:dyDescent="0.25">
      <c r="A5376" t="s">
        <v>5772</v>
      </c>
    </row>
    <row r="5377" spans="1:1" x14ac:dyDescent="0.25">
      <c r="A5377" t="s">
        <v>5773</v>
      </c>
    </row>
    <row r="5378" spans="1:1" x14ac:dyDescent="0.25">
      <c r="A5378" t="s">
        <v>5774</v>
      </c>
    </row>
    <row r="5379" spans="1:1" x14ac:dyDescent="0.25">
      <c r="A5379" t="s">
        <v>5775</v>
      </c>
    </row>
    <row r="5380" spans="1:1" x14ac:dyDescent="0.25">
      <c r="A5380" t="s">
        <v>5776</v>
      </c>
    </row>
    <row r="5381" spans="1:1" x14ac:dyDescent="0.25">
      <c r="A5381" t="s">
        <v>5777</v>
      </c>
    </row>
    <row r="5383" spans="1:1" x14ac:dyDescent="0.25">
      <c r="A5383" t="s">
        <v>5778</v>
      </c>
    </row>
    <row r="5384" spans="1:1" x14ac:dyDescent="0.25">
      <c r="A5384" t="s">
        <v>5779</v>
      </c>
    </row>
    <row r="5385" spans="1:1" x14ac:dyDescent="0.25">
      <c r="A5385" t="s">
        <v>5780</v>
      </c>
    </row>
    <row r="5386" spans="1:1" x14ac:dyDescent="0.25">
      <c r="A5386" t="s">
        <v>5781</v>
      </c>
    </row>
    <row r="5387" spans="1:1" x14ac:dyDescent="0.25">
      <c r="A5387" t="s">
        <v>5782</v>
      </c>
    </row>
    <row r="5388" spans="1:1" x14ac:dyDescent="0.25">
      <c r="A5388" t="s">
        <v>5783</v>
      </c>
    </row>
    <row r="5389" spans="1:1" x14ac:dyDescent="0.25">
      <c r="A5389" t="s">
        <v>5784</v>
      </c>
    </row>
    <row r="5390" spans="1:1" x14ac:dyDescent="0.25">
      <c r="A5390" t="s">
        <v>5785</v>
      </c>
    </row>
    <row r="5391" spans="1:1" x14ac:dyDescent="0.25">
      <c r="A5391" t="s">
        <v>5786</v>
      </c>
    </row>
    <row r="5392" spans="1:1" x14ac:dyDescent="0.25">
      <c r="A5392" t="s">
        <v>5787</v>
      </c>
    </row>
    <row r="5393" spans="1:1" x14ac:dyDescent="0.25">
      <c r="A5393" t="s">
        <v>5788</v>
      </c>
    </row>
    <row r="5394" spans="1:1" x14ac:dyDescent="0.25">
      <c r="A5394" t="s">
        <v>5789</v>
      </c>
    </row>
    <row r="5395" spans="1:1" x14ac:dyDescent="0.25">
      <c r="A5395" t="s">
        <v>5790</v>
      </c>
    </row>
    <row r="5396" spans="1:1" x14ac:dyDescent="0.25">
      <c r="A5396" t="s">
        <v>1330</v>
      </c>
    </row>
    <row r="5397" spans="1:1" x14ac:dyDescent="0.25">
      <c r="A5397" t="s">
        <v>5791</v>
      </c>
    </row>
    <row r="5398" spans="1:1" x14ac:dyDescent="0.25">
      <c r="A5398" t="s">
        <v>5792</v>
      </c>
    </row>
    <row r="5399" spans="1:1" x14ac:dyDescent="0.25">
      <c r="A5399" t="s">
        <v>5793</v>
      </c>
    </row>
    <row r="5400" spans="1:1" x14ac:dyDescent="0.25">
      <c r="A5400" t="s">
        <v>5794</v>
      </c>
    </row>
    <row r="5401" spans="1:1" x14ac:dyDescent="0.25">
      <c r="A5401" t="s">
        <v>5795</v>
      </c>
    </row>
    <row r="5402" spans="1:1" x14ac:dyDescent="0.25">
      <c r="A5402" t="s">
        <v>5796</v>
      </c>
    </row>
    <row r="5403" spans="1:1" x14ac:dyDescent="0.25">
      <c r="A5403" t="s">
        <v>5797</v>
      </c>
    </row>
    <row r="5404" spans="1:1" x14ac:dyDescent="0.25">
      <c r="A5404" t="s">
        <v>5798</v>
      </c>
    </row>
    <row r="5405" spans="1:1" x14ac:dyDescent="0.25">
      <c r="A5405" t="s">
        <v>5799</v>
      </c>
    </row>
    <row r="5406" spans="1:1" x14ac:dyDescent="0.25">
      <c r="A5406" t="s">
        <v>5800</v>
      </c>
    </row>
    <row r="5407" spans="1:1" x14ac:dyDescent="0.25">
      <c r="A5407" t="s">
        <v>5801</v>
      </c>
    </row>
    <row r="5408" spans="1:1" x14ac:dyDescent="0.25">
      <c r="A5408" t="s">
        <v>5802</v>
      </c>
    </row>
    <row r="5409" spans="1:1" x14ac:dyDescent="0.25">
      <c r="A5409" t="s">
        <v>5799</v>
      </c>
    </row>
    <row r="5410" spans="1:1" x14ac:dyDescent="0.25">
      <c r="A5410" t="s">
        <v>5800</v>
      </c>
    </row>
    <row r="5411" spans="1:1" x14ac:dyDescent="0.25">
      <c r="A5411" t="s">
        <v>5803</v>
      </c>
    </row>
    <row r="5412" spans="1:1" x14ac:dyDescent="0.25">
      <c r="A5412" t="s">
        <v>5802</v>
      </c>
    </row>
    <row r="5413" spans="1:1" x14ac:dyDescent="0.25">
      <c r="A5413" t="s">
        <v>5799</v>
      </c>
    </row>
    <row r="5414" spans="1:1" x14ac:dyDescent="0.25">
      <c r="A5414" t="s">
        <v>5804</v>
      </c>
    </row>
    <row r="5415" spans="1:1" x14ac:dyDescent="0.25">
      <c r="A5415" t="s">
        <v>5805</v>
      </c>
    </row>
    <row r="5416" spans="1:1" x14ac:dyDescent="0.25">
      <c r="A5416" t="s">
        <v>5799</v>
      </c>
    </row>
    <row r="5417" spans="1:1" x14ac:dyDescent="0.25">
      <c r="A5417" t="s">
        <v>5804</v>
      </c>
    </row>
    <row r="5418" spans="1:1" x14ac:dyDescent="0.25">
      <c r="A5418" t="s">
        <v>5806</v>
      </c>
    </row>
    <row r="5419" spans="1:1" x14ac:dyDescent="0.25">
      <c r="A5419" t="s">
        <v>5807</v>
      </c>
    </row>
    <row r="5420" spans="1:1" x14ac:dyDescent="0.25">
      <c r="A5420" t="s">
        <v>5808</v>
      </c>
    </row>
    <row r="5421" spans="1:1" x14ac:dyDescent="0.25">
      <c r="A5421" t="s">
        <v>5809</v>
      </c>
    </row>
    <row r="5422" spans="1:1" x14ac:dyDescent="0.25">
      <c r="A5422" t="s">
        <v>5810</v>
      </c>
    </row>
    <row r="5423" spans="1:1" x14ac:dyDescent="0.25">
      <c r="A5423" t="s">
        <v>5811</v>
      </c>
    </row>
    <row r="5424" spans="1:1" x14ac:dyDescent="0.25">
      <c r="A5424" t="s">
        <v>5812</v>
      </c>
    </row>
    <row r="5425" spans="1:1" x14ac:dyDescent="0.25">
      <c r="A5425" t="s">
        <v>5813</v>
      </c>
    </row>
    <row r="5426" spans="1:1" x14ac:dyDescent="0.25">
      <c r="A5426" t="s">
        <v>5814</v>
      </c>
    </row>
    <row r="5427" spans="1:1" x14ac:dyDescent="0.25">
      <c r="A5427" t="s">
        <v>5815</v>
      </c>
    </row>
    <row r="5428" spans="1:1" x14ac:dyDescent="0.25">
      <c r="A5428" t="s">
        <v>3977</v>
      </c>
    </row>
    <row r="5429" spans="1:1" x14ac:dyDescent="0.25">
      <c r="A5429" t="s">
        <v>5816</v>
      </c>
    </row>
    <row r="5430" spans="1:1" x14ac:dyDescent="0.25">
      <c r="A5430" t="s">
        <v>5817</v>
      </c>
    </row>
    <row r="5431" spans="1:1" x14ac:dyDescent="0.25">
      <c r="A5431" t="s">
        <v>5818</v>
      </c>
    </row>
    <row r="5432" spans="1:1" x14ac:dyDescent="0.25">
      <c r="A5432" t="s">
        <v>5819</v>
      </c>
    </row>
    <row r="5433" spans="1:1" x14ac:dyDescent="0.25">
      <c r="A5433" t="s">
        <v>5820</v>
      </c>
    </row>
    <row r="5434" spans="1:1" x14ac:dyDescent="0.25">
      <c r="A5434" t="s">
        <v>5821</v>
      </c>
    </row>
    <row r="5435" spans="1:1" x14ac:dyDescent="0.25">
      <c r="A5435" t="s">
        <v>5822</v>
      </c>
    </row>
    <row r="5436" spans="1:1" x14ac:dyDescent="0.25">
      <c r="A5436" t="s">
        <v>5823</v>
      </c>
    </row>
    <row r="5437" spans="1:1" x14ac:dyDescent="0.25">
      <c r="A5437" t="s">
        <v>5824</v>
      </c>
    </row>
    <row r="5438" spans="1:1" x14ac:dyDescent="0.25">
      <c r="A5438" t="s">
        <v>5825</v>
      </c>
    </row>
    <row r="5439" spans="1:1" x14ac:dyDescent="0.25">
      <c r="A5439" t="s">
        <v>5312</v>
      </c>
    </row>
    <row r="5440" spans="1:1" x14ac:dyDescent="0.25">
      <c r="A5440" t="s">
        <v>5826</v>
      </c>
    </row>
    <row r="5442" spans="1:1" x14ac:dyDescent="0.25">
      <c r="A5442" t="s">
        <v>5827</v>
      </c>
    </row>
    <row r="5443" spans="1:1" x14ac:dyDescent="0.25">
      <c r="A5443" t="s">
        <v>5828</v>
      </c>
    </row>
    <row r="5444" spans="1:1" x14ac:dyDescent="0.25">
      <c r="A5444" t="s">
        <v>5829</v>
      </c>
    </row>
    <row r="5445" spans="1:1" x14ac:dyDescent="0.25">
      <c r="A5445" t="s">
        <v>1538</v>
      </c>
    </row>
    <row r="5446" spans="1:1" x14ac:dyDescent="0.25">
      <c r="A5446" t="s">
        <v>5830</v>
      </c>
    </row>
    <row r="5447" spans="1:1" x14ac:dyDescent="0.25">
      <c r="A5447" t="s">
        <v>5831</v>
      </c>
    </row>
    <row r="5448" spans="1:1" x14ac:dyDescent="0.25">
      <c r="A5448" t="s">
        <v>5832</v>
      </c>
    </row>
    <row r="5449" spans="1:1" x14ac:dyDescent="0.25">
      <c r="A5449" t="s">
        <v>5833</v>
      </c>
    </row>
    <row r="5450" spans="1:1" x14ac:dyDescent="0.25">
      <c r="A5450" t="s">
        <v>5834</v>
      </c>
    </row>
    <row r="5451" spans="1:1" x14ac:dyDescent="0.25">
      <c r="A5451" t="s">
        <v>5835</v>
      </c>
    </row>
    <row r="5452" spans="1:1" x14ac:dyDescent="0.25">
      <c r="A5452" t="s">
        <v>5836</v>
      </c>
    </row>
    <row r="5453" spans="1:1" x14ac:dyDescent="0.25">
      <c r="A5453" t="s">
        <v>5837</v>
      </c>
    </row>
    <row r="5454" spans="1:1" x14ac:dyDescent="0.25">
      <c r="A5454" t="s">
        <v>5838</v>
      </c>
    </row>
    <row r="5456" spans="1:1" x14ac:dyDescent="0.25">
      <c r="A5456" t="s">
        <v>5836</v>
      </c>
    </row>
    <row r="5457" spans="1:1" x14ac:dyDescent="0.25">
      <c r="A5457" t="s">
        <v>2178</v>
      </c>
    </row>
    <row r="5458" spans="1:1" x14ac:dyDescent="0.25">
      <c r="A5458" t="s">
        <v>5839</v>
      </c>
    </row>
    <row r="5459" spans="1:1" x14ac:dyDescent="0.25">
      <c r="A5459" t="s">
        <v>5840</v>
      </c>
    </row>
    <row r="5460" spans="1:1" x14ac:dyDescent="0.25">
      <c r="A5460" t="s">
        <v>5841</v>
      </c>
    </row>
    <row r="5461" spans="1:1" x14ac:dyDescent="0.25">
      <c r="A5461" t="s">
        <v>5842</v>
      </c>
    </row>
    <row r="5462" spans="1:1" x14ac:dyDescent="0.25">
      <c r="A5462" t="s">
        <v>5843</v>
      </c>
    </row>
    <row r="5463" spans="1:1" x14ac:dyDescent="0.25">
      <c r="A5463">
        <v>2</v>
      </c>
    </row>
    <row r="5464" spans="1:1" x14ac:dyDescent="0.25">
      <c r="A5464" t="s">
        <v>5844</v>
      </c>
    </row>
    <row r="5465" spans="1:1" x14ac:dyDescent="0.25">
      <c r="A5465" t="s">
        <v>5844</v>
      </c>
    </row>
    <row r="5466" spans="1:1" x14ac:dyDescent="0.25">
      <c r="A5466" t="s">
        <v>5845</v>
      </c>
    </row>
    <row r="5467" spans="1:1" x14ac:dyDescent="0.25">
      <c r="A5467" t="s">
        <v>5846</v>
      </c>
    </row>
    <row r="5468" spans="1:1" x14ac:dyDescent="0.25">
      <c r="A5468" t="s">
        <v>5602</v>
      </c>
    </row>
    <row r="5469" spans="1:1" x14ac:dyDescent="0.25">
      <c r="A5469" t="s">
        <v>5847</v>
      </c>
    </row>
    <row r="5470" spans="1:1" x14ac:dyDescent="0.25">
      <c r="A5470" t="s">
        <v>5848</v>
      </c>
    </row>
    <row r="5471" spans="1:1" x14ac:dyDescent="0.25">
      <c r="A5471" t="s">
        <v>5849</v>
      </c>
    </row>
    <row r="5472" spans="1:1" x14ac:dyDescent="0.25">
      <c r="A5472" t="s">
        <v>5850</v>
      </c>
    </row>
    <row r="5473" spans="1:1" x14ac:dyDescent="0.25">
      <c r="A5473" t="s">
        <v>5851</v>
      </c>
    </row>
    <row r="5474" spans="1:1" x14ac:dyDescent="0.25">
      <c r="A5474" t="s">
        <v>5852</v>
      </c>
    </row>
    <row r="5475" spans="1:1" x14ac:dyDescent="0.25">
      <c r="A5475" t="s">
        <v>5853</v>
      </c>
    </row>
    <row r="5476" spans="1:1" x14ac:dyDescent="0.25">
      <c r="A5476" t="s">
        <v>5854</v>
      </c>
    </row>
    <row r="5477" spans="1:1" x14ac:dyDescent="0.25">
      <c r="A5477" t="s">
        <v>5855</v>
      </c>
    </row>
    <row r="5478" spans="1:1" x14ac:dyDescent="0.25">
      <c r="A5478" t="s">
        <v>5856</v>
      </c>
    </row>
    <row r="5479" spans="1:1" x14ac:dyDescent="0.25">
      <c r="A5479" t="s">
        <v>5857</v>
      </c>
    </row>
    <row r="5480" spans="1:1" x14ac:dyDescent="0.25">
      <c r="A5480" t="s">
        <v>5858</v>
      </c>
    </row>
    <row r="5481" spans="1:1" x14ac:dyDescent="0.25">
      <c r="A5481" t="s">
        <v>5859</v>
      </c>
    </row>
    <row r="5482" spans="1:1" x14ac:dyDescent="0.25">
      <c r="A5482" t="s">
        <v>5860</v>
      </c>
    </row>
    <row r="5483" spans="1:1" x14ac:dyDescent="0.25">
      <c r="A5483" t="s">
        <v>5861</v>
      </c>
    </row>
    <row r="5484" spans="1:1" x14ac:dyDescent="0.25">
      <c r="A5484" t="s">
        <v>5862</v>
      </c>
    </row>
    <row r="5485" spans="1:1" x14ac:dyDescent="0.25">
      <c r="A5485" t="s">
        <v>5863</v>
      </c>
    </row>
    <row r="5486" spans="1:1" x14ac:dyDescent="0.25">
      <c r="A5486" t="s">
        <v>5864</v>
      </c>
    </row>
    <row r="5487" spans="1:1" x14ac:dyDescent="0.25">
      <c r="A5487" t="s">
        <v>5865</v>
      </c>
    </row>
    <row r="5488" spans="1:1" x14ac:dyDescent="0.25">
      <c r="A5488" t="s">
        <v>5866</v>
      </c>
    </row>
    <row r="5489" spans="1:1" x14ac:dyDescent="0.25">
      <c r="A5489" t="s">
        <v>5867</v>
      </c>
    </row>
    <row r="5490" spans="1:1" x14ac:dyDescent="0.25">
      <c r="A5490" t="s">
        <v>5868</v>
      </c>
    </row>
    <row r="5491" spans="1:1" x14ac:dyDescent="0.25">
      <c r="A5491" t="s">
        <v>5869</v>
      </c>
    </row>
    <row r="5492" spans="1:1" x14ac:dyDescent="0.25">
      <c r="A5492" t="s">
        <v>5870</v>
      </c>
    </row>
    <row r="5493" spans="1:1" x14ac:dyDescent="0.25">
      <c r="A5493" t="s">
        <v>5871</v>
      </c>
    </row>
    <row r="5494" spans="1:1" x14ac:dyDescent="0.25">
      <c r="A5494" t="s">
        <v>5872</v>
      </c>
    </row>
    <row r="5495" spans="1:1" x14ac:dyDescent="0.25">
      <c r="A5495" t="s">
        <v>5873</v>
      </c>
    </row>
    <row r="5496" spans="1:1" x14ac:dyDescent="0.25">
      <c r="A5496" t="s">
        <v>5874</v>
      </c>
    </row>
    <row r="5497" spans="1:1" x14ac:dyDescent="0.25">
      <c r="A5497" t="s">
        <v>5875</v>
      </c>
    </row>
    <row r="5499" spans="1:1" x14ac:dyDescent="0.25">
      <c r="A5499" t="s">
        <v>5876</v>
      </c>
    </row>
    <row r="5500" spans="1:1" x14ac:dyDescent="0.25">
      <c r="A5500" t="s">
        <v>5877</v>
      </c>
    </row>
    <row r="5501" spans="1:1" x14ac:dyDescent="0.25">
      <c r="A5501" t="s">
        <v>5878</v>
      </c>
    </row>
    <row r="5502" spans="1:1" x14ac:dyDescent="0.25">
      <c r="A5502" t="s">
        <v>5879</v>
      </c>
    </row>
    <row r="5503" spans="1:1" x14ac:dyDescent="0.25">
      <c r="A5503" t="s">
        <v>4418</v>
      </c>
    </row>
    <row r="5504" spans="1:1" x14ac:dyDescent="0.25">
      <c r="A5504" t="s">
        <v>5880</v>
      </c>
    </row>
    <row r="5505" spans="1:1" x14ac:dyDescent="0.25">
      <c r="A5505" t="s">
        <v>5881</v>
      </c>
    </row>
    <row r="5506" spans="1:1" x14ac:dyDescent="0.25">
      <c r="A5506" t="s">
        <v>5882</v>
      </c>
    </row>
    <row r="5507" spans="1:1" x14ac:dyDescent="0.25">
      <c r="A5507" t="s">
        <v>5883</v>
      </c>
    </row>
    <row r="5508" spans="1:1" x14ac:dyDescent="0.25">
      <c r="A5508" t="s">
        <v>5884</v>
      </c>
    </row>
    <row r="5509" spans="1:1" x14ac:dyDescent="0.25">
      <c r="A5509" t="s">
        <v>5034</v>
      </c>
    </row>
    <row r="5510" spans="1:1" x14ac:dyDescent="0.25">
      <c r="A5510" t="s">
        <v>5885</v>
      </c>
    </row>
    <row r="5511" spans="1:1" x14ac:dyDescent="0.25">
      <c r="A5511" t="s">
        <v>5886</v>
      </c>
    </row>
    <row r="5512" spans="1:1" x14ac:dyDescent="0.25">
      <c r="A5512" t="s">
        <v>5884</v>
      </c>
    </row>
    <row r="5513" spans="1:1" x14ac:dyDescent="0.25">
      <c r="A5513" t="s">
        <v>5887</v>
      </c>
    </row>
    <row r="5514" spans="1:1" x14ac:dyDescent="0.25">
      <c r="A5514" t="s">
        <v>5888</v>
      </c>
    </row>
    <row r="5515" spans="1:1" x14ac:dyDescent="0.25">
      <c r="A5515" t="s">
        <v>5889</v>
      </c>
    </row>
    <row r="5516" spans="1:1" x14ac:dyDescent="0.25">
      <c r="A5516">
        <v>985548655</v>
      </c>
    </row>
    <row r="5517" spans="1:1" x14ac:dyDescent="0.25">
      <c r="A5517" t="s">
        <v>5890</v>
      </c>
    </row>
    <row r="5518" spans="1:1" x14ac:dyDescent="0.25">
      <c r="A5518" t="s">
        <v>5891</v>
      </c>
    </row>
    <row r="5519" spans="1:1" x14ac:dyDescent="0.25">
      <c r="A5519" t="s">
        <v>5892</v>
      </c>
    </row>
    <row r="5520" spans="1:1" x14ac:dyDescent="0.25">
      <c r="A5520" t="s">
        <v>5893</v>
      </c>
    </row>
    <row r="5521" spans="1:1" x14ac:dyDescent="0.25">
      <c r="A5521" t="s">
        <v>5894</v>
      </c>
    </row>
    <row r="5522" spans="1:1" x14ac:dyDescent="0.25">
      <c r="A5522" t="s">
        <v>5895</v>
      </c>
    </row>
    <row r="5524" spans="1:1" x14ac:dyDescent="0.25">
      <c r="A5524" t="s">
        <v>5896</v>
      </c>
    </row>
    <row r="5525" spans="1:1" x14ac:dyDescent="0.25">
      <c r="A5525" t="s">
        <v>5897</v>
      </c>
    </row>
    <row r="5526" spans="1:1" x14ac:dyDescent="0.25">
      <c r="A5526" t="s">
        <v>5898</v>
      </c>
    </row>
    <row r="5527" spans="1:1" x14ac:dyDescent="0.25">
      <c r="A5527" t="s">
        <v>5899</v>
      </c>
    </row>
    <row r="5528" spans="1:1" x14ac:dyDescent="0.25">
      <c r="A5528" t="s">
        <v>5900</v>
      </c>
    </row>
    <row r="5529" spans="1:1" x14ac:dyDescent="0.25">
      <c r="A5529" t="s">
        <v>5901</v>
      </c>
    </row>
    <row r="5530" spans="1:1" x14ac:dyDescent="0.25">
      <c r="A5530" t="s">
        <v>5902</v>
      </c>
    </row>
    <row r="5531" spans="1:1" x14ac:dyDescent="0.25">
      <c r="A5531" t="s">
        <v>5903</v>
      </c>
    </row>
    <row r="5532" spans="1:1" x14ac:dyDescent="0.25">
      <c r="A5532" t="s">
        <v>5904</v>
      </c>
    </row>
    <row r="5533" spans="1:1" x14ac:dyDescent="0.25">
      <c r="A5533" t="s">
        <v>5905</v>
      </c>
    </row>
    <row r="5534" spans="1:1" x14ac:dyDescent="0.25">
      <c r="A5534" t="s">
        <v>5809</v>
      </c>
    </row>
    <row r="5535" spans="1:1" x14ac:dyDescent="0.25">
      <c r="A5535" t="s">
        <v>5906</v>
      </c>
    </row>
    <row r="5536" spans="1:1" x14ac:dyDescent="0.25">
      <c r="A5536" t="s">
        <v>5907</v>
      </c>
    </row>
    <row r="5537" spans="1:1" x14ac:dyDescent="0.25">
      <c r="A5537" t="s">
        <v>5908</v>
      </c>
    </row>
    <row r="5538" spans="1:1" x14ac:dyDescent="0.25">
      <c r="A5538" t="s">
        <v>5909</v>
      </c>
    </row>
    <row r="5539" spans="1:1" x14ac:dyDescent="0.25">
      <c r="A5539" t="s">
        <v>5910</v>
      </c>
    </row>
    <row r="5540" spans="1:1" x14ac:dyDescent="0.25">
      <c r="A5540" t="s">
        <v>5911</v>
      </c>
    </row>
    <row r="5541" spans="1:1" x14ac:dyDescent="0.25">
      <c r="A5541" t="s">
        <v>5912</v>
      </c>
    </row>
    <row r="5542" spans="1:1" x14ac:dyDescent="0.25">
      <c r="A5542" t="s">
        <v>5913</v>
      </c>
    </row>
    <row r="5543" spans="1:1" x14ac:dyDescent="0.25">
      <c r="A5543" t="s">
        <v>5914</v>
      </c>
    </row>
    <row r="5544" spans="1:1" x14ac:dyDescent="0.25">
      <c r="A5544" t="s">
        <v>5915</v>
      </c>
    </row>
    <row r="5545" spans="1:1" x14ac:dyDescent="0.25">
      <c r="A5545" t="s">
        <v>5916</v>
      </c>
    </row>
    <row r="5546" spans="1:1" x14ac:dyDescent="0.25">
      <c r="A5546" t="s">
        <v>5917</v>
      </c>
    </row>
    <row r="5547" spans="1:1" x14ac:dyDescent="0.25">
      <c r="A5547" t="s">
        <v>4195</v>
      </c>
    </row>
    <row r="5548" spans="1:1" x14ac:dyDescent="0.25">
      <c r="A5548" t="s">
        <v>5660</v>
      </c>
    </row>
    <row r="5549" spans="1:1" x14ac:dyDescent="0.25">
      <c r="A5549" t="s">
        <v>5918</v>
      </c>
    </row>
    <row r="5550" spans="1:1" x14ac:dyDescent="0.25">
      <c r="A5550" t="s">
        <v>5919</v>
      </c>
    </row>
    <row r="5551" spans="1:1" x14ac:dyDescent="0.25">
      <c r="A5551" t="s">
        <v>5920</v>
      </c>
    </row>
    <row r="5552" spans="1:1" x14ac:dyDescent="0.25">
      <c r="A5552" t="s">
        <v>5921</v>
      </c>
    </row>
    <row r="5553" spans="1:1" x14ac:dyDescent="0.25">
      <c r="A5553" t="s">
        <v>5922</v>
      </c>
    </row>
    <row r="5554" spans="1:1" x14ac:dyDescent="0.25">
      <c r="A5554" t="s">
        <v>5923</v>
      </c>
    </row>
    <row r="5555" spans="1:1" x14ac:dyDescent="0.25">
      <c r="A5555" t="s">
        <v>1330</v>
      </c>
    </row>
    <row r="5556" spans="1:1" x14ac:dyDescent="0.25">
      <c r="A5556" t="s">
        <v>5924</v>
      </c>
    </row>
    <row r="5557" spans="1:1" x14ac:dyDescent="0.25">
      <c r="A5557" t="s">
        <v>5925</v>
      </c>
    </row>
    <row r="5558" spans="1:1" x14ac:dyDescent="0.25">
      <c r="A5558" t="s">
        <v>5926</v>
      </c>
    </row>
    <row r="5559" spans="1:1" x14ac:dyDescent="0.25">
      <c r="A5559" t="s">
        <v>5927</v>
      </c>
    </row>
    <row r="5560" spans="1:1" x14ac:dyDescent="0.25">
      <c r="A5560" t="s">
        <v>5928</v>
      </c>
    </row>
    <row r="5561" spans="1:1" x14ac:dyDescent="0.25">
      <c r="A5561" t="s">
        <v>5929</v>
      </c>
    </row>
    <row r="5562" spans="1:1" x14ac:dyDescent="0.25">
      <c r="A5562" t="s">
        <v>5930</v>
      </c>
    </row>
    <row r="5563" spans="1:1" x14ac:dyDescent="0.25">
      <c r="A5563" t="s">
        <v>5931</v>
      </c>
    </row>
    <row r="5564" spans="1:1" x14ac:dyDescent="0.25">
      <c r="A5564" t="s">
        <v>5932</v>
      </c>
    </row>
    <row r="5565" spans="1:1" x14ac:dyDescent="0.25">
      <c r="A5565" t="s">
        <v>5931</v>
      </c>
    </row>
    <row r="5566" spans="1:1" x14ac:dyDescent="0.25">
      <c r="A5566" t="s">
        <v>5933</v>
      </c>
    </row>
    <row r="5567" spans="1:1" x14ac:dyDescent="0.25">
      <c r="A5567" t="s">
        <v>5934</v>
      </c>
    </row>
    <row r="5568" spans="1:1" x14ac:dyDescent="0.25">
      <c r="A5568" t="s">
        <v>5935</v>
      </c>
    </row>
    <row r="5570" spans="1:1" x14ac:dyDescent="0.25">
      <c r="A5570" t="s">
        <v>5936</v>
      </c>
    </row>
    <row r="5571" spans="1:1" x14ac:dyDescent="0.25">
      <c r="A5571" t="s">
        <v>5937</v>
      </c>
    </row>
    <row r="5573" spans="1:1" x14ac:dyDescent="0.25">
      <c r="A5573" t="s">
        <v>1463</v>
      </c>
    </row>
    <row r="5574" spans="1:1" x14ac:dyDescent="0.25">
      <c r="A5574" t="s">
        <v>5938</v>
      </c>
    </row>
    <row r="5575" spans="1:1" x14ac:dyDescent="0.25">
      <c r="A5575" t="s">
        <v>5939</v>
      </c>
    </row>
    <row r="5576" spans="1:1" x14ac:dyDescent="0.25">
      <c r="A5576" t="s">
        <v>5940</v>
      </c>
    </row>
    <row r="5577" spans="1:1" x14ac:dyDescent="0.25">
      <c r="A5577" t="s">
        <v>5941</v>
      </c>
    </row>
    <row r="5578" spans="1:1" x14ac:dyDescent="0.25">
      <c r="A5578" t="s">
        <v>5942</v>
      </c>
    </row>
    <row r="5579" spans="1:1" x14ac:dyDescent="0.25">
      <c r="A5579" t="s">
        <v>5943</v>
      </c>
    </row>
    <row r="5580" spans="1:1" x14ac:dyDescent="0.25">
      <c r="A5580" t="s">
        <v>5944</v>
      </c>
    </row>
    <row r="5582" spans="1:1" x14ac:dyDescent="0.25">
      <c r="A5582" t="s">
        <v>5945</v>
      </c>
    </row>
    <row r="5583" spans="1:1" x14ac:dyDescent="0.25">
      <c r="A5583" t="s">
        <v>5946</v>
      </c>
    </row>
    <row r="5584" spans="1:1" x14ac:dyDescent="0.25">
      <c r="A5584" t="s">
        <v>5947</v>
      </c>
    </row>
    <row r="5585" spans="1:1" x14ac:dyDescent="0.25">
      <c r="A5585" t="s">
        <v>5948</v>
      </c>
    </row>
    <row r="5586" spans="1:1" x14ac:dyDescent="0.25">
      <c r="A5586" t="s">
        <v>4884</v>
      </c>
    </row>
    <row r="5587" spans="1:1" x14ac:dyDescent="0.25">
      <c r="A5587" t="s">
        <v>5949</v>
      </c>
    </row>
    <row r="5588" spans="1:1" x14ac:dyDescent="0.25">
      <c r="A5588" t="s">
        <v>1330</v>
      </c>
    </row>
    <row r="5589" spans="1:1" x14ac:dyDescent="0.25">
      <c r="A5589" t="s">
        <v>5950</v>
      </c>
    </row>
    <row r="5591" spans="1:1" x14ac:dyDescent="0.25">
      <c r="A5591" t="s">
        <v>5951</v>
      </c>
    </row>
    <row r="5592" spans="1:1" x14ac:dyDescent="0.25">
      <c r="A5592" t="s">
        <v>5952</v>
      </c>
    </row>
    <row r="5593" spans="1:1" x14ac:dyDescent="0.25">
      <c r="A5593" t="s">
        <v>5953</v>
      </c>
    </row>
    <row r="5594" spans="1:1" x14ac:dyDescent="0.25">
      <c r="A5594" t="s">
        <v>5954</v>
      </c>
    </row>
    <row r="5595" spans="1:1" x14ac:dyDescent="0.25">
      <c r="A5595" t="s">
        <v>5955</v>
      </c>
    </row>
    <row r="5596" spans="1:1" x14ac:dyDescent="0.25">
      <c r="A5596" t="s">
        <v>5956</v>
      </c>
    </row>
    <row r="5598" spans="1:1" x14ac:dyDescent="0.25">
      <c r="A5598" t="s">
        <v>5957</v>
      </c>
    </row>
    <row r="5599" spans="1:1" x14ac:dyDescent="0.25">
      <c r="A5599" t="s">
        <v>5958</v>
      </c>
    </row>
    <row r="5600" spans="1:1" x14ac:dyDescent="0.25">
      <c r="A5600" t="s">
        <v>5959</v>
      </c>
    </row>
    <row r="5601" spans="1:1" x14ac:dyDescent="0.25">
      <c r="A5601" t="s">
        <v>5960</v>
      </c>
    </row>
    <row r="5602" spans="1:1" x14ac:dyDescent="0.25">
      <c r="A5602" t="s">
        <v>5961</v>
      </c>
    </row>
    <row r="5603" spans="1:1" x14ac:dyDescent="0.25">
      <c r="A5603" t="s">
        <v>5962</v>
      </c>
    </row>
    <row r="5604" spans="1:1" x14ac:dyDescent="0.25">
      <c r="A5604" t="s">
        <v>5963</v>
      </c>
    </row>
    <row r="5605" spans="1:1" x14ac:dyDescent="0.25">
      <c r="A5605" t="s">
        <v>5964</v>
      </c>
    </row>
    <row r="5606" spans="1:1" x14ac:dyDescent="0.25">
      <c r="A5606" t="s">
        <v>5965</v>
      </c>
    </row>
    <row r="5607" spans="1:1" x14ac:dyDescent="0.25">
      <c r="A5607" t="s">
        <v>5966</v>
      </c>
    </row>
    <row r="5608" spans="1:1" x14ac:dyDescent="0.25">
      <c r="A5608" t="s">
        <v>5967</v>
      </c>
    </row>
    <row r="5609" spans="1:1" x14ac:dyDescent="0.25">
      <c r="A5609" t="s">
        <v>5968</v>
      </c>
    </row>
    <row r="5610" spans="1:1" x14ac:dyDescent="0.25">
      <c r="A5610" t="s">
        <v>5969</v>
      </c>
    </row>
    <row r="5611" spans="1:1" x14ac:dyDescent="0.25">
      <c r="A5611" t="s">
        <v>5970</v>
      </c>
    </row>
    <row r="5612" spans="1:1" x14ac:dyDescent="0.25">
      <c r="A5612" t="s">
        <v>5971</v>
      </c>
    </row>
    <row r="5613" spans="1:1" x14ac:dyDescent="0.25">
      <c r="A5613" t="s">
        <v>5972</v>
      </c>
    </row>
    <row r="5614" spans="1:1" x14ac:dyDescent="0.25">
      <c r="A5614" t="s">
        <v>5973</v>
      </c>
    </row>
    <row r="5615" spans="1:1" x14ac:dyDescent="0.25">
      <c r="A5615" t="s">
        <v>5974</v>
      </c>
    </row>
    <row r="5616" spans="1:1" x14ac:dyDescent="0.25">
      <c r="A5616" t="s">
        <v>5544</v>
      </c>
    </row>
    <row r="5617" spans="1:1" x14ac:dyDescent="0.25">
      <c r="A5617" t="s">
        <v>5975</v>
      </c>
    </row>
    <row r="5618" spans="1:1" x14ac:dyDescent="0.25">
      <c r="A5618" t="s">
        <v>5976</v>
      </c>
    </row>
    <row r="5619" spans="1:1" x14ac:dyDescent="0.25">
      <c r="A5619" t="s">
        <v>5977</v>
      </c>
    </row>
    <row r="5620" spans="1:1" x14ac:dyDescent="0.25">
      <c r="A5620" t="s">
        <v>5978</v>
      </c>
    </row>
    <row r="5621" spans="1:1" x14ac:dyDescent="0.25">
      <c r="A5621" t="s">
        <v>5979</v>
      </c>
    </row>
    <row r="5622" spans="1:1" x14ac:dyDescent="0.25">
      <c r="A5622" t="s">
        <v>5980</v>
      </c>
    </row>
    <row r="5623" spans="1:1" x14ac:dyDescent="0.25">
      <c r="A5623" t="s">
        <v>5981</v>
      </c>
    </row>
    <row r="5624" spans="1:1" x14ac:dyDescent="0.25">
      <c r="A5624" t="s">
        <v>5982</v>
      </c>
    </row>
    <row r="5625" spans="1:1" x14ac:dyDescent="0.25">
      <c r="A5625" t="s">
        <v>5983</v>
      </c>
    </row>
    <row r="5626" spans="1:1" x14ac:dyDescent="0.25">
      <c r="A5626" t="s">
        <v>5984</v>
      </c>
    </row>
    <row r="5627" spans="1:1" x14ac:dyDescent="0.25">
      <c r="A5627" t="s">
        <v>5985</v>
      </c>
    </row>
    <row r="5628" spans="1:1" x14ac:dyDescent="0.25">
      <c r="A5628" t="s">
        <v>5986</v>
      </c>
    </row>
    <row r="5629" spans="1:1" x14ac:dyDescent="0.25">
      <c r="A5629" t="s">
        <v>5987</v>
      </c>
    </row>
    <row r="5630" spans="1:1" x14ac:dyDescent="0.25">
      <c r="A5630" t="s">
        <v>5988</v>
      </c>
    </row>
    <row r="5631" spans="1:1" x14ac:dyDescent="0.25">
      <c r="A5631" t="s">
        <v>5989</v>
      </c>
    </row>
    <row r="5632" spans="1:1" x14ac:dyDescent="0.25">
      <c r="A5632" t="s">
        <v>5990</v>
      </c>
    </row>
    <row r="5633" spans="1:1" x14ac:dyDescent="0.25">
      <c r="A5633" t="s">
        <v>4475</v>
      </c>
    </row>
    <row r="5634" spans="1:1" x14ac:dyDescent="0.25">
      <c r="A5634" t="s">
        <v>5991</v>
      </c>
    </row>
    <row r="5635" spans="1:1" x14ac:dyDescent="0.25">
      <c r="A5635" t="s">
        <v>5992</v>
      </c>
    </row>
    <row r="5636" spans="1:1" x14ac:dyDescent="0.25">
      <c r="A5636" t="s">
        <v>5993</v>
      </c>
    </row>
    <row r="5637" spans="1:1" x14ac:dyDescent="0.25">
      <c r="A5637" t="s">
        <v>5994</v>
      </c>
    </row>
    <row r="5638" spans="1:1" x14ac:dyDescent="0.25">
      <c r="A5638">
        <v>973925627</v>
      </c>
    </row>
    <row r="5639" spans="1:1" x14ac:dyDescent="0.25">
      <c r="A5639" t="s">
        <v>1586</v>
      </c>
    </row>
    <row r="5640" spans="1:1" x14ac:dyDescent="0.25">
      <c r="A5640" t="s">
        <v>2321</v>
      </c>
    </row>
    <row r="5641" spans="1:1" x14ac:dyDescent="0.25">
      <c r="A5641" t="s">
        <v>5995</v>
      </c>
    </row>
    <row r="5644" spans="1:1" x14ac:dyDescent="0.25">
      <c r="A5644" t="s">
        <v>5996</v>
      </c>
    </row>
    <row r="5645" spans="1:1" x14ac:dyDescent="0.25">
      <c r="A5645" t="s">
        <v>5997</v>
      </c>
    </row>
    <row r="5647" spans="1:1" x14ac:dyDescent="0.25">
      <c r="A5647" t="s">
        <v>1463</v>
      </c>
    </row>
    <row r="5648" spans="1:1" x14ac:dyDescent="0.25">
      <c r="A5648" t="s">
        <v>5998</v>
      </c>
    </row>
    <row r="5649" spans="1:1" x14ac:dyDescent="0.25">
      <c r="A5649" t="s">
        <v>5999</v>
      </c>
    </row>
    <row r="5650" spans="1:1" x14ac:dyDescent="0.25">
      <c r="A5650" t="s">
        <v>6000</v>
      </c>
    </row>
    <row r="5651" spans="1:1" x14ac:dyDescent="0.25">
      <c r="A5651" t="s">
        <v>6001</v>
      </c>
    </row>
    <row r="5652" spans="1:1" x14ac:dyDescent="0.25">
      <c r="A5652" t="s">
        <v>6002</v>
      </c>
    </row>
    <row r="5653" spans="1:1" x14ac:dyDescent="0.25">
      <c r="A5653" t="s">
        <v>6003</v>
      </c>
    </row>
    <row r="5654" spans="1:1" x14ac:dyDescent="0.25">
      <c r="A5654" t="s">
        <v>5428</v>
      </c>
    </row>
    <row r="5655" spans="1:1" x14ac:dyDescent="0.25">
      <c r="A5655" t="s">
        <v>6004</v>
      </c>
    </row>
    <row r="5656" spans="1:1" x14ac:dyDescent="0.25">
      <c r="A5656" t="s">
        <v>6005</v>
      </c>
    </row>
    <row r="5657" spans="1:1" x14ac:dyDescent="0.25">
      <c r="A5657" t="s">
        <v>6006</v>
      </c>
    </row>
    <row r="5658" spans="1:1" x14ac:dyDescent="0.25">
      <c r="A5658" t="s">
        <v>6007</v>
      </c>
    </row>
    <row r="5659" spans="1:1" x14ac:dyDescent="0.25">
      <c r="A5659" t="s">
        <v>6008</v>
      </c>
    </row>
    <row r="5660" spans="1:1" x14ac:dyDescent="0.25">
      <c r="A5660" t="s">
        <v>6009</v>
      </c>
    </row>
    <row r="5661" spans="1:1" x14ac:dyDescent="0.25">
      <c r="A5661" t="s">
        <v>6010</v>
      </c>
    </row>
    <row r="5662" spans="1:1" x14ac:dyDescent="0.25">
      <c r="A5662" t="s">
        <v>6011</v>
      </c>
    </row>
    <row r="5663" spans="1:1" x14ac:dyDescent="0.25">
      <c r="A5663" t="s">
        <v>6012</v>
      </c>
    </row>
    <row r="5664" spans="1:1" x14ac:dyDescent="0.25">
      <c r="A5664" t="s">
        <v>6013</v>
      </c>
    </row>
    <row r="5665" spans="1:1" x14ac:dyDescent="0.25">
      <c r="A5665" t="s">
        <v>6014</v>
      </c>
    </row>
    <row r="5666" spans="1:1" x14ac:dyDescent="0.25">
      <c r="A5666" t="s">
        <v>6015</v>
      </c>
    </row>
    <row r="5667" spans="1:1" x14ac:dyDescent="0.25">
      <c r="A5667" t="s">
        <v>6016</v>
      </c>
    </row>
    <row r="5668" spans="1:1" x14ac:dyDescent="0.25">
      <c r="A5668" t="s">
        <v>6017</v>
      </c>
    </row>
    <row r="5669" spans="1:1" x14ac:dyDescent="0.25">
      <c r="A5669" t="s">
        <v>6018</v>
      </c>
    </row>
    <row r="5670" spans="1:1" x14ac:dyDescent="0.25">
      <c r="A5670" t="s">
        <v>6019</v>
      </c>
    </row>
    <row r="5671" spans="1:1" x14ac:dyDescent="0.25">
      <c r="A5671" t="s">
        <v>6020</v>
      </c>
    </row>
    <row r="5672" spans="1:1" x14ac:dyDescent="0.25">
      <c r="A5672" t="s">
        <v>6021</v>
      </c>
    </row>
    <row r="5673" spans="1:1" x14ac:dyDescent="0.25">
      <c r="A5673" t="s">
        <v>6022</v>
      </c>
    </row>
    <row r="5674" spans="1:1" x14ac:dyDescent="0.25">
      <c r="A5674" t="s">
        <v>6023</v>
      </c>
    </row>
    <row r="5675" spans="1:1" x14ac:dyDescent="0.25">
      <c r="A5675" t="s">
        <v>6024</v>
      </c>
    </row>
    <row r="5676" spans="1:1" x14ac:dyDescent="0.25">
      <c r="A5676" t="s">
        <v>6025</v>
      </c>
    </row>
    <row r="5677" spans="1:1" x14ac:dyDescent="0.25">
      <c r="A5677" t="s">
        <v>6015</v>
      </c>
    </row>
    <row r="5678" spans="1:1" x14ac:dyDescent="0.25">
      <c r="A5678" t="s">
        <v>6016</v>
      </c>
    </row>
    <row r="5679" spans="1:1" x14ac:dyDescent="0.25">
      <c r="A5679" t="s">
        <v>6017</v>
      </c>
    </row>
    <row r="5680" spans="1:1" x14ac:dyDescent="0.25">
      <c r="A5680" t="s">
        <v>6026</v>
      </c>
    </row>
    <row r="5681" spans="1:1" x14ac:dyDescent="0.25">
      <c r="A5681" t="s">
        <v>6027</v>
      </c>
    </row>
    <row r="5682" spans="1:1" x14ac:dyDescent="0.25">
      <c r="A5682" t="s">
        <v>6028</v>
      </c>
    </row>
    <row r="5683" spans="1:1" x14ac:dyDescent="0.25">
      <c r="A5683" t="s">
        <v>6029</v>
      </c>
    </row>
    <row r="5685" spans="1:1" x14ac:dyDescent="0.25">
      <c r="A5685" t="s">
        <v>6030</v>
      </c>
    </row>
    <row r="5686" spans="1:1" x14ac:dyDescent="0.25">
      <c r="A5686" t="s">
        <v>6031</v>
      </c>
    </row>
    <row r="5687" spans="1:1" x14ac:dyDescent="0.25">
      <c r="A5687" t="s">
        <v>6032</v>
      </c>
    </row>
    <row r="5688" spans="1:1" x14ac:dyDescent="0.25">
      <c r="A5688" t="s">
        <v>6033</v>
      </c>
    </row>
    <row r="5689" spans="1:1" x14ac:dyDescent="0.25">
      <c r="A5689" t="s">
        <v>6034</v>
      </c>
    </row>
    <row r="5690" spans="1:1" x14ac:dyDescent="0.25">
      <c r="A5690" t="s">
        <v>6035</v>
      </c>
    </row>
    <row r="5691" spans="1:1" x14ac:dyDescent="0.25">
      <c r="A5691" t="s">
        <v>6036</v>
      </c>
    </row>
    <row r="5692" spans="1:1" x14ac:dyDescent="0.25">
      <c r="A5692" t="s">
        <v>2320</v>
      </c>
    </row>
    <row r="5693" spans="1:1" x14ac:dyDescent="0.25">
      <c r="A5693" t="s">
        <v>6037</v>
      </c>
    </row>
    <row r="5694" spans="1:1" x14ac:dyDescent="0.25">
      <c r="A5694" t="s">
        <v>6038</v>
      </c>
    </row>
    <row r="5695" spans="1:1" x14ac:dyDescent="0.25">
      <c r="A5695" t="s">
        <v>6039</v>
      </c>
    </row>
    <row r="5696" spans="1:1" x14ac:dyDescent="0.25">
      <c r="A5696" t="s">
        <v>6040</v>
      </c>
    </row>
    <row r="5697" spans="1:1" x14ac:dyDescent="0.25">
      <c r="A5697" t="s">
        <v>6041</v>
      </c>
    </row>
    <row r="5699" spans="1:1" x14ac:dyDescent="0.25">
      <c r="A5699" t="s">
        <v>2320</v>
      </c>
    </row>
    <row r="5700" spans="1:1" x14ac:dyDescent="0.25">
      <c r="A5700" t="s">
        <v>6042</v>
      </c>
    </row>
    <row r="5701" spans="1:1" x14ac:dyDescent="0.25">
      <c r="A5701" t="s">
        <v>4950</v>
      </c>
    </row>
    <row r="5702" spans="1:1" x14ac:dyDescent="0.25">
      <c r="A5702" t="s">
        <v>6043</v>
      </c>
    </row>
    <row r="5703" spans="1:1" x14ac:dyDescent="0.25">
      <c r="A5703" t="s">
        <v>6044</v>
      </c>
    </row>
    <row r="5705" spans="1:1" x14ac:dyDescent="0.25">
      <c r="A5705" t="s">
        <v>6045</v>
      </c>
    </row>
    <row r="5706" spans="1:1" x14ac:dyDescent="0.25">
      <c r="A5706" t="s">
        <v>6046</v>
      </c>
    </row>
    <row r="5707" spans="1:1" x14ac:dyDescent="0.25">
      <c r="A5707" t="s">
        <v>6047</v>
      </c>
    </row>
    <row r="5708" spans="1:1" x14ac:dyDescent="0.25">
      <c r="A5708" t="s">
        <v>6048</v>
      </c>
    </row>
    <row r="5709" spans="1:1" x14ac:dyDescent="0.25">
      <c r="A5709" t="s">
        <v>6049</v>
      </c>
    </row>
    <row r="5710" spans="1:1" x14ac:dyDescent="0.25">
      <c r="A5710" t="s">
        <v>6050</v>
      </c>
    </row>
    <row r="5711" spans="1:1" x14ac:dyDescent="0.25">
      <c r="A5711" t="s">
        <v>6051</v>
      </c>
    </row>
    <row r="5712" spans="1:1" x14ac:dyDescent="0.25">
      <c r="A5712" t="s">
        <v>6052</v>
      </c>
    </row>
    <row r="5714" spans="1:1" x14ac:dyDescent="0.25">
      <c r="A5714" t="s">
        <v>6053</v>
      </c>
    </row>
    <row r="5715" spans="1:1" x14ac:dyDescent="0.25">
      <c r="A5715" t="s">
        <v>6054</v>
      </c>
    </row>
    <row r="5716" spans="1:1" x14ac:dyDescent="0.25">
      <c r="A5716" t="s">
        <v>6055</v>
      </c>
    </row>
    <row r="5717" spans="1:1" x14ac:dyDescent="0.25">
      <c r="A5717" t="s">
        <v>6056</v>
      </c>
    </row>
    <row r="5718" spans="1:1" x14ac:dyDescent="0.25">
      <c r="A5718" t="s">
        <v>6057</v>
      </c>
    </row>
    <row r="5719" spans="1:1" x14ac:dyDescent="0.25">
      <c r="A5719" t="s">
        <v>6058</v>
      </c>
    </row>
    <row r="5720" spans="1:1" x14ac:dyDescent="0.25">
      <c r="A5720" t="s">
        <v>6059</v>
      </c>
    </row>
    <row r="5721" spans="1:1" x14ac:dyDescent="0.25">
      <c r="A5721" t="s">
        <v>6060</v>
      </c>
    </row>
    <row r="5722" spans="1:1" x14ac:dyDescent="0.25">
      <c r="A5722" t="s">
        <v>6061</v>
      </c>
    </row>
    <row r="5723" spans="1:1" x14ac:dyDescent="0.25">
      <c r="A5723" t="s">
        <v>6062</v>
      </c>
    </row>
    <row r="5724" spans="1:1" x14ac:dyDescent="0.25">
      <c r="A5724" t="s">
        <v>6063</v>
      </c>
    </row>
    <row r="5725" spans="1:1" x14ac:dyDescent="0.25">
      <c r="A5725" t="s">
        <v>6064</v>
      </c>
    </row>
    <row r="5726" spans="1:1" x14ac:dyDescent="0.25">
      <c r="A5726" t="s">
        <v>4404</v>
      </c>
    </row>
    <row r="5727" spans="1:1" x14ac:dyDescent="0.25">
      <c r="A5727" t="s">
        <v>6065</v>
      </c>
    </row>
    <row r="5728" spans="1:1" x14ac:dyDescent="0.25">
      <c r="A5728" t="s">
        <v>6066</v>
      </c>
    </row>
    <row r="5729" spans="1:2" x14ac:dyDescent="0.25">
      <c r="A5729" t="s">
        <v>6067</v>
      </c>
    </row>
    <row r="5730" spans="1:2" x14ac:dyDescent="0.25">
      <c r="A5730" t="s">
        <v>6068</v>
      </c>
    </row>
    <row r="5731" spans="1:2" x14ac:dyDescent="0.25">
      <c r="A5731" t="s">
        <v>6069</v>
      </c>
    </row>
    <row r="5732" spans="1:2" x14ac:dyDescent="0.25">
      <c r="A5732" t="s">
        <v>6070</v>
      </c>
    </row>
    <row r="5733" spans="1:2" x14ac:dyDescent="0.25">
      <c r="A5733" t="s">
        <v>6071</v>
      </c>
    </row>
    <row r="5734" spans="1:2" x14ac:dyDescent="0.25">
      <c r="A5734" t="s">
        <v>6072</v>
      </c>
    </row>
    <row r="5735" spans="1:2" x14ac:dyDescent="0.25">
      <c r="A5735" t="s">
        <v>6073</v>
      </c>
    </row>
    <row r="5736" spans="1:2" x14ac:dyDescent="0.25">
      <c r="A5736" t="s">
        <v>6074</v>
      </c>
    </row>
    <row r="5737" spans="1:2" x14ac:dyDescent="0.25">
      <c r="A5737" t="s">
        <v>6075</v>
      </c>
    </row>
    <row r="5739" spans="1:2" x14ac:dyDescent="0.25">
      <c r="A5739" t="s">
        <v>6076</v>
      </c>
      <c r="B5739" t="s">
        <v>6077</v>
      </c>
    </row>
    <row r="5740" spans="1:2" x14ac:dyDescent="0.25">
      <c r="A5740" t="s">
        <v>6078</v>
      </c>
    </row>
    <row r="5741" spans="1:2" x14ac:dyDescent="0.25">
      <c r="A5741" t="s">
        <v>6079</v>
      </c>
    </row>
    <row r="5742" spans="1:2" x14ac:dyDescent="0.25">
      <c r="A5742" t="s">
        <v>6080</v>
      </c>
    </row>
    <row r="5743" spans="1:2" x14ac:dyDescent="0.25">
      <c r="A5743" t="s">
        <v>6081</v>
      </c>
    </row>
    <row r="5744" spans="1:2" x14ac:dyDescent="0.25">
      <c r="A5744" t="s">
        <v>4475</v>
      </c>
    </row>
    <row r="5745" spans="1:1" x14ac:dyDescent="0.25">
      <c r="A5745" t="s">
        <v>6082</v>
      </c>
    </row>
    <row r="5746" spans="1:1" x14ac:dyDescent="0.25">
      <c r="A5746" t="s">
        <v>6083</v>
      </c>
    </row>
    <row r="5747" spans="1:1" x14ac:dyDescent="0.25">
      <c r="A5747" t="s">
        <v>6084</v>
      </c>
    </row>
    <row r="5748" spans="1:1" x14ac:dyDescent="0.25">
      <c r="A5748" t="s">
        <v>6085</v>
      </c>
    </row>
    <row r="5749" spans="1:1" x14ac:dyDescent="0.25">
      <c r="A5749" t="s">
        <v>6086</v>
      </c>
    </row>
    <row r="5750" spans="1:1" x14ac:dyDescent="0.25">
      <c r="A5750" t="s">
        <v>6087</v>
      </c>
    </row>
    <row r="5751" spans="1:1" x14ac:dyDescent="0.25">
      <c r="A5751" t="s">
        <v>6088</v>
      </c>
    </row>
    <row r="5752" spans="1:1" x14ac:dyDescent="0.25">
      <c r="A5752" t="s">
        <v>6089</v>
      </c>
    </row>
    <row r="5753" spans="1:1" x14ac:dyDescent="0.25">
      <c r="A5753" t="s">
        <v>6090</v>
      </c>
    </row>
    <row r="5754" spans="1:1" x14ac:dyDescent="0.25">
      <c r="A5754" t="s">
        <v>6091</v>
      </c>
    </row>
    <row r="5755" spans="1:1" x14ac:dyDescent="0.25">
      <c r="A5755" t="s">
        <v>6092</v>
      </c>
    </row>
    <row r="5756" spans="1:1" x14ac:dyDescent="0.25">
      <c r="A5756" t="s">
        <v>6093</v>
      </c>
    </row>
    <row r="5757" spans="1:1" x14ac:dyDescent="0.25">
      <c r="A5757" t="s">
        <v>6094</v>
      </c>
    </row>
    <row r="5758" spans="1:1" x14ac:dyDescent="0.25">
      <c r="A5758" t="s">
        <v>6095</v>
      </c>
    </row>
    <row r="5759" spans="1:1" x14ac:dyDescent="0.25">
      <c r="A5759" t="s">
        <v>6096</v>
      </c>
    </row>
    <row r="5760" spans="1:1" x14ac:dyDescent="0.25">
      <c r="A5760" t="s">
        <v>6097</v>
      </c>
    </row>
    <row r="5761" spans="1:1" x14ac:dyDescent="0.25">
      <c r="A5761" t="s">
        <v>6098</v>
      </c>
    </row>
    <row r="5762" spans="1:1" x14ac:dyDescent="0.25">
      <c r="A5762" t="s">
        <v>4648</v>
      </c>
    </row>
    <row r="5763" spans="1:1" x14ac:dyDescent="0.25">
      <c r="A5763" t="s">
        <v>6099</v>
      </c>
    </row>
    <row r="5764" spans="1:1" x14ac:dyDescent="0.25">
      <c r="A5764" t="s">
        <v>6100</v>
      </c>
    </row>
    <row r="5765" spans="1:1" x14ac:dyDescent="0.25">
      <c r="A5765" t="s">
        <v>6101</v>
      </c>
    </row>
    <row r="5766" spans="1:1" x14ac:dyDescent="0.25">
      <c r="A5766" t="s">
        <v>6102</v>
      </c>
    </row>
    <row r="5767" spans="1:1" x14ac:dyDescent="0.25">
      <c r="A5767" t="s">
        <v>6103</v>
      </c>
    </row>
    <row r="5768" spans="1:1" x14ac:dyDescent="0.25">
      <c r="A5768" t="s">
        <v>6104</v>
      </c>
    </row>
    <row r="5769" spans="1:1" x14ac:dyDescent="0.25">
      <c r="A5769" t="s">
        <v>4531</v>
      </c>
    </row>
    <row r="5770" spans="1:1" x14ac:dyDescent="0.25">
      <c r="A5770" t="s">
        <v>6105</v>
      </c>
    </row>
    <row r="5771" spans="1:1" x14ac:dyDescent="0.25">
      <c r="A5771" t="s">
        <v>6106</v>
      </c>
    </row>
    <row r="5772" spans="1:1" x14ac:dyDescent="0.25">
      <c r="A5772" t="s">
        <v>4869</v>
      </c>
    </row>
    <row r="5773" spans="1:1" x14ac:dyDescent="0.25">
      <c r="A5773" t="s">
        <v>6100</v>
      </c>
    </row>
    <row r="5774" spans="1:1" x14ac:dyDescent="0.25">
      <c r="A5774" t="s">
        <v>6107</v>
      </c>
    </row>
    <row r="5775" spans="1:1" x14ac:dyDescent="0.25">
      <c r="A5775" t="s">
        <v>6108</v>
      </c>
    </row>
    <row r="5776" spans="1:1" x14ac:dyDescent="0.25">
      <c r="A5776" t="s">
        <v>6109</v>
      </c>
    </row>
    <row r="5777" spans="1:1" x14ac:dyDescent="0.25">
      <c r="A5777" t="s">
        <v>6110</v>
      </c>
    </row>
    <row r="5778" spans="1:1" x14ac:dyDescent="0.25">
      <c r="A5778" t="s">
        <v>6111</v>
      </c>
    </row>
    <row r="5779" spans="1:1" x14ac:dyDescent="0.25">
      <c r="A5779" t="s">
        <v>6112</v>
      </c>
    </row>
    <row r="5780" spans="1:1" x14ac:dyDescent="0.25">
      <c r="A5780" t="s">
        <v>6113</v>
      </c>
    </row>
    <row r="5781" spans="1:1" x14ac:dyDescent="0.25">
      <c r="A5781" t="s">
        <v>6114</v>
      </c>
    </row>
    <row r="5782" spans="1:1" x14ac:dyDescent="0.25">
      <c r="A5782" t="s">
        <v>6115</v>
      </c>
    </row>
    <row r="5783" spans="1:1" x14ac:dyDescent="0.25">
      <c r="A5783" t="s">
        <v>6116</v>
      </c>
    </row>
    <row r="5784" spans="1:1" x14ac:dyDescent="0.25">
      <c r="A5784" t="s">
        <v>6117</v>
      </c>
    </row>
    <row r="5785" spans="1:1" x14ac:dyDescent="0.25">
      <c r="A5785" t="s">
        <v>6118</v>
      </c>
    </row>
    <row r="5786" spans="1:1" x14ac:dyDescent="0.25">
      <c r="A5786" t="s">
        <v>6119</v>
      </c>
    </row>
    <row r="5787" spans="1:1" x14ac:dyDescent="0.25">
      <c r="A5787" t="s">
        <v>6120</v>
      </c>
    </row>
    <row r="5789" spans="1:1" x14ac:dyDescent="0.25">
      <c r="A5789" t="s">
        <v>6121</v>
      </c>
    </row>
    <row r="5790" spans="1:1" x14ac:dyDescent="0.25">
      <c r="A5790" t="s">
        <v>6122</v>
      </c>
    </row>
    <row r="5791" spans="1:1" x14ac:dyDescent="0.25">
      <c r="A5791" t="s">
        <v>6123</v>
      </c>
    </row>
    <row r="5792" spans="1:1" x14ac:dyDescent="0.25">
      <c r="A5792" t="s">
        <v>6124</v>
      </c>
    </row>
    <row r="5793" spans="1:1" x14ac:dyDescent="0.25">
      <c r="A5793" t="s">
        <v>6121</v>
      </c>
    </row>
    <row r="5794" spans="1:1" x14ac:dyDescent="0.25">
      <c r="A5794" t="s">
        <v>6125</v>
      </c>
    </row>
    <row r="5795" spans="1:1" x14ac:dyDescent="0.25">
      <c r="A5795" t="s">
        <v>6126</v>
      </c>
    </row>
    <row r="5796" spans="1:1" x14ac:dyDescent="0.25">
      <c r="A5796" t="s">
        <v>6127</v>
      </c>
    </row>
    <row r="5797" spans="1:1" x14ac:dyDescent="0.25">
      <c r="A5797" t="s">
        <v>1330</v>
      </c>
    </row>
    <row r="5798" spans="1:1" x14ac:dyDescent="0.25">
      <c r="A5798" t="s">
        <v>6128</v>
      </c>
    </row>
    <row r="5799" spans="1:1" x14ac:dyDescent="0.25">
      <c r="A5799" t="s">
        <v>6129</v>
      </c>
    </row>
    <row r="5800" spans="1:1" x14ac:dyDescent="0.25">
      <c r="A5800" t="s">
        <v>1984</v>
      </c>
    </row>
    <row r="5801" spans="1:1" x14ac:dyDescent="0.25">
      <c r="A5801" t="s">
        <v>6130</v>
      </c>
    </row>
    <row r="5802" spans="1:1" x14ac:dyDescent="0.25">
      <c r="A5802" t="s">
        <v>6131</v>
      </c>
    </row>
    <row r="5803" spans="1:1" x14ac:dyDescent="0.25">
      <c r="A5803" t="s">
        <v>6132</v>
      </c>
    </row>
    <row r="5804" spans="1:1" x14ac:dyDescent="0.25">
      <c r="A5804" t="s">
        <v>6133</v>
      </c>
    </row>
    <row r="5805" spans="1:1" x14ac:dyDescent="0.25">
      <c r="A5805" t="s">
        <v>6134</v>
      </c>
    </row>
    <row r="5806" spans="1:1" x14ac:dyDescent="0.25">
      <c r="A5806" t="s">
        <v>6135</v>
      </c>
    </row>
    <row r="5807" spans="1:1" x14ac:dyDescent="0.25">
      <c r="A5807" t="s">
        <v>4404</v>
      </c>
    </row>
    <row r="5808" spans="1:1" x14ac:dyDescent="0.25">
      <c r="A5808" t="s">
        <v>6136</v>
      </c>
    </row>
    <row r="5809" spans="1:2" x14ac:dyDescent="0.25">
      <c r="A5809" t="s">
        <v>6137</v>
      </c>
    </row>
    <row r="5810" spans="1:2" x14ac:dyDescent="0.25">
      <c r="A5810" t="s">
        <v>6138</v>
      </c>
    </row>
    <row r="5811" spans="1:2" x14ac:dyDescent="0.25">
      <c r="A5811" t="s">
        <v>6139</v>
      </c>
    </row>
    <row r="5812" spans="1:2" x14ac:dyDescent="0.25">
      <c r="A5812" t="s">
        <v>6140</v>
      </c>
    </row>
    <row r="5813" spans="1:2" x14ac:dyDescent="0.25">
      <c r="A5813" t="s">
        <v>6141</v>
      </c>
    </row>
    <row r="5814" spans="1:2" x14ac:dyDescent="0.25">
      <c r="A5814">
        <v>44966750</v>
      </c>
    </row>
    <row r="5815" spans="1:2" x14ac:dyDescent="0.25">
      <c r="A5815" t="s">
        <v>6142</v>
      </c>
    </row>
    <row r="5816" spans="1:2" x14ac:dyDescent="0.25">
      <c r="A5816" t="s">
        <v>6143</v>
      </c>
    </row>
    <row r="5817" spans="1:2" x14ac:dyDescent="0.25">
      <c r="A5817" t="s">
        <v>6144</v>
      </c>
    </row>
    <row r="5818" spans="1:2" x14ac:dyDescent="0.25">
      <c r="A5818" t="s">
        <v>6145</v>
      </c>
      <c r="B5818" t="s">
        <v>6146</v>
      </c>
    </row>
    <row r="5819" spans="1:2" x14ac:dyDescent="0.25">
      <c r="A5819" t="s">
        <v>6147</v>
      </c>
    </row>
    <row r="5820" spans="1:2" x14ac:dyDescent="0.25">
      <c r="A5820" t="s">
        <v>6148</v>
      </c>
    </row>
    <row r="5821" spans="1:2" x14ac:dyDescent="0.25">
      <c r="A5821" t="s">
        <v>6149</v>
      </c>
    </row>
    <row r="5822" spans="1:2" x14ac:dyDescent="0.25">
      <c r="A5822" t="s">
        <v>6150</v>
      </c>
    </row>
    <row r="5825" spans="1:1" x14ac:dyDescent="0.25">
      <c r="A5825" t="s">
        <v>6151</v>
      </c>
    </row>
    <row r="5826" spans="1:1" x14ac:dyDescent="0.25">
      <c r="A5826" t="s">
        <v>5676</v>
      </c>
    </row>
    <row r="5827" spans="1:1" x14ac:dyDescent="0.25">
      <c r="A5827" t="s">
        <v>6152</v>
      </c>
    </row>
    <row r="5828" spans="1:1" x14ac:dyDescent="0.25">
      <c r="A5828" t="s">
        <v>6153</v>
      </c>
    </row>
    <row r="5829" spans="1:1" x14ac:dyDescent="0.25">
      <c r="A5829" t="s">
        <v>6154</v>
      </c>
    </row>
    <row r="5830" spans="1:1" x14ac:dyDescent="0.25">
      <c r="A5830" t="s">
        <v>6155</v>
      </c>
    </row>
    <row r="5831" spans="1:1" x14ac:dyDescent="0.25">
      <c r="A5831" t="s">
        <v>6156</v>
      </c>
    </row>
    <row r="5833" spans="1:1" x14ac:dyDescent="0.25">
      <c r="A5833" t="s">
        <v>6157</v>
      </c>
    </row>
    <row r="5834" spans="1:1" x14ac:dyDescent="0.25">
      <c r="A5834" t="s">
        <v>6158</v>
      </c>
    </row>
    <row r="5835" spans="1:1" x14ac:dyDescent="0.25">
      <c r="A5835" t="s">
        <v>6159</v>
      </c>
    </row>
    <row r="5836" spans="1:1" x14ac:dyDescent="0.25">
      <c r="A5836" t="s">
        <v>6160</v>
      </c>
    </row>
    <row r="5837" spans="1:1" x14ac:dyDescent="0.25">
      <c r="A5837" t="s">
        <v>6161</v>
      </c>
    </row>
    <row r="5838" spans="1:1" x14ac:dyDescent="0.25">
      <c r="A5838" t="s">
        <v>4547</v>
      </c>
    </row>
    <row r="5839" spans="1:1" x14ac:dyDescent="0.25">
      <c r="A5839" t="s">
        <v>6162</v>
      </c>
    </row>
    <row r="5840" spans="1:1" x14ac:dyDescent="0.25">
      <c r="A5840" t="s">
        <v>6163</v>
      </c>
    </row>
    <row r="5841" spans="1:1" x14ac:dyDescent="0.25">
      <c r="A5841" t="s">
        <v>6164</v>
      </c>
    </row>
    <row r="5842" spans="1:1" x14ac:dyDescent="0.25">
      <c r="A5842" t="s">
        <v>6165</v>
      </c>
    </row>
    <row r="5843" spans="1:1" x14ac:dyDescent="0.25">
      <c r="A5843" t="s">
        <v>6166</v>
      </c>
    </row>
    <row r="5844" spans="1:1" x14ac:dyDescent="0.25">
      <c r="A5844" t="s">
        <v>6167</v>
      </c>
    </row>
    <row r="5845" spans="1:1" x14ac:dyDescent="0.25">
      <c r="A5845" t="s">
        <v>6168</v>
      </c>
    </row>
    <row r="5846" spans="1:1" x14ac:dyDescent="0.25">
      <c r="A5846" t="s">
        <v>6169</v>
      </c>
    </row>
    <row r="5847" spans="1:1" x14ac:dyDescent="0.25">
      <c r="A5847" t="s">
        <v>6170</v>
      </c>
    </row>
    <row r="5848" spans="1:1" x14ac:dyDescent="0.25">
      <c r="A5848" t="s">
        <v>6171</v>
      </c>
    </row>
    <row r="5849" spans="1:1" x14ac:dyDescent="0.25">
      <c r="A5849" t="s">
        <v>6172</v>
      </c>
    </row>
    <row r="5850" spans="1:1" x14ac:dyDescent="0.25">
      <c r="A5850" t="s">
        <v>6173</v>
      </c>
    </row>
    <row r="5851" spans="1:1" x14ac:dyDescent="0.25">
      <c r="A5851" t="s">
        <v>6174</v>
      </c>
    </row>
    <row r="5852" spans="1:1" x14ac:dyDescent="0.25">
      <c r="A5852" t="s">
        <v>6175</v>
      </c>
    </row>
    <row r="5853" spans="1:1" x14ac:dyDescent="0.25">
      <c r="A5853" t="s">
        <v>6176</v>
      </c>
    </row>
    <row r="5854" spans="1:1" x14ac:dyDescent="0.25">
      <c r="A5854" t="s">
        <v>6177</v>
      </c>
    </row>
    <row r="5855" spans="1:1" x14ac:dyDescent="0.25">
      <c r="A5855" t="s">
        <v>6178</v>
      </c>
    </row>
    <row r="5856" spans="1:1" x14ac:dyDescent="0.25">
      <c r="A5856" t="s">
        <v>6179</v>
      </c>
    </row>
    <row r="5857" spans="1:1" x14ac:dyDescent="0.25">
      <c r="A5857" t="s">
        <v>6180</v>
      </c>
    </row>
    <row r="5858" spans="1:1" x14ac:dyDescent="0.25">
      <c r="A5858" t="s">
        <v>6181</v>
      </c>
    </row>
    <row r="5859" spans="1:1" x14ac:dyDescent="0.25">
      <c r="A5859" t="s">
        <v>4404</v>
      </c>
    </row>
    <row r="5860" spans="1:1" x14ac:dyDescent="0.25">
      <c r="A5860" t="s">
        <v>6182</v>
      </c>
    </row>
    <row r="5861" spans="1:1" x14ac:dyDescent="0.25">
      <c r="A5861" t="s">
        <v>6183</v>
      </c>
    </row>
    <row r="5862" spans="1:1" x14ac:dyDescent="0.25">
      <c r="A5862" t="s">
        <v>6184</v>
      </c>
    </row>
    <row r="5863" spans="1:1" x14ac:dyDescent="0.25">
      <c r="A5863" t="s">
        <v>6185</v>
      </c>
    </row>
    <row r="5864" spans="1:1" x14ac:dyDescent="0.25">
      <c r="A5864" t="s">
        <v>6186</v>
      </c>
    </row>
    <row r="5865" spans="1:1" x14ac:dyDescent="0.25">
      <c r="A5865" t="s">
        <v>6187</v>
      </c>
    </row>
    <row r="5866" spans="1:1" x14ac:dyDescent="0.25">
      <c r="A5866" t="s">
        <v>6188</v>
      </c>
    </row>
    <row r="5867" spans="1:1" x14ac:dyDescent="0.25">
      <c r="A5867" t="s">
        <v>6189</v>
      </c>
    </row>
    <row r="5868" spans="1:1" x14ac:dyDescent="0.25">
      <c r="A5868" t="s">
        <v>5053</v>
      </c>
    </row>
    <row r="5869" spans="1:1" x14ac:dyDescent="0.25">
      <c r="A5869" t="s">
        <v>6190</v>
      </c>
    </row>
    <row r="5870" spans="1:1" x14ac:dyDescent="0.25">
      <c r="A5870" t="s">
        <v>6191</v>
      </c>
    </row>
    <row r="5871" spans="1:1" x14ac:dyDescent="0.25">
      <c r="A5871" t="s">
        <v>2312</v>
      </c>
    </row>
    <row r="5872" spans="1:1" x14ac:dyDescent="0.25">
      <c r="A5872" t="s">
        <v>6192</v>
      </c>
    </row>
    <row r="5873" spans="1:1" x14ac:dyDescent="0.25">
      <c r="A5873" t="s">
        <v>6193</v>
      </c>
    </row>
    <row r="5874" spans="1:1" x14ac:dyDescent="0.25">
      <c r="A5874" t="s">
        <v>6194</v>
      </c>
    </row>
    <row r="5875" spans="1:1" x14ac:dyDescent="0.25">
      <c r="A5875" t="s">
        <v>6191</v>
      </c>
    </row>
    <row r="5876" spans="1:1" x14ac:dyDescent="0.25">
      <c r="A5876" t="s">
        <v>4950</v>
      </c>
    </row>
    <row r="5877" spans="1:1" x14ac:dyDescent="0.25">
      <c r="A5877" t="s">
        <v>6195</v>
      </c>
    </row>
    <row r="5878" spans="1:1" x14ac:dyDescent="0.25">
      <c r="A5878">
        <v>46373476</v>
      </c>
    </row>
    <row r="5879" spans="1:1" x14ac:dyDescent="0.25">
      <c r="A5879">
        <v>951082771</v>
      </c>
    </row>
    <row r="5880" spans="1:1" x14ac:dyDescent="0.25">
      <c r="A5880" t="s">
        <v>6196</v>
      </c>
    </row>
    <row r="5881" spans="1:1" x14ac:dyDescent="0.25">
      <c r="A5881" t="s">
        <v>6197</v>
      </c>
    </row>
    <row r="5882" spans="1:1" x14ac:dyDescent="0.25">
      <c r="A5882" t="s">
        <v>6198</v>
      </c>
    </row>
    <row r="5883" spans="1:1" x14ac:dyDescent="0.25">
      <c r="A5883" t="s">
        <v>6199</v>
      </c>
    </row>
    <row r="5884" spans="1:1" x14ac:dyDescent="0.25">
      <c r="A5884" t="s">
        <v>6200</v>
      </c>
    </row>
    <row r="5885" spans="1:1" x14ac:dyDescent="0.25">
      <c r="A5885" t="s">
        <v>6201</v>
      </c>
    </row>
    <row r="5886" spans="1:1" x14ac:dyDescent="0.25">
      <c r="A5886" t="s">
        <v>6202</v>
      </c>
    </row>
    <row r="5887" spans="1:1" x14ac:dyDescent="0.25">
      <c r="A5887" t="s">
        <v>4648</v>
      </c>
    </row>
    <row r="5888" spans="1:1" x14ac:dyDescent="0.25">
      <c r="A5888" t="s">
        <v>6203</v>
      </c>
    </row>
    <row r="5889" spans="1:1" x14ac:dyDescent="0.25">
      <c r="A5889" t="s">
        <v>6204</v>
      </c>
    </row>
    <row r="5890" spans="1:1" x14ac:dyDescent="0.25">
      <c r="A5890" t="s">
        <v>6205</v>
      </c>
    </row>
    <row r="5891" spans="1:1" x14ac:dyDescent="0.25">
      <c r="A5891" t="s">
        <v>6206</v>
      </c>
    </row>
    <row r="5892" spans="1:1" x14ac:dyDescent="0.25">
      <c r="A5892" t="s">
        <v>6207</v>
      </c>
    </row>
    <row r="5893" spans="1:1" x14ac:dyDescent="0.25">
      <c r="A5893" t="s">
        <v>6208</v>
      </c>
    </row>
    <row r="5894" spans="1:1" x14ac:dyDescent="0.25">
      <c r="A5894" t="s">
        <v>6209</v>
      </c>
    </row>
    <row r="5895" spans="1:1" x14ac:dyDescent="0.25">
      <c r="A5895" t="s">
        <v>6210</v>
      </c>
    </row>
    <row r="5896" spans="1:1" x14ac:dyDescent="0.25">
      <c r="A5896" t="s">
        <v>6211</v>
      </c>
    </row>
    <row r="5897" spans="1:1" x14ac:dyDescent="0.25">
      <c r="A5897" t="s">
        <v>6212</v>
      </c>
    </row>
    <row r="5898" spans="1:1" x14ac:dyDescent="0.25">
      <c r="A5898" t="s">
        <v>6213</v>
      </c>
    </row>
    <row r="5899" spans="1:1" x14ac:dyDescent="0.25">
      <c r="A5899" t="s">
        <v>2553</v>
      </c>
    </row>
    <row r="5900" spans="1:1" x14ac:dyDescent="0.25">
      <c r="A5900" t="s">
        <v>6214</v>
      </c>
    </row>
    <row r="5901" spans="1:1" x14ac:dyDescent="0.25">
      <c r="A5901" t="s">
        <v>6215</v>
      </c>
    </row>
    <row r="5902" spans="1:1" x14ac:dyDescent="0.25">
      <c r="A5902" t="s">
        <v>6216</v>
      </c>
    </row>
    <row r="5903" spans="1:1" x14ac:dyDescent="0.25">
      <c r="A5903" t="s">
        <v>6217</v>
      </c>
    </row>
    <row r="5904" spans="1:1" x14ac:dyDescent="0.25">
      <c r="A5904" t="s">
        <v>6218</v>
      </c>
    </row>
    <row r="5905" spans="1:1" x14ac:dyDescent="0.25">
      <c r="A5905" t="s">
        <v>6219</v>
      </c>
    </row>
    <row r="5906" spans="1:1" x14ac:dyDescent="0.25">
      <c r="A5906" t="s">
        <v>6220</v>
      </c>
    </row>
    <row r="5907" spans="1:1" x14ac:dyDescent="0.25">
      <c r="A5907" t="s">
        <v>6221</v>
      </c>
    </row>
    <row r="5908" spans="1:1" x14ac:dyDescent="0.25">
      <c r="A5908" t="s">
        <v>6222</v>
      </c>
    </row>
    <row r="5909" spans="1:1" x14ac:dyDescent="0.25">
      <c r="A5909" t="s">
        <v>1563</v>
      </c>
    </row>
    <row r="5910" spans="1:1" x14ac:dyDescent="0.25">
      <c r="A5910" t="s">
        <v>6223</v>
      </c>
    </row>
    <row r="5911" spans="1:1" x14ac:dyDescent="0.25">
      <c r="A5911" t="s">
        <v>6224</v>
      </c>
    </row>
    <row r="5912" spans="1:1" x14ac:dyDescent="0.25">
      <c r="A5912" t="s">
        <v>6225</v>
      </c>
    </row>
    <row r="5913" spans="1:1" x14ac:dyDescent="0.25">
      <c r="A5913" t="s">
        <v>6226</v>
      </c>
    </row>
    <row r="5914" spans="1:1" x14ac:dyDescent="0.25">
      <c r="A5914" t="s">
        <v>6227</v>
      </c>
    </row>
    <row r="5915" spans="1:1" x14ac:dyDescent="0.25">
      <c r="A5915" t="s">
        <v>6228</v>
      </c>
    </row>
    <row r="5916" spans="1:1" x14ac:dyDescent="0.25">
      <c r="A5916" t="s">
        <v>6229</v>
      </c>
    </row>
    <row r="5917" spans="1:1" x14ac:dyDescent="0.25">
      <c r="A5917" t="s">
        <v>6230</v>
      </c>
    </row>
    <row r="5918" spans="1:1" x14ac:dyDescent="0.25">
      <c r="A5918" t="s">
        <v>6231</v>
      </c>
    </row>
    <row r="5919" spans="1:1" x14ac:dyDescent="0.25">
      <c r="A5919" t="s">
        <v>6232</v>
      </c>
    </row>
    <row r="5920" spans="1:1" x14ac:dyDescent="0.25">
      <c r="A5920" t="s">
        <v>6233</v>
      </c>
    </row>
    <row r="5921" spans="1:4" x14ac:dyDescent="0.25">
      <c r="A5921" t="s">
        <v>6228</v>
      </c>
    </row>
    <row r="5922" spans="1:4" x14ac:dyDescent="0.25">
      <c r="A5922" t="s">
        <v>4105</v>
      </c>
    </row>
    <row r="5923" spans="1:4" x14ac:dyDescent="0.25">
      <c r="A5923" t="s">
        <v>6234</v>
      </c>
    </row>
    <row r="5924" spans="1:4" x14ac:dyDescent="0.25">
      <c r="A5924" t="s">
        <v>6235</v>
      </c>
    </row>
    <row r="5925" spans="1:4" x14ac:dyDescent="0.25">
      <c r="A5925" t="s">
        <v>6236</v>
      </c>
    </row>
    <row r="5926" spans="1:4" x14ac:dyDescent="0.25">
      <c r="A5926" t="s">
        <v>6237</v>
      </c>
    </row>
    <row r="5927" spans="1:4" x14ac:dyDescent="0.25">
      <c r="A5927" t="s">
        <v>6238</v>
      </c>
    </row>
    <row r="5928" spans="1:4" x14ac:dyDescent="0.25">
      <c r="A5928" t="s">
        <v>6239</v>
      </c>
    </row>
    <row r="5929" spans="1:4" x14ac:dyDescent="0.25">
      <c r="A5929" t="s">
        <v>6240</v>
      </c>
    </row>
    <row r="5930" spans="1:4" x14ac:dyDescent="0.25">
      <c r="A5930" t="s">
        <v>6241</v>
      </c>
      <c r="B5930" t="s">
        <v>4946</v>
      </c>
      <c r="C5930">
        <v>2181.6</v>
      </c>
      <c r="D5930" t="s">
        <v>3428</v>
      </c>
    </row>
    <row r="5931" spans="1:4" x14ac:dyDescent="0.25">
      <c r="A5931" t="s">
        <v>6235</v>
      </c>
    </row>
    <row r="5932" spans="1:4" x14ac:dyDescent="0.25">
      <c r="A5932" t="s">
        <v>6242</v>
      </c>
    </row>
    <row r="5933" spans="1:4" x14ac:dyDescent="0.25">
      <c r="A5933" t="s">
        <v>6236</v>
      </c>
    </row>
    <row r="5934" spans="1:4" x14ac:dyDescent="0.25">
      <c r="A5934" t="s">
        <v>6243</v>
      </c>
    </row>
    <row r="5935" spans="1:4" x14ac:dyDescent="0.25">
      <c r="A5935" t="s">
        <v>6244</v>
      </c>
    </row>
    <row r="5936" spans="1:4" x14ac:dyDescent="0.25">
      <c r="A5936" t="s">
        <v>6240</v>
      </c>
    </row>
    <row r="5937" spans="1:5" x14ac:dyDescent="0.25">
      <c r="A5937" t="s">
        <v>6241</v>
      </c>
      <c r="B5937" t="s">
        <v>4946</v>
      </c>
      <c r="C5937">
        <v>2181.6</v>
      </c>
      <c r="D5937" t="s">
        <v>3428</v>
      </c>
      <c r="E5937">
        <v>935</v>
      </c>
    </row>
    <row r="5938" spans="1:5" x14ac:dyDescent="0.25">
      <c r="A5938" t="s">
        <v>4947</v>
      </c>
      <c r="B5938" t="s">
        <v>4946</v>
      </c>
      <c r="C5938">
        <v>985.93</v>
      </c>
      <c r="D5938" t="s">
        <v>3428</v>
      </c>
      <c r="E5938">
        <v>1005</v>
      </c>
    </row>
    <row r="5939" spans="1:5" x14ac:dyDescent="0.25">
      <c r="A5939" t="s">
        <v>4948</v>
      </c>
      <c r="B5939" t="s">
        <v>4946</v>
      </c>
      <c r="C5939">
        <v>7168.48</v>
      </c>
      <c r="D5939" t="s">
        <v>3428</v>
      </c>
      <c r="E5939">
        <v>1070</v>
      </c>
    </row>
    <row r="5940" spans="1:5" x14ac:dyDescent="0.25">
      <c r="A5940" t="s">
        <v>6245</v>
      </c>
    </row>
    <row r="5941" spans="1:5" x14ac:dyDescent="0.25">
      <c r="A5941" t="s">
        <v>6246</v>
      </c>
    </row>
    <row r="5942" spans="1:5" x14ac:dyDescent="0.25">
      <c r="A5942" t="s">
        <v>4404</v>
      </c>
    </row>
    <row r="5943" spans="1:5" x14ac:dyDescent="0.25">
      <c r="A5943" t="s">
        <v>6247</v>
      </c>
    </row>
    <row r="5944" spans="1:5" x14ac:dyDescent="0.25">
      <c r="A5944" t="s">
        <v>6248</v>
      </c>
    </row>
    <row r="5945" spans="1:5" x14ac:dyDescent="0.25">
      <c r="A5945" t="s">
        <v>6249</v>
      </c>
    </row>
    <row r="5946" spans="1:5" x14ac:dyDescent="0.25">
      <c r="A5946">
        <v>929962643</v>
      </c>
    </row>
    <row r="5947" spans="1:5" x14ac:dyDescent="0.25">
      <c r="A5947" t="s">
        <v>6250</v>
      </c>
    </row>
    <row r="5948" spans="1:5" x14ac:dyDescent="0.25">
      <c r="A5948" t="s">
        <v>6251</v>
      </c>
    </row>
    <row r="5949" spans="1:5" x14ac:dyDescent="0.25">
      <c r="A5949" t="s">
        <v>6252</v>
      </c>
    </row>
    <row r="5950" spans="1:5" x14ac:dyDescent="0.25">
      <c r="A5950" t="s">
        <v>6218</v>
      </c>
    </row>
    <row r="5951" spans="1:5" x14ac:dyDescent="0.25">
      <c r="A5951" t="s">
        <v>6253</v>
      </c>
    </row>
    <row r="5952" spans="1:5" x14ac:dyDescent="0.25">
      <c r="A5952" t="s">
        <v>6254</v>
      </c>
    </row>
    <row r="5953" spans="1:2" x14ac:dyDescent="0.25">
      <c r="A5953" t="s">
        <v>1563</v>
      </c>
    </row>
    <row r="5954" spans="1:2" x14ac:dyDescent="0.25">
      <c r="A5954" t="s">
        <v>6255</v>
      </c>
    </row>
    <row r="5955" spans="1:2" x14ac:dyDescent="0.25">
      <c r="A5955" t="s">
        <v>6256</v>
      </c>
    </row>
    <row r="5956" spans="1:2" x14ac:dyDescent="0.25">
      <c r="A5956" t="s">
        <v>6257</v>
      </c>
    </row>
    <row r="5957" spans="1:2" x14ac:dyDescent="0.25">
      <c r="A5957" t="s">
        <v>6258</v>
      </c>
    </row>
    <row r="5958" spans="1:2" x14ac:dyDescent="0.25">
      <c r="A5958" t="s">
        <v>2553</v>
      </c>
    </row>
    <row r="5959" spans="1:2" x14ac:dyDescent="0.25">
      <c r="A5959" t="s">
        <v>6259</v>
      </c>
    </row>
    <row r="5960" spans="1:2" x14ac:dyDescent="0.25">
      <c r="A5960" t="s">
        <v>6260</v>
      </c>
    </row>
    <row r="5961" spans="1:2" x14ac:dyDescent="0.25">
      <c r="A5961" t="s">
        <v>6261</v>
      </c>
    </row>
    <row r="5962" spans="1:2" x14ac:dyDescent="0.25">
      <c r="A5962" t="s">
        <v>6262</v>
      </c>
    </row>
    <row r="5963" spans="1:2" x14ac:dyDescent="0.25">
      <c r="A5963" t="s">
        <v>6263</v>
      </c>
    </row>
    <row r="5964" spans="1:2" x14ac:dyDescent="0.25">
      <c r="A5964" t="s">
        <v>6264</v>
      </c>
    </row>
    <row r="5965" spans="1:2" x14ac:dyDescent="0.25">
      <c r="A5965" t="s">
        <v>5504</v>
      </c>
    </row>
    <row r="5966" spans="1:2" x14ac:dyDescent="0.25">
      <c r="A5966" t="s">
        <v>5505</v>
      </c>
    </row>
    <row r="5967" spans="1:2" x14ac:dyDescent="0.25">
      <c r="A5967" t="s">
        <v>5506</v>
      </c>
    </row>
    <row r="5968" spans="1:2" x14ac:dyDescent="0.25">
      <c r="A5968" t="s">
        <v>5507</v>
      </c>
      <c r="B5968" t="s">
        <v>5508</v>
      </c>
    </row>
    <row r="5969" spans="1:1" x14ac:dyDescent="0.25">
      <c r="A5969" t="s">
        <v>5509</v>
      </c>
    </row>
    <row r="5970" spans="1:1" x14ac:dyDescent="0.25">
      <c r="A5970" t="s">
        <v>5510</v>
      </c>
    </row>
    <row r="5971" spans="1:1" x14ac:dyDescent="0.25">
      <c r="A5971" t="s">
        <v>6265</v>
      </c>
    </row>
    <row r="5972" spans="1:1" x14ac:dyDescent="0.25">
      <c r="A5972" t="s">
        <v>6266</v>
      </c>
    </row>
    <row r="5973" spans="1:1" x14ac:dyDescent="0.25">
      <c r="A5973" t="s">
        <v>6267</v>
      </c>
    </row>
    <row r="5974" spans="1:1" x14ac:dyDescent="0.25">
      <c r="A5974" t="s">
        <v>6268</v>
      </c>
    </row>
    <row r="5975" spans="1:1" x14ac:dyDescent="0.25">
      <c r="A5975" t="s">
        <v>6269</v>
      </c>
    </row>
    <row r="5976" spans="1:1" x14ac:dyDescent="0.25">
      <c r="A5976" t="s">
        <v>6270</v>
      </c>
    </row>
    <row r="5977" spans="1:1" x14ac:dyDescent="0.25">
      <c r="A5977" t="s">
        <v>4475</v>
      </c>
    </row>
    <row r="5978" spans="1:1" x14ac:dyDescent="0.25">
      <c r="A5978" t="s">
        <v>6271</v>
      </c>
    </row>
    <row r="5979" spans="1:1" x14ac:dyDescent="0.25">
      <c r="A5979" t="s">
        <v>6272</v>
      </c>
    </row>
    <row r="5980" spans="1:1" x14ac:dyDescent="0.25">
      <c r="A5980" t="s">
        <v>6273</v>
      </c>
    </row>
    <row r="5981" spans="1:1" x14ac:dyDescent="0.25">
      <c r="A5981" t="s">
        <v>6274</v>
      </c>
    </row>
    <row r="5982" spans="1:1" x14ac:dyDescent="0.25">
      <c r="A5982" t="s">
        <v>6275</v>
      </c>
    </row>
    <row r="5983" spans="1:1" x14ac:dyDescent="0.25">
      <c r="A5983" t="s">
        <v>6276</v>
      </c>
    </row>
    <row r="5984" spans="1:1" x14ac:dyDescent="0.25">
      <c r="A5984" t="s">
        <v>6277</v>
      </c>
    </row>
    <row r="5985" spans="1:1" x14ac:dyDescent="0.25">
      <c r="A5985" t="s">
        <v>6278</v>
      </c>
    </row>
    <row r="5986" spans="1:1" x14ac:dyDescent="0.25">
      <c r="A5986" t="s">
        <v>6279</v>
      </c>
    </row>
    <row r="5987" spans="1:1" x14ac:dyDescent="0.25">
      <c r="A5987" t="s">
        <v>6280</v>
      </c>
    </row>
    <row r="5988" spans="1:1" x14ac:dyDescent="0.25">
      <c r="A5988" t="s">
        <v>6281</v>
      </c>
    </row>
    <row r="5989" spans="1:1" x14ac:dyDescent="0.25">
      <c r="A5989" t="s">
        <v>6282</v>
      </c>
    </row>
    <row r="5990" spans="1:1" x14ac:dyDescent="0.25">
      <c r="A5990" t="s">
        <v>1463</v>
      </c>
    </row>
    <row r="5991" spans="1:1" x14ac:dyDescent="0.25">
      <c r="A5991" t="s">
        <v>6283</v>
      </c>
    </row>
    <row r="5992" spans="1:1" x14ac:dyDescent="0.25">
      <c r="A5992" t="s">
        <v>6284</v>
      </c>
    </row>
    <row r="5993" spans="1:1" x14ac:dyDescent="0.25">
      <c r="A5993" t="s">
        <v>6285</v>
      </c>
    </row>
    <row r="5994" spans="1:1" x14ac:dyDescent="0.25">
      <c r="A5994" t="s">
        <v>6286</v>
      </c>
    </row>
    <row r="5995" spans="1:1" x14ac:dyDescent="0.25">
      <c r="A5995" t="s">
        <v>6287</v>
      </c>
    </row>
    <row r="5996" spans="1:1" x14ac:dyDescent="0.25">
      <c r="A5996" t="s">
        <v>6288</v>
      </c>
    </row>
    <row r="5997" spans="1:1" x14ac:dyDescent="0.25">
      <c r="A5997" t="s">
        <v>1463</v>
      </c>
    </row>
    <row r="5998" spans="1:1" x14ac:dyDescent="0.25">
      <c r="A5998" t="s">
        <v>6289</v>
      </c>
    </row>
    <row r="6000" spans="1:1" x14ac:dyDescent="0.25">
      <c r="A6000" t="s">
        <v>6290</v>
      </c>
    </row>
    <row r="6001" spans="1:1" x14ac:dyDescent="0.25">
      <c r="A6001" t="s">
        <v>6291</v>
      </c>
    </row>
    <row r="6002" spans="1:1" x14ac:dyDescent="0.25">
      <c r="A6002" t="s">
        <v>6292</v>
      </c>
    </row>
    <row r="6003" spans="1:1" x14ac:dyDescent="0.25">
      <c r="A6003" t="s">
        <v>6293</v>
      </c>
    </row>
    <row r="6004" spans="1:1" x14ac:dyDescent="0.25">
      <c r="A6004" t="s">
        <v>1463</v>
      </c>
    </row>
    <row r="6005" spans="1:1" x14ac:dyDescent="0.25">
      <c r="A6005" t="s">
        <v>6294</v>
      </c>
    </row>
    <row r="6006" spans="1:1" x14ac:dyDescent="0.25">
      <c r="A6006" t="s">
        <v>6295</v>
      </c>
    </row>
    <row r="6007" spans="1:1" x14ac:dyDescent="0.25">
      <c r="A6007" t="s">
        <v>6296</v>
      </c>
    </row>
    <row r="6008" spans="1:1" x14ac:dyDescent="0.25">
      <c r="A6008" t="s">
        <v>6297</v>
      </c>
    </row>
    <row r="6009" spans="1:1" x14ac:dyDescent="0.25">
      <c r="A6009" t="s">
        <v>6298</v>
      </c>
    </row>
    <row r="6010" spans="1:1" x14ac:dyDescent="0.25">
      <c r="A6010" t="s">
        <v>6299</v>
      </c>
    </row>
    <row r="6011" spans="1:1" x14ac:dyDescent="0.25">
      <c r="A6011" t="s">
        <v>6300</v>
      </c>
    </row>
    <row r="6012" spans="1:1" x14ac:dyDescent="0.25">
      <c r="A6012" t="s">
        <v>6301</v>
      </c>
    </row>
    <row r="6013" spans="1:1" x14ac:dyDescent="0.25">
      <c r="A6013" t="s">
        <v>6302</v>
      </c>
    </row>
    <row r="6014" spans="1:1" x14ac:dyDescent="0.25">
      <c r="A6014" t="s">
        <v>6303</v>
      </c>
    </row>
    <row r="6015" spans="1:1" x14ac:dyDescent="0.25">
      <c r="A6015" t="s">
        <v>1463</v>
      </c>
    </row>
    <row r="6016" spans="1:1" x14ac:dyDescent="0.25">
      <c r="A6016" t="s">
        <v>6304</v>
      </c>
    </row>
    <row r="6017" spans="1:1" x14ac:dyDescent="0.25">
      <c r="A6017" t="s">
        <v>6305</v>
      </c>
    </row>
    <row r="6018" spans="1:1" x14ac:dyDescent="0.25">
      <c r="A6018" t="s">
        <v>6306</v>
      </c>
    </row>
    <row r="6019" spans="1:1" x14ac:dyDescent="0.25">
      <c r="A6019" t="s">
        <v>6307</v>
      </c>
    </row>
    <row r="6020" spans="1:1" x14ac:dyDescent="0.25">
      <c r="A6020" t="s">
        <v>6308</v>
      </c>
    </row>
    <row r="6021" spans="1:1" x14ac:dyDescent="0.25">
      <c r="A6021" t="s">
        <v>6309</v>
      </c>
    </row>
    <row r="6022" spans="1:1" x14ac:dyDescent="0.25">
      <c r="A6022" t="s">
        <v>1463</v>
      </c>
    </row>
    <row r="6023" spans="1:1" x14ac:dyDescent="0.25">
      <c r="A6023" t="s">
        <v>6310</v>
      </c>
    </row>
    <row r="6024" spans="1:1" x14ac:dyDescent="0.25">
      <c r="A6024" t="s">
        <v>6311</v>
      </c>
    </row>
    <row r="6025" spans="1:1" x14ac:dyDescent="0.25">
      <c r="A6025" t="s">
        <v>6312</v>
      </c>
    </row>
    <row r="6026" spans="1:1" x14ac:dyDescent="0.25">
      <c r="A6026" t="s">
        <v>6313</v>
      </c>
    </row>
    <row r="6027" spans="1:1" x14ac:dyDescent="0.25">
      <c r="A6027" t="s">
        <v>6314</v>
      </c>
    </row>
    <row r="6028" spans="1:1" x14ac:dyDescent="0.25">
      <c r="A6028" t="s">
        <v>6315</v>
      </c>
    </row>
    <row r="6029" spans="1:1" x14ac:dyDescent="0.25">
      <c r="A6029" t="s">
        <v>1463</v>
      </c>
    </row>
    <row r="6030" spans="1:1" x14ac:dyDescent="0.25">
      <c r="A6030" t="s">
        <v>6316</v>
      </c>
    </row>
    <row r="6031" spans="1:1" x14ac:dyDescent="0.25">
      <c r="A6031" t="s">
        <v>6317</v>
      </c>
    </row>
    <row r="6032" spans="1:1" x14ac:dyDescent="0.25">
      <c r="A6032" t="s">
        <v>6318</v>
      </c>
    </row>
    <row r="6033" spans="1:1" x14ac:dyDescent="0.25">
      <c r="A6033" t="s">
        <v>6319</v>
      </c>
    </row>
    <row r="6034" spans="1:1" x14ac:dyDescent="0.25">
      <c r="A6034" t="s">
        <v>6320</v>
      </c>
    </row>
    <row r="6035" spans="1:1" x14ac:dyDescent="0.25">
      <c r="A6035" t="s">
        <v>6321</v>
      </c>
    </row>
    <row r="6036" spans="1:1" x14ac:dyDescent="0.25">
      <c r="A6036" t="s">
        <v>1463</v>
      </c>
    </row>
    <row r="6037" spans="1:1" x14ac:dyDescent="0.25">
      <c r="A6037" t="s">
        <v>6322</v>
      </c>
    </row>
    <row r="6038" spans="1:1" x14ac:dyDescent="0.25">
      <c r="A6038" t="s">
        <v>6323</v>
      </c>
    </row>
    <row r="6039" spans="1:1" x14ac:dyDescent="0.25">
      <c r="A6039" t="s">
        <v>6324</v>
      </c>
    </row>
    <row r="6040" spans="1:1" x14ac:dyDescent="0.25">
      <c r="A6040" t="s">
        <v>6325</v>
      </c>
    </row>
    <row r="6041" spans="1:1" x14ac:dyDescent="0.25">
      <c r="A6041" t="s">
        <v>6326</v>
      </c>
    </row>
    <row r="6042" spans="1:1" x14ac:dyDescent="0.25">
      <c r="A6042" t="s">
        <v>6327</v>
      </c>
    </row>
    <row r="6043" spans="1:1" x14ac:dyDescent="0.25">
      <c r="A6043" t="s">
        <v>6328</v>
      </c>
    </row>
    <row r="6044" spans="1:1" x14ac:dyDescent="0.25">
      <c r="A6044" t="s">
        <v>6329</v>
      </c>
    </row>
    <row r="6045" spans="1:1" x14ac:dyDescent="0.25">
      <c r="A6045" t="s">
        <v>6330</v>
      </c>
    </row>
    <row r="6046" spans="1:1" x14ac:dyDescent="0.25">
      <c r="A6046" t="s">
        <v>6331</v>
      </c>
    </row>
    <row r="6047" spans="1:1" x14ac:dyDescent="0.25">
      <c r="A6047" t="s">
        <v>6332</v>
      </c>
    </row>
    <row r="6048" spans="1:1" x14ac:dyDescent="0.25">
      <c r="A6048" t="s">
        <v>6333</v>
      </c>
    </row>
    <row r="6049" spans="1:1" x14ac:dyDescent="0.25">
      <c r="A6049" t="s">
        <v>6334</v>
      </c>
    </row>
    <row r="6050" spans="1:1" x14ac:dyDescent="0.25">
      <c r="A6050" t="s">
        <v>1463</v>
      </c>
    </row>
    <row r="6051" spans="1:1" x14ac:dyDescent="0.25">
      <c r="A6051" t="s">
        <v>6335</v>
      </c>
    </row>
    <row r="6052" spans="1:1" x14ac:dyDescent="0.25">
      <c r="A6052" t="s">
        <v>6284</v>
      </c>
    </row>
    <row r="6053" spans="1:1" x14ac:dyDescent="0.25">
      <c r="A6053" t="s">
        <v>6336</v>
      </c>
    </row>
    <row r="6054" spans="1:1" x14ac:dyDescent="0.25">
      <c r="A6054" t="s">
        <v>6337</v>
      </c>
    </row>
    <row r="6055" spans="1:1" x14ac:dyDescent="0.25">
      <c r="A6055" t="s">
        <v>6338</v>
      </c>
    </row>
    <row r="6056" spans="1:1" x14ac:dyDescent="0.25">
      <c r="A6056" t="s">
        <v>2483</v>
      </c>
    </row>
    <row r="6057" spans="1:1" x14ac:dyDescent="0.25">
      <c r="A6057" t="s">
        <v>6339</v>
      </c>
    </row>
    <row r="6058" spans="1:1" x14ac:dyDescent="0.25">
      <c r="A6058" t="s">
        <v>6340</v>
      </c>
    </row>
    <row r="6059" spans="1:1" x14ac:dyDescent="0.25">
      <c r="A6059" t="s">
        <v>6300</v>
      </c>
    </row>
    <row r="6060" spans="1:1" x14ac:dyDescent="0.25">
      <c r="A6060" t="s">
        <v>6341</v>
      </c>
    </row>
    <row r="6061" spans="1:1" x14ac:dyDescent="0.25">
      <c r="A6061" t="s">
        <v>6342</v>
      </c>
    </row>
    <row r="6062" spans="1:1" x14ac:dyDescent="0.25">
      <c r="A6062" t="s">
        <v>6343</v>
      </c>
    </row>
    <row r="6063" spans="1:1" x14ac:dyDescent="0.25">
      <c r="A6063" t="s">
        <v>6344</v>
      </c>
    </row>
    <row r="6064" spans="1:1" x14ac:dyDescent="0.25">
      <c r="A6064" t="s">
        <v>6345</v>
      </c>
    </row>
    <row r="6065" spans="1:1" x14ac:dyDescent="0.25">
      <c r="A6065" t="s">
        <v>1463</v>
      </c>
    </row>
    <row r="6066" spans="1:1" x14ac:dyDescent="0.25">
      <c r="A6066" t="s">
        <v>6346</v>
      </c>
    </row>
    <row r="6067" spans="1:1" x14ac:dyDescent="0.25">
      <c r="A6067" t="s">
        <v>6347</v>
      </c>
    </row>
    <row r="6068" spans="1:1" x14ac:dyDescent="0.25">
      <c r="A6068" t="s">
        <v>6348</v>
      </c>
    </row>
    <row r="6069" spans="1:1" x14ac:dyDescent="0.25">
      <c r="A6069" t="s">
        <v>6349</v>
      </c>
    </row>
    <row r="6070" spans="1:1" x14ac:dyDescent="0.25">
      <c r="A6070" t="s">
        <v>6350</v>
      </c>
    </row>
    <row r="6071" spans="1:1" x14ac:dyDescent="0.25">
      <c r="A6071" t="s">
        <v>6351</v>
      </c>
    </row>
    <row r="6072" spans="1:1" x14ac:dyDescent="0.25">
      <c r="A6072" t="s">
        <v>6352</v>
      </c>
    </row>
    <row r="6073" spans="1:1" x14ac:dyDescent="0.25">
      <c r="A6073" t="s">
        <v>1463</v>
      </c>
    </row>
    <row r="6074" spans="1:1" x14ac:dyDescent="0.25">
      <c r="A6074" t="s">
        <v>6353</v>
      </c>
    </row>
    <row r="6075" spans="1:1" x14ac:dyDescent="0.25">
      <c r="A6075" t="s">
        <v>6354</v>
      </c>
    </row>
    <row r="6076" spans="1:1" x14ac:dyDescent="0.25">
      <c r="A6076" t="s">
        <v>6355</v>
      </c>
    </row>
    <row r="6077" spans="1:1" x14ac:dyDescent="0.25">
      <c r="A6077" t="s">
        <v>6356</v>
      </c>
    </row>
    <row r="6078" spans="1:1" x14ac:dyDescent="0.25">
      <c r="A6078" t="s">
        <v>6320</v>
      </c>
    </row>
    <row r="6079" spans="1:1" x14ac:dyDescent="0.25">
      <c r="A6079" t="s">
        <v>6357</v>
      </c>
    </row>
    <row r="6080" spans="1:1" x14ac:dyDescent="0.25">
      <c r="A6080" t="s">
        <v>6358</v>
      </c>
    </row>
    <row r="6081" spans="1:1" x14ac:dyDescent="0.25">
      <c r="A6081" t="s">
        <v>6359</v>
      </c>
    </row>
    <row r="6082" spans="1:1" x14ac:dyDescent="0.25">
      <c r="A6082" t="s">
        <v>6360</v>
      </c>
    </row>
    <row r="6083" spans="1:1" x14ac:dyDescent="0.25">
      <c r="A6083" t="s">
        <v>1463</v>
      </c>
    </row>
    <row r="6084" spans="1:1" x14ac:dyDescent="0.25">
      <c r="A6084" t="s">
        <v>6361</v>
      </c>
    </row>
    <row r="6085" spans="1:1" x14ac:dyDescent="0.25">
      <c r="A6085" t="s">
        <v>6362</v>
      </c>
    </row>
    <row r="6086" spans="1:1" x14ac:dyDescent="0.25">
      <c r="A6086" t="s">
        <v>6363</v>
      </c>
    </row>
    <row r="6087" spans="1:1" x14ac:dyDescent="0.25">
      <c r="A6087" t="s">
        <v>6364</v>
      </c>
    </row>
    <row r="6088" spans="1:1" x14ac:dyDescent="0.25">
      <c r="A6088" t="s">
        <v>6365</v>
      </c>
    </row>
    <row r="6089" spans="1:1" x14ac:dyDescent="0.25">
      <c r="A6089" t="s">
        <v>6366</v>
      </c>
    </row>
    <row r="6090" spans="1:1" x14ac:dyDescent="0.25">
      <c r="A6090" t="s">
        <v>6367</v>
      </c>
    </row>
    <row r="6091" spans="1:1" x14ac:dyDescent="0.25">
      <c r="A6091" t="s">
        <v>6368</v>
      </c>
    </row>
    <row r="6092" spans="1:1" x14ac:dyDescent="0.25">
      <c r="A6092" t="s">
        <v>6369</v>
      </c>
    </row>
    <row r="6093" spans="1:1" x14ac:dyDescent="0.25">
      <c r="A6093" t="s">
        <v>6370</v>
      </c>
    </row>
    <row r="6094" spans="1:1" x14ac:dyDescent="0.25">
      <c r="A6094" t="s">
        <v>1463</v>
      </c>
    </row>
    <row r="6095" spans="1:1" x14ac:dyDescent="0.25">
      <c r="A6095" t="s">
        <v>6371</v>
      </c>
    </row>
    <row r="6096" spans="1:1" x14ac:dyDescent="0.25">
      <c r="A6096" t="s">
        <v>6347</v>
      </c>
    </row>
    <row r="6097" spans="1:1" x14ac:dyDescent="0.25">
      <c r="A6097" t="s">
        <v>6372</v>
      </c>
    </row>
    <row r="6098" spans="1:1" x14ac:dyDescent="0.25">
      <c r="A6098" t="s">
        <v>6373</v>
      </c>
    </row>
    <row r="6099" spans="1:1" x14ac:dyDescent="0.25">
      <c r="A6099" t="s">
        <v>1463</v>
      </c>
    </row>
    <row r="6100" spans="1:1" x14ac:dyDescent="0.25">
      <c r="A6100" t="s">
        <v>6374</v>
      </c>
    </row>
    <row r="6101" spans="1:1" x14ac:dyDescent="0.25">
      <c r="A6101" t="s">
        <v>6375</v>
      </c>
    </row>
    <row r="6102" spans="1:1" x14ac:dyDescent="0.25">
      <c r="A6102" t="s">
        <v>6376</v>
      </c>
    </row>
    <row r="6103" spans="1:1" x14ac:dyDescent="0.25">
      <c r="A6103" t="s">
        <v>6377</v>
      </c>
    </row>
    <row r="6104" spans="1:1" x14ac:dyDescent="0.25">
      <c r="A6104" t="s">
        <v>6378</v>
      </c>
    </row>
    <row r="6105" spans="1:1" x14ac:dyDescent="0.25">
      <c r="A6105" t="s">
        <v>1463</v>
      </c>
    </row>
    <row r="6106" spans="1:1" x14ac:dyDescent="0.25">
      <c r="A6106" t="s">
        <v>6379</v>
      </c>
    </row>
    <row r="6108" spans="1:1" x14ac:dyDescent="0.25">
      <c r="A6108" t="s">
        <v>6380</v>
      </c>
    </row>
    <row r="6109" spans="1:1" x14ac:dyDescent="0.25">
      <c r="A6109" t="s">
        <v>6381</v>
      </c>
    </row>
    <row r="6110" spans="1:1" x14ac:dyDescent="0.25">
      <c r="A6110" t="s">
        <v>6382</v>
      </c>
    </row>
    <row r="6111" spans="1:1" x14ac:dyDescent="0.25">
      <c r="A6111" t="s">
        <v>6383</v>
      </c>
    </row>
    <row r="6112" spans="1:1" x14ac:dyDescent="0.25">
      <c r="A6112" t="s">
        <v>1463</v>
      </c>
    </row>
    <row r="6113" spans="1:1" x14ac:dyDescent="0.25">
      <c r="A6113" t="s">
        <v>6384</v>
      </c>
    </row>
    <row r="6114" spans="1:1" x14ac:dyDescent="0.25">
      <c r="A6114" t="s">
        <v>6347</v>
      </c>
    </row>
    <row r="6115" spans="1:1" x14ac:dyDescent="0.25">
      <c r="A6115" t="s">
        <v>6385</v>
      </c>
    </row>
    <row r="6116" spans="1:1" x14ac:dyDescent="0.25">
      <c r="A6116" t="s">
        <v>6386</v>
      </c>
    </row>
    <row r="6117" spans="1:1" x14ac:dyDescent="0.25">
      <c r="A6117" t="s">
        <v>6387</v>
      </c>
    </row>
    <row r="6118" spans="1:1" x14ac:dyDescent="0.25">
      <c r="A6118" t="s">
        <v>1463</v>
      </c>
    </row>
    <row r="6119" spans="1:1" x14ac:dyDescent="0.25">
      <c r="A6119" t="s">
        <v>6388</v>
      </c>
    </row>
    <row r="6120" spans="1:1" x14ac:dyDescent="0.25">
      <c r="A6120" t="s">
        <v>6389</v>
      </c>
    </row>
    <row r="6121" spans="1:1" x14ac:dyDescent="0.25">
      <c r="A6121" t="s">
        <v>6390</v>
      </c>
    </row>
    <row r="6122" spans="1:1" x14ac:dyDescent="0.25">
      <c r="A6122" t="s">
        <v>6391</v>
      </c>
    </row>
    <row r="6123" spans="1:1" x14ac:dyDescent="0.25">
      <c r="A6123" t="s">
        <v>6392</v>
      </c>
    </row>
    <row r="6124" spans="1:1" x14ac:dyDescent="0.25">
      <c r="A6124" t="s">
        <v>3718</v>
      </c>
    </row>
    <row r="6125" spans="1:1" x14ac:dyDescent="0.25">
      <c r="A6125" t="s">
        <v>6393</v>
      </c>
    </row>
    <row r="6126" spans="1:1" x14ac:dyDescent="0.25">
      <c r="A6126" t="s">
        <v>6394</v>
      </c>
    </row>
    <row r="6127" spans="1:1" x14ac:dyDescent="0.25">
      <c r="A6127" t="s">
        <v>6395</v>
      </c>
    </row>
    <row r="6128" spans="1:1" x14ac:dyDescent="0.25">
      <c r="A6128" t="s">
        <v>6302</v>
      </c>
    </row>
    <row r="6129" spans="1:1" x14ac:dyDescent="0.25">
      <c r="A6129" t="s">
        <v>6396</v>
      </c>
    </row>
    <row r="6130" spans="1:1" x14ac:dyDescent="0.25">
      <c r="A6130" t="s">
        <v>1463</v>
      </c>
    </row>
    <row r="6131" spans="1:1" x14ac:dyDescent="0.25">
      <c r="A6131" t="s">
        <v>6397</v>
      </c>
    </row>
    <row r="6132" spans="1:1" x14ac:dyDescent="0.25">
      <c r="A6132" t="s">
        <v>6398</v>
      </c>
    </row>
    <row r="6133" spans="1:1" x14ac:dyDescent="0.25">
      <c r="A6133" t="s">
        <v>6399</v>
      </c>
    </row>
    <row r="6134" spans="1:1" x14ac:dyDescent="0.25">
      <c r="A6134" t="s">
        <v>6400</v>
      </c>
    </row>
    <row r="6135" spans="1:1" x14ac:dyDescent="0.25">
      <c r="A6135" t="s">
        <v>1463</v>
      </c>
    </row>
    <row r="6136" spans="1:1" x14ac:dyDescent="0.25">
      <c r="A6136" t="s">
        <v>6401</v>
      </c>
    </row>
    <row r="6137" spans="1:1" x14ac:dyDescent="0.25">
      <c r="A6137" t="s">
        <v>6323</v>
      </c>
    </row>
    <row r="6138" spans="1:1" x14ac:dyDescent="0.25">
      <c r="A6138" t="s">
        <v>6398</v>
      </c>
    </row>
    <row r="6139" spans="1:1" x14ac:dyDescent="0.25">
      <c r="A6139" t="s">
        <v>6402</v>
      </c>
    </row>
    <row r="6140" spans="1:1" x14ac:dyDescent="0.25">
      <c r="A6140" t="s">
        <v>6403</v>
      </c>
    </row>
    <row r="6141" spans="1:1" x14ac:dyDescent="0.25">
      <c r="A6141" t="s">
        <v>6281</v>
      </c>
    </row>
    <row r="6142" spans="1:1" x14ac:dyDescent="0.25">
      <c r="A6142" t="s">
        <v>6404</v>
      </c>
    </row>
    <row r="6143" spans="1:1" x14ac:dyDescent="0.25">
      <c r="A6143" t="s">
        <v>1463</v>
      </c>
    </row>
    <row r="6144" spans="1:1" x14ac:dyDescent="0.25">
      <c r="A6144" t="s">
        <v>6405</v>
      </c>
    </row>
    <row r="6146" spans="1:1" x14ac:dyDescent="0.25">
      <c r="A6146" t="s">
        <v>6406</v>
      </c>
    </row>
    <row r="6147" spans="1:1" x14ac:dyDescent="0.25">
      <c r="A6147" t="s">
        <v>6407</v>
      </c>
    </row>
    <row r="6148" spans="1:1" x14ac:dyDescent="0.25">
      <c r="A6148" t="s">
        <v>6408</v>
      </c>
    </row>
    <row r="6149" spans="1:1" x14ac:dyDescent="0.25">
      <c r="A6149" t="s">
        <v>6409</v>
      </c>
    </row>
    <row r="6150" spans="1:1" x14ac:dyDescent="0.25">
      <c r="A6150" t="s">
        <v>6410</v>
      </c>
    </row>
    <row r="6151" spans="1:1" x14ac:dyDescent="0.25">
      <c r="A6151" t="s">
        <v>1463</v>
      </c>
    </row>
    <row r="6152" spans="1:1" x14ac:dyDescent="0.25">
      <c r="A6152" t="s">
        <v>6411</v>
      </c>
    </row>
    <row r="6153" spans="1:1" x14ac:dyDescent="0.25">
      <c r="A6153" t="s">
        <v>6412</v>
      </c>
    </row>
    <row r="6154" spans="1:1" x14ac:dyDescent="0.25">
      <c r="A6154" t="s">
        <v>6413</v>
      </c>
    </row>
    <row r="6155" spans="1:1" x14ac:dyDescent="0.25">
      <c r="A6155" t="s">
        <v>6414</v>
      </c>
    </row>
    <row r="6156" spans="1:1" x14ac:dyDescent="0.25">
      <c r="A6156" t="s">
        <v>1463</v>
      </c>
    </row>
    <row r="6157" spans="1:1" x14ac:dyDescent="0.25">
      <c r="A6157" t="s">
        <v>6415</v>
      </c>
    </row>
    <row r="6158" spans="1:1" x14ac:dyDescent="0.25">
      <c r="A6158" t="s">
        <v>6323</v>
      </c>
    </row>
    <row r="6159" spans="1:1" x14ac:dyDescent="0.25">
      <c r="A6159" t="s">
        <v>6416</v>
      </c>
    </row>
    <row r="6160" spans="1:1" x14ac:dyDescent="0.25">
      <c r="A6160" t="s">
        <v>6417</v>
      </c>
    </row>
    <row r="6161" spans="1:2" x14ac:dyDescent="0.25">
      <c r="A6161" t="s">
        <v>6418</v>
      </c>
    </row>
    <row r="6162" spans="1:2" x14ac:dyDescent="0.25">
      <c r="A6162" t="s">
        <v>6419</v>
      </c>
    </row>
    <row r="6163" spans="1:2" x14ac:dyDescent="0.25">
      <c r="A6163" t="s">
        <v>6420</v>
      </c>
    </row>
    <row r="6164" spans="1:2" x14ac:dyDescent="0.25">
      <c r="A6164" t="s">
        <v>6421</v>
      </c>
    </row>
    <row r="6165" spans="1:2" x14ac:dyDescent="0.25">
      <c r="A6165" t="s">
        <v>6422</v>
      </c>
    </row>
    <row r="6167" spans="1:2" x14ac:dyDescent="0.25">
      <c r="A6167" t="s">
        <v>6423</v>
      </c>
    </row>
    <row r="6169" spans="1:2" x14ac:dyDescent="0.25">
      <c r="A6169" t="s">
        <v>1463</v>
      </c>
    </row>
    <row r="6170" spans="1:2" x14ac:dyDescent="0.25">
      <c r="A6170" t="s">
        <v>6424</v>
      </c>
    </row>
    <row r="6171" spans="1:2" x14ac:dyDescent="0.25">
      <c r="A6171" t="s">
        <v>6425</v>
      </c>
    </row>
    <row r="6172" spans="1:2" x14ac:dyDescent="0.25">
      <c r="A6172" t="s">
        <v>6302</v>
      </c>
    </row>
    <row r="6173" spans="1:2" x14ac:dyDescent="0.25">
      <c r="A6173" t="s">
        <v>6426</v>
      </c>
    </row>
    <row r="6174" spans="1:2" x14ac:dyDescent="0.25">
      <c r="A6174" t="s">
        <v>1463</v>
      </c>
    </row>
    <row r="6175" spans="1:2" x14ac:dyDescent="0.25">
      <c r="A6175" t="s">
        <v>6427</v>
      </c>
      <c r="B6175" t="s">
        <v>6428</v>
      </c>
    </row>
    <row r="6177" spans="1:1" x14ac:dyDescent="0.25">
      <c r="A6177" t="s">
        <v>6429</v>
      </c>
    </row>
    <row r="6178" spans="1:1" x14ac:dyDescent="0.25">
      <c r="A6178" t="s">
        <v>6430</v>
      </c>
    </row>
    <row r="6179" spans="1:1" x14ac:dyDescent="0.25">
      <c r="A6179" t="s">
        <v>6307</v>
      </c>
    </row>
    <row r="6180" spans="1:1" x14ac:dyDescent="0.25">
      <c r="A6180" t="s">
        <v>6431</v>
      </c>
    </row>
    <row r="6181" spans="1:1" x14ac:dyDescent="0.25">
      <c r="A6181" t="s">
        <v>6432</v>
      </c>
    </row>
    <row r="6182" spans="1:1" x14ac:dyDescent="0.25">
      <c r="A6182" t="s">
        <v>1463</v>
      </c>
    </row>
    <row r="6183" spans="1:1" x14ac:dyDescent="0.25">
      <c r="A6183" t="s">
        <v>6433</v>
      </c>
    </row>
    <row r="6184" spans="1:1" x14ac:dyDescent="0.25">
      <c r="A6184" t="s">
        <v>6434</v>
      </c>
    </row>
    <row r="6185" spans="1:1" x14ac:dyDescent="0.25">
      <c r="A6185" t="s">
        <v>6435</v>
      </c>
    </row>
    <row r="6186" spans="1:1" x14ac:dyDescent="0.25">
      <c r="A6186" t="s">
        <v>6436</v>
      </c>
    </row>
    <row r="6187" spans="1:1" x14ac:dyDescent="0.25">
      <c r="A6187" t="s">
        <v>6437</v>
      </c>
    </row>
    <row r="6188" spans="1:1" x14ac:dyDescent="0.25">
      <c r="A6188" t="s">
        <v>6438</v>
      </c>
    </row>
    <row r="6189" spans="1:1" x14ac:dyDescent="0.25">
      <c r="A6189" t="s">
        <v>6439</v>
      </c>
    </row>
    <row r="6190" spans="1:1" x14ac:dyDescent="0.25">
      <c r="A6190" t="s">
        <v>6347</v>
      </c>
    </row>
    <row r="6191" spans="1:1" x14ac:dyDescent="0.25">
      <c r="A6191" t="s">
        <v>6440</v>
      </c>
    </row>
    <row r="6192" spans="1:1" x14ac:dyDescent="0.25">
      <c r="A6192" t="s">
        <v>6441</v>
      </c>
    </row>
    <row r="6193" spans="1:1" x14ac:dyDescent="0.25">
      <c r="A6193" t="s">
        <v>6442</v>
      </c>
    </row>
    <row r="6194" spans="1:1" x14ac:dyDescent="0.25">
      <c r="A6194" t="s">
        <v>6443</v>
      </c>
    </row>
    <row r="6195" spans="1:1" x14ac:dyDescent="0.25">
      <c r="A6195" t="s">
        <v>1342</v>
      </c>
    </row>
    <row r="6196" spans="1:1" x14ac:dyDescent="0.25">
      <c r="A6196" t="s">
        <v>6444</v>
      </c>
    </row>
    <row r="6197" spans="1:1" x14ac:dyDescent="0.25">
      <c r="A6197" t="s">
        <v>6445</v>
      </c>
    </row>
    <row r="6198" spans="1:1" x14ac:dyDescent="0.25">
      <c r="A6198" t="s">
        <v>6413</v>
      </c>
    </row>
    <row r="6199" spans="1:1" x14ac:dyDescent="0.25">
      <c r="A6199" t="s">
        <v>6446</v>
      </c>
    </row>
    <row r="6200" spans="1:1" x14ac:dyDescent="0.25">
      <c r="A6200" t="s">
        <v>6369</v>
      </c>
    </row>
    <row r="6201" spans="1:1" x14ac:dyDescent="0.25">
      <c r="A6201" t="s">
        <v>6447</v>
      </c>
    </row>
    <row r="6202" spans="1:1" x14ac:dyDescent="0.25">
      <c r="A6202" t="s">
        <v>1463</v>
      </c>
    </row>
    <row r="6203" spans="1:1" x14ac:dyDescent="0.25">
      <c r="A6203" t="s">
        <v>6448</v>
      </c>
    </row>
    <row r="6204" spans="1:1" x14ac:dyDescent="0.25">
      <c r="A6204" t="s">
        <v>6449</v>
      </c>
    </row>
    <row r="6205" spans="1:1" x14ac:dyDescent="0.25">
      <c r="A6205" t="s">
        <v>6450</v>
      </c>
    </row>
    <row r="6206" spans="1:1" x14ac:dyDescent="0.25">
      <c r="A6206" t="s">
        <v>6451</v>
      </c>
    </row>
    <row r="6207" spans="1:1" x14ac:dyDescent="0.25">
      <c r="A6207" t="s">
        <v>6452</v>
      </c>
    </row>
    <row r="6208" spans="1:1" x14ac:dyDescent="0.25">
      <c r="A6208" t="s">
        <v>6453</v>
      </c>
    </row>
    <row r="6209" spans="1:1" x14ac:dyDescent="0.25">
      <c r="A6209" t="s">
        <v>1463</v>
      </c>
    </row>
    <row r="6210" spans="1:1" x14ac:dyDescent="0.25">
      <c r="A6210" t="s">
        <v>6454</v>
      </c>
    </row>
    <row r="6211" spans="1:1" x14ac:dyDescent="0.25">
      <c r="A6211" t="s">
        <v>6455</v>
      </c>
    </row>
    <row r="6212" spans="1:1" x14ac:dyDescent="0.25">
      <c r="A6212" t="s">
        <v>6456</v>
      </c>
    </row>
    <row r="6213" spans="1:1" x14ac:dyDescent="0.25">
      <c r="A6213" t="s">
        <v>6457</v>
      </c>
    </row>
    <row r="6214" spans="1:1" x14ac:dyDescent="0.25">
      <c r="A6214" t="s">
        <v>6458</v>
      </c>
    </row>
    <row r="6215" spans="1:1" x14ac:dyDescent="0.25">
      <c r="A6215" t="s">
        <v>6459</v>
      </c>
    </row>
    <row r="6216" spans="1:1" x14ac:dyDescent="0.25">
      <c r="A6216" t="s">
        <v>6460</v>
      </c>
    </row>
    <row r="6217" spans="1:1" x14ac:dyDescent="0.25">
      <c r="A6217" t="s">
        <v>6461</v>
      </c>
    </row>
    <row r="6218" spans="1:1" x14ac:dyDescent="0.25">
      <c r="A6218" t="s">
        <v>1463</v>
      </c>
    </row>
    <row r="6219" spans="1:1" x14ac:dyDescent="0.25">
      <c r="A6219" t="s">
        <v>6462</v>
      </c>
    </row>
    <row r="6220" spans="1:1" x14ac:dyDescent="0.25">
      <c r="A6220" t="s">
        <v>6456</v>
      </c>
    </row>
    <row r="6221" spans="1:1" x14ac:dyDescent="0.25">
      <c r="A6221" t="s">
        <v>6457</v>
      </c>
    </row>
    <row r="6222" spans="1:1" x14ac:dyDescent="0.25">
      <c r="A6222" t="s">
        <v>6458</v>
      </c>
    </row>
    <row r="6223" spans="1:1" x14ac:dyDescent="0.25">
      <c r="A6223" t="s">
        <v>6459</v>
      </c>
    </row>
    <row r="6224" spans="1:1" x14ac:dyDescent="0.25">
      <c r="A6224" t="s">
        <v>6460</v>
      </c>
    </row>
    <row r="6225" spans="1:1" x14ac:dyDescent="0.25">
      <c r="A6225" t="s">
        <v>6463</v>
      </c>
    </row>
    <row r="6226" spans="1:1" x14ac:dyDescent="0.25">
      <c r="A6226" t="s">
        <v>1463</v>
      </c>
    </row>
    <row r="6227" spans="1:1" x14ac:dyDescent="0.25">
      <c r="A6227" t="s">
        <v>6462</v>
      </c>
    </row>
    <row r="6229" spans="1:1" x14ac:dyDescent="0.25">
      <c r="A6229" t="s">
        <v>6464</v>
      </c>
    </row>
    <row r="6230" spans="1:1" x14ac:dyDescent="0.25">
      <c r="A6230" t="s">
        <v>6465</v>
      </c>
    </row>
    <row r="6231" spans="1:1" x14ac:dyDescent="0.25">
      <c r="A6231" t="s">
        <v>6286</v>
      </c>
    </row>
    <row r="6232" spans="1:1" x14ac:dyDescent="0.25">
      <c r="A6232" t="s">
        <v>6466</v>
      </c>
    </row>
    <row r="6233" spans="1:1" x14ac:dyDescent="0.25">
      <c r="A6233" t="s">
        <v>1463</v>
      </c>
    </row>
    <row r="6234" spans="1:1" x14ac:dyDescent="0.25">
      <c r="A6234" t="s">
        <v>6467</v>
      </c>
    </row>
    <row r="6235" spans="1:1" x14ac:dyDescent="0.25">
      <c r="A6235" t="s">
        <v>6468</v>
      </c>
    </row>
    <row r="6236" spans="1:1" x14ac:dyDescent="0.25">
      <c r="A6236" t="s">
        <v>6469</v>
      </c>
    </row>
    <row r="6237" spans="1:1" x14ac:dyDescent="0.25">
      <c r="A6237" t="s">
        <v>6470</v>
      </c>
    </row>
    <row r="6238" spans="1:1" x14ac:dyDescent="0.25">
      <c r="A6238" t="s">
        <v>6471</v>
      </c>
    </row>
    <row r="6239" spans="1:1" x14ac:dyDescent="0.25">
      <c r="A6239" t="s">
        <v>1463</v>
      </c>
    </row>
    <row r="6240" spans="1:1" x14ac:dyDescent="0.25">
      <c r="A6240" t="s">
        <v>6472</v>
      </c>
    </row>
    <row r="6241" spans="1:1" x14ac:dyDescent="0.25">
      <c r="A6241" t="s">
        <v>6347</v>
      </c>
    </row>
    <row r="6242" spans="1:1" x14ac:dyDescent="0.25">
      <c r="A6242" t="s">
        <v>6473</v>
      </c>
    </row>
    <row r="6243" spans="1:1" x14ac:dyDescent="0.25">
      <c r="A6243" t="s">
        <v>6474</v>
      </c>
    </row>
    <row r="6244" spans="1:1" x14ac:dyDescent="0.25">
      <c r="A6244" t="s">
        <v>6475</v>
      </c>
    </row>
    <row r="6245" spans="1:1" x14ac:dyDescent="0.25">
      <c r="A6245" t="s">
        <v>1463</v>
      </c>
    </row>
    <row r="6246" spans="1:1" x14ac:dyDescent="0.25">
      <c r="A6246" t="s">
        <v>6476</v>
      </c>
    </row>
    <row r="6247" spans="1:1" x14ac:dyDescent="0.25">
      <c r="A6247" t="s">
        <v>6477</v>
      </c>
    </row>
    <row r="6248" spans="1:1" x14ac:dyDescent="0.25">
      <c r="A6248" t="s">
        <v>6478</v>
      </c>
    </row>
    <row r="6249" spans="1:1" x14ac:dyDescent="0.25">
      <c r="A6249" t="s">
        <v>6369</v>
      </c>
    </row>
    <row r="6250" spans="1:1" x14ac:dyDescent="0.25">
      <c r="A6250" t="s">
        <v>6479</v>
      </c>
    </row>
    <row r="6251" spans="1:1" x14ac:dyDescent="0.25">
      <c r="A6251" t="s">
        <v>1463</v>
      </c>
    </row>
    <row r="6252" spans="1:1" x14ac:dyDescent="0.25">
      <c r="A6252" t="s">
        <v>6480</v>
      </c>
    </row>
    <row r="6253" spans="1:1" x14ac:dyDescent="0.25">
      <c r="A6253" t="s">
        <v>6481</v>
      </c>
    </row>
    <row r="6254" spans="1:1" x14ac:dyDescent="0.25">
      <c r="A6254" t="s">
        <v>6482</v>
      </c>
    </row>
    <row r="6255" spans="1:1" x14ac:dyDescent="0.25">
      <c r="A6255" t="s">
        <v>6483</v>
      </c>
    </row>
    <row r="6256" spans="1:1" x14ac:dyDescent="0.25">
      <c r="A6256" t="s">
        <v>6484</v>
      </c>
    </row>
    <row r="6257" spans="1:1" x14ac:dyDescent="0.25">
      <c r="A6257" t="s">
        <v>3325</v>
      </c>
    </row>
    <row r="6258" spans="1:1" x14ac:dyDescent="0.25">
      <c r="A6258" t="s">
        <v>6485</v>
      </c>
    </row>
    <row r="6259" spans="1:1" x14ac:dyDescent="0.25">
      <c r="A6259" t="s">
        <v>6486</v>
      </c>
    </row>
    <row r="6261" spans="1:1" x14ac:dyDescent="0.25">
      <c r="A6261" t="s">
        <v>6487</v>
      </c>
    </row>
    <row r="6262" spans="1:1" x14ac:dyDescent="0.25">
      <c r="A6262" t="s">
        <v>6399</v>
      </c>
    </row>
    <row r="6263" spans="1:1" x14ac:dyDescent="0.25">
      <c r="A6263" t="s">
        <v>6488</v>
      </c>
    </row>
    <row r="6264" spans="1:1" x14ac:dyDescent="0.25">
      <c r="A6264" t="s">
        <v>1463</v>
      </c>
    </row>
    <row r="6265" spans="1:1" x14ac:dyDescent="0.25">
      <c r="A6265" t="s">
        <v>6489</v>
      </c>
    </row>
    <row r="6267" spans="1:1" x14ac:dyDescent="0.25">
      <c r="A6267" t="s">
        <v>6490</v>
      </c>
    </row>
    <row r="6268" spans="1:1" x14ac:dyDescent="0.25">
      <c r="A6268" t="s">
        <v>6491</v>
      </c>
    </row>
    <row r="6269" spans="1:1" x14ac:dyDescent="0.25">
      <c r="A6269" t="s">
        <v>6492</v>
      </c>
    </row>
    <row r="6270" spans="1:1" x14ac:dyDescent="0.25">
      <c r="A6270" t="s">
        <v>6493</v>
      </c>
    </row>
    <row r="6271" spans="1:1" x14ac:dyDescent="0.25">
      <c r="A6271" t="s">
        <v>6494</v>
      </c>
    </row>
    <row r="6272" spans="1:1" x14ac:dyDescent="0.25">
      <c r="A6272" t="s">
        <v>6495</v>
      </c>
    </row>
    <row r="6273" spans="1:1" x14ac:dyDescent="0.25">
      <c r="A6273" t="s">
        <v>6496</v>
      </c>
    </row>
    <row r="6274" spans="1:1" x14ac:dyDescent="0.25">
      <c r="A6274" t="s">
        <v>6497</v>
      </c>
    </row>
    <row r="6275" spans="1:1" x14ac:dyDescent="0.25">
      <c r="A6275" t="s">
        <v>6498</v>
      </c>
    </row>
    <row r="6276" spans="1:1" x14ac:dyDescent="0.25">
      <c r="A6276" t="s">
        <v>6499</v>
      </c>
    </row>
    <row r="6277" spans="1:1" x14ac:dyDescent="0.25">
      <c r="A6277" t="s">
        <v>6500</v>
      </c>
    </row>
    <row r="6278" spans="1:1" x14ac:dyDescent="0.25">
      <c r="A6278" t="s">
        <v>6501</v>
      </c>
    </row>
    <row r="6279" spans="1:1" x14ac:dyDescent="0.25">
      <c r="A6279" t="s">
        <v>6502</v>
      </c>
    </row>
    <row r="6280" spans="1:1" x14ac:dyDescent="0.25">
      <c r="A6280" t="s">
        <v>6503</v>
      </c>
    </row>
    <row r="6281" spans="1:1" x14ac:dyDescent="0.25">
      <c r="A6281" t="s">
        <v>6504</v>
      </c>
    </row>
    <row r="6282" spans="1:1" x14ac:dyDescent="0.25">
      <c r="A6282" t="s">
        <v>6505</v>
      </c>
    </row>
    <row r="6283" spans="1:1" x14ac:dyDescent="0.25">
      <c r="A6283" t="s">
        <v>6506</v>
      </c>
    </row>
    <row r="6284" spans="1:1" x14ac:dyDescent="0.25">
      <c r="A6284" t="s">
        <v>6507</v>
      </c>
    </row>
    <row r="6285" spans="1:1" x14ac:dyDescent="0.25">
      <c r="A6285" t="s">
        <v>6508</v>
      </c>
    </row>
    <row r="6286" spans="1:1" x14ac:dyDescent="0.25">
      <c r="A6286" t="s">
        <v>6509</v>
      </c>
    </row>
    <row r="6287" spans="1:1" x14ac:dyDescent="0.25">
      <c r="A6287" t="s">
        <v>6510</v>
      </c>
    </row>
    <row r="6288" spans="1:1" x14ac:dyDescent="0.25">
      <c r="A6288" t="s">
        <v>6511</v>
      </c>
    </row>
    <row r="6289" spans="1:2" x14ac:dyDescent="0.25">
      <c r="A6289" t="s">
        <v>6512</v>
      </c>
    </row>
    <row r="6290" spans="1:2" x14ac:dyDescent="0.25">
      <c r="A6290" t="s">
        <v>6513</v>
      </c>
    </row>
    <row r="6291" spans="1:2" x14ac:dyDescent="0.25">
      <c r="A6291" t="s">
        <v>6511</v>
      </c>
    </row>
    <row r="6292" spans="1:2" x14ac:dyDescent="0.25">
      <c r="A6292" t="s">
        <v>6512</v>
      </c>
    </row>
    <row r="6293" spans="1:2" x14ac:dyDescent="0.25">
      <c r="A6293" t="s">
        <v>6514</v>
      </c>
    </row>
    <row r="6294" spans="1:2" x14ac:dyDescent="0.25">
      <c r="A6294" t="s">
        <v>6515</v>
      </c>
    </row>
    <row r="6295" spans="1:2" x14ac:dyDescent="0.25">
      <c r="A6295" t="s">
        <v>6516</v>
      </c>
      <c r="B6295" t="s">
        <v>6517</v>
      </c>
    </row>
    <row r="6296" spans="1:2" x14ac:dyDescent="0.25">
      <c r="A6296" t="s">
        <v>6518</v>
      </c>
    </row>
    <row r="6297" spans="1:2" x14ac:dyDescent="0.25">
      <c r="A6297" t="s">
        <v>6519</v>
      </c>
    </row>
    <row r="6298" spans="1:2" x14ac:dyDescent="0.25">
      <c r="A6298" t="s">
        <v>6520</v>
      </c>
    </row>
    <row r="6299" spans="1:2" x14ac:dyDescent="0.25">
      <c r="A6299" t="s">
        <v>6521</v>
      </c>
    </row>
    <row r="6300" spans="1:2" x14ac:dyDescent="0.25">
      <c r="A6300" t="s">
        <v>6522</v>
      </c>
    </row>
    <row r="6301" spans="1:2" x14ac:dyDescent="0.25">
      <c r="A6301" t="s">
        <v>6523</v>
      </c>
    </row>
    <row r="6302" spans="1:2" x14ac:dyDescent="0.25">
      <c r="A6302" t="s">
        <v>6524</v>
      </c>
    </row>
    <row r="6304" spans="1:2" x14ac:dyDescent="0.25">
      <c r="A6304" t="s">
        <v>6525</v>
      </c>
    </row>
    <row r="6305" spans="1:1" x14ac:dyDescent="0.25">
      <c r="A6305" t="s">
        <v>6526</v>
      </c>
    </row>
    <row r="6306" spans="1:1" x14ac:dyDescent="0.25">
      <c r="A6306" t="s">
        <v>6527</v>
      </c>
    </row>
    <row r="6307" spans="1:1" x14ac:dyDescent="0.25">
      <c r="A6307" t="s">
        <v>6528</v>
      </c>
    </row>
    <row r="6308" spans="1:1" x14ac:dyDescent="0.25">
      <c r="A6308" t="s">
        <v>6529</v>
      </c>
    </row>
    <row r="6309" spans="1:1" x14ac:dyDescent="0.25">
      <c r="A6309" t="s">
        <v>6530</v>
      </c>
    </row>
    <row r="6310" spans="1:1" x14ac:dyDescent="0.25">
      <c r="A6310" t="s">
        <v>6531</v>
      </c>
    </row>
    <row r="6311" spans="1:1" x14ac:dyDescent="0.25">
      <c r="A6311" t="s">
        <v>6532</v>
      </c>
    </row>
    <row r="6312" spans="1:1" x14ac:dyDescent="0.25">
      <c r="A6312" t="s">
        <v>6533</v>
      </c>
    </row>
    <row r="6313" spans="1:1" x14ac:dyDescent="0.25">
      <c r="A6313" t="s">
        <v>6534</v>
      </c>
    </row>
    <row r="6314" spans="1:1" x14ac:dyDescent="0.25">
      <c r="A6314" t="s">
        <v>6535</v>
      </c>
    </row>
    <row r="6316" spans="1:1" x14ac:dyDescent="0.25">
      <c r="A6316" t="s">
        <v>6536</v>
      </c>
    </row>
    <row r="6317" spans="1:1" x14ac:dyDescent="0.25">
      <c r="A6317" t="s">
        <v>6537</v>
      </c>
    </row>
    <row r="6318" spans="1:1" x14ac:dyDescent="0.25">
      <c r="A6318" t="s">
        <v>6538</v>
      </c>
    </row>
    <row r="6319" spans="1:1" x14ac:dyDescent="0.25">
      <c r="A6319" t="s">
        <v>6539</v>
      </c>
    </row>
    <row r="6320" spans="1:1" x14ac:dyDescent="0.25">
      <c r="A6320" t="s">
        <v>6540</v>
      </c>
    </row>
    <row r="6321" spans="1:1" x14ac:dyDescent="0.25">
      <c r="A6321" t="s">
        <v>6541</v>
      </c>
    </row>
    <row r="6322" spans="1:1" x14ac:dyDescent="0.25">
      <c r="A6322" t="s">
        <v>6542</v>
      </c>
    </row>
    <row r="6323" spans="1:1" x14ac:dyDescent="0.25">
      <c r="A6323" t="s">
        <v>6543</v>
      </c>
    </row>
    <row r="6324" spans="1:1" x14ac:dyDescent="0.25">
      <c r="A6324" t="s">
        <v>6544</v>
      </c>
    </row>
    <row r="6325" spans="1:1" x14ac:dyDescent="0.25">
      <c r="A6325" t="s">
        <v>6545</v>
      </c>
    </row>
    <row r="6326" spans="1:1" x14ac:dyDescent="0.25">
      <c r="A6326" t="s">
        <v>6546</v>
      </c>
    </row>
    <row r="6327" spans="1:1" x14ac:dyDescent="0.25">
      <c r="A6327" t="s">
        <v>6547</v>
      </c>
    </row>
    <row r="6328" spans="1:1" x14ac:dyDescent="0.25">
      <c r="A6328" t="s">
        <v>6548</v>
      </c>
    </row>
    <row r="6329" spans="1:1" x14ac:dyDescent="0.25">
      <c r="A6329" t="s">
        <v>6549</v>
      </c>
    </row>
    <row r="6330" spans="1:1" x14ac:dyDescent="0.25">
      <c r="A6330" t="s">
        <v>6550</v>
      </c>
    </row>
    <row r="6331" spans="1:1" x14ac:dyDescent="0.25">
      <c r="A6331" t="s">
        <v>6551</v>
      </c>
    </row>
    <row r="6332" spans="1:1" x14ac:dyDescent="0.25">
      <c r="A6332" t="s">
        <v>6552</v>
      </c>
    </row>
    <row r="6333" spans="1:1" x14ac:dyDescent="0.25">
      <c r="A6333" t="s">
        <v>6553</v>
      </c>
    </row>
    <row r="6334" spans="1:1" x14ac:dyDescent="0.25">
      <c r="A6334" t="s">
        <v>6554</v>
      </c>
    </row>
    <row r="6335" spans="1:1" x14ac:dyDescent="0.25">
      <c r="A6335" t="s">
        <v>6555</v>
      </c>
    </row>
    <row r="6336" spans="1:1" x14ac:dyDescent="0.25">
      <c r="A6336" t="s">
        <v>6556</v>
      </c>
    </row>
    <row r="6337" spans="1:1" x14ac:dyDescent="0.25">
      <c r="A6337" t="s">
        <v>6557</v>
      </c>
    </row>
    <row r="6338" spans="1:1" x14ac:dyDescent="0.25">
      <c r="A6338" t="s">
        <v>6558</v>
      </c>
    </row>
    <row r="6339" spans="1:1" x14ac:dyDescent="0.25">
      <c r="A6339" t="s">
        <v>6559</v>
      </c>
    </row>
    <row r="6340" spans="1:1" x14ac:dyDescent="0.25">
      <c r="A6340" t="s">
        <v>6560</v>
      </c>
    </row>
    <row r="6341" spans="1:1" x14ac:dyDescent="0.25">
      <c r="A6341" t="s">
        <v>6561</v>
      </c>
    </row>
    <row r="6343" spans="1:1" x14ac:dyDescent="0.25">
      <c r="A6343" t="s">
        <v>6562</v>
      </c>
    </row>
    <row r="6344" spans="1:1" x14ac:dyDescent="0.25">
      <c r="A6344" t="s">
        <v>6563</v>
      </c>
    </row>
    <row r="6345" spans="1:1" x14ac:dyDescent="0.25">
      <c r="A6345" t="s">
        <v>6564</v>
      </c>
    </row>
    <row r="6346" spans="1:1" x14ac:dyDescent="0.25">
      <c r="A6346" t="s">
        <v>6565</v>
      </c>
    </row>
    <row r="6347" spans="1:1" x14ac:dyDescent="0.25">
      <c r="A6347" t="s">
        <v>6566</v>
      </c>
    </row>
    <row r="6348" spans="1:1" x14ac:dyDescent="0.25">
      <c r="A6348" t="s">
        <v>6567</v>
      </c>
    </row>
    <row r="6349" spans="1:1" x14ac:dyDescent="0.25">
      <c r="A6349" t="s">
        <v>6568</v>
      </c>
    </row>
    <row r="6351" spans="1:1" x14ac:dyDescent="0.25">
      <c r="A6351" t="s">
        <v>6569</v>
      </c>
    </row>
    <row r="6352" spans="1:1" x14ac:dyDescent="0.25">
      <c r="A6352" t="s">
        <v>6570</v>
      </c>
    </row>
    <row r="6353" spans="1:1" x14ac:dyDescent="0.25">
      <c r="A6353" t="s">
        <v>6571</v>
      </c>
    </row>
    <row r="6354" spans="1:1" x14ac:dyDescent="0.25">
      <c r="A6354" t="s">
        <v>6572</v>
      </c>
    </row>
    <row r="6355" spans="1:1" x14ac:dyDescent="0.25">
      <c r="A6355" t="s">
        <v>6573</v>
      </c>
    </row>
    <row r="6356" spans="1:1" x14ac:dyDescent="0.25">
      <c r="A6356" t="s">
        <v>6574</v>
      </c>
    </row>
    <row r="6357" spans="1:1" x14ac:dyDescent="0.25">
      <c r="A6357" t="s">
        <v>6575</v>
      </c>
    </row>
    <row r="6358" spans="1:1" x14ac:dyDescent="0.25">
      <c r="A6358" t="s">
        <v>6576</v>
      </c>
    </row>
    <row r="6359" spans="1:1" x14ac:dyDescent="0.25">
      <c r="A6359" t="s">
        <v>6577</v>
      </c>
    </row>
    <row r="6360" spans="1:1" x14ac:dyDescent="0.25">
      <c r="A6360" t="s">
        <v>6578</v>
      </c>
    </row>
    <row r="6361" spans="1:1" x14ac:dyDescent="0.25">
      <c r="A6361" t="s">
        <v>6579</v>
      </c>
    </row>
    <row r="6362" spans="1:1" x14ac:dyDescent="0.25">
      <c r="A6362" t="s">
        <v>6580</v>
      </c>
    </row>
    <row r="6363" spans="1:1" x14ac:dyDescent="0.25">
      <c r="A6363" t="s">
        <v>6581</v>
      </c>
    </row>
    <row r="6365" spans="1:1" x14ac:dyDescent="0.25">
      <c r="A6365" t="s">
        <v>6582</v>
      </c>
    </row>
    <row r="6366" spans="1:1" x14ac:dyDescent="0.25">
      <c r="A6366" t="s">
        <v>6583</v>
      </c>
    </row>
    <row r="6367" spans="1:1" x14ac:dyDescent="0.25">
      <c r="A6367" t="s">
        <v>6584</v>
      </c>
    </row>
    <row r="6368" spans="1:1" x14ac:dyDescent="0.25">
      <c r="A6368" t="s">
        <v>6585</v>
      </c>
    </row>
    <row r="6369" spans="1:2" x14ac:dyDescent="0.25">
      <c r="A6369" t="s">
        <v>6586</v>
      </c>
    </row>
    <row r="6370" spans="1:2" x14ac:dyDescent="0.25">
      <c r="A6370" t="s">
        <v>6587</v>
      </c>
    </row>
    <row r="6371" spans="1:2" x14ac:dyDescent="0.25">
      <c r="A6371" t="s">
        <v>6588</v>
      </c>
    </row>
    <row r="6372" spans="1:2" x14ac:dyDescent="0.25">
      <c r="A6372" t="s">
        <v>6589</v>
      </c>
      <c r="B6372" t="s">
        <v>6590</v>
      </c>
    </row>
    <row r="6373" spans="1:2" x14ac:dyDescent="0.25">
      <c r="A6373" t="s">
        <v>6591</v>
      </c>
    </row>
    <row r="6374" spans="1:2" x14ac:dyDescent="0.25">
      <c r="A6374" t="s">
        <v>6592</v>
      </c>
      <c r="B6374" t="s">
        <v>6593</v>
      </c>
    </row>
    <row r="6375" spans="1:2" x14ac:dyDescent="0.25">
      <c r="A6375" t="s">
        <v>6594</v>
      </c>
    </row>
    <row r="6376" spans="1:2" x14ac:dyDescent="0.25">
      <c r="A6376" t="s">
        <v>6595</v>
      </c>
    </row>
    <row r="6377" spans="1:2" x14ac:dyDescent="0.25">
      <c r="A6377" t="s">
        <v>6596</v>
      </c>
    </row>
    <row r="6378" spans="1:2" x14ac:dyDescent="0.25">
      <c r="A6378" t="s">
        <v>6597</v>
      </c>
    </row>
    <row r="6379" spans="1:2" x14ac:dyDescent="0.25">
      <c r="A6379" t="s">
        <v>6598</v>
      </c>
    </row>
    <row r="6380" spans="1:2" x14ac:dyDescent="0.25">
      <c r="A6380" t="s">
        <v>6599</v>
      </c>
    </row>
    <row r="6381" spans="1:2" x14ac:dyDescent="0.25">
      <c r="A6381" t="s">
        <v>6600</v>
      </c>
    </row>
    <row r="6382" spans="1:2" x14ac:dyDescent="0.25">
      <c r="A6382" t="s">
        <v>6601</v>
      </c>
    </row>
    <row r="6383" spans="1:2" x14ac:dyDescent="0.25">
      <c r="A6383" t="s">
        <v>6602</v>
      </c>
    </row>
    <row r="6384" spans="1:2" x14ac:dyDescent="0.25">
      <c r="A6384" t="s">
        <v>6603</v>
      </c>
    </row>
    <row r="6385" spans="1:1" x14ac:dyDescent="0.25">
      <c r="A6385" t="s">
        <v>6604</v>
      </c>
    </row>
    <row r="6386" spans="1:1" x14ac:dyDescent="0.25">
      <c r="A6386" t="s">
        <v>6605</v>
      </c>
    </row>
    <row r="6387" spans="1:1" x14ac:dyDescent="0.25">
      <c r="A6387" t="s">
        <v>6606</v>
      </c>
    </row>
    <row r="6388" spans="1:1" x14ac:dyDescent="0.25">
      <c r="A6388" t="s">
        <v>6607</v>
      </c>
    </row>
    <row r="6389" spans="1:1" x14ac:dyDescent="0.25">
      <c r="A6389" t="s">
        <v>6608</v>
      </c>
    </row>
    <row r="6390" spans="1:1" x14ac:dyDescent="0.25">
      <c r="A6390" t="s">
        <v>6609</v>
      </c>
    </row>
    <row r="6391" spans="1:1" x14ac:dyDescent="0.25">
      <c r="A6391" t="s">
        <v>6610</v>
      </c>
    </row>
    <row r="6392" spans="1:1" x14ac:dyDescent="0.25">
      <c r="A6392" t="s">
        <v>6611</v>
      </c>
    </row>
    <row r="6393" spans="1:1" x14ac:dyDescent="0.25">
      <c r="A6393" t="s">
        <v>6612</v>
      </c>
    </row>
    <row r="6394" spans="1:1" x14ac:dyDescent="0.25">
      <c r="A6394" t="s">
        <v>6613</v>
      </c>
    </row>
    <row r="6395" spans="1:1" x14ac:dyDescent="0.25">
      <c r="A6395" t="s">
        <v>6614</v>
      </c>
    </row>
    <row r="6396" spans="1:1" x14ac:dyDescent="0.25">
      <c r="A6396" t="s">
        <v>6615</v>
      </c>
    </row>
    <row r="6397" spans="1:1" x14ac:dyDescent="0.25">
      <c r="A6397" t="s">
        <v>6616</v>
      </c>
    </row>
    <row r="6398" spans="1:1" x14ac:dyDescent="0.25">
      <c r="A6398" t="s">
        <v>6617</v>
      </c>
    </row>
    <row r="6399" spans="1:1" x14ac:dyDescent="0.25">
      <c r="A6399" t="s">
        <v>6618</v>
      </c>
    </row>
    <row r="6400" spans="1:1" x14ac:dyDescent="0.25">
      <c r="A6400" t="s">
        <v>6619</v>
      </c>
    </row>
    <row r="6401" spans="1:1" x14ac:dyDescent="0.25">
      <c r="A6401" t="s">
        <v>6620</v>
      </c>
    </row>
    <row r="6402" spans="1:1" x14ac:dyDescent="0.25">
      <c r="A6402" t="s">
        <v>6621</v>
      </c>
    </row>
    <row r="6403" spans="1:1" x14ac:dyDescent="0.25">
      <c r="A6403" t="s">
        <v>6622</v>
      </c>
    </row>
    <row r="6404" spans="1:1" x14ac:dyDescent="0.25">
      <c r="A6404" t="s">
        <v>6623</v>
      </c>
    </row>
    <row r="6405" spans="1:1" x14ac:dyDescent="0.25">
      <c r="A6405" t="s">
        <v>6624</v>
      </c>
    </row>
    <row r="6406" spans="1:1" x14ac:dyDescent="0.25">
      <c r="A6406" t="s">
        <v>6625</v>
      </c>
    </row>
    <row r="6407" spans="1:1" x14ac:dyDescent="0.25">
      <c r="A6407" t="s">
        <v>6626</v>
      </c>
    </row>
    <row r="6408" spans="1:1" x14ac:dyDescent="0.25">
      <c r="A6408" t="s">
        <v>6627</v>
      </c>
    </row>
    <row r="6409" spans="1:1" x14ac:dyDescent="0.25">
      <c r="A6409" t="s">
        <v>6628</v>
      </c>
    </row>
    <row r="6410" spans="1:1" x14ac:dyDescent="0.25">
      <c r="A6410" t="s">
        <v>6629</v>
      </c>
    </row>
    <row r="6411" spans="1:1" x14ac:dyDescent="0.25">
      <c r="A6411" t="s">
        <v>6630</v>
      </c>
    </row>
    <row r="6412" spans="1:1" x14ac:dyDescent="0.25">
      <c r="A6412" t="s">
        <v>6631</v>
      </c>
    </row>
    <row r="6413" spans="1:1" x14ac:dyDescent="0.25">
      <c r="A6413" t="s">
        <v>6632</v>
      </c>
    </row>
    <row r="6414" spans="1:1" x14ac:dyDescent="0.25">
      <c r="A6414" t="s">
        <v>6633</v>
      </c>
    </row>
    <row r="6415" spans="1:1" x14ac:dyDescent="0.25">
      <c r="A6415" t="s">
        <v>6634</v>
      </c>
    </row>
    <row r="6416" spans="1:1" x14ac:dyDescent="0.25">
      <c r="A6416" t="s">
        <v>6635</v>
      </c>
    </row>
    <row r="6417" spans="1:1" x14ac:dyDescent="0.25">
      <c r="A6417" t="s">
        <v>6636</v>
      </c>
    </row>
    <row r="6418" spans="1:1" x14ac:dyDescent="0.25">
      <c r="A6418" t="s">
        <v>6637</v>
      </c>
    </row>
    <row r="6419" spans="1:1" x14ac:dyDescent="0.25">
      <c r="A6419" t="s">
        <v>6638</v>
      </c>
    </row>
    <row r="6420" spans="1:1" x14ac:dyDescent="0.25">
      <c r="A6420" t="s">
        <v>6639</v>
      </c>
    </row>
    <row r="6421" spans="1:1" x14ac:dyDescent="0.25">
      <c r="A6421" t="s">
        <v>6640</v>
      </c>
    </row>
    <row r="6422" spans="1:1" x14ac:dyDescent="0.25">
      <c r="A6422" t="s">
        <v>6641</v>
      </c>
    </row>
    <row r="6423" spans="1:1" x14ac:dyDescent="0.25">
      <c r="A6423" t="s">
        <v>6642</v>
      </c>
    </row>
    <row r="6424" spans="1:1" x14ac:dyDescent="0.25">
      <c r="A6424" t="s">
        <v>6643</v>
      </c>
    </row>
    <row r="6425" spans="1:1" x14ac:dyDescent="0.25">
      <c r="A6425" t="s">
        <v>6644</v>
      </c>
    </row>
    <row r="6426" spans="1:1" x14ac:dyDescent="0.25">
      <c r="A6426" t="s">
        <v>6645</v>
      </c>
    </row>
    <row r="6427" spans="1:1" x14ac:dyDescent="0.25">
      <c r="A6427" t="s">
        <v>6646</v>
      </c>
    </row>
    <row r="6428" spans="1:1" x14ac:dyDescent="0.25">
      <c r="A6428" t="s">
        <v>6647</v>
      </c>
    </row>
    <row r="6429" spans="1:1" x14ac:dyDescent="0.25">
      <c r="A6429" t="s">
        <v>6648</v>
      </c>
    </row>
    <row r="6430" spans="1:1" x14ac:dyDescent="0.25">
      <c r="A6430" t="s">
        <v>6649</v>
      </c>
    </row>
    <row r="6431" spans="1:1" x14ac:dyDescent="0.25">
      <c r="A6431" t="s">
        <v>6650</v>
      </c>
    </row>
    <row r="6432" spans="1:1" x14ac:dyDescent="0.25">
      <c r="A6432" t="s">
        <v>6651</v>
      </c>
    </row>
    <row r="6433" spans="1:1" x14ac:dyDescent="0.25">
      <c r="A6433" t="s">
        <v>6652</v>
      </c>
    </row>
    <row r="6434" spans="1:1" x14ac:dyDescent="0.25">
      <c r="A6434" t="s">
        <v>6653</v>
      </c>
    </row>
    <row r="6435" spans="1:1" x14ac:dyDescent="0.25">
      <c r="A6435" t="s">
        <v>6654</v>
      </c>
    </row>
    <row r="6436" spans="1:1" x14ac:dyDescent="0.25">
      <c r="A6436" t="s">
        <v>6655</v>
      </c>
    </row>
    <row r="6437" spans="1:1" x14ac:dyDescent="0.25">
      <c r="A6437" t="s">
        <v>6656</v>
      </c>
    </row>
    <row r="6438" spans="1:1" x14ac:dyDescent="0.25">
      <c r="A6438" t="s">
        <v>6657</v>
      </c>
    </row>
    <row r="6439" spans="1:1" x14ac:dyDescent="0.25">
      <c r="A6439" t="s">
        <v>6658</v>
      </c>
    </row>
    <row r="6440" spans="1:1" x14ac:dyDescent="0.25">
      <c r="A6440" t="s">
        <v>6659</v>
      </c>
    </row>
    <row r="6441" spans="1:1" x14ac:dyDescent="0.25">
      <c r="A6441" t="s">
        <v>6660</v>
      </c>
    </row>
    <row r="6442" spans="1:1" x14ac:dyDescent="0.25">
      <c r="A6442" t="s">
        <v>6661</v>
      </c>
    </row>
    <row r="6443" spans="1:1" x14ac:dyDescent="0.25">
      <c r="A6443" t="s">
        <v>6662</v>
      </c>
    </row>
    <row r="6444" spans="1:1" x14ac:dyDescent="0.25">
      <c r="A6444" t="s">
        <v>2482</v>
      </c>
    </row>
    <row r="6445" spans="1:1" x14ac:dyDescent="0.25">
      <c r="A6445" t="s">
        <v>6663</v>
      </c>
    </row>
    <row r="6446" spans="1:1" x14ac:dyDescent="0.25">
      <c r="A6446" t="s">
        <v>6664</v>
      </c>
    </row>
    <row r="6447" spans="1:1" x14ac:dyDescent="0.25">
      <c r="A6447" t="s">
        <v>6665</v>
      </c>
    </row>
    <row r="6448" spans="1:1" x14ac:dyDescent="0.25">
      <c r="A6448" t="s">
        <v>6666</v>
      </c>
    </row>
    <row r="6449" spans="1:1" x14ac:dyDescent="0.25">
      <c r="A6449" t="s">
        <v>6667</v>
      </c>
    </row>
    <row r="6450" spans="1:1" x14ac:dyDescent="0.25">
      <c r="A6450" t="s">
        <v>6668</v>
      </c>
    </row>
    <row r="6451" spans="1:1" x14ac:dyDescent="0.25">
      <c r="A6451" t="s">
        <v>6669</v>
      </c>
    </row>
    <row r="6452" spans="1:1" x14ac:dyDescent="0.25">
      <c r="A6452" t="s">
        <v>6670</v>
      </c>
    </row>
    <row r="6453" spans="1:1" x14ac:dyDescent="0.25">
      <c r="A6453" t="s">
        <v>6671</v>
      </c>
    </row>
    <row r="6454" spans="1:1" x14ac:dyDescent="0.25">
      <c r="A6454" t="s">
        <v>6672</v>
      </c>
    </row>
    <row r="6455" spans="1:1" x14ac:dyDescent="0.25">
      <c r="A6455" t="s">
        <v>6673</v>
      </c>
    </row>
    <row r="6456" spans="1:1" x14ac:dyDescent="0.25">
      <c r="A6456" t="s">
        <v>6674</v>
      </c>
    </row>
    <row r="6457" spans="1:1" x14ac:dyDescent="0.25">
      <c r="A6457" t="s">
        <v>6675</v>
      </c>
    </row>
    <row r="6458" spans="1:1" x14ac:dyDescent="0.25">
      <c r="A6458" t="s">
        <v>6676</v>
      </c>
    </row>
    <row r="6459" spans="1:1" x14ac:dyDescent="0.25">
      <c r="A6459" t="s">
        <v>6677</v>
      </c>
    </row>
    <row r="6460" spans="1:1" x14ac:dyDescent="0.25">
      <c r="A6460" t="s">
        <v>6678</v>
      </c>
    </row>
    <row r="6462" spans="1:1" x14ac:dyDescent="0.25">
      <c r="A6462" t="s">
        <v>6679</v>
      </c>
    </row>
    <row r="6463" spans="1:1" x14ac:dyDescent="0.25">
      <c r="A6463" t="s">
        <v>6680</v>
      </c>
    </row>
    <row r="6464" spans="1:1" x14ac:dyDescent="0.25">
      <c r="A6464" t="s">
        <v>6681</v>
      </c>
    </row>
    <row r="6466" spans="1:1" x14ac:dyDescent="0.25">
      <c r="A6466" t="s">
        <v>6682</v>
      </c>
    </row>
    <row r="6467" spans="1:1" x14ac:dyDescent="0.25">
      <c r="A6467" t="s">
        <v>6683</v>
      </c>
    </row>
    <row r="6468" spans="1:1" x14ac:dyDescent="0.25">
      <c r="A6468" t="s">
        <v>6684</v>
      </c>
    </row>
    <row r="6469" spans="1:1" x14ac:dyDescent="0.25">
      <c r="A6469" t="s">
        <v>6685</v>
      </c>
    </row>
    <row r="6470" spans="1:1" x14ac:dyDescent="0.25">
      <c r="A6470" t="s">
        <v>6686</v>
      </c>
    </row>
    <row r="6471" spans="1:1" x14ac:dyDescent="0.25">
      <c r="A6471" t="s">
        <v>6687</v>
      </c>
    </row>
    <row r="6472" spans="1:1" x14ac:dyDescent="0.25">
      <c r="A6472" t="s">
        <v>6688</v>
      </c>
    </row>
    <row r="6473" spans="1:1" x14ac:dyDescent="0.25">
      <c r="A6473" t="s">
        <v>6689</v>
      </c>
    </row>
    <row r="6474" spans="1:1" x14ac:dyDescent="0.25">
      <c r="A6474" t="s">
        <v>6690</v>
      </c>
    </row>
    <row r="6475" spans="1:1" x14ac:dyDescent="0.25">
      <c r="A6475" t="s">
        <v>6691</v>
      </c>
    </row>
    <row r="6476" spans="1:1" x14ac:dyDescent="0.25">
      <c r="A6476" t="s">
        <v>6692</v>
      </c>
    </row>
    <row r="6477" spans="1:1" x14ac:dyDescent="0.25">
      <c r="A6477" t="s">
        <v>6693</v>
      </c>
    </row>
    <row r="6478" spans="1:1" x14ac:dyDescent="0.25">
      <c r="A6478" t="s">
        <v>6694</v>
      </c>
    </row>
    <row r="6479" spans="1:1" x14ac:dyDescent="0.25">
      <c r="A6479" t="s">
        <v>6695</v>
      </c>
    </row>
    <row r="6480" spans="1:1" x14ac:dyDescent="0.25">
      <c r="A6480" t="s">
        <v>6696</v>
      </c>
    </row>
    <row r="6481" spans="1:1" x14ac:dyDescent="0.25">
      <c r="A6481" t="s">
        <v>6697</v>
      </c>
    </row>
    <row r="6482" spans="1:1" x14ac:dyDescent="0.25">
      <c r="A6482" t="s">
        <v>6698</v>
      </c>
    </row>
    <row r="6483" spans="1:1" x14ac:dyDescent="0.25">
      <c r="A6483" t="s">
        <v>6699</v>
      </c>
    </row>
    <row r="6484" spans="1:1" x14ac:dyDescent="0.25">
      <c r="A6484" t="s">
        <v>6700</v>
      </c>
    </row>
    <row r="6485" spans="1:1" x14ac:dyDescent="0.25">
      <c r="A6485" t="s">
        <v>6701</v>
      </c>
    </row>
    <row r="6486" spans="1:1" x14ac:dyDescent="0.25">
      <c r="A6486" t="s">
        <v>6702</v>
      </c>
    </row>
    <row r="6487" spans="1:1" x14ac:dyDescent="0.25">
      <c r="A6487" t="s">
        <v>6703</v>
      </c>
    </row>
    <row r="6488" spans="1:1" x14ac:dyDescent="0.25">
      <c r="A6488" t="s">
        <v>6704</v>
      </c>
    </row>
    <row r="6489" spans="1:1" x14ac:dyDescent="0.25">
      <c r="A6489" t="s">
        <v>6705</v>
      </c>
    </row>
    <row r="6490" spans="1:1" x14ac:dyDescent="0.25">
      <c r="A6490" t="s">
        <v>6706</v>
      </c>
    </row>
    <row r="6491" spans="1:1" x14ac:dyDescent="0.25">
      <c r="A6491" t="s">
        <v>6707</v>
      </c>
    </row>
    <row r="6492" spans="1:1" x14ac:dyDescent="0.25">
      <c r="A6492" t="s">
        <v>6708</v>
      </c>
    </row>
    <row r="6493" spans="1:1" x14ac:dyDescent="0.25">
      <c r="A6493" t="s">
        <v>6709</v>
      </c>
    </row>
    <row r="6494" spans="1:1" x14ac:dyDescent="0.25">
      <c r="A6494" t="s">
        <v>6710</v>
      </c>
    </row>
    <row r="6495" spans="1:1" x14ac:dyDescent="0.25">
      <c r="A6495" t="s">
        <v>6711</v>
      </c>
    </row>
    <row r="6496" spans="1:1" x14ac:dyDescent="0.25">
      <c r="A6496" t="s">
        <v>6712</v>
      </c>
    </row>
    <row r="6497" spans="1:1" x14ac:dyDescent="0.25">
      <c r="A6497" t="s">
        <v>3288</v>
      </c>
    </row>
    <row r="6498" spans="1:1" x14ac:dyDescent="0.25">
      <c r="A6498" t="s">
        <v>6713</v>
      </c>
    </row>
    <row r="6499" spans="1:1" x14ac:dyDescent="0.25">
      <c r="A6499" t="s">
        <v>6714</v>
      </c>
    </row>
    <row r="6500" spans="1:1" x14ac:dyDescent="0.25">
      <c r="A6500" t="s">
        <v>6715</v>
      </c>
    </row>
    <row r="6501" spans="1:1" x14ac:dyDescent="0.25">
      <c r="A6501" t="s">
        <v>6716</v>
      </c>
    </row>
    <row r="6502" spans="1:1" x14ac:dyDescent="0.25">
      <c r="A6502" t="s">
        <v>6717</v>
      </c>
    </row>
    <row r="6503" spans="1:1" x14ac:dyDescent="0.25">
      <c r="A6503" t="s">
        <v>3287</v>
      </c>
    </row>
    <row r="6504" spans="1:1" x14ac:dyDescent="0.25">
      <c r="A6504" t="s">
        <v>3288</v>
      </c>
    </row>
    <row r="6505" spans="1:1" x14ac:dyDescent="0.25">
      <c r="A6505" t="s">
        <v>6718</v>
      </c>
    </row>
    <row r="6506" spans="1:1" x14ac:dyDescent="0.25">
      <c r="A6506" t="s">
        <v>6719</v>
      </c>
    </row>
    <row r="6507" spans="1:1" x14ac:dyDescent="0.25">
      <c r="A6507" t="s">
        <v>6715</v>
      </c>
    </row>
    <row r="6508" spans="1:1" x14ac:dyDescent="0.25">
      <c r="A6508" t="s">
        <v>6720</v>
      </c>
    </row>
    <row r="6509" spans="1:1" x14ac:dyDescent="0.25">
      <c r="A6509" t="s">
        <v>6721</v>
      </c>
    </row>
    <row r="6510" spans="1:1" x14ac:dyDescent="0.25">
      <c r="A6510" t="s">
        <v>6722</v>
      </c>
    </row>
    <row r="6511" spans="1:1" x14ac:dyDescent="0.25">
      <c r="A6511" t="s">
        <v>2291</v>
      </c>
    </row>
    <row r="6512" spans="1:1" x14ac:dyDescent="0.25">
      <c r="A6512" t="s">
        <v>6723</v>
      </c>
    </row>
    <row r="6513" spans="1:1" x14ac:dyDescent="0.25">
      <c r="A6513" t="s">
        <v>6724</v>
      </c>
    </row>
    <row r="6514" spans="1:1" x14ac:dyDescent="0.25">
      <c r="A6514" t="s">
        <v>3285</v>
      </c>
    </row>
    <row r="6515" spans="1:1" x14ac:dyDescent="0.25">
      <c r="A6515" t="s">
        <v>6725</v>
      </c>
    </row>
    <row r="6516" spans="1:1" x14ac:dyDescent="0.25">
      <c r="A6516" t="s">
        <v>3287</v>
      </c>
    </row>
    <row r="6517" spans="1:1" x14ac:dyDescent="0.25">
      <c r="A6517" t="s">
        <v>6726</v>
      </c>
    </row>
    <row r="6518" spans="1:1" x14ac:dyDescent="0.25">
      <c r="A6518" t="s">
        <v>6727</v>
      </c>
    </row>
    <row r="6519" spans="1:1" x14ac:dyDescent="0.25">
      <c r="A6519" t="s">
        <v>3290</v>
      </c>
    </row>
    <row r="6520" spans="1:1" x14ac:dyDescent="0.25">
      <c r="A6520" t="s">
        <v>6728</v>
      </c>
    </row>
    <row r="6521" spans="1:1" x14ac:dyDescent="0.25">
      <c r="A6521" t="s">
        <v>2291</v>
      </c>
    </row>
    <row r="6522" spans="1:1" x14ac:dyDescent="0.25">
      <c r="A6522" t="s">
        <v>6729</v>
      </c>
    </row>
    <row r="6523" spans="1:1" x14ac:dyDescent="0.25">
      <c r="A6523" t="s">
        <v>6730</v>
      </c>
    </row>
    <row r="6524" spans="1:1" x14ac:dyDescent="0.25">
      <c r="A6524" t="s">
        <v>6731</v>
      </c>
    </row>
    <row r="6525" spans="1:1" x14ac:dyDescent="0.25">
      <c r="A6525" t="s">
        <v>3287</v>
      </c>
    </row>
    <row r="6526" spans="1:1" x14ac:dyDescent="0.25">
      <c r="A6526" t="s">
        <v>6732</v>
      </c>
    </row>
    <row r="6527" spans="1:1" x14ac:dyDescent="0.25">
      <c r="A6527" t="s">
        <v>6733</v>
      </c>
    </row>
    <row r="6528" spans="1:1" x14ac:dyDescent="0.25">
      <c r="A6528" t="s">
        <v>6734</v>
      </c>
    </row>
    <row r="6529" spans="1:4" x14ac:dyDescent="0.25">
      <c r="A6529" t="s">
        <v>2291</v>
      </c>
    </row>
    <row r="6530" spans="1:4" x14ac:dyDescent="0.25">
      <c r="A6530" t="s">
        <v>6735</v>
      </c>
    </row>
    <row r="6531" spans="1:4" x14ac:dyDescent="0.25">
      <c r="A6531" t="s">
        <v>6736</v>
      </c>
    </row>
    <row r="6533" spans="1:4" x14ac:dyDescent="0.25">
      <c r="A6533" t="s">
        <v>6737</v>
      </c>
    </row>
    <row r="6535" spans="1:4" x14ac:dyDescent="0.25">
      <c r="A6535" t="s">
        <v>6738</v>
      </c>
    </row>
    <row r="6536" spans="1:4" x14ac:dyDescent="0.25">
      <c r="A6536" t="s">
        <v>6739</v>
      </c>
    </row>
    <row r="6537" spans="1:4" x14ac:dyDescent="0.25">
      <c r="A6537" t="s">
        <v>6740</v>
      </c>
    </row>
    <row r="6538" spans="1:4" x14ac:dyDescent="0.25">
      <c r="A6538" t="s">
        <v>6741</v>
      </c>
    </row>
    <row r="6539" spans="1:4" x14ac:dyDescent="0.25">
      <c r="A6539" t="s">
        <v>6742</v>
      </c>
    </row>
    <row r="6540" spans="1:4" x14ac:dyDescent="0.25">
      <c r="A6540" t="s">
        <v>6743</v>
      </c>
    </row>
    <row r="6541" spans="1:4" x14ac:dyDescent="0.25">
      <c r="A6541" t="s">
        <v>6744</v>
      </c>
    </row>
    <row r="6542" spans="1:4" x14ac:dyDescent="0.25">
      <c r="A6542" t="s">
        <v>6745</v>
      </c>
      <c r="B6542">
        <v>201811</v>
      </c>
      <c r="C6542" t="s">
        <v>2014</v>
      </c>
      <c r="D6542" t="s">
        <v>6746</v>
      </c>
    </row>
    <row r="6543" spans="1:4" x14ac:dyDescent="0.25">
      <c r="A6543" t="s">
        <v>6747</v>
      </c>
    </row>
    <row r="6544" spans="1:4" x14ac:dyDescent="0.25">
      <c r="A6544" t="s">
        <v>6748</v>
      </c>
    </row>
    <row r="6545" spans="1:2" x14ac:dyDescent="0.25">
      <c r="A6545" t="s">
        <v>6749</v>
      </c>
    </row>
    <row r="6546" spans="1:2" x14ac:dyDescent="0.25">
      <c r="A6546" t="s">
        <v>6750</v>
      </c>
    </row>
    <row r="6547" spans="1:2" x14ac:dyDescent="0.25">
      <c r="A6547" t="s">
        <v>6751</v>
      </c>
    </row>
    <row r="6548" spans="1:2" x14ac:dyDescent="0.25">
      <c r="A6548" t="s">
        <v>6752</v>
      </c>
    </row>
    <row r="6549" spans="1:2" x14ac:dyDescent="0.25">
      <c r="A6549" t="s">
        <v>6753</v>
      </c>
    </row>
    <row r="6550" spans="1:2" x14ac:dyDescent="0.25">
      <c r="A6550" t="s">
        <v>6754</v>
      </c>
    </row>
    <row r="6551" spans="1:2" x14ac:dyDescent="0.25">
      <c r="A6551" t="s">
        <v>6755</v>
      </c>
    </row>
    <row r="6552" spans="1:2" x14ac:dyDescent="0.25">
      <c r="A6552" t="s">
        <v>6756</v>
      </c>
    </row>
    <row r="6553" spans="1:2" x14ac:dyDescent="0.25">
      <c r="A6553" t="s">
        <v>2172</v>
      </c>
      <c r="B6553">
        <v>2592.29</v>
      </c>
    </row>
    <row r="6554" spans="1:2" x14ac:dyDescent="0.25">
      <c r="A6554" t="s">
        <v>6757</v>
      </c>
    </row>
    <row r="6555" spans="1:2" x14ac:dyDescent="0.25">
      <c r="A6555" t="s">
        <v>6758</v>
      </c>
    </row>
    <row r="6556" spans="1:2" x14ac:dyDescent="0.25">
      <c r="A6556" t="s">
        <v>6759</v>
      </c>
    </row>
    <row r="6557" spans="1:2" x14ac:dyDescent="0.25">
      <c r="A6557" t="s">
        <v>6760</v>
      </c>
    </row>
    <row r="6558" spans="1:2" x14ac:dyDescent="0.25">
      <c r="A6558" t="s">
        <v>6761</v>
      </c>
    </row>
    <row r="6559" spans="1:2" x14ac:dyDescent="0.25">
      <c r="A6559" t="s">
        <v>6762</v>
      </c>
    </row>
    <row r="6560" spans="1:2" x14ac:dyDescent="0.25">
      <c r="A6560" t="s">
        <v>6763</v>
      </c>
    </row>
    <row r="6561" spans="1:1" x14ac:dyDescent="0.25">
      <c r="A6561" t="s">
        <v>6764</v>
      </c>
    </row>
    <row r="6562" spans="1:1" x14ac:dyDescent="0.25">
      <c r="A6562" t="s">
        <v>6765</v>
      </c>
    </row>
    <row r="6563" spans="1:1" x14ac:dyDescent="0.25">
      <c r="A6563" t="s">
        <v>6766</v>
      </c>
    </row>
    <row r="6564" spans="1:1" x14ac:dyDescent="0.25">
      <c r="A6564" t="s">
        <v>6767</v>
      </c>
    </row>
    <row r="6565" spans="1:1" x14ac:dyDescent="0.25">
      <c r="A6565" t="s">
        <v>6768</v>
      </c>
    </row>
    <row r="6566" spans="1:1" x14ac:dyDescent="0.25">
      <c r="A6566" t="s">
        <v>6769</v>
      </c>
    </row>
    <row r="6567" spans="1:1" x14ac:dyDescent="0.25">
      <c r="A6567" t="s">
        <v>6766</v>
      </c>
    </row>
    <row r="6568" spans="1:1" x14ac:dyDescent="0.25">
      <c r="A6568" t="s">
        <v>6767</v>
      </c>
    </row>
    <row r="6569" spans="1:1" x14ac:dyDescent="0.25">
      <c r="A6569" t="s">
        <v>6770</v>
      </c>
    </row>
    <row r="6570" spans="1:1" x14ac:dyDescent="0.25">
      <c r="A6570" t="s">
        <v>6771</v>
      </c>
    </row>
    <row r="6571" spans="1:1" x14ac:dyDescent="0.25">
      <c r="A6571" t="s">
        <v>6772</v>
      </c>
    </row>
    <row r="6572" spans="1:1" x14ac:dyDescent="0.25">
      <c r="A6572" t="s">
        <v>6773</v>
      </c>
    </row>
    <row r="6573" spans="1:1" x14ac:dyDescent="0.25">
      <c r="A6573" t="s">
        <v>3285</v>
      </c>
    </row>
    <row r="6574" spans="1:1" x14ac:dyDescent="0.25">
      <c r="A6574" t="s">
        <v>6774</v>
      </c>
    </row>
    <row r="6575" spans="1:1" x14ac:dyDescent="0.25">
      <c r="A6575" t="s">
        <v>3287</v>
      </c>
    </row>
    <row r="6576" spans="1:1" x14ac:dyDescent="0.25">
      <c r="A6576" t="s">
        <v>3288</v>
      </c>
    </row>
    <row r="6577" spans="1:1" x14ac:dyDescent="0.25">
      <c r="A6577" t="s">
        <v>6775</v>
      </c>
    </row>
    <row r="6578" spans="1:1" x14ac:dyDescent="0.25">
      <c r="A6578" t="s">
        <v>6776</v>
      </c>
    </row>
    <row r="6579" spans="1:1" x14ac:dyDescent="0.25">
      <c r="A6579" t="s">
        <v>6777</v>
      </c>
    </row>
    <row r="6580" spans="1:1" x14ac:dyDescent="0.25">
      <c r="A6580" t="s">
        <v>2481</v>
      </c>
    </row>
    <row r="6581" spans="1:1" x14ac:dyDescent="0.25">
      <c r="A6581" t="s">
        <v>6778</v>
      </c>
    </row>
    <row r="6582" spans="1:1" x14ac:dyDescent="0.25">
      <c r="A6582" t="s">
        <v>6779</v>
      </c>
    </row>
    <row r="6583" spans="1:1" x14ac:dyDescent="0.25">
      <c r="A6583" t="s">
        <v>2293</v>
      </c>
    </row>
    <row r="6584" spans="1:1" x14ac:dyDescent="0.25">
      <c r="A6584" t="s">
        <v>2484</v>
      </c>
    </row>
    <row r="6585" spans="1:1" x14ac:dyDescent="0.25">
      <c r="A6585" t="s">
        <v>2485</v>
      </c>
    </row>
    <row r="6586" spans="1:1" x14ac:dyDescent="0.25">
      <c r="A6586" t="s">
        <v>2486</v>
      </c>
    </row>
    <row r="6587" spans="1:1" x14ac:dyDescent="0.25">
      <c r="A6587" t="s">
        <v>6780</v>
      </c>
    </row>
    <row r="6588" spans="1:1" x14ac:dyDescent="0.25">
      <c r="A6588" t="s">
        <v>6781</v>
      </c>
    </row>
    <row r="6590" spans="1:1" x14ac:dyDescent="0.25">
      <c r="A6590" t="s">
        <v>6782</v>
      </c>
    </row>
    <row r="6592" spans="1:1" x14ac:dyDescent="0.25">
      <c r="A6592" t="s">
        <v>6783</v>
      </c>
    </row>
    <row r="6593" spans="1:1" x14ac:dyDescent="0.25">
      <c r="A6593" t="s">
        <v>6784</v>
      </c>
    </row>
    <row r="6595" spans="1:1" x14ac:dyDescent="0.25">
      <c r="A6595" t="s">
        <v>6785</v>
      </c>
    </row>
    <row r="6596" spans="1:1" x14ac:dyDescent="0.25">
      <c r="A6596" t="s">
        <v>6786</v>
      </c>
    </row>
    <row r="6599" spans="1:1" x14ac:dyDescent="0.25">
      <c r="A6599" t="s">
        <v>6787</v>
      </c>
    </row>
    <row r="6600" spans="1:1" x14ac:dyDescent="0.25">
      <c r="A6600" t="s">
        <v>6788</v>
      </c>
    </row>
    <row r="6601" spans="1:1" x14ac:dyDescent="0.25">
      <c r="A6601" t="s">
        <v>6789</v>
      </c>
    </row>
    <row r="6602" spans="1:1" x14ac:dyDescent="0.25">
      <c r="A6602" t="s">
        <v>6790</v>
      </c>
    </row>
    <row r="6603" spans="1:1" x14ac:dyDescent="0.25">
      <c r="A6603" t="s">
        <v>6791</v>
      </c>
    </row>
    <row r="6604" spans="1:1" x14ac:dyDescent="0.25">
      <c r="A6604" t="s">
        <v>6792</v>
      </c>
    </row>
    <row r="6605" spans="1:1" x14ac:dyDescent="0.25">
      <c r="A6605" t="s">
        <v>6793</v>
      </c>
    </row>
    <row r="6606" spans="1:1" x14ac:dyDescent="0.25">
      <c r="A6606" t="s">
        <v>6794</v>
      </c>
    </row>
    <row r="6607" spans="1:1" x14ac:dyDescent="0.25">
      <c r="A6607" t="s">
        <v>6795</v>
      </c>
    </row>
    <row r="6608" spans="1:1" x14ac:dyDescent="0.25">
      <c r="A6608" t="s">
        <v>6796</v>
      </c>
    </row>
    <row r="6609" spans="1:1" x14ac:dyDescent="0.25">
      <c r="A6609" t="s">
        <v>6797</v>
      </c>
    </row>
    <row r="6610" spans="1:1" x14ac:dyDescent="0.25">
      <c r="A6610" t="s">
        <v>6798</v>
      </c>
    </row>
    <row r="6611" spans="1:1" x14ac:dyDescent="0.25">
      <c r="A6611" t="s">
        <v>6799</v>
      </c>
    </row>
    <row r="6612" spans="1:1" x14ac:dyDescent="0.25">
      <c r="A6612" t="s">
        <v>6800</v>
      </c>
    </row>
    <row r="6613" spans="1:1" x14ac:dyDescent="0.25">
      <c r="A6613" t="s">
        <v>6801</v>
      </c>
    </row>
    <row r="6614" spans="1:1" x14ac:dyDescent="0.25">
      <c r="A6614" t="s">
        <v>6802</v>
      </c>
    </row>
    <row r="6615" spans="1:1" x14ac:dyDescent="0.25">
      <c r="A6615" t="s">
        <v>6803</v>
      </c>
    </row>
    <row r="6616" spans="1:1" x14ac:dyDescent="0.25">
      <c r="A6616" t="s">
        <v>6804</v>
      </c>
    </row>
    <row r="6617" spans="1:1" x14ac:dyDescent="0.25">
      <c r="A6617" t="s">
        <v>6805</v>
      </c>
    </row>
    <row r="6618" spans="1:1" x14ac:dyDescent="0.25">
      <c r="A6618" t="s">
        <v>6803</v>
      </c>
    </row>
    <row r="6619" spans="1:1" x14ac:dyDescent="0.25">
      <c r="A6619" t="s">
        <v>6806</v>
      </c>
    </row>
    <row r="6620" spans="1:1" x14ac:dyDescent="0.25">
      <c r="A6620" t="s">
        <v>6807</v>
      </c>
    </row>
    <row r="6621" spans="1:1" x14ac:dyDescent="0.25">
      <c r="A6621" t="s">
        <v>6808</v>
      </c>
    </row>
    <row r="6622" spans="1:1" x14ac:dyDescent="0.25">
      <c r="A6622" t="s">
        <v>6809</v>
      </c>
    </row>
    <row r="6623" spans="1:1" x14ac:dyDescent="0.25">
      <c r="A6623" t="s">
        <v>6795</v>
      </c>
    </row>
    <row r="6624" spans="1:1" x14ac:dyDescent="0.25">
      <c r="A6624" t="s">
        <v>6810</v>
      </c>
    </row>
    <row r="6625" spans="1:1" x14ac:dyDescent="0.25">
      <c r="A6625" t="s">
        <v>6811</v>
      </c>
    </row>
    <row r="6626" spans="1:1" x14ac:dyDescent="0.25">
      <c r="A6626" t="s">
        <v>6812</v>
      </c>
    </row>
    <row r="6627" spans="1:1" x14ac:dyDescent="0.25">
      <c r="A6627" t="s">
        <v>6813</v>
      </c>
    </row>
    <row r="6628" spans="1:1" x14ac:dyDescent="0.25">
      <c r="A6628" t="s">
        <v>6814</v>
      </c>
    </row>
    <row r="6629" spans="1:1" x14ac:dyDescent="0.25">
      <c r="A6629" t="s">
        <v>6815</v>
      </c>
    </row>
    <row r="6630" spans="1:1" x14ac:dyDescent="0.25">
      <c r="A6630" t="s">
        <v>6816</v>
      </c>
    </row>
    <row r="6631" spans="1:1" x14ac:dyDescent="0.25">
      <c r="A6631" t="s">
        <v>6817</v>
      </c>
    </row>
    <row r="6632" spans="1:1" x14ac:dyDescent="0.25">
      <c r="A6632" t="s">
        <v>6818</v>
      </c>
    </row>
    <row r="6634" spans="1:1" x14ac:dyDescent="0.25">
      <c r="A6634" t="s">
        <v>6819</v>
      </c>
    </row>
    <row r="6635" spans="1:1" x14ac:dyDescent="0.25">
      <c r="A6635" t="s">
        <v>6820</v>
      </c>
    </row>
    <row r="6636" spans="1:1" x14ac:dyDescent="0.25">
      <c r="A6636" t="s">
        <v>6821</v>
      </c>
    </row>
    <row r="6637" spans="1:1" x14ac:dyDescent="0.25">
      <c r="A6637" t="s">
        <v>6822</v>
      </c>
    </row>
    <row r="6638" spans="1:1" x14ac:dyDescent="0.25">
      <c r="A6638" t="s">
        <v>6823</v>
      </c>
    </row>
    <row r="6639" spans="1:1" x14ac:dyDescent="0.25">
      <c r="A6639" t="s">
        <v>6824</v>
      </c>
    </row>
    <row r="6640" spans="1:1" x14ac:dyDescent="0.25">
      <c r="A6640" t="s">
        <v>6825</v>
      </c>
    </row>
    <row r="6641" spans="1:3" x14ac:dyDescent="0.25">
      <c r="A6641" t="s">
        <v>6826</v>
      </c>
      <c r="B6641" t="s">
        <v>6827</v>
      </c>
    </row>
    <row r="6642" spans="1:3" x14ac:dyDescent="0.25">
      <c r="A6642" t="s">
        <v>6824</v>
      </c>
    </row>
    <row r="6643" spans="1:3" x14ac:dyDescent="0.25">
      <c r="A6643" t="s">
        <v>6828</v>
      </c>
    </row>
    <row r="6644" spans="1:3" x14ac:dyDescent="0.25">
      <c r="A6644" t="s">
        <v>6829</v>
      </c>
    </row>
    <row r="6645" spans="1:3" x14ac:dyDescent="0.25">
      <c r="A6645" t="s">
        <v>6830</v>
      </c>
    </row>
    <row r="6646" spans="1:3" x14ac:dyDescent="0.25">
      <c r="A6646" t="s">
        <v>6831</v>
      </c>
    </row>
    <row r="6647" spans="1:3" x14ac:dyDescent="0.25">
      <c r="A6647" t="s">
        <v>6832</v>
      </c>
    </row>
    <row r="6648" spans="1:3" x14ac:dyDescent="0.25">
      <c r="A6648" t="s">
        <v>6833</v>
      </c>
      <c r="B6648" t="s">
        <v>6834</v>
      </c>
      <c r="C6648" t="s">
        <v>6835</v>
      </c>
    </row>
    <row r="6649" spans="1:3" x14ac:dyDescent="0.25">
      <c r="A6649" t="s">
        <v>6836</v>
      </c>
    </row>
    <row r="6650" spans="1:3" x14ac:dyDescent="0.25">
      <c r="A6650" t="s">
        <v>6837</v>
      </c>
    </row>
    <row r="6651" spans="1:3" x14ac:dyDescent="0.25">
      <c r="A6651" t="s">
        <v>4547</v>
      </c>
    </row>
    <row r="6652" spans="1:3" x14ac:dyDescent="0.25">
      <c r="A6652" t="s">
        <v>6838</v>
      </c>
    </row>
    <row r="6653" spans="1:3" x14ac:dyDescent="0.25">
      <c r="A6653" t="s">
        <v>6839</v>
      </c>
    </row>
    <row r="6654" spans="1:3" x14ac:dyDescent="0.25">
      <c r="A6654" t="s">
        <v>6840</v>
      </c>
    </row>
    <row r="6655" spans="1:3" x14ac:dyDescent="0.25">
      <c r="A6655" t="s">
        <v>6841</v>
      </c>
    </row>
    <row r="6656" spans="1:3" x14ac:dyDescent="0.25">
      <c r="A6656" t="s">
        <v>6842</v>
      </c>
    </row>
    <row r="6657" spans="1:2" x14ac:dyDescent="0.25">
      <c r="A6657" t="s">
        <v>6843</v>
      </c>
    </row>
    <row r="6658" spans="1:2" x14ac:dyDescent="0.25">
      <c r="A6658" t="s">
        <v>6844</v>
      </c>
    </row>
    <row r="6659" spans="1:2" x14ac:dyDescent="0.25">
      <c r="A6659" t="s">
        <v>6845</v>
      </c>
    </row>
    <row r="6660" spans="1:2" x14ac:dyDescent="0.25">
      <c r="A6660" t="s">
        <v>6846</v>
      </c>
    </row>
    <row r="6662" spans="1:2" x14ac:dyDescent="0.25">
      <c r="A6662" t="s">
        <v>3945</v>
      </c>
    </row>
    <row r="6663" spans="1:2" x14ac:dyDescent="0.25">
      <c r="A6663" t="s">
        <v>3946</v>
      </c>
    </row>
    <row r="6664" spans="1:2" x14ac:dyDescent="0.25">
      <c r="A6664" t="s">
        <v>3947</v>
      </c>
    </row>
    <row r="6665" spans="1:2" x14ac:dyDescent="0.25">
      <c r="A6665" t="s">
        <v>3948</v>
      </c>
    </row>
    <row r="6666" spans="1:2" x14ac:dyDescent="0.25">
      <c r="A6666" t="s">
        <v>3949</v>
      </c>
    </row>
    <row r="6667" spans="1:2" x14ac:dyDescent="0.25">
      <c r="A6667" t="s">
        <v>3950</v>
      </c>
    </row>
    <row r="6668" spans="1:2" x14ac:dyDescent="0.25">
      <c r="A6668" t="s">
        <v>3951</v>
      </c>
      <c r="B6668">
        <v>2168.46</v>
      </c>
    </row>
    <row r="6669" spans="1:2" x14ac:dyDescent="0.25">
      <c r="A6669" t="s">
        <v>3952</v>
      </c>
    </row>
    <row r="6670" spans="1:2" x14ac:dyDescent="0.25">
      <c r="A6670" t="s">
        <v>6847</v>
      </c>
    </row>
    <row r="6671" spans="1:2" x14ac:dyDescent="0.25">
      <c r="A6671" t="s">
        <v>6848</v>
      </c>
    </row>
    <row r="6672" spans="1:2" x14ac:dyDescent="0.25">
      <c r="A6672" t="s">
        <v>6849</v>
      </c>
    </row>
    <row r="6673" spans="1:1" x14ac:dyDescent="0.25">
      <c r="A6673" t="s">
        <v>6850</v>
      </c>
    </row>
    <row r="6674" spans="1:1" x14ac:dyDescent="0.25">
      <c r="A6674" t="s">
        <v>6851</v>
      </c>
    </row>
    <row r="6675" spans="1:1" x14ac:dyDescent="0.25">
      <c r="A6675" t="s">
        <v>6852</v>
      </c>
    </row>
    <row r="6676" spans="1:1" x14ac:dyDescent="0.25">
      <c r="A6676" t="s">
        <v>6853</v>
      </c>
    </row>
    <row r="6677" spans="1:1" x14ac:dyDescent="0.25">
      <c r="A6677" t="s">
        <v>6854</v>
      </c>
    </row>
    <row r="6678" spans="1:1" x14ac:dyDescent="0.25">
      <c r="A6678" t="s">
        <v>6855</v>
      </c>
    </row>
    <row r="6679" spans="1:1" x14ac:dyDescent="0.25">
      <c r="A6679" t="s">
        <v>6856</v>
      </c>
    </row>
    <row r="6680" spans="1:1" x14ac:dyDescent="0.25">
      <c r="A6680" t="s">
        <v>6857</v>
      </c>
    </row>
    <row r="6681" spans="1:1" x14ac:dyDescent="0.25">
      <c r="A6681" t="s">
        <v>6858</v>
      </c>
    </row>
    <row r="6682" spans="1:1" x14ac:dyDescent="0.25">
      <c r="A6682" t="s">
        <v>6763</v>
      </c>
    </row>
    <row r="6683" spans="1:1" x14ac:dyDescent="0.25">
      <c r="A6683" t="s">
        <v>6859</v>
      </c>
    </row>
    <row r="6684" spans="1:1" x14ac:dyDescent="0.25">
      <c r="A6684" t="s">
        <v>6860</v>
      </c>
    </row>
    <row r="6685" spans="1:1" x14ac:dyDescent="0.25">
      <c r="A6685" t="s">
        <v>6861</v>
      </c>
    </row>
    <row r="6686" spans="1:1" x14ac:dyDescent="0.25">
      <c r="A6686" t="s">
        <v>6862</v>
      </c>
    </row>
    <row r="6687" spans="1:1" x14ac:dyDescent="0.25">
      <c r="A6687" t="s">
        <v>6863</v>
      </c>
    </row>
    <row r="6688" spans="1:1" x14ac:dyDescent="0.25">
      <c r="A6688" t="s">
        <v>6864</v>
      </c>
    </row>
    <row r="6689" spans="1:1" x14ac:dyDescent="0.25">
      <c r="A6689" t="s">
        <v>6865</v>
      </c>
    </row>
    <row r="6690" spans="1:1" x14ac:dyDescent="0.25">
      <c r="A6690" t="s">
        <v>2988</v>
      </c>
    </row>
    <row r="6691" spans="1:1" x14ac:dyDescent="0.25">
      <c r="A6691" t="s">
        <v>6866</v>
      </c>
    </row>
    <row r="6693" spans="1:1" x14ac:dyDescent="0.25">
      <c r="A6693" t="s">
        <v>6867</v>
      </c>
    </row>
    <row r="6694" spans="1:1" x14ac:dyDescent="0.25">
      <c r="A6694" t="s">
        <v>6868</v>
      </c>
    </row>
    <row r="6695" spans="1:1" x14ac:dyDescent="0.25">
      <c r="A6695" t="s">
        <v>3287</v>
      </c>
    </row>
    <row r="6696" spans="1:1" x14ac:dyDescent="0.25">
      <c r="A6696" t="s">
        <v>3288</v>
      </c>
    </row>
    <row r="6697" spans="1:1" x14ac:dyDescent="0.25">
      <c r="A6697" t="s">
        <v>6869</v>
      </c>
    </row>
    <row r="6698" spans="1:1" x14ac:dyDescent="0.25">
      <c r="A6698" t="s">
        <v>6870</v>
      </c>
    </row>
    <row r="6699" spans="1:1" x14ac:dyDescent="0.25">
      <c r="A6699" t="s">
        <v>6871</v>
      </c>
    </row>
    <row r="6700" spans="1:1" x14ac:dyDescent="0.25">
      <c r="A6700" t="s">
        <v>6872</v>
      </c>
    </row>
    <row r="6701" spans="1:1" x14ac:dyDescent="0.25">
      <c r="A6701" t="s">
        <v>6873</v>
      </c>
    </row>
    <row r="6702" spans="1:1" x14ac:dyDescent="0.25">
      <c r="A6702" t="s">
        <v>6874</v>
      </c>
    </row>
    <row r="6703" spans="1:1" x14ac:dyDescent="0.25">
      <c r="A6703" t="s">
        <v>3284</v>
      </c>
    </row>
    <row r="6704" spans="1:1" x14ac:dyDescent="0.25">
      <c r="A6704" t="s">
        <v>3285</v>
      </c>
    </row>
    <row r="6705" spans="1:1" x14ac:dyDescent="0.25">
      <c r="A6705" t="s">
        <v>6875</v>
      </c>
    </row>
    <row r="6706" spans="1:1" x14ac:dyDescent="0.25">
      <c r="A6706" t="s">
        <v>3287</v>
      </c>
    </row>
    <row r="6707" spans="1:1" x14ac:dyDescent="0.25">
      <c r="A6707" t="s">
        <v>6726</v>
      </c>
    </row>
    <row r="6708" spans="1:1" x14ac:dyDescent="0.25">
      <c r="A6708" t="s">
        <v>6876</v>
      </c>
    </row>
    <row r="6709" spans="1:1" x14ac:dyDescent="0.25">
      <c r="A6709" t="s">
        <v>6877</v>
      </c>
    </row>
    <row r="6710" spans="1:1" x14ac:dyDescent="0.25">
      <c r="A6710" t="s">
        <v>6878</v>
      </c>
    </row>
    <row r="6711" spans="1:1" x14ac:dyDescent="0.25">
      <c r="A6711" t="s">
        <v>6873</v>
      </c>
    </row>
    <row r="6712" spans="1:1" x14ac:dyDescent="0.25">
      <c r="A6712" t="s">
        <v>6879</v>
      </c>
    </row>
    <row r="6713" spans="1:1" x14ac:dyDescent="0.25">
      <c r="A6713" t="s">
        <v>6880</v>
      </c>
    </row>
    <row r="6714" spans="1:1" x14ac:dyDescent="0.25">
      <c r="A6714" t="s">
        <v>2712</v>
      </c>
    </row>
    <row r="6715" spans="1:1" x14ac:dyDescent="0.25">
      <c r="A6715" t="s">
        <v>6881</v>
      </c>
    </row>
    <row r="6716" spans="1:1" x14ac:dyDescent="0.25">
      <c r="A6716" t="s">
        <v>6882</v>
      </c>
    </row>
    <row r="6717" spans="1:1" x14ac:dyDescent="0.25">
      <c r="A6717" t="s">
        <v>6883</v>
      </c>
    </row>
    <row r="6718" spans="1:1" x14ac:dyDescent="0.25">
      <c r="A6718" t="s">
        <v>2715</v>
      </c>
    </row>
    <row r="6719" spans="1:1" x14ac:dyDescent="0.25">
      <c r="A6719" t="s">
        <v>6884</v>
      </c>
    </row>
    <row r="6720" spans="1:1" x14ac:dyDescent="0.25">
      <c r="A6720" t="s">
        <v>6885</v>
      </c>
    </row>
    <row r="6721" spans="1:1" x14ac:dyDescent="0.25">
      <c r="A6721" t="s">
        <v>6886</v>
      </c>
    </row>
    <row r="6722" spans="1:1" x14ac:dyDescent="0.25">
      <c r="A6722" t="s">
        <v>6887</v>
      </c>
    </row>
    <row r="6723" spans="1:1" x14ac:dyDescent="0.25">
      <c r="A6723" t="s">
        <v>6888</v>
      </c>
    </row>
    <row r="6724" spans="1:1" x14ac:dyDescent="0.25">
      <c r="A6724" t="s">
        <v>6889</v>
      </c>
    </row>
    <row r="6725" spans="1:1" x14ac:dyDescent="0.25">
      <c r="A6725" t="s">
        <v>6890</v>
      </c>
    </row>
    <row r="6726" spans="1:1" x14ac:dyDescent="0.25">
      <c r="A6726" t="s">
        <v>6891</v>
      </c>
    </row>
    <row r="6727" spans="1:1" x14ac:dyDescent="0.25">
      <c r="A6727" t="s">
        <v>6892</v>
      </c>
    </row>
    <row r="6728" spans="1:1" x14ac:dyDescent="0.25">
      <c r="A6728" t="s">
        <v>6893</v>
      </c>
    </row>
    <row r="6729" spans="1:1" x14ac:dyDescent="0.25">
      <c r="A6729" t="s">
        <v>6894</v>
      </c>
    </row>
    <row r="6730" spans="1:1" x14ac:dyDescent="0.25">
      <c r="A6730" t="s">
        <v>6895</v>
      </c>
    </row>
    <row r="6731" spans="1:1" x14ac:dyDescent="0.25">
      <c r="A6731" t="s">
        <v>6896</v>
      </c>
    </row>
    <row r="6732" spans="1:1" x14ac:dyDescent="0.25">
      <c r="A6732" t="s">
        <v>6897</v>
      </c>
    </row>
    <row r="6733" spans="1:1" x14ac:dyDescent="0.25">
      <c r="A6733" t="s">
        <v>6898</v>
      </c>
    </row>
    <row r="6734" spans="1:1" x14ac:dyDescent="0.25">
      <c r="A6734" t="s">
        <v>6899</v>
      </c>
    </row>
    <row r="6735" spans="1:1" x14ac:dyDescent="0.25">
      <c r="A6735" t="s">
        <v>6900</v>
      </c>
    </row>
    <row r="6736" spans="1:1" x14ac:dyDescent="0.25">
      <c r="A6736" t="s">
        <v>6901</v>
      </c>
    </row>
    <row r="6737" spans="1:1" x14ac:dyDescent="0.25">
      <c r="A6737" t="s">
        <v>6902</v>
      </c>
    </row>
    <row r="6738" spans="1:1" x14ac:dyDescent="0.25">
      <c r="A6738" t="s">
        <v>6903</v>
      </c>
    </row>
    <row r="6739" spans="1:1" x14ac:dyDescent="0.25">
      <c r="A6739" t="s">
        <v>6901</v>
      </c>
    </row>
    <row r="6740" spans="1:1" x14ac:dyDescent="0.25">
      <c r="A6740" t="s">
        <v>6904</v>
      </c>
    </row>
    <row r="6741" spans="1:1" x14ac:dyDescent="0.25">
      <c r="A6741" t="s">
        <v>6905</v>
      </c>
    </row>
    <row r="6742" spans="1:1" x14ac:dyDescent="0.25">
      <c r="A6742" t="s">
        <v>6906</v>
      </c>
    </row>
    <row r="6743" spans="1:1" x14ac:dyDescent="0.25">
      <c r="A6743" t="s">
        <v>6907</v>
      </c>
    </row>
    <row r="6744" spans="1:1" x14ac:dyDescent="0.25">
      <c r="A6744" t="s">
        <v>6908</v>
      </c>
    </row>
    <row r="6745" spans="1:1" x14ac:dyDescent="0.25">
      <c r="A6745" t="s">
        <v>6909</v>
      </c>
    </row>
    <row r="6746" spans="1:1" x14ac:dyDescent="0.25">
      <c r="A6746" t="s">
        <v>6910</v>
      </c>
    </row>
    <row r="6747" spans="1:1" x14ac:dyDescent="0.25">
      <c r="A6747" t="s">
        <v>6911</v>
      </c>
    </row>
    <row r="6748" spans="1:1" x14ac:dyDescent="0.25">
      <c r="A6748" t="s">
        <v>6912</v>
      </c>
    </row>
    <row r="6749" spans="1:1" x14ac:dyDescent="0.25">
      <c r="A6749" t="s">
        <v>6913</v>
      </c>
    </row>
    <row r="6750" spans="1:1" x14ac:dyDescent="0.25">
      <c r="A6750" t="s">
        <v>3949</v>
      </c>
    </row>
    <row r="6751" spans="1:1" x14ac:dyDescent="0.25">
      <c r="A6751" t="s">
        <v>6914</v>
      </c>
    </row>
    <row r="6752" spans="1:1" x14ac:dyDescent="0.25">
      <c r="A6752" t="s">
        <v>6915</v>
      </c>
    </row>
    <row r="6753" spans="1:4" x14ac:dyDescent="0.25">
      <c r="A6753" t="s">
        <v>6916</v>
      </c>
    </row>
    <row r="6754" spans="1:4" x14ac:dyDescent="0.25">
      <c r="A6754" t="s">
        <v>6917</v>
      </c>
      <c r="B6754">
        <v>201909</v>
      </c>
      <c r="C6754" t="s">
        <v>2014</v>
      </c>
      <c r="D6754" t="s">
        <v>6918</v>
      </c>
    </row>
    <row r="6755" spans="1:4" x14ac:dyDescent="0.25">
      <c r="A6755" t="s">
        <v>6919</v>
      </c>
    </row>
    <row r="6756" spans="1:4" x14ac:dyDescent="0.25">
      <c r="A6756" t="s">
        <v>6920</v>
      </c>
    </row>
    <row r="6757" spans="1:4" x14ac:dyDescent="0.25">
      <c r="A6757" t="s">
        <v>6921</v>
      </c>
      <c r="B6757" t="s">
        <v>6922</v>
      </c>
    </row>
    <row r="6758" spans="1:4" x14ac:dyDescent="0.25">
      <c r="A6758" t="s">
        <v>6923</v>
      </c>
    </row>
    <row r="6759" spans="1:4" x14ac:dyDescent="0.25">
      <c r="A6759" t="s">
        <v>6924</v>
      </c>
    </row>
    <row r="6760" spans="1:4" x14ac:dyDescent="0.25">
      <c r="A6760" t="s">
        <v>6925</v>
      </c>
    </row>
    <row r="6761" spans="1:4" x14ac:dyDescent="0.25">
      <c r="A6761" t="s">
        <v>6926</v>
      </c>
    </row>
    <row r="6762" spans="1:4" x14ac:dyDescent="0.25">
      <c r="A6762" t="s">
        <v>6927</v>
      </c>
    </row>
    <row r="6763" spans="1:4" x14ac:dyDescent="0.25">
      <c r="A6763" t="s">
        <v>6928</v>
      </c>
    </row>
    <row r="6765" spans="1:4" x14ac:dyDescent="0.25">
      <c r="A6765" t="s">
        <v>6924</v>
      </c>
    </row>
    <row r="6766" spans="1:4" x14ac:dyDescent="0.25">
      <c r="A6766" t="s">
        <v>6929</v>
      </c>
    </row>
    <row r="6768" spans="1:4" x14ac:dyDescent="0.25">
      <c r="A6768" t="s">
        <v>6930</v>
      </c>
    </row>
    <row r="6769" spans="1:1" x14ac:dyDescent="0.25">
      <c r="A6769" t="s">
        <v>6931</v>
      </c>
    </row>
    <row r="6770" spans="1:1" x14ac:dyDescent="0.25">
      <c r="A6770" t="s">
        <v>6932</v>
      </c>
    </row>
    <row r="6771" spans="1:1" x14ac:dyDescent="0.25">
      <c r="A6771" t="s">
        <v>6933</v>
      </c>
    </row>
    <row r="6772" spans="1:1" x14ac:dyDescent="0.25">
      <c r="A6772" t="s">
        <v>6934</v>
      </c>
    </row>
    <row r="6773" spans="1:1" x14ac:dyDescent="0.25">
      <c r="A6773" t="s">
        <v>6935</v>
      </c>
    </row>
    <row r="6774" spans="1:1" x14ac:dyDescent="0.25">
      <c r="A6774" t="s">
        <v>6936</v>
      </c>
    </row>
    <row r="6775" spans="1:1" x14ac:dyDescent="0.25">
      <c r="A6775" t="s">
        <v>6937</v>
      </c>
    </row>
    <row r="6776" spans="1:1" x14ac:dyDescent="0.25">
      <c r="A6776" t="s">
        <v>6938</v>
      </c>
    </row>
    <row r="6777" spans="1:1" x14ac:dyDescent="0.25">
      <c r="A6777" t="s">
        <v>6939</v>
      </c>
    </row>
    <row r="6778" spans="1:1" x14ac:dyDescent="0.25">
      <c r="A6778" t="s">
        <v>6940</v>
      </c>
    </row>
    <row r="6779" spans="1:1" x14ac:dyDescent="0.25">
      <c r="A6779" t="s">
        <v>6941</v>
      </c>
    </row>
    <row r="6780" spans="1:1" x14ac:dyDescent="0.25">
      <c r="A6780" t="s">
        <v>6942</v>
      </c>
    </row>
    <row r="6781" spans="1:1" x14ac:dyDescent="0.25">
      <c r="A6781" t="s">
        <v>6943</v>
      </c>
    </row>
    <row r="6782" spans="1:1" x14ac:dyDescent="0.25">
      <c r="A6782" t="s">
        <v>6705</v>
      </c>
    </row>
    <row r="6783" spans="1:1" x14ac:dyDescent="0.25">
      <c r="A6783" t="s">
        <v>6944</v>
      </c>
    </row>
    <row r="6784" spans="1:1" x14ac:dyDescent="0.25">
      <c r="A6784" t="s">
        <v>6945</v>
      </c>
    </row>
    <row r="6785" spans="1:1" x14ac:dyDescent="0.25">
      <c r="A6785" t="s">
        <v>6946</v>
      </c>
    </row>
    <row r="6786" spans="1:1" x14ac:dyDescent="0.25">
      <c r="A6786" t="s">
        <v>6947</v>
      </c>
    </row>
    <row r="6787" spans="1:1" x14ac:dyDescent="0.25">
      <c r="A6787" t="s">
        <v>6948</v>
      </c>
    </row>
    <row r="6788" spans="1:1" x14ac:dyDescent="0.25">
      <c r="A6788" t="s">
        <v>6949</v>
      </c>
    </row>
    <row r="6789" spans="1:1" x14ac:dyDescent="0.25">
      <c r="A6789" t="s">
        <v>6950</v>
      </c>
    </row>
    <row r="6790" spans="1:1" x14ac:dyDescent="0.25">
      <c r="A6790" t="s">
        <v>6951</v>
      </c>
    </row>
    <row r="6791" spans="1:1" x14ac:dyDescent="0.25">
      <c r="A6791" t="s">
        <v>3287</v>
      </c>
    </row>
    <row r="6792" spans="1:1" x14ac:dyDescent="0.25">
      <c r="A6792" t="s">
        <v>3288</v>
      </c>
    </row>
    <row r="6793" spans="1:1" x14ac:dyDescent="0.25">
      <c r="A6793" t="s">
        <v>6952</v>
      </c>
    </row>
    <row r="6794" spans="1:1" x14ac:dyDescent="0.25">
      <c r="A6794" t="s">
        <v>6953</v>
      </c>
    </row>
    <row r="6795" spans="1:1" x14ac:dyDescent="0.25">
      <c r="A6795" t="s">
        <v>6715</v>
      </c>
    </row>
    <row r="6796" spans="1:1" x14ac:dyDescent="0.25">
      <c r="A6796" t="s">
        <v>6954</v>
      </c>
    </row>
    <row r="6797" spans="1:1" x14ac:dyDescent="0.25">
      <c r="A6797" t="s">
        <v>6955</v>
      </c>
    </row>
    <row r="6798" spans="1:1" x14ac:dyDescent="0.25">
      <c r="A6798" t="s">
        <v>6956</v>
      </c>
    </row>
    <row r="6799" spans="1:1" x14ac:dyDescent="0.25">
      <c r="A6799" t="s">
        <v>6957</v>
      </c>
    </row>
    <row r="6800" spans="1:1" x14ac:dyDescent="0.25">
      <c r="A6800" t="s">
        <v>6958</v>
      </c>
    </row>
    <row r="6801" spans="1:1" x14ac:dyDescent="0.25">
      <c r="A6801" t="s">
        <v>6959</v>
      </c>
    </row>
    <row r="6802" spans="1:1" x14ac:dyDescent="0.25">
      <c r="A6802" t="s">
        <v>6960</v>
      </c>
    </row>
    <row r="6803" spans="1:1" x14ac:dyDescent="0.25">
      <c r="A6803" t="s">
        <v>6961</v>
      </c>
    </row>
    <row r="6804" spans="1:1" x14ac:dyDescent="0.25">
      <c r="A6804" t="s">
        <v>6962</v>
      </c>
    </row>
    <row r="6805" spans="1:1" x14ac:dyDescent="0.25">
      <c r="A6805" t="s">
        <v>6963</v>
      </c>
    </row>
    <row r="6806" spans="1:1" x14ac:dyDescent="0.25">
      <c r="A6806" t="s">
        <v>6964</v>
      </c>
    </row>
    <row r="6807" spans="1:1" x14ac:dyDescent="0.25">
      <c r="A6807" t="s">
        <v>6965</v>
      </c>
    </row>
    <row r="6808" spans="1:1" x14ac:dyDescent="0.25">
      <c r="A6808" t="s">
        <v>6966</v>
      </c>
    </row>
    <row r="6809" spans="1:1" x14ac:dyDescent="0.25">
      <c r="A6809" t="s">
        <v>6967</v>
      </c>
    </row>
    <row r="6810" spans="1:1" x14ac:dyDescent="0.25">
      <c r="A6810" t="s">
        <v>6968</v>
      </c>
    </row>
    <row r="6812" spans="1:1" x14ac:dyDescent="0.25">
      <c r="A6812" t="s">
        <v>6969</v>
      </c>
    </row>
    <row r="6813" spans="1:1" x14ac:dyDescent="0.25">
      <c r="A6813" t="s">
        <v>6970</v>
      </c>
    </row>
    <row r="6814" spans="1:1" x14ac:dyDescent="0.25">
      <c r="A6814" t="s">
        <v>6971</v>
      </c>
    </row>
    <row r="6815" spans="1:1" x14ac:dyDescent="0.25">
      <c r="A6815">
        <v>947583155</v>
      </c>
    </row>
    <row r="6816" spans="1:1" x14ac:dyDescent="0.25">
      <c r="A6816" t="s">
        <v>6972</v>
      </c>
    </row>
    <row r="6817" spans="1:1" x14ac:dyDescent="0.25">
      <c r="A6817" t="s">
        <v>6973</v>
      </c>
    </row>
    <row r="6818" spans="1:1" x14ac:dyDescent="0.25">
      <c r="A6818" t="s">
        <v>6974</v>
      </c>
    </row>
    <row r="6819" spans="1:1" x14ac:dyDescent="0.25">
      <c r="A6819" t="s">
        <v>6975</v>
      </c>
    </row>
    <row r="6820" spans="1:1" x14ac:dyDescent="0.25">
      <c r="A6820" t="s">
        <v>6976</v>
      </c>
    </row>
    <row r="6821" spans="1:1" x14ac:dyDescent="0.25">
      <c r="A6821" t="s">
        <v>6977</v>
      </c>
    </row>
    <row r="6822" spans="1:1" x14ac:dyDescent="0.25">
      <c r="A6822" t="s">
        <v>6978</v>
      </c>
    </row>
    <row r="6823" spans="1:1" x14ac:dyDescent="0.25">
      <c r="A6823" t="s">
        <v>6979</v>
      </c>
    </row>
    <row r="6824" spans="1:1" x14ac:dyDescent="0.25">
      <c r="A6824" t="s">
        <v>6980</v>
      </c>
    </row>
    <row r="6825" spans="1:1" x14ac:dyDescent="0.25">
      <c r="A6825" t="s">
        <v>6981</v>
      </c>
    </row>
    <row r="6826" spans="1:1" x14ac:dyDescent="0.25">
      <c r="A6826" t="s">
        <v>6982</v>
      </c>
    </row>
    <row r="6827" spans="1:1" x14ac:dyDescent="0.25">
      <c r="A6827" t="s">
        <v>6983</v>
      </c>
    </row>
    <row r="6828" spans="1:1" x14ac:dyDescent="0.25">
      <c r="A6828" t="s">
        <v>6981</v>
      </c>
    </row>
    <row r="6829" spans="1:1" x14ac:dyDescent="0.25">
      <c r="A6829" t="s">
        <v>6984</v>
      </c>
    </row>
    <row r="6830" spans="1:1" x14ac:dyDescent="0.25">
      <c r="A6830" t="s">
        <v>6985</v>
      </c>
    </row>
    <row r="6831" spans="1:1" x14ac:dyDescent="0.25">
      <c r="A6831" t="s">
        <v>6978</v>
      </c>
    </row>
    <row r="6832" spans="1:1" x14ac:dyDescent="0.25">
      <c r="A6832" t="s">
        <v>6986</v>
      </c>
    </row>
    <row r="6833" spans="1:1" x14ac:dyDescent="0.25">
      <c r="A6833" t="s">
        <v>6987</v>
      </c>
    </row>
    <row r="6834" spans="1:1" x14ac:dyDescent="0.25">
      <c r="A6834" t="s">
        <v>6988</v>
      </c>
    </row>
    <row r="6835" spans="1:1" x14ac:dyDescent="0.25">
      <c r="A6835" t="s">
        <v>6989</v>
      </c>
    </row>
    <row r="6836" spans="1:1" x14ac:dyDescent="0.25">
      <c r="A6836" t="s">
        <v>6990</v>
      </c>
    </row>
    <row r="6837" spans="1:1" x14ac:dyDescent="0.25">
      <c r="A6837" t="s">
        <v>6724</v>
      </c>
    </row>
    <row r="6838" spans="1:1" x14ac:dyDescent="0.25">
      <c r="A6838" t="s">
        <v>6991</v>
      </c>
    </row>
    <row r="6839" spans="1:1" x14ac:dyDescent="0.25">
      <c r="A6839" t="s">
        <v>6992</v>
      </c>
    </row>
    <row r="6840" spans="1:1" x14ac:dyDescent="0.25">
      <c r="A6840" t="s">
        <v>3287</v>
      </c>
    </row>
    <row r="6841" spans="1:1" x14ac:dyDescent="0.25">
      <c r="A6841" t="s">
        <v>6993</v>
      </c>
    </row>
    <row r="6842" spans="1:1" x14ac:dyDescent="0.25">
      <c r="A6842" t="s">
        <v>6994</v>
      </c>
    </row>
    <row r="6843" spans="1:1" x14ac:dyDescent="0.25">
      <c r="A6843" t="s">
        <v>6995</v>
      </c>
    </row>
    <row r="6844" spans="1:1" x14ac:dyDescent="0.25">
      <c r="A6844" t="s">
        <v>6996</v>
      </c>
    </row>
    <row r="6845" spans="1:1" x14ac:dyDescent="0.25">
      <c r="A6845" t="s">
        <v>6997</v>
      </c>
    </row>
    <row r="6846" spans="1:1" x14ac:dyDescent="0.25">
      <c r="A6846" t="s">
        <v>6998</v>
      </c>
    </row>
    <row r="6847" spans="1:1" x14ac:dyDescent="0.25">
      <c r="A6847" t="s">
        <v>6999</v>
      </c>
    </row>
    <row r="6848" spans="1:1" x14ac:dyDescent="0.25">
      <c r="A6848" t="s">
        <v>6767</v>
      </c>
    </row>
    <row r="6849" spans="1:1" x14ac:dyDescent="0.25">
      <c r="A6849" t="s">
        <v>7000</v>
      </c>
    </row>
    <row r="6850" spans="1:1" x14ac:dyDescent="0.25">
      <c r="A6850" t="s">
        <v>7001</v>
      </c>
    </row>
    <row r="6851" spans="1:1" x14ac:dyDescent="0.25">
      <c r="A6851" t="s">
        <v>7002</v>
      </c>
    </row>
    <row r="6852" spans="1:1" x14ac:dyDescent="0.25">
      <c r="A6852" t="s">
        <v>7003</v>
      </c>
    </row>
    <row r="6853" spans="1:1" x14ac:dyDescent="0.25">
      <c r="A6853" t="s">
        <v>7004</v>
      </c>
    </row>
    <row r="6854" spans="1:1" x14ac:dyDescent="0.25">
      <c r="A6854" t="s">
        <v>6913</v>
      </c>
    </row>
    <row r="6855" spans="1:1" x14ac:dyDescent="0.25">
      <c r="A6855" t="s">
        <v>7005</v>
      </c>
    </row>
    <row r="6856" spans="1:1" x14ac:dyDescent="0.25">
      <c r="A6856" t="s">
        <v>7006</v>
      </c>
    </row>
    <row r="6857" spans="1:1" x14ac:dyDescent="0.25">
      <c r="A6857" t="s">
        <v>7007</v>
      </c>
    </row>
    <row r="6858" spans="1:1" x14ac:dyDescent="0.25">
      <c r="A6858" t="s">
        <v>7008</v>
      </c>
    </row>
    <row r="6859" spans="1:1" x14ac:dyDescent="0.25">
      <c r="A6859" t="s">
        <v>7009</v>
      </c>
    </row>
    <row r="6860" spans="1:1" x14ac:dyDescent="0.25">
      <c r="A6860" t="s">
        <v>7010</v>
      </c>
    </row>
    <row r="6861" spans="1:1" x14ac:dyDescent="0.25">
      <c r="A6861" t="s">
        <v>7011</v>
      </c>
    </row>
    <row r="6862" spans="1:1" x14ac:dyDescent="0.25">
      <c r="A6862" t="s">
        <v>7012</v>
      </c>
    </row>
    <row r="6863" spans="1:1" x14ac:dyDescent="0.25">
      <c r="A6863" t="s">
        <v>7013</v>
      </c>
    </row>
    <row r="6864" spans="1:1" x14ac:dyDescent="0.25">
      <c r="A6864" t="s">
        <v>7014</v>
      </c>
    </row>
    <row r="6865" spans="1:1" x14ac:dyDescent="0.25">
      <c r="A6865" t="s">
        <v>7015</v>
      </c>
    </row>
    <row r="6866" spans="1:1" x14ac:dyDescent="0.25">
      <c r="A6866" t="s">
        <v>7016</v>
      </c>
    </row>
    <row r="6867" spans="1:1" x14ac:dyDescent="0.25">
      <c r="A6867" t="s">
        <v>7017</v>
      </c>
    </row>
    <row r="6868" spans="1:1" x14ac:dyDescent="0.25">
      <c r="A6868" t="s">
        <v>7018</v>
      </c>
    </row>
    <row r="6869" spans="1:1" x14ac:dyDescent="0.25">
      <c r="A6869" t="s">
        <v>7019</v>
      </c>
    </row>
    <row r="6870" spans="1:1" x14ac:dyDescent="0.25">
      <c r="A6870" t="s">
        <v>7020</v>
      </c>
    </row>
    <row r="6871" spans="1:1" x14ac:dyDescent="0.25">
      <c r="A6871" t="s">
        <v>7021</v>
      </c>
    </row>
    <row r="6872" spans="1:1" x14ac:dyDescent="0.25">
      <c r="A6872" t="s">
        <v>7022</v>
      </c>
    </row>
    <row r="6873" spans="1:1" x14ac:dyDescent="0.25">
      <c r="A6873" t="s">
        <v>7023</v>
      </c>
    </row>
    <row r="6874" spans="1:1" x14ac:dyDescent="0.25">
      <c r="A6874" t="s">
        <v>7024</v>
      </c>
    </row>
    <row r="6875" spans="1:1" x14ac:dyDescent="0.25">
      <c r="A6875" t="s">
        <v>7025</v>
      </c>
    </row>
    <row r="6876" spans="1:1" x14ac:dyDescent="0.25">
      <c r="A6876" t="s">
        <v>7026</v>
      </c>
    </row>
    <row r="6877" spans="1:1" x14ac:dyDescent="0.25">
      <c r="A6877" t="s">
        <v>7027</v>
      </c>
    </row>
    <row r="6879" spans="1:1" x14ac:dyDescent="0.25">
      <c r="A6879" t="s">
        <v>7028</v>
      </c>
    </row>
    <row r="6880" spans="1:1" x14ac:dyDescent="0.25">
      <c r="A6880" t="s">
        <v>6691</v>
      </c>
    </row>
    <row r="6881" spans="1:1" x14ac:dyDescent="0.25">
      <c r="A6881" t="s">
        <v>7029</v>
      </c>
    </row>
    <row r="6882" spans="1:1" x14ac:dyDescent="0.25">
      <c r="A6882" t="s">
        <v>7030</v>
      </c>
    </row>
    <row r="6883" spans="1:1" x14ac:dyDescent="0.25">
      <c r="A6883" t="s">
        <v>7031</v>
      </c>
    </row>
    <row r="6884" spans="1:1" x14ac:dyDescent="0.25">
      <c r="A6884" t="s">
        <v>7032</v>
      </c>
    </row>
    <row r="6885" spans="1:1" x14ac:dyDescent="0.25">
      <c r="A6885" t="s">
        <v>7033</v>
      </c>
    </row>
    <row r="6886" spans="1:1" x14ac:dyDescent="0.25">
      <c r="A6886" t="s">
        <v>7034</v>
      </c>
    </row>
    <row r="6887" spans="1:1" x14ac:dyDescent="0.25">
      <c r="A6887" t="s">
        <v>7035</v>
      </c>
    </row>
    <row r="6888" spans="1:1" x14ac:dyDescent="0.25">
      <c r="A6888" t="s">
        <v>7036</v>
      </c>
    </row>
    <row r="6889" spans="1:1" x14ac:dyDescent="0.25">
      <c r="A6889" t="s">
        <v>6705</v>
      </c>
    </row>
    <row r="6890" spans="1:1" x14ac:dyDescent="0.25">
      <c r="A6890" t="s">
        <v>7037</v>
      </c>
    </row>
    <row r="6891" spans="1:1" x14ac:dyDescent="0.25">
      <c r="A6891" t="s">
        <v>7038</v>
      </c>
    </row>
    <row r="6892" spans="1:1" x14ac:dyDescent="0.25">
      <c r="A6892" t="s">
        <v>7039</v>
      </c>
    </row>
    <row r="6893" spans="1:1" x14ac:dyDescent="0.25">
      <c r="A6893" t="s">
        <v>7040</v>
      </c>
    </row>
    <row r="6894" spans="1:1" x14ac:dyDescent="0.25">
      <c r="A6894" t="s">
        <v>7041</v>
      </c>
    </row>
    <row r="6895" spans="1:1" x14ac:dyDescent="0.25">
      <c r="A6895" t="s">
        <v>7042</v>
      </c>
    </row>
    <row r="6898" spans="1:1" x14ac:dyDescent="0.25">
      <c r="A6898" t="s">
        <v>7043</v>
      </c>
    </row>
    <row r="6899" spans="1:1" x14ac:dyDescent="0.25">
      <c r="A6899" t="s">
        <v>7044</v>
      </c>
    </row>
    <row r="6900" spans="1:1" x14ac:dyDescent="0.25">
      <c r="A6900" t="s">
        <v>7045</v>
      </c>
    </row>
    <row r="6901" spans="1:1" x14ac:dyDescent="0.25">
      <c r="A6901" t="s">
        <v>7046</v>
      </c>
    </row>
    <row r="6902" spans="1:1" x14ac:dyDescent="0.25">
      <c r="A6902" t="s">
        <v>7047</v>
      </c>
    </row>
    <row r="6903" spans="1:1" x14ac:dyDescent="0.25">
      <c r="A6903" t="s">
        <v>7048</v>
      </c>
    </row>
    <row r="6904" spans="1:1" x14ac:dyDescent="0.25">
      <c r="A6904" t="s">
        <v>7049</v>
      </c>
    </row>
    <row r="6905" spans="1:1" x14ac:dyDescent="0.25">
      <c r="A6905" t="s">
        <v>7047</v>
      </c>
    </row>
    <row r="6906" spans="1:1" x14ac:dyDescent="0.25">
      <c r="A6906" t="s">
        <v>7050</v>
      </c>
    </row>
    <row r="6907" spans="1:1" x14ac:dyDescent="0.25">
      <c r="A6907" t="s">
        <v>7051</v>
      </c>
    </row>
    <row r="6908" spans="1:1" x14ac:dyDescent="0.25">
      <c r="A6908" t="s">
        <v>7052</v>
      </c>
    </row>
    <row r="6909" spans="1:1" x14ac:dyDescent="0.25">
      <c r="A6909" t="s">
        <v>7053</v>
      </c>
    </row>
    <row r="6910" spans="1:1" x14ac:dyDescent="0.25">
      <c r="A6910" t="s">
        <v>7054</v>
      </c>
    </row>
    <row r="6911" spans="1:1" x14ac:dyDescent="0.25">
      <c r="A6911" t="s">
        <v>7055</v>
      </c>
    </row>
    <row r="6912" spans="1:1" x14ac:dyDescent="0.25">
      <c r="A6912" t="s">
        <v>7056</v>
      </c>
    </row>
    <row r="6913" spans="1:2" x14ac:dyDescent="0.25">
      <c r="A6913" t="s">
        <v>7057</v>
      </c>
    </row>
    <row r="6914" spans="1:2" x14ac:dyDescent="0.25">
      <c r="A6914" t="s">
        <v>7058</v>
      </c>
    </row>
    <row r="6915" spans="1:2" x14ac:dyDescent="0.25">
      <c r="A6915" t="s">
        <v>7059</v>
      </c>
    </row>
    <row r="6916" spans="1:2" x14ac:dyDescent="0.25">
      <c r="A6916" t="s">
        <v>7060</v>
      </c>
    </row>
    <row r="6917" spans="1:2" x14ac:dyDescent="0.25">
      <c r="A6917" t="s">
        <v>7058</v>
      </c>
    </row>
    <row r="6918" spans="1:2" x14ac:dyDescent="0.25">
      <c r="A6918" t="s">
        <v>7061</v>
      </c>
    </row>
    <row r="6919" spans="1:2" x14ac:dyDescent="0.25">
      <c r="A6919" t="s">
        <v>7062</v>
      </c>
    </row>
    <row r="6920" spans="1:2" x14ac:dyDescent="0.25">
      <c r="A6920" t="s">
        <v>7063</v>
      </c>
    </row>
    <row r="6921" spans="1:2" x14ac:dyDescent="0.25">
      <c r="A6921" t="s">
        <v>7064</v>
      </c>
    </row>
    <row r="6922" spans="1:2" x14ac:dyDescent="0.25">
      <c r="A6922" t="s">
        <v>7065</v>
      </c>
    </row>
    <row r="6923" spans="1:2" x14ac:dyDescent="0.25">
      <c r="A6923" t="s">
        <v>7066</v>
      </c>
    </row>
    <row r="6924" spans="1:2" x14ac:dyDescent="0.25">
      <c r="A6924" t="s">
        <v>7067</v>
      </c>
    </row>
    <row r="6925" spans="1:2" x14ac:dyDescent="0.25">
      <c r="A6925" t="s">
        <v>7068</v>
      </c>
    </row>
    <row r="6926" spans="1:2" x14ac:dyDescent="0.25">
      <c r="A6926" t="s">
        <v>7069</v>
      </c>
    </row>
    <row r="6927" spans="1:2" x14ac:dyDescent="0.25">
      <c r="A6927" t="s">
        <v>7070</v>
      </c>
    </row>
    <row r="6928" spans="1:2" x14ac:dyDescent="0.25">
      <c r="A6928" t="s">
        <v>2388</v>
      </c>
      <c r="B6928">
        <v>1643.58</v>
      </c>
    </row>
    <row r="6929" spans="1:1" x14ac:dyDescent="0.25">
      <c r="A6929" t="s">
        <v>7071</v>
      </c>
    </row>
    <row r="6930" spans="1:1" x14ac:dyDescent="0.25">
      <c r="A6930" t="s">
        <v>7072</v>
      </c>
    </row>
    <row r="6931" spans="1:1" x14ac:dyDescent="0.25">
      <c r="A6931" t="s">
        <v>7073</v>
      </c>
    </row>
    <row r="6932" spans="1:1" x14ac:dyDescent="0.25">
      <c r="A6932" t="s">
        <v>7074</v>
      </c>
    </row>
    <row r="6933" spans="1:1" x14ac:dyDescent="0.25">
      <c r="A6933" t="s">
        <v>7075</v>
      </c>
    </row>
    <row r="6934" spans="1:1" x14ac:dyDescent="0.25">
      <c r="A6934" t="s">
        <v>7076</v>
      </c>
    </row>
    <row r="6935" spans="1:1" x14ac:dyDescent="0.25">
      <c r="A6935" t="s">
        <v>7077</v>
      </c>
    </row>
    <row r="6936" spans="1:1" x14ac:dyDescent="0.25">
      <c r="A6936" t="s">
        <v>7078</v>
      </c>
    </row>
    <row r="6937" spans="1:1" x14ac:dyDescent="0.25">
      <c r="A6937" t="s">
        <v>7079</v>
      </c>
    </row>
    <row r="6938" spans="1:1" x14ac:dyDescent="0.25">
      <c r="A6938" t="s">
        <v>7080</v>
      </c>
    </row>
    <row r="6939" spans="1:1" x14ac:dyDescent="0.25">
      <c r="A6939" t="s">
        <v>7081</v>
      </c>
    </row>
    <row r="6940" spans="1:1" x14ac:dyDescent="0.25">
      <c r="A6940" t="s">
        <v>7082</v>
      </c>
    </row>
    <row r="6941" spans="1:1" x14ac:dyDescent="0.25">
      <c r="A6941" t="s">
        <v>7083</v>
      </c>
    </row>
    <row r="6942" spans="1:1" x14ac:dyDescent="0.25">
      <c r="A6942" t="s">
        <v>7084</v>
      </c>
    </row>
    <row r="6943" spans="1:1" x14ac:dyDescent="0.25">
      <c r="A6943" t="s">
        <v>7085</v>
      </c>
    </row>
    <row r="6944" spans="1:1" x14ac:dyDescent="0.25">
      <c r="A6944" t="s">
        <v>7086</v>
      </c>
    </row>
    <row r="6945" spans="1:1" x14ac:dyDescent="0.25">
      <c r="A6945" t="s">
        <v>7087</v>
      </c>
    </row>
    <row r="6946" spans="1:1" x14ac:dyDescent="0.25">
      <c r="A6946" t="s">
        <v>7088</v>
      </c>
    </row>
    <row r="6947" spans="1:1" x14ac:dyDescent="0.25">
      <c r="A6947" t="s">
        <v>7089</v>
      </c>
    </row>
    <row r="6948" spans="1:1" x14ac:dyDescent="0.25">
      <c r="A6948" t="s">
        <v>7090</v>
      </c>
    </row>
    <row r="6949" spans="1:1" x14ac:dyDescent="0.25">
      <c r="A6949" t="s">
        <v>7091</v>
      </c>
    </row>
    <row r="6950" spans="1:1" x14ac:dyDescent="0.25">
      <c r="A6950" t="s">
        <v>3285</v>
      </c>
    </row>
    <row r="6951" spans="1:1" x14ac:dyDescent="0.25">
      <c r="A6951" t="s">
        <v>7092</v>
      </c>
    </row>
    <row r="6952" spans="1:1" x14ac:dyDescent="0.25">
      <c r="A6952" t="s">
        <v>3287</v>
      </c>
    </row>
    <row r="6953" spans="1:1" x14ac:dyDescent="0.25">
      <c r="A6953" t="s">
        <v>3288</v>
      </c>
    </row>
    <row r="6954" spans="1:1" x14ac:dyDescent="0.25">
      <c r="A6954" t="s">
        <v>7093</v>
      </c>
    </row>
    <row r="6955" spans="1:1" x14ac:dyDescent="0.25">
      <c r="A6955" t="s">
        <v>7094</v>
      </c>
    </row>
    <row r="6956" spans="1:1" x14ac:dyDescent="0.25">
      <c r="A6956" t="s">
        <v>6728</v>
      </c>
    </row>
    <row r="6957" spans="1:1" x14ac:dyDescent="0.25">
      <c r="A6957" t="s">
        <v>7095</v>
      </c>
    </row>
    <row r="6958" spans="1:1" x14ac:dyDescent="0.25">
      <c r="A6958" t="s">
        <v>7096</v>
      </c>
    </row>
    <row r="6959" spans="1:1" x14ac:dyDescent="0.25">
      <c r="A6959" t="s">
        <v>7097</v>
      </c>
    </row>
    <row r="6960" spans="1:1" x14ac:dyDescent="0.25">
      <c r="A6960" t="s">
        <v>7098</v>
      </c>
    </row>
    <row r="6961" spans="1:1" x14ac:dyDescent="0.25">
      <c r="A6961" t="s">
        <v>7099</v>
      </c>
    </row>
    <row r="6962" spans="1:1" x14ac:dyDescent="0.25">
      <c r="A6962" t="s">
        <v>7100</v>
      </c>
    </row>
    <row r="6963" spans="1:1" x14ac:dyDescent="0.25">
      <c r="A6963" t="s">
        <v>7101</v>
      </c>
    </row>
    <row r="6964" spans="1:1" x14ac:dyDescent="0.25">
      <c r="A6964" t="s">
        <v>7102</v>
      </c>
    </row>
    <row r="6965" spans="1:1" x14ac:dyDescent="0.25">
      <c r="A6965" t="s">
        <v>7103</v>
      </c>
    </row>
    <row r="6966" spans="1:1" x14ac:dyDescent="0.25">
      <c r="A6966" t="s">
        <v>7104</v>
      </c>
    </row>
    <row r="6967" spans="1:1" x14ac:dyDescent="0.25">
      <c r="A6967" t="s">
        <v>7105</v>
      </c>
    </row>
    <row r="6968" spans="1:1" x14ac:dyDescent="0.25">
      <c r="A6968" t="s">
        <v>7106</v>
      </c>
    </row>
    <row r="6970" spans="1:1" x14ac:dyDescent="0.25">
      <c r="A6970" t="s">
        <v>7104</v>
      </c>
    </row>
    <row r="6971" spans="1:1" x14ac:dyDescent="0.25">
      <c r="A6971" t="s">
        <v>7107</v>
      </c>
    </row>
    <row r="6972" spans="1:1" x14ac:dyDescent="0.25">
      <c r="A6972" t="s">
        <v>7108</v>
      </c>
    </row>
    <row r="6973" spans="1:1" x14ac:dyDescent="0.25">
      <c r="A6973" t="s">
        <v>7109</v>
      </c>
    </row>
    <row r="6974" spans="1:1" x14ac:dyDescent="0.25">
      <c r="A6974" t="s">
        <v>7110</v>
      </c>
    </row>
    <row r="6975" spans="1:1" x14ac:dyDescent="0.25">
      <c r="A6975" t="s">
        <v>7111</v>
      </c>
    </row>
    <row r="6976" spans="1:1" x14ac:dyDescent="0.25">
      <c r="A6976" t="s">
        <v>7112</v>
      </c>
    </row>
    <row r="6977" spans="1:1" x14ac:dyDescent="0.25">
      <c r="A6977" t="s">
        <v>7113</v>
      </c>
    </row>
    <row r="6978" spans="1:1" x14ac:dyDescent="0.25">
      <c r="A6978" t="s">
        <v>7114</v>
      </c>
    </row>
    <row r="6979" spans="1:1" x14ac:dyDescent="0.25">
      <c r="A6979" t="s">
        <v>7109</v>
      </c>
    </row>
    <row r="6980" spans="1:1" x14ac:dyDescent="0.25">
      <c r="A6980" t="s">
        <v>7115</v>
      </c>
    </row>
    <row r="6981" spans="1:1" x14ac:dyDescent="0.25">
      <c r="A6981" t="s">
        <v>7116</v>
      </c>
    </row>
    <row r="6983" spans="1:1" x14ac:dyDescent="0.25">
      <c r="A6983" t="s">
        <v>7117</v>
      </c>
    </row>
    <row r="6984" spans="1:1" x14ac:dyDescent="0.25">
      <c r="A6984" t="s">
        <v>7118</v>
      </c>
    </row>
    <row r="6985" spans="1:1" x14ac:dyDescent="0.25">
      <c r="A6985" t="s">
        <v>1463</v>
      </c>
    </row>
    <row r="6986" spans="1:1" x14ac:dyDescent="0.25">
      <c r="A6986" t="s">
        <v>7119</v>
      </c>
    </row>
    <row r="6987" spans="1:1" x14ac:dyDescent="0.25">
      <c r="A6987" t="s">
        <v>6347</v>
      </c>
    </row>
    <row r="6988" spans="1:1" x14ac:dyDescent="0.25">
      <c r="A6988" t="s">
        <v>7120</v>
      </c>
    </row>
    <row r="6989" spans="1:1" x14ac:dyDescent="0.25">
      <c r="A6989" t="s">
        <v>7121</v>
      </c>
    </row>
    <row r="6990" spans="1:1" x14ac:dyDescent="0.25">
      <c r="A6990" t="s">
        <v>7122</v>
      </c>
    </row>
    <row r="6991" spans="1:1" x14ac:dyDescent="0.25">
      <c r="A6991" t="s">
        <v>7123</v>
      </c>
    </row>
    <row r="6993" spans="1:1" x14ac:dyDescent="0.25">
      <c r="A6993" t="s">
        <v>7124</v>
      </c>
    </row>
    <row r="6994" spans="1:1" x14ac:dyDescent="0.25">
      <c r="A6994" t="s">
        <v>7125</v>
      </c>
    </row>
    <row r="6995" spans="1:1" x14ac:dyDescent="0.25">
      <c r="A6995" t="s">
        <v>7126</v>
      </c>
    </row>
    <row r="6996" spans="1:1" x14ac:dyDescent="0.25">
      <c r="A6996" t="s">
        <v>7127</v>
      </c>
    </row>
    <row r="6997" spans="1:1" x14ac:dyDescent="0.25">
      <c r="A6997" t="s">
        <v>7128</v>
      </c>
    </row>
    <row r="6998" spans="1:1" x14ac:dyDescent="0.25">
      <c r="A6998" t="s">
        <v>7129</v>
      </c>
    </row>
    <row r="6999" spans="1:1" x14ac:dyDescent="0.25">
      <c r="A6999" t="s">
        <v>7130</v>
      </c>
    </row>
    <row r="7000" spans="1:1" x14ac:dyDescent="0.25">
      <c r="A7000" t="s">
        <v>1342</v>
      </c>
    </row>
    <row r="7001" spans="1:1" x14ac:dyDescent="0.25">
      <c r="A7001" t="s">
        <v>3288</v>
      </c>
    </row>
    <row r="7002" spans="1:1" x14ac:dyDescent="0.25">
      <c r="A7002" t="s">
        <v>7131</v>
      </c>
    </row>
    <row r="7003" spans="1:1" x14ac:dyDescent="0.25">
      <c r="A7003" t="s">
        <v>7132</v>
      </c>
    </row>
    <row r="7004" spans="1:1" x14ac:dyDescent="0.25">
      <c r="A7004" t="s">
        <v>6715</v>
      </c>
    </row>
    <row r="7005" spans="1:1" x14ac:dyDescent="0.25">
      <c r="A7005" t="s">
        <v>7133</v>
      </c>
    </row>
    <row r="7006" spans="1:1" x14ac:dyDescent="0.25">
      <c r="A7006" t="s">
        <v>7134</v>
      </c>
    </row>
    <row r="7007" spans="1:1" x14ac:dyDescent="0.25">
      <c r="A7007" t="s">
        <v>7135</v>
      </c>
    </row>
    <row r="7008" spans="1:1" x14ac:dyDescent="0.25">
      <c r="A7008" t="s">
        <v>7136</v>
      </c>
    </row>
    <row r="7009" spans="1:1" x14ac:dyDescent="0.25">
      <c r="A7009" t="s">
        <v>7137</v>
      </c>
    </row>
    <row r="7010" spans="1:1" x14ac:dyDescent="0.25">
      <c r="A7010" t="s">
        <v>7138</v>
      </c>
    </row>
    <row r="7011" spans="1:1" x14ac:dyDescent="0.25">
      <c r="A7011" t="s">
        <v>7139</v>
      </c>
    </row>
    <row r="7012" spans="1:1" x14ac:dyDescent="0.25">
      <c r="A7012" t="s">
        <v>7140</v>
      </c>
    </row>
    <row r="7013" spans="1:1" x14ac:dyDescent="0.25">
      <c r="A7013" t="s">
        <v>7141</v>
      </c>
    </row>
    <row r="7014" spans="1:1" x14ac:dyDescent="0.25">
      <c r="A7014" t="s">
        <v>7133</v>
      </c>
    </row>
    <row r="7015" spans="1:1" x14ac:dyDescent="0.25">
      <c r="A7015" t="s">
        <v>7134</v>
      </c>
    </row>
    <row r="7016" spans="1:1" x14ac:dyDescent="0.25">
      <c r="A7016" t="s">
        <v>7135</v>
      </c>
    </row>
    <row r="7017" spans="1:1" x14ac:dyDescent="0.25">
      <c r="A7017" t="s">
        <v>7136</v>
      </c>
    </row>
    <row r="7018" spans="1:1" x14ac:dyDescent="0.25">
      <c r="A7018" t="s">
        <v>7137</v>
      </c>
    </row>
    <row r="7019" spans="1:1" x14ac:dyDescent="0.25">
      <c r="A7019" t="s">
        <v>7138</v>
      </c>
    </row>
    <row r="7020" spans="1:1" x14ac:dyDescent="0.25">
      <c r="A7020" t="s">
        <v>7139</v>
      </c>
    </row>
    <row r="7021" spans="1:1" x14ac:dyDescent="0.25">
      <c r="A7021" t="s">
        <v>7140</v>
      </c>
    </row>
    <row r="7022" spans="1:1" x14ac:dyDescent="0.25">
      <c r="A7022" t="s">
        <v>7141</v>
      </c>
    </row>
    <row r="7023" spans="1:1" x14ac:dyDescent="0.25">
      <c r="A7023" t="s">
        <v>7142</v>
      </c>
    </row>
    <row r="7024" spans="1:1" x14ac:dyDescent="0.25">
      <c r="A7024" t="s">
        <v>7143</v>
      </c>
    </row>
    <row r="7025" spans="1:1" x14ac:dyDescent="0.25">
      <c r="A7025" t="s">
        <v>7144</v>
      </c>
    </row>
    <row r="7026" spans="1:1" x14ac:dyDescent="0.25">
      <c r="A7026" t="s">
        <v>7145</v>
      </c>
    </row>
    <row r="7027" spans="1:1" x14ac:dyDescent="0.25">
      <c r="A7027" t="s">
        <v>7146</v>
      </c>
    </row>
    <row r="7028" spans="1:1" x14ac:dyDescent="0.25">
      <c r="A7028" t="s">
        <v>7147</v>
      </c>
    </row>
    <row r="7030" spans="1:1" x14ac:dyDescent="0.25">
      <c r="A7030" t="s">
        <v>7148</v>
      </c>
    </row>
    <row r="7031" spans="1:1" x14ac:dyDescent="0.25">
      <c r="A7031" t="s">
        <v>7149</v>
      </c>
    </row>
    <row r="7032" spans="1:1" x14ac:dyDescent="0.25">
      <c r="A7032" t="s">
        <v>7150</v>
      </c>
    </row>
    <row r="7033" spans="1:1" x14ac:dyDescent="0.25">
      <c r="A7033" t="s">
        <v>7151</v>
      </c>
    </row>
    <row r="7034" spans="1:1" x14ac:dyDescent="0.25">
      <c r="A7034" t="s">
        <v>7152</v>
      </c>
    </row>
    <row r="7035" spans="1:1" x14ac:dyDescent="0.25">
      <c r="A7035" t="s">
        <v>7153</v>
      </c>
    </row>
    <row r="7036" spans="1:1" x14ac:dyDescent="0.25">
      <c r="A7036" t="s">
        <v>7154</v>
      </c>
    </row>
    <row r="7037" spans="1:1" x14ac:dyDescent="0.25">
      <c r="A7037" t="s">
        <v>7155</v>
      </c>
    </row>
    <row r="7038" spans="1:1" x14ac:dyDescent="0.25">
      <c r="A7038" t="s">
        <v>7156</v>
      </c>
    </row>
    <row r="7039" spans="1:1" x14ac:dyDescent="0.25">
      <c r="A7039" t="s">
        <v>7157</v>
      </c>
    </row>
    <row r="7040" spans="1:1" x14ac:dyDescent="0.25">
      <c r="A7040" t="s">
        <v>7158</v>
      </c>
    </row>
    <row r="7041" spans="1:1" x14ac:dyDescent="0.25">
      <c r="A7041">
        <v>991769984</v>
      </c>
    </row>
    <row r="7042" spans="1:1" x14ac:dyDescent="0.25">
      <c r="A7042" t="s">
        <v>7159</v>
      </c>
    </row>
    <row r="7043" spans="1:1" x14ac:dyDescent="0.25">
      <c r="A7043" t="s">
        <v>7160</v>
      </c>
    </row>
    <row r="7044" spans="1:1" x14ac:dyDescent="0.25">
      <c r="A7044" t="s">
        <v>7161</v>
      </c>
    </row>
    <row r="7045" spans="1:1" x14ac:dyDescent="0.25">
      <c r="A7045" t="s">
        <v>7162</v>
      </c>
    </row>
    <row r="7046" spans="1:1" x14ac:dyDescent="0.25">
      <c r="A7046" t="s">
        <v>7163</v>
      </c>
    </row>
    <row r="7047" spans="1:1" x14ac:dyDescent="0.25">
      <c r="A7047" t="s">
        <v>7164</v>
      </c>
    </row>
    <row r="7048" spans="1:1" x14ac:dyDescent="0.25">
      <c r="A7048" t="s">
        <v>7165</v>
      </c>
    </row>
    <row r="7049" spans="1:1" x14ac:dyDescent="0.25">
      <c r="A7049" t="s">
        <v>7166</v>
      </c>
    </row>
    <row r="7050" spans="1:1" x14ac:dyDescent="0.25">
      <c r="A7050" t="s">
        <v>7167</v>
      </c>
    </row>
    <row r="7052" spans="1:1" x14ac:dyDescent="0.25">
      <c r="A7052" t="s">
        <v>7168</v>
      </c>
    </row>
    <row r="7053" spans="1:1" x14ac:dyDescent="0.25">
      <c r="A7053" t="s">
        <v>7169</v>
      </c>
    </row>
    <row r="7054" spans="1:1" x14ac:dyDescent="0.25">
      <c r="A7054" t="s">
        <v>2329</v>
      </c>
    </row>
    <row r="7055" spans="1:1" x14ac:dyDescent="0.25">
      <c r="A7055" t="s">
        <v>7170</v>
      </c>
    </row>
    <row r="7056" spans="1:1" x14ac:dyDescent="0.25">
      <c r="A7056" t="s">
        <v>7171</v>
      </c>
    </row>
    <row r="7057" spans="1:1" x14ac:dyDescent="0.25">
      <c r="A7057" t="s">
        <v>7172</v>
      </c>
    </row>
    <row r="7058" spans="1:1" x14ac:dyDescent="0.25">
      <c r="A7058" t="s">
        <v>7173</v>
      </c>
    </row>
    <row r="7059" spans="1:1" x14ac:dyDescent="0.25">
      <c r="A7059" t="s">
        <v>7174</v>
      </c>
    </row>
    <row r="7060" spans="1:1" x14ac:dyDescent="0.25">
      <c r="A7060" t="s">
        <v>7175</v>
      </c>
    </row>
    <row r="7061" spans="1:1" x14ac:dyDescent="0.25">
      <c r="A7061" t="s">
        <v>7176</v>
      </c>
    </row>
    <row r="7062" spans="1:1" x14ac:dyDescent="0.25">
      <c r="A7062" t="s">
        <v>7177</v>
      </c>
    </row>
    <row r="7063" spans="1:1" x14ac:dyDescent="0.25">
      <c r="A7063" t="s">
        <v>7178</v>
      </c>
    </row>
    <row r="7064" spans="1:1" x14ac:dyDescent="0.25">
      <c r="A7064" t="s">
        <v>7179</v>
      </c>
    </row>
    <row r="7065" spans="1:1" x14ac:dyDescent="0.25">
      <c r="A7065" t="s">
        <v>7180</v>
      </c>
    </row>
    <row r="7066" spans="1:1" x14ac:dyDescent="0.25">
      <c r="A7066" t="s">
        <v>7181</v>
      </c>
    </row>
    <row r="7067" spans="1:1" x14ac:dyDescent="0.25">
      <c r="A7067" t="s">
        <v>7182</v>
      </c>
    </row>
    <row r="7068" spans="1:1" x14ac:dyDescent="0.25">
      <c r="A7068" t="s">
        <v>7183</v>
      </c>
    </row>
    <row r="7070" spans="1:1" x14ac:dyDescent="0.25">
      <c r="A7070" t="s">
        <v>7184</v>
      </c>
    </row>
    <row r="7071" spans="1:1" x14ac:dyDescent="0.25">
      <c r="A7071" t="s">
        <v>7185</v>
      </c>
    </row>
    <row r="7072" spans="1:1" x14ac:dyDescent="0.25">
      <c r="A7072" t="s">
        <v>7186</v>
      </c>
    </row>
    <row r="7073" spans="1:1" x14ac:dyDescent="0.25">
      <c r="A7073" t="s">
        <v>7187</v>
      </c>
    </row>
    <row r="7074" spans="1:1" x14ac:dyDescent="0.25">
      <c r="A7074" t="s">
        <v>7188</v>
      </c>
    </row>
    <row r="7075" spans="1:1" x14ac:dyDescent="0.25">
      <c r="A7075" t="s">
        <v>7189</v>
      </c>
    </row>
    <row r="7076" spans="1:1" x14ac:dyDescent="0.25">
      <c r="A7076" t="s">
        <v>2603</v>
      </c>
    </row>
    <row r="7077" spans="1:1" x14ac:dyDescent="0.25">
      <c r="A7077" t="s">
        <v>7190</v>
      </c>
    </row>
    <row r="7078" spans="1:1" x14ac:dyDescent="0.25">
      <c r="A7078" t="s">
        <v>7191</v>
      </c>
    </row>
    <row r="7080" spans="1:1" x14ac:dyDescent="0.25">
      <c r="A7080" t="s">
        <v>7192</v>
      </c>
    </row>
    <row r="7081" spans="1:1" x14ac:dyDescent="0.25">
      <c r="A7081" t="s">
        <v>7193</v>
      </c>
    </row>
    <row r="7082" spans="1:1" x14ac:dyDescent="0.25">
      <c r="A7082" t="s">
        <v>7194</v>
      </c>
    </row>
    <row r="7083" spans="1:1" x14ac:dyDescent="0.25">
      <c r="A7083" t="s">
        <v>7195</v>
      </c>
    </row>
    <row r="7084" spans="1:1" x14ac:dyDescent="0.25">
      <c r="A7084" t="s">
        <v>7196</v>
      </c>
    </row>
    <row r="7085" spans="1:1" x14ac:dyDescent="0.25">
      <c r="A7085" t="s">
        <v>7197</v>
      </c>
    </row>
    <row r="7086" spans="1:1" x14ac:dyDescent="0.25">
      <c r="A7086" t="s">
        <v>7198</v>
      </c>
    </row>
    <row r="7087" spans="1:1" x14ac:dyDescent="0.25">
      <c r="A7087" t="s">
        <v>7199</v>
      </c>
    </row>
    <row r="7088" spans="1:1" x14ac:dyDescent="0.25">
      <c r="A7088" t="s">
        <v>7200</v>
      </c>
    </row>
    <row r="7089" spans="1:1" x14ac:dyDescent="0.25">
      <c r="A7089" t="s">
        <v>7201</v>
      </c>
    </row>
    <row r="7090" spans="1:1" x14ac:dyDescent="0.25">
      <c r="A7090" t="s">
        <v>7202</v>
      </c>
    </row>
    <row r="7091" spans="1:1" x14ac:dyDescent="0.25">
      <c r="A7091" t="s">
        <v>7203</v>
      </c>
    </row>
    <row r="7092" spans="1:1" x14ac:dyDescent="0.25">
      <c r="A7092" t="s">
        <v>7204</v>
      </c>
    </row>
    <row r="7093" spans="1:1" x14ac:dyDescent="0.25">
      <c r="A7093" t="s">
        <v>7205</v>
      </c>
    </row>
    <row r="7094" spans="1:1" x14ac:dyDescent="0.25">
      <c r="A7094" t="s">
        <v>7202</v>
      </c>
    </row>
    <row r="7095" spans="1:1" x14ac:dyDescent="0.25">
      <c r="A7095" t="s">
        <v>7203</v>
      </c>
    </row>
    <row r="7096" spans="1:1" x14ac:dyDescent="0.25">
      <c r="A7096" t="s">
        <v>7204</v>
      </c>
    </row>
    <row r="7097" spans="1:1" x14ac:dyDescent="0.25">
      <c r="A7097" t="s">
        <v>7205</v>
      </c>
    </row>
    <row r="7098" spans="1:1" x14ac:dyDescent="0.25">
      <c r="A7098" t="s">
        <v>7206</v>
      </c>
    </row>
    <row r="7099" spans="1:1" x14ac:dyDescent="0.25">
      <c r="A7099" t="s">
        <v>7207</v>
      </c>
    </row>
    <row r="7100" spans="1:1" x14ac:dyDescent="0.25">
      <c r="A7100" t="s">
        <v>7208</v>
      </c>
    </row>
    <row r="7101" spans="1:1" x14ac:dyDescent="0.25">
      <c r="A7101" t="s">
        <v>7209</v>
      </c>
    </row>
    <row r="7102" spans="1:1" x14ac:dyDescent="0.25">
      <c r="A7102" t="s">
        <v>7202</v>
      </c>
    </row>
    <row r="7103" spans="1:1" x14ac:dyDescent="0.25">
      <c r="A7103" t="s">
        <v>7210</v>
      </c>
    </row>
    <row r="7104" spans="1:1" x14ac:dyDescent="0.25">
      <c r="A7104" t="s">
        <v>3285</v>
      </c>
    </row>
    <row r="7105" spans="1:1" x14ac:dyDescent="0.25">
      <c r="A7105" t="s">
        <v>7211</v>
      </c>
    </row>
    <row r="7106" spans="1:1" x14ac:dyDescent="0.25">
      <c r="A7106" t="s">
        <v>3287</v>
      </c>
    </row>
    <row r="7107" spans="1:1" x14ac:dyDescent="0.25">
      <c r="A7107" t="s">
        <v>7212</v>
      </c>
    </row>
    <row r="7108" spans="1:1" x14ac:dyDescent="0.25">
      <c r="A7108" t="s">
        <v>7213</v>
      </c>
    </row>
    <row r="7109" spans="1:1" x14ac:dyDescent="0.25">
      <c r="A7109" t="s">
        <v>6776</v>
      </c>
    </row>
    <row r="7110" spans="1:1" x14ac:dyDescent="0.25">
      <c r="A7110" t="s">
        <v>6728</v>
      </c>
    </row>
    <row r="7111" spans="1:1" x14ac:dyDescent="0.25">
      <c r="A7111" t="s">
        <v>7214</v>
      </c>
    </row>
    <row r="7112" spans="1:1" x14ac:dyDescent="0.25">
      <c r="A7112" t="s">
        <v>7215</v>
      </c>
    </row>
    <row r="7113" spans="1:1" x14ac:dyDescent="0.25">
      <c r="A7113" t="s">
        <v>7216</v>
      </c>
    </row>
    <row r="7114" spans="1:1" x14ac:dyDescent="0.25">
      <c r="A7114" t="s">
        <v>7217</v>
      </c>
    </row>
    <row r="7115" spans="1:1" x14ac:dyDescent="0.25">
      <c r="A7115" t="s">
        <v>7218</v>
      </c>
    </row>
    <row r="7116" spans="1:1" x14ac:dyDescent="0.25">
      <c r="A7116" t="s">
        <v>7219</v>
      </c>
    </row>
    <row r="7117" spans="1:1" x14ac:dyDescent="0.25">
      <c r="A7117" t="s">
        <v>7220</v>
      </c>
    </row>
    <row r="7118" spans="1:1" x14ac:dyDescent="0.25">
      <c r="A7118" t="s">
        <v>7221</v>
      </c>
    </row>
    <row r="7119" spans="1:1" x14ac:dyDescent="0.25">
      <c r="A7119" t="s">
        <v>7222</v>
      </c>
    </row>
    <row r="7120" spans="1:1" x14ac:dyDescent="0.25">
      <c r="A7120" t="s">
        <v>7223</v>
      </c>
    </row>
    <row r="7121" spans="1:1" x14ac:dyDescent="0.25">
      <c r="A7121" t="s">
        <v>7224</v>
      </c>
    </row>
    <row r="7122" spans="1:1" x14ac:dyDescent="0.25">
      <c r="A7122" t="s">
        <v>7225</v>
      </c>
    </row>
    <row r="7123" spans="1:1" x14ac:dyDescent="0.25">
      <c r="A7123" t="s">
        <v>7223</v>
      </c>
    </row>
    <row r="7124" spans="1:1" x14ac:dyDescent="0.25">
      <c r="A7124" t="s">
        <v>7226</v>
      </c>
    </row>
    <row r="7125" spans="1:1" x14ac:dyDescent="0.25">
      <c r="A7125" t="s">
        <v>7227</v>
      </c>
    </row>
    <row r="7126" spans="1:1" x14ac:dyDescent="0.25">
      <c r="A7126" t="s">
        <v>7228</v>
      </c>
    </row>
    <row r="7127" spans="1:1" x14ac:dyDescent="0.25">
      <c r="A7127" t="s">
        <v>7089</v>
      </c>
    </row>
    <row r="7128" spans="1:1" x14ac:dyDescent="0.25">
      <c r="A7128" t="s">
        <v>3284</v>
      </c>
    </row>
    <row r="7129" spans="1:1" x14ac:dyDescent="0.25">
      <c r="A7129" t="s">
        <v>3285</v>
      </c>
    </row>
    <row r="7130" spans="1:1" x14ac:dyDescent="0.25">
      <c r="A7130" t="s">
        <v>7229</v>
      </c>
    </row>
    <row r="7131" spans="1:1" x14ac:dyDescent="0.25">
      <c r="A7131" t="s">
        <v>3287</v>
      </c>
    </row>
    <row r="7132" spans="1:1" x14ac:dyDescent="0.25">
      <c r="A7132" t="s">
        <v>6993</v>
      </c>
    </row>
    <row r="7133" spans="1:1" x14ac:dyDescent="0.25">
      <c r="A7133" t="s">
        <v>7230</v>
      </c>
    </row>
    <row r="7134" spans="1:1" x14ac:dyDescent="0.25">
      <c r="A7134" t="s">
        <v>7231</v>
      </c>
    </row>
    <row r="7135" spans="1:1" x14ac:dyDescent="0.25">
      <c r="A7135" t="s">
        <v>7232</v>
      </c>
    </row>
    <row r="7136" spans="1:1" x14ac:dyDescent="0.25">
      <c r="A7136" t="s">
        <v>7233</v>
      </c>
    </row>
    <row r="7137" spans="1:2" x14ac:dyDescent="0.25">
      <c r="A7137" t="s">
        <v>7234</v>
      </c>
    </row>
    <row r="7138" spans="1:2" x14ac:dyDescent="0.25">
      <c r="A7138" t="s">
        <v>7235</v>
      </c>
    </row>
    <row r="7139" spans="1:2" x14ac:dyDescent="0.25">
      <c r="A7139" t="s">
        <v>7236</v>
      </c>
    </row>
    <row r="7140" spans="1:2" x14ac:dyDescent="0.25">
      <c r="A7140" t="s">
        <v>7237</v>
      </c>
    </row>
    <row r="7141" spans="1:2" x14ac:dyDescent="0.25">
      <c r="A7141" t="s">
        <v>7238</v>
      </c>
    </row>
    <row r="7142" spans="1:2" x14ac:dyDescent="0.25">
      <c r="A7142" t="s">
        <v>7239</v>
      </c>
    </row>
    <row r="7143" spans="1:2" x14ac:dyDescent="0.25">
      <c r="A7143" t="s">
        <v>7240</v>
      </c>
    </row>
    <row r="7144" spans="1:2" x14ac:dyDescent="0.25">
      <c r="A7144" t="s">
        <v>7241</v>
      </c>
    </row>
    <row r="7145" spans="1:2" x14ac:dyDescent="0.25">
      <c r="A7145" t="s">
        <v>7242</v>
      </c>
    </row>
    <row r="7146" spans="1:2" x14ac:dyDescent="0.25">
      <c r="A7146" t="s">
        <v>7243</v>
      </c>
    </row>
    <row r="7147" spans="1:2" x14ac:dyDescent="0.25">
      <c r="A7147" t="s">
        <v>7244</v>
      </c>
    </row>
    <row r="7148" spans="1:2" x14ac:dyDescent="0.25">
      <c r="A7148" t="s">
        <v>7245</v>
      </c>
    </row>
    <row r="7149" spans="1:2" x14ac:dyDescent="0.25">
      <c r="A7149" t="s">
        <v>7246</v>
      </c>
      <c r="B7149">
        <v>408.02</v>
      </c>
    </row>
    <row r="7150" spans="1:2" x14ac:dyDescent="0.25">
      <c r="A7150" t="s">
        <v>7247</v>
      </c>
    </row>
    <row r="7151" spans="1:2" x14ac:dyDescent="0.25">
      <c r="A7151" t="s">
        <v>7248</v>
      </c>
    </row>
    <row r="7152" spans="1:2" x14ac:dyDescent="0.25">
      <c r="A7152" t="s">
        <v>7249</v>
      </c>
    </row>
    <row r="7153" spans="1:1" x14ac:dyDescent="0.25">
      <c r="A7153" t="s">
        <v>7250</v>
      </c>
    </row>
    <row r="7154" spans="1:1" x14ac:dyDescent="0.25">
      <c r="A7154" t="s">
        <v>7251</v>
      </c>
    </row>
    <row r="7155" spans="1:1" x14ac:dyDescent="0.25">
      <c r="A7155" t="s">
        <v>7252</v>
      </c>
    </row>
    <row r="7156" spans="1:1" x14ac:dyDescent="0.25">
      <c r="A7156" t="s">
        <v>7253</v>
      </c>
    </row>
    <row r="7157" spans="1:1" x14ac:dyDescent="0.25">
      <c r="A7157" t="s">
        <v>7254</v>
      </c>
    </row>
    <row r="7158" spans="1:1" x14ac:dyDescent="0.25">
      <c r="A7158" t="s">
        <v>7255</v>
      </c>
    </row>
    <row r="7159" spans="1:1" x14ac:dyDescent="0.25">
      <c r="A7159" t="s">
        <v>7256</v>
      </c>
    </row>
    <row r="7160" spans="1:1" x14ac:dyDescent="0.25">
      <c r="A7160" t="s">
        <v>3287</v>
      </c>
    </row>
    <row r="7161" spans="1:1" x14ac:dyDescent="0.25">
      <c r="A7161" t="s">
        <v>3288</v>
      </c>
    </row>
    <row r="7162" spans="1:1" x14ac:dyDescent="0.25">
      <c r="A7162" t="s">
        <v>7257</v>
      </c>
    </row>
    <row r="7163" spans="1:1" x14ac:dyDescent="0.25">
      <c r="A7163" t="s">
        <v>6953</v>
      </c>
    </row>
    <row r="7164" spans="1:1" x14ac:dyDescent="0.25">
      <c r="A7164" t="s">
        <v>6715</v>
      </c>
    </row>
    <row r="7166" spans="1:1" x14ac:dyDescent="0.25">
      <c r="A7166" t="s">
        <v>7258</v>
      </c>
    </row>
    <row r="7167" spans="1:1" x14ac:dyDescent="0.25">
      <c r="A7167" t="s">
        <v>7259</v>
      </c>
    </row>
    <row r="7168" spans="1:1" x14ac:dyDescent="0.25">
      <c r="A7168" t="s">
        <v>7260</v>
      </c>
    </row>
    <row r="7169" spans="1:1" x14ac:dyDescent="0.25">
      <c r="A7169" t="s">
        <v>7261</v>
      </c>
    </row>
    <row r="7170" spans="1:1" x14ac:dyDescent="0.25">
      <c r="A7170" t="s">
        <v>7262</v>
      </c>
    </row>
    <row r="7171" spans="1:1" x14ac:dyDescent="0.25">
      <c r="A7171" t="s">
        <v>7263</v>
      </c>
    </row>
    <row r="7172" spans="1:1" x14ac:dyDescent="0.25">
      <c r="A7172" t="s">
        <v>7264</v>
      </c>
    </row>
    <row r="7173" spans="1:1" x14ac:dyDescent="0.25">
      <c r="A7173" t="s">
        <v>7262</v>
      </c>
    </row>
    <row r="7174" spans="1:1" x14ac:dyDescent="0.25">
      <c r="A7174" t="s">
        <v>7265</v>
      </c>
    </row>
    <row r="7175" spans="1:1" x14ac:dyDescent="0.25">
      <c r="A7175" t="s">
        <v>7266</v>
      </c>
    </row>
    <row r="7176" spans="1:1" x14ac:dyDescent="0.25">
      <c r="A7176" t="s">
        <v>7267</v>
      </c>
    </row>
    <row r="7177" spans="1:1" x14ac:dyDescent="0.25">
      <c r="A7177" t="s">
        <v>7268</v>
      </c>
    </row>
    <row r="7178" spans="1:1" x14ac:dyDescent="0.25">
      <c r="A7178" t="s">
        <v>7269</v>
      </c>
    </row>
    <row r="7179" spans="1:1" x14ac:dyDescent="0.25">
      <c r="A7179" t="s">
        <v>7270</v>
      </c>
    </row>
    <row r="7180" spans="1:1" x14ac:dyDescent="0.25">
      <c r="A7180" t="s">
        <v>7271</v>
      </c>
    </row>
    <row r="7181" spans="1:1" x14ac:dyDescent="0.25">
      <c r="A7181" t="s">
        <v>7272</v>
      </c>
    </row>
    <row r="7182" spans="1:1" x14ac:dyDescent="0.25">
      <c r="A7182" t="s">
        <v>7273</v>
      </c>
    </row>
    <row r="7184" spans="1:1" x14ac:dyDescent="0.25">
      <c r="A7184" t="s">
        <v>7268</v>
      </c>
    </row>
    <row r="7185" spans="1:1" x14ac:dyDescent="0.25">
      <c r="A7185" t="s">
        <v>7274</v>
      </c>
    </row>
    <row r="7186" spans="1:1" x14ac:dyDescent="0.25">
      <c r="A7186" t="s">
        <v>7275</v>
      </c>
    </row>
    <row r="7187" spans="1:1" x14ac:dyDescent="0.25">
      <c r="A7187" t="s">
        <v>7276</v>
      </c>
    </row>
    <row r="7189" spans="1:1" x14ac:dyDescent="0.25">
      <c r="A7189" t="s">
        <v>7277</v>
      </c>
    </row>
    <row r="7190" spans="1:1" x14ac:dyDescent="0.25">
      <c r="A7190" t="s">
        <v>7278</v>
      </c>
    </row>
    <row r="7191" spans="1:1" x14ac:dyDescent="0.25">
      <c r="A7191" t="s">
        <v>7279</v>
      </c>
    </row>
    <row r="7192" spans="1:1" x14ac:dyDescent="0.25">
      <c r="A7192" t="s">
        <v>2293</v>
      </c>
    </row>
    <row r="7193" spans="1:1" x14ac:dyDescent="0.25">
      <c r="A7193" t="s">
        <v>7280</v>
      </c>
    </row>
    <row r="7194" spans="1:1" x14ac:dyDescent="0.25">
      <c r="A7194" t="s">
        <v>7281</v>
      </c>
    </row>
    <row r="7195" spans="1:1" x14ac:dyDescent="0.25">
      <c r="A7195" t="s">
        <v>7282</v>
      </c>
    </row>
    <row r="7196" spans="1:1" x14ac:dyDescent="0.25">
      <c r="A7196" t="s">
        <v>7283</v>
      </c>
    </row>
    <row r="7197" spans="1:1" x14ac:dyDescent="0.25">
      <c r="A7197" t="s">
        <v>7284</v>
      </c>
    </row>
    <row r="7198" spans="1:1" x14ac:dyDescent="0.25">
      <c r="A7198" t="s">
        <v>1501</v>
      </c>
    </row>
    <row r="7199" spans="1:1" x14ac:dyDescent="0.25">
      <c r="A7199" t="s">
        <v>7285</v>
      </c>
    </row>
    <row r="7200" spans="1:1" x14ac:dyDescent="0.25">
      <c r="A7200" t="s">
        <v>7286</v>
      </c>
    </row>
    <row r="7201" spans="1:1" x14ac:dyDescent="0.25">
      <c r="A7201" t="s">
        <v>7287</v>
      </c>
    </row>
    <row r="7203" spans="1:1" x14ac:dyDescent="0.25">
      <c r="A7203" t="s">
        <v>7288</v>
      </c>
    </row>
    <row r="7204" spans="1:1" x14ac:dyDescent="0.25">
      <c r="A7204" t="s">
        <v>7289</v>
      </c>
    </row>
    <row r="7205" spans="1:1" x14ac:dyDescent="0.25">
      <c r="A7205" t="s">
        <v>7290</v>
      </c>
    </row>
    <row r="7206" spans="1:1" x14ac:dyDescent="0.25">
      <c r="A7206" t="s">
        <v>7288</v>
      </c>
    </row>
    <row r="7207" spans="1:1" x14ac:dyDescent="0.25">
      <c r="A7207" t="s">
        <v>7291</v>
      </c>
    </row>
    <row r="7208" spans="1:1" x14ac:dyDescent="0.25">
      <c r="A7208" t="s">
        <v>7292</v>
      </c>
    </row>
    <row r="7209" spans="1:1" x14ac:dyDescent="0.25">
      <c r="A7209" t="s">
        <v>7293</v>
      </c>
    </row>
    <row r="7210" spans="1:1" x14ac:dyDescent="0.25">
      <c r="A7210" t="s">
        <v>7294</v>
      </c>
    </row>
    <row r="7211" spans="1:1" x14ac:dyDescent="0.25">
      <c r="A7211" t="s">
        <v>7295</v>
      </c>
    </row>
    <row r="7212" spans="1:1" x14ac:dyDescent="0.25">
      <c r="A7212" t="s">
        <v>7296</v>
      </c>
    </row>
    <row r="7213" spans="1:1" x14ac:dyDescent="0.25">
      <c r="A7213" t="s">
        <v>7297</v>
      </c>
    </row>
    <row r="7214" spans="1:1" x14ac:dyDescent="0.25">
      <c r="A7214" t="s">
        <v>7298</v>
      </c>
    </row>
    <row r="7215" spans="1:1" x14ac:dyDescent="0.25">
      <c r="A7215" t="s">
        <v>7299</v>
      </c>
    </row>
    <row r="7216" spans="1:1" x14ac:dyDescent="0.25">
      <c r="A7216" t="s">
        <v>7300</v>
      </c>
    </row>
    <row r="7217" spans="1:1" x14ac:dyDescent="0.25">
      <c r="A7217" t="s">
        <v>7301</v>
      </c>
    </row>
    <row r="7218" spans="1:1" x14ac:dyDescent="0.25">
      <c r="A7218" t="s">
        <v>7294</v>
      </c>
    </row>
    <row r="7219" spans="1:1" x14ac:dyDescent="0.25">
      <c r="A7219" t="s">
        <v>7302</v>
      </c>
    </row>
    <row r="7220" spans="1:1" x14ac:dyDescent="0.25">
      <c r="A7220" t="s">
        <v>7303</v>
      </c>
    </row>
    <row r="7221" spans="1:1" x14ac:dyDescent="0.25">
      <c r="A7221" t="s">
        <v>7304</v>
      </c>
    </row>
    <row r="7222" spans="1:1" x14ac:dyDescent="0.25">
      <c r="A7222" t="s">
        <v>7305</v>
      </c>
    </row>
    <row r="7223" spans="1:1" x14ac:dyDescent="0.25">
      <c r="A7223" t="s">
        <v>7306</v>
      </c>
    </row>
    <row r="7224" spans="1:1" x14ac:dyDescent="0.25">
      <c r="A7224" t="s">
        <v>7307</v>
      </c>
    </row>
    <row r="7225" spans="1:1" x14ac:dyDescent="0.25">
      <c r="A7225" t="s">
        <v>7308</v>
      </c>
    </row>
    <row r="7226" spans="1:1" x14ac:dyDescent="0.25">
      <c r="A7226" t="s">
        <v>7309</v>
      </c>
    </row>
    <row r="7227" spans="1:1" x14ac:dyDescent="0.25">
      <c r="A7227" t="s">
        <v>7310</v>
      </c>
    </row>
    <row r="7228" spans="1:1" x14ac:dyDescent="0.25">
      <c r="A7228" t="s">
        <v>7210</v>
      </c>
    </row>
    <row r="7229" spans="1:1" x14ac:dyDescent="0.25">
      <c r="A7229" t="s">
        <v>3285</v>
      </c>
    </row>
    <row r="7230" spans="1:1" x14ac:dyDescent="0.25">
      <c r="A7230" t="s">
        <v>7311</v>
      </c>
    </row>
    <row r="7231" spans="1:1" x14ac:dyDescent="0.25">
      <c r="A7231" t="s">
        <v>3287</v>
      </c>
    </row>
    <row r="7232" spans="1:1" x14ac:dyDescent="0.25">
      <c r="A7232" t="s">
        <v>7212</v>
      </c>
    </row>
    <row r="7233" spans="1:1" x14ac:dyDescent="0.25">
      <c r="A7233" t="s">
        <v>6869</v>
      </c>
    </row>
    <row r="7234" spans="1:1" x14ac:dyDescent="0.25">
      <c r="A7234" t="s">
        <v>7312</v>
      </c>
    </row>
    <row r="7235" spans="1:1" x14ac:dyDescent="0.25">
      <c r="A7235" t="s">
        <v>6728</v>
      </c>
    </row>
    <row r="7237" spans="1:1" x14ac:dyDescent="0.25">
      <c r="A7237" t="s">
        <v>7313</v>
      </c>
    </row>
    <row r="7238" spans="1:1" x14ac:dyDescent="0.25">
      <c r="A7238" t="s">
        <v>7314</v>
      </c>
    </row>
    <row r="7239" spans="1:1" x14ac:dyDescent="0.25">
      <c r="A7239" t="s">
        <v>7315</v>
      </c>
    </row>
    <row r="7240" spans="1:1" x14ac:dyDescent="0.25">
      <c r="A7240" t="s">
        <v>7316</v>
      </c>
    </row>
    <row r="7241" spans="1:1" x14ac:dyDescent="0.25">
      <c r="A7241" t="s">
        <v>7317</v>
      </c>
    </row>
    <row r="7243" spans="1:1" x14ac:dyDescent="0.25">
      <c r="A7243" t="s">
        <v>7318</v>
      </c>
    </row>
    <row r="7244" spans="1:1" x14ac:dyDescent="0.25">
      <c r="A7244" t="s">
        <v>7319</v>
      </c>
    </row>
    <row r="7245" spans="1:1" x14ac:dyDescent="0.25">
      <c r="A7245" t="s">
        <v>7320</v>
      </c>
    </row>
    <row r="7247" spans="1:1" x14ac:dyDescent="0.25">
      <c r="A7247" t="s">
        <v>7321</v>
      </c>
    </row>
    <row r="7248" spans="1:1" x14ac:dyDescent="0.25">
      <c r="A7248" t="s">
        <v>7322</v>
      </c>
    </row>
    <row r="7249" spans="1:1" x14ac:dyDescent="0.25">
      <c r="A7249" t="s">
        <v>7323</v>
      </c>
    </row>
    <row r="7250" spans="1:1" x14ac:dyDescent="0.25">
      <c r="A7250" t="s">
        <v>7324</v>
      </c>
    </row>
    <row r="7251" spans="1:1" x14ac:dyDescent="0.25">
      <c r="A7251" t="s">
        <v>7325</v>
      </c>
    </row>
    <row r="7252" spans="1:1" x14ac:dyDescent="0.25">
      <c r="A7252" t="s">
        <v>7326</v>
      </c>
    </row>
    <row r="7253" spans="1:1" x14ac:dyDescent="0.25">
      <c r="A7253" t="s">
        <v>7327</v>
      </c>
    </row>
    <row r="7254" spans="1:1" x14ac:dyDescent="0.25">
      <c r="A7254" t="s">
        <v>7328</v>
      </c>
    </row>
    <row r="7255" spans="1:1" x14ac:dyDescent="0.25">
      <c r="A7255" t="s">
        <v>7329</v>
      </c>
    </row>
    <row r="7256" spans="1:1" x14ac:dyDescent="0.25">
      <c r="A7256" t="s">
        <v>7330</v>
      </c>
    </row>
    <row r="7257" spans="1:1" x14ac:dyDescent="0.25">
      <c r="A7257" t="s">
        <v>7331</v>
      </c>
    </row>
    <row r="7258" spans="1:1" x14ac:dyDescent="0.25">
      <c r="A7258" t="s">
        <v>7332</v>
      </c>
    </row>
    <row r="7259" spans="1:1" x14ac:dyDescent="0.25">
      <c r="A7259" t="s">
        <v>7333</v>
      </c>
    </row>
    <row r="7260" spans="1:1" x14ac:dyDescent="0.25">
      <c r="A7260" t="s">
        <v>7334</v>
      </c>
    </row>
    <row r="7261" spans="1:1" x14ac:dyDescent="0.25">
      <c r="A7261" t="s">
        <v>7335</v>
      </c>
    </row>
    <row r="7262" spans="1:1" x14ac:dyDescent="0.25">
      <c r="A7262" t="s">
        <v>7336</v>
      </c>
    </row>
    <row r="7263" spans="1:1" x14ac:dyDescent="0.25">
      <c r="A7263" t="s">
        <v>7337</v>
      </c>
    </row>
    <row r="7264" spans="1:1" x14ac:dyDescent="0.25">
      <c r="A7264" t="s">
        <v>7338</v>
      </c>
    </row>
    <row r="7265" spans="1:1" x14ac:dyDescent="0.25">
      <c r="A7265" t="s">
        <v>7339</v>
      </c>
    </row>
    <row r="7266" spans="1:1" x14ac:dyDescent="0.25">
      <c r="A7266" t="s">
        <v>6880</v>
      </c>
    </row>
    <row r="7267" spans="1:1" x14ac:dyDescent="0.25">
      <c r="A7267" t="s">
        <v>2712</v>
      </c>
    </row>
    <row r="7268" spans="1:1" x14ac:dyDescent="0.25">
      <c r="A7268" t="s">
        <v>7340</v>
      </c>
    </row>
    <row r="7269" spans="1:1" x14ac:dyDescent="0.25">
      <c r="A7269" t="s">
        <v>7341</v>
      </c>
    </row>
    <row r="7270" spans="1:1" x14ac:dyDescent="0.25">
      <c r="A7270" t="s">
        <v>7342</v>
      </c>
    </row>
    <row r="7271" spans="1:1" x14ac:dyDescent="0.25">
      <c r="A7271" t="s">
        <v>2715</v>
      </c>
    </row>
    <row r="7272" spans="1:1" x14ac:dyDescent="0.25">
      <c r="A7272" t="s">
        <v>7343</v>
      </c>
    </row>
    <row r="7273" spans="1:1" x14ac:dyDescent="0.25">
      <c r="A7273" t="e" cm="1">
        <f t="array" ref="A7273">- DEUDA: CMR</f>
        <v>#NAME?</v>
      </c>
    </row>
    <row r="7274" spans="1:1" x14ac:dyDescent="0.25">
      <c r="A7274" t="s">
        <v>7344</v>
      </c>
    </row>
    <row r="7276" spans="1:1" x14ac:dyDescent="0.25">
      <c r="A7276" t="s">
        <v>7345</v>
      </c>
    </row>
    <row r="7277" spans="1:1" x14ac:dyDescent="0.25">
      <c r="A7277" t="s">
        <v>7346</v>
      </c>
    </row>
    <row r="7278" spans="1:1" x14ac:dyDescent="0.25">
      <c r="A7278" t="s">
        <v>7347</v>
      </c>
    </row>
    <row r="7279" spans="1:1" x14ac:dyDescent="0.25">
      <c r="A7279" t="s">
        <v>7348</v>
      </c>
    </row>
    <row r="7280" spans="1:1" x14ac:dyDescent="0.25">
      <c r="A7280" t="s">
        <v>7349</v>
      </c>
    </row>
    <row r="7281" spans="1:1" x14ac:dyDescent="0.25">
      <c r="A7281" t="s">
        <v>7350</v>
      </c>
    </row>
    <row r="7282" spans="1:1" x14ac:dyDescent="0.25">
      <c r="A7282" t="s">
        <v>7351</v>
      </c>
    </row>
    <row r="7283" spans="1:1" x14ac:dyDescent="0.25">
      <c r="A7283" t="s">
        <v>7352</v>
      </c>
    </row>
    <row r="7284" spans="1:1" x14ac:dyDescent="0.25">
      <c r="A7284" t="s">
        <v>7353</v>
      </c>
    </row>
    <row r="7285" spans="1:1" x14ac:dyDescent="0.25">
      <c r="A7285" t="s">
        <v>7354</v>
      </c>
    </row>
    <row r="7286" spans="1:1" x14ac:dyDescent="0.25">
      <c r="A7286" t="s">
        <v>7355</v>
      </c>
    </row>
    <row r="7287" spans="1:1" x14ac:dyDescent="0.25">
      <c r="A7287" t="s">
        <v>7356</v>
      </c>
    </row>
    <row r="7288" spans="1:1" x14ac:dyDescent="0.25">
      <c r="A7288" t="s">
        <v>7357</v>
      </c>
    </row>
    <row r="7289" spans="1:1" x14ac:dyDescent="0.25">
      <c r="A7289" t="s">
        <v>7358</v>
      </c>
    </row>
    <row r="7290" spans="1:1" x14ac:dyDescent="0.25">
      <c r="A7290" t="s">
        <v>3284</v>
      </c>
    </row>
    <row r="7291" spans="1:1" x14ac:dyDescent="0.25">
      <c r="A7291" t="s">
        <v>3285</v>
      </c>
    </row>
    <row r="7292" spans="1:1" x14ac:dyDescent="0.25">
      <c r="A7292" t="s">
        <v>7359</v>
      </c>
    </row>
    <row r="7293" spans="1:1" x14ac:dyDescent="0.25">
      <c r="A7293" t="s">
        <v>3287</v>
      </c>
    </row>
    <row r="7294" spans="1:1" x14ac:dyDescent="0.25">
      <c r="A7294" t="s">
        <v>6726</v>
      </c>
    </row>
    <row r="7295" spans="1:1" x14ac:dyDescent="0.25">
      <c r="A7295" t="s">
        <v>7360</v>
      </c>
    </row>
    <row r="7296" spans="1:1" x14ac:dyDescent="0.25">
      <c r="A7296" t="s">
        <v>7361</v>
      </c>
    </row>
    <row r="7297" spans="1:4" x14ac:dyDescent="0.25">
      <c r="A7297" t="s">
        <v>7362</v>
      </c>
    </row>
    <row r="7298" spans="1:4" x14ac:dyDescent="0.25">
      <c r="A7298" t="s">
        <v>7363</v>
      </c>
    </row>
    <row r="7299" spans="1:4" x14ac:dyDescent="0.25">
      <c r="A7299" t="s">
        <v>7364</v>
      </c>
    </row>
    <row r="7300" spans="1:4" x14ac:dyDescent="0.25">
      <c r="A7300" t="s">
        <v>7365</v>
      </c>
    </row>
    <row r="7301" spans="1:4" x14ac:dyDescent="0.25">
      <c r="A7301" t="s">
        <v>7366</v>
      </c>
    </row>
    <row r="7302" spans="1:4" x14ac:dyDescent="0.25">
      <c r="A7302" t="s">
        <v>7367</v>
      </c>
    </row>
    <row r="7303" spans="1:4" x14ac:dyDescent="0.25">
      <c r="A7303" t="s">
        <v>7368</v>
      </c>
    </row>
    <row r="7304" spans="1:4" x14ac:dyDescent="0.25">
      <c r="A7304" t="s">
        <v>7369</v>
      </c>
    </row>
    <row r="7305" spans="1:4" x14ac:dyDescent="0.25">
      <c r="A7305" t="s">
        <v>7370</v>
      </c>
    </row>
    <row r="7306" spans="1:4" x14ac:dyDescent="0.25">
      <c r="A7306" t="s">
        <v>7371</v>
      </c>
    </row>
    <row r="7307" spans="1:4" x14ac:dyDescent="0.25">
      <c r="A7307" t="s">
        <v>7372</v>
      </c>
    </row>
    <row r="7308" spans="1:4" x14ac:dyDescent="0.25">
      <c r="A7308" t="s">
        <v>6763</v>
      </c>
    </row>
    <row r="7309" spans="1:4" x14ac:dyDescent="0.25">
      <c r="A7309" t="s">
        <v>7373</v>
      </c>
    </row>
    <row r="7310" spans="1:4" x14ac:dyDescent="0.25">
      <c r="A7310" t="s">
        <v>6860</v>
      </c>
    </row>
    <row r="7311" spans="1:4" x14ac:dyDescent="0.25">
      <c r="A7311" t="s">
        <v>7374</v>
      </c>
      <c r="B7311">
        <v>201909</v>
      </c>
      <c r="C7311" t="s">
        <v>2014</v>
      </c>
      <c r="D7311" t="s">
        <v>7375</v>
      </c>
    </row>
    <row r="7312" spans="1:4" x14ac:dyDescent="0.25">
      <c r="A7312" t="s">
        <v>7376</v>
      </c>
    </row>
    <row r="7313" spans="1:1" x14ac:dyDescent="0.25">
      <c r="A7313" t="s">
        <v>7377</v>
      </c>
    </row>
    <row r="7314" spans="1:1" x14ac:dyDescent="0.25">
      <c r="A7314" t="s">
        <v>7378</v>
      </c>
    </row>
    <row r="7315" spans="1:1" x14ac:dyDescent="0.25">
      <c r="A7315" t="s">
        <v>7379</v>
      </c>
    </row>
    <row r="7316" spans="1:1" x14ac:dyDescent="0.25">
      <c r="A7316" t="s">
        <v>7380</v>
      </c>
    </row>
    <row r="7317" spans="1:1" x14ac:dyDescent="0.25">
      <c r="A7317" t="s">
        <v>7381</v>
      </c>
    </row>
    <row r="7318" spans="1:1" x14ac:dyDescent="0.25">
      <c r="A7318" t="s">
        <v>7382</v>
      </c>
    </row>
    <row r="7319" spans="1:1" x14ac:dyDescent="0.25">
      <c r="A7319" t="s">
        <v>7383</v>
      </c>
    </row>
    <row r="7320" spans="1:1" x14ac:dyDescent="0.25">
      <c r="A7320" t="s">
        <v>7384</v>
      </c>
    </row>
    <row r="7321" spans="1:1" x14ac:dyDescent="0.25">
      <c r="A7321" t="s">
        <v>7381</v>
      </c>
    </row>
    <row r="7322" spans="1:1" x14ac:dyDescent="0.25">
      <c r="A7322" t="s">
        <v>7385</v>
      </c>
    </row>
    <row r="7323" spans="1:1" x14ac:dyDescent="0.25">
      <c r="A7323" t="s">
        <v>7386</v>
      </c>
    </row>
    <row r="7324" spans="1:1" x14ac:dyDescent="0.25">
      <c r="A7324" t="s">
        <v>7387</v>
      </c>
    </row>
    <row r="7325" spans="1:1" x14ac:dyDescent="0.25">
      <c r="A7325" t="s">
        <v>7388</v>
      </c>
    </row>
    <row r="7326" spans="1:1" x14ac:dyDescent="0.25">
      <c r="A7326" t="s">
        <v>7389</v>
      </c>
    </row>
    <row r="7327" spans="1:1" x14ac:dyDescent="0.25">
      <c r="A7327" t="s">
        <v>7390</v>
      </c>
    </row>
    <row r="7328" spans="1:1" x14ac:dyDescent="0.25">
      <c r="A7328" t="s">
        <v>6991</v>
      </c>
    </row>
    <row r="7329" spans="1:1" x14ac:dyDescent="0.25">
      <c r="A7329" t="s">
        <v>7391</v>
      </c>
    </row>
    <row r="7330" spans="1:1" x14ac:dyDescent="0.25">
      <c r="A7330" t="s">
        <v>3287</v>
      </c>
    </row>
    <row r="7331" spans="1:1" x14ac:dyDescent="0.25">
      <c r="A7331" t="s">
        <v>7392</v>
      </c>
    </row>
    <row r="7332" spans="1:1" x14ac:dyDescent="0.25">
      <c r="A7332" t="s">
        <v>7393</v>
      </c>
    </row>
    <row r="7333" spans="1:1" x14ac:dyDescent="0.25">
      <c r="A7333" t="s">
        <v>7394</v>
      </c>
    </row>
    <row r="7334" spans="1:1" x14ac:dyDescent="0.25">
      <c r="A7334" t="s">
        <v>7395</v>
      </c>
    </row>
    <row r="7335" spans="1:1" x14ac:dyDescent="0.25">
      <c r="A7335" t="s">
        <v>7396</v>
      </c>
    </row>
    <row r="7336" spans="1:1" x14ac:dyDescent="0.25">
      <c r="A7336" t="s">
        <v>7397</v>
      </c>
    </row>
    <row r="7337" spans="1:1" x14ac:dyDescent="0.25">
      <c r="A7337" t="s">
        <v>7398</v>
      </c>
    </row>
    <row r="7339" spans="1:1" x14ac:dyDescent="0.25">
      <c r="A7339" t="s">
        <v>7399</v>
      </c>
    </row>
    <row r="7340" spans="1:1" x14ac:dyDescent="0.25">
      <c r="A7340" t="s">
        <v>7400</v>
      </c>
    </row>
    <row r="7341" spans="1:1" x14ac:dyDescent="0.25">
      <c r="A7341" t="s">
        <v>7401</v>
      </c>
    </row>
    <row r="7342" spans="1:1" x14ac:dyDescent="0.25">
      <c r="A7342" t="s">
        <v>7402</v>
      </c>
    </row>
    <row r="7343" spans="1:1" x14ac:dyDescent="0.25">
      <c r="A7343" t="s">
        <v>7403</v>
      </c>
    </row>
    <row r="7344" spans="1:1" x14ac:dyDescent="0.25">
      <c r="A7344" t="s">
        <v>7404</v>
      </c>
    </row>
    <row r="7345" spans="1:1" x14ac:dyDescent="0.25">
      <c r="A7345" t="s">
        <v>7399</v>
      </c>
    </row>
    <row r="7346" spans="1:1" x14ac:dyDescent="0.25">
      <c r="A7346" t="s">
        <v>7405</v>
      </c>
    </row>
    <row r="7347" spans="1:1" x14ac:dyDescent="0.25">
      <c r="A7347" t="s">
        <v>7406</v>
      </c>
    </row>
    <row r="7348" spans="1:1" x14ac:dyDescent="0.25">
      <c r="A7348" t="s">
        <v>7407</v>
      </c>
    </row>
    <row r="7349" spans="1:1" x14ac:dyDescent="0.25">
      <c r="A7349" t="s">
        <v>7408</v>
      </c>
    </row>
    <row r="7350" spans="1:1" x14ac:dyDescent="0.25">
      <c r="A7350" t="s">
        <v>7409</v>
      </c>
    </row>
    <row r="7352" spans="1:1" x14ac:dyDescent="0.25">
      <c r="A7352" t="s">
        <v>7410</v>
      </c>
    </row>
    <row r="7353" spans="1:1" x14ac:dyDescent="0.25">
      <c r="A7353" t="s">
        <v>7411</v>
      </c>
    </row>
    <row r="7354" spans="1:1" x14ac:dyDescent="0.25">
      <c r="A7354" t="s">
        <v>7412</v>
      </c>
    </row>
    <row r="7355" spans="1:1" x14ac:dyDescent="0.25">
      <c r="A7355" t="s">
        <v>7413</v>
      </c>
    </row>
    <row r="7356" spans="1:1" x14ac:dyDescent="0.25">
      <c r="A7356" t="s">
        <v>7140</v>
      </c>
    </row>
    <row r="7357" spans="1:1" x14ac:dyDescent="0.25">
      <c r="A7357" t="s">
        <v>7414</v>
      </c>
    </row>
    <row r="7359" spans="1:1" x14ac:dyDescent="0.25">
      <c r="A7359" t="s">
        <v>7415</v>
      </c>
    </row>
    <row r="7360" spans="1:1" x14ac:dyDescent="0.25">
      <c r="A7360" t="s">
        <v>7416</v>
      </c>
    </row>
    <row r="7361" spans="1:1" x14ac:dyDescent="0.25">
      <c r="A7361" t="s">
        <v>7417</v>
      </c>
    </row>
    <row r="7362" spans="1:1" x14ac:dyDescent="0.25">
      <c r="A7362" t="s">
        <v>7418</v>
      </c>
    </row>
    <row r="7363" spans="1:1" x14ac:dyDescent="0.25">
      <c r="A7363" t="s">
        <v>7419</v>
      </c>
    </row>
    <row r="7364" spans="1:1" x14ac:dyDescent="0.25">
      <c r="A7364" t="s">
        <v>7420</v>
      </c>
    </row>
    <row r="7365" spans="1:1" x14ac:dyDescent="0.25">
      <c r="A7365" t="s">
        <v>7421</v>
      </c>
    </row>
    <row r="7366" spans="1:1" x14ac:dyDescent="0.25">
      <c r="A7366" t="s">
        <v>7422</v>
      </c>
    </row>
    <row r="7367" spans="1:1" x14ac:dyDescent="0.25">
      <c r="A7367" t="s">
        <v>7423</v>
      </c>
    </row>
    <row r="7368" spans="1:1" x14ac:dyDescent="0.25">
      <c r="A7368" t="s">
        <v>7424</v>
      </c>
    </row>
    <row r="7369" spans="1:1" x14ac:dyDescent="0.25">
      <c r="A7369" t="s">
        <v>7425</v>
      </c>
    </row>
    <row r="7370" spans="1:1" x14ac:dyDescent="0.25">
      <c r="A7370" t="s">
        <v>7426</v>
      </c>
    </row>
    <row r="7371" spans="1:1" x14ac:dyDescent="0.25">
      <c r="A7371" t="s">
        <v>7427</v>
      </c>
    </row>
    <row r="7372" spans="1:1" x14ac:dyDescent="0.25">
      <c r="A7372" t="s">
        <v>7428</v>
      </c>
    </row>
    <row r="7373" spans="1:1" x14ac:dyDescent="0.25">
      <c r="A7373" t="s">
        <v>7429</v>
      </c>
    </row>
    <row r="7374" spans="1:1" x14ac:dyDescent="0.25">
      <c r="A7374" t="s">
        <v>7430</v>
      </c>
    </row>
    <row r="7375" spans="1:1" x14ac:dyDescent="0.25">
      <c r="A7375" t="s">
        <v>7431</v>
      </c>
    </row>
    <row r="7376" spans="1:1" x14ac:dyDescent="0.25">
      <c r="A7376" t="s">
        <v>7425</v>
      </c>
    </row>
    <row r="7377" spans="1:1" x14ac:dyDescent="0.25">
      <c r="A7377" t="s">
        <v>7426</v>
      </c>
    </row>
    <row r="7378" spans="1:1" x14ac:dyDescent="0.25">
      <c r="A7378" t="s">
        <v>7427</v>
      </c>
    </row>
    <row r="7379" spans="1:1" x14ac:dyDescent="0.25">
      <c r="A7379" t="s">
        <v>1342</v>
      </c>
    </row>
    <row r="7380" spans="1:1" x14ac:dyDescent="0.25">
      <c r="A7380" t="s">
        <v>7432</v>
      </c>
    </row>
    <row r="7381" spans="1:1" x14ac:dyDescent="0.25">
      <c r="A7381" t="s">
        <v>7433</v>
      </c>
    </row>
    <row r="7382" spans="1:1" x14ac:dyDescent="0.25">
      <c r="A7382" t="s">
        <v>7434</v>
      </c>
    </row>
    <row r="7383" spans="1:1" x14ac:dyDescent="0.25">
      <c r="A7383" t="s">
        <v>7435</v>
      </c>
    </row>
    <row r="7384" spans="1:1" x14ac:dyDescent="0.25">
      <c r="A7384" t="s">
        <v>7436</v>
      </c>
    </row>
    <row r="7385" spans="1:1" x14ac:dyDescent="0.25">
      <c r="A7385" t="s">
        <v>7437</v>
      </c>
    </row>
    <row r="7386" spans="1:1" x14ac:dyDescent="0.25">
      <c r="A7386" t="s">
        <v>7438</v>
      </c>
    </row>
    <row r="7387" spans="1:1" x14ac:dyDescent="0.25">
      <c r="A7387" t="s">
        <v>1434</v>
      </c>
    </row>
    <row r="7388" spans="1:1" x14ac:dyDescent="0.25">
      <c r="A7388" t="s">
        <v>7439</v>
      </c>
    </row>
    <row r="7389" spans="1:1" x14ac:dyDescent="0.25">
      <c r="A7389" t="s">
        <v>7440</v>
      </c>
    </row>
    <row r="7390" spans="1:1" x14ac:dyDescent="0.25">
      <c r="A7390" t="s">
        <v>7441</v>
      </c>
    </row>
    <row r="7391" spans="1:1" x14ac:dyDescent="0.25">
      <c r="A7391" t="s">
        <v>7442</v>
      </c>
    </row>
    <row r="7392" spans="1:1" x14ac:dyDescent="0.25">
      <c r="A7392" t="s">
        <v>7443</v>
      </c>
    </row>
    <row r="7393" spans="1:4" x14ac:dyDescent="0.25">
      <c r="A7393" t="s">
        <v>7444</v>
      </c>
      <c r="B7393">
        <v>201906</v>
      </c>
      <c r="C7393" t="s">
        <v>7445</v>
      </c>
      <c r="D7393" t="s">
        <v>7446</v>
      </c>
    </row>
    <row r="7394" spans="1:4" x14ac:dyDescent="0.25">
      <c r="A7394" t="s">
        <v>2403</v>
      </c>
    </row>
    <row r="7395" spans="1:4" x14ac:dyDescent="0.25">
      <c r="A7395" t="s">
        <v>7447</v>
      </c>
    </row>
    <row r="7396" spans="1:4" x14ac:dyDescent="0.25">
      <c r="A7396" t="s">
        <v>7448</v>
      </c>
    </row>
    <row r="7397" spans="1:4" x14ac:dyDescent="0.25">
      <c r="A7397" t="s">
        <v>7449</v>
      </c>
    </row>
    <row r="7398" spans="1:4" x14ac:dyDescent="0.25">
      <c r="A7398" t="s">
        <v>6991</v>
      </c>
    </row>
    <row r="7399" spans="1:4" x14ac:dyDescent="0.25">
      <c r="A7399" t="s">
        <v>7450</v>
      </c>
    </row>
    <row r="7400" spans="1:4" x14ac:dyDescent="0.25">
      <c r="A7400" t="s">
        <v>3287</v>
      </c>
    </row>
    <row r="7401" spans="1:4" x14ac:dyDescent="0.25">
      <c r="A7401" t="s">
        <v>6993</v>
      </c>
    </row>
    <row r="7402" spans="1:4" x14ac:dyDescent="0.25">
      <c r="A7402" t="s">
        <v>2731</v>
      </c>
    </row>
    <row r="7403" spans="1:4" x14ac:dyDescent="0.25">
      <c r="A7403" t="s">
        <v>7451</v>
      </c>
    </row>
    <row r="7404" spans="1:4" x14ac:dyDescent="0.25">
      <c r="A7404" t="s">
        <v>7233</v>
      </c>
    </row>
    <row r="7405" spans="1:4" x14ac:dyDescent="0.25">
      <c r="A7405" t="s">
        <v>2403</v>
      </c>
    </row>
    <row r="7406" spans="1:4" x14ac:dyDescent="0.25">
      <c r="A7406" t="s">
        <v>7452</v>
      </c>
    </row>
    <row r="7408" spans="1:4" x14ac:dyDescent="0.25">
      <c r="A7408" t="s">
        <v>7453</v>
      </c>
    </row>
    <row r="7409" spans="1:1" x14ac:dyDescent="0.25">
      <c r="A7409" t="s">
        <v>7454</v>
      </c>
    </row>
    <row r="7410" spans="1:1" x14ac:dyDescent="0.25">
      <c r="A7410" t="s">
        <v>7455</v>
      </c>
    </row>
    <row r="7411" spans="1:1" x14ac:dyDescent="0.25">
      <c r="A7411" t="s">
        <v>7456</v>
      </c>
    </row>
    <row r="7412" spans="1:1" x14ac:dyDescent="0.25">
      <c r="A7412" t="s">
        <v>7457</v>
      </c>
    </row>
    <row r="7413" spans="1:1" x14ac:dyDescent="0.25">
      <c r="A7413" t="s">
        <v>7458</v>
      </c>
    </row>
    <row r="7414" spans="1:1" x14ac:dyDescent="0.25">
      <c r="A7414" t="s">
        <v>7459</v>
      </c>
    </row>
    <row r="7415" spans="1:1" x14ac:dyDescent="0.25">
      <c r="A7415" t="s">
        <v>7460</v>
      </c>
    </row>
    <row r="7416" spans="1:1" x14ac:dyDescent="0.25">
      <c r="A7416" t="s">
        <v>7461</v>
      </c>
    </row>
    <row r="7417" spans="1:1" x14ac:dyDescent="0.25">
      <c r="A7417" t="s">
        <v>7462</v>
      </c>
    </row>
    <row r="7418" spans="1:1" x14ac:dyDescent="0.25">
      <c r="A7418" t="s">
        <v>7463</v>
      </c>
    </row>
    <row r="7419" spans="1:1" x14ac:dyDescent="0.25">
      <c r="A7419" t="s">
        <v>7464</v>
      </c>
    </row>
    <row r="7420" spans="1:1" x14ac:dyDescent="0.25">
      <c r="A7420" t="s">
        <v>7465</v>
      </c>
    </row>
    <row r="7421" spans="1:1" x14ac:dyDescent="0.25">
      <c r="A7421" t="s">
        <v>7466</v>
      </c>
    </row>
    <row r="7422" spans="1:1" x14ac:dyDescent="0.25">
      <c r="A7422" t="s">
        <v>7467</v>
      </c>
    </row>
    <row r="7423" spans="1:1" x14ac:dyDescent="0.25">
      <c r="A7423" t="s">
        <v>7468</v>
      </c>
    </row>
    <row r="7424" spans="1:1" x14ac:dyDescent="0.25">
      <c r="A7424" t="s">
        <v>7469</v>
      </c>
    </row>
    <row r="7425" spans="1:6" x14ac:dyDescent="0.25">
      <c r="A7425" t="s">
        <v>7470</v>
      </c>
    </row>
    <row r="7426" spans="1:6" x14ac:dyDescent="0.25">
      <c r="A7426" t="s">
        <v>7471</v>
      </c>
    </row>
    <row r="7427" spans="1:6" x14ac:dyDescent="0.25">
      <c r="A7427" t="s">
        <v>7472</v>
      </c>
    </row>
    <row r="7428" spans="1:6" x14ac:dyDescent="0.25">
      <c r="A7428" t="s">
        <v>7473</v>
      </c>
    </row>
    <row r="7429" spans="1:6" x14ac:dyDescent="0.25">
      <c r="A7429" t="s">
        <v>7474</v>
      </c>
    </row>
    <row r="7430" spans="1:6" x14ac:dyDescent="0.25">
      <c r="A7430" t="s">
        <v>7475</v>
      </c>
    </row>
    <row r="7431" spans="1:6" x14ac:dyDescent="0.25">
      <c r="A7431" t="s">
        <v>7476</v>
      </c>
    </row>
    <row r="7432" spans="1:6" x14ac:dyDescent="0.25">
      <c r="A7432" t="s">
        <v>7477</v>
      </c>
    </row>
    <row r="7433" spans="1:6" x14ac:dyDescent="0.25">
      <c r="A7433" t="s">
        <v>7478</v>
      </c>
    </row>
    <row r="7434" spans="1:6" x14ac:dyDescent="0.25">
      <c r="A7434" t="s">
        <v>7479</v>
      </c>
    </row>
    <row r="7435" spans="1:6" x14ac:dyDescent="0.25">
      <c r="A7435" t="s">
        <v>7480</v>
      </c>
    </row>
    <row r="7436" spans="1:6" x14ac:dyDescent="0.25">
      <c r="A7436" t="s">
        <v>7481</v>
      </c>
    </row>
    <row r="7437" spans="1:6" x14ac:dyDescent="0.25">
      <c r="A7437" t="s">
        <v>3926</v>
      </c>
    </row>
    <row r="7438" spans="1:6" x14ac:dyDescent="0.25">
      <c r="B7438" t="s">
        <v>3927</v>
      </c>
      <c r="C7438">
        <v>4366.3900000000003</v>
      </c>
      <c r="D7438" s="55">
        <v>43830</v>
      </c>
      <c r="E7438">
        <v>1</v>
      </c>
      <c r="F7438">
        <v>0</v>
      </c>
    </row>
    <row r="7439" spans="1:6" x14ac:dyDescent="0.25">
      <c r="A7439">
        <v>2</v>
      </c>
      <c r="B7439" t="s">
        <v>3928</v>
      </c>
      <c r="C7439">
        <v>1546.07</v>
      </c>
      <c r="D7439" s="55">
        <v>43830</v>
      </c>
      <c r="E7439">
        <v>1</v>
      </c>
      <c r="F7439">
        <v>0</v>
      </c>
    </row>
    <row r="7440" spans="1:6" x14ac:dyDescent="0.25">
      <c r="A7440" t="s">
        <v>3929</v>
      </c>
      <c r="B7440">
        <v>5912.46</v>
      </c>
    </row>
    <row r="7441" spans="1:6" x14ac:dyDescent="0.25">
      <c r="A7441" t="s">
        <v>7482</v>
      </c>
    </row>
    <row r="7442" spans="1:6" x14ac:dyDescent="0.25">
      <c r="A7442" t="s">
        <v>7483</v>
      </c>
    </row>
    <row r="7443" spans="1:6" x14ac:dyDescent="0.25">
      <c r="A7443" t="s">
        <v>7484</v>
      </c>
    </row>
    <row r="7444" spans="1:6" x14ac:dyDescent="0.25">
      <c r="A7444" t="s">
        <v>7485</v>
      </c>
    </row>
    <row r="7445" spans="1:6" x14ac:dyDescent="0.25">
      <c r="A7445" t="s">
        <v>7486</v>
      </c>
    </row>
    <row r="7446" spans="1:6" x14ac:dyDescent="0.25">
      <c r="A7446" t="s">
        <v>7487</v>
      </c>
    </row>
    <row r="7447" spans="1:6" x14ac:dyDescent="0.25">
      <c r="A7447" t="s">
        <v>6755</v>
      </c>
    </row>
    <row r="7448" spans="1:6" x14ac:dyDescent="0.25">
      <c r="A7448" t="s">
        <v>7488</v>
      </c>
      <c r="B7448">
        <v>-5031.3599999999997</v>
      </c>
    </row>
    <row r="7450" spans="1:6" x14ac:dyDescent="0.25">
      <c r="A7450" t="s">
        <v>7489</v>
      </c>
    </row>
    <row r="7451" spans="1:6" x14ac:dyDescent="0.25">
      <c r="A7451" t="s">
        <v>7490</v>
      </c>
    </row>
    <row r="7452" spans="1:6" x14ac:dyDescent="0.25">
      <c r="A7452" t="s">
        <v>7491</v>
      </c>
    </row>
    <row r="7453" spans="1:6" x14ac:dyDescent="0.25">
      <c r="A7453" t="s">
        <v>7492</v>
      </c>
    </row>
    <row r="7454" spans="1:6" x14ac:dyDescent="0.25">
      <c r="A7454">
        <v>1</v>
      </c>
      <c r="B7454" t="s">
        <v>7493</v>
      </c>
      <c r="C7454">
        <v>11379.21</v>
      </c>
      <c r="D7454" s="55">
        <v>43830</v>
      </c>
      <c r="E7454">
        <v>5</v>
      </c>
      <c r="F7454">
        <v>763</v>
      </c>
    </row>
    <row r="7455" spans="1:6" x14ac:dyDescent="0.25">
      <c r="A7455">
        <v>2</v>
      </c>
      <c r="B7455" t="s">
        <v>7494</v>
      </c>
      <c r="C7455">
        <v>282.57</v>
      </c>
      <c r="D7455" s="55">
        <v>43830</v>
      </c>
      <c r="E7455">
        <v>5</v>
      </c>
      <c r="F7455">
        <v>1192</v>
      </c>
    </row>
    <row r="7456" spans="1:6" x14ac:dyDescent="0.25">
      <c r="A7456" t="s">
        <v>3929</v>
      </c>
      <c r="B7456">
        <v>11661.78</v>
      </c>
    </row>
    <row r="7457" spans="1:4" x14ac:dyDescent="0.25">
      <c r="A7457" t="s">
        <v>7495</v>
      </c>
    </row>
    <row r="7458" spans="1:4" x14ac:dyDescent="0.25">
      <c r="A7458" t="s">
        <v>7496</v>
      </c>
      <c r="B7458">
        <v>201909</v>
      </c>
      <c r="C7458" t="s">
        <v>2014</v>
      </c>
      <c r="D7458" t="s">
        <v>7497</v>
      </c>
    </row>
    <row r="7459" spans="1:4" x14ac:dyDescent="0.25">
      <c r="A7459" t="s">
        <v>7498</v>
      </c>
    </row>
    <row r="7460" spans="1:4" x14ac:dyDescent="0.25">
      <c r="A7460" t="s">
        <v>7499</v>
      </c>
    </row>
    <row r="7461" spans="1:4" x14ac:dyDescent="0.25">
      <c r="A7461" t="s">
        <v>7500</v>
      </c>
    </row>
    <row r="7462" spans="1:4" x14ac:dyDescent="0.25">
      <c r="A7462" t="s">
        <v>7501</v>
      </c>
    </row>
    <row r="7463" spans="1:4" x14ac:dyDescent="0.25">
      <c r="A7463" t="s">
        <v>7502</v>
      </c>
    </row>
    <row r="7464" spans="1:4" x14ac:dyDescent="0.25">
      <c r="A7464" t="s">
        <v>7503</v>
      </c>
    </row>
    <row r="7465" spans="1:4" x14ac:dyDescent="0.25">
      <c r="A7465" t="s">
        <v>7504</v>
      </c>
    </row>
    <row r="7466" spans="1:4" x14ac:dyDescent="0.25">
      <c r="A7466" t="s">
        <v>7505</v>
      </c>
    </row>
    <row r="7467" spans="1:4" x14ac:dyDescent="0.25">
      <c r="A7467" t="s">
        <v>7506</v>
      </c>
    </row>
    <row r="7468" spans="1:4" x14ac:dyDescent="0.25">
      <c r="A7468" t="s">
        <v>7507</v>
      </c>
    </row>
    <row r="7469" spans="1:4" x14ac:dyDescent="0.25">
      <c r="A7469" t="s">
        <v>7508</v>
      </c>
    </row>
    <row r="7470" spans="1:4" x14ac:dyDescent="0.25">
      <c r="A7470" t="s">
        <v>7509</v>
      </c>
    </row>
    <row r="7471" spans="1:4" x14ac:dyDescent="0.25">
      <c r="A7471" t="s">
        <v>7510</v>
      </c>
    </row>
    <row r="7472" spans="1:4" x14ac:dyDescent="0.25">
      <c r="A7472" t="s">
        <v>7511</v>
      </c>
    </row>
    <row r="7473" spans="1:1" x14ac:dyDescent="0.25">
      <c r="A7473" t="s">
        <v>7512</v>
      </c>
    </row>
    <row r="7474" spans="1:1" x14ac:dyDescent="0.25">
      <c r="A7474" t="s">
        <v>7513</v>
      </c>
    </row>
    <row r="7475" spans="1:1" x14ac:dyDescent="0.25">
      <c r="A7475" t="s">
        <v>7514</v>
      </c>
    </row>
    <row r="7476" spans="1:1" x14ac:dyDescent="0.25">
      <c r="A7476" t="s">
        <v>7515</v>
      </c>
    </row>
    <row r="7477" spans="1:1" x14ac:dyDescent="0.25">
      <c r="A7477" t="s">
        <v>7516</v>
      </c>
    </row>
    <row r="7478" spans="1:1" x14ac:dyDescent="0.25">
      <c r="A7478" t="s">
        <v>7517</v>
      </c>
    </row>
    <row r="7479" spans="1:1" x14ac:dyDescent="0.25">
      <c r="A7479" t="s">
        <v>7518</v>
      </c>
    </row>
    <row r="7480" spans="1:1" x14ac:dyDescent="0.25">
      <c r="A7480" t="s">
        <v>7519</v>
      </c>
    </row>
    <row r="7481" spans="1:1" x14ac:dyDescent="0.25">
      <c r="A7481" t="s">
        <v>7520</v>
      </c>
    </row>
    <row r="7482" spans="1:1" x14ac:dyDescent="0.25">
      <c r="A7482" t="s">
        <v>7521</v>
      </c>
    </row>
    <row r="7483" spans="1:1" x14ac:dyDescent="0.25">
      <c r="A7483" t="s">
        <v>7522</v>
      </c>
    </row>
    <row r="7484" spans="1:1" x14ac:dyDescent="0.25">
      <c r="A7484" t="s">
        <v>7523</v>
      </c>
    </row>
    <row r="7485" spans="1:1" x14ac:dyDescent="0.25">
      <c r="A7485" t="s">
        <v>7524</v>
      </c>
    </row>
    <row r="7487" spans="1:1" x14ac:dyDescent="0.25">
      <c r="A7487" t="s">
        <v>7525</v>
      </c>
    </row>
    <row r="7489" spans="1:1" x14ac:dyDescent="0.25">
      <c r="A7489" t="s">
        <v>7526</v>
      </c>
    </row>
    <row r="7490" spans="1:1" x14ac:dyDescent="0.25">
      <c r="A7490" t="s">
        <v>7527</v>
      </c>
    </row>
    <row r="7491" spans="1:1" x14ac:dyDescent="0.25">
      <c r="A7491" t="s">
        <v>7523</v>
      </c>
    </row>
    <row r="7492" spans="1:1" x14ac:dyDescent="0.25">
      <c r="A7492" t="s">
        <v>7524</v>
      </c>
    </row>
    <row r="7494" spans="1:1" x14ac:dyDescent="0.25">
      <c r="A7494" t="s">
        <v>7525</v>
      </c>
    </row>
    <row r="7496" spans="1:1" x14ac:dyDescent="0.25">
      <c r="A7496" t="s">
        <v>7526</v>
      </c>
    </row>
    <row r="7497" spans="1:1" x14ac:dyDescent="0.25">
      <c r="A7497" t="s">
        <v>7527</v>
      </c>
    </row>
    <row r="7499" spans="1:1" x14ac:dyDescent="0.25">
      <c r="A7499" t="s">
        <v>7528</v>
      </c>
    </row>
    <row r="7500" spans="1:1" x14ac:dyDescent="0.25">
      <c r="A7500" t="s">
        <v>7529</v>
      </c>
    </row>
    <row r="7501" spans="1:1" x14ac:dyDescent="0.25">
      <c r="A7501" t="s">
        <v>7530</v>
      </c>
    </row>
    <row r="7502" spans="1:1" x14ac:dyDescent="0.25">
      <c r="A7502" t="s">
        <v>7529</v>
      </c>
    </row>
    <row r="7503" spans="1:1" x14ac:dyDescent="0.25">
      <c r="A7503" t="s">
        <v>7531</v>
      </c>
    </row>
    <row r="7504" spans="1:1" x14ac:dyDescent="0.25">
      <c r="A7504" t="s">
        <v>7532</v>
      </c>
    </row>
    <row r="7505" spans="1:1" x14ac:dyDescent="0.25">
      <c r="A7505" t="s">
        <v>7533</v>
      </c>
    </row>
    <row r="7506" spans="1:1" x14ac:dyDescent="0.25">
      <c r="A7506" t="s">
        <v>7534</v>
      </c>
    </row>
    <row r="7507" spans="1:1" x14ac:dyDescent="0.25">
      <c r="A7507" t="s">
        <v>7535</v>
      </c>
    </row>
    <row r="7508" spans="1:1" x14ac:dyDescent="0.25">
      <c r="A7508" t="s">
        <v>7536</v>
      </c>
    </row>
    <row r="7509" spans="1:1" x14ac:dyDescent="0.25">
      <c r="A7509" t="s">
        <v>7535</v>
      </c>
    </row>
    <row r="7510" spans="1:1" x14ac:dyDescent="0.25">
      <c r="A7510" t="s">
        <v>7537</v>
      </c>
    </row>
    <row r="7511" spans="1:1" x14ac:dyDescent="0.25">
      <c r="A7511" t="s">
        <v>7538</v>
      </c>
    </row>
    <row r="7512" spans="1:1" x14ac:dyDescent="0.25">
      <c r="A7512" t="s">
        <v>7530</v>
      </c>
    </row>
    <row r="7513" spans="1:1" x14ac:dyDescent="0.25">
      <c r="A7513" t="s">
        <v>7539</v>
      </c>
    </row>
    <row r="7514" spans="1:1" x14ac:dyDescent="0.25">
      <c r="A7514" t="s">
        <v>7540</v>
      </c>
    </row>
    <row r="7515" spans="1:1" x14ac:dyDescent="0.25">
      <c r="A7515" t="s">
        <v>7541</v>
      </c>
    </row>
    <row r="7516" spans="1:1" x14ac:dyDescent="0.25">
      <c r="A7516" t="s">
        <v>7542</v>
      </c>
    </row>
    <row r="7517" spans="1:1" x14ac:dyDescent="0.25">
      <c r="A7517" t="s">
        <v>6773</v>
      </c>
    </row>
    <row r="7518" spans="1:1" x14ac:dyDescent="0.25">
      <c r="A7518" t="s">
        <v>6991</v>
      </c>
    </row>
    <row r="7519" spans="1:1" x14ac:dyDescent="0.25">
      <c r="A7519" t="s">
        <v>7543</v>
      </c>
    </row>
    <row r="7520" spans="1:1" x14ac:dyDescent="0.25">
      <c r="A7520" t="s">
        <v>3287</v>
      </c>
    </row>
    <row r="7521" spans="1:1" x14ac:dyDescent="0.25">
      <c r="A7521" t="s">
        <v>6993</v>
      </c>
    </row>
    <row r="7522" spans="1:1" x14ac:dyDescent="0.25">
      <c r="A7522" t="s">
        <v>6680</v>
      </c>
    </row>
    <row r="7523" spans="1:1" x14ac:dyDescent="0.25">
      <c r="A7523" t="s">
        <v>7544</v>
      </c>
    </row>
    <row r="7524" spans="1:1" x14ac:dyDescent="0.25">
      <c r="A7524" t="s">
        <v>7233</v>
      </c>
    </row>
    <row r="7525" spans="1:1" x14ac:dyDescent="0.25">
      <c r="A7525" t="s">
        <v>7545</v>
      </c>
    </row>
    <row r="7526" spans="1:1" x14ac:dyDescent="0.25">
      <c r="A7526" t="s">
        <v>7546</v>
      </c>
    </row>
    <row r="7527" spans="1:1" x14ac:dyDescent="0.25">
      <c r="A7527" t="s">
        <v>7547</v>
      </c>
    </row>
    <row r="7528" spans="1:1" x14ac:dyDescent="0.25">
      <c r="A7528" t="s">
        <v>7548</v>
      </c>
    </row>
    <row r="7529" spans="1:1" x14ac:dyDescent="0.25">
      <c r="A7529" t="s">
        <v>7549</v>
      </c>
    </row>
    <row r="7530" spans="1:1" x14ac:dyDescent="0.25">
      <c r="A7530" t="s">
        <v>7550</v>
      </c>
    </row>
    <row r="7531" spans="1:1" x14ac:dyDescent="0.25">
      <c r="A7531" t="s">
        <v>7551</v>
      </c>
    </row>
    <row r="7532" spans="1:1" x14ac:dyDescent="0.25">
      <c r="A7532" t="s">
        <v>7552</v>
      </c>
    </row>
    <row r="7533" spans="1:1" x14ac:dyDescent="0.25">
      <c r="A7533" t="s">
        <v>7553</v>
      </c>
    </row>
    <row r="7534" spans="1:1" x14ac:dyDescent="0.25">
      <c r="A7534" t="s">
        <v>7554</v>
      </c>
    </row>
    <row r="7535" spans="1:1" x14ac:dyDescent="0.25">
      <c r="A7535" t="s">
        <v>7555</v>
      </c>
    </row>
    <row r="7536" spans="1:1" x14ac:dyDescent="0.25">
      <c r="A7536" t="s">
        <v>7556</v>
      </c>
    </row>
    <row r="7537" spans="1:6" x14ac:dyDescent="0.25">
      <c r="A7537" t="s">
        <v>3285</v>
      </c>
    </row>
    <row r="7538" spans="1:6" x14ac:dyDescent="0.25">
      <c r="A7538" t="s">
        <v>3287</v>
      </c>
    </row>
    <row r="7539" spans="1:6" x14ac:dyDescent="0.25">
      <c r="A7539" t="s">
        <v>3288</v>
      </c>
    </row>
    <row r="7540" spans="1:6" x14ac:dyDescent="0.25">
      <c r="A7540" t="s">
        <v>7557</v>
      </c>
    </row>
    <row r="7541" spans="1:6" x14ac:dyDescent="0.25">
      <c r="A7541" t="s">
        <v>7558</v>
      </c>
    </row>
    <row r="7542" spans="1:6" x14ac:dyDescent="0.25">
      <c r="A7542" t="s">
        <v>7559</v>
      </c>
    </row>
    <row r="7543" spans="1:6" x14ac:dyDescent="0.25">
      <c r="A7543" t="s">
        <v>7560</v>
      </c>
    </row>
    <row r="7544" spans="1:6" x14ac:dyDescent="0.25">
      <c r="A7544" t="s">
        <v>7561</v>
      </c>
    </row>
    <row r="7545" spans="1:6" x14ac:dyDescent="0.25">
      <c r="A7545" t="s">
        <v>7562</v>
      </c>
    </row>
    <row r="7546" spans="1:6" x14ac:dyDescent="0.25">
      <c r="A7546" t="s">
        <v>7563</v>
      </c>
    </row>
    <row r="7547" spans="1:6" x14ac:dyDescent="0.25">
      <c r="A7547" t="s">
        <v>7564</v>
      </c>
    </row>
    <row r="7548" spans="1:6" x14ac:dyDescent="0.25">
      <c r="A7548" t="s">
        <v>7565</v>
      </c>
    </row>
    <row r="7549" spans="1:6" x14ac:dyDescent="0.25">
      <c r="A7549" t="s">
        <v>7566</v>
      </c>
    </row>
    <row r="7550" spans="1:6" x14ac:dyDescent="0.25">
      <c r="A7550" t="s">
        <v>7567</v>
      </c>
    </row>
    <row r="7551" spans="1:6" x14ac:dyDescent="0.25">
      <c r="A7551" t="s">
        <v>7568</v>
      </c>
    </row>
    <row r="7552" spans="1:6" x14ac:dyDescent="0.25">
      <c r="A7552">
        <v>1</v>
      </c>
      <c r="B7552" t="s">
        <v>3927</v>
      </c>
      <c r="C7552">
        <v>3065.04</v>
      </c>
      <c r="D7552" s="55">
        <v>43830</v>
      </c>
      <c r="E7552">
        <v>5</v>
      </c>
      <c r="F7552">
        <v>637</v>
      </c>
    </row>
    <row r="7553" spans="1:6" x14ac:dyDescent="0.25">
      <c r="A7553">
        <v>2</v>
      </c>
      <c r="B7553" t="s">
        <v>7569</v>
      </c>
      <c r="C7553">
        <v>468.78</v>
      </c>
      <c r="D7553" s="55">
        <v>43830</v>
      </c>
      <c r="E7553">
        <v>5</v>
      </c>
      <c r="F7553">
        <v>635</v>
      </c>
    </row>
    <row r="7554" spans="1:6" x14ac:dyDescent="0.25">
      <c r="A7554" t="s">
        <v>3929</v>
      </c>
      <c r="B7554">
        <v>3533.82</v>
      </c>
    </row>
    <row r="7556" spans="1:6" x14ac:dyDescent="0.25">
      <c r="A7556" t="s">
        <v>7570</v>
      </c>
    </row>
    <row r="7557" spans="1:6" x14ac:dyDescent="0.25">
      <c r="A7557" t="s">
        <v>7571</v>
      </c>
    </row>
    <row r="7558" spans="1:6" x14ac:dyDescent="0.25">
      <c r="A7558" t="s">
        <v>7572</v>
      </c>
    </row>
    <row r="7559" spans="1:6" x14ac:dyDescent="0.25">
      <c r="A7559" t="s">
        <v>7570</v>
      </c>
    </row>
    <row r="7560" spans="1:6" x14ac:dyDescent="0.25">
      <c r="A7560" t="s">
        <v>7573</v>
      </c>
    </row>
    <row r="7561" spans="1:6" x14ac:dyDescent="0.25">
      <c r="A7561" t="s">
        <v>7572</v>
      </c>
    </row>
    <row r="7562" spans="1:6" x14ac:dyDescent="0.25">
      <c r="A7562" t="s">
        <v>7574</v>
      </c>
    </row>
    <row r="7563" spans="1:6" x14ac:dyDescent="0.25">
      <c r="A7563" t="s">
        <v>7575</v>
      </c>
    </row>
    <row r="7564" spans="1:6" x14ac:dyDescent="0.25">
      <c r="A7564" t="s">
        <v>7576</v>
      </c>
    </row>
    <row r="7565" spans="1:6" x14ac:dyDescent="0.25">
      <c r="A7565" t="s">
        <v>7577</v>
      </c>
    </row>
    <row r="7567" spans="1:6" x14ac:dyDescent="0.25">
      <c r="A7567" t="s">
        <v>7578</v>
      </c>
    </row>
    <row r="7568" spans="1:6" x14ac:dyDescent="0.25">
      <c r="A7568" t="s">
        <v>7579</v>
      </c>
    </row>
    <row r="7570" spans="1:1" x14ac:dyDescent="0.25">
      <c r="A7570" t="s">
        <v>7580</v>
      </c>
    </row>
    <row r="7572" spans="1:1" x14ac:dyDescent="0.25">
      <c r="A7572" t="s">
        <v>7581</v>
      </c>
    </row>
    <row r="7573" spans="1:1" x14ac:dyDescent="0.25">
      <c r="A7573" t="s">
        <v>7582</v>
      </c>
    </row>
    <row r="7574" spans="1:1" x14ac:dyDescent="0.25">
      <c r="A7574" t="s">
        <v>7583</v>
      </c>
    </row>
    <row r="7575" spans="1:1" x14ac:dyDescent="0.25">
      <c r="A7575" t="s">
        <v>7584</v>
      </c>
    </row>
    <row r="7576" spans="1:1" x14ac:dyDescent="0.25">
      <c r="A7576" t="s">
        <v>7585</v>
      </c>
    </row>
    <row r="7577" spans="1:1" x14ac:dyDescent="0.25">
      <c r="A7577" t="s">
        <v>7586</v>
      </c>
    </row>
    <row r="7578" spans="1:1" x14ac:dyDescent="0.25">
      <c r="A7578" t="s">
        <v>7587</v>
      </c>
    </row>
    <row r="7579" spans="1:1" x14ac:dyDescent="0.25">
      <c r="A7579" t="s">
        <v>7588</v>
      </c>
    </row>
    <row r="7580" spans="1:1" x14ac:dyDescent="0.25">
      <c r="A7580" t="s">
        <v>7589</v>
      </c>
    </row>
    <row r="7581" spans="1:1" x14ac:dyDescent="0.25">
      <c r="A7581" t="s">
        <v>7590</v>
      </c>
    </row>
    <row r="7582" spans="1:1" x14ac:dyDescent="0.25">
      <c r="A7582" t="s">
        <v>7591</v>
      </c>
    </row>
    <row r="7583" spans="1:1" x14ac:dyDescent="0.25">
      <c r="A7583" t="s">
        <v>7592</v>
      </c>
    </row>
    <row r="7584" spans="1:1" x14ac:dyDescent="0.25">
      <c r="A7584" t="s">
        <v>7590</v>
      </c>
    </row>
    <row r="7585" spans="1:2" x14ac:dyDescent="0.25">
      <c r="A7585" t="s">
        <v>7593</v>
      </c>
    </row>
    <row r="7586" spans="1:2" x14ac:dyDescent="0.25">
      <c r="A7586" t="s">
        <v>7594</v>
      </c>
    </row>
    <row r="7587" spans="1:2" x14ac:dyDescent="0.25">
      <c r="A7587" t="s">
        <v>7595</v>
      </c>
    </row>
    <row r="7588" spans="1:2" x14ac:dyDescent="0.25">
      <c r="A7588" t="s">
        <v>7596</v>
      </c>
    </row>
    <row r="7589" spans="1:2" x14ac:dyDescent="0.25">
      <c r="A7589" t="s">
        <v>7597</v>
      </c>
    </row>
    <row r="7590" spans="1:2" x14ac:dyDescent="0.25">
      <c r="A7590" t="s">
        <v>7598</v>
      </c>
    </row>
    <row r="7591" spans="1:2" x14ac:dyDescent="0.25">
      <c r="A7591" t="s">
        <v>7599</v>
      </c>
    </row>
    <row r="7592" spans="1:2" x14ac:dyDescent="0.25">
      <c r="A7592" t="s">
        <v>7600</v>
      </c>
      <c r="B7592" t="s">
        <v>7601</v>
      </c>
    </row>
    <row r="7593" spans="1:2" x14ac:dyDescent="0.25">
      <c r="A7593" t="s">
        <v>7602</v>
      </c>
    </row>
    <row r="7594" spans="1:2" x14ac:dyDescent="0.25">
      <c r="A7594" t="s">
        <v>7603</v>
      </c>
    </row>
    <row r="7595" spans="1:2" x14ac:dyDescent="0.25">
      <c r="A7595" t="s">
        <v>7604</v>
      </c>
    </row>
    <row r="7596" spans="1:2" x14ac:dyDescent="0.25">
      <c r="A7596" t="s">
        <v>7605</v>
      </c>
    </row>
    <row r="7597" spans="1:2" x14ac:dyDescent="0.25">
      <c r="A7597" t="s">
        <v>7606</v>
      </c>
    </row>
    <row r="7598" spans="1:2" x14ac:dyDescent="0.25">
      <c r="A7598" t="s">
        <v>7607</v>
      </c>
    </row>
    <row r="7599" spans="1:2" x14ac:dyDescent="0.25">
      <c r="A7599" t="s">
        <v>7608</v>
      </c>
    </row>
    <row r="7600" spans="1:2" x14ac:dyDescent="0.25">
      <c r="A7600" t="s">
        <v>7609</v>
      </c>
    </row>
    <row r="7601" spans="1:1" x14ac:dyDescent="0.25">
      <c r="A7601" t="s">
        <v>7610</v>
      </c>
    </row>
    <row r="7602" spans="1:1" x14ac:dyDescent="0.25">
      <c r="A7602" t="s">
        <v>7611</v>
      </c>
    </row>
    <row r="7603" spans="1:1" x14ac:dyDescent="0.25">
      <c r="A7603" t="s">
        <v>7612</v>
      </c>
    </row>
    <row r="7604" spans="1:1" x14ac:dyDescent="0.25">
      <c r="A7604" t="s">
        <v>7613</v>
      </c>
    </row>
    <row r="7605" spans="1:1" x14ac:dyDescent="0.25">
      <c r="A7605" t="s">
        <v>7614</v>
      </c>
    </row>
    <row r="7606" spans="1:1" x14ac:dyDescent="0.25">
      <c r="A7606" t="s">
        <v>7615</v>
      </c>
    </row>
    <row r="7607" spans="1:1" x14ac:dyDescent="0.25">
      <c r="A7607" t="s">
        <v>7616</v>
      </c>
    </row>
    <row r="7609" spans="1:1" x14ac:dyDescent="0.25">
      <c r="A7609" t="s">
        <v>7617</v>
      </c>
    </row>
    <row r="7610" spans="1:1" x14ac:dyDescent="0.25">
      <c r="A7610" t="s">
        <v>7618</v>
      </c>
    </row>
    <row r="7611" spans="1:1" x14ac:dyDescent="0.25">
      <c r="A7611" t="s">
        <v>7619</v>
      </c>
    </row>
    <row r="7612" spans="1:1" x14ac:dyDescent="0.25">
      <c r="A7612" t="s">
        <v>7620</v>
      </c>
    </row>
    <row r="7613" spans="1:1" x14ac:dyDescent="0.25">
      <c r="A7613" t="s">
        <v>7621</v>
      </c>
    </row>
    <row r="7614" spans="1:1" x14ac:dyDescent="0.25">
      <c r="A7614" t="s">
        <v>3285</v>
      </c>
    </row>
    <row r="7615" spans="1:1" x14ac:dyDescent="0.25">
      <c r="A7615" t="s">
        <v>7622</v>
      </c>
    </row>
    <row r="7616" spans="1:1" x14ac:dyDescent="0.25">
      <c r="A7616" t="s">
        <v>3287</v>
      </c>
    </row>
    <row r="7617" spans="1:1" x14ac:dyDescent="0.25">
      <c r="A7617" t="s">
        <v>3288</v>
      </c>
    </row>
    <row r="7618" spans="1:1" x14ac:dyDescent="0.25">
      <c r="A7618" t="s">
        <v>7623</v>
      </c>
    </row>
    <row r="7619" spans="1:1" x14ac:dyDescent="0.25">
      <c r="A7619" t="s">
        <v>7624</v>
      </c>
    </row>
    <row r="7620" spans="1:1" x14ac:dyDescent="0.25">
      <c r="A7620" t="s">
        <v>7625</v>
      </c>
    </row>
    <row r="7621" spans="1:1" x14ac:dyDescent="0.25">
      <c r="A7621" t="s">
        <v>7626</v>
      </c>
    </row>
    <row r="7622" spans="1:1" x14ac:dyDescent="0.25">
      <c r="A7622" t="s">
        <v>7627</v>
      </c>
    </row>
    <row r="7623" spans="1:1" x14ac:dyDescent="0.25">
      <c r="A7623" t="s">
        <v>7628</v>
      </c>
    </row>
    <row r="7624" spans="1:1" x14ac:dyDescent="0.25">
      <c r="A7624" t="s">
        <v>7629</v>
      </c>
    </row>
    <row r="7625" spans="1:1" x14ac:dyDescent="0.25">
      <c r="A7625" t="s">
        <v>7630</v>
      </c>
    </row>
    <row r="7626" spans="1:1" x14ac:dyDescent="0.25">
      <c r="A7626" t="s">
        <v>7631</v>
      </c>
    </row>
    <row r="7627" spans="1:1" x14ac:dyDescent="0.25">
      <c r="A7627" t="s">
        <v>7632</v>
      </c>
    </row>
    <row r="7628" spans="1:1" x14ac:dyDescent="0.25">
      <c r="A7628" t="s">
        <v>7633</v>
      </c>
    </row>
    <row r="7629" spans="1:1" x14ac:dyDescent="0.25">
      <c r="A7629" t="s">
        <v>7634</v>
      </c>
    </row>
    <row r="7630" spans="1:1" x14ac:dyDescent="0.25">
      <c r="A7630" t="s">
        <v>7635</v>
      </c>
    </row>
    <row r="7631" spans="1:1" x14ac:dyDescent="0.25">
      <c r="A7631" t="s">
        <v>7636</v>
      </c>
    </row>
    <row r="7632" spans="1:1" x14ac:dyDescent="0.25">
      <c r="A7632" t="s">
        <v>7637</v>
      </c>
    </row>
    <row r="7633" spans="1:1" x14ac:dyDescent="0.25">
      <c r="A7633" t="s">
        <v>3285</v>
      </c>
    </row>
    <row r="7634" spans="1:1" x14ac:dyDescent="0.25">
      <c r="A7634" t="s">
        <v>7638</v>
      </c>
    </row>
    <row r="7635" spans="1:1" x14ac:dyDescent="0.25">
      <c r="A7635" t="s">
        <v>3287</v>
      </c>
    </row>
    <row r="7636" spans="1:1" x14ac:dyDescent="0.25">
      <c r="A7636" t="s">
        <v>3288</v>
      </c>
    </row>
    <row r="7637" spans="1:1" x14ac:dyDescent="0.25">
      <c r="A7637" t="s">
        <v>6727</v>
      </c>
    </row>
    <row r="7638" spans="1:1" x14ac:dyDescent="0.25">
      <c r="A7638" t="s">
        <v>6776</v>
      </c>
    </row>
    <row r="7639" spans="1:1" x14ac:dyDescent="0.25">
      <c r="A7639" t="s">
        <v>7233</v>
      </c>
    </row>
    <row r="7640" spans="1:1" x14ac:dyDescent="0.25">
      <c r="A7640" t="s">
        <v>7639</v>
      </c>
    </row>
    <row r="7641" spans="1:1" x14ac:dyDescent="0.25">
      <c r="A7641" t="s">
        <v>7640</v>
      </c>
    </row>
    <row r="7642" spans="1:1" x14ac:dyDescent="0.25">
      <c r="A7642" t="s">
        <v>7641</v>
      </c>
    </row>
    <row r="7643" spans="1:1" x14ac:dyDescent="0.25">
      <c r="A7643" t="s">
        <v>7642</v>
      </c>
    </row>
    <row r="7644" spans="1:1" x14ac:dyDescent="0.25">
      <c r="A7644" t="s">
        <v>7643</v>
      </c>
    </row>
    <row r="7645" spans="1:1" x14ac:dyDescent="0.25">
      <c r="A7645" t="s">
        <v>7644</v>
      </c>
    </row>
    <row r="7646" spans="1:1" x14ac:dyDescent="0.25">
      <c r="A7646" t="s">
        <v>7645</v>
      </c>
    </row>
    <row r="7647" spans="1:1" x14ac:dyDescent="0.25">
      <c r="A7647" t="s">
        <v>7646</v>
      </c>
    </row>
    <row r="7648" spans="1:1" x14ac:dyDescent="0.25">
      <c r="A7648" t="s">
        <v>7647</v>
      </c>
    </row>
    <row r="7649" spans="1:1" x14ac:dyDescent="0.25">
      <c r="A7649" t="s">
        <v>7648</v>
      </c>
    </row>
    <row r="7650" spans="1:1" x14ac:dyDescent="0.25">
      <c r="A7650" t="s">
        <v>7649</v>
      </c>
    </row>
    <row r="7651" spans="1:1" x14ac:dyDescent="0.25">
      <c r="A7651" t="s">
        <v>7650</v>
      </c>
    </row>
    <row r="7652" spans="1:1" x14ac:dyDescent="0.25">
      <c r="A7652" t="s">
        <v>7651</v>
      </c>
    </row>
    <row r="7653" spans="1:1" x14ac:dyDescent="0.25">
      <c r="A7653" t="s">
        <v>7652</v>
      </c>
    </row>
    <row r="7654" spans="1:1" x14ac:dyDescent="0.25">
      <c r="A7654" t="s">
        <v>7653</v>
      </c>
    </row>
    <row r="7656" spans="1:1" x14ac:dyDescent="0.25">
      <c r="A7656" t="s">
        <v>7654</v>
      </c>
    </row>
    <row r="7657" spans="1:1" x14ac:dyDescent="0.25">
      <c r="A7657" t="s">
        <v>7655</v>
      </c>
    </row>
    <row r="7658" spans="1:1" x14ac:dyDescent="0.25">
      <c r="A7658" t="s">
        <v>7637</v>
      </c>
    </row>
    <row r="7659" spans="1:1" x14ac:dyDescent="0.25">
      <c r="A7659" t="s">
        <v>3285</v>
      </c>
    </row>
    <row r="7660" spans="1:1" x14ac:dyDescent="0.25">
      <c r="A7660" t="s">
        <v>7656</v>
      </c>
    </row>
    <row r="7661" spans="1:1" x14ac:dyDescent="0.25">
      <c r="A7661" t="s">
        <v>3287</v>
      </c>
    </row>
    <row r="7662" spans="1:1" x14ac:dyDescent="0.25">
      <c r="A7662" t="s">
        <v>3288</v>
      </c>
    </row>
    <row r="7663" spans="1:1" x14ac:dyDescent="0.25">
      <c r="A7663" t="s">
        <v>7657</v>
      </c>
    </row>
    <row r="7664" spans="1:1" x14ac:dyDescent="0.25">
      <c r="A7664" t="s">
        <v>6776</v>
      </c>
    </row>
    <row r="7665" spans="1:1" x14ac:dyDescent="0.25">
      <c r="A7665" t="s">
        <v>7658</v>
      </c>
    </row>
    <row r="7666" spans="1:1" x14ac:dyDescent="0.25">
      <c r="A7666" t="s">
        <v>7654</v>
      </c>
    </row>
    <row r="7667" spans="1:1" x14ac:dyDescent="0.25">
      <c r="A7667" t="s">
        <v>7659</v>
      </c>
    </row>
    <row r="7668" spans="1:1" x14ac:dyDescent="0.25">
      <c r="A7668" t="s">
        <v>7660</v>
      </c>
    </row>
    <row r="7669" spans="1:1" x14ac:dyDescent="0.25">
      <c r="A7669" t="s">
        <v>7661</v>
      </c>
    </row>
    <row r="7670" spans="1:1" x14ac:dyDescent="0.25">
      <c r="A7670" t="s">
        <v>3285</v>
      </c>
    </row>
    <row r="7671" spans="1:1" x14ac:dyDescent="0.25">
      <c r="A7671" t="s">
        <v>7662</v>
      </c>
    </row>
    <row r="7672" spans="1:1" x14ac:dyDescent="0.25">
      <c r="A7672" t="s">
        <v>3287</v>
      </c>
    </row>
    <row r="7673" spans="1:1" x14ac:dyDescent="0.25">
      <c r="A7673" t="s">
        <v>7212</v>
      </c>
    </row>
    <row r="7674" spans="1:1" x14ac:dyDescent="0.25">
      <c r="A7674" t="s">
        <v>7663</v>
      </c>
    </row>
    <row r="7675" spans="1:1" x14ac:dyDescent="0.25">
      <c r="A7675" t="s">
        <v>6776</v>
      </c>
    </row>
    <row r="7676" spans="1:1" x14ac:dyDescent="0.25">
      <c r="A7676" t="s">
        <v>7664</v>
      </c>
    </row>
    <row r="7677" spans="1:1" x14ac:dyDescent="0.25">
      <c r="A7677" t="s">
        <v>7665</v>
      </c>
    </row>
    <row r="7678" spans="1:1" x14ac:dyDescent="0.25">
      <c r="A7678" t="s">
        <v>7666</v>
      </c>
    </row>
    <row r="7679" spans="1:1" x14ac:dyDescent="0.25">
      <c r="A7679" t="s">
        <v>7667</v>
      </c>
    </row>
    <row r="7680" spans="1:1" x14ac:dyDescent="0.25">
      <c r="A7680" t="s">
        <v>7668</v>
      </c>
    </row>
    <row r="7681" spans="1:1" x14ac:dyDescent="0.25">
      <c r="A7681" t="s">
        <v>7669</v>
      </c>
    </row>
    <row r="7682" spans="1:1" x14ac:dyDescent="0.25">
      <c r="A7682" t="s">
        <v>7670</v>
      </c>
    </row>
    <row r="7683" spans="1:1" x14ac:dyDescent="0.25">
      <c r="A7683" t="s">
        <v>7671</v>
      </c>
    </row>
    <row r="7684" spans="1:1" x14ac:dyDescent="0.25">
      <c r="A7684" t="s">
        <v>7672</v>
      </c>
    </row>
    <row r="7686" spans="1:1" x14ac:dyDescent="0.25">
      <c r="A7686" t="s">
        <v>7673</v>
      </c>
    </row>
    <row r="7687" spans="1:1" x14ac:dyDescent="0.25">
      <c r="A7687" t="s">
        <v>7674</v>
      </c>
    </row>
    <row r="7688" spans="1:1" x14ac:dyDescent="0.25">
      <c r="A7688" t="s">
        <v>7675</v>
      </c>
    </row>
    <row r="7689" spans="1:1" x14ac:dyDescent="0.25">
      <c r="A7689" t="s">
        <v>7676</v>
      </c>
    </row>
    <row r="7690" spans="1:1" x14ac:dyDescent="0.25">
      <c r="A7690" t="s">
        <v>7677</v>
      </c>
    </row>
    <row r="7691" spans="1:1" x14ac:dyDescent="0.25">
      <c r="A7691" t="s">
        <v>7678</v>
      </c>
    </row>
    <row r="7692" spans="1:1" x14ac:dyDescent="0.25">
      <c r="A7692" t="s">
        <v>7679</v>
      </c>
    </row>
    <row r="7693" spans="1:1" x14ac:dyDescent="0.25">
      <c r="A7693" t="s">
        <v>7680</v>
      </c>
    </row>
    <row r="7694" spans="1:1" x14ac:dyDescent="0.25">
      <c r="A7694" t="s">
        <v>7681</v>
      </c>
    </row>
    <row r="7695" spans="1:1" x14ac:dyDescent="0.25">
      <c r="A7695" t="s">
        <v>7682</v>
      </c>
    </row>
    <row r="7696" spans="1:1" x14ac:dyDescent="0.25">
      <c r="A7696" t="s">
        <v>7683</v>
      </c>
    </row>
    <row r="7697" spans="1:1" x14ac:dyDescent="0.25">
      <c r="A7697" t="s">
        <v>7684</v>
      </c>
    </row>
    <row r="7698" spans="1:1" x14ac:dyDescent="0.25">
      <c r="A7698" t="s">
        <v>7685</v>
      </c>
    </row>
    <row r="7699" spans="1:1" x14ac:dyDescent="0.25">
      <c r="A7699" t="s">
        <v>7686</v>
      </c>
    </row>
    <row r="7700" spans="1:1" x14ac:dyDescent="0.25">
      <c r="A7700" t="s">
        <v>7687</v>
      </c>
    </row>
    <row r="7701" spans="1:1" x14ac:dyDescent="0.25">
      <c r="A7701" t="s">
        <v>7688</v>
      </c>
    </row>
    <row r="7702" spans="1:1" x14ac:dyDescent="0.25">
      <c r="A7702" t="s">
        <v>7689</v>
      </c>
    </row>
    <row r="7703" spans="1:1" x14ac:dyDescent="0.25">
      <c r="A7703" t="s">
        <v>7690</v>
      </c>
    </row>
    <row r="7704" spans="1:1" x14ac:dyDescent="0.25">
      <c r="A7704" t="s">
        <v>7691</v>
      </c>
    </row>
    <row r="7705" spans="1:1" x14ac:dyDescent="0.25">
      <c r="A7705" t="s">
        <v>7692</v>
      </c>
    </row>
    <row r="7706" spans="1:1" x14ac:dyDescent="0.25">
      <c r="A7706" t="s">
        <v>7693</v>
      </c>
    </row>
    <row r="7707" spans="1:1" x14ac:dyDescent="0.25">
      <c r="A7707" t="s">
        <v>7694</v>
      </c>
    </row>
    <row r="7710" spans="1:1" x14ac:dyDescent="0.25">
      <c r="A7710" t="s">
        <v>7695</v>
      </c>
    </row>
    <row r="7711" spans="1:1" x14ac:dyDescent="0.25">
      <c r="A7711" t="s">
        <v>7696</v>
      </c>
    </row>
    <row r="7712" spans="1:1" x14ac:dyDescent="0.25">
      <c r="A7712" t="s">
        <v>7697</v>
      </c>
    </row>
    <row r="7713" spans="1:1" x14ac:dyDescent="0.25">
      <c r="A7713" t="s">
        <v>7698</v>
      </c>
    </row>
    <row r="7714" spans="1:1" x14ac:dyDescent="0.25">
      <c r="A7714" t="s">
        <v>7699</v>
      </c>
    </row>
    <row r="7715" spans="1:1" x14ac:dyDescent="0.25">
      <c r="A7715" t="s">
        <v>7700</v>
      </c>
    </row>
    <row r="7716" spans="1:1" x14ac:dyDescent="0.25">
      <c r="A7716" t="s">
        <v>7701</v>
      </c>
    </row>
    <row r="7718" spans="1:1" x14ac:dyDescent="0.25">
      <c r="A7718" t="s">
        <v>7702</v>
      </c>
    </row>
    <row r="7719" spans="1:1" x14ac:dyDescent="0.25">
      <c r="A7719" t="s">
        <v>7703</v>
      </c>
    </row>
    <row r="7720" spans="1:1" x14ac:dyDescent="0.25">
      <c r="A7720" t="s">
        <v>7704</v>
      </c>
    </row>
    <row r="7721" spans="1:1" x14ac:dyDescent="0.25">
      <c r="A7721" t="s">
        <v>7705</v>
      </c>
    </row>
    <row r="7722" spans="1:1" x14ac:dyDescent="0.25">
      <c r="A7722" t="s">
        <v>7706</v>
      </c>
    </row>
    <row r="7723" spans="1:1" x14ac:dyDescent="0.25">
      <c r="A7723" t="s">
        <v>7707</v>
      </c>
    </row>
    <row r="7724" spans="1:1" x14ac:dyDescent="0.25">
      <c r="A7724" t="s">
        <v>7708</v>
      </c>
    </row>
    <row r="7725" spans="1:1" x14ac:dyDescent="0.25">
      <c r="A7725" t="s">
        <v>7709</v>
      </c>
    </row>
    <row r="7726" spans="1:1" x14ac:dyDescent="0.25">
      <c r="A7726" t="s">
        <v>7707</v>
      </c>
    </row>
    <row r="7727" spans="1:1" x14ac:dyDescent="0.25">
      <c r="A7727" t="s">
        <v>7710</v>
      </c>
    </row>
    <row r="7728" spans="1:1" x14ac:dyDescent="0.25">
      <c r="A7728" t="s">
        <v>7711</v>
      </c>
    </row>
    <row r="7729" spans="1:1" x14ac:dyDescent="0.25">
      <c r="A7729" t="s">
        <v>7712</v>
      </c>
    </row>
    <row r="7730" spans="1:1" x14ac:dyDescent="0.25">
      <c r="A7730" t="s">
        <v>7713</v>
      </c>
    </row>
    <row r="7731" spans="1:1" x14ac:dyDescent="0.25">
      <c r="A7731" t="s">
        <v>7323</v>
      </c>
    </row>
    <row r="7732" spans="1:1" x14ac:dyDescent="0.25">
      <c r="A7732" t="s">
        <v>1342</v>
      </c>
    </row>
    <row r="7733" spans="1:1" x14ac:dyDescent="0.25">
      <c r="A7733" t="s">
        <v>7714</v>
      </c>
    </row>
    <row r="7734" spans="1:1" x14ac:dyDescent="0.25">
      <c r="A7734" t="s">
        <v>7715</v>
      </c>
    </row>
    <row r="7735" spans="1:1" x14ac:dyDescent="0.25">
      <c r="A7735" t="s">
        <v>7716</v>
      </c>
    </row>
    <row r="7736" spans="1:1" x14ac:dyDescent="0.25">
      <c r="A7736" t="s">
        <v>7717</v>
      </c>
    </row>
    <row r="7737" spans="1:1" x14ac:dyDescent="0.25">
      <c r="A7737" t="s">
        <v>7718</v>
      </c>
    </row>
    <row r="7738" spans="1:1" x14ac:dyDescent="0.25">
      <c r="A7738" t="s">
        <v>7719</v>
      </c>
    </row>
    <row r="7739" spans="1:1" x14ac:dyDescent="0.25">
      <c r="A7739" t="s">
        <v>7720</v>
      </c>
    </row>
    <row r="7740" spans="1:1" x14ac:dyDescent="0.25">
      <c r="A7740" t="s">
        <v>7721</v>
      </c>
    </row>
    <row r="7741" spans="1:1" x14ac:dyDescent="0.25">
      <c r="A7741" t="s">
        <v>7722</v>
      </c>
    </row>
    <row r="7742" spans="1:1" x14ac:dyDescent="0.25">
      <c r="A7742" t="s">
        <v>7723</v>
      </c>
    </row>
    <row r="7743" spans="1:1" x14ac:dyDescent="0.25">
      <c r="A7743" t="s">
        <v>7724</v>
      </c>
    </row>
    <row r="7744" spans="1:1" x14ac:dyDescent="0.25">
      <c r="A7744" t="s">
        <v>7725</v>
      </c>
    </row>
    <row r="7745" spans="1:1" x14ac:dyDescent="0.25">
      <c r="A7745" t="s">
        <v>7726</v>
      </c>
    </row>
    <row r="7746" spans="1:1" x14ac:dyDescent="0.25">
      <c r="A7746" t="s">
        <v>7727</v>
      </c>
    </row>
    <row r="7747" spans="1:1" x14ac:dyDescent="0.25">
      <c r="A7747" t="s">
        <v>7728</v>
      </c>
    </row>
    <row r="7748" spans="1:1" x14ac:dyDescent="0.25">
      <c r="A7748" t="s">
        <v>7729</v>
      </c>
    </row>
    <row r="7749" spans="1:1" x14ac:dyDescent="0.25">
      <c r="A7749" t="s">
        <v>7730</v>
      </c>
    </row>
    <row r="7750" spans="1:1" x14ac:dyDescent="0.25">
      <c r="A7750" t="s">
        <v>7731</v>
      </c>
    </row>
    <row r="7751" spans="1:1" x14ac:dyDescent="0.25">
      <c r="A7751" t="s">
        <v>7732</v>
      </c>
    </row>
    <row r="7752" spans="1:1" x14ac:dyDescent="0.25">
      <c r="A7752" t="s">
        <v>7733</v>
      </c>
    </row>
    <row r="7753" spans="1:1" x14ac:dyDescent="0.25">
      <c r="A7753" t="s">
        <v>7734</v>
      </c>
    </row>
    <row r="7754" spans="1:1" x14ac:dyDescent="0.25">
      <c r="A7754" t="s">
        <v>7735</v>
      </c>
    </row>
    <row r="7755" spans="1:1" x14ac:dyDescent="0.25">
      <c r="A7755" t="s">
        <v>7736</v>
      </c>
    </row>
    <row r="7756" spans="1:1" x14ac:dyDescent="0.25">
      <c r="A7756" t="s">
        <v>7737</v>
      </c>
    </row>
    <row r="7757" spans="1:1" x14ac:dyDescent="0.25">
      <c r="A7757" t="s">
        <v>7738</v>
      </c>
    </row>
    <row r="7758" spans="1:1" x14ac:dyDescent="0.25">
      <c r="A7758" t="s">
        <v>7739</v>
      </c>
    </row>
    <row r="7759" spans="1:1" x14ac:dyDescent="0.25">
      <c r="A7759" t="s">
        <v>7740</v>
      </c>
    </row>
    <row r="7760" spans="1:1" x14ac:dyDescent="0.25">
      <c r="A7760" t="s">
        <v>7741</v>
      </c>
    </row>
    <row r="7761" spans="1:1" x14ac:dyDescent="0.25">
      <c r="A7761" t="s">
        <v>7742</v>
      </c>
    </row>
    <row r="7762" spans="1:1" x14ac:dyDescent="0.25">
      <c r="A7762" t="s">
        <v>7743</v>
      </c>
    </row>
    <row r="7763" spans="1:1" x14ac:dyDescent="0.25">
      <c r="A7763" t="s">
        <v>7744</v>
      </c>
    </row>
    <row r="7764" spans="1:1" x14ac:dyDescent="0.25">
      <c r="A7764" t="s">
        <v>7745</v>
      </c>
    </row>
    <row r="7765" spans="1:1" x14ac:dyDescent="0.25">
      <c r="A7765" t="s">
        <v>7746</v>
      </c>
    </row>
    <row r="7766" spans="1:1" x14ac:dyDescent="0.25">
      <c r="A7766" t="s">
        <v>7747</v>
      </c>
    </row>
    <row r="7768" spans="1:1" x14ac:dyDescent="0.25">
      <c r="A7768" t="s">
        <v>7748</v>
      </c>
    </row>
    <row r="7769" spans="1:1" x14ac:dyDescent="0.25">
      <c r="A7769" t="s">
        <v>7749</v>
      </c>
    </row>
    <row r="7770" spans="1:1" x14ac:dyDescent="0.25">
      <c r="A7770" t="s">
        <v>7750</v>
      </c>
    </row>
    <row r="7771" spans="1:1" x14ac:dyDescent="0.25">
      <c r="A7771" t="s">
        <v>7751</v>
      </c>
    </row>
    <row r="7772" spans="1:1" x14ac:dyDescent="0.25">
      <c r="A7772" t="s">
        <v>7752</v>
      </c>
    </row>
    <row r="7773" spans="1:1" x14ac:dyDescent="0.25">
      <c r="A7773" t="s">
        <v>7753</v>
      </c>
    </row>
    <row r="7774" spans="1:1" x14ac:dyDescent="0.25">
      <c r="A7774" t="s">
        <v>7754</v>
      </c>
    </row>
    <row r="7775" spans="1:1" x14ac:dyDescent="0.25">
      <c r="A7775" t="s">
        <v>7755</v>
      </c>
    </row>
    <row r="7776" spans="1:1" x14ac:dyDescent="0.25">
      <c r="A7776" t="s">
        <v>7756</v>
      </c>
    </row>
    <row r="7777" spans="1:1" x14ac:dyDescent="0.25">
      <c r="A7777" t="s">
        <v>7757</v>
      </c>
    </row>
    <row r="7778" spans="1:1" x14ac:dyDescent="0.25">
      <c r="A7778" t="s">
        <v>7758</v>
      </c>
    </row>
    <row r="7779" spans="1:1" x14ac:dyDescent="0.25">
      <c r="A7779" t="s">
        <v>7759</v>
      </c>
    </row>
    <row r="7780" spans="1:1" x14ac:dyDescent="0.25">
      <c r="A7780" t="s">
        <v>7760</v>
      </c>
    </row>
    <row r="7782" spans="1:1" x14ac:dyDescent="0.25">
      <c r="A7782" t="s">
        <v>7761</v>
      </c>
    </row>
    <row r="7783" spans="1:1" x14ac:dyDescent="0.25">
      <c r="A7783" t="s">
        <v>7762</v>
      </c>
    </row>
    <row r="7784" spans="1:1" x14ac:dyDescent="0.25">
      <c r="A7784" t="s">
        <v>7763</v>
      </c>
    </row>
    <row r="7785" spans="1:1" x14ac:dyDescent="0.25">
      <c r="A7785" t="s">
        <v>7764</v>
      </c>
    </row>
    <row r="7786" spans="1:1" x14ac:dyDescent="0.25">
      <c r="A7786" t="s">
        <v>7765</v>
      </c>
    </row>
    <row r="7787" spans="1:1" x14ac:dyDescent="0.25">
      <c r="A7787" t="s">
        <v>7766</v>
      </c>
    </row>
    <row r="7788" spans="1:1" x14ac:dyDescent="0.25">
      <c r="A7788" t="s">
        <v>7767</v>
      </c>
    </row>
    <row r="7789" spans="1:1" x14ac:dyDescent="0.25">
      <c r="A7789" t="s">
        <v>7768</v>
      </c>
    </row>
    <row r="7790" spans="1:1" x14ac:dyDescent="0.25">
      <c r="A7790" t="s">
        <v>7769</v>
      </c>
    </row>
    <row r="7791" spans="1:1" x14ac:dyDescent="0.25">
      <c r="A7791" t="s">
        <v>7770</v>
      </c>
    </row>
    <row r="7792" spans="1:1" x14ac:dyDescent="0.25">
      <c r="A7792" t="s">
        <v>2728</v>
      </c>
    </row>
    <row r="7793" spans="1:1" x14ac:dyDescent="0.25">
      <c r="A7793" t="s">
        <v>2712</v>
      </c>
    </row>
    <row r="7794" spans="1:1" x14ac:dyDescent="0.25">
      <c r="A7794" t="s">
        <v>7771</v>
      </c>
    </row>
    <row r="7795" spans="1:1" x14ac:dyDescent="0.25">
      <c r="A7795" t="s">
        <v>7772</v>
      </c>
    </row>
    <row r="7796" spans="1:1" x14ac:dyDescent="0.25">
      <c r="A7796" t="s">
        <v>7773</v>
      </c>
    </row>
    <row r="7797" spans="1:1" x14ac:dyDescent="0.25">
      <c r="A7797" t="s">
        <v>7774</v>
      </c>
    </row>
    <row r="7798" spans="1:1" x14ac:dyDescent="0.25">
      <c r="A7798" t="s">
        <v>2715</v>
      </c>
    </row>
    <row r="7799" spans="1:1" x14ac:dyDescent="0.25">
      <c r="A7799" t="s">
        <v>7775</v>
      </c>
    </row>
    <row r="7800" spans="1:1" x14ac:dyDescent="0.25">
      <c r="A7800" t="s">
        <v>7776</v>
      </c>
    </row>
    <row r="7801" spans="1:1" x14ac:dyDescent="0.25">
      <c r="A7801" t="s">
        <v>7777</v>
      </c>
    </row>
    <row r="7802" spans="1:1" x14ac:dyDescent="0.25">
      <c r="A7802" t="s">
        <v>7778</v>
      </c>
    </row>
    <row r="7803" spans="1:1" x14ac:dyDescent="0.25">
      <c r="A7803" t="s">
        <v>7779</v>
      </c>
    </row>
    <row r="7804" spans="1:1" x14ac:dyDescent="0.25">
      <c r="A7804" t="s">
        <v>7780</v>
      </c>
    </row>
    <row r="7805" spans="1:1" x14ac:dyDescent="0.25">
      <c r="A7805" t="s">
        <v>7781</v>
      </c>
    </row>
    <row r="7806" spans="1:1" x14ac:dyDescent="0.25">
      <c r="A7806" t="s">
        <v>7782</v>
      </c>
    </row>
    <row r="7807" spans="1:1" x14ac:dyDescent="0.25">
      <c r="A7807" t="s">
        <v>7783</v>
      </c>
    </row>
    <row r="7808" spans="1:1" x14ac:dyDescent="0.25">
      <c r="A7808" t="s">
        <v>7781</v>
      </c>
    </row>
    <row r="7809" spans="1:1" x14ac:dyDescent="0.25">
      <c r="A7809" t="s">
        <v>7782</v>
      </c>
    </row>
    <row r="7810" spans="1:1" x14ac:dyDescent="0.25">
      <c r="A7810" t="s">
        <v>7784</v>
      </c>
    </row>
    <row r="7811" spans="1:1" x14ac:dyDescent="0.25">
      <c r="A7811" t="s">
        <v>7785</v>
      </c>
    </row>
    <row r="7812" spans="1:1" x14ac:dyDescent="0.25">
      <c r="A7812" t="s">
        <v>7786</v>
      </c>
    </row>
    <row r="7813" spans="1:1" x14ac:dyDescent="0.25">
      <c r="A7813" t="s">
        <v>7787</v>
      </c>
    </row>
    <row r="7814" spans="1:1" x14ac:dyDescent="0.25">
      <c r="A7814" t="s">
        <v>7788</v>
      </c>
    </row>
    <row r="7815" spans="1:1" x14ac:dyDescent="0.25">
      <c r="A7815" t="s">
        <v>7789</v>
      </c>
    </row>
    <row r="7816" spans="1:1" x14ac:dyDescent="0.25">
      <c r="A7816" t="s">
        <v>7790</v>
      </c>
    </row>
    <row r="7817" spans="1:1" x14ac:dyDescent="0.25">
      <c r="A7817" t="s">
        <v>7791</v>
      </c>
    </row>
    <row r="7818" spans="1:1" x14ac:dyDescent="0.25">
      <c r="A7818" t="s">
        <v>7792</v>
      </c>
    </row>
    <row r="7819" spans="1:1" x14ac:dyDescent="0.25">
      <c r="A7819" t="s">
        <v>7793</v>
      </c>
    </row>
    <row r="7820" spans="1:1" x14ac:dyDescent="0.25">
      <c r="A7820" t="s">
        <v>7794</v>
      </c>
    </row>
    <row r="7821" spans="1:1" x14ac:dyDescent="0.25">
      <c r="A7821">
        <v>974454639</v>
      </c>
    </row>
    <row r="7822" spans="1:1" x14ac:dyDescent="0.25">
      <c r="A7822" t="s">
        <v>7795</v>
      </c>
    </row>
    <row r="7823" spans="1:1" x14ac:dyDescent="0.25">
      <c r="A7823" t="s">
        <v>7796</v>
      </c>
    </row>
    <row r="7824" spans="1:1" x14ac:dyDescent="0.25">
      <c r="A7824" t="s">
        <v>7797</v>
      </c>
    </row>
    <row r="7825" spans="1:1" x14ac:dyDescent="0.25">
      <c r="A7825" t="s">
        <v>7798</v>
      </c>
    </row>
    <row r="7826" spans="1:1" x14ac:dyDescent="0.25">
      <c r="A7826" t="s">
        <v>7799</v>
      </c>
    </row>
    <row r="7827" spans="1:1" x14ac:dyDescent="0.25">
      <c r="A7827" t="s">
        <v>7800</v>
      </c>
    </row>
    <row r="7828" spans="1:1" x14ac:dyDescent="0.25">
      <c r="A7828" t="s">
        <v>7801</v>
      </c>
    </row>
    <row r="7829" spans="1:1" x14ac:dyDescent="0.25">
      <c r="A7829" t="s">
        <v>2988</v>
      </c>
    </row>
    <row r="7830" spans="1:1" x14ac:dyDescent="0.25">
      <c r="A7830" t="s">
        <v>7802</v>
      </c>
    </row>
    <row r="7831" spans="1:1" x14ac:dyDescent="0.25">
      <c r="A7831" t="s">
        <v>7803</v>
      </c>
    </row>
    <row r="7832" spans="1:1" x14ac:dyDescent="0.25">
      <c r="A7832" t="s">
        <v>7804</v>
      </c>
    </row>
    <row r="7833" spans="1:1" x14ac:dyDescent="0.25">
      <c r="A7833" t="s">
        <v>7805</v>
      </c>
    </row>
    <row r="7834" spans="1:1" x14ac:dyDescent="0.25">
      <c r="A7834" t="s">
        <v>7806</v>
      </c>
    </row>
    <row r="7835" spans="1:1" x14ac:dyDescent="0.25">
      <c r="A7835" t="s">
        <v>3287</v>
      </c>
    </row>
    <row r="7836" spans="1:1" x14ac:dyDescent="0.25">
      <c r="A7836" t="s">
        <v>3288</v>
      </c>
    </row>
    <row r="7837" spans="1:1" x14ac:dyDescent="0.25">
      <c r="A7837" t="s">
        <v>7807</v>
      </c>
    </row>
    <row r="7838" spans="1:1" x14ac:dyDescent="0.25">
      <c r="A7838" t="s">
        <v>7808</v>
      </c>
    </row>
    <row r="7839" spans="1:1" x14ac:dyDescent="0.25">
      <c r="A7839">
        <v>958192787</v>
      </c>
    </row>
    <row r="7840" spans="1:1" x14ac:dyDescent="0.25">
      <c r="A7840" t="s">
        <v>7809</v>
      </c>
    </row>
    <row r="7841" spans="1:3" x14ac:dyDescent="0.25">
      <c r="A7841" t="s">
        <v>7810</v>
      </c>
    </row>
    <row r="7842" spans="1:3" x14ac:dyDescent="0.25">
      <c r="A7842" t="s">
        <v>7811</v>
      </c>
    </row>
    <row r="7843" spans="1:3" x14ac:dyDescent="0.25">
      <c r="A7843" t="s">
        <v>7812</v>
      </c>
    </row>
    <row r="7844" spans="1:3" x14ac:dyDescent="0.25">
      <c r="A7844" t="s">
        <v>7813</v>
      </c>
    </row>
    <row r="7845" spans="1:3" x14ac:dyDescent="0.25">
      <c r="A7845" t="s">
        <v>7814</v>
      </c>
    </row>
    <row r="7846" spans="1:3" x14ac:dyDescent="0.25">
      <c r="A7846" t="s">
        <v>7815</v>
      </c>
    </row>
    <row r="7847" spans="1:3" x14ac:dyDescent="0.25">
      <c r="A7847" t="s">
        <v>7816</v>
      </c>
    </row>
    <row r="7848" spans="1:3" x14ac:dyDescent="0.25">
      <c r="A7848" t="s">
        <v>7817</v>
      </c>
    </row>
    <row r="7849" spans="1:3" x14ac:dyDescent="0.25">
      <c r="A7849" t="s">
        <v>7818</v>
      </c>
      <c r="B7849" t="s">
        <v>4946</v>
      </c>
      <c r="C7849">
        <v>16677.080000000002</v>
      </c>
    </row>
    <row r="7850" spans="1:3" x14ac:dyDescent="0.25">
      <c r="A7850" t="s">
        <v>7819</v>
      </c>
    </row>
    <row r="7852" spans="1:3" x14ac:dyDescent="0.25">
      <c r="A7852" t="s">
        <v>7820</v>
      </c>
    </row>
    <row r="7853" spans="1:3" x14ac:dyDescent="0.25">
      <c r="A7853" t="s">
        <v>7821</v>
      </c>
    </row>
    <row r="7854" spans="1:3" x14ac:dyDescent="0.25">
      <c r="A7854" t="s">
        <v>7822</v>
      </c>
    </row>
    <row r="7855" spans="1:3" x14ac:dyDescent="0.25">
      <c r="A7855" t="s">
        <v>7823</v>
      </c>
    </row>
    <row r="7856" spans="1:3" x14ac:dyDescent="0.25">
      <c r="A7856" t="s">
        <v>7824</v>
      </c>
    </row>
    <row r="7857" spans="1:1" x14ac:dyDescent="0.25">
      <c r="A7857" t="s">
        <v>7825</v>
      </c>
    </row>
    <row r="7858" spans="1:1" x14ac:dyDescent="0.25">
      <c r="A7858" t="s">
        <v>7826</v>
      </c>
    </row>
    <row r="7859" spans="1:1" x14ac:dyDescent="0.25">
      <c r="A7859" t="s">
        <v>7827</v>
      </c>
    </row>
    <row r="7860" spans="1:1" x14ac:dyDescent="0.25">
      <c r="A7860" t="s">
        <v>7828</v>
      </c>
    </row>
    <row r="7861" spans="1:1" x14ac:dyDescent="0.25">
      <c r="A7861" t="s">
        <v>7822</v>
      </c>
    </row>
    <row r="7862" spans="1:1" x14ac:dyDescent="0.25">
      <c r="A7862" t="s">
        <v>7823</v>
      </c>
    </row>
    <row r="7863" spans="1:1" x14ac:dyDescent="0.25">
      <c r="A7863" t="s">
        <v>7824</v>
      </c>
    </row>
    <row r="7864" spans="1:1" x14ac:dyDescent="0.25">
      <c r="A7864" t="s">
        <v>7825</v>
      </c>
    </row>
    <row r="7865" spans="1:1" x14ac:dyDescent="0.25">
      <c r="A7865" t="s">
        <v>7826</v>
      </c>
    </row>
    <row r="7866" spans="1:1" x14ac:dyDescent="0.25">
      <c r="A7866" t="s">
        <v>7827</v>
      </c>
    </row>
    <row r="7867" spans="1:1" x14ac:dyDescent="0.25">
      <c r="A7867" t="s">
        <v>7828</v>
      </c>
    </row>
    <row r="7868" spans="1:1" x14ac:dyDescent="0.25">
      <c r="A7868" t="s">
        <v>7829</v>
      </c>
    </row>
    <row r="7869" spans="1:1" x14ac:dyDescent="0.25">
      <c r="A7869" t="s">
        <v>7830</v>
      </c>
    </row>
    <row r="7870" spans="1:1" x14ac:dyDescent="0.25">
      <c r="A7870" t="s">
        <v>7831</v>
      </c>
    </row>
    <row r="7871" spans="1:1" x14ac:dyDescent="0.25">
      <c r="A7871" t="s">
        <v>7832</v>
      </c>
    </row>
    <row r="7872" spans="1:1" x14ac:dyDescent="0.25">
      <c r="A7872" t="s">
        <v>7833</v>
      </c>
    </row>
    <row r="7873" spans="1:1" x14ac:dyDescent="0.25">
      <c r="A7873" t="s">
        <v>7834</v>
      </c>
    </row>
    <row r="7874" spans="1:1" x14ac:dyDescent="0.25">
      <c r="A7874" t="s">
        <v>2971</v>
      </c>
    </row>
    <row r="7875" spans="1:1" x14ac:dyDescent="0.25">
      <c r="A7875" t="s">
        <v>7835</v>
      </c>
    </row>
    <row r="7876" spans="1:1" x14ac:dyDescent="0.25">
      <c r="A7876" t="s">
        <v>3142</v>
      </c>
    </row>
    <row r="7877" spans="1:1" x14ac:dyDescent="0.25">
      <c r="A7877" t="s">
        <v>7836</v>
      </c>
    </row>
    <row r="7878" spans="1:1" x14ac:dyDescent="0.25">
      <c r="A7878" t="s">
        <v>2263</v>
      </c>
    </row>
    <row r="7879" spans="1:1" x14ac:dyDescent="0.25">
      <c r="A7879" t="s">
        <v>7837</v>
      </c>
    </row>
    <row r="7880" spans="1:1" x14ac:dyDescent="0.25">
      <c r="A7880" t="s">
        <v>7838</v>
      </c>
    </row>
    <row r="7881" spans="1:1" x14ac:dyDescent="0.25">
      <c r="A7881" t="s">
        <v>7839</v>
      </c>
    </row>
    <row r="7882" spans="1:1" x14ac:dyDescent="0.25">
      <c r="A7882" t="s">
        <v>7840</v>
      </c>
    </row>
    <row r="7883" spans="1:1" x14ac:dyDescent="0.25">
      <c r="A7883" t="s">
        <v>7841</v>
      </c>
    </row>
    <row r="7884" spans="1:1" x14ac:dyDescent="0.25">
      <c r="A7884" t="s">
        <v>7842</v>
      </c>
    </row>
    <row r="7885" spans="1:1" x14ac:dyDescent="0.25">
      <c r="A7885" t="s">
        <v>7843</v>
      </c>
    </row>
    <row r="7886" spans="1:1" x14ac:dyDescent="0.25">
      <c r="A7886" t="s">
        <v>7844</v>
      </c>
    </row>
    <row r="7887" spans="1:1" x14ac:dyDescent="0.25">
      <c r="A7887" t="s">
        <v>7845</v>
      </c>
    </row>
    <row r="7888" spans="1:1" x14ac:dyDescent="0.25">
      <c r="A7888" t="s">
        <v>7846</v>
      </c>
    </row>
    <row r="7889" spans="1:1" x14ac:dyDescent="0.25">
      <c r="A7889" t="s">
        <v>7847</v>
      </c>
    </row>
    <row r="7890" spans="1:1" x14ac:dyDescent="0.25">
      <c r="A7890" t="s">
        <v>7848</v>
      </c>
    </row>
    <row r="7891" spans="1:1" x14ac:dyDescent="0.25">
      <c r="A7891" t="s">
        <v>7849</v>
      </c>
    </row>
    <row r="7892" spans="1:1" x14ac:dyDescent="0.25">
      <c r="A7892" t="s">
        <v>7850</v>
      </c>
    </row>
    <row r="7893" spans="1:1" x14ac:dyDescent="0.25">
      <c r="A7893" t="s">
        <v>7851</v>
      </c>
    </row>
    <row r="7894" spans="1:1" x14ac:dyDescent="0.25">
      <c r="A7894" t="s">
        <v>7852</v>
      </c>
    </row>
    <row r="7896" spans="1:1" x14ac:dyDescent="0.25">
      <c r="A7896" t="s">
        <v>7853</v>
      </c>
    </row>
    <row r="7897" spans="1:1" x14ac:dyDescent="0.25">
      <c r="A7897" t="s">
        <v>7854</v>
      </c>
    </row>
    <row r="7898" spans="1:1" x14ac:dyDescent="0.25">
      <c r="A7898" t="s">
        <v>7855</v>
      </c>
    </row>
    <row r="7899" spans="1:1" x14ac:dyDescent="0.25">
      <c r="A7899" t="s">
        <v>7856</v>
      </c>
    </row>
    <row r="7900" spans="1:1" x14ac:dyDescent="0.25">
      <c r="A7900" t="s">
        <v>7857</v>
      </c>
    </row>
    <row r="7901" spans="1:1" x14ac:dyDescent="0.25">
      <c r="A7901" t="s">
        <v>7858</v>
      </c>
    </row>
    <row r="7902" spans="1:1" x14ac:dyDescent="0.25">
      <c r="A7902" t="s">
        <v>7859</v>
      </c>
    </row>
    <row r="7903" spans="1:1" x14ac:dyDescent="0.25">
      <c r="A7903" t="s">
        <v>7860</v>
      </c>
    </row>
    <row r="7904" spans="1:1" x14ac:dyDescent="0.25">
      <c r="A7904" t="s">
        <v>7861</v>
      </c>
    </row>
    <row r="7905" spans="1:1" x14ac:dyDescent="0.25">
      <c r="A7905" t="s">
        <v>7862</v>
      </c>
    </row>
    <row r="7906" spans="1:1" x14ac:dyDescent="0.25">
      <c r="A7906" t="s">
        <v>7863</v>
      </c>
    </row>
    <row r="7907" spans="1:1" x14ac:dyDescent="0.25">
      <c r="A7907" t="s">
        <v>7864</v>
      </c>
    </row>
    <row r="7908" spans="1:1" x14ac:dyDescent="0.25">
      <c r="A7908" t="s">
        <v>7865</v>
      </c>
    </row>
    <row r="7909" spans="1:1" x14ac:dyDescent="0.25">
      <c r="A7909" t="s">
        <v>7866</v>
      </c>
    </row>
    <row r="7910" spans="1:1" x14ac:dyDescent="0.25">
      <c r="A7910" t="s">
        <v>7867</v>
      </c>
    </row>
    <row r="7911" spans="1:1" x14ac:dyDescent="0.25">
      <c r="A7911" t="s">
        <v>7868</v>
      </c>
    </row>
    <row r="7912" spans="1:1" x14ac:dyDescent="0.25">
      <c r="A7912" t="s">
        <v>7869</v>
      </c>
    </row>
    <row r="7913" spans="1:1" x14ac:dyDescent="0.25">
      <c r="A7913" t="s">
        <v>2263</v>
      </c>
    </row>
    <row r="7914" spans="1:1" x14ac:dyDescent="0.25">
      <c r="A7914" t="s">
        <v>7870</v>
      </c>
    </row>
    <row r="7916" spans="1:1" x14ac:dyDescent="0.25">
      <c r="A7916" t="s">
        <v>7871</v>
      </c>
    </row>
    <row r="7917" spans="1:1" x14ac:dyDescent="0.25">
      <c r="A7917" t="s">
        <v>7872</v>
      </c>
    </row>
    <row r="7918" spans="1:1" x14ac:dyDescent="0.25">
      <c r="A7918" t="s">
        <v>2329</v>
      </c>
    </row>
    <row r="7919" spans="1:1" x14ac:dyDescent="0.25">
      <c r="A7919" t="s">
        <v>7825</v>
      </c>
    </row>
    <row r="7920" spans="1:1" x14ac:dyDescent="0.25">
      <c r="A7920" t="s">
        <v>7873</v>
      </c>
    </row>
    <row r="7921" spans="1:1" x14ac:dyDescent="0.25">
      <c r="A7921" t="s">
        <v>7874</v>
      </c>
    </row>
    <row r="7922" spans="1:1" x14ac:dyDescent="0.25">
      <c r="A7922" t="s">
        <v>7875</v>
      </c>
    </row>
    <row r="7924" spans="1:1" x14ac:dyDescent="0.25">
      <c r="A7924" t="s">
        <v>7876</v>
      </c>
    </row>
    <row r="7925" spans="1:1" x14ac:dyDescent="0.25">
      <c r="A7925" t="s">
        <v>7877</v>
      </c>
    </row>
    <row r="7926" spans="1:1" x14ac:dyDescent="0.25">
      <c r="A7926" t="s">
        <v>7878</v>
      </c>
    </row>
    <row r="7927" spans="1:1" x14ac:dyDescent="0.25">
      <c r="A7927" t="s">
        <v>7879</v>
      </c>
    </row>
    <row r="7928" spans="1:1" x14ac:dyDescent="0.25">
      <c r="A7928" t="s">
        <v>7880</v>
      </c>
    </row>
    <row r="7929" spans="1:1" x14ac:dyDescent="0.25">
      <c r="A7929" t="s">
        <v>3288</v>
      </c>
    </row>
    <row r="7930" spans="1:1" x14ac:dyDescent="0.25">
      <c r="A7930" t="s">
        <v>7881</v>
      </c>
    </row>
    <row r="7931" spans="1:1" x14ac:dyDescent="0.25">
      <c r="A7931" t="s">
        <v>7882</v>
      </c>
    </row>
    <row r="7932" spans="1:1" x14ac:dyDescent="0.25">
      <c r="A7932" t="s">
        <v>7883</v>
      </c>
    </row>
    <row r="7933" spans="1:1" x14ac:dyDescent="0.25">
      <c r="A7933" t="s">
        <v>7884</v>
      </c>
    </row>
    <row r="7934" spans="1:1" x14ac:dyDescent="0.25">
      <c r="A7934" t="s">
        <v>7885</v>
      </c>
    </row>
    <row r="7935" spans="1:1" x14ac:dyDescent="0.25">
      <c r="A7935" t="s">
        <v>7886</v>
      </c>
    </row>
    <row r="7936" spans="1:1" x14ac:dyDescent="0.25">
      <c r="A7936" t="s">
        <v>7887</v>
      </c>
    </row>
    <row r="7937" spans="1:1" x14ac:dyDescent="0.25">
      <c r="A7937" t="s">
        <v>7888</v>
      </c>
    </row>
    <row r="7938" spans="1:1" x14ac:dyDescent="0.25">
      <c r="A7938" t="s">
        <v>7889</v>
      </c>
    </row>
    <row r="7939" spans="1:1" x14ac:dyDescent="0.25">
      <c r="A7939" t="s">
        <v>7890</v>
      </c>
    </row>
    <row r="7940" spans="1:1" x14ac:dyDescent="0.25">
      <c r="A7940" t="s">
        <v>7891</v>
      </c>
    </row>
    <row r="7941" spans="1:1" x14ac:dyDescent="0.25">
      <c r="A7941" t="s">
        <v>7892</v>
      </c>
    </row>
    <row r="7942" spans="1:1" x14ac:dyDescent="0.25">
      <c r="A7942" t="s">
        <v>7893</v>
      </c>
    </row>
    <row r="7943" spans="1:1" x14ac:dyDescent="0.25">
      <c r="A7943" t="s">
        <v>7894</v>
      </c>
    </row>
    <row r="7944" spans="1:1" x14ac:dyDescent="0.25">
      <c r="A7944" t="s">
        <v>7895</v>
      </c>
    </row>
    <row r="7945" spans="1:1" x14ac:dyDescent="0.25">
      <c r="A7945" t="s">
        <v>7896</v>
      </c>
    </row>
    <row r="7946" spans="1:1" x14ac:dyDescent="0.25">
      <c r="A7946" t="s">
        <v>7308</v>
      </c>
    </row>
    <row r="7947" spans="1:1" x14ac:dyDescent="0.25">
      <c r="A7947" t="s">
        <v>7897</v>
      </c>
    </row>
    <row r="7948" spans="1:1" x14ac:dyDescent="0.25">
      <c r="A7948" t="s">
        <v>7898</v>
      </c>
    </row>
    <row r="7949" spans="1:1" x14ac:dyDescent="0.25">
      <c r="A7949" t="s">
        <v>7899</v>
      </c>
    </row>
    <row r="7951" spans="1:1" x14ac:dyDescent="0.25">
      <c r="A7951" t="s">
        <v>7900</v>
      </c>
    </row>
    <row r="7952" spans="1:1" x14ac:dyDescent="0.25">
      <c r="A7952" t="s">
        <v>7901</v>
      </c>
    </row>
    <row r="7953" spans="1:1" x14ac:dyDescent="0.25">
      <c r="A7953" t="s">
        <v>7902</v>
      </c>
    </row>
    <row r="7954" spans="1:1" x14ac:dyDescent="0.25">
      <c r="A7954" t="s">
        <v>3252</v>
      </c>
    </row>
    <row r="7955" spans="1:1" x14ac:dyDescent="0.25">
      <c r="A7955" t="s">
        <v>7903</v>
      </c>
    </row>
    <row r="7956" spans="1:1" x14ac:dyDescent="0.25">
      <c r="A7956" t="s">
        <v>7904</v>
      </c>
    </row>
    <row r="7957" spans="1:1" x14ac:dyDescent="0.25">
      <c r="A7957" t="s">
        <v>7905</v>
      </c>
    </row>
    <row r="7958" spans="1:1" x14ac:dyDescent="0.25">
      <c r="A7958" t="s">
        <v>7906</v>
      </c>
    </row>
    <row r="7959" spans="1:1" x14ac:dyDescent="0.25">
      <c r="A7959" t="s">
        <v>7907</v>
      </c>
    </row>
    <row r="7960" spans="1:1" x14ac:dyDescent="0.25">
      <c r="A7960" t="s">
        <v>7908</v>
      </c>
    </row>
    <row r="7961" spans="1:1" x14ac:dyDescent="0.25">
      <c r="A7961" t="s">
        <v>7909</v>
      </c>
    </row>
    <row r="7963" spans="1:1" x14ac:dyDescent="0.25">
      <c r="A7963" t="s">
        <v>7910</v>
      </c>
    </row>
    <row r="7964" spans="1:1" x14ac:dyDescent="0.25">
      <c r="A7964" t="s">
        <v>7911</v>
      </c>
    </row>
    <row r="7965" spans="1:1" x14ac:dyDescent="0.25">
      <c r="A7965" t="s">
        <v>7912</v>
      </c>
    </row>
    <row r="7966" spans="1:1" x14ac:dyDescent="0.25">
      <c r="A7966" t="s">
        <v>7913</v>
      </c>
    </row>
    <row r="7967" spans="1:1" x14ac:dyDescent="0.25">
      <c r="A7967" t="s">
        <v>7914</v>
      </c>
    </row>
    <row r="7968" spans="1:1" x14ac:dyDescent="0.25">
      <c r="A7968" t="s">
        <v>7915</v>
      </c>
    </row>
    <row r="7969" spans="1:1" x14ac:dyDescent="0.25">
      <c r="A7969" t="s">
        <v>7916</v>
      </c>
    </row>
    <row r="7970" spans="1:1" x14ac:dyDescent="0.25">
      <c r="A7970" t="s">
        <v>7917</v>
      </c>
    </row>
    <row r="7971" spans="1:1" x14ac:dyDescent="0.25">
      <c r="A7971" t="s">
        <v>7918</v>
      </c>
    </row>
    <row r="7972" spans="1:1" x14ac:dyDescent="0.25">
      <c r="A7972" t="s">
        <v>7919</v>
      </c>
    </row>
    <row r="7973" spans="1:1" x14ac:dyDescent="0.25">
      <c r="A7973" t="s">
        <v>7920</v>
      </c>
    </row>
    <row r="7974" spans="1:1" x14ac:dyDescent="0.25">
      <c r="A7974" t="s">
        <v>3030</v>
      </c>
    </row>
    <row r="7975" spans="1:1" x14ac:dyDescent="0.25">
      <c r="A7975" t="s">
        <v>7921</v>
      </c>
    </row>
    <row r="7976" spans="1:1" x14ac:dyDescent="0.25">
      <c r="A7976" t="s">
        <v>2973</v>
      </c>
    </row>
    <row r="7977" spans="1:1" x14ac:dyDescent="0.25">
      <c r="A7977" t="s">
        <v>2595</v>
      </c>
    </row>
    <row r="7978" spans="1:1" x14ac:dyDescent="0.25">
      <c r="A7978" t="s">
        <v>7922</v>
      </c>
    </row>
    <row r="7979" spans="1:1" x14ac:dyDescent="0.25">
      <c r="A7979" t="s">
        <v>7923</v>
      </c>
    </row>
    <row r="7980" spans="1:1" x14ac:dyDescent="0.25">
      <c r="A7980" t="s">
        <v>7924</v>
      </c>
    </row>
    <row r="7981" spans="1:1" x14ac:dyDescent="0.25">
      <c r="A7981" t="s">
        <v>7925</v>
      </c>
    </row>
    <row r="7982" spans="1:1" x14ac:dyDescent="0.25">
      <c r="A7982" t="s">
        <v>7926</v>
      </c>
    </row>
    <row r="7983" spans="1:1" x14ac:dyDescent="0.25">
      <c r="A7983" t="s">
        <v>7927</v>
      </c>
    </row>
    <row r="7984" spans="1:1" x14ac:dyDescent="0.25">
      <c r="A7984" t="s">
        <v>7928</v>
      </c>
    </row>
    <row r="7985" spans="1:1" x14ac:dyDescent="0.25">
      <c r="A7985" t="s">
        <v>7929</v>
      </c>
    </row>
    <row r="7986" spans="1:1" x14ac:dyDescent="0.25">
      <c r="A7986" t="s">
        <v>7930</v>
      </c>
    </row>
    <row r="7989" spans="1:1" x14ac:dyDescent="0.25">
      <c r="A7989" t="s">
        <v>7931</v>
      </c>
    </row>
    <row r="7990" spans="1:1" x14ac:dyDescent="0.25">
      <c r="A7990" t="s">
        <v>7932</v>
      </c>
    </row>
    <row r="7991" spans="1:1" x14ac:dyDescent="0.25">
      <c r="A7991" t="s">
        <v>7933</v>
      </c>
    </row>
    <row r="7992" spans="1:1" x14ac:dyDescent="0.25">
      <c r="A7992" t="s">
        <v>7934</v>
      </c>
    </row>
    <row r="7993" spans="1:1" x14ac:dyDescent="0.25">
      <c r="A7993" t="s">
        <v>7935</v>
      </c>
    </row>
    <row r="7994" spans="1:1" x14ac:dyDescent="0.25">
      <c r="A7994" t="s">
        <v>7936</v>
      </c>
    </row>
    <row r="7995" spans="1:1" x14ac:dyDescent="0.25">
      <c r="A7995" t="s">
        <v>7937</v>
      </c>
    </row>
    <row r="7996" spans="1:1" x14ac:dyDescent="0.25">
      <c r="A7996" t="s">
        <v>7938</v>
      </c>
    </row>
    <row r="7997" spans="1:1" x14ac:dyDescent="0.25">
      <c r="A7997" t="s">
        <v>7939</v>
      </c>
    </row>
    <row r="7999" spans="1:1" x14ac:dyDescent="0.25">
      <c r="A7999" t="s">
        <v>7940</v>
      </c>
    </row>
    <row r="8000" spans="1:1" x14ac:dyDescent="0.25">
      <c r="A8000" t="s">
        <v>7941</v>
      </c>
    </row>
    <row r="8001" spans="1:1" x14ac:dyDescent="0.25">
      <c r="A8001" t="s">
        <v>7942</v>
      </c>
    </row>
    <row r="8002" spans="1:1" x14ac:dyDescent="0.25">
      <c r="A8002" t="s">
        <v>7943</v>
      </c>
    </row>
    <row r="8003" spans="1:1" x14ac:dyDescent="0.25">
      <c r="A8003" t="s">
        <v>7944</v>
      </c>
    </row>
    <row r="8004" spans="1:1" x14ac:dyDescent="0.25">
      <c r="A8004" t="s">
        <v>7945</v>
      </c>
    </row>
    <row r="8005" spans="1:1" x14ac:dyDescent="0.25">
      <c r="A8005" t="s">
        <v>7946</v>
      </c>
    </row>
    <row r="8006" spans="1:1" x14ac:dyDescent="0.25">
      <c r="A8006" t="s">
        <v>7947</v>
      </c>
    </row>
    <row r="8007" spans="1:1" x14ac:dyDescent="0.25">
      <c r="A8007" t="s">
        <v>7948</v>
      </c>
    </row>
    <row r="8008" spans="1:1" x14ac:dyDescent="0.25">
      <c r="A8008" t="s">
        <v>7949</v>
      </c>
    </row>
    <row r="8009" spans="1:1" x14ac:dyDescent="0.25">
      <c r="A8009" t="s">
        <v>7950</v>
      </c>
    </row>
    <row r="8010" spans="1:1" x14ac:dyDescent="0.25">
      <c r="A8010" t="s">
        <v>7951</v>
      </c>
    </row>
    <row r="8011" spans="1:1" x14ac:dyDescent="0.25">
      <c r="A8011" t="s">
        <v>7952</v>
      </c>
    </row>
    <row r="8012" spans="1:1" x14ac:dyDescent="0.25">
      <c r="A8012" t="s">
        <v>7953</v>
      </c>
    </row>
    <row r="8013" spans="1:1" x14ac:dyDescent="0.25">
      <c r="A8013" t="s">
        <v>7954</v>
      </c>
    </row>
    <row r="8014" spans="1:1" x14ac:dyDescent="0.25">
      <c r="A8014" t="s">
        <v>7955</v>
      </c>
    </row>
    <row r="8015" spans="1:1" x14ac:dyDescent="0.25">
      <c r="A8015" t="s">
        <v>7956</v>
      </c>
    </row>
    <row r="8016" spans="1:1" x14ac:dyDescent="0.25">
      <c r="A8016" t="s">
        <v>7957</v>
      </c>
    </row>
    <row r="8017" spans="1:1" x14ac:dyDescent="0.25">
      <c r="A8017" t="s">
        <v>7958</v>
      </c>
    </row>
    <row r="8018" spans="1:1" x14ac:dyDescent="0.25">
      <c r="A8018" t="s">
        <v>2421</v>
      </c>
    </row>
    <row r="8019" spans="1:1" x14ac:dyDescent="0.25">
      <c r="A8019" t="s">
        <v>7959</v>
      </c>
    </row>
    <row r="8020" spans="1:1" x14ac:dyDescent="0.25">
      <c r="A8020" t="s">
        <v>7960</v>
      </c>
    </row>
    <row r="8021" spans="1:1" x14ac:dyDescent="0.25">
      <c r="A8021" t="s">
        <v>2426</v>
      </c>
    </row>
    <row r="8022" spans="1:1" x14ac:dyDescent="0.25">
      <c r="A8022" t="s">
        <v>7961</v>
      </c>
    </row>
    <row r="8023" spans="1:1" x14ac:dyDescent="0.25">
      <c r="A8023" t="s">
        <v>7962</v>
      </c>
    </row>
    <row r="8024" spans="1:1" x14ac:dyDescent="0.25">
      <c r="A8024" t="s">
        <v>7963</v>
      </c>
    </row>
    <row r="8025" spans="1:1" x14ac:dyDescent="0.25">
      <c r="A8025" t="s">
        <v>7964</v>
      </c>
    </row>
    <row r="8026" spans="1:1" x14ac:dyDescent="0.25">
      <c r="A8026" t="s">
        <v>7965</v>
      </c>
    </row>
    <row r="8027" spans="1:1" x14ac:dyDescent="0.25">
      <c r="A8027" t="s">
        <v>7966</v>
      </c>
    </row>
    <row r="8028" spans="1:1" x14ac:dyDescent="0.25">
      <c r="A8028" t="s">
        <v>7967</v>
      </c>
    </row>
    <row r="8029" spans="1:1" x14ac:dyDescent="0.25">
      <c r="A8029" t="s">
        <v>3030</v>
      </c>
    </row>
    <row r="8030" spans="1:1" x14ac:dyDescent="0.25">
      <c r="A8030" t="s">
        <v>7968</v>
      </c>
    </row>
    <row r="8031" spans="1:1" x14ac:dyDescent="0.25">
      <c r="A8031" t="s">
        <v>2333</v>
      </c>
    </row>
    <row r="8032" spans="1:1" x14ac:dyDescent="0.25">
      <c r="A8032" t="s">
        <v>2926</v>
      </c>
    </row>
    <row r="8033" spans="1:1" x14ac:dyDescent="0.25">
      <c r="A8033" t="s">
        <v>7969</v>
      </c>
    </row>
    <row r="8034" spans="1:1" x14ac:dyDescent="0.25">
      <c r="A8034" t="s">
        <v>7970</v>
      </c>
    </row>
    <row r="8035" spans="1:1" x14ac:dyDescent="0.25">
      <c r="A8035" t="s">
        <v>7971</v>
      </c>
    </row>
    <row r="8036" spans="1:1" x14ac:dyDescent="0.25">
      <c r="A8036" t="s">
        <v>7972</v>
      </c>
    </row>
    <row r="8037" spans="1:1" x14ac:dyDescent="0.25">
      <c r="A8037" t="s">
        <v>7973</v>
      </c>
    </row>
    <row r="8038" spans="1:1" x14ac:dyDescent="0.25">
      <c r="A8038" t="s">
        <v>7974</v>
      </c>
    </row>
    <row r="8039" spans="1:1" x14ac:dyDescent="0.25">
      <c r="A8039" t="s">
        <v>7975</v>
      </c>
    </row>
    <row r="8040" spans="1:1" x14ac:dyDescent="0.25">
      <c r="A8040" t="s">
        <v>7976</v>
      </c>
    </row>
    <row r="8041" spans="1:1" x14ac:dyDescent="0.25">
      <c r="A8041" t="s">
        <v>7977</v>
      </c>
    </row>
    <row r="8042" spans="1:1" x14ac:dyDescent="0.25">
      <c r="A8042" t="s">
        <v>7978</v>
      </c>
    </row>
    <row r="8043" spans="1:1" x14ac:dyDescent="0.25">
      <c r="A8043" t="s">
        <v>7979</v>
      </c>
    </row>
    <row r="8044" spans="1:1" x14ac:dyDescent="0.25">
      <c r="A8044" t="s">
        <v>7980</v>
      </c>
    </row>
    <row r="8045" spans="1:1" x14ac:dyDescent="0.25">
      <c r="A8045" t="s">
        <v>7981</v>
      </c>
    </row>
    <row r="8046" spans="1:1" x14ac:dyDescent="0.25">
      <c r="A8046" t="s">
        <v>7982</v>
      </c>
    </row>
    <row r="8047" spans="1:1" x14ac:dyDescent="0.25">
      <c r="A8047" t="s">
        <v>7983</v>
      </c>
    </row>
    <row r="8049" spans="1:1" x14ac:dyDescent="0.25">
      <c r="A8049" t="s">
        <v>7984</v>
      </c>
    </row>
    <row r="8050" spans="1:1" x14ac:dyDescent="0.25">
      <c r="A8050" t="s">
        <v>3691</v>
      </c>
    </row>
    <row r="8051" spans="1:1" x14ac:dyDescent="0.25">
      <c r="A8051" t="s">
        <v>7985</v>
      </c>
    </row>
    <row r="8052" spans="1:1" x14ac:dyDescent="0.25">
      <c r="A8052" t="s">
        <v>7986</v>
      </c>
    </row>
    <row r="8053" spans="1:1" x14ac:dyDescent="0.25">
      <c r="A8053" t="s">
        <v>3287</v>
      </c>
    </row>
    <row r="8054" spans="1:1" x14ac:dyDescent="0.25">
      <c r="A8054" t="s">
        <v>7987</v>
      </c>
    </row>
    <row r="8055" spans="1:1" x14ac:dyDescent="0.25">
      <c r="A8055" t="s">
        <v>7988</v>
      </c>
    </row>
    <row r="8056" spans="1:1" x14ac:dyDescent="0.25">
      <c r="A8056" t="s">
        <v>7989</v>
      </c>
    </row>
    <row r="8057" spans="1:1" x14ac:dyDescent="0.25">
      <c r="A8057" t="s">
        <v>7990</v>
      </c>
    </row>
    <row r="8058" spans="1:1" x14ac:dyDescent="0.25">
      <c r="A8058" t="s">
        <v>7991</v>
      </c>
    </row>
    <row r="8059" spans="1:1" x14ac:dyDescent="0.25">
      <c r="A8059" t="s">
        <v>7992</v>
      </c>
    </row>
    <row r="8060" spans="1:1" x14ac:dyDescent="0.25">
      <c r="A8060" t="s">
        <v>7993</v>
      </c>
    </row>
    <row r="8061" spans="1:1" x14ac:dyDescent="0.25">
      <c r="A8061" t="s">
        <v>7994</v>
      </c>
    </row>
    <row r="8062" spans="1:1" x14ac:dyDescent="0.25">
      <c r="A8062" t="s">
        <v>7995</v>
      </c>
    </row>
    <row r="8063" spans="1:1" x14ac:dyDescent="0.25">
      <c r="A8063" t="s">
        <v>7996</v>
      </c>
    </row>
    <row r="8064" spans="1:1" x14ac:dyDescent="0.25">
      <c r="A8064" t="s">
        <v>7997</v>
      </c>
    </row>
    <row r="8066" spans="1:1" x14ac:dyDescent="0.25">
      <c r="A8066" t="s">
        <v>7998</v>
      </c>
    </row>
    <row r="8067" spans="1:1" x14ac:dyDescent="0.25">
      <c r="A8067" t="s">
        <v>2944</v>
      </c>
    </row>
    <row r="8068" spans="1:1" x14ac:dyDescent="0.25">
      <c r="A8068" t="s">
        <v>7999</v>
      </c>
    </row>
    <row r="8069" spans="1:1" x14ac:dyDescent="0.25">
      <c r="A8069" t="s">
        <v>2945</v>
      </c>
    </row>
    <row r="8070" spans="1:1" x14ac:dyDescent="0.25">
      <c r="A8070" t="s">
        <v>8000</v>
      </c>
    </row>
    <row r="8071" spans="1:1" x14ac:dyDescent="0.25">
      <c r="A8071" t="s">
        <v>8001</v>
      </c>
    </row>
    <row r="8072" spans="1:1" x14ac:dyDescent="0.25">
      <c r="A8072" t="s">
        <v>8002</v>
      </c>
    </row>
    <row r="8073" spans="1:1" x14ac:dyDescent="0.25">
      <c r="A8073" t="s">
        <v>8003</v>
      </c>
    </row>
    <row r="8074" spans="1:1" x14ac:dyDescent="0.25">
      <c r="A8074" t="s">
        <v>8004</v>
      </c>
    </row>
    <row r="8075" spans="1:1" x14ac:dyDescent="0.25">
      <c r="A8075" t="s">
        <v>8005</v>
      </c>
    </row>
    <row r="8076" spans="1:1" x14ac:dyDescent="0.25">
      <c r="A8076" t="s">
        <v>8006</v>
      </c>
    </row>
    <row r="8077" spans="1:1" x14ac:dyDescent="0.25">
      <c r="A8077" t="s">
        <v>8007</v>
      </c>
    </row>
    <row r="8078" spans="1:1" x14ac:dyDescent="0.25">
      <c r="A8078" t="s">
        <v>8008</v>
      </c>
    </row>
    <row r="8079" spans="1:1" x14ac:dyDescent="0.25">
      <c r="A8079" t="s">
        <v>8009</v>
      </c>
    </row>
    <row r="8080" spans="1:1" x14ac:dyDescent="0.25">
      <c r="A8080" t="s">
        <v>8010</v>
      </c>
    </row>
    <row r="8081" spans="1:1" x14ac:dyDescent="0.25">
      <c r="A8081" t="s">
        <v>8011</v>
      </c>
    </row>
    <row r="8082" spans="1:1" x14ac:dyDescent="0.25">
      <c r="A8082" t="s">
        <v>8012</v>
      </c>
    </row>
    <row r="8083" spans="1:1" x14ac:dyDescent="0.25">
      <c r="A8083" t="s">
        <v>8013</v>
      </c>
    </row>
    <row r="8084" spans="1:1" x14ac:dyDescent="0.25">
      <c r="A8084" t="s">
        <v>8014</v>
      </c>
    </row>
    <row r="8085" spans="1:1" x14ac:dyDescent="0.25">
      <c r="A8085" t="s">
        <v>8015</v>
      </c>
    </row>
    <row r="8086" spans="1:1" x14ac:dyDescent="0.25">
      <c r="A8086" t="s">
        <v>8016</v>
      </c>
    </row>
    <row r="8087" spans="1:1" x14ac:dyDescent="0.25">
      <c r="A8087" t="s">
        <v>8017</v>
      </c>
    </row>
    <row r="8088" spans="1:1" x14ac:dyDescent="0.25">
      <c r="A8088" t="s">
        <v>8018</v>
      </c>
    </row>
    <row r="8089" spans="1:1" x14ac:dyDescent="0.25">
      <c r="A8089" t="s">
        <v>8019</v>
      </c>
    </row>
    <row r="8090" spans="1:1" x14ac:dyDescent="0.25">
      <c r="A8090" t="s">
        <v>8020</v>
      </c>
    </row>
    <row r="8091" spans="1:1" x14ac:dyDescent="0.25">
      <c r="A8091" t="s">
        <v>8021</v>
      </c>
    </row>
    <row r="8092" spans="1:1" x14ac:dyDescent="0.25">
      <c r="A8092" t="s">
        <v>8022</v>
      </c>
    </row>
    <row r="8093" spans="1:1" x14ac:dyDescent="0.25">
      <c r="A8093" t="s">
        <v>2925</v>
      </c>
    </row>
    <row r="8094" spans="1:1" x14ac:dyDescent="0.25">
      <c r="A8094" t="s">
        <v>2595</v>
      </c>
    </row>
    <row r="8095" spans="1:1" x14ac:dyDescent="0.25">
      <c r="A8095" t="s">
        <v>8023</v>
      </c>
    </row>
    <row r="8096" spans="1:1" x14ac:dyDescent="0.25">
      <c r="A8096" t="s">
        <v>8024</v>
      </c>
    </row>
    <row r="8097" spans="1:1" x14ac:dyDescent="0.25">
      <c r="A8097" t="s">
        <v>8025</v>
      </c>
    </row>
    <row r="8098" spans="1:1" x14ac:dyDescent="0.25">
      <c r="A8098" t="s">
        <v>8026</v>
      </c>
    </row>
    <row r="8099" spans="1:1" x14ac:dyDescent="0.25">
      <c r="A8099" t="s">
        <v>8027</v>
      </c>
    </row>
    <row r="8100" spans="1:1" x14ac:dyDescent="0.25">
      <c r="A8100" t="s">
        <v>8028</v>
      </c>
    </row>
    <row r="8101" spans="1:1" x14ac:dyDescent="0.25">
      <c r="A8101" t="s">
        <v>8029</v>
      </c>
    </row>
    <row r="8102" spans="1:1" x14ac:dyDescent="0.25">
      <c r="A8102" t="s">
        <v>8030</v>
      </c>
    </row>
    <row r="8103" spans="1:1" x14ac:dyDescent="0.25">
      <c r="A8103" t="s">
        <v>8031</v>
      </c>
    </row>
    <row r="8104" spans="1:1" x14ac:dyDescent="0.25">
      <c r="A8104" t="s">
        <v>2333</v>
      </c>
    </row>
    <row r="8105" spans="1:1" x14ac:dyDescent="0.25">
      <c r="A8105" t="s">
        <v>7869</v>
      </c>
    </row>
    <row r="8106" spans="1:1" x14ac:dyDescent="0.25">
      <c r="A8106" t="s">
        <v>2263</v>
      </c>
    </row>
    <row r="8107" spans="1:1" x14ac:dyDescent="0.25">
      <c r="A8107" t="s">
        <v>8032</v>
      </c>
    </row>
    <row r="8108" spans="1:1" x14ac:dyDescent="0.25">
      <c r="A8108" t="s">
        <v>8033</v>
      </c>
    </row>
    <row r="8109" spans="1:1" x14ac:dyDescent="0.25">
      <c r="A8109" t="s">
        <v>8034</v>
      </c>
    </row>
    <row r="8110" spans="1:1" x14ac:dyDescent="0.25">
      <c r="A8110" t="s">
        <v>8035</v>
      </c>
    </row>
    <row r="8111" spans="1:1" x14ac:dyDescent="0.25">
      <c r="A8111" t="s">
        <v>8036</v>
      </c>
    </row>
    <row r="8112" spans="1:1" x14ac:dyDescent="0.25">
      <c r="A8112" t="s">
        <v>8037</v>
      </c>
    </row>
    <row r="8113" spans="1:1" x14ac:dyDescent="0.25">
      <c r="A8113" t="s">
        <v>8038</v>
      </c>
    </row>
    <row r="8114" spans="1:1" x14ac:dyDescent="0.25">
      <c r="A8114" t="s">
        <v>7880</v>
      </c>
    </row>
    <row r="8115" spans="1:1" x14ac:dyDescent="0.25">
      <c r="A8115" t="s">
        <v>3288</v>
      </c>
    </row>
    <row r="8116" spans="1:1" x14ac:dyDescent="0.25">
      <c r="A8116" t="s">
        <v>8039</v>
      </c>
    </row>
    <row r="8117" spans="1:1" x14ac:dyDescent="0.25">
      <c r="A8117" t="s">
        <v>8040</v>
      </c>
    </row>
    <row r="8118" spans="1:1" x14ac:dyDescent="0.25">
      <c r="A8118" t="s">
        <v>8041</v>
      </c>
    </row>
    <row r="8119" spans="1:1" x14ac:dyDescent="0.25">
      <c r="A8119" t="s">
        <v>8042</v>
      </c>
    </row>
    <row r="8120" spans="1:1" x14ac:dyDescent="0.25">
      <c r="A8120" t="s">
        <v>8043</v>
      </c>
    </row>
    <row r="8121" spans="1:1" x14ac:dyDescent="0.25">
      <c r="A8121" t="s">
        <v>8044</v>
      </c>
    </row>
    <row r="8122" spans="1:1" x14ac:dyDescent="0.25">
      <c r="A8122" t="s">
        <v>8045</v>
      </c>
    </row>
    <row r="8123" spans="1:1" x14ac:dyDescent="0.25">
      <c r="A8123" t="s">
        <v>8046</v>
      </c>
    </row>
    <row r="8124" spans="1:1" x14ac:dyDescent="0.25">
      <c r="A8124" t="s">
        <v>8047</v>
      </c>
    </row>
    <row r="8125" spans="1:1" x14ac:dyDescent="0.25">
      <c r="A8125" t="s">
        <v>6988</v>
      </c>
    </row>
    <row r="8126" spans="1:1" x14ac:dyDescent="0.25">
      <c r="A8126" t="s">
        <v>8048</v>
      </c>
    </row>
    <row r="8128" spans="1:1" x14ac:dyDescent="0.25">
      <c r="A8128" t="s">
        <v>8049</v>
      </c>
    </row>
    <row r="8129" spans="1:1" x14ac:dyDescent="0.25">
      <c r="A8129" t="s">
        <v>2920</v>
      </c>
    </row>
    <row r="8130" spans="1:1" x14ac:dyDescent="0.25">
      <c r="A8130" t="s">
        <v>8050</v>
      </c>
    </row>
    <row r="8131" spans="1:1" x14ac:dyDescent="0.25">
      <c r="A8131" t="s">
        <v>8051</v>
      </c>
    </row>
    <row r="8132" spans="1:1" x14ac:dyDescent="0.25">
      <c r="A8132" t="s">
        <v>2971</v>
      </c>
    </row>
    <row r="8133" spans="1:1" x14ac:dyDescent="0.25">
      <c r="A8133" t="s">
        <v>8031</v>
      </c>
    </row>
    <row r="8134" spans="1:1" x14ac:dyDescent="0.25">
      <c r="A8134" t="s">
        <v>2973</v>
      </c>
    </row>
    <row r="8135" spans="1:1" x14ac:dyDescent="0.25">
      <c r="A8135" t="s">
        <v>7869</v>
      </c>
    </row>
    <row r="8136" spans="1:1" x14ac:dyDescent="0.25">
      <c r="A8136" t="s">
        <v>8052</v>
      </c>
    </row>
    <row r="8137" spans="1:1" x14ac:dyDescent="0.25">
      <c r="A8137" t="s">
        <v>8053</v>
      </c>
    </row>
    <row r="8138" spans="1:1" x14ac:dyDescent="0.25">
      <c r="A8138" t="s">
        <v>8054</v>
      </c>
    </row>
    <row r="8139" spans="1:1" x14ac:dyDescent="0.25">
      <c r="A8139" t="s">
        <v>8055</v>
      </c>
    </row>
    <row r="8140" spans="1:1" x14ac:dyDescent="0.25">
      <c r="A8140" t="s">
        <v>8056</v>
      </c>
    </row>
    <row r="8141" spans="1:1" x14ac:dyDescent="0.25">
      <c r="A8141" t="s">
        <v>8057</v>
      </c>
    </row>
    <row r="8142" spans="1:1" x14ac:dyDescent="0.25">
      <c r="A8142" t="s">
        <v>8058</v>
      </c>
    </row>
    <row r="8143" spans="1:1" x14ac:dyDescent="0.25">
      <c r="A8143" t="s">
        <v>8059</v>
      </c>
    </row>
    <row r="8144" spans="1:1" x14ac:dyDescent="0.25">
      <c r="A8144" t="s">
        <v>8060</v>
      </c>
    </row>
    <row r="8146" spans="1:1" x14ac:dyDescent="0.25">
      <c r="A8146" t="s">
        <v>8061</v>
      </c>
    </row>
    <row r="8147" spans="1:1" x14ac:dyDescent="0.25">
      <c r="A8147" t="s">
        <v>8062</v>
      </c>
    </row>
    <row r="8148" spans="1:1" x14ac:dyDescent="0.25">
      <c r="A8148" t="s">
        <v>8063</v>
      </c>
    </row>
    <row r="8149" spans="1:1" x14ac:dyDescent="0.25">
      <c r="A8149" t="s">
        <v>8064</v>
      </c>
    </row>
    <row r="8150" spans="1:1" x14ac:dyDescent="0.25">
      <c r="A8150" t="s">
        <v>8065</v>
      </c>
    </row>
    <row r="8151" spans="1:1" x14ac:dyDescent="0.25">
      <c r="A8151" t="s">
        <v>8066</v>
      </c>
    </row>
    <row r="8152" spans="1:1" x14ac:dyDescent="0.25">
      <c r="A8152" t="s">
        <v>8067</v>
      </c>
    </row>
    <row r="8153" spans="1:1" x14ac:dyDescent="0.25">
      <c r="A8153" t="s">
        <v>8068</v>
      </c>
    </row>
    <row r="8154" spans="1:1" x14ac:dyDescent="0.25">
      <c r="A8154" t="s">
        <v>8069</v>
      </c>
    </row>
    <row r="8155" spans="1:1" x14ac:dyDescent="0.25">
      <c r="A8155" t="s">
        <v>8070</v>
      </c>
    </row>
    <row r="8156" spans="1:1" x14ac:dyDescent="0.25">
      <c r="A8156" t="s">
        <v>8071</v>
      </c>
    </row>
    <row r="8157" spans="1:1" x14ac:dyDescent="0.25">
      <c r="A8157" t="s">
        <v>8072</v>
      </c>
    </row>
    <row r="8158" spans="1:1" x14ac:dyDescent="0.25">
      <c r="A8158" t="s">
        <v>8073</v>
      </c>
    </row>
    <row r="8159" spans="1:1" x14ac:dyDescent="0.25">
      <c r="A8159" t="s">
        <v>8074</v>
      </c>
    </row>
    <row r="8161" spans="1:1" x14ac:dyDescent="0.25">
      <c r="A8161" t="s">
        <v>8068</v>
      </c>
    </row>
    <row r="8162" spans="1:1" x14ac:dyDescent="0.25">
      <c r="A8162" t="s">
        <v>8075</v>
      </c>
    </row>
    <row r="8163" spans="1:1" x14ac:dyDescent="0.25">
      <c r="A8163" t="s">
        <v>8076</v>
      </c>
    </row>
    <row r="8164" spans="1:1" x14ac:dyDescent="0.25">
      <c r="A8164" t="s">
        <v>8077</v>
      </c>
    </row>
    <row r="8165" spans="1:1" x14ac:dyDescent="0.25">
      <c r="A8165" t="s">
        <v>8078</v>
      </c>
    </row>
    <row r="8166" spans="1:1" x14ac:dyDescent="0.25">
      <c r="A8166" t="s">
        <v>8079</v>
      </c>
    </row>
    <row r="8167" spans="1:1" x14ac:dyDescent="0.25">
      <c r="A8167" t="s">
        <v>3287</v>
      </c>
    </row>
    <row r="8168" spans="1:1" x14ac:dyDescent="0.25">
      <c r="A8168" t="s">
        <v>6726</v>
      </c>
    </row>
    <row r="8169" spans="1:1" x14ac:dyDescent="0.25">
      <c r="A8169" t="s">
        <v>6727</v>
      </c>
    </row>
    <row r="8170" spans="1:1" x14ac:dyDescent="0.25">
      <c r="A8170" t="s">
        <v>8080</v>
      </c>
    </row>
    <row r="8171" spans="1:1" x14ac:dyDescent="0.25">
      <c r="A8171" t="s">
        <v>8081</v>
      </c>
    </row>
    <row r="8172" spans="1:1" x14ac:dyDescent="0.25">
      <c r="A8172" t="s">
        <v>1328</v>
      </c>
    </row>
    <row r="8173" spans="1:1" x14ac:dyDescent="0.25">
      <c r="A8173" t="s">
        <v>8082</v>
      </c>
    </row>
    <row r="8174" spans="1:1" x14ac:dyDescent="0.25">
      <c r="A8174" t="s">
        <v>8083</v>
      </c>
    </row>
    <row r="8175" spans="1:1" x14ac:dyDescent="0.25">
      <c r="A8175" t="s">
        <v>8084</v>
      </c>
    </row>
    <row r="8176" spans="1:1" x14ac:dyDescent="0.25">
      <c r="A8176" t="s">
        <v>8085</v>
      </c>
    </row>
    <row r="8177" spans="1:1" x14ac:dyDescent="0.25">
      <c r="A8177" t="s">
        <v>3815</v>
      </c>
    </row>
    <row r="8178" spans="1:1" x14ac:dyDescent="0.25">
      <c r="A8178" t="s">
        <v>3288</v>
      </c>
    </row>
    <row r="8179" spans="1:1" x14ac:dyDescent="0.25">
      <c r="A8179" t="s">
        <v>8086</v>
      </c>
    </row>
    <row r="8180" spans="1:1" x14ac:dyDescent="0.25">
      <c r="A8180" t="s">
        <v>8087</v>
      </c>
    </row>
    <row r="8181" spans="1:1" x14ac:dyDescent="0.25">
      <c r="A8181" t="s">
        <v>8088</v>
      </c>
    </row>
    <row r="8182" spans="1:1" x14ac:dyDescent="0.25">
      <c r="A8182" t="s">
        <v>8089</v>
      </c>
    </row>
    <row r="8184" spans="1:1" x14ac:dyDescent="0.25">
      <c r="A8184" t="s">
        <v>8090</v>
      </c>
    </row>
    <row r="8185" spans="1:1" x14ac:dyDescent="0.25">
      <c r="A8185" t="s">
        <v>8091</v>
      </c>
    </row>
    <row r="8186" spans="1:1" x14ac:dyDescent="0.25">
      <c r="A8186" t="s">
        <v>8092</v>
      </c>
    </row>
    <row r="8187" spans="1:1" x14ac:dyDescent="0.25">
      <c r="A8187" t="s">
        <v>8093</v>
      </c>
    </row>
    <row r="8188" spans="1:1" x14ac:dyDescent="0.25">
      <c r="A8188" t="s">
        <v>8094</v>
      </c>
    </row>
    <row r="8189" spans="1:1" x14ac:dyDescent="0.25">
      <c r="A8189" t="s">
        <v>8095</v>
      </c>
    </row>
    <row r="8190" spans="1:1" x14ac:dyDescent="0.25">
      <c r="A8190" t="s">
        <v>8096</v>
      </c>
    </row>
    <row r="8191" spans="1:1" x14ac:dyDescent="0.25">
      <c r="A8191" t="s">
        <v>8097</v>
      </c>
    </row>
    <row r="8192" spans="1:1" x14ac:dyDescent="0.25">
      <c r="A8192" t="s">
        <v>8098</v>
      </c>
    </row>
    <row r="8193" spans="1:2" x14ac:dyDescent="0.25">
      <c r="A8193" t="s">
        <v>7863</v>
      </c>
    </row>
    <row r="8194" spans="1:2" x14ac:dyDescent="0.25">
      <c r="A8194" t="s">
        <v>8099</v>
      </c>
    </row>
    <row r="8195" spans="1:2" x14ac:dyDescent="0.25">
      <c r="A8195" t="s">
        <v>3029</v>
      </c>
    </row>
    <row r="8196" spans="1:2" x14ac:dyDescent="0.25">
      <c r="A8196" t="s">
        <v>8100</v>
      </c>
    </row>
    <row r="8197" spans="1:2" x14ac:dyDescent="0.25">
      <c r="A8197" t="s">
        <v>8101</v>
      </c>
    </row>
    <row r="8198" spans="1:2" x14ac:dyDescent="0.25">
      <c r="A8198" t="s">
        <v>8102</v>
      </c>
    </row>
    <row r="8199" spans="1:2" x14ac:dyDescent="0.25">
      <c r="A8199" t="s">
        <v>8103</v>
      </c>
    </row>
    <row r="8200" spans="1:2" x14ac:dyDescent="0.25">
      <c r="A8200" t="s">
        <v>8104</v>
      </c>
    </row>
    <row r="8201" spans="1:2" x14ac:dyDescent="0.25">
      <c r="A8201" t="s">
        <v>8105</v>
      </c>
    </row>
    <row r="8202" spans="1:2" x14ac:dyDescent="0.25">
      <c r="A8202" t="s">
        <v>8106</v>
      </c>
    </row>
    <row r="8203" spans="1:2" x14ac:dyDescent="0.25">
      <c r="A8203" t="s">
        <v>8107</v>
      </c>
    </row>
    <row r="8204" spans="1:2" x14ac:dyDescent="0.25">
      <c r="A8204" t="s">
        <v>8108</v>
      </c>
    </row>
    <row r="8205" spans="1:2" x14ac:dyDescent="0.25">
      <c r="A8205" t="s">
        <v>8109</v>
      </c>
    </row>
    <row r="8206" spans="1:2" x14ac:dyDescent="0.25">
      <c r="A8206" t="s">
        <v>8110</v>
      </c>
    </row>
    <row r="8207" spans="1:2" x14ac:dyDescent="0.25">
      <c r="A8207" t="s">
        <v>8111</v>
      </c>
    </row>
    <row r="8208" spans="1:2" x14ac:dyDescent="0.25">
      <c r="A8208" t="s">
        <v>8112</v>
      </c>
      <c r="B8208" t="s">
        <v>8113</v>
      </c>
    </row>
    <row r="8209" spans="1:1" x14ac:dyDescent="0.25">
      <c r="A8209" t="s">
        <v>8114</v>
      </c>
    </row>
    <row r="8210" spans="1:1" x14ac:dyDescent="0.25">
      <c r="A8210" t="s">
        <v>8115</v>
      </c>
    </row>
    <row r="8211" spans="1:1" x14ac:dyDescent="0.25">
      <c r="A8211" t="s">
        <v>8116</v>
      </c>
    </row>
    <row r="8212" spans="1:1" x14ac:dyDescent="0.25">
      <c r="A8212" t="s">
        <v>8117</v>
      </c>
    </row>
    <row r="8213" spans="1:1" x14ac:dyDescent="0.25">
      <c r="A8213" t="s">
        <v>8118</v>
      </c>
    </row>
    <row r="8214" spans="1:1" x14ac:dyDescent="0.25">
      <c r="A8214" s="55">
        <v>43945</v>
      </c>
    </row>
    <row r="8215" spans="1:1" x14ac:dyDescent="0.25">
      <c r="A8215" t="s">
        <v>8119</v>
      </c>
    </row>
    <row r="8216" spans="1:1" x14ac:dyDescent="0.25">
      <c r="A8216" t="s">
        <v>8120</v>
      </c>
    </row>
    <row r="8217" spans="1:1" x14ac:dyDescent="0.25">
      <c r="A8217" t="s">
        <v>8121</v>
      </c>
    </row>
    <row r="8218" spans="1:1" x14ac:dyDescent="0.25">
      <c r="A8218" t="s">
        <v>8122</v>
      </c>
    </row>
    <row r="8219" spans="1:1" x14ac:dyDescent="0.25">
      <c r="A8219" t="s">
        <v>8123</v>
      </c>
    </row>
    <row r="8220" spans="1:1" x14ac:dyDescent="0.25">
      <c r="A8220" t="s">
        <v>8124</v>
      </c>
    </row>
    <row r="8221" spans="1:1" x14ac:dyDescent="0.25">
      <c r="A8221" t="s">
        <v>1329</v>
      </c>
    </row>
    <row r="8222" spans="1:1" x14ac:dyDescent="0.25">
      <c r="A8222" t="s">
        <v>8125</v>
      </c>
    </row>
    <row r="8223" spans="1:1" x14ac:dyDescent="0.25">
      <c r="A8223" t="s">
        <v>8126</v>
      </c>
    </row>
    <row r="8224" spans="1:1" x14ac:dyDescent="0.25">
      <c r="A8224" t="s">
        <v>8127</v>
      </c>
    </row>
    <row r="8225" spans="1:1" x14ac:dyDescent="0.25">
      <c r="A8225" t="s">
        <v>8128</v>
      </c>
    </row>
    <row r="8226" spans="1:1" x14ac:dyDescent="0.25">
      <c r="A8226" t="s">
        <v>8129</v>
      </c>
    </row>
    <row r="8227" spans="1:1" x14ac:dyDescent="0.25">
      <c r="A8227" t="s">
        <v>8130</v>
      </c>
    </row>
    <row r="8228" spans="1:1" x14ac:dyDescent="0.25">
      <c r="A8228" t="s">
        <v>8131</v>
      </c>
    </row>
    <row r="8229" spans="1:1" x14ac:dyDescent="0.25">
      <c r="A8229" t="s">
        <v>8132</v>
      </c>
    </row>
    <row r="8230" spans="1:1" x14ac:dyDescent="0.25">
      <c r="A8230" t="s">
        <v>8133</v>
      </c>
    </row>
    <row r="8231" spans="1:1" x14ac:dyDescent="0.25">
      <c r="A8231" t="s">
        <v>8134</v>
      </c>
    </row>
    <row r="8232" spans="1:1" x14ac:dyDescent="0.25">
      <c r="A8232" t="s">
        <v>8135</v>
      </c>
    </row>
    <row r="8233" spans="1:1" x14ac:dyDescent="0.25">
      <c r="A8233" t="s">
        <v>8136</v>
      </c>
    </row>
    <row r="8234" spans="1:1" x14ac:dyDescent="0.25">
      <c r="A8234" t="s">
        <v>8137</v>
      </c>
    </row>
    <row r="8235" spans="1:1" x14ac:dyDescent="0.25">
      <c r="A8235" t="s">
        <v>8138</v>
      </c>
    </row>
    <row r="8236" spans="1:1" x14ac:dyDescent="0.25">
      <c r="A8236" t="s">
        <v>8139</v>
      </c>
    </row>
    <row r="8237" spans="1:1" x14ac:dyDescent="0.25">
      <c r="A8237" t="s">
        <v>8031</v>
      </c>
    </row>
    <row r="8238" spans="1:1" x14ac:dyDescent="0.25">
      <c r="A8238" t="s">
        <v>2333</v>
      </c>
    </row>
    <row r="8239" spans="1:1" x14ac:dyDescent="0.25">
      <c r="A8239" t="s">
        <v>8140</v>
      </c>
    </row>
    <row r="8240" spans="1:1" x14ac:dyDescent="0.25">
      <c r="A8240" t="s">
        <v>8141</v>
      </c>
    </row>
    <row r="8241" spans="1:1" x14ac:dyDescent="0.25">
      <c r="A8241" t="s">
        <v>8142</v>
      </c>
    </row>
    <row r="8242" spans="1:1" x14ac:dyDescent="0.25">
      <c r="A8242" t="s">
        <v>8143</v>
      </c>
    </row>
    <row r="8243" spans="1:1" x14ac:dyDescent="0.25">
      <c r="A8243" t="s">
        <v>8133</v>
      </c>
    </row>
    <row r="8244" spans="1:1" x14ac:dyDescent="0.25">
      <c r="A8244" t="s">
        <v>8144</v>
      </c>
    </row>
    <row r="8245" spans="1:1" x14ac:dyDescent="0.25">
      <c r="A8245" t="s">
        <v>8145</v>
      </c>
    </row>
    <row r="8246" spans="1:1" x14ac:dyDescent="0.25">
      <c r="A8246" t="s">
        <v>8146</v>
      </c>
    </row>
    <row r="8247" spans="1:1" x14ac:dyDescent="0.25">
      <c r="A8247" t="s">
        <v>8147</v>
      </c>
    </row>
    <row r="8248" spans="1:1" x14ac:dyDescent="0.25">
      <c r="A8248" t="s">
        <v>8148</v>
      </c>
    </row>
    <row r="8249" spans="1:1" x14ac:dyDescent="0.25">
      <c r="A8249" t="s">
        <v>4169</v>
      </c>
    </row>
    <row r="8250" spans="1:1" x14ac:dyDescent="0.25">
      <c r="A8250" t="s">
        <v>8149</v>
      </c>
    </row>
    <row r="8251" spans="1:1" x14ac:dyDescent="0.25">
      <c r="A8251" t="s">
        <v>8150</v>
      </c>
    </row>
    <row r="8252" spans="1:1" x14ac:dyDescent="0.25">
      <c r="A8252" t="s">
        <v>8151</v>
      </c>
    </row>
    <row r="8253" spans="1:1" x14ac:dyDescent="0.25">
      <c r="A8253" t="s">
        <v>8152</v>
      </c>
    </row>
    <row r="8254" spans="1:1" x14ac:dyDescent="0.25">
      <c r="A8254" t="s">
        <v>8153</v>
      </c>
    </row>
    <row r="8255" spans="1:1" x14ac:dyDescent="0.25">
      <c r="A8255" t="s">
        <v>8154</v>
      </c>
    </row>
    <row r="8256" spans="1:1" x14ac:dyDescent="0.25">
      <c r="A8256" t="s">
        <v>8155</v>
      </c>
    </row>
    <row r="8257" spans="1:1" x14ac:dyDescent="0.25">
      <c r="A8257" t="s">
        <v>8156</v>
      </c>
    </row>
    <row r="8258" spans="1:1" x14ac:dyDescent="0.25">
      <c r="A8258" t="s">
        <v>6846</v>
      </c>
    </row>
    <row r="8259" spans="1:1" x14ac:dyDescent="0.25">
      <c r="A8259" t="s">
        <v>8157</v>
      </c>
    </row>
    <row r="8260" spans="1:1" x14ac:dyDescent="0.25">
      <c r="A8260" t="s">
        <v>8158</v>
      </c>
    </row>
    <row r="8261" spans="1:1" x14ac:dyDescent="0.25">
      <c r="A8261" t="s">
        <v>8159</v>
      </c>
    </row>
    <row r="8262" spans="1:1" x14ac:dyDescent="0.25">
      <c r="A8262" t="s">
        <v>8160</v>
      </c>
    </row>
    <row r="8263" spans="1:1" x14ac:dyDescent="0.25">
      <c r="A8263" t="s">
        <v>8161</v>
      </c>
    </row>
    <row r="8264" spans="1:1" x14ac:dyDescent="0.25">
      <c r="A8264" t="s">
        <v>3288</v>
      </c>
    </row>
    <row r="8265" spans="1:1" x14ac:dyDescent="0.25">
      <c r="A8265" t="s">
        <v>8162</v>
      </c>
    </row>
    <row r="8266" spans="1:1" x14ac:dyDescent="0.25">
      <c r="A8266" t="s">
        <v>8163</v>
      </c>
    </row>
    <row r="8267" spans="1:1" x14ac:dyDescent="0.25">
      <c r="A8267" t="s">
        <v>8164</v>
      </c>
    </row>
    <row r="8269" spans="1:1" x14ac:dyDescent="0.25">
      <c r="A8269" t="s">
        <v>8165</v>
      </c>
    </row>
    <row r="8270" spans="1:1" x14ac:dyDescent="0.25">
      <c r="A8270" t="s">
        <v>8166</v>
      </c>
    </row>
    <row r="8271" spans="1:1" x14ac:dyDescent="0.25">
      <c r="A8271" t="s">
        <v>8167</v>
      </c>
    </row>
    <row r="8273" spans="1:1" x14ac:dyDescent="0.25">
      <c r="A8273" t="s">
        <v>8168</v>
      </c>
    </row>
    <row r="8274" spans="1:1" x14ac:dyDescent="0.25">
      <c r="A8274" t="s">
        <v>8169</v>
      </c>
    </row>
    <row r="8275" spans="1:1" x14ac:dyDescent="0.25">
      <c r="A8275" t="s">
        <v>8170</v>
      </c>
    </row>
    <row r="8276" spans="1:1" x14ac:dyDescent="0.25">
      <c r="A8276" t="s">
        <v>8171</v>
      </c>
    </row>
    <row r="8277" spans="1:1" x14ac:dyDescent="0.25">
      <c r="A8277" t="s">
        <v>8172</v>
      </c>
    </row>
    <row r="8278" spans="1:1" x14ac:dyDescent="0.25">
      <c r="A8278" t="s">
        <v>8173</v>
      </c>
    </row>
    <row r="8279" spans="1:1" x14ac:dyDescent="0.25">
      <c r="A8279" t="s">
        <v>8174</v>
      </c>
    </row>
    <row r="8280" spans="1:1" x14ac:dyDescent="0.25">
      <c r="A8280" t="s">
        <v>8175</v>
      </c>
    </row>
    <row r="8281" spans="1:1" x14ac:dyDescent="0.25">
      <c r="A8281" t="s">
        <v>7976</v>
      </c>
    </row>
    <row r="8282" spans="1:1" x14ac:dyDescent="0.25">
      <c r="A8282" t="s">
        <v>8176</v>
      </c>
    </row>
    <row r="8283" spans="1:1" x14ac:dyDescent="0.25">
      <c r="A8283" t="s">
        <v>8177</v>
      </c>
    </row>
    <row r="8284" spans="1:1" x14ac:dyDescent="0.25">
      <c r="A8284" t="s">
        <v>8178</v>
      </c>
    </row>
    <row r="8285" spans="1:1" x14ac:dyDescent="0.25">
      <c r="A8285" t="s">
        <v>8179</v>
      </c>
    </row>
    <row r="8286" spans="1:1" x14ac:dyDescent="0.25">
      <c r="A8286" t="s">
        <v>1463</v>
      </c>
    </row>
    <row r="8287" spans="1:1" x14ac:dyDescent="0.25">
      <c r="A8287" t="s">
        <v>3288</v>
      </c>
    </row>
    <row r="8288" spans="1:1" x14ac:dyDescent="0.25">
      <c r="A8288" t="s">
        <v>8180</v>
      </c>
    </row>
    <row r="8289" spans="1:1" x14ac:dyDescent="0.25">
      <c r="A8289" t="s">
        <v>8181</v>
      </c>
    </row>
    <row r="8290" spans="1:1" x14ac:dyDescent="0.25">
      <c r="A8290" t="s">
        <v>8182</v>
      </c>
    </row>
    <row r="8291" spans="1:1" x14ac:dyDescent="0.25">
      <c r="A8291" t="s">
        <v>2824</v>
      </c>
    </row>
    <row r="8292" spans="1:1" x14ac:dyDescent="0.25">
      <c r="A8292" t="s">
        <v>8183</v>
      </c>
    </row>
    <row r="8293" spans="1:1" x14ac:dyDescent="0.25">
      <c r="A8293" t="s">
        <v>8184</v>
      </c>
    </row>
    <row r="8294" spans="1:1" x14ac:dyDescent="0.25">
      <c r="A8294" t="s">
        <v>8185</v>
      </c>
    </row>
    <row r="8295" spans="1:1" x14ac:dyDescent="0.25">
      <c r="A8295" t="s">
        <v>8186</v>
      </c>
    </row>
    <row r="8296" spans="1:1" x14ac:dyDescent="0.25">
      <c r="A8296" t="s">
        <v>8187</v>
      </c>
    </row>
    <row r="8297" spans="1:1" x14ac:dyDescent="0.25">
      <c r="A8297" t="s">
        <v>8188</v>
      </c>
    </row>
    <row r="8298" spans="1:1" x14ac:dyDescent="0.25">
      <c r="A8298" t="s">
        <v>8189</v>
      </c>
    </row>
    <row r="8299" spans="1:1" x14ac:dyDescent="0.25">
      <c r="A8299" t="s">
        <v>8190</v>
      </c>
    </row>
    <row r="8300" spans="1:1" x14ac:dyDescent="0.25">
      <c r="A8300" t="s">
        <v>8191</v>
      </c>
    </row>
    <row r="8301" spans="1:1" x14ac:dyDescent="0.25">
      <c r="A8301" t="s">
        <v>8192</v>
      </c>
    </row>
    <row r="8302" spans="1:1" x14ac:dyDescent="0.25">
      <c r="A8302" t="s">
        <v>8193</v>
      </c>
    </row>
    <row r="8303" spans="1:1" x14ac:dyDescent="0.25">
      <c r="A8303" t="s">
        <v>8194</v>
      </c>
    </row>
    <row r="8304" spans="1:1" x14ac:dyDescent="0.25">
      <c r="A8304" t="s">
        <v>8195</v>
      </c>
    </row>
    <row r="8305" spans="1:1" x14ac:dyDescent="0.25">
      <c r="A8305" t="s">
        <v>8196</v>
      </c>
    </row>
    <row r="8306" spans="1:1" x14ac:dyDescent="0.25">
      <c r="A8306" t="s">
        <v>8197</v>
      </c>
    </row>
    <row r="8307" spans="1:1" x14ac:dyDescent="0.25">
      <c r="A8307" t="s">
        <v>8198</v>
      </c>
    </row>
    <row r="8308" spans="1:1" x14ac:dyDescent="0.25">
      <c r="A8308" t="s">
        <v>8199</v>
      </c>
    </row>
    <row r="8309" spans="1:1" x14ac:dyDescent="0.25">
      <c r="A8309" t="s">
        <v>8200</v>
      </c>
    </row>
    <row r="8310" spans="1:1" x14ac:dyDescent="0.25">
      <c r="A8310" t="s">
        <v>8201</v>
      </c>
    </row>
    <row r="8311" spans="1:1" x14ac:dyDescent="0.25">
      <c r="A8311" t="s">
        <v>8202</v>
      </c>
    </row>
    <row r="8312" spans="1:1" x14ac:dyDescent="0.25">
      <c r="A8312" t="s">
        <v>8203</v>
      </c>
    </row>
    <row r="8313" spans="1:1" x14ac:dyDescent="0.25">
      <c r="A8313" t="s">
        <v>8204</v>
      </c>
    </row>
    <row r="8314" spans="1:1" x14ac:dyDescent="0.25">
      <c r="A8314" t="s">
        <v>7354</v>
      </c>
    </row>
    <row r="8315" spans="1:1" x14ac:dyDescent="0.25">
      <c r="A8315" t="s">
        <v>8205</v>
      </c>
    </row>
    <row r="8316" spans="1:1" x14ac:dyDescent="0.25">
      <c r="A8316" t="s">
        <v>8206</v>
      </c>
    </row>
    <row r="8317" spans="1:1" x14ac:dyDescent="0.25">
      <c r="A8317" t="s">
        <v>8207</v>
      </c>
    </row>
    <row r="8318" spans="1:1" x14ac:dyDescent="0.25">
      <c r="A8318" t="s">
        <v>8208</v>
      </c>
    </row>
    <row r="8319" spans="1:1" x14ac:dyDescent="0.25">
      <c r="A8319" t="s">
        <v>8209</v>
      </c>
    </row>
    <row r="8320" spans="1:1" x14ac:dyDescent="0.25">
      <c r="A8320" t="s">
        <v>8210</v>
      </c>
    </row>
    <row r="8321" spans="1:5" x14ac:dyDescent="0.25">
      <c r="A8321" t="s">
        <v>8211</v>
      </c>
    </row>
    <row r="8322" spans="1:5" x14ac:dyDescent="0.25">
      <c r="A8322" t="s">
        <v>8212</v>
      </c>
    </row>
    <row r="8323" spans="1:5" x14ac:dyDescent="0.25">
      <c r="A8323" t="s">
        <v>8213</v>
      </c>
    </row>
    <row r="8324" spans="1:5" x14ac:dyDescent="0.25">
      <c r="A8324" t="s">
        <v>8214</v>
      </c>
    </row>
    <row r="8325" spans="1:5" x14ac:dyDescent="0.25">
      <c r="A8325" t="s">
        <v>8215</v>
      </c>
    </row>
    <row r="8326" spans="1:5" x14ac:dyDescent="0.25">
      <c r="A8326" t="s">
        <v>8216</v>
      </c>
    </row>
    <row r="8327" spans="1:5" x14ac:dyDescent="0.25">
      <c r="A8327" t="s">
        <v>8217</v>
      </c>
    </row>
    <row r="8328" spans="1:5" x14ac:dyDescent="0.25">
      <c r="A8328" t="s">
        <v>8218</v>
      </c>
    </row>
    <row r="8329" spans="1:5" x14ac:dyDescent="0.25">
      <c r="A8329" t="s">
        <v>8219</v>
      </c>
    </row>
    <row r="8330" spans="1:5" x14ac:dyDescent="0.25">
      <c r="A8330" t="s">
        <v>8220</v>
      </c>
    </row>
    <row r="8331" spans="1:5" x14ac:dyDescent="0.25">
      <c r="A8331">
        <v>46261889</v>
      </c>
    </row>
    <row r="8332" spans="1:5" x14ac:dyDescent="0.25">
      <c r="A8332">
        <v>920263698</v>
      </c>
    </row>
    <row r="8333" spans="1:5" x14ac:dyDescent="0.25">
      <c r="A8333">
        <v>20523135466</v>
      </c>
      <c r="B8333" t="s">
        <v>8221</v>
      </c>
      <c r="C8333">
        <v>201909</v>
      </c>
      <c r="D8333" t="s">
        <v>2014</v>
      </c>
      <c r="E8333">
        <v>3000</v>
      </c>
    </row>
    <row r="8334" spans="1:5" x14ac:dyDescent="0.25">
      <c r="A8334" t="s">
        <v>8222</v>
      </c>
    </row>
    <row r="8335" spans="1:5" x14ac:dyDescent="0.25">
      <c r="A8335" t="s">
        <v>8223</v>
      </c>
    </row>
    <row r="8336" spans="1:5" x14ac:dyDescent="0.25">
      <c r="A8336" t="s">
        <v>8224</v>
      </c>
    </row>
    <row r="8337" spans="1:1" x14ac:dyDescent="0.25">
      <c r="A8337" t="s">
        <v>8225</v>
      </c>
    </row>
    <row r="8338" spans="1:1" x14ac:dyDescent="0.25">
      <c r="A8338" t="s">
        <v>8226</v>
      </c>
    </row>
    <row r="8339" spans="1:1" x14ac:dyDescent="0.25">
      <c r="A8339" t="s">
        <v>8227</v>
      </c>
    </row>
    <row r="8341" spans="1:1" x14ac:dyDescent="0.25">
      <c r="A8341" t="s">
        <v>8228</v>
      </c>
    </row>
    <row r="8342" spans="1:1" x14ac:dyDescent="0.25">
      <c r="A8342" t="s">
        <v>8229</v>
      </c>
    </row>
    <row r="8343" spans="1:1" x14ac:dyDescent="0.25">
      <c r="A8343" t="s">
        <v>8230</v>
      </c>
    </row>
    <row r="8344" spans="1:1" x14ac:dyDescent="0.25">
      <c r="A8344" t="s">
        <v>8231</v>
      </c>
    </row>
    <row r="8345" spans="1:1" x14ac:dyDescent="0.25">
      <c r="A8345" t="s">
        <v>6707</v>
      </c>
    </row>
    <row r="8346" spans="1:1" x14ac:dyDescent="0.25">
      <c r="A8346" t="s">
        <v>8232</v>
      </c>
    </row>
    <row r="8347" spans="1:1" x14ac:dyDescent="0.25">
      <c r="A8347" t="s">
        <v>8233</v>
      </c>
    </row>
    <row r="8348" spans="1:1" x14ac:dyDescent="0.25">
      <c r="A8348" t="s">
        <v>6755</v>
      </c>
    </row>
    <row r="8349" spans="1:1" x14ac:dyDescent="0.25">
      <c r="A8349" t="s">
        <v>8234</v>
      </c>
    </row>
    <row r="8350" spans="1:1" x14ac:dyDescent="0.25">
      <c r="A8350" t="s">
        <v>8235</v>
      </c>
    </row>
    <row r="8351" spans="1:1" x14ac:dyDescent="0.25">
      <c r="A8351" t="s">
        <v>8236</v>
      </c>
    </row>
    <row r="8352" spans="1:1" x14ac:dyDescent="0.25">
      <c r="A8352" t="s">
        <v>8237</v>
      </c>
    </row>
    <row r="8353" spans="1:1" x14ac:dyDescent="0.25">
      <c r="A8353" t="s">
        <v>8238</v>
      </c>
    </row>
    <row r="8354" spans="1:1" x14ac:dyDescent="0.25">
      <c r="A8354" t="s">
        <v>8239</v>
      </c>
    </row>
    <row r="8355" spans="1:1" x14ac:dyDescent="0.25">
      <c r="A8355" t="s">
        <v>8240</v>
      </c>
    </row>
    <row r="8356" spans="1:1" x14ac:dyDescent="0.25">
      <c r="A8356" t="s">
        <v>8241</v>
      </c>
    </row>
    <row r="8357" spans="1:1" x14ac:dyDescent="0.25">
      <c r="A8357" t="s">
        <v>8242</v>
      </c>
    </row>
    <row r="8358" spans="1:1" x14ac:dyDescent="0.25">
      <c r="A8358" t="s">
        <v>8243</v>
      </c>
    </row>
    <row r="8359" spans="1:1" x14ac:dyDescent="0.25">
      <c r="A8359" t="s">
        <v>8244</v>
      </c>
    </row>
    <row r="8360" spans="1:1" x14ac:dyDescent="0.25">
      <c r="A8360" t="s">
        <v>4086</v>
      </c>
    </row>
    <row r="8361" spans="1:1" x14ac:dyDescent="0.25">
      <c r="A8361" t="s">
        <v>8245</v>
      </c>
    </row>
    <row r="8362" spans="1:1" x14ac:dyDescent="0.25">
      <c r="A8362" t="s">
        <v>8246</v>
      </c>
    </row>
    <row r="8363" spans="1:1" x14ac:dyDescent="0.25">
      <c r="A8363" t="s">
        <v>8247</v>
      </c>
    </row>
    <row r="8364" spans="1:1" x14ac:dyDescent="0.25">
      <c r="A8364" t="s">
        <v>8248</v>
      </c>
    </row>
    <row r="8365" spans="1:1" x14ac:dyDescent="0.25">
      <c r="A8365" t="s">
        <v>8249</v>
      </c>
    </row>
    <row r="8366" spans="1:1" x14ac:dyDescent="0.25">
      <c r="A8366" t="s">
        <v>8250</v>
      </c>
    </row>
    <row r="8367" spans="1:1" x14ac:dyDescent="0.25">
      <c r="A8367" t="s">
        <v>8251</v>
      </c>
    </row>
    <row r="8368" spans="1:1" x14ac:dyDescent="0.25">
      <c r="A8368" t="s">
        <v>8252</v>
      </c>
    </row>
    <row r="8369" spans="1:1" x14ac:dyDescent="0.25">
      <c r="A8369" t="s">
        <v>8253</v>
      </c>
    </row>
    <row r="8370" spans="1:1" x14ac:dyDescent="0.25">
      <c r="A8370" t="s">
        <v>8254</v>
      </c>
    </row>
    <row r="8371" spans="1:1" x14ac:dyDescent="0.25">
      <c r="A8371" t="s">
        <v>8255</v>
      </c>
    </row>
    <row r="8372" spans="1:1" x14ac:dyDescent="0.25">
      <c r="A8372" t="s">
        <v>8256</v>
      </c>
    </row>
    <row r="8373" spans="1:1" x14ac:dyDescent="0.25">
      <c r="A8373" t="s">
        <v>8257</v>
      </c>
    </row>
    <row r="8374" spans="1:1" x14ac:dyDescent="0.25">
      <c r="A8374" t="s">
        <v>8258</v>
      </c>
    </row>
    <row r="8375" spans="1:1" x14ac:dyDescent="0.25">
      <c r="A8375" t="s">
        <v>8259</v>
      </c>
    </row>
    <row r="8376" spans="1:1" x14ac:dyDescent="0.25">
      <c r="A8376" t="s">
        <v>8260</v>
      </c>
    </row>
    <row r="8377" spans="1:1" x14ac:dyDescent="0.25">
      <c r="A8377" t="s">
        <v>8261</v>
      </c>
    </row>
    <row r="8379" spans="1:1" x14ac:dyDescent="0.25">
      <c r="A8379" t="s">
        <v>8262</v>
      </c>
    </row>
    <row r="8380" spans="1:1" x14ac:dyDescent="0.25">
      <c r="A8380" t="s">
        <v>8263</v>
      </c>
    </row>
    <row r="8381" spans="1:1" x14ac:dyDescent="0.25">
      <c r="A8381" t="s">
        <v>8264</v>
      </c>
    </row>
    <row r="8382" spans="1:1" x14ac:dyDescent="0.25">
      <c r="A8382" t="s">
        <v>4153</v>
      </c>
    </row>
    <row r="8383" spans="1:1" x14ac:dyDescent="0.25">
      <c r="A8383" t="s">
        <v>8265</v>
      </c>
    </row>
    <row r="8385" spans="1:1" x14ac:dyDescent="0.25">
      <c r="A8385" t="s">
        <v>8266</v>
      </c>
    </row>
    <row r="8386" spans="1:1" x14ac:dyDescent="0.25">
      <c r="A8386" t="s">
        <v>8267</v>
      </c>
    </row>
    <row r="8387" spans="1:1" x14ac:dyDescent="0.25">
      <c r="A8387" t="s">
        <v>8268</v>
      </c>
    </row>
    <row r="8388" spans="1:1" x14ac:dyDescent="0.25">
      <c r="A8388" t="s">
        <v>8269</v>
      </c>
    </row>
    <row r="8389" spans="1:1" x14ac:dyDescent="0.25">
      <c r="A8389" t="s">
        <v>8270</v>
      </c>
    </row>
    <row r="8390" spans="1:1" x14ac:dyDescent="0.25">
      <c r="A8390" t="s">
        <v>7439</v>
      </c>
    </row>
    <row r="8391" spans="1:1" x14ac:dyDescent="0.25">
      <c r="A8391" t="s">
        <v>7953</v>
      </c>
    </row>
    <row r="8392" spans="1:1" x14ac:dyDescent="0.25">
      <c r="A8392" t="s">
        <v>8271</v>
      </c>
    </row>
    <row r="8394" spans="1:1" x14ac:dyDescent="0.25">
      <c r="A8394" t="s">
        <v>8272</v>
      </c>
    </row>
    <row r="8395" spans="1:1" x14ac:dyDescent="0.25">
      <c r="A8395" t="s">
        <v>8273</v>
      </c>
    </row>
    <row r="8396" spans="1:1" x14ac:dyDescent="0.25">
      <c r="A8396" t="s">
        <v>8263</v>
      </c>
    </row>
    <row r="8397" spans="1:1" x14ac:dyDescent="0.25">
      <c r="A8397" s="55">
        <v>43980</v>
      </c>
    </row>
    <row r="8398" spans="1:1" x14ac:dyDescent="0.25">
      <c r="A8398" t="s">
        <v>8274</v>
      </c>
    </row>
    <row r="8399" spans="1:1" x14ac:dyDescent="0.25">
      <c r="A8399" t="s">
        <v>8275</v>
      </c>
    </row>
    <row r="8400" spans="1:1" x14ac:dyDescent="0.25">
      <c r="A8400" t="s">
        <v>8276</v>
      </c>
    </row>
    <row r="8401" spans="1:1" x14ac:dyDescent="0.25">
      <c r="A8401" t="s">
        <v>8277</v>
      </c>
    </row>
    <row r="8402" spans="1:1" x14ac:dyDescent="0.25">
      <c r="A8402" t="s">
        <v>8278</v>
      </c>
    </row>
    <row r="8403" spans="1:1" x14ac:dyDescent="0.25">
      <c r="A8403" t="s">
        <v>8279</v>
      </c>
    </row>
    <row r="8404" spans="1:1" x14ac:dyDescent="0.25">
      <c r="A8404" t="s">
        <v>8280</v>
      </c>
    </row>
    <row r="8405" spans="1:1" x14ac:dyDescent="0.25">
      <c r="A8405" t="s">
        <v>8281</v>
      </c>
    </row>
    <row r="8406" spans="1:1" x14ac:dyDescent="0.25">
      <c r="A8406" t="s">
        <v>8282</v>
      </c>
    </row>
    <row r="8407" spans="1:1" x14ac:dyDescent="0.25">
      <c r="A8407" t="s">
        <v>8283</v>
      </c>
    </row>
    <row r="8408" spans="1:1" x14ac:dyDescent="0.25">
      <c r="A8408" t="s">
        <v>8284</v>
      </c>
    </row>
    <row r="8409" spans="1:1" x14ac:dyDescent="0.25">
      <c r="A8409" t="s">
        <v>3386</v>
      </c>
    </row>
    <row r="8411" spans="1:1" x14ac:dyDescent="0.25">
      <c r="A8411" t="s">
        <v>8285</v>
      </c>
    </row>
    <row r="8412" spans="1:1" x14ac:dyDescent="0.25">
      <c r="A8412" t="s">
        <v>7972</v>
      </c>
    </row>
    <row r="8413" spans="1:1" x14ac:dyDescent="0.25">
      <c r="A8413" t="s">
        <v>8286</v>
      </c>
    </row>
    <row r="8414" spans="1:1" x14ac:dyDescent="0.25">
      <c r="A8414" t="s">
        <v>8287</v>
      </c>
    </row>
    <row r="8415" spans="1:1" x14ac:dyDescent="0.25">
      <c r="A8415" t="s">
        <v>8288</v>
      </c>
    </row>
    <row r="8416" spans="1:1" x14ac:dyDescent="0.25">
      <c r="A8416" t="s">
        <v>8289</v>
      </c>
    </row>
    <row r="8417" spans="1:6" x14ac:dyDescent="0.25">
      <c r="A8417" t="s">
        <v>8290</v>
      </c>
    </row>
    <row r="8418" spans="1:6" x14ac:dyDescent="0.25">
      <c r="A8418" t="s">
        <v>8291</v>
      </c>
    </row>
    <row r="8419" spans="1:6" x14ac:dyDescent="0.25">
      <c r="A8419" t="s">
        <v>8292</v>
      </c>
    </row>
    <row r="8420" spans="1:6" x14ac:dyDescent="0.25">
      <c r="A8420" t="s">
        <v>8293</v>
      </c>
    </row>
    <row r="8421" spans="1:6" x14ac:dyDescent="0.25">
      <c r="A8421" t="s">
        <v>5073</v>
      </c>
    </row>
    <row r="8422" spans="1:6" x14ac:dyDescent="0.25">
      <c r="B8422" t="s">
        <v>8294</v>
      </c>
      <c r="C8422">
        <v>536.54999999999995</v>
      </c>
      <c r="D8422" s="55">
        <v>43830</v>
      </c>
      <c r="E8422">
        <v>5</v>
      </c>
      <c r="F8422">
        <v>290</v>
      </c>
    </row>
    <row r="8423" spans="1:6" x14ac:dyDescent="0.25">
      <c r="A8423" t="s">
        <v>3929</v>
      </c>
      <c r="B8423">
        <v>536.54999999999995</v>
      </c>
    </row>
    <row r="8424" spans="1:6" x14ac:dyDescent="0.25">
      <c r="A8424" t="s">
        <v>8295</v>
      </c>
    </row>
    <row r="8425" spans="1:6" x14ac:dyDescent="0.25">
      <c r="A8425" t="s">
        <v>8296</v>
      </c>
    </row>
    <row r="8426" spans="1:6" x14ac:dyDescent="0.25">
      <c r="A8426" t="s">
        <v>8297</v>
      </c>
    </row>
    <row r="8427" spans="1:6" x14ac:dyDescent="0.25">
      <c r="A8427" t="s">
        <v>8298</v>
      </c>
    </row>
    <row r="8428" spans="1:6" x14ac:dyDescent="0.25">
      <c r="A8428" t="s">
        <v>8299</v>
      </c>
    </row>
    <row r="8429" spans="1:6" x14ac:dyDescent="0.25">
      <c r="A8429" t="s">
        <v>2859</v>
      </c>
    </row>
    <row r="8430" spans="1:6" x14ac:dyDescent="0.25">
      <c r="A8430" t="s">
        <v>8300</v>
      </c>
    </row>
    <row r="8431" spans="1:6" x14ac:dyDescent="0.25">
      <c r="A8431" t="s">
        <v>8301</v>
      </c>
    </row>
    <row r="8432" spans="1:6" x14ac:dyDescent="0.25">
      <c r="A8432" t="s">
        <v>8302</v>
      </c>
    </row>
    <row r="8433" spans="1:1" x14ac:dyDescent="0.25">
      <c r="A8433" t="s">
        <v>8303</v>
      </c>
    </row>
    <row r="8435" spans="1:1" x14ac:dyDescent="0.25">
      <c r="A8435" t="s">
        <v>8304</v>
      </c>
    </row>
    <row r="8436" spans="1:1" x14ac:dyDescent="0.25">
      <c r="A8436" t="s">
        <v>8305</v>
      </c>
    </row>
    <row r="8437" spans="1:1" x14ac:dyDescent="0.25">
      <c r="A8437" t="s">
        <v>8306</v>
      </c>
    </row>
    <row r="8438" spans="1:1" x14ac:dyDescent="0.25">
      <c r="A8438" t="s">
        <v>8307</v>
      </c>
    </row>
    <row r="8439" spans="1:1" x14ac:dyDescent="0.25">
      <c r="A8439" t="s">
        <v>8308</v>
      </c>
    </row>
    <row r="8440" spans="1:1" x14ac:dyDescent="0.25">
      <c r="A8440" t="s">
        <v>3287</v>
      </c>
    </row>
    <row r="8441" spans="1:1" x14ac:dyDescent="0.25">
      <c r="A8441" t="s">
        <v>8309</v>
      </c>
    </row>
    <row r="8442" spans="1:1" x14ac:dyDescent="0.25">
      <c r="A8442" t="s">
        <v>8310</v>
      </c>
    </row>
    <row r="8443" spans="1:1" x14ac:dyDescent="0.25">
      <c r="A8443" t="s">
        <v>8311</v>
      </c>
    </row>
    <row r="8444" spans="1:1" x14ac:dyDescent="0.25">
      <c r="A8444" t="s">
        <v>8312</v>
      </c>
    </row>
    <row r="8445" spans="1:1" x14ac:dyDescent="0.25">
      <c r="A8445" t="s">
        <v>8313</v>
      </c>
    </row>
    <row r="8446" spans="1:1" x14ac:dyDescent="0.25">
      <c r="A8446" t="s">
        <v>8314</v>
      </c>
    </row>
    <row r="8447" spans="1:1" x14ac:dyDescent="0.25">
      <c r="A8447" t="s">
        <v>7856</v>
      </c>
    </row>
    <row r="8448" spans="1:1" x14ac:dyDescent="0.25">
      <c r="A8448" t="s">
        <v>8315</v>
      </c>
    </row>
    <row r="8449" spans="1:1" x14ac:dyDescent="0.25">
      <c r="A8449" t="s">
        <v>7858</v>
      </c>
    </row>
    <row r="8450" spans="1:1" x14ac:dyDescent="0.25">
      <c r="A8450" t="s">
        <v>8316</v>
      </c>
    </row>
    <row r="8451" spans="1:1" x14ac:dyDescent="0.25">
      <c r="A8451" t="s">
        <v>7860</v>
      </c>
    </row>
    <row r="8452" spans="1:1" x14ac:dyDescent="0.25">
      <c r="A8452" t="s">
        <v>8317</v>
      </c>
    </row>
    <row r="8453" spans="1:1" x14ac:dyDescent="0.25">
      <c r="A8453" t="s">
        <v>8318</v>
      </c>
    </row>
    <row r="8454" spans="1:1" x14ac:dyDescent="0.25">
      <c r="A8454" t="s">
        <v>8319</v>
      </c>
    </row>
    <row r="8455" spans="1:1" x14ac:dyDescent="0.25">
      <c r="A8455" t="s">
        <v>8320</v>
      </c>
    </row>
    <row r="8456" spans="1:1" x14ac:dyDescent="0.25">
      <c r="A8456" t="s">
        <v>8321</v>
      </c>
    </row>
    <row r="8457" spans="1:1" x14ac:dyDescent="0.25">
      <c r="A8457" t="s">
        <v>8322</v>
      </c>
    </row>
    <row r="8458" spans="1:1" x14ac:dyDescent="0.25">
      <c r="A8458" t="s">
        <v>7882</v>
      </c>
    </row>
    <row r="8459" spans="1:1" x14ac:dyDescent="0.25">
      <c r="A8459" t="s">
        <v>8323</v>
      </c>
    </row>
    <row r="8460" spans="1:1" x14ac:dyDescent="0.25">
      <c r="A8460" t="s">
        <v>8324</v>
      </c>
    </row>
    <row r="8461" spans="1:1" x14ac:dyDescent="0.25">
      <c r="A8461" t="s">
        <v>3679</v>
      </c>
    </row>
    <row r="8462" spans="1:1" x14ac:dyDescent="0.25">
      <c r="A8462" t="s">
        <v>8325</v>
      </c>
    </row>
    <row r="8463" spans="1:1" x14ac:dyDescent="0.25">
      <c r="A8463" t="s">
        <v>8326</v>
      </c>
    </row>
    <row r="8464" spans="1:1" x14ac:dyDescent="0.25">
      <c r="A8464" t="s">
        <v>8327</v>
      </c>
    </row>
    <row r="8465" spans="1:1" x14ac:dyDescent="0.25">
      <c r="A8465" t="s">
        <v>8328</v>
      </c>
    </row>
    <row r="8466" spans="1:1" x14ac:dyDescent="0.25">
      <c r="A8466" t="s">
        <v>2759</v>
      </c>
    </row>
    <row r="8467" spans="1:1" x14ac:dyDescent="0.25">
      <c r="A8467" t="s">
        <v>8329</v>
      </c>
    </row>
    <row r="8468" spans="1:1" x14ac:dyDescent="0.25">
      <c r="A8468" t="s">
        <v>8330</v>
      </c>
    </row>
    <row r="8469" spans="1:1" x14ac:dyDescent="0.25">
      <c r="A8469" t="s">
        <v>8331</v>
      </c>
    </row>
    <row r="8470" spans="1:1" x14ac:dyDescent="0.25">
      <c r="A8470" t="s">
        <v>8332</v>
      </c>
    </row>
    <row r="8471" spans="1:1" x14ac:dyDescent="0.25">
      <c r="A8471" t="s">
        <v>8333</v>
      </c>
    </row>
    <row r="8472" spans="1:1" x14ac:dyDescent="0.25">
      <c r="A8472" t="s">
        <v>8334</v>
      </c>
    </row>
    <row r="8473" spans="1:1" x14ac:dyDescent="0.25">
      <c r="A8473" t="s">
        <v>8335</v>
      </c>
    </row>
    <row r="8474" spans="1:1" x14ac:dyDescent="0.25">
      <c r="A8474" t="s">
        <v>8336</v>
      </c>
    </row>
    <row r="8475" spans="1:1" x14ac:dyDescent="0.25">
      <c r="A8475" t="s">
        <v>8337</v>
      </c>
    </row>
    <row r="8476" spans="1:1" x14ac:dyDescent="0.25">
      <c r="A8476" t="s">
        <v>8338</v>
      </c>
    </row>
    <row r="8477" spans="1:1" x14ac:dyDescent="0.25">
      <c r="A8477" t="s">
        <v>8339</v>
      </c>
    </row>
    <row r="8478" spans="1:1" x14ac:dyDescent="0.25">
      <c r="A8478" t="s">
        <v>7152</v>
      </c>
    </row>
    <row r="8479" spans="1:1" x14ac:dyDescent="0.25">
      <c r="A8479" t="s">
        <v>8340</v>
      </c>
    </row>
    <row r="8480" spans="1:1" x14ac:dyDescent="0.25">
      <c r="A8480" t="s">
        <v>8341</v>
      </c>
    </row>
    <row r="8481" spans="1:1" x14ac:dyDescent="0.25">
      <c r="A8481" t="s">
        <v>8342</v>
      </c>
    </row>
    <row r="8482" spans="1:1" x14ac:dyDescent="0.25">
      <c r="A8482" t="s">
        <v>8343</v>
      </c>
    </row>
    <row r="8483" spans="1:1" x14ac:dyDescent="0.25">
      <c r="A8483" t="s">
        <v>8344</v>
      </c>
    </row>
    <row r="8484" spans="1:1" x14ac:dyDescent="0.25">
      <c r="A8484" t="s">
        <v>8345</v>
      </c>
    </row>
    <row r="8485" spans="1:1" x14ac:dyDescent="0.25">
      <c r="A8485" t="s">
        <v>8346</v>
      </c>
    </row>
    <row r="8486" spans="1:1" x14ac:dyDescent="0.25">
      <c r="A8486" t="s">
        <v>1317</v>
      </c>
    </row>
    <row r="8488" spans="1:1" x14ac:dyDescent="0.25">
      <c r="A8488" t="s">
        <v>8347</v>
      </c>
    </row>
    <row r="8489" spans="1:1" x14ac:dyDescent="0.25">
      <c r="A8489" t="s">
        <v>8348</v>
      </c>
    </row>
    <row r="8490" spans="1:1" x14ac:dyDescent="0.25">
      <c r="A8490" t="s">
        <v>8349</v>
      </c>
    </row>
    <row r="8491" spans="1:1" x14ac:dyDescent="0.25">
      <c r="A8491" t="s">
        <v>8350</v>
      </c>
    </row>
    <row r="8492" spans="1:1" x14ac:dyDescent="0.25">
      <c r="A8492" t="s">
        <v>8348</v>
      </c>
    </row>
    <row r="8493" spans="1:1" x14ac:dyDescent="0.25">
      <c r="A8493" t="s">
        <v>8351</v>
      </c>
    </row>
    <row r="8494" spans="1:1" x14ac:dyDescent="0.25">
      <c r="A8494" t="s">
        <v>8352</v>
      </c>
    </row>
    <row r="8495" spans="1:1" x14ac:dyDescent="0.25">
      <c r="A8495" t="s">
        <v>8353</v>
      </c>
    </row>
    <row r="8496" spans="1:1" x14ac:dyDescent="0.25">
      <c r="A8496" t="s">
        <v>8354</v>
      </c>
    </row>
    <row r="8497" spans="1:1" x14ac:dyDescent="0.25">
      <c r="A8497" t="s">
        <v>8355</v>
      </c>
    </row>
    <row r="8498" spans="1:1" x14ac:dyDescent="0.25">
      <c r="A8498" t="s">
        <v>8356</v>
      </c>
    </row>
    <row r="8499" spans="1:1" x14ac:dyDescent="0.25">
      <c r="A8499" t="s">
        <v>8357</v>
      </c>
    </row>
    <row r="8500" spans="1:1" x14ac:dyDescent="0.25">
      <c r="A8500" t="s">
        <v>8358</v>
      </c>
    </row>
    <row r="8501" spans="1:1" x14ac:dyDescent="0.25">
      <c r="A8501" t="s">
        <v>8359</v>
      </c>
    </row>
    <row r="8502" spans="1:1" x14ac:dyDescent="0.25">
      <c r="A8502" t="s">
        <v>8360</v>
      </c>
    </row>
    <row r="8503" spans="1:1" x14ac:dyDescent="0.25">
      <c r="A8503" t="s">
        <v>8361</v>
      </c>
    </row>
    <row r="8504" spans="1:1" x14ac:dyDescent="0.25">
      <c r="A8504" t="s">
        <v>8362</v>
      </c>
    </row>
    <row r="8505" spans="1:1" x14ac:dyDescent="0.25">
      <c r="A8505" t="s">
        <v>8363</v>
      </c>
    </row>
    <row r="8507" spans="1:1" x14ac:dyDescent="0.25">
      <c r="A8507" t="s">
        <v>8364</v>
      </c>
    </row>
    <row r="8508" spans="1:1" x14ac:dyDescent="0.25">
      <c r="A8508" t="s">
        <v>8365</v>
      </c>
    </row>
    <row r="8509" spans="1:1" x14ac:dyDescent="0.25">
      <c r="A8509" t="s">
        <v>8366</v>
      </c>
    </row>
    <row r="8510" spans="1:1" x14ac:dyDescent="0.25">
      <c r="A8510" t="s">
        <v>4166</v>
      </c>
    </row>
    <row r="8511" spans="1:1" x14ac:dyDescent="0.25">
      <c r="A8511" t="s">
        <v>8367</v>
      </c>
    </row>
    <row r="8512" spans="1:1" x14ac:dyDescent="0.25">
      <c r="A8512" t="s">
        <v>8368</v>
      </c>
    </row>
    <row r="8514" spans="1:1" x14ac:dyDescent="0.25">
      <c r="A8514" t="s">
        <v>8369</v>
      </c>
    </row>
    <row r="8515" spans="1:1" x14ac:dyDescent="0.25">
      <c r="A8515" t="s">
        <v>8370</v>
      </c>
    </row>
    <row r="8517" spans="1:1" x14ac:dyDescent="0.25">
      <c r="A8517" t="s">
        <v>8371</v>
      </c>
    </row>
    <row r="8518" spans="1:1" x14ac:dyDescent="0.25">
      <c r="A8518" t="s">
        <v>8372</v>
      </c>
    </row>
    <row r="8519" spans="1:1" x14ac:dyDescent="0.25">
      <c r="A8519" t="s">
        <v>8373</v>
      </c>
    </row>
    <row r="8520" spans="1:1" x14ac:dyDescent="0.25">
      <c r="A8520" t="s">
        <v>8374</v>
      </c>
    </row>
    <row r="8521" spans="1:1" x14ac:dyDescent="0.25">
      <c r="A8521" t="s">
        <v>8375</v>
      </c>
    </row>
    <row r="8522" spans="1:1" x14ac:dyDescent="0.25">
      <c r="A8522" t="s">
        <v>8376</v>
      </c>
    </row>
    <row r="8523" spans="1:1" x14ac:dyDescent="0.25">
      <c r="A8523" t="s">
        <v>8377</v>
      </c>
    </row>
    <row r="8524" spans="1:1" x14ac:dyDescent="0.25">
      <c r="A8524" t="s">
        <v>8378</v>
      </c>
    </row>
    <row r="8525" spans="1:1" x14ac:dyDescent="0.25">
      <c r="A8525" t="s">
        <v>8379</v>
      </c>
    </row>
    <row r="8526" spans="1:1" x14ac:dyDescent="0.25">
      <c r="A8526" t="s">
        <v>8380</v>
      </c>
    </row>
    <row r="8527" spans="1:1" x14ac:dyDescent="0.25">
      <c r="A8527" t="s">
        <v>8381</v>
      </c>
    </row>
    <row r="8528" spans="1:1" x14ac:dyDescent="0.25">
      <c r="A8528" t="s">
        <v>3285</v>
      </c>
    </row>
    <row r="8529" spans="1:1" x14ac:dyDescent="0.25">
      <c r="A8529" t="s">
        <v>3287</v>
      </c>
    </row>
    <row r="8530" spans="1:1" x14ac:dyDescent="0.25">
      <c r="A8530" t="s">
        <v>6732</v>
      </c>
    </row>
    <row r="8531" spans="1:1" x14ac:dyDescent="0.25">
      <c r="A8531" t="s">
        <v>8382</v>
      </c>
    </row>
    <row r="8532" spans="1:1" x14ac:dyDescent="0.25">
      <c r="A8532" t="s">
        <v>8383</v>
      </c>
    </row>
    <row r="8533" spans="1:1" x14ac:dyDescent="0.25">
      <c r="A8533">
        <v>957825023</v>
      </c>
    </row>
    <row r="8534" spans="1:1" x14ac:dyDescent="0.25">
      <c r="A8534" t="s">
        <v>8384</v>
      </c>
    </row>
    <row r="8535" spans="1:1" x14ac:dyDescent="0.25">
      <c r="A8535" t="s">
        <v>8385</v>
      </c>
    </row>
    <row r="8536" spans="1:1" x14ac:dyDescent="0.25">
      <c r="A8536" t="s">
        <v>8386</v>
      </c>
    </row>
    <row r="8537" spans="1:1" x14ac:dyDescent="0.25">
      <c r="A8537" t="s">
        <v>8387</v>
      </c>
    </row>
    <row r="8538" spans="1:1" x14ac:dyDescent="0.25">
      <c r="A8538" t="s">
        <v>8388</v>
      </c>
    </row>
    <row r="8539" spans="1:1" x14ac:dyDescent="0.25">
      <c r="A8539" t="s">
        <v>8389</v>
      </c>
    </row>
    <row r="8540" spans="1:1" x14ac:dyDescent="0.25">
      <c r="A8540" t="s">
        <v>8390</v>
      </c>
    </row>
    <row r="8541" spans="1:1" x14ac:dyDescent="0.25">
      <c r="A8541" t="s">
        <v>8391</v>
      </c>
    </row>
    <row r="8542" spans="1:1" x14ac:dyDescent="0.25">
      <c r="A8542" t="s">
        <v>8392</v>
      </c>
    </row>
    <row r="8543" spans="1:1" x14ac:dyDescent="0.25">
      <c r="A8543" t="s">
        <v>8393</v>
      </c>
    </row>
    <row r="8544" spans="1:1" x14ac:dyDescent="0.25">
      <c r="A8544" t="s">
        <v>8394</v>
      </c>
    </row>
    <row r="8545" spans="1:1" x14ac:dyDescent="0.25">
      <c r="A8545" t="s">
        <v>7936</v>
      </c>
    </row>
    <row r="8546" spans="1:1" x14ac:dyDescent="0.25">
      <c r="A8546" t="s">
        <v>8395</v>
      </c>
    </row>
    <row r="8547" spans="1:1" x14ac:dyDescent="0.25">
      <c r="A8547" t="s">
        <v>8396</v>
      </c>
    </row>
    <row r="8548" spans="1:1" x14ac:dyDescent="0.25">
      <c r="A8548" t="s">
        <v>8397</v>
      </c>
    </row>
    <row r="8549" spans="1:1" x14ac:dyDescent="0.25">
      <c r="A8549" t="s">
        <v>8398</v>
      </c>
    </row>
    <row r="8550" spans="1:1" x14ac:dyDescent="0.25">
      <c r="A8550" t="s">
        <v>8399</v>
      </c>
    </row>
    <row r="8551" spans="1:1" x14ac:dyDescent="0.25">
      <c r="A8551" t="s">
        <v>8400</v>
      </c>
    </row>
    <row r="8552" spans="1:1" x14ac:dyDescent="0.25">
      <c r="A8552" t="s">
        <v>8401</v>
      </c>
    </row>
    <row r="8553" spans="1:1" x14ac:dyDescent="0.25">
      <c r="A8553" t="s">
        <v>8402</v>
      </c>
    </row>
    <row r="8554" spans="1:1" x14ac:dyDescent="0.25">
      <c r="A8554" t="s">
        <v>7860</v>
      </c>
    </row>
    <row r="8555" spans="1:1" x14ac:dyDescent="0.25">
      <c r="A8555" t="s">
        <v>8403</v>
      </c>
    </row>
    <row r="8556" spans="1:1" x14ac:dyDescent="0.25">
      <c r="A8556" t="s">
        <v>3055</v>
      </c>
    </row>
    <row r="8557" spans="1:1" x14ac:dyDescent="0.25">
      <c r="A8557" t="s">
        <v>8404</v>
      </c>
    </row>
    <row r="8558" spans="1:1" x14ac:dyDescent="0.25">
      <c r="A8558" t="s">
        <v>8405</v>
      </c>
    </row>
    <row r="8559" spans="1:1" x14ac:dyDescent="0.25">
      <c r="A8559" t="s">
        <v>8406</v>
      </c>
    </row>
    <row r="8560" spans="1:1" x14ac:dyDescent="0.25">
      <c r="A8560" t="s">
        <v>8407</v>
      </c>
    </row>
    <row r="8561" spans="1:1" x14ac:dyDescent="0.25">
      <c r="A8561" t="s">
        <v>8408</v>
      </c>
    </row>
    <row r="8562" spans="1:1" x14ac:dyDescent="0.25">
      <c r="A8562" t="s">
        <v>8409</v>
      </c>
    </row>
    <row r="8563" spans="1:1" x14ac:dyDescent="0.25">
      <c r="A8563" t="s">
        <v>8410</v>
      </c>
    </row>
    <row r="8564" spans="1:1" x14ac:dyDescent="0.25">
      <c r="A8564" t="s">
        <v>8411</v>
      </c>
    </row>
    <row r="8565" spans="1:1" x14ac:dyDescent="0.25">
      <c r="A8565" t="s">
        <v>8412</v>
      </c>
    </row>
    <row r="8566" spans="1:1" x14ac:dyDescent="0.25">
      <c r="A8566" t="s">
        <v>8413</v>
      </c>
    </row>
    <row r="8567" spans="1:1" x14ac:dyDescent="0.25">
      <c r="A8567" t="s">
        <v>6735</v>
      </c>
    </row>
    <row r="8568" spans="1:1" x14ac:dyDescent="0.25">
      <c r="A8568" t="s">
        <v>8414</v>
      </c>
    </row>
    <row r="8569" spans="1:1" x14ac:dyDescent="0.25">
      <c r="A8569" t="s">
        <v>8415</v>
      </c>
    </row>
    <row r="8570" spans="1:1" x14ac:dyDescent="0.25">
      <c r="A8570" t="s">
        <v>8416</v>
      </c>
    </row>
    <row r="8571" spans="1:1" x14ac:dyDescent="0.25">
      <c r="A8571" t="s">
        <v>8417</v>
      </c>
    </row>
    <row r="8572" spans="1:1" x14ac:dyDescent="0.25">
      <c r="A8572" t="s">
        <v>8418</v>
      </c>
    </row>
    <row r="8573" spans="1:1" x14ac:dyDescent="0.25">
      <c r="A8573" t="s">
        <v>8419</v>
      </c>
    </row>
    <row r="8574" spans="1:1" x14ac:dyDescent="0.25">
      <c r="A8574" t="s">
        <v>8420</v>
      </c>
    </row>
    <row r="8575" spans="1:1" x14ac:dyDescent="0.25">
      <c r="A8575" t="s">
        <v>8421</v>
      </c>
    </row>
    <row r="8576" spans="1:1" x14ac:dyDescent="0.25">
      <c r="A8576" t="s">
        <v>8422</v>
      </c>
    </row>
    <row r="8577" spans="1:1" x14ac:dyDescent="0.25">
      <c r="A8577" t="s">
        <v>8423</v>
      </c>
    </row>
    <row r="8578" spans="1:1" x14ac:dyDescent="0.25">
      <c r="A8578" t="s">
        <v>8424</v>
      </c>
    </row>
    <row r="8579" spans="1:1" x14ac:dyDescent="0.25">
      <c r="A8579" t="s">
        <v>8425</v>
      </c>
    </row>
    <row r="8580" spans="1:1" x14ac:dyDescent="0.25">
      <c r="A8580" t="s">
        <v>8426</v>
      </c>
    </row>
    <row r="8581" spans="1:1" x14ac:dyDescent="0.25">
      <c r="A8581" t="s">
        <v>8427</v>
      </c>
    </row>
    <row r="8582" spans="1:1" x14ac:dyDescent="0.25">
      <c r="A8582" t="s">
        <v>8293</v>
      </c>
    </row>
    <row r="8583" spans="1:1" x14ac:dyDescent="0.25">
      <c r="A8583" t="s">
        <v>8428</v>
      </c>
    </row>
    <row r="8584" spans="1:1" x14ac:dyDescent="0.25">
      <c r="A8584" t="s">
        <v>8429</v>
      </c>
    </row>
    <row r="8585" spans="1:1" x14ac:dyDescent="0.25">
      <c r="A8585" t="s">
        <v>8430</v>
      </c>
    </row>
    <row r="8586" spans="1:1" x14ac:dyDescent="0.25">
      <c r="A8586" t="s">
        <v>8431</v>
      </c>
    </row>
    <row r="8587" spans="1:1" x14ac:dyDescent="0.25">
      <c r="A8587" t="s">
        <v>8432</v>
      </c>
    </row>
    <row r="8588" spans="1:1" x14ac:dyDescent="0.25">
      <c r="A8588" t="s">
        <v>8433</v>
      </c>
    </row>
    <row r="8589" spans="1:1" x14ac:dyDescent="0.25">
      <c r="A8589" t="s">
        <v>8434</v>
      </c>
    </row>
    <row r="8590" spans="1:1" x14ac:dyDescent="0.25">
      <c r="A8590" t="s">
        <v>8277</v>
      </c>
    </row>
    <row r="8591" spans="1:1" x14ac:dyDescent="0.25">
      <c r="A8591" t="s">
        <v>8435</v>
      </c>
    </row>
    <row r="8592" spans="1:1" x14ac:dyDescent="0.25">
      <c r="A8592" t="s">
        <v>8436</v>
      </c>
    </row>
    <row r="8593" spans="1:1" x14ac:dyDescent="0.25">
      <c r="A8593" t="s">
        <v>8437</v>
      </c>
    </row>
    <row r="8594" spans="1:1" x14ac:dyDescent="0.25">
      <c r="A8594" t="s">
        <v>8438</v>
      </c>
    </row>
    <row r="8595" spans="1:1" x14ac:dyDescent="0.25">
      <c r="A8595" t="s">
        <v>8439</v>
      </c>
    </row>
    <row r="8596" spans="1:1" x14ac:dyDescent="0.25">
      <c r="A8596" t="s">
        <v>3815</v>
      </c>
    </row>
    <row r="8597" spans="1:1" x14ac:dyDescent="0.25">
      <c r="A8597" t="s">
        <v>8392</v>
      </c>
    </row>
    <row r="8598" spans="1:1" x14ac:dyDescent="0.25">
      <c r="A8598" t="s">
        <v>8440</v>
      </c>
    </row>
    <row r="8599" spans="1:1" x14ac:dyDescent="0.25">
      <c r="A8599" t="s">
        <v>8441</v>
      </c>
    </row>
    <row r="8600" spans="1:1" x14ac:dyDescent="0.25">
      <c r="A8600" t="s">
        <v>8442</v>
      </c>
    </row>
    <row r="8601" spans="1:1" x14ac:dyDescent="0.25">
      <c r="A8601" t="s">
        <v>8443</v>
      </c>
    </row>
    <row r="8602" spans="1:1" x14ac:dyDescent="0.25">
      <c r="A8602" t="s">
        <v>8444</v>
      </c>
    </row>
    <row r="8603" spans="1:1" x14ac:dyDescent="0.25">
      <c r="A8603" t="s">
        <v>8445</v>
      </c>
    </row>
    <row r="8604" spans="1:1" x14ac:dyDescent="0.25">
      <c r="A8604" t="s">
        <v>8446</v>
      </c>
    </row>
    <row r="8605" spans="1:1" x14ac:dyDescent="0.25">
      <c r="A8605" t="s">
        <v>8447</v>
      </c>
    </row>
    <row r="8606" spans="1:1" x14ac:dyDescent="0.25">
      <c r="A8606" t="s">
        <v>8448</v>
      </c>
    </row>
    <row r="8607" spans="1:1" x14ac:dyDescent="0.25">
      <c r="A8607" t="s">
        <v>8449</v>
      </c>
    </row>
    <row r="8608" spans="1:1" x14ac:dyDescent="0.25">
      <c r="A8608" t="s">
        <v>8450</v>
      </c>
    </row>
    <row r="8609" spans="1:5" x14ac:dyDescent="0.25">
      <c r="A8609" t="s">
        <v>8451</v>
      </c>
    </row>
    <row r="8610" spans="1:5" x14ac:dyDescent="0.25">
      <c r="A8610" t="s">
        <v>8452</v>
      </c>
    </row>
    <row r="8611" spans="1:5" x14ac:dyDescent="0.25">
      <c r="A8611" t="s">
        <v>8453</v>
      </c>
    </row>
    <row r="8612" spans="1:5" x14ac:dyDescent="0.25">
      <c r="A8612" t="s">
        <v>8454</v>
      </c>
    </row>
    <row r="8613" spans="1:5" x14ac:dyDescent="0.25">
      <c r="A8613" t="s">
        <v>8455</v>
      </c>
    </row>
    <row r="8614" spans="1:5" x14ac:dyDescent="0.25">
      <c r="A8614" t="s">
        <v>8456</v>
      </c>
    </row>
    <row r="8615" spans="1:5" x14ac:dyDescent="0.25">
      <c r="A8615" t="s">
        <v>1502</v>
      </c>
    </row>
    <row r="8616" spans="1:5" x14ac:dyDescent="0.25">
      <c r="A8616" t="s">
        <v>8457</v>
      </c>
      <c r="B8616" t="s">
        <v>4946</v>
      </c>
      <c r="C8616">
        <v>6177.29</v>
      </c>
      <c r="D8616" t="s">
        <v>3428</v>
      </c>
      <c r="E8616">
        <v>3567</v>
      </c>
    </row>
    <row r="8617" spans="1:5" x14ac:dyDescent="0.25">
      <c r="A8617">
        <v>16778793</v>
      </c>
    </row>
    <row r="8618" spans="1:5" x14ac:dyDescent="0.25">
      <c r="A8618" t="s">
        <v>8458</v>
      </c>
    </row>
    <row r="8620" spans="1:5" x14ac:dyDescent="0.25">
      <c r="A8620" t="s">
        <v>8459</v>
      </c>
    </row>
    <row r="8621" spans="1:5" x14ac:dyDescent="0.25">
      <c r="A8621" t="s">
        <v>8460</v>
      </c>
    </row>
    <row r="8622" spans="1:5" x14ac:dyDescent="0.25">
      <c r="A8622" t="s">
        <v>8461</v>
      </c>
    </row>
    <row r="8623" spans="1:5" x14ac:dyDescent="0.25">
      <c r="A8623" t="s">
        <v>8462</v>
      </c>
    </row>
    <row r="8624" spans="1:5" x14ac:dyDescent="0.25">
      <c r="A8624" t="s">
        <v>8463</v>
      </c>
    </row>
    <row r="8625" spans="1:1" x14ac:dyDescent="0.25">
      <c r="A8625" t="s">
        <v>8464</v>
      </c>
    </row>
    <row r="8626" spans="1:1" x14ac:dyDescent="0.25">
      <c r="A8626" t="s">
        <v>8465</v>
      </c>
    </row>
    <row r="8627" spans="1:1" x14ac:dyDescent="0.25">
      <c r="A8627" t="s">
        <v>8466</v>
      </c>
    </row>
    <row r="8628" spans="1:1" x14ac:dyDescent="0.25">
      <c r="A8628" t="s">
        <v>8277</v>
      </c>
    </row>
    <row r="8630" spans="1:1" x14ac:dyDescent="0.25">
      <c r="A8630" t="s">
        <v>8467</v>
      </c>
    </row>
    <row r="8631" spans="1:1" x14ac:dyDescent="0.25">
      <c r="A8631" t="s">
        <v>8468</v>
      </c>
    </row>
    <row r="8632" spans="1:1" x14ac:dyDescent="0.25">
      <c r="A8632" t="s">
        <v>8469</v>
      </c>
    </row>
    <row r="8633" spans="1:1" x14ac:dyDescent="0.25">
      <c r="A8633" t="s">
        <v>8470</v>
      </c>
    </row>
    <row r="8634" spans="1:1" x14ac:dyDescent="0.25">
      <c r="A8634" t="s">
        <v>8471</v>
      </c>
    </row>
    <row r="8635" spans="1:1" x14ac:dyDescent="0.25">
      <c r="A8635" t="s">
        <v>8472</v>
      </c>
    </row>
    <row r="8636" spans="1:1" x14ac:dyDescent="0.25">
      <c r="A8636" t="s">
        <v>8473</v>
      </c>
    </row>
    <row r="8637" spans="1:1" x14ac:dyDescent="0.25">
      <c r="A8637" t="s">
        <v>8474</v>
      </c>
    </row>
    <row r="8638" spans="1:1" x14ac:dyDescent="0.25">
      <c r="A8638" t="s">
        <v>8475</v>
      </c>
    </row>
    <row r="8639" spans="1:1" x14ac:dyDescent="0.25">
      <c r="A8639" t="s">
        <v>8476</v>
      </c>
    </row>
    <row r="8640" spans="1:1" x14ac:dyDescent="0.25">
      <c r="A8640" t="s">
        <v>8477</v>
      </c>
    </row>
    <row r="8641" spans="1:1" x14ac:dyDescent="0.25">
      <c r="A8641" t="s">
        <v>8478</v>
      </c>
    </row>
    <row r="8642" spans="1:1" x14ac:dyDescent="0.25">
      <c r="A8642" t="s">
        <v>8479</v>
      </c>
    </row>
    <row r="8643" spans="1:1" x14ac:dyDescent="0.25">
      <c r="A8643" t="s">
        <v>8480</v>
      </c>
    </row>
    <row r="8644" spans="1:1" x14ac:dyDescent="0.25">
      <c r="A8644" t="s">
        <v>4169</v>
      </c>
    </row>
    <row r="8646" spans="1:1" x14ac:dyDescent="0.25">
      <c r="A8646" t="s">
        <v>8481</v>
      </c>
    </row>
    <row r="8647" spans="1:1" x14ac:dyDescent="0.25">
      <c r="A8647" t="s">
        <v>8482</v>
      </c>
    </row>
    <row r="8648" spans="1:1" x14ac:dyDescent="0.25">
      <c r="A8648" t="s">
        <v>8483</v>
      </c>
    </row>
    <row r="8649" spans="1:1" x14ac:dyDescent="0.25">
      <c r="A8649" t="s">
        <v>8484</v>
      </c>
    </row>
    <row r="8653" spans="1:1" x14ac:dyDescent="0.25">
      <c r="A8653" t="s">
        <v>8485</v>
      </c>
    </row>
    <row r="8654" spans="1:1" x14ac:dyDescent="0.25">
      <c r="A8654" t="s">
        <v>8486</v>
      </c>
    </row>
    <row r="8655" spans="1:1" x14ac:dyDescent="0.25">
      <c r="A8655" t="s">
        <v>8487</v>
      </c>
    </row>
    <row r="8656" spans="1:1" x14ac:dyDescent="0.25">
      <c r="A8656" t="s">
        <v>3287</v>
      </c>
    </row>
    <row r="8657" spans="1:1" x14ac:dyDescent="0.25">
      <c r="A8657" t="s">
        <v>3288</v>
      </c>
    </row>
    <row r="8658" spans="1:1" x14ac:dyDescent="0.25">
      <c r="A8658" t="s">
        <v>8488</v>
      </c>
    </row>
    <row r="8659" spans="1:1" x14ac:dyDescent="0.25">
      <c r="A8659" t="s">
        <v>8489</v>
      </c>
    </row>
    <row r="8660" spans="1:1" x14ac:dyDescent="0.25">
      <c r="A8660" t="s">
        <v>8490</v>
      </c>
    </row>
    <row r="8661" spans="1:1" x14ac:dyDescent="0.25">
      <c r="A8661" t="s">
        <v>8491</v>
      </c>
    </row>
    <row r="8662" spans="1:1" x14ac:dyDescent="0.25">
      <c r="A8662" t="s">
        <v>8492</v>
      </c>
    </row>
    <row r="8663" spans="1:1" x14ac:dyDescent="0.25">
      <c r="A8663" t="s">
        <v>8493</v>
      </c>
    </row>
    <row r="8664" spans="1:1" x14ac:dyDescent="0.25">
      <c r="A8664" t="s">
        <v>8494</v>
      </c>
    </row>
    <row r="8665" spans="1:1" x14ac:dyDescent="0.25">
      <c r="A8665" t="s">
        <v>8495</v>
      </c>
    </row>
    <row r="8666" spans="1:1" x14ac:dyDescent="0.25">
      <c r="A8666" t="s">
        <v>8496</v>
      </c>
    </row>
    <row r="8667" spans="1:1" x14ac:dyDescent="0.25">
      <c r="A8667" t="s">
        <v>8497</v>
      </c>
    </row>
    <row r="8668" spans="1:1" x14ac:dyDescent="0.25">
      <c r="A8668" t="s">
        <v>8498</v>
      </c>
    </row>
    <row r="8669" spans="1:1" x14ac:dyDescent="0.25">
      <c r="A8669" t="s">
        <v>8499</v>
      </c>
    </row>
    <row r="8670" spans="1:1" x14ac:dyDescent="0.25">
      <c r="A8670" t="s">
        <v>8500</v>
      </c>
    </row>
    <row r="8671" spans="1:1" x14ac:dyDescent="0.25">
      <c r="A8671" t="s">
        <v>6988</v>
      </c>
    </row>
    <row r="8672" spans="1:1" x14ac:dyDescent="0.25">
      <c r="A8672" t="s">
        <v>8501</v>
      </c>
    </row>
    <row r="8673" spans="1:1" x14ac:dyDescent="0.25">
      <c r="A8673" t="s">
        <v>8502</v>
      </c>
    </row>
    <row r="8674" spans="1:1" x14ac:dyDescent="0.25">
      <c r="A8674" t="s">
        <v>8503</v>
      </c>
    </row>
    <row r="8675" spans="1:1" x14ac:dyDescent="0.25">
      <c r="A8675" t="s">
        <v>8504</v>
      </c>
    </row>
    <row r="8676" spans="1:1" x14ac:dyDescent="0.25">
      <c r="A8676" t="s">
        <v>8505</v>
      </c>
    </row>
    <row r="8677" spans="1:1" x14ac:dyDescent="0.25">
      <c r="A8677" t="s">
        <v>8506</v>
      </c>
    </row>
    <row r="8678" spans="1:1" x14ac:dyDescent="0.25">
      <c r="A8678" t="s">
        <v>8503</v>
      </c>
    </row>
    <row r="8679" spans="1:1" x14ac:dyDescent="0.25">
      <c r="A8679" t="s">
        <v>8504</v>
      </c>
    </row>
    <row r="8680" spans="1:1" x14ac:dyDescent="0.25">
      <c r="A8680" t="s">
        <v>8505</v>
      </c>
    </row>
    <row r="8681" spans="1:1" x14ac:dyDescent="0.25">
      <c r="A8681" t="s">
        <v>8506</v>
      </c>
    </row>
    <row r="8682" spans="1:1" x14ac:dyDescent="0.25">
      <c r="A8682" t="s">
        <v>8507</v>
      </c>
    </row>
    <row r="8683" spans="1:1" x14ac:dyDescent="0.25">
      <c r="A8683" t="s">
        <v>8508</v>
      </c>
    </row>
    <row r="8684" spans="1:1" x14ac:dyDescent="0.25">
      <c r="A8684" t="s">
        <v>8509</v>
      </c>
    </row>
    <row r="8685" spans="1:1" x14ac:dyDescent="0.25">
      <c r="A8685" t="s">
        <v>8510</v>
      </c>
    </row>
    <row r="8686" spans="1:1" x14ac:dyDescent="0.25">
      <c r="A8686" t="s">
        <v>7887</v>
      </c>
    </row>
    <row r="8687" spans="1:1" x14ac:dyDescent="0.25">
      <c r="A8687" t="s">
        <v>8511</v>
      </c>
    </row>
    <row r="8688" spans="1:1" x14ac:dyDescent="0.25">
      <c r="A8688" t="s">
        <v>8512</v>
      </c>
    </row>
    <row r="8691" spans="1:1" x14ac:dyDescent="0.25">
      <c r="A8691" t="s">
        <v>8513</v>
      </c>
    </row>
    <row r="8692" spans="1:1" x14ac:dyDescent="0.25">
      <c r="A8692" t="s">
        <v>8514</v>
      </c>
    </row>
    <row r="8693" spans="1:1" x14ac:dyDescent="0.25">
      <c r="A8693" t="s">
        <v>8515</v>
      </c>
    </row>
    <row r="8694" spans="1:1" x14ac:dyDescent="0.25">
      <c r="A8694" t="s">
        <v>8516</v>
      </c>
    </row>
    <row r="8695" spans="1:1" x14ac:dyDescent="0.25">
      <c r="A8695" t="s">
        <v>8517</v>
      </c>
    </row>
    <row r="8696" spans="1:1" x14ac:dyDescent="0.25">
      <c r="A8696" t="s">
        <v>8385</v>
      </c>
    </row>
    <row r="8697" spans="1:1" x14ac:dyDescent="0.25">
      <c r="A8697" t="s">
        <v>8518</v>
      </c>
    </row>
    <row r="8698" spans="1:1" x14ac:dyDescent="0.25">
      <c r="A8698" t="s">
        <v>8519</v>
      </c>
    </row>
    <row r="8699" spans="1:1" x14ac:dyDescent="0.25">
      <c r="A8699" t="s">
        <v>8520</v>
      </c>
    </row>
    <row r="8700" spans="1:1" x14ac:dyDescent="0.25">
      <c r="A8700" t="s">
        <v>8521</v>
      </c>
    </row>
    <row r="8701" spans="1:1" x14ac:dyDescent="0.25">
      <c r="A8701" t="s">
        <v>8522</v>
      </c>
    </row>
    <row r="8702" spans="1:1" x14ac:dyDescent="0.25">
      <c r="A8702" t="s">
        <v>8523</v>
      </c>
    </row>
    <row r="8703" spans="1:1" x14ac:dyDescent="0.25">
      <c r="A8703" t="s">
        <v>8524</v>
      </c>
    </row>
    <row r="8704" spans="1:1" x14ac:dyDescent="0.25">
      <c r="A8704" t="s">
        <v>8525</v>
      </c>
    </row>
    <row r="8705" spans="1:1" x14ac:dyDescent="0.25">
      <c r="A8705" t="s">
        <v>8526</v>
      </c>
    </row>
    <row r="8706" spans="1:1" x14ac:dyDescent="0.25">
      <c r="A8706" t="s">
        <v>8527</v>
      </c>
    </row>
    <row r="8707" spans="1:1" x14ac:dyDescent="0.25">
      <c r="A8707" t="s">
        <v>8528</v>
      </c>
    </row>
    <row r="8708" spans="1:1" x14ac:dyDescent="0.25">
      <c r="A8708" t="s">
        <v>8529</v>
      </c>
    </row>
    <row r="8709" spans="1:1" x14ac:dyDescent="0.25">
      <c r="A8709" t="s">
        <v>8530</v>
      </c>
    </row>
    <row r="8710" spans="1:1" x14ac:dyDescent="0.25">
      <c r="A8710" t="s">
        <v>8531</v>
      </c>
    </row>
    <row r="8711" spans="1:1" x14ac:dyDescent="0.25">
      <c r="A8711" t="s">
        <v>8385</v>
      </c>
    </row>
    <row r="8712" spans="1:1" x14ac:dyDescent="0.25">
      <c r="A8712" t="s">
        <v>8532</v>
      </c>
    </row>
    <row r="8713" spans="1:1" x14ac:dyDescent="0.25">
      <c r="A8713" t="s">
        <v>7260</v>
      </c>
    </row>
    <row r="8714" spans="1:1" x14ac:dyDescent="0.25">
      <c r="A8714" t="s">
        <v>8533</v>
      </c>
    </row>
    <row r="8715" spans="1:1" x14ac:dyDescent="0.25">
      <c r="A8715" t="s">
        <v>8534</v>
      </c>
    </row>
    <row r="8716" spans="1:1" x14ac:dyDescent="0.25">
      <c r="A8716" t="s">
        <v>8535</v>
      </c>
    </row>
    <row r="8717" spans="1:1" x14ac:dyDescent="0.25">
      <c r="A8717" t="s">
        <v>8536</v>
      </c>
    </row>
    <row r="8718" spans="1:1" x14ac:dyDescent="0.25">
      <c r="A8718" t="s">
        <v>8537</v>
      </c>
    </row>
    <row r="8719" spans="1:1" x14ac:dyDescent="0.25">
      <c r="A8719" t="s">
        <v>8538</v>
      </c>
    </row>
    <row r="8720" spans="1:1" x14ac:dyDescent="0.25">
      <c r="A8720" t="s">
        <v>8539</v>
      </c>
    </row>
    <row r="8721" spans="1:5" x14ac:dyDescent="0.25">
      <c r="A8721" t="s">
        <v>8540</v>
      </c>
    </row>
    <row r="8723" spans="1:5" x14ac:dyDescent="0.25">
      <c r="A8723" t="s">
        <v>8541</v>
      </c>
    </row>
    <row r="8724" spans="1:5" x14ac:dyDescent="0.25">
      <c r="A8724" t="s">
        <v>8542</v>
      </c>
    </row>
    <row r="8725" spans="1:5" x14ac:dyDescent="0.25">
      <c r="A8725" t="s">
        <v>8543</v>
      </c>
      <c r="B8725" t="s">
        <v>8544</v>
      </c>
      <c r="C8725" t="s">
        <v>8545</v>
      </c>
      <c r="D8725" t="s">
        <v>8546</v>
      </c>
      <c r="E8725" t="s">
        <v>8547</v>
      </c>
    </row>
    <row r="8726" spans="1:5" x14ac:dyDescent="0.25">
      <c r="A8726" t="s">
        <v>8548</v>
      </c>
      <c r="B8726" t="s">
        <v>4946</v>
      </c>
      <c r="C8726">
        <v>305.12</v>
      </c>
      <c r="D8726" t="s">
        <v>3428</v>
      </c>
      <c r="E8726">
        <v>999</v>
      </c>
    </row>
    <row r="8727" spans="1:5" x14ac:dyDescent="0.25">
      <c r="A8727" t="s">
        <v>1278</v>
      </c>
      <c r="B8727" t="s">
        <v>4946</v>
      </c>
      <c r="C8727">
        <v>601.22</v>
      </c>
      <c r="D8727" t="s">
        <v>3428</v>
      </c>
      <c r="E8727">
        <v>958</v>
      </c>
    </row>
    <row r="8728" spans="1:5" x14ac:dyDescent="0.25">
      <c r="A8728" t="s">
        <v>4948</v>
      </c>
      <c r="B8728" t="s">
        <v>4946</v>
      </c>
      <c r="C8728">
        <v>255.64</v>
      </c>
      <c r="D8728" t="s">
        <v>3428</v>
      </c>
      <c r="E8728">
        <v>1050</v>
      </c>
    </row>
    <row r="8729" spans="1:5" x14ac:dyDescent="0.25">
      <c r="A8729" t="s">
        <v>8549</v>
      </c>
    </row>
    <row r="8730" spans="1:5" x14ac:dyDescent="0.25">
      <c r="A8730" t="s">
        <v>8550</v>
      </c>
    </row>
    <row r="8731" spans="1:5" x14ac:dyDescent="0.25">
      <c r="A8731" t="s">
        <v>7494</v>
      </c>
    </row>
    <row r="8732" spans="1:5" x14ac:dyDescent="0.25">
      <c r="A8732" t="s">
        <v>4373</v>
      </c>
    </row>
    <row r="8733" spans="1:5" x14ac:dyDescent="0.25">
      <c r="A8733" t="s">
        <v>8551</v>
      </c>
    </row>
    <row r="8734" spans="1:5" x14ac:dyDescent="0.25">
      <c r="A8734" t="s">
        <v>8552</v>
      </c>
    </row>
    <row r="8735" spans="1:5" x14ac:dyDescent="0.25">
      <c r="A8735" t="s">
        <v>8553</v>
      </c>
    </row>
    <row r="8736" spans="1:5" x14ac:dyDescent="0.25">
      <c r="A8736" t="s">
        <v>8451</v>
      </c>
    </row>
    <row r="8737" spans="1:1" x14ac:dyDescent="0.25">
      <c r="A8737" t="s">
        <v>8554</v>
      </c>
    </row>
    <row r="8738" spans="1:1" x14ac:dyDescent="0.25">
      <c r="A8738" t="s">
        <v>8555</v>
      </c>
    </row>
    <row r="8739" spans="1:1" x14ac:dyDescent="0.25">
      <c r="A8739" t="s">
        <v>8556</v>
      </c>
    </row>
    <row r="8740" spans="1:1" x14ac:dyDescent="0.25">
      <c r="A8740" t="s">
        <v>8557</v>
      </c>
    </row>
    <row r="8749" spans="1:1" x14ac:dyDescent="0.25">
      <c r="A8749" t="s">
        <v>8558</v>
      </c>
    </row>
    <row r="8750" spans="1:1" x14ac:dyDescent="0.25">
      <c r="A8750" t="s">
        <v>8559</v>
      </c>
    </row>
    <row r="8751" spans="1:1" x14ac:dyDescent="0.25">
      <c r="A8751" t="s">
        <v>8560</v>
      </c>
    </row>
    <row r="8752" spans="1:1" x14ac:dyDescent="0.25">
      <c r="A8752" t="s">
        <v>8561</v>
      </c>
    </row>
    <row r="8753" spans="1:1" x14ac:dyDescent="0.25">
      <c r="A8753" t="s">
        <v>8562</v>
      </c>
    </row>
    <row r="8754" spans="1:1" x14ac:dyDescent="0.25">
      <c r="A8754" t="s">
        <v>8563</v>
      </c>
    </row>
    <row r="8755" spans="1:1" x14ac:dyDescent="0.25">
      <c r="A8755" t="s">
        <v>8314</v>
      </c>
    </row>
    <row r="8756" spans="1:1" x14ac:dyDescent="0.25">
      <c r="A8756" t="s">
        <v>8564</v>
      </c>
    </row>
    <row r="8757" spans="1:1" x14ac:dyDescent="0.25">
      <c r="A8757" t="s">
        <v>8565</v>
      </c>
    </row>
    <row r="8758" spans="1:1" x14ac:dyDescent="0.25">
      <c r="A8758" t="s">
        <v>8566</v>
      </c>
    </row>
    <row r="8759" spans="1:1" x14ac:dyDescent="0.25">
      <c r="A8759" t="s">
        <v>8567</v>
      </c>
    </row>
    <row r="8760" spans="1:1" x14ac:dyDescent="0.25">
      <c r="A8760" t="s">
        <v>8568</v>
      </c>
    </row>
    <row r="8761" spans="1:1" x14ac:dyDescent="0.25">
      <c r="A8761" t="s">
        <v>8569</v>
      </c>
    </row>
    <row r="8762" spans="1:1" x14ac:dyDescent="0.25">
      <c r="A8762" t="s">
        <v>8570</v>
      </c>
    </row>
    <row r="8763" spans="1:1" x14ac:dyDescent="0.25">
      <c r="A8763" t="s">
        <v>8571</v>
      </c>
    </row>
    <row r="8764" spans="1:1" x14ac:dyDescent="0.25">
      <c r="A8764" t="s">
        <v>8572</v>
      </c>
    </row>
    <row r="8765" spans="1:1" x14ac:dyDescent="0.25">
      <c r="A8765" t="s">
        <v>8573</v>
      </c>
    </row>
    <row r="8766" spans="1:1" x14ac:dyDescent="0.25">
      <c r="A8766" t="s">
        <v>8574</v>
      </c>
    </row>
    <row r="8767" spans="1:1" x14ac:dyDescent="0.25">
      <c r="A8767" t="s">
        <v>8575</v>
      </c>
    </row>
    <row r="8768" spans="1:1" x14ac:dyDescent="0.25">
      <c r="A8768" t="s">
        <v>8576</v>
      </c>
    </row>
    <row r="8769" spans="1:2" x14ac:dyDescent="0.25">
      <c r="A8769" t="s">
        <v>8577</v>
      </c>
    </row>
    <row r="8770" spans="1:2" x14ac:dyDescent="0.25">
      <c r="A8770" t="s">
        <v>8578</v>
      </c>
    </row>
    <row r="8771" spans="1:2" x14ac:dyDescent="0.25">
      <c r="A8771" t="s">
        <v>8579</v>
      </c>
      <c r="B8771" t="s">
        <v>8580</v>
      </c>
    </row>
    <row r="8772" spans="1:2" x14ac:dyDescent="0.25">
      <c r="A8772" t="s">
        <v>8581</v>
      </c>
    </row>
    <row r="8773" spans="1:2" x14ac:dyDescent="0.25">
      <c r="A8773" t="s">
        <v>8582</v>
      </c>
    </row>
    <row r="8774" spans="1:2" x14ac:dyDescent="0.25">
      <c r="A8774" t="s">
        <v>8583</v>
      </c>
    </row>
    <row r="8775" spans="1:2" x14ac:dyDescent="0.25">
      <c r="A8775" t="s">
        <v>8584</v>
      </c>
    </row>
    <row r="8776" spans="1:2" x14ac:dyDescent="0.25">
      <c r="A8776" t="s">
        <v>8585</v>
      </c>
    </row>
    <row r="8777" spans="1:2" x14ac:dyDescent="0.25">
      <c r="A8777" t="s">
        <v>8586</v>
      </c>
    </row>
    <row r="8778" spans="1:2" x14ac:dyDescent="0.25">
      <c r="A8778" t="s">
        <v>8587</v>
      </c>
    </row>
    <row r="8779" spans="1:2" x14ac:dyDescent="0.25">
      <c r="A8779" t="s">
        <v>8588</v>
      </c>
    </row>
    <row r="8780" spans="1:2" x14ac:dyDescent="0.25">
      <c r="A8780" t="s">
        <v>8589</v>
      </c>
    </row>
    <row r="8781" spans="1:2" x14ac:dyDescent="0.25">
      <c r="A8781" t="s">
        <v>8590</v>
      </c>
    </row>
    <row r="8782" spans="1:2" x14ac:dyDescent="0.25">
      <c r="A8782" t="s">
        <v>8591</v>
      </c>
    </row>
    <row r="8783" spans="1:2" x14ac:dyDescent="0.25">
      <c r="A8783" t="s">
        <v>8592</v>
      </c>
    </row>
    <row r="8784" spans="1:2" x14ac:dyDescent="0.25">
      <c r="A8784" t="s">
        <v>8593</v>
      </c>
    </row>
    <row r="8785" spans="1:4" x14ac:dyDescent="0.25">
      <c r="A8785" t="s">
        <v>8594</v>
      </c>
    </row>
    <row r="8786" spans="1:4" x14ac:dyDescent="0.25">
      <c r="A8786" t="s">
        <v>8595</v>
      </c>
      <c r="B8786">
        <v>201811</v>
      </c>
      <c r="C8786" t="s">
        <v>2014</v>
      </c>
      <c r="D8786">
        <v>1500</v>
      </c>
    </row>
    <row r="8787" spans="1:4" x14ac:dyDescent="0.25">
      <c r="A8787" t="s">
        <v>8596</v>
      </c>
    </row>
    <row r="8788" spans="1:4" x14ac:dyDescent="0.25">
      <c r="A8788" t="s">
        <v>8597</v>
      </c>
      <c r="B8788" t="s">
        <v>4946</v>
      </c>
      <c r="C8788">
        <v>699.75</v>
      </c>
    </row>
    <row r="8789" spans="1:4" x14ac:dyDescent="0.25">
      <c r="A8789" t="s">
        <v>8598</v>
      </c>
      <c r="B8789" t="s">
        <v>4946</v>
      </c>
      <c r="C8789">
        <v>518.53</v>
      </c>
    </row>
    <row r="8790" spans="1:4" x14ac:dyDescent="0.25">
      <c r="A8790" t="s">
        <v>8599</v>
      </c>
    </row>
    <row r="8791" spans="1:4" x14ac:dyDescent="0.25">
      <c r="A8791" t="s">
        <v>4585</v>
      </c>
    </row>
    <row r="8792" spans="1:4" x14ac:dyDescent="0.25">
      <c r="A8792" t="s">
        <v>8600</v>
      </c>
    </row>
    <row r="8793" spans="1:4" x14ac:dyDescent="0.25">
      <c r="A8793" t="s">
        <v>8601</v>
      </c>
      <c r="B8793">
        <v>201909</v>
      </c>
      <c r="C8793" t="s">
        <v>2014</v>
      </c>
      <c r="D8793">
        <v>1150</v>
      </c>
    </row>
    <row r="8794" spans="1:4" x14ac:dyDescent="0.25">
      <c r="A8794" t="s">
        <v>8602</v>
      </c>
    </row>
    <row r="8795" spans="1:4" x14ac:dyDescent="0.25">
      <c r="A8795" t="s">
        <v>5073</v>
      </c>
    </row>
    <row r="8797" spans="1:4" x14ac:dyDescent="0.25">
      <c r="A8797" t="s">
        <v>8603</v>
      </c>
    </row>
    <row r="8798" spans="1:4" x14ac:dyDescent="0.25">
      <c r="A8798" t="s">
        <v>8604</v>
      </c>
    </row>
    <row r="8799" spans="1:4" x14ac:dyDescent="0.25">
      <c r="A8799" t="s">
        <v>8605</v>
      </c>
    </row>
    <row r="8800" spans="1:4" x14ac:dyDescent="0.25">
      <c r="A8800" t="s">
        <v>8606</v>
      </c>
    </row>
    <row r="8801" spans="1:5" x14ac:dyDescent="0.25">
      <c r="A8801" t="s">
        <v>8607</v>
      </c>
    </row>
    <row r="8802" spans="1:5" x14ac:dyDescent="0.25">
      <c r="A8802" t="s">
        <v>8608</v>
      </c>
    </row>
    <row r="8803" spans="1:5" x14ac:dyDescent="0.25">
      <c r="B8803" t="s">
        <v>8609</v>
      </c>
      <c r="C8803">
        <v>201906</v>
      </c>
      <c r="D8803" t="s">
        <v>7445</v>
      </c>
      <c r="E8803">
        <v>1799</v>
      </c>
    </row>
    <row r="8804" spans="1:5" x14ac:dyDescent="0.25">
      <c r="A8804" t="s">
        <v>4948</v>
      </c>
      <c r="B8804" t="s">
        <v>4946</v>
      </c>
      <c r="C8804">
        <v>417.7</v>
      </c>
    </row>
    <row r="8807" spans="1:5" x14ac:dyDescent="0.25">
      <c r="A8807" t="s">
        <v>8610</v>
      </c>
    </row>
    <row r="8808" spans="1:5" x14ac:dyDescent="0.25">
      <c r="A8808" t="s">
        <v>8611</v>
      </c>
    </row>
    <row r="8809" spans="1:5" x14ac:dyDescent="0.25">
      <c r="A8809" t="s">
        <v>8612</v>
      </c>
    </row>
    <row r="8810" spans="1:5" x14ac:dyDescent="0.25">
      <c r="A8810" t="s">
        <v>8613</v>
      </c>
    </row>
    <row r="8811" spans="1:5" x14ac:dyDescent="0.25">
      <c r="A8811" t="s">
        <v>8614</v>
      </c>
    </row>
    <row r="8812" spans="1:5" x14ac:dyDescent="0.25">
      <c r="A8812" t="s">
        <v>8615</v>
      </c>
    </row>
    <row r="8813" spans="1:5" x14ac:dyDescent="0.25">
      <c r="A8813" t="s">
        <v>8616</v>
      </c>
    </row>
    <row r="8814" spans="1:5" x14ac:dyDescent="0.25">
      <c r="A8814" t="s">
        <v>8617</v>
      </c>
    </row>
    <row r="8815" spans="1:5" x14ac:dyDescent="0.25">
      <c r="A8815" t="s">
        <v>8618</v>
      </c>
    </row>
    <row r="8816" spans="1:5" x14ac:dyDescent="0.25">
      <c r="A8816" t="s">
        <v>8619</v>
      </c>
    </row>
    <row r="8817" spans="1:1" x14ac:dyDescent="0.25">
      <c r="A8817" t="s">
        <v>8620</v>
      </c>
    </row>
    <row r="8818" spans="1:1" x14ac:dyDescent="0.25">
      <c r="A8818" t="s">
        <v>8621</v>
      </c>
    </row>
    <row r="8819" spans="1:1" x14ac:dyDescent="0.25">
      <c r="A8819" t="s">
        <v>8622</v>
      </c>
    </row>
    <row r="8820" spans="1:1" x14ac:dyDescent="0.25">
      <c r="A8820" t="s">
        <v>8623</v>
      </c>
    </row>
    <row r="8821" spans="1:1" x14ac:dyDescent="0.25">
      <c r="A8821" t="s">
        <v>8624</v>
      </c>
    </row>
    <row r="8822" spans="1:1" x14ac:dyDescent="0.25">
      <c r="A8822" t="s">
        <v>8625</v>
      </c>
    </row>
    <row r="8823" spans="1:1" x14ac:dyDescent="0.25">
      <c r="A8823" t="s">
        <v>8626</v>
      </c>
    </row>
    <row r="8824" spans="1:1" x14ac:dyDescent="0.25">
      <c r="A8824" t="s">
        <v>8627</v>
      </c>
    </row>
    <row r="8825" spans="1:1" x14ac:dyDescent="0.25">
      <c r="A8825" t="s">
        <v>8628</v>
      </c>
    </row>
    <row r="8826" spans="1:1" x14ac:dyDescent="0.25">
      <c r="A8826" t="s">
        <v>8629</v>
      </c>
    </row>
    <row r="8827" spans="1:1" x14ac:dyDescent="0.25">
      <c r="A8827" t="s">
        <v>8630</v>
      </c>
    </row>
    <row r="8828" spans="1:1" x14ac:dyDescent="0.25">
      <c r="A8828" t="s">
        <v>8631</v>
      </c>
    </row>
    <row r="8829" spans="1:1" x14ac:dyDescent="0.25">
      <c r="A8829" t="s">
        <v>8632</v>
      </c>
    </row>
    <row r="8830" spans="1:1" x14ac:dyDescent="0.25">
      <c r="A8830" t="s">
        <v>8633</v>
      </c>
    </row>
    <row r="8831" spans="1:1" x14ac:dyDescent="0.25">
      <c r="A8831" t="s">
        <v>8634</v>
      </c>
    </row>
    <row r="8832" spans="1:1" x14ac:dyDescent="0.25">
      <c r="A8832" t="s">
        <v>8635</v>
      </c>
    </row>
    <row r="8833" spans="1:1" x14ac:dyDescent="0.25">
      <c r="A8833" t="s">
        <v>8636</v>
      </c>
    </row>
    <row r="8834" spans="1:1" x14ac:dyDescent="0.25">
      <c r="A8834" t="s">
        <v>8637</v>
      </c>
    </row>
    <row r="8835" spans="1:1" x14ac:dyDescent="0.25">
      <c r="A8835" t="s">
        <v>8638</v>
      </c>
    </row>
    <row r="8836" spans="1:1" x14ac:dyDescent="0.25">
      <c r="A8836" t="s">
        <v>8639</v>
      </c>
    </row>
    <row r="8837" spans="1:1" x14ac:dyDescent="0.25">
      <c r="A8837" t="s">
        <v>5931</v>
      </c>
    </row>
    <row r="8838" spans="1:1" x14ac:dyDescent="0.25">
      <c r="A8838" t="s">
        <v>8640</v>
      </c>
    </row>
    <row r="8839" spans="1:1" x14ac:dyDescent="0.25">
      <c r="A8839" t="s">
        <v>5800</v>
      </c>
    </row>
    <row r="8840" spans="1:1" x14ac:dyDescent="0.25">
      <c r="A8840" t="s">
        <v>8641</v>
      </c>
    </row>
    <row r="8841" spans="1:1" x14ac:dyDescent="0.25">
      <c r="A8841" t="s">
        <v>8642</v>
      </c>
    </row>
    <row r="8842" spans="1:1" x14ac:dyDescent="0.25">
      <c r="A8842" t="s">
        <v>8643</v>
      </c>
    </row>
    <row r="8843" spans="1:1" x14ac:dyDescent="0.25">
      <c r="A8843" t="s">
        <v>8644</v>
      </c>
    </row>
    <row r="8844" spans="1:1" x14ac:dyDescent="0.25">
      <c r="A8844" t="s">
        <v>8645</v>
      </c>
    </row>
    <row r="8845" spans="1:1" x14ac:dyDescent="0.25">
      <c r="A8845" t="s">
        <v>8646</v>
      </c>
    </row>
    <row r="8846" spans="1:1" x14ac:dyDescent="0.25">
      <c r="A8846" t="s">
        <v>8647</v>
      </c>
    </row>
    <row r="8847" spans="1:1" x14ac:dyDescent="0.25">
      <c r="A8847" t="s">
        <v>8648</v>
      </c>
    </row>
    <row r="8848" spans="1:1" x14ac:dyDescent="0.25">
      <c r="A8848" t="s">
        <v>8649</v>
      </c>
    </row>
    <row r="8849" spans="1:1" x14ac:dyDescent="0.25">
      <c r="A8849" t="s">
        <v>8650</v>
      </c>
    </row>
    <row r="8850" spans="1:1" x14ac:dyDescent="0.25">
      <c r="A8850" t="s">
        <v>8651</v>
      </c>
    </row>
    <row r="8851" spans="1:1" x14ac:dyDescent="0.25">
      <c r="A8851" t="s">
        <v>8652</v>
      </c>
    </row>
    <row r="8852" spans="1:1" x14ac:dyDescent="0.25">
      <c r="A8852" t="s">
        <v>8653</v>
      </c>
    </row>
    <row r="8853" spans="1:1" x14ac:dyDescent="0.25">
      <c r="A8853" t="s">
        <v>8654</v>
      </c>
    </row>
    <row r="8854" spans="1:1" x14ac:dyDescent="0.25">
      <c r="A8854" t="s">
        <v>8655</v>
      </c>
    </row>
    <row r="8855" spans="1:1" x14ac:dyDescent="0.25">
      <c r="A8855" t="s">
        <v>8656</v>
      </c>
    </row>
    <row r="8856" spans="1:1" x14ac:dyDescent="0.25">
      <c r="A8856" t="s">
        <v>8657</v>
      </c>
    </row>
    <row r="8857" spans="1:1" x14ac:dyDescent="0.25">
      <c r="A8857" t="s">
        <v>8658</v>
      </c>
    </row>
    <row r="8858" spans="1:1" x14ac:dyDescent="0.25">
      <c r="A8858" t="s">
        <v>8659</v>
      </c>
    </row>
    <row r="8859" spans="1:1" x14ac:dyDescent="0.25">
      <c r="A8859" t="s">
        <v>8660</v>
      </c>
    </row>
    <row r="8860" spans="1:1" x14ac:dyDescent="0.25">
      <c r="A8860" t="s">
        <v>8661</v>
      </c>
    </row>
    <row r="8861" spans="1:1" x14ac:dyDescent="0.25">
      <c r="A8861" t="s">
        <v>8662</v>
      </c>
    </row>
    <row r="8862" spans="1:1" x14ac:dyDescent="0.25">
      <c r="A8862" t="s">
        <v>8663</v>
      </c>
    </row>
    <row r="8863" spans="1:1" x14ac:dyDescent="0.25">
      <c r="A8863" t="s">
        <v>8664</v>
      </c>
    </row>
    <row r="8864" spans="1:1" x14ac:dyDescent="0.25">
      <c r="A8864" t="s">
        <v>8665</v>
      </c>
    </row>
    <row r="8865" spans="1:1" x14ac:dyDescent="0.25">
      <c r="A8865" t="s">
        <v>8666</v>
      </c>
    </row>
    <row r="8866" spans="1:1" x14ac:dyDescent="0.25">
      <c r="A8866" t="s">
        <v>8662</v>
      </c>
    </row>
    <row r="8867" spans="1:1" x14ac:dyDescent="0.25">
      <c r="A8867" t="s">
        <v>8663</v>
      </c>
    </row>
    <row r="8868" spans="1:1" x14ac:dyDescent="0.25">
      <c r="A8868" t="s">
        <v>8667</v>
      </c>
    </row>
    <row r="8869" spans="1:1" x14ac:dyDescent="0.25">
      <c r="A8869" t="s">
        <v>8668</v>
      </c>
    </row>
    <row r="8870" spans="1:1" x14ac:dyDescent="0.25">
      <c r="A8870" t="s">
        <v>8669</v>
      </c>
    </row>
    <row r="8871" spans="1:1" x14ac:dyDescent="0.25">
      <c r="A8871" t="s">
        <v>8670</v>
      </c>
    </row>
    <row r="8872" spans="1:1" x14ac:dyDescent="0.25">
      <c r="A8872" t="s">
        <v>8662</v>
      </c>
    </row>
    <row r="8873" spans="1:1" x14ac:dyDescent="0.25">
      <c r="A8873" t="s">
        <v>8663</v>
      </c>
    </row>
    <row r="8874" spans="1:1" x14ac:dyDescent="0.25">
      <c r="A8874" t="s">
        <v>8671</v>
      </c>
    </row>
    <row r="8875" spans="1:1" x14ac:dyDescent="0.25">
      <c r="A8875" t="s">
        <v>8665</v>
      </c>
    </row>
    <row r="8876" spans="1:1" x14ac:dyDescent="0.25">
      <c r="A8876" t="s">
        <v>8672</v>
      </c>
    </row>
    <row r="8877" spans="1:1" x14ac:dyDescent="0.25">
      <c r="A8877" t="s">
        <v>8673</v>
      </c>
    </row>
    <row r="8878" spans="1:1" x14ac:dyDescent="0.25">
      <c r="A8878" t="s">
        <v>8662</v>
      </c>
    </row>
    <row r="8879" spans="1:1" x14ac:dyDescent="0.25">
      <c r="A8879" t="s">
        <v>8663</v>
      </c>
    </row>
    <row r="8880" spans="1:1" x14ac:dyDescent="0.25">
      <c r="A8880" t="s">
        <v>8674</v>
      </c>
    </row>
    <row r="8881" spans="1:1" x14ac:dyDescent="0.25">
      <c r="A8881" t="s">
        <v>8675</v>
      </c>
    </row>
    <row r="8882" spans="1:1" x14ac:dyDescent="0.25">
      <c r="A8882" t="s">
        <v>8676</v>
      </c>
    </row>
    <row r="8883" spans="1:1" x14ac:dyDescent="0.25">
      <c r="A8883" t="s">
        <v>8677</v>
      </c>
    </row>
    <row r="8884" spans="1:1" x14ac:dyDescent="0.25">
      <c r="A8884" t="s">
        <v>8678</v>
      </c>
    </row>
    <row r="8885" spans="1:1" x14ac:dyDescent="0.25">
      <c r="A8885" t="s">
        <v>8679</v>
      </c>
    </row>
    <row r="8886" spans="1:1" x14ac:dyDescent="0.25">
      <c r="A8886" t="s">
        <v>8680</v>
      </c>
    </row>
    <row r="8887" spans="1:1" x14ac:dyDescent="0.25">
      <c r="A8887" t="s">
        <v>8681</v>
      </c>
    </row>
    <row r="8888" spans="1:1" x14ac:dyDescent="0.25">
      <c r="A8888" t="s">
        <v>8682</v>
      </c>
    </row>
    <row r="8889" spans="1:1" x14ac:dyDescent="0.25">
      <c r="A8889" t="s">
        <v>8683</v>
      </c>
    </row>
    <row r="8890" spans="1:1" x14ac:dyDescent="0.25">
      <c r="A8890" t="s">
        <v>8684</v>
      </c>
    </row>
    <row r="8891" spans="1:1" x14ac:dyDescent="0.25">
      <c r="A8891" t="s">
        <v>8685</v>
      </c>
    </row>
    <row r="8892" spans="1:1" x14ac:dyDescent="0.25">
      <c r="A8892" t="s">
        <v>8686</v>
      </c>
    </row>
    <row r="8893" spans="1:1" x14ac:dyDescent="0.25">
      <c r="A8893" t="s">
        <v>8687</v>
      </c>
    </row>
    <row r="8894" spans="1:1" x14ac:dyDescent="0.25">
      <c r="A8894" t="s">
        <v>8688</v>
      </c>
    </row>
    <row r="8895" spans="1:1" x14ac:dyDescent="0.25">
      <c r="A8895" t="s">
        <v>8689</v>
      </c>
    </row>
    <row r="8896" spans="1:1" x14ac:dyDescent="0.25">
      <c r="A8896" t="s">
        <v>8690</v>
      </c>
    </row>
    <row r="8897" spans="1:1" x14ac:dyDescent="0.25">
      <c r="A8897" t="s">
        <v>8691</v>
      </c>
    </row>
    <row r="8898" spans="1:1" x14ac:dyDescent="0.25">
      <c r="A8898" t="s">
        <v>8692</v>
      </c>
    </row>
    <row r="8899" spans="1:1" x14ac:dyDescent="0.25">
      <c r="A8899" t="s">
        <v>8693</v>
      </c>
    </row>
    <row r="8900" spans="1:1" x14ac:dyDescent="0.25">
      <c r="A8900" t="s">
        <v>8694</v>
      </c>
    </row>
    <row r="8901" spans="1:1" x14ac:dyDescent="0.25">
      <c r="A8901" t="s">
        <v>8695</v>
      </c>
    </row>
    <row r="8902" spans="1:1" x14ac:dyDescent="0.25">
      <c r="A8902" t="s">
        <v>8696</v>
      </c>
    </row>
    <row r="8903" spans="1:1" x14ac:dyDescent="0.25">
      <c r="A8903" t="s">
        <v>8697</v>
      </c>
    </row>
    <row r="8904" spans="1:1" x14ac:dyDescent="0.25">
      <c r="A8904" t="s">
        <v>8698</v>
      </c>
    </row>
    <row r="8905" spans="1:1" x14ac:dyDescent="0.25">
      <c r="A8905" t="s">
        <v>8699</v>
      </c>
    </row>
    <row r="8906" spans="1:1" x14ac:dyDescent="0.25">
      <c r="A8906" t="s">
        <v>8700</v>
      </c>
    </row>
    <row r="8907" spans="1:1" x14ac:dyDescent="0.25">
      <c r="A8907" t="s">
        <v>8701</v>
      </c>
    </row>
    <row r="8908" spans="1:1" x14ac:dyDescent="0.25">
      <c r="A8908" t="s">
        <v>8702</v>
      </c>
    </row>
    <row r="8909" spans="1:1" x14ac:dyDescent="0.25">
      <c r="A8909" t="s">
        <v>8703</v>
      </c>
    </row>
    <row r="8910" spans="1:1" x14ac:dyDescent="0.25">
      <c r="A8910" t="s">
        <v>8704</v>
      </c>
    </row>
    <row r="8911" spans="1:1" x14ac:dyDescent="0.25">
      <c r="A8911" t="s">
        <v>8705</v>
      </c>
    </row>
    <row r="8912" spans="1:1" x14ac:dyDescent="0.25">
      <c r="A8912" t="s">
        <v>6859</v>
      </c>
    </row>
    <row r="8913" spans="1:1" x14ac:dyDescent="0.25">
      <c r="A8913" t="s">
        <v>8706</v>
      </c>
    </row>
    <row r="8914" spans="1:1" x14ac:dyDescent="0.25">
      <c r="A8914" t="s">
        <v>8707</v>
      </c>
    </row>
    <row r="8915" spans="1:1" x14ac:dyDescent="0.25">
      <c r="A8915" t="s">
        <v>8699</v>
      </c>
    </row>
    <row r="8916" spans="1:1" x14ac:dyDescent="0.25">
      <c r="A8916" t="s">
        <v>8708</v>
      </c>
    </row>
    <row r="8917" spans="1:1" x14ac:dyDescent="0.25">
      <c r="A8917" t="s">
        <v>8709</v>
      </c>
    </row>
    <row r="8918" spans="1:1" x14ac:dyDescent="0.25">
      <c r="A8918" t="s">
        <v>8710</v>
      </c>
    </row>
    <row r="8919" spans="1:1" x14ac:dyDescent="0.25">
      <c r="A8919" t="s">
        <v>8711</v>
      </c>
    </row>
    <row r="8920" spans="1:1" x14ac:dyDescent="0.25">
      <c r="A8920" t="s">
        <v>8712</v>
      </c>
    </row>
    <row r="8921" spans="1:1" x14ac:dyDescent="0.25">
      <c r="A8921" t="s">
        <v>8713</v>
      </c>
    </row>
    <row r="8922" spans="1:1" x14ac:dyDescent="0.25">
      <c r="A8922" t="s">
        <v>8714</v>
      </c>
    </row>
    <row r="8923" spans="1:1" x14ac:dyDescent="0.25">
      <c r="A8923" t="s">
        <v>8715</v>
      </c>
    </row>
    <row r="8924" spans="1:1" x14ac:dyDescent="0.25">
      <c r="A8924" t="s">
        <v>8716</v>
      </c>
    </row>
    <row r="8926" spans="1:1" x14ac:dyDescent="0.25">
      <c r="A8926" t="s">
        <v>8717</v>
      </c>
    </row>
    <row r="8927" spans="1:1" x14ac:dyDescent="0.25">
      <c r="A8927" t="s">
        <v>8718</v>
      </c>
    </row>
    <row r="8928" spans="1:1" x14ac:dyDescent="0.25">
      <c r="A8928" t="s">
        <v>8719</v>
      </c>
    </row>
    <row r="8930" spans="1:5" x14ac:dyDescent="0.25">
      <c r="A8930" t="s">
        <v>8720</v>
      </c>
    </row>
    <row r="8931" spans="1:5" x14ac:dyDescent="0.25">
      <c r="A8931" t="s">
        <v>8721</v>
      </c>
    </row>
    <row r="8932" spans="1:5" x14ac:dyDescent="0.25">
      <c r="A8932" t="s">
        <v>8722</v>
      </c>
    </row>
    <row r="8933" spans="1:5" x14ac:dyDescent="0.25">
      <c r="A8933" t="s">
        <v>8543</v>
      </c>
      <c r="B8933" t="s">
        <v>8544</v>
      </c>
      <c r="C8933" t="s">
        <v>8545</v>
      </c>
      <c r="D8933" t="s">
        <v>8546</v>
      </c>
      <c r="E8933" t="s">
        <v>8547</v>
      </c>
    </row>
    <row r="8934" spans="1:5" x14ac:dyDescent="0.25">
      <c r="A8934" t="s">
        <v>4948</v>
      </c>
      <c r="B8934" t="s">
        <v>4946</v>
      </c>
      <c r="C8934">
        <v>1208.1400000000001</v>
      </c>
      <c r="D8934" t="s">
        <v>3428</v>
      </c>
      <c r="E8934">
        <v>699</v>
      </c>
    </row>
    <row r="8935" spans="1:5" x14ac:dyDescent="0.25">
      <c r="A8935" t="s">
        <v>5317</v>
      </c>
    </row>
    <row r="8937" spans="1:5" x14ac:dyDescent="0.25">
      <c r="A8937" t="s">
        <v>8723</v>
      </c>
    </row>
    <row r="8938" spans="1:5" x14ac:dyDescent="0.25">
      <c r="A8938" t="s">
        <v>8724</v>
      </c>
    </row>
    <row r="8939" spans="1:5" x14ac:dyDescent="0.25">
      <c r="A8939" t="s">
        <v>8725</v>
      </c>
    </row>
    <row r="8940" spans="1:5" x14ac:dyDescent="0.25">
      <c r="A8940" t="s">
        <v>8726</v>
      </c>
    </row>
    <row r="8941" spans="1:5" x14ac:dyDescent="0.25">
      <c r="A8941" t="s">
        <v>8727</v>
      </c>
    </row>
    <row r="8942" spans="1:5" x14ac:dyDescent="0.25">
      <c r="A8942" t="s">
        <v>8728</v>
      </c>
    </row>
    <row r="8943" spans="1:5" x14ac:dyDescent="0.25">
      <c r="A8943" t="s">
        <v>8729</v>
      </c>
    </row>
    <row r="8944" spans="1:5" x14ac:dyDescent="0.25">
      <c r="A8944" t="s">
        <v>8730</v>
      </c>
    </row>
    <row r="8945" spans="1:1" x14ac:dyDescent="0.25">
      <c r="A8945" t="s">
        <v>8731</v>
      </c>
    </row>
    <row r="8946" spans="1:1" x14ac:dyDescent="0.25">
      <c r="A8946" t="s">
        <v>8732</v>
      </c>
    </row>
    <row r="8947" spans="1:1" x14ac:dyDescent="0.25">
      <c r="A8947" t="s">
        <v>8733</v>
      </c>
    </row>
    <row r="8948" spans="1:1" x14ac:dyDescent="0.25">
      <c r="A8948" t="s">
        <v>8734</v>
      </c>
    </row>
    <row r="8949" spans="1:1" x14ac:dyDescent="0.25">
      <c r="A8949" t="s">
        <v>8735</v>
      </c>
    </row>
    <row r="8950" spans="1:1" x14ac:dyDescent="0.25">
      <c r="A8950" t="s">
        <v>8736</v>
      </c>
    </row>
    <row r="8951" spans="1:1" x14ac:dyDescent="0.25">
      <c r="A8951" t="s">
        <v>8737</v>
      </c>
    </row>
    <row r="8952" spans="1:1" x14ac:dyDescent="0.25">
      <c r="A8952" t="s">
        <v>8738</v>
      </c>
    </row>
    <row r="8953" spans="1:1" x14ac:dyDescent="0.25">
      <c r="A8953" t="s">
        <v>8739</v>
      </c>
    </row>
    <row r="8954" spans="1:1" x14ac:dyDescent="0.25">
      <c r="A8954" t="s">
        <v>8740</v>
      </c>
    </row>
    <row r="8955" spans="1:1" x14ac:dyDescent="0.25">
      <c r="A8955" t="s">
        <v>8741</v>
      </c>
    </row>
    <row r="8956" spans="1:1" x14ac:dyDescent="0.25">
      <c r="A8956" t="s">
        <v>8742</v>
      </c>
    </row>
    <row r="8957" spans="1:1" x14ac:dyDescent="0.25">
      <c r="A8957" t="s">
        <v>8743</v>
      </c>
    </row>
    <row r="8958" spans="1:1" x14ac:dyDescent="0.25">
      <c r="A8958" t="s">
        <v>8744</v>
      </c>
    </row>
    <row r="8959" spans="1:1" x14ac:dyDescent="0.25">
      <c r="A8959" t="s">
        <v>8745</v>
      </c>
    </row>
    <row r="8960" spans="1:1" x14ac:dyDescent="0.25">
      <c r="A8960" t="s">
        <v>8746</v>
      </c>
    </row>
    <row r="8961" spans="1:1" x14ac:dyDescent="0.25">
      <c r="A8961" t="s">
        <v>8747</v>
      </c>
    </row>
    <row r="8962" spans="1:1" x14ac:dyDescent="0.25">
      <c r="A8962" t="s">
        <v>8748</v>
      </c>
    </row>
    <row r="8963" spans="1:1" x14ac:dyDescent="0.25">
      <c r="A8963" t="s">
        <v>8749</v>
      </c>
    </row>
    <row r="8964" spans="1:1" x14ac:dyDescent="0.25">
      <c r="A8964" t="s">
        <v>8750</v>
      </c>
    </row>
    <row r="8965" spans="1:1" x14ac:dyDescent="0.25">
      <c r="A8965" t="s">
        <v>8751</v>
      </c>
    </row>
    <row r="8966" spans="1:1" x14ac:dyDescent="0.25">
      <c r="A8966" t="s">
        <v>8752</v>
      </c>
    </row>
    <row r="8967" spans="1:1" x14ac:dyDescent="0.25">
      <c r="A8967" t="s">
        <v>8753</v>
      </c>
    </row>
    <row r="8968" spans="1:1" x14ac:dyDescent="0.25">
      <c r="A8968" t="s">
        <v>8754</v>
      </c>
    </row>
    <row r="8969" spans="1:1" x14ac:dyDescent="0.25">
      <c r="A8969" t="s">
        <v>8755</v>
      </c>
    </row>
    <row r="8970" spans="1:1" x14ac:dyDescent="0.25">
      <c r="A8970" t="s">
        <v>8756</v>
      </c>
    </row>
    <row r="8971" spans="1:1" x14ac:dyDescent="0.25">
      <c r="A8971" t="s">
        <v>8757</v>
      </c>
    </row>
    <row r="8972" spans="1:1" x14ac:dyDescent="0.25">
      <c r="A8972" t="s">
        <v>8758</v>
      </c>
    </row>
    <row r="8973" spans="1:1" x14ac:dyDescent="0.25">
      <c r="A8973" t="s">
        <v>8759</v>
      </c>
    </row>
    <row r="8974" spans="1:1" x14ac:dyDescent="0.25">
      <c r="A8974" t="s">
        <v>8760</v>
      </c>
    </row>
    <row r="8975" spans="1:1" x14ac:dyDescent="0.25">
      <c r="A8975" t="s">
        <v>8761</v>
      </c>
    </row>
    <row r="8976" spans="1:1" x14ac:dyDescent="0.25">
      <c r="A8976" t="s">
        <v>8762</v>
      </c>
    </row>
    <row r="8977" spans="1:5" x14ac:dyDescent="0.25">
      <c r="A8977" t="s">
        <v>8763</v>
      </c>
    </row>
    <row r="8978" spans="1:5" x14ac:dyDescent="0.25">
      <c r="A8978" t="s">
        <v>8764</v>
      </c>
    </row>
    <row r="8979" spans="1:5" x14ac:dyDescent="0.25">
      <c r="A8979" t="s">
        <v>8765</v>
      </c>
    </row>
    <row r="8980" spans="1:5" x14ac:dyDescent="0.25">
      <c r="A8980" t="s">
        <v>8766</v>
      </c>
    </row>
    <row r="8981" spans="1:5" x14ac:dyDescent="0.25">
      <c r="A8981" t="s">
        <v>8767</v>
      </c>
    </row>
    <row r="8982" spans="1:5" x14ac:dyDescent="0.25">
      <c r="A8982" t="s">
        <v>8768</v>
      </c>
    </row>
    <row r="8983" spans="1:5" x14ac:dyDescent="0.25">
      <c r="A8983" t="s">
        <v>8769</v>
      </c>
    </row>
    <row r="8984" spans="1:5" x14ac:dyDescent="0.25">
      <c r="A8984" t="s">
        <v>8770</v>
      </c>
    </row>
    <row r="8985" spans="1:5" x14ac:dyDescent="0.25">
      <c r="A8985" t="s">
        <v>8720</v>
      </c>
    </row>
    <row r="8986" spans="1:5" x14ac:dyDescent="0.25">
      <c r="A8986" t="s">
        <v>8721</v>
      </c>
    </row>
    <row r="8987" spans="1:5" x14ac:dyDescent="0.25">
      <c r="A8987" t="s">
        <v>8722</v>
      </c>
    </row>
    <row r="8988" spans="1:5" x14ac:dyDescent="0.25">
      <c r="A8988" t="s">
        <v>8543</v>
      </c>
      <c r="B8988" t="s">
        <v>8544</v>
      </c>
      <c r="C8988" t="s">
        <v>8545</v>
      </c>
      <c r="D8988" t="s">
        <v>8546</v>
      </c>
      <c r="E8988" t="s">
        <v>8547</v>
      </c>
    </row>
    <row r="8989" spans="1:5" x14ac:dyDescent="0.25">
      <c r="A8989" t="s">
        <v>4948</v>
      </c>
      <c r="B8989" t="s">
        <v>4946</v>
      </c>
      <c r="C8989">
        <v>1208.1400000000001</v>
      </c>
      <c r="D8989" t="s">
        <v>3428</v>
      </c>
      <c r="E8989">
        <v>699</v>
      </c>
    </row>
    <row r="8990" spans="1:5" x14ac:dyDescent="0.25">
      <c r="A8990" t="s">
        <v>5317</v>
      </c>
    </row>
    <row r="8992" spans="1:5" x14ac:dyDescent="0.25">
      <c r="A8992" t="s">
        <v>8723</v>
      </c>
    </row>
    <row r="8993" spans="1:1" x14ac:dyDescent="0.25">
      <c r="A8993" t="s">
        <v>8771</v>
      </c>
    </row>
    <row r="8994" spans="1:1" x14ac:dyDescent="0.25">
      <c r="A8994" t="s">
        <v>8772</v>
      </c>
    </row>
    <row r="8995" spans="1:1" x14ac:dyDescent="0.25">
      <c r="A8995" t="s">
        <v>8773</v>
      </c>
    </row>
    <row r="8996" spans="1:1" x14ac:dyDescent="0.25">
      <c r="A8996" t="s">
        <v>8774</v>
      </c>
    </row>
    <row r="8997" spans="1:1" x14ac:dyDescent="0.25">
      <c r="A8997" t="s">
        <v>8775</v>
      </c>
    </row>
    <row r="8998" spans="1:1" x14ac:dyDescent="0.25">
      <c r="A8998" t="s">
        <v>8776</v>
      </c>
    </row>
    <row r="8999" spans="1:1" x14ac:dyDescent="0.25">
      <c r="A8999" t="s">
        <v>8777</v>
      </c>
    </row>
    <row r="9000" spans="1:1" x14ac:dyDescent="0.25">
      <c r="A9000" t="s">
        <v>8778</v>
      </c>
    </row>
    <row r="9001" spans="1:1" x14ac:dyDescent="0.25">
      <c r="A9001" t="s">
        <v>8779</v>
      </c>
    </row>
    <row r="9002" spans="1:1" x14ac:dyDescent="0.25">
      <c r="A9002" t="s">
        <v>8780</v>
      </c>
    </row>
    <row r="9003" spans="1:1" x14ac:dyDescent="0.25">
      <c r="A9003" t="s">
        <v>8781</v>
      </c>
    </row>
    <row r="9004" spans="1:1" x14ac:dyDescent="0.25">
      <c r="A9004" t="s">
        <v>8782</v>
      </c>
    </row>
    <row r="9005" spans="1:1" x14ac:dyDescent="0.25">
      <c r="A9005" t="s">
        <v>8783</v>
      </c>
    </row>
    <row r="9006" spans="1:1" x14ac:dyDescent="0.25">
      <c r="A9006" t="s">
        <v>8784</v>
      </c>
    </row>
    <row r="9007" spans="1:1" x14ac:dyDescent="0.25">
      <c r="A9007" t="s">
        <v>8785</v>
      </c>
    </row>
    <row r="9008" spans="1:1" x14ac:dyDescent="0.25">
      <c r="A9008" t="s">
        <v>8778</v>
      </c>
    </row>
    <row r="9009" spans="1:1" x14ac:dyDescent="0.25">
      <c r="A9009" t="s">
        <v>8779</v>
      </c>
    </row>
    <row r="9010" spans="1:1" x14ac:dyDescent="0.25">
      <c r="A9010" t="s">
        <v>8780</v>
      </c>
    </row>
    <row r="9011" spans="1:1" x14ac:dyDescent="0.25">
      <c r="A9011" t="s">
        <v>8781</v>
      </c>
    </row>
    <row r="9012" spans="1:1" x14ac:dyDescent="0.25">
      <c r="A9012" t="s">
        <v>8782</v>
      </c>
    </row>
    <row r="9013" spans="1:1" x14ac:dyDescent="0.25">
      <c r="A9013" t="s">
        <v>8783</v>
      </c>
    </row>
    <row r="9014" spans="1:1" x14ac:dyDescent="0.25">
      <c r="A9014" t="s">
        <v>8784</v>
      </c>
    </row>
    <row r="9015" spans="1:1" x14ac:dyDescent="0.25">
      <c r="A9015" t="s">
        <v>8786</v>
      </c>
    </row>
    <row r="9016" spans="1:1" x14ac:dyDescent="0.25">
      <c r="A9016" t="s">
        <v>8787</v>
      </c>
    </row>
    <row r="9017" spans="1:1" x14ac:dyDescent="0.25">
      <c r="A9017" t="s">
        <v>8788</v>
      </c>
    </row>
    <row r="9019" spans="1:1" x14ac:dyDescent="0.25">
      <c r="A9019" t="s">
        <v>8789</v>
      </c>
    </row>
    <row r="9020" spans="1:1" x14ac:dyDescent="0.25">
      <c r="A9020" t="s">
        <v>8790</v>
      </c>
    </row>
    <row r="9021" spans="1:1" x14ac:dyDescent="0.25">
      <c r="A9021" t="s">
        <v>8791</v>
      </c>
    </row>
    <row r="9022" spans="1:1" x14ac:dyDescent="0.25">
      <c r="A9022" t="s">
        <v>8792</v>
      </c>
    </row>
    <row r="9023" spans="1:1" x14ac:dyDescent="0.25">
      <c r="A9023" t="s">
        <v>8793</v>
      </c>
    </row>
    <row r="9024" spans="1:1" x14ac:dyDescent="0.25">
      <c r="A9024" t="s">
        <v>8794</v>
      </c>
    </row>
    <row r="9025" spans="1:1" x14ac:dyDescent="0.25">
      <c r="A9025" t="s">
        <v>8795</v>
      </c>
    </row>
    <row r="9026" spans="1:1" x14ac:dyDescent="0.25">
      <c r="A9026" t="s">
        <v>8796</v>
      </c>
    </row>
    <row r="9027" spans="1:1" x14ac:dyDescent="0.25">
      <c r="A9027" t="s">
        <v>8797</v>
      </c>
    </row>
    <row r="9028" spans="1:1" x14ac:dyDescent="0.25">
      <c r="A9028" t="s">
        <v>8798</v>
      </c>
    </row>
    <row r="9029" spans="1:1" x14ac:dyDescent="0.25">
      <c r="A9029" t="s">
        <v>8799</v>
      </c>
    </row>
    <row r="9030" spans="1:1" x14ac:dyDescent="0.25">
      <c r="A9030" t="s">
        <v>8800</v>
      </c>
    </row>
    <row r="9031" spans="1:1" x14ac:dyDescent="0.25">
      <c r="A9031" t="s">
        <v>8801</v>
      </c>
    </row>
    <row r="9032" spans="1:1" x14ac:dyDescent="0.25">
      <c r="A9032" t="s">
        <v>6705</v>
      </c>
    </row>
    <row r="9033" spans="1:1" x14ac:dyDescent="0.25">
      <c r="A9033" t="s">
        <v>8802</v>
      </c>
    </row>
    <row r="9034" spans="1:1" x14ac:dyDescent="0.25">
      <c r="A9034" t="s">
        <v>8803</v>
      </c>
    </row>
    <row r="9035" spans="1:1" x14ac:dyDescent="0.25">
      <c r="A9035" t="s">
        <v>8804</v>
      </c>
    </row>
    <row r="9036" spans="1:1" x14ac:dyDescent="0.25">
      <c r="A9036" t="s">
        <v>8805</v>
      </c>
    </row>
    <row r="9037" spans="1:1" x14ac:dyDescent="0.25">
      <c r="A9037" t="s">
        <v>8806</v>
      </c>
    </row>
    <row r="9038" spans="1:1" x14ac:dyDescent="0.25">
      <c r="A9038" t="s">
        <v>8807</v>
      </c>
    </row>
    <row r="9039" spans="1:1" x14ac:dyDescent="0.25">
      <c r="A9039" t="s">
        <v>8808</v>
      </c>
    </row>
    <row r="9040" spans="1:1" x14ac:dyDescent="0.25">
      <c r="A9040" t="s">
        <v>8809</v>
      </c>
    </row>
    <row r="9041" spans="1:1" x14ac:dyDescent="0.25">
      <c r="A9041" t="s">
        <v>8810</v>
      </c>
    </row>
    <row r="9042" spans="1:1" x14ac:dyDescent="0.25">
      <c r="A9042" t="s">
        <v>8811</v>
      </c>
    </row>
    <row r="9043" spans="1:1" x14ac:dyDescent="0.25">
      <c r="A9043" t="s">
        <v>8812</v>
      </c>
    </row>
    <row r="9044" spans="1:1" x14ac:dyDescent="0.25">
      <c r="A9044" t="s">
        <v>8813</v>
      </c>
    </row>
    <row r="9045" spans="1:1" x14ac:dyDescent="0.25">
      <c r="A9045" t="s">
        <v>8814</v>
      </c>
    </row>
    <row r="9046" spans="1:1" x14ac:dyDescent="0.25">
      <c r="A9046" t="s">
        <v>8815</v>
      </c>
    </row>
    <row r="9047" spans="1:1" x14ac:dyDescent="0.25">
      <c r="A9047" t="s">
        <v>8816</v>
      </c>
    </row>
    <row r="9048" spans="1:1" x14ac:dyDescent="0.25">
      <c r="A9048" t="s">
        <v>8817</v>
      </c>
    </row>
    <row r="9049" spans="1:1" x14ac:dyDescent="0.25">
      <c r="A9049" t="s">
        <v>8818</v>
      </c>
    </row>
    <row r="9050" spans="1:1" x14ac:dyDescent="0.25">
      <c r="A9050" t="s">
        <v>8814</v>
      </c>
    </row>
    <row r="9051" spans="1:1" x14ac:dyDescent="0.25">
      <c r="A9051" t="s">
        <v>8819</v>
      </c>
    </row>
    <row r="9052" spans="1:1" x14ac:dyDescent="0.25">
      <c r="A9052" t="s">
        <v>8820</v>
      </c>
    </row>
    <row r="9053" spans="1:1" x14ac:dyDescent="0.25">
      <c r="A9053" t="s">
        <v>8821</v>
      </c>
    </row>
    <row r="9054" spans="1:1" x14ac:dyDescent="0.25">
      <c r="A9054" t="s">
        <v>8822</v>
      </c>
    </row>
    <row r="9055" spans="1:1" x14ac:dyDescent="0.25">
      <c r="A9055" t="s">
        <v>8823</v>
      </c>
    </row>
    <row r="9056" spans="1:1" x14ac:dyDescent="0.25">
      <c r="A9056" t="s">
        <v>8824</v>
      </c>
    </row>
    <row r="9057" spans="1:3" x14ac:dyDescent="0.25">
      <c r="A9057" t="s">
        <v>8825</v>
      </c>
    </row>
    <row r="9058" spans="1:3" x14ac:dyDescent="0.25">
      <c r="A9058" t="s">
        <v>8826</v>
      </c>
    </row>
    <row r="9059" spans="1:3" x14ac:dyDescent="0.25">
      <c r="A9059" t="s">
        <v>8827</v>
      </c>
    </row>
    <row r="9060" spans="1:3" x14ac:dyDescent="0.25">
      <c r="A9060" t="s">
        <v>8828</v>
      </c>
    </row>
    <row r="9061" spans="1:3" x14ac:dyDescent="0.25">
      <c r="A9061" t="s">
        <v>8829</v>
      </c>
    </row>
    <row r="9062" spans="1:3" x14ac:dyDescent="0.25">
      <c r="A9062" t="s">
        <v>8830</v>
      </c>
    </row>
    <row r="9063" spans="1:3" x14ac:dyDescent="0.25">
      <c r="A9063" t="s">
        <v>1500</v>
      </c>
    </row>
    <row r="9064" spans="1:3" x14ac:dyDescent="0.25">
      <c r="A9064" t="s">
        <v>8831</v>
      </c>
    </row>
    <row r="9065" spans="1:3" x14ac:dyDescent="0.25">
      <c r="A9065" t="s">
        <v>1317</v>
      </c>
    </row>
    <row r="9066" spans="1:3" x14ac:dyDescent="0.25">
      <c r="A9066" t="s">
        <v>8832</v>
      </c>
    </row>
    <row r="9068" spans="1:3" x14ac:dyDescent="0.25">
      <c r="A9068" t="s">
        <v>1505</v>
      </c>
      <c r="B9068" t="s">
        <v>1506</v>
      </c>
      <c r="C9068" t="s">
        <v>1507</v>
      </c>
    </row>
    <row r="9069" spans="1:3" x14ac:dyDescent="0.25">
      <c r="A9069" t="s">
        <v>1508</v>
      </c>
      <c r="B9069">
        <v>3866.18</v>
      </c>
      <c r="C9069" s="55">
        <v>43556</v>
      </c>
    </row>
    <row r="9070" spans="1:3" x14ac:dyDescent="0.25">
      <c r="A9070" t="s">
        <v>1508</v>
      </c>
      <c r="B9070">
        <v>4580.05</v>
      </c>
      <c r="C9070" s="55">
        <v>43342</v>
      </c>
    </row>
    <row r="9071" spans="1:3" x14ac:dyDescent="0.25">
      <c r="A9071" t="s">
        <v>1279</v>
      </c>
      <c r="B9071">
        <v>818.5</v>
      </c>
      <c r="C9071" s="55">
        <v>43223</v>
      </c>
    </row>
    <row r="9072" spans="1:3" x14ac:dyDescent="0.25">
      <c r="A9072" t="s">
        <v>1509</v>
      </c>
      <c r="B9072">
        <v>89.34</v>
      </c>
      <c r="C9072" s="55">
        <v>42351</v>
      </c>
    </row>
    <row r="9073" spans="1:1" x14ac:dyDescent="0.25">
      <c r="A9073" t="s">
        <v>8833</v>
      </c>
    </row>
    <row r="9075" spans="1:1" x14ac:dyDescent="0.25">
      <c r="A9075" t="s">
        <v>8834</v>
      </c>
    </row>
    <row r="9076" spans="1:1" x14ac:dyDescent="0.25">
      <c r="A9076" t="s">
        <v>8835</v>
      </c>
    </row>
    <row r="9077" spans="1:1" x14ac:dyDescent="0.25">
      <c r="A9077" t="s">
        <v>8836</v>
      </c>
    </row>
    <row r="9078" spans="1:1" x14ac:dyDescent="0.25">
      <c r="A9078" t="s">
        <v>8837</v>
      </c>
    </row>
    <row r="9079" spans="1:1" x14ac:dyDescent="0.25">
      <c r="A9079" t="s">
        <v>8838</v>
      </c>
    </row>
    <row r="9080" spans="1:1" x14ac:dyDescent="0.25">
      <c r="A9080" t="s">
        <v>8839</v>
      </c>
    </row>
    <row r="9081" spans="1:1" x14ac:dyDescent="0.25">
      <c r="A9081" t="s">
        <v>8840</v>
      </c>
    </row>
    <row r="9082" spans="1:1" x14ac:dyDescent="0.25">
      <c r="A9082" t="s">
        <v>8841</v>
      </c>
    </row>
    <row r="9083" spans="1:1" x14ac:dyDescent="0.25">
      <c r="A9083" t="s">
        <v>8842</v>
      </c>
    </row>
    <row r="9084" spans="1:1" x14ac:dyDescent="0.25">
      <c r="A9084" t="s">
        <v>8843</v>
      </c>
    </row>
    <row r="9085" spans="1:1" x14ac:dyDescent="0.25">
      <c r="A9085" t="s">
        <v>8844</v>
      </c>
    </row>
    <row r="9086" spans="1:1" x14ac:dyDescent="0.25">
      <c r="A9086" t="s">
        <v>8845</v>
      </c>
    </row>
    <row r="9087" spans="1:1" x14ac:dyDescent="0.25">
      <c r="A9087" t="s">
        <v>8846</v>
      </c>
    </row>
    <row r="9088" spans="1:1" x14ac:dyDescent="0.25">
      <c r="A9088" t="s">
        <v>8847</v>
      </c>
    </row>
    <row r="9089" spans="1:1" x14ac:dyDescent="0.25">
      <c r="A9089" t="s">
        <v>8848</v>
      </c>
    </row>
    <row r="9090" spans="1:1" x14ac:dyDescent="0.25">
      <c r="A9090" t="s">
        <v>8849</v>
      </c>
    </row>
    <row r="9091" spans="1:1" x14ac:dyDescent="0.25">
      <c r="A9091" t="s">
        <v>8850</v>
      </c>
    </row>
    <row r="9092" spans="1:1" x14ac:dyDescent="0.25">
      <c r="A9092" t="s">
        <v>8851</v>
      </c>
    </row>
    <row r="9093" spans="1:1" x14ac:dyDescent="0.25">
      <c r="A9093" t="s">
        <v>8852</v>
      </c>
    </row>
    <row r="9094" spans="1:1" x14ac:dyDescent="0.25">
      <c r="A9094" t="s">
        <v>8853</v>
      </c>
    </row>
    <row r="9095" spans="1:1" x14ac:dyDescent="0.25">
      <c r="A9095" t="s">
        <v>8854</v>
      </c>
    </row>
    <row r="9096" spans="1:1" x14ac:dyDescent="0.25">
      <c r="A9096" t="s">
        <v>8855</v>
      </c>
    </row>
    <row r="9097" spans="1:1" x14ac:dyDescent="0.25">
      <c r="A9097" t="s">
        <v>8856</v>
      </c>
    </row>
    <row r="9098" spans="1:1" x14ac:dyDescent="0.25">
      <c r="A9098" t="s">
        <v>8857</v>
      </c>
    </row>
    <row r="9099" spans="1:1" x14ac:dyDescent="0.25">
      <c r="A9099" t="s">
        <v>8858</v>
      </c>
    </row>
    <row r="9100" spans="1:1" x14ac:dyDescent="0.25">
      <c r="A9100" t="s">
        <v>8859</v>
      </c>
    </row>
    <row r="9101" spans="1:1" x14ac:dyDescent="0.25">
      <c r="A9101" t="s">
        <v>8860</v>
      </c>
    </row>
    <row r="9102" spans="1:1" x14ac:dyDescent="0.25">
      <c r="A9102" t="s">
        <v>8861</v>
      </c>
    </row>
    <row r="9103" spans="1:1" x14ac:dyDescent="0.25">
      <c r="A9103" t="s">
        <v>2210</v>
      </c>
    </row>
    <row r="9104" spans="1:1" x14ac:dyDescent="0.25">
      <c r="A9104" t="s">
        <v>8862</v>
      </c>
    </row>
    <row r="9105" spans="1:1" x14ac:dyDescent="0.25">
      <c r="A9105" t="s">
        <v>8863</v>
      </c>
    </row>
    <row r="9106" spans="1:1" x14ac:dyDescent="0.25">
      <c r="A9106" t="s">
        <v>8864</v>
      </c>
    </row>
    <row r="9107" spans="1:1" x14ac:dyDescent="0.25">
      <c r="A9107" t="s">
        <v>8865</v>
      </c>
    </row>
    <row r="9108" spans="1:1" x14ac:dyDescent="0.25">
      <c r="A9108" t="s">
        <v>8866</v>
      </c>
    </row>
    <row r="9109" spans="1:1" x14ac:dyDescent="0.25">
      <c r="A9109" t="s">
        <v>8867</v>
      </c>
    </row>
    <row r="9110" spans="1:1" x14ac:dyDescent="0.25">
      <c r="A9110" t="s">
        <v>8868</v>
      </c>
    </row>
    <row r="9111" spans="1:1" x14ac:dyDescent="0.25">
      <c r="A9111" t="s">
        <v>8869</v>
      </c>
    </row>
    <row r="9112" spans="1:1" x14ac:dyDescent="0.25">
      <c r="A9112" t="s">
        <v>8870</v>
      </c>
    </row>
    <row r="9113" spans="1:1" x14ac:dyDescent="0.25">
      <c r="A9113" t="s">
        <v>8871</v>
      </c>
    </row>
    <row r="9114" spans="1:1" x14ac:dyDescent="0.25">
      <c r="A9114" t="s">
        <v>8872</v>
      </c>
    </row>
    <row r="9115" spans="1:1" x14ac:dyDescent="0.25">
      <c r="A9115" t="s">
        <v>8873</v>
      </c>
    </row>
    <row r="9116" spans="1:1" x14ac:dyDescent="0.25">
      <c r="A9116" t="s">
        <v>8874</v>
      </c>
    </row>
    <row r="9117" spans="1:1" x14ac:dyDescent="0.25">
      <c r="A9117" t="s">
        <v>8875</v>
      </c>
    </row>
    <row r="9118" spans="1:1" x14ac:dyDescent="0.25">
      <c r="A9118" t="s">
        <v>2553</v>
      </c>
    </row>
    <row r="9119" spans="1:1" x14ac:dyDescent="0.25">
      <c r="A9119" t="s">
        <v>8876</v>
      </c>
    </row>
    <row r="9120" spans="1:1" x14ac:dyDescent="0.25">
      <c r="A9120" t="s">
        <v>8877</v>
      </c>
    </row>
    <row r="9122" spans="1:1" x14ac:dyDescent="0.25">
      <c r="A9122" t="s">
        <v>8878</v>
      </c>
    </row>
    <row r="9123" spans="1:1" x14ac:dyDescent="0.25">
      <c r="A9123" t="s">
        <v>5326</v>
      </c>
    </row>
    <row r="9124" spans="1:1" x14ac:dyDescent="0.25">
      <c r="A9124" t="s">
        <v>4113</v>
      </c>
    </row>
    <row r="9125" spans="1:1" x14ac:dyDescent="0.25">
      <c r="A9125" t="s">
        <v>4114</v>
      </c>
    </row>
    <row r="9126" spans="1:1" x14ac:dyDescent="0.25">
      <c r="A9126" t="s">
        <v>8879</v>
      </c>
    </row>
    <row r="9127" spans="1:1" x14ac:dyDescent="0.25">
      <c r="A9127" t="s">
        <v>4116</v>
      </c>
    </row>
    <row r="9128" spans="1:1" x14ac:dyDescent="0.25">
      <c r="A9128" t="s">
        <v>8880</v>
      </c>
    </row>
    <row r="9129" spans="1:1" x14ac:dyDescent="0.25">
      <c r="A9129" t="s">
        <v>2937</v>
      </c>
    </row>
    <row r="9130" spans="1:1" x14ac:dyDescent="0.25">
      <c r="A9130" t="s">
        <v>8881</v>
      </c>
    </row>
    <row r="9131" spans="1:1" x14ac:dyDescent="0.25">
      <c r="A9131" t="s">
        <v>8882</v>
      </c>
    </row>
    <row r="9132" spans="1:1" x14ac:dyDescent="0.25">
      <c r="A9132" t="s">
        <v>8883</v>
      </c>
    </row>
    <row r="9133" spans="1:1" x14ac:dyDescent="0.25">
      <c r="A9133" t="s">
        <v>8884</v>
      </c>
    </row>
    <row r="9134" spans="1:1" x14ac:dyDescent="0.25">
      <c r="A9134" t="s">
        <v>8885</v>
      </c>
    </row>
    <row r="9135" spans="1:1" x14ac:dyDescent="0.25">
      <c r="A9135" t="s">
        <v>8886</v>
      </c>
    </row>
    <row r="9136" spans="1:1" x14ac:dyDescent="0.25">
      <c r="A9136" t="s">
        <v>8887</v>
      </c>
    </row>
    <row r="9137" spans="1:2" x14ac:dyDescent="0.25">
      <c r="A9137" t="s">
        <v>8888</v>
      </c>
    </row>
    <row r="9138" spans="1:2" x14ac:dyDescent="0.25">
      <c r="A9138" t="s">
        <v>4591</v>
      </c>
    </row>
    <row r="9139" spans="1:2" x14ac:dyDescent="0.25">
      <c r="A9139" t="s">
        <v>8889</v>
      </c>
    </row>
    <row r="9140" spans="1:2" x14ac:dyDescent="0.25">
      <c r="A9140" t="s">
        <v>8890</v>
      </c>
    </row>
    <row r="9141" spans="1:2" x14ac:dyDescent="0.25">
      <c r="A9141" t="s">
        <v>8891</v>
      </c>
      <c r="B9141" t="s">
        <v>8892</v>
      </c>
    </row>
    <row r="9142" spans="1:2" x14ac:dyDescent="0.25">
      <c r="A9142" t="s">
        <v>1317</v>
      </c>
    </row>
    <row r="9143" spans="1:2" x14ac:dyDescent="0.25">
      <c r="A9143" t="s">
        <v>8893</v>
      </c>
    </row>
    <row r="9144" spans="1:2" x14ac:dyDescent="0.25">
      <c r="A9144" t="s">
        <v>8894</v>
      </c>
    </row>
    <row r="9145" spans="1:2" x14ac:dyDescent="0.25">
      <c r="A9145" t="s">
        <v>8895</v>
      </c>
    </row>
    <row r="9146" spans="1:2" x14ac:dyDescent="0.25">
      <c r="A9146" t="s">
        <v>8896</v>
      </c>
    </row>
    <row r="9147" spans="1:2" x14ac:dyDescent="0.25">
      <c r="A9147" t="s">
        <v>8897</v>
      </c>
    </row>
    <row r="9149" spans="1:2" x14ac:dyDescent="0.25">
      <c r="A9149" t="s">
        <v>5511</v>
      </c>
    </row>
    <row r="9150" spans="1:2" x14ac:dyDescent="0.25">
      <c r="A9150" t="s">
        <v>8898</v>
      </c>
    </row>
    <row r="9151" spans="1:2" x14ac:dyDescent="0.25">
      <c r="A9151" t="s">
        <v>8899</v>
      </c>
    </row>
    <row r="9153" spans="1:6" x14ac:dyDescent="0.25">
      <c r="A9153" t="s">
        <v>1515</v>
      </c>
    </row>
    <row r="9154" spans="1:6" x14ac:dyDescent="0.25">
      <c r="A9154" t="s">
        <v>8900</v>
      </c>
    </row>
    <row r="9155" spans="1:6" x14ac:dyDescent="0.25">
      <c r="A9155" t="s">
        <v>1517</v>
      </c>
    </row>
    <row r="9157" spans="1:6" x14ac:dyDescent="0.25">
      <c r="A9157" t="s">
        <v>1519</v>
      </c>
    </row>
    <row r="9158" spans="1:6" x14ac:dyDescent="0.25">
      <c r="A9158" t="s">
        <v>8901</v>
      </c>
    </row>
    <row r="9159" spans="1:6" x14ac:dyDescent="0.25">
      <c r="A9159" t="s">
        <v>8902</v>
      </c>
    </row>
    <row r="9160" spans="1:6" x14ac:dyDescent="0.25">
      <c r="A9160" t="s">
        <v>2170</v>
      </c>
    </row>
    <row r="9161" spans="1:6" x14ac:dyDescent="0.25">
      <c r="A9161" t="s">
        <v>8903</v>
      </c>
    </row>
    <row r="9162" spans="1:6" x14ac:dyDescent="0.25">
      <c r="B9162" t="s">
        <v>8904</v>
      </c>
      <c r="C9162">
        <v>2988.24</v>
      </c>
      <c r="D9162" s="55">
        <v>43799</v>
      </c>
      <c r="E9162">
        <v>5</v>
      </c>
      <c r="F9162">
        <v>1487</v>
      </c>
    </row>
    <row r="9163" spans="1:6" x14ac:dyDescent="0.25">
      <c r="A9163">
        <v>2</v>
      </c>
      <c r="B9163" t="s">
        <v>8905</v>
      </c>
      <c r="C9163">
        <v>2572.67</v>
      </c>
      <c r="D9163" s="55">
        <v>43799</v>
      </c>
      <c r="E9163">
        <v>5</v>
      </c>
      <c r="F9163">
        <v>1059</v>
      </c>
    </row>
    <row r="9164" spans="1:6" x14ac:dyDescent="0.25">
      <c r="A9164">
        <v>3</v>
      </c>
      <c r="B9164" t="s">
        <v>2171</v>
      </c>
      <c r="C9164">
        <v>1817.04</v>
      </c>
      <c r="D9164" s="55">
        <v>43799</v>
      </c>
      <c r="E9164">
        <v>5</v>
      </c>
      <c r="F9164">
        <v>1032</v>
      </c>
    </row>
    <row r="9165" spans="1:6" x14ac:dyDescent="0.25">
      <c r="A9165" t="s">
        <v>8906</v>
      </c>
    </row>
    <row r="9166" spans="1:6" x14ac:dyDescent="0.25">
      <c r="A9166" t="s">
        <v>8897</v>
      </c>
    </row>
    <row r="9168" spans="1:6" x14ac:dyDescent="0.25">
      <c r="A9168" t="s">
        <v>5511</v>
      </c>
    </row>
    <row r="9169" spans="1:6" x14ac:dyDescent="0.25">
      <c r="A9169" t="s">
        <v>8907</v>
      </c>
    </row>
    <row r="9170" spans="1:6" x14ac:dyDescent="0.25">
      <c r="A9170" t="s">
        <v>8899</v>
      </c>
    </row>
    <row r="9172" spans="1:6" x14ac:dyDescent="0.25">
      <c r="A9172" t="s">
        <v>1515</v>
      </c>
    </row>
    <row r="9173" spans="1:6" x14ac:dyDescent="0.25">
      <c r="A9173" t="s">
        <v>8900</v>
      </c>
    </row>
    <row r="9174" spans="1:6" x14ac:dyDescent="0.25">
      <c r="A9174" t="s">
        <v>1517</v>
      </c>
    </row>
    <row r="9176" spans="1:6" x14ac:dyDescent="0.25">
      <c r="A9176" t="s">
        <v>1519</v>
      </c>
    </row>
    <row r="9177" spans="1:6" x14ac:dyDescent="0.25">
      <c r="A9177" t="s">
        <v>8908</v>
      </c>
    </row>
    <row r="9178" spans="1:6" x14ac:dyDescent="0.25">
      <c r="A9178" t="s">
        <v>8902</v>
      </c>
    </row>
    <row r="9179" spans="1:6" x14ac:dyDescent="0.25">
      <c r="A9179" t="s">
        <v>2170</v>
      </c>
    </row>
    <row r="9180" spans="1:6" x14ac:dyDescent="0.25">
      <c r="A9180" t="s">
        <v>8903</v>
      </c>
    </row>
    <row r="9181" spans="1:6" x14ac:dyDescent="0.25">
      <c r="B9181" t="s">
        <v>8904</v>
      </c>
      <c r="C9181">
        <v>2988.24</v>
      </c>
      <c r="D9181" s="55">
        <v>43799</v>
      </c>
      <c r="E9181">
        <v>5</v>
      </c>
      <c r="F9181">
        <v>1487</v>
      </c>
    </row>
    <row r="9182" spans="1:6" x14ac:dyDescent="0.25">
      <c r="A9182">
        <v>2</v>
      </c>
      <c r="B9182" t="s">
        <v>8905</v>
      </c>
      <c r="C9182">
        <v>2572.67</v>
      </c>
      <c r="D9182" s="55">
        <v>43799</v>
      </c>
      <c r="E9182">
        <v>5</v>
      </c>
      <c r="F9182">
        <v>1059</v>
      </c>
    </row>
    <row r="9183" spans="1:6" x14ac:dyDescent="0.25">
      <c r="A9183">
        <v>3</v>
      </c>
      <c r="B9183" t="s">
        <v>2171</v>
      </c>
      <c r="C9183">
        <v>1817.04</v>
      </c>
      <c r="D9183" s="55">
        <v>43799</v>
      </c>
      <c r="E9183">
        <v>5</v>
      </c>
      <c r="F9183">
        <v>1032</v>
      </c>
    </row>
    <row r="9184" spans="1:6" x14ac:dyDescent="0.25">
      <c r="A9184" t="s">
        <v>8906</v>
      </c>
    </row>
    <row r="9185" spans="1:1" x14ac:dyDescent="0.25">
      <c r="A9185" t="s">
        <v>8909</v>
      </c>
    </row>
    <row r="9186" spans="1:1" x14ac:dyDescent="0.25">
      <c r="A9186" t="s">
        <v>8910</v>
      </c>
    </row>
    <row r="9187" spans="1:1" x14ac:dyDescent="0.25">
      <c r="A9187" t="s">
        <v>8911</v>
      </c>
    </row>
    <row r="9188" spans="1:1" x14ac:dyDescent="0.25">
      <c r="A9188" t="s">
        <v>8912</v>
      </c>
    </row>
    <row r="9189" spans="1:1" x14ac:dyDescent="0.25">
      <c r="A9189" t="s">
        <v>8913</v>
      </c>
    </row>
    <row r="9190" spans="1:1" x14ac:dyDescent="0.25">
      <c r="A9190" t="s">
        <v>8914</v>
      </c>
    </row>
    <row r="9191" spans="1:1" x14ac:dyDescent="0.25">
      <c r="A9191" t="s">
        <v>8915</v>
      </c>
    </row>
    <row r="9192" spans="1:1" x14ac:dyDescent="0.25">
      <c r="A9192" t="s">
        <v>8916</v>
      </c>
    </row>
    <row r="9193" spans="1:1" x14ac:dyDescent="0.25">
      <c r="A9193" t="s">
        <v>8917</v>
      </c>
    </row>
    <row r="9194" spans="1:1" x14ac:dyDescent="0.25">
      <c r="A9194" t="s">
        <v>8918</v>
      </c>
    </row>
    <row r="9195" spans="1:1" x14ac:dyDescent="0.25">
      <c r="A9195" t="s">
        <v>8919</v>
      </c>
    </row>
    <row r="9196" spans="1:1" x14ac:dyDescent="0.25">
      <c r="A9196" t="s">
        <v>8920</v>
      </c>
    </row>
    <row r="9197" spans="1:1" x14ac:dyDescent="0.25">
      <c r="A9197" t="s">
        <v>8921</v>
      </c>
    </row>
    <row r="9198" spans="1:1" x14ac:dyDescent="0.25">
      <c r="A9198" t="s">
        <v>8922</v>
      </c>
    </row>
    <row r="9199" spans="1:1" x14ac:dyDescent="0.25">
      <c r="A9199" t="s">
        <v>8923</v>
      </c>
    </row>
    <row r="9200" spans="1:1" x14ac:dyDescent="0.25">
      <c r="A9200" t="s">
        <v>8924</v>
      </c>
    </row>
    <row r="9201" spans="1:1" x14ac:dyDescent="0.25">
      <c r="A9201" t="s">
        <v>8925</v>
      </c>
    </row>
    <row r="9202" spans="1:1" x14ac:dyDescent="0.25">
      <c r="A9202" t="s">
        <v>8926</v>
      </c>
    </row>
    <row r="9203" spans="1:1" x14ac:dyDescent="0.25">
      <c r="A9203" t="s">
        <v>8927</v>
      </c>
    </row>
    <row r="9204" spans="1:1" x14ac:dyDescent="0.25">
      <c r="A9204" t="s">
        <v>8928</v>
      </c>
    </row>
    <row r="9205" spans="1:1" x14ac:dyDescent="0.25">
      <c r="A9205" t="s">
        <v>8929</v>
      </c>
    </row>
    <row r="9206" spans="1:1" x14ac:dyDescent="0.25">
      <c r="A9206" t="s">
        <v>8930</v>
      </c>
    </row>
    <row r="9207" spans="1:1" x14ac:dyDescent="0.25">
      <c r="A9207" t="s">
        <v>8931</v>
      </c>
    </row>
    <row r="9208" spans="1:1" x14ac:dyDescent="0.25">
      <c r="A9208" t="s">
        <v>8925</v>
      </c>
    </row>
    <row r="9209" spans="1:1" x14ac:dyDescent="0.25">
      <c r="A9209" t="s">
        <v>8926</v>
      </c>
    </row>
    <row r="9210" spans="1:1" x14ac:dyDescent="0.25">
      <c r="A9210" t="s">
        <v>2834</v>
      </c>
    </row>
    <row r="9211" spans="1:1" x14ac:dyDescent="0.25">
      <c r="A9211" t="s">
        <v>8928</v>
      </c>
    </row>
    <row r="9212" spans="1:1" x14ac:dyDescent="0.25">
      <c r="A9212" t="s">
        <v>8929</v>
      </c>
    </row>
    <row r="9213" spans="1:1" x14ac:dyDescent="0.25">
      <c r="A9213" t="s">
        <v>8932</v>
      </c>
    </row>
    <row r="9214" spans="1:1" x14ac:dyDescent="0.25">
      <c r="A9214">
        <v>851984337520</v>
      </c>
    </row>
    <row r="9215" spans="1:1" x14ac:dyDescent="0.25">
      <c r="A9215" t="s">
        <v>5868</v>
      </c>
    </row>
    <row r="9216" spans="1:1" x14ac:dyDescent="0.25">
      <c r="A9216" t="s">
        <v>2163</v>
      </c>
    </row>
    <row r="9217" spans="1:1" x14ac:dyDescent="0.25">
      <c r="A9217" t="s">
        <v>2164</v>
      </c>
    </row>
    <row r="9219" spans="1:1" x14ac:dyDescent="0.25">
      <c r="A9219" t="s">
        <v>1515</v>
      </c>
    </row>
    <row r="9220" spans="1:1" x14ac:dyDescent="0.25">
      <c r="A9220" t="s">
        <v>8933</v>
      </c>
    </row>
    <row r="9222" spans="1:1" x14ac:dyDescent="0.25">
      <c r="A9222" t="s">
        <v>1517</v>
      </c>
    </row>
    <row r="9223" spans="1:1" x14ac:dyDescent="0.25">
      <c r="A9223" t="s">
        <v>8934</v>
      </c>
    </row>
    <row r="9225" spans="1:1" x14ac:dyDescent="0.25">
      <c r="A9225" t="s">
        <v>1519</v>
      </c>
    </row>
    <row r="9226" spans="1:1" x14ac:dyDescent="0.25">
      <c r="A9226" t="s">
        <v>8901</v>
      </c>
    </row>
    <row r="9227" spans="1:1" x14ac:dyDescent="0.25">
      <c r="A9227" t="s">
        <v>8902</v>
      </c>
    </row>
    <row r="9228" spans="1:1" x14ac:dyDescent="0.25">
      <c r="A9228" t="s">
        <v>2170</v>
      </c>
    </row>
    <row r="9229" spans="1:1" x14ac:dyDescent="0.25">
      <c r="A9229" t="s">
        <v>1523</v>
      </c>
    </row>
    <row r="9230" spans="1:1" x14ac:dyDescent="0.25">
      <c r="A9230" t="s">
        <v>8935</v>
      </c>
    </row>
    <row r="9231" spans="1:1" x14ac:dyDescent="0.25">
      <c r="A9231" t="s">
        <v>8936</v>
      </c>
    </row>
    <row r="9232" spans="1:1" x14ac:dyDescent="0.25">
      <c r="A9232" t="s">
        <v>8937</v>
      </c>
    </row>
    <row r="9233" spans="1:1" x14ac:dyDescent="0.25">
      <c r="A9233" t="s">
        <v>8938</v>
      </c>
    </row>
    <row r="9234" spans="1:1" x14ac:dyDescent="0.25">
      <c r="A9234" t="s">
        <v>8939</v>
      </c>
    </row>
    <row r="9235" spans="1:1" x14ac:dyDescent="0.25">
      <c r="A9235" t="s">
        <v>8940</v>
      </c>
    </row>
    <row r="9236" spans="1:1" x14ac:dyDescent="0.25">
      <c r="A9236" t="s">
        <v>8941</v>
      </c>
    </row>
    <row r="9237" spans="1:1" x14ac:dyDescent="0.25">
      <c r="A9237" t="s">
        <v>8942</v>
      </c>
    </row>
    <row r="9238" spans="1:1" x14ac:dyDescent="0.25">
      <c r="A9238" t="s">
        <v>8935</v>
      </c>
    </row>
    <row r="9239" spans="1:1" x14ac:dyDescent="0.25">
      <c r="A9239" t="s">
        <v>8936</v>
      </c>
    </row>
    <row r="9240" spans="1:1" x14ac:dyDescent="0.25">
      <c r="A9240" t="s">
        <v>8937</v>
      </c>
    </row>
    <row r="9241" spans="1:1" x14ac:dyDescent="0.25">
      <c r="A9241" t="s">
        <v>8938</v>
      </c>
    </row>
    <row r="9242" spans="1:1" x14ac:dyDescent="0.25">
      <c r="A9242" t="s">
        <v>8939</v>
      </c>
    </row>
    <row r="9243" spans="1:1" x14ac:dyDescent="0.25">
      <c r="A9243" t="s">
        <v>8940</v>
      </c>
    </row>
    <row r="9244" spans="1:1" x14ac:dyDescent="0.25">
      <c r="A9244" t="s">
        <v>8943</v>
      </c>
    </row>
    <row r="9245" spans="1:1" x14ac:dyDescent="0.25">
      <c r="A9245" t="s">
        <v>8944</v>
      </c>
    </row>
    <row r="9246" spans="1:1" x14ac:dyDescent="0.25">
      <c r="A9246" t="s">
        <v>8945</v>
      </c>
    </row>
    <row r="9247" spans="1:1" x14ac:dyDescent="0.25">
      <c r="A9247" t="s">
        <v>8946</v>
      </c>
    </row>
    <row r="9248" spans="1:1" x14ac:dyDescent="0.25">
      <c r="A9248" t="s">
        <v>8947</v>
      </c>
    </row>
    <row r="9249" spans="1:1" x14ac:dyDescent="0.25">
      <c r="A9249" t="s">
        <v>8948</v>
      </c>
    </row>
    <row r="9250" spans="1:1" x14ac:dyDescent="0.25">
      <c r="A9250" t="s">
        <v>8949</v>
      </c>
    </row>
    <row r="9251" spans="1:1" x14ac:dyDescent="0.25">
      <c r="A9251" t="s">
        <v>8950</v>
      </c>
    </row>
    <row r="9252" spans="1:1" x14ac:dyDescent="0.25">
      <c r="A9252" t="s">
        <v>8951</v>
      </c>
    </row>
    <row r="9253" spans="1:1" x14ac:dyDescent="0.25">
      <c r="A9253" t="s">
        <v>8952</v>
      </c>
    </row>
    <row r="9254" spans="1:1" x14ac:dyDescent="0.25">
      <c r="A9254" t="s">
        <v>8953</v>
      </c>
    </row>
    <row r="9255" spans="1:1" x14ac:dyDescent="0.25">
      <c r="A9255" t="s">
        <v>8954</v>
      </c>
    </row>
    <row r="9256" spans="1:1" x14ac:dyDescent="0.25">
      <c r="A9256" t="s">
        <v>8955</v>
      </c>
    </row>
    <row r="9257" spans="1:1" x14ac:dyDescent="0.25">
      <c r="A9257" t="s">
        <v>8956</v>
      </c>
    </row>
    <row r="9258" spans="1:1" x14ac:dyDescent="0.25">
      <c r="A9258" t="s">
        <v>8957</v>
      </c>
    </row>
    <row r="9259" spans="1:1" x14ac:dyDescent="0.25">
      <c r="A9259" t="s">
        <v>8958</v>
      </c>
    </row>
    <row r="9260" spans="1:1" x14ac:dyDescent="0.25">
      <c r="A9260" t="s">
        <v>8959</v>
      </c>
    </row>
    <row r="9261" spans="1:1" x14ac:dyDescent="0.25">
      <c r="A9261" t="s">
        <v>8960</v>
      </c>
    </row>
    <row r="9262" spans="1:1" x14ac:dyDescent="0.25">
      <c r="A9262" t="s">
        <v>8961</v>
      </c>
    </row>
    <row r="9263" spans="1:1" x14ac:dyDescent="0.25">
      <c r="A9263" t="s">
        <v>8962</v>
      </c>
    </row>
    <row r="9266" spans="1:1" x14ac:dyDescent="0.25">
      <c r="A9266" t="s">
        <v>5554</v>
      </c>
    </row>
    <row r="9267" spans="1:1" x14ac:dyDescent="0.25">
      <c r="A9267" t="s">
        <v>8963</v>
      </c>
    </row>
    <row r="9268" spans="1:1" x14ac:dyDescent="0.25">
      <c r="A9268" t="s">
        <v>8964</v>
      </c>
    </row>
    <row r="9269" spans="1:1" x14ac:dyDescent="0.25">
      <c r="A9269" t="s">
        <v>1317</v>
      </c>
    </row>
    <row r="9270" spans="1:1" x14ac:dyDescent="0.25">
      <c r="A9270" t="s">
        <v>1515</v>
      </c>
    </row>
    <row r="9271" spans="1:1" x14ac:dyDescent="0.25">
      <c r="A9271" t="s">
        <v>8965</v>
      </c>
    </row>
    <row r="9272" spans="1:1" x14ac:dyDescent="0.25">
      <c r="A9272" t="s">
        <v>1517</v>
      </c>
    </row>
    <row r="9275" spans="1:1" x14ac:dyDescent="0.25">
      <c r="A9275" t="s">
        <v>1519</v>
      </c>
    </row>
    <row r="9276" spans="1:1" x14ac:dyDescent="0.25">
      <c r="A9276" t="s">
        <v>8966</v>
      </c>
    </row>
    <row r="9277" spans="1:1" x14ac:dyDescent="0.25">
      <c r="A9277" t="s">
        <v>8967</v>
      </c>
    </row>
    <row r="9278" spans="1:1" x14ac:dyDescent="0.25">
      <c r="A9278" t="s">
        <v>2170</v>
      </c>
    </row>
    <row r="9279" spans="1:1" x14ac:dyDescent="0.25">
      <c r="A9279" t="s">
        <v>8968</v>
      </c>
    </row>
    <row r="9280" spans="1:1" x14ac:dyDescent="0.25">
      <c r="A9280" t="s">
        <v>8969</v>
      </c>
    </row>
    <row r="9281" spans="1:1" x14ac:dyDescent="0.25">
      <c r="A9281" t="s">
        <v>8970</v>
      </c>
    </row>
    <row r="9282" spans="1:1" x14ac:dyDescent="0.25">
      <c r="A9282" t="s">
        <v>8971</v>
      </c>
    </row>
    <row r="9283" spans="1:1" x14ac:dyDescent="0.25">
      <c r="A9283" t="s">
        <v>8972</v>
      </c>
    </row>
    <row r="9284" spans="1:1" x14ac:dyDescent="0.25">
      <c r="A9284" t="s">
        <v>8973</v>
      </c>
    </row>
    <row r="9285" spans="1:1" x14ac:dyDescent="0.25">
      <c r="A9285" t="s">
        <v>8974</v>
      </c>
    </row>
    <row r="9286" spans="1:1" x14ac:dyDescent="0.25">
      <c r="A9286" t="s">
        <v>8975</v>
      </c>
    </row>
    <row r="9287" spans="1:1" x14ac:dyDescent="0.25">
      <c r="A9287" t="s">
        <v>8976</v>
      </c>
    </row>
    <row r="9288" spans="1:1" x14ac:dyDescent="0.25">
      <c r="A9288" t="s">
        <v>8977</v>
      </c>
    </row>
    <row r="9289" spans="1:1" x14ac:dyDescent="0.25">
      <c r="A9289" t="s">
        <v>8978</v>
      </c>
    </row>
    <row r="9290" spans="1:1" x14ac:dyDescent="0.25">
      <c r="A9290" t="s">
        <v>8979</v>
      </c>
    </row>
    <row r="9291" spans="1:1" x14ac:dyDescent="0.25">
      <c r="A9291" t="s">
        <v>8980</v>
      </c>
    </row>
    <row r="9293" spans="1:1" x14ac:dyDescent="0.25">
      <c r="A9293" t="s">
        <v>8981</v>
      </c>
    </row>
    <row r="9294" spans="1:1" x14ac:dyDescent="0.25">
      <c r="A9294" t="s">
        <v>8982</v>
      </c>
    </row>
    <row r="9295" spans="1:1" x14ac:dyDescent="0.25">
      <c r="A9295" t="s">
        <v>8983</v>
      </c>
    </row>
    <row r="9297" spans="1:1" x14ac:dyDescent="0.25">
      <c r="A9297" t="s">
        <v>1515</v>
      </c>
    </row>
    <row r="9298" spans="1:1" x14ac:dyDescent="0.25">
      <c r="A9298" t="s">
        <v>8984</v>
      </c>
    </row>
    <row r="9299" spans="1:1" x14ac:dyDescent="0.25">
      <c r="A9299" t="s">
        <v>1517</v>
      </c>
    </row>
    <row r="9300" spans="1:1" x14ac:dyDescent="0.25">
      <c r="A9300" t="s">
        <v>8985</v>
      </c>
    </row>
    <row r="9301" spans="1:1" x14ac:dyDescent="0.25">
      <c r="A9301" t="s">
        <v>1519</v>
      </c>
    </row>
    <row r="9302" spans="1:1" x14ac:dyDescent="0.25">
      <c r="A9302" t="s">
        <v>8986</v>
      </c>
    </row>
    <row r="9303" spans="1:1" x14ac:dyDescent="0.25">
      <c r="A9303" t="s">
        <v>2191</v>
      </c>
    </row>
    <row r="9304" spans="1:1" x14ac:dyDescent="0.25">
      <c r="A9304" t="s">
        <v>2387</v>
      </c>
    </row>
    <row r="9305" spans="1:1" x14ac:dyDescent="0.25">
      <c r="A9305" t="s">
        <v>1523</v>
      </c>
    </row>
    <row r="9306" spans="1:1" x14ac:dyDescent="0.25">
      <c r="A9306" t="s">
        <v>8987</v>
      </c>
    </row>
    <row r="9308" spans="1:1" x14ac:dyDescent="0.25">
      <c r="A9308" t="s">
        <v>8988</v>
      </c>
    </row>
    <row r="9309" spans="1:1" x14ac:dyDescent="0.25">
      <c r="A9309" t="s">
        <v>8989</v>
      </c>
    </row>
    <row r="9311" spans="1:1" x14ac:dyDescent="0.25">
      <c r="A9311" t="s">
        <v>8990</v>
      </c>
    </row>
    <row r="9312" spans="1:1" x14ac:dyDescent="0.25">
      <c r="A9312" t="s">
        <v>8991</v>
      </c>
    </row>
    <row r="9313" spans="1:3" x14ac:dyDescent="0.25">
      <c r="A9313" t="s">
        <v>8992</v>
      </c>
    </row>
    <row r="9314" spans="1:3" x14ac:dyDescent="0.25">
      <c r="A9314" t="s">
        <v>8993</v>
      </c>
    </row>
    <row r="9316" spans="1:3" x14ac:dyDescent="0.25">
      <c r="A9316" t="s">
        <v>1515</v>
      </c>
    </row>
    <row r="9317" spans="1:3" x14ac:dyDescent="0.25">
      <c r="A9317" t="s">
        <v>8994</v>
      </c>
    </row>
    <row r="9318" spans="1:3" x14ac:dyDescent="0.25">
      <c r="A9318" t="s">
        <v>1517</v>
      </c>
    </row>
    <row r="9319" spans="1:3" x14ac:dyDescent="0.25">
      <c r="A9319" t="s">
        <v>8995</v>
      </c>
    </row>
    <row r="9320" spans="1:3" x14ac:dyDescent="0.25">
      <c r="A9320" t="s">
        <v>8996</v>
      </c>
    </row>
    <row r="9321" spans="1:3" x14ac:dyDescent="0.25">
      <c r="A9321" t="s">
        <v>1519</v>
      </c>
    </row>
    <row r="9322" spans="1:3" x14ac:dyDescent="0.25">
      <c r="A9322" t="s">
        <v>8997</v>
      </c>
    </row>
    <row r="9323" spans="1:3" x14ac:dyDescent="0.25">
      <c r="A9323" t="s">
        <v>8998</v>
      </c>
    </row>
    <row r="9324" spans="1:3" x14ac:dyDescent="0.25">
      <c r="A9324" t="s">
        <v>8999</v>
      </c>
    </row>
    <row r="9325" spans="1:3" x14ac:dyDescent="0.25">
      <c r="A9325" t="s">
        <v>1523</v>
      </c>
    </row>
    <row r="9326" spans="1:3" x14ac:dyDescent="0.25">
      <c r="A9326" t="s">
        <v>1505</v>
      </c>
      <c r="B9326" t="s">
        <v>1506</v>
      </c>
      <c r="C9326" t="s">
        <v>1507</v>
      </c>
    </row>
    <row r="9327" spans="1:3" x14ac:dyDescent="0.25">
      <c r="A9327" t="s">
        <v>9000</v>
      </c>
      <c r="B9327">
        <v>167.7</v>
      </c>
      <c r="C9327" s="55">
        <v>43102</v>
      </c>
    </row>
    <row r="9329" spans="1:1" x14ac:dyDescent="0.25">
      <c r="A9329" t="s">
        <v>9001</v>
      </c>
    </row>
    <row r="9330" spans="1:1" x14ac:dyDescent="0.25">
      <c r="A9330" t="s">
        <v>9002</v>
      </c>
    </row>
    <row r="9331" spans="1:1" x14ac:dyDescent="0.25">
      <c r="A9331" t="s">
        <v>9003</v>
      </c>
    </row>
    <row r="9332" spans="1:1" x14ac:dyDescent="0.25">
      <c r="A9332" t="s">
        <v>9004</v>
      </c>
    </row>
    <row r="9333" spans="1:1" x14ac:dyDescent="0.25">
      <c r="A9333" t="s">
        <v>9005</v>
      </c>
    </row>
    <row r="9334" spans="1:1" x14ac:dyDescent="0.25">
      <c r="A9334" t="s">
        <v>9006</v>
      </c>
    </row>
    <row r="9335" spans="1:1" x14ac:dyDescent="0.25">
      <c r="A9335" t="s">
        <v>9007</v>
      </c>
    </row>
    <row r="9336" spans="1:1" x14ac:dyDescent="0.25">
      <c r="A9336" t="s">
        <v>9008</v>
      </c>
    </row>
    <row r="9337" spans="1:1" x14ac:dyDescent="0.25">
      <c r="A9337" t="s">
        <v>9005</v>
      </c>
    </row>
    <row r="9339" spans="1:1" x14ac:dyDescent="0.25">
      <c r="A9339" t="s">
        <v>9009</v>
      </c>
    </row>
    <row r="9340" spans="1:1" x14ac:dyDescent="0.25">
      <c r="A9340" t="s">
        <v>9002</v>
      </c>
    </row>
    <row r="9341" spans="1:1" x14ac:dyDescent="0.25">
      <c r="A9341" t="s">
        <v>9003</v>
      </c>
    </row>
    <row r="9342" spans="1:1" x14ac:dyDescent="0.25">
      <c r="A9342" t="s">
        <v>9010</v>
      </c>
    </row>
    <row r="9343" spans="1:1" x14ac:dyDescent="0.25">
      <c r="A9343" t="s">
        <v>9005</v>
      </c>
    </row>
    <row r="9345" spans="1:1" x14ac:dyDescent="0.25">
      <c r="A9345" t="s">
        <v>9011</v>
      </c>
    </row>
    <row r="9346" spans="1:1" x14ac:dyDescent="0.25">
      <c r="A9346" t="s">
        <v>9012</v>
      </c>
    </row>
    <row r="9347" spans="1:1" x14ac:dyDescent="0.25">
      <c r="A9347" t="s">
        <v>9013</v>
      </c>
    </row>
    <row r="9348" spans="1:1" x14ac:dyDescent="0.25">
      <c r="A9348" t="s">
        <v>9014</v>
      </c>
    </row>
    <row r="9349" spans="1:1" x14ac:dyDescent="0.25">
      <c r="A9349" t="s">
        <v>9015</v>
      </c>
    </row>
    <row r="9350" spans="1:1" x14ac:dyDescent="0.25">
      <c r="A9350" t="s">
        <v>9016</v>
      </c>
    </row>
    <row r="9351" spans="1:1" x14ac:dyDescent="0.25">
      <c r="A9351" t="s">
        <v>9017</v>
      </c>
    </row>
    <row r="9352" spans="1:1" x14ac:dyDescent="0.25">
      <c r="A9352" t="s">
        <v>9018</v>
      </c>
    </row>
    <row r="9353" spans="1:1" x14ac:dyDescent="0.25">
      <c r="A9353" t="s">
        <v>9019</v>
      </c>
    </row>
    <row r="9354" spans="1:1" x14ac:dyDescent="0.25">
      <c r="A9354" t="s">
        <v>9020</v>
      </c>
    </row>
    <row r="9355" spans="1:1" x14ac:dyDescent="0.25">
      <c r="A9355" t="s">
        <v>9021</v>
      </c>
    </row>
    <row r="9356" spans="1:1" x14ac:dyDescent="0.25">
      <c r="A9356" t="s">
        <v>9022</v>
      </c>
    </row>
    <row r="9357" spans="1:1" x14ac:dyDescent="0.25">
      <c r="A9357" t="s">
        <v>9023</v>
      </c>
    </row>
    <row r="9358" spans="1:1" x14ac:dyDescent="0.25">
      <c r="A9358" t="s">
        <v>4572</v>
      </c>
    </row>
    <row r="9359" spans="1:1" x14ac:dyDescent="0.25">
      <c r="A9359" t="s">
        <v>9024</v>
      </c>
    </row>
    <row r="9360" spans="1:1" x14ac:dyDescent="0.25">
      <c r="A9360" t="s">
        <v>9025</v>
      </c>
    </row>
    <row r="9361" spans="1:1" x14ac:dyDescent="0.25">
      <c r="A9361" t="s">
        <v>9026</v>
      </c>
    </row>
    <row r="9362" spans="1:1" x14ac:dyDescent="0.25">
      <c r="A9362" t="s">
        <v>9027</v>
      </c>
    </row>
    <row r="9363" spans="1:1" x14ac:dyDescent="0.25">
      <c r="A9363" t="s">
        <v>9028</v>
      </c>
    </row>
    <row r="9364" spans="1:1" x14ac:dyDescent="0.25">
      <c r="A9364" t="s">
        <v>9029</v>
      </c>
    </row>
    <row r="9365" spans="1:1" x14ac:dyDescent="0.25">
      <c r="A9365" t="s">
        <v>9030</v>
      </c>
    </row>
    <row r="9366" spans="1:1" x14ac:dyDescent="0.25">
      <c r="A9366" t="s">
        <v>8491</v>
      </c>
    </row>
    <row r="9367" spans="1:1" x14ac:dyDescent="0.25">
      <c r="A9367" t="s">
        <v>9031</v>
      </c>
    </row>
    <row r="9368" spans="1:1" x14ac:dyDescent="0.25">
      <c r="A9368" t="s">
        <v>9032</v>
      </c>
    </row>
    <row r="9369" spans="1:1" x14ac:dyDescent="0.25">
      <c r="A9369" t="s">
        <v>9033</v>
      </c>
    </row>
    <row r="9370" spans="1:1" x14ac:dyDescent="0.25">
      <c r="A9370" t="s">
        <v>9034</v>
      </c>
    </row>
    <row r="9371" spans="1:1" x14ac:dyDescent="0.25">
      <c r="A9371" t="s">
        <v>9035</v>
      </c>
    </row>
    <row r="9372" spans="1:1" x14ac:dyDescent="0.25">
      <c r="A9372" t="s">
        <v>6465</v>
      </c>
    </row>
    <row r="9373" spans="1:1" x14ac:dyDescent="0.25">
      <c r="A9373" t="s">
        <v>9036</v>
      </c>
    </row>
    <row r="9374" spans="1:1" x14ac:dyDescent="0.25">
      <c r="A9374" t="s">
        <v>1515</v>
      </c>
    </row>
    <row r="9375" spans="1:1" x14ac:dyDescent="0.25">
      <c r="A9375" t="s">
        <v>9037</v>
      </c>
    </row>
    <row r="9376" spans="1:1" x14ac:dyDescent="0.25">
      <c r="A9376" t="s">
        <v>9038</v>
      </c>
    </row>
    <row r="9377" spans="1:3" x14ac:dyDescent="0.25">
      <c r="A9377" t="s">
        <v>9039</v>
      </c>
    </row>
    <row r="9379" spans="1:3" x14ac:dyDescent="0.25">
      <c r="A9379" t="s">
        <v>9040</v>
      </c>
    </row>
    <row r="9380" spans="1:3" x14ac:dyDescent="0.25">
      <c r="A9380" t="s">
        <v>9041</v>
      </c>
    </row>
    <row r="9381" spans="1:3" x14ac:dyDescent="0.25">
      <c r="A9381" t="s">
        <v>9042</v>
      </c>
    </row>
    <row r="9382" spans="1:3" x14ac:dyDescent="0.25">
      <c r="A9382" t="s">
        <v>9043</v>
      </c>
    </row>
    <row r="9383" spans="1:3" x14ac:dyDescent="0.25">
      <c r="A9383" t="s">
        <v>4665</v>
      </c>
    </row>
    <row r="9384" spans="1:3" x14ac:dyDescent="0.25">
      <c r="A9384" t="s">
        <v>9044</v>
      </c>
    </row>
    <row r="9386" spans="1:3" x14ac:dyDescent="0.25">
      <c r="A9386" t="s">
        <v>9045</v>
      </c>
    </row>
    <row r="9387" spans="1:3" x14ac:dyDescent="0.25">
      <c r="A9387" t="s">
        <v>9046</v>
      </c>
    </row>
    <row r="9388" spans="1:3" x14ac:dyDescent="0.25">
      <c r="A9388" t="s">
        <v>9047</v>
      </c>
      <c r="B9388">
        <v>1141</v>
      </c>
    </row>
    <row r="9389" spans="1:3" x14ac:dyDescent="0.25">
      <c r="A9389" t="s">
        <v>9048</v>
      </c>
      <c r="B9389">
        <v>5</v>
      </c>
      <c r="C9389">
        <v>1004</v>
      </c>
    </row>
    <row r="9390" spans="1:3" x14ac:dyDescent="0.25">
      <c r="A9390" t="s">
        <v>9049</v>
      </c>
    </row>
    <row r="9391" spans="1:3" x14ac:dyDescent="0.25">
      <c r="A9391" t="s">
        <v>9050</v>
      </c>
    </row>
    <row r="9392" spans="1:3" x14ac:dyDescent="0.25">
      <c r="A9392" t="s">
        <v>9051</v>
      </c>
    </row>
    <row r="9393" spans="1:1" x14ac:dyDescent="0.25">
      <c r="A9393" t="s">
        <v>9052</v>
      </c>
    </row>
    <row r="9394" spans="1:1" x14ac:dyDescent="0.25">
      <c r="A9394" t="s">
        <v>9053</v>
      </c>
    </row>
    <row r="9395" spans="1:1" x14ac:dyDescent="0.25">
      <c r="A9395" t="s">
        <v>9054</v>
      </c>
    </row>
    <row r="9396" spans="1:1" x14ac:dyDescent="0.25">
      <c r="A9396" t="s">
        <v>9055</v>
      </c>
    </row>
    <row r="9397" spans="1:1" x14ac:dyDescent="0.25">
      <c r="A9397" t="s">
        <v>9056</v>
      </c>
    </row>
    <row r="9398" spans="1:1" x14ac:dyDescent="0.25">
      <c r="A9398" t="s">
        <v>9057</v>
      </c>
    </row>
    <row r="9400" spans="1:1" x14ac:dyDescent="0.25">
      <c r="A9400" t="s">
        <v>9058</v>
      </c>
    </row>
    <row r="9401" spans="1:1" x14ac:dyDescent="0.25">
      <c r="A9401" t="s">
        <v>9059</v>
      </c>
    </row>
    <row r="9402" spans="1:1" x14ac:dyDescent="0.25">
      <c r="A9402" t="s">
        <v>9060</v>
      </c>
    </row>
    <row r="9403" spans="1:1" x14ac:dyDescent="0.25">
      <c r="A9403" t="s">
        <v>9061</v>
      </c>
    </row>
    <row r="9404" spans="1:1" x14ac:dyDescent="0.25">
      <c r="A9404" t="s">
        <v>9062</v>
      </c>
    </row>
    <row r="9405" spans="1:1" x14ac:dyDescent="0.25">
      <c r="A9405" t="s">
        <v>9063</v>
      </c>
    </row>
    <row r="9406" spans="1:1" x14ac:dyDescent="0.25">
      <c r="A9406" t="s">
        <v>9064</v>
      </c>
    </row>
    <row r="9407" spans="1:1" x14ac:dyDescent="0.25">
      <c r="A9407" t="s">
        <v>9065</v>
      </c>
    </row>
    <row r="9408" spans="1:1" x14ac:dyDescent="0.25">
      <c r="A9408" t="s">
        <v>9066</v>
      </c>
    </row>
    <row r="9409" spans="1:1" x14ac:dyDescent="0.25">
      <c r="A9409" t="s">
        <v>9067</v>
      </c>
    </row>
    <row r="9410" spans="1:1" x14ac:dyDescent="0.25">
      <c r="A9410" t="s">
        <v>9068</v>
      </c>
    </row>
    <row r="9411" spans="1:1" x14ac:dyDescent="0.25">
      <c r="A9411" t="s">
        <v>9069</v>
      </c>
    </row>
    <row r="9412" spans="1:1" x14ac:dyDescent="0.25">
      <c r="A9412" t="s">
        <v>9070</v>
      </c>
    </row>
    <row r="9413" spans="1:1" x14ac:dyDescent="0.25">
      <c r="A9413" t="s">
        <v>9071</v>
      </c>
    </row>
    <row r="9414" spans="1:1" x14ac:dyDescent="0.25">
      <c r="A9414" t="s">
        <v>9072</v>
      </c>
    </row>
    <row r="9415" spans="1:1" x14ac:dyDescent="0.25">
      <c r="A9415" t="s">
        <v>9073</v>
      </c>
    </row>
    <row r="9416" spans="1:1" x14ac:dyDescent="0.25">
      <c r="A9416" t="s">
        <v>9074</v>
      </c>
    </row>
    <row r="9417" spans="1:1" x14ac:dyDescent="0.25">
      <c r="A9417" t="s">
        <v>9075</v>
      </c>
    </row>
    <row r="9418" spans="1:1" x14ac:dyDescent="0.25">
      <c r="A9418" t="s">
        <v>5363</v>
      </c>
    </row>
    <row r="9419" spans="1:1" x14ac:dyDescent="0.25">
      <c r="A9419" t="s">
        <v>9076</v>
      </c>
    </row>
    <row r="9420" spans="1:1" x14ac:dyDescent="0.25">
      <c r="A9420" t="s">
        <v>9077</v>
      </c>
    </row>
    <row r="9421" spans="1:1" x14ac:dyDescent="0.25">
      <c r="A9421" t="s">
        <v>9078</v>
      </c>
    </row>
    <row r="9422" spans="1:1" x14ac:dyDescent="0.25">
      <c r="A9422" t="s">
        <v>9079</v>
      </c>
    </row>
    <row r="9423" spans="1:1" x14ac:dyDescent="0.25">
      <c r="A9423" t="s">
        <v>9080</v>
      </c>
    </row>
    <row r="9424" spans="1:1" x14ac:dyDescent="0.25">
      <c r="A9424" t="s">
        <v>9081</v>
      </c>
    </row>
    <row r="9425" spans="1:1" x14ac:dyDescent="0.25">
      <c r="A9425" t="s">
        <v>9082</v>
      </c>
    </row>
    <row r="9426" spans="1:1" x14ac:dyDescent="0.25">
      <c r="A9426" t="s">
        <v>9083</v>
      </c>
    </row>
    <row r="9427" spans="1:1" x14ac:dyDescent="0.25">
      <c r="A9427" t="s">
        <v>9084</v>
      </c>
    </row>
    <row r="9428" spans="1:1" x14ac:dyDescent="0.25">
      <c r="A9428" t="s">
        <v>9085</v>
      </c>
    </row>
    <row r="9429" spans="1:1" x14ac:dyDescent="0.25">
      <c r="A9429" t="s">
        <v>9086</v>
      </c>
    </row>
    <row r="9430" spans="1:1" x14ac:dyDescent="0.25">
      <c r="A9430" t="s">
        <v>9087</v>
      </c>
    </row>
    <row r="9431" spans="1:1" x14ac:dyDescent="0.25">
      <c r="A9431" t="s">
        <v>9088</v>
      </c>
    </row>
    <row r="9432" spans="1:1" x14ac:dyDescent="0.25">
      <c r="A9432" t="s">
        <v>9089</v>
      </c>
    </row>
    <row r="9433" spans="1:1" x14ac:dyDescent="0.25">
      <c r="A9433" t="s">
        <v>9090</v>
      </c>
    </row>
    <row r="9434" spans="1:1" x14ac:dyDescent="0.25">
      <c r="A9434" t="s">
        <v>9091</v>
      </c>
    </row>
    <row r="9435" spans="1:1" x14ac:dyDescent="0.25">
      <c r="A9435" t="s">
        <v>9092</v>
      </c>
    </row>
    <row r="9436" spans="1:1" x14ac:dyDescent="0.25">
      <c r="A9436" t="s">
        <v>9093</v>
      </c>
    </row>
    <row r="9437" spans="1:1" x14ac:dyDescent="0.25">
      <c r="A9437" t="s">
        <v>9094</v>
      </c>
    </row>
    <row r="9438" spans="1:1" x14ac:dyDescent="0.25">
      <c r="A9438" t="s">
        <v>9095</v>
      </c>
    </row>
    <row r="9439" spans="1:1" x14ac:dyDescent="0.25">
      <c r="A9439" t="s">
        <v>9096</v>
      </c>
    </row>
    <row r="9440" spans="1:1" x14ac:dyDescent="0.25">
      <c r="A9440" t="s">
        <v>9097</v>
      </c>
    </row>
    <row r="9441" spans="1:1" x14ac:dyDescent="0.25">
      <c r="A9441" t="s">
        <v>9098</v>
      </c>
    </row>
    <row r="9442" spans="1:1" x14ac:dyDescent="0.25">
      <c r="A9442" t="s">
        <v>9093</v>
      </c>
    </row>
    <row r="9443" spans="1:1" x14ac:dyDescent="0.25">
      <c r="A9443" t="s">
        <v>9099</v>
      </c>
    </row>
    <row r="9444" spans="1:1" x14ac:dyDescent="0.25">
      <c r="A9444" t="s">
        <v>9100</v>
      </c>
    </row>
    <row r="9445" spans="1:1" x14ac:dyDescent="0.25">
      <c r="A9445" t="s">
        <v>9101</v>
      </c>
    </row>
    <row r="9446" spans="1:1" x14ac:dyDescent="0.25">
      <c r="A9446" t="s">
        <v>9102</v>
      </c>
    </row>
    <row r="9447" spans="1:1" x14ac:dyDescent="0.25">
      <c r="A9447" t="s">
        <v>9093</v>
      </c>
    </row>
    <row r="9448" spans="1:1" x14ac:dyDescent="0.25">
      <c r="A9448" t="s">
        <v>9103</v>
      </c>
    </row>
    <row r="9449" spans="1:1" x14ac:dyDescent="0.25">
      <c r="A9449" t="s">
        <v>9104</v>
      </c>
    </row>
    <row r="9450" spans="1:1" x14ac:dyDescent="0.25">
      <c r="A9450" t="s">
        <v>9105</v>
      </c>
    </row>
    <row r="9451" spans="1:1" x14ac:dyDescent="0.25">
      <c r="A9451" t="s">
        <v>8541</v>
      </c>
    </row>
    <row r="9452" spans="1:1" x14ac:dyDescent="0.25">
      <c r="A9452" t="s">
        <v>9106</v>
      </c>
    </row>
    <row r="9453" spans="1:1" x14ac:dyDescent="0.25">
      <c r="A9453" t="s">
        <v>9107</v>
      </c>
    </row>
    <row r="9454" spans="1:1" x14ac:dyDescent="0.25">
      <c r="A9454" t="s">
        <v>9108</v>
      </c>
    </row>
    <row r="9455" spans="1:1" x14ac:dyDescent="0.25">
      <c r="A9455" t="s">
        <v>9109</v>
      </c>
    </row>
    <row r="9456" spans="1:1" x14ac:dyDescent="0.25">
      <c r="A9456" t="s">
        <v>9110</v>
      </c>
    </row>
    <row r="9457" spans="1:1" x14ac:dyDescent="0.25">
      <c r="A9457" t="s">
        <v>1996</v>
      </c>
    </row>
    <row r="9458" spans="1:1" x14ac:dyDescent="0.25">
      <c r="A9458" t="s">
        <v>9111</v>
      </c>
    </row>
    <row r="9459" spans="1:1" x14ac:dyDescent="0.25">
      <c r="A9459" t="s">
        <v>9112</v>
      </c>
    </row>
    <row r="9460" spans="1:1" x14ac:dyDescent="0.25">
      <c r="A9460" t="s">
        <v>9113</v>
      </c>
    </row>
    <row r="9461" spans="1:1" x14ac:dyDescent="0.25">
      <c r="A9461" t="s">
        <v>9114</v>
      </c>
    </row>
    <row r="9462" spans="1:1" x14ac:dyDescent="0.25">
      <c r="A9462" t="s">
        <v>9115</v>
      </c>
    </row>
    <row r="9463" spans="1:1" x14ac:dyDescent="0.25">
      <c r="A9463" t="s">
        <v>9116</v>
      </c>
    </row>
    <row r="9465" spans="1:1" x14ac:dyDescent="0.25">
      <c r="A9465" t="s">
        <v>9117</v>
      </c>
    </row>
    <row r="9466" spans="1:1" x14ac:dyDescent="0.25">
      <c r="A9466" t="s">
        <v>9118</v>
      </c>
    </row>
    <row r="9467" spans="1:1" x14ac:dyDescent="0.25">
      <c r="A9467" t="s">
        <v>9119</v>
      </c>
    </row>
    <row r="9468" spans="1:1" x14ac:dyDescent="0.25">
      <c r="A9468" t="s">
        <v>9120</v>
      </c>
    </row>
    <row r="9469" spans="1:1" x14ac:dyDescent="0.25">
      <c r="A9469" t="s">
        <v>1515</v>
      </c>
    </row>
    <row r="9470" spans="1:1" x14ac:dyDescent="0.25">
      <c r="A9470" t="s">
        <v>9121</v>
      </c>
    </row>
    <row r="9472" spans="1:1" x14ac:dyDescent="0.25">
      <c r="A9472" t="s">
        <v>1517</v>
      </c>
    </row>
    <row r="9473" spans="1:5" x14ac:dyDescent="0.25">
      <c r="A9473" t="s">
        <v>9122</v>
      </c>
    </row>
    <row r="9474" spans="1:5" x14ac:dyDescent="0.25">
      <c r="A9474" t="s">
        <v>1519</v>
      </c>
    </row>
    <row r="9476" spans="1:5" x14ac:dyDescent="0.25">
      <c r="A9476" t="s">
        <v>9123</v>
      </c>
    </row>
    <row r="9477" spans="1:5" x14ac:dyDescent="0.25">
      <c r="A9477" t="s">
        <v>8902</v>
      </c>
    </row>
    <row r="9478" spans="1:5" x14ac:dyDescent="0.25">
      <c r="A9478" t="s">
        <v>9124</v>
      </c>
    </row>
    <row r="9479" spans="1:5" x14ac:dyDescent="0.25">
      <c r="A9479" t="s">
        <v>1523</v>
      </c>
    </row>
    <row r="9481" spans="1:5" x14ac:dyDescent="0.25">
      <c r="A9481" t="s">
        <v>4897</v>
      </c>
      <c r="B9481" t="s">
        <v>4751</v>
      </c>
      <c r="C9481" t="s">
        <v>4752</v>
      </c>
      <c r="D9481" t="s">
        <v>4753</v>
      </c>
      <c r="E9481" t="s">
        <v>9125</v>
      </c>
    </row>
    <row r="9482" spans="1:5" x14ac:dyDescent="0.25">
      <c r="A9482" t="s">
        <v>9126</v>
      </c>
      <c r="B9482">
        <v>1962.76</v>
      </c>
      <c r="C9482" s="55">
        <v>43799</v>
      </c>
      <c r="D9482">
        <v>4</v>
      </c>
    </row>
    <row r="9483" spans="1:5" x14ac:dyDescent="0.25">
      <c r="A9483" t="s">
        <v>2171</v>
      </c>
      <c r="B9483">
        <v>1746.1</v>
      </c>
      <c r="C9483" s="55">
        <v>43799</v>
      </c>
      <c r="D9483">
        <v>5</v>
      </c>
    </row>
    <row r="9485" spans="1:5" x14ac:dyDescent="0.25">
      <c r="A9485" t="s">
        <v>9116</v>
      </c>
    </row>
    <row r="9487" spans="1:5" x14ac:dyDescent="0.25">
      <c r="A9487" t="s">
        <v>9127</v>
      </c>
    </row>
    <row r="9488" spans="1:5" x14ac:dyDescent="0.25">
      <c r="A9488" t="s">
        <v>9128</v>
      </c>
    </row>
    <row r="9489" spans="1:1" x14ac:dyDescent="0.25">
      <c r="A9489" t="s">
        <v>9129</v>
      </c>
    </row>
    <row r="9491" spans="1:1" x14ac:dyDescent="0.25">
      <c r="A9491" t="s">
        <v>1515</v>
      </c>
    </row>
    <row r="9492" spans="1:1" x14ac:dyDescent="0.25">
      <c r="A9492" t="s">
        <v>9130</v>
      </c>
    </row>
    <row r="9493" spans="1:1" x14ac:dyDescent="0.25">
      <c r="A9493" t="s">
        <v>9131</v>
      </c>
    </row>
    <row r="9494" spans="1:1" x14ac:dyDescent="0.25">
      <c r="A9494" t="s">
        <v>9132</v>
      </c>
    </row>
    <row r="9495" spans="1:1" x14ac:dyDescent="0.25">
      <c r="A9495" t="s">
        <v>9133</v>
      </c>
    </row>
    <row r="9500" spans="1:1" x14ac:dyDescent="0.25">
      <c r="A9500" t="s">
        <v>1519</v>
      </c>
    </row>
    <row r="9501" spans="1:1" x14ac:dyDescent="0.25">
      <c r="A9501" t="s">
        <v>8901</v>
      </c>
    </row>
    <row r="9502" spans="1:1" x14ac:dyDescent="0.25">
      <c r="A9502" t="s">
        <v>8902</v>
      </c>
    </row>
    <row r="9503" spans="1:1" x14ac:dyDescent="0.25">
      <c r="A9503" t="s">
        <v>2170</v>
      </c>
    </row>
    <row r="9504" spans="1:1" x14ac:dyDescent="0.25">
      <c r="A9504" t="s">
        <v>1523</v>
      </c>
    </row>
    <row r="9505" spans="1:6" x14ac:dyDescent="0.25">
      <c r="B9505" t="s">
        <v>9134</v>
      </c>
      <c r="C9505">
        <v>7870.41</v>
      </c>
      <c r="D9505" s="55">
        <v>43799</v>
      </c>
      <c r="E9505">
        <v>4</v>
      </c>
      <c r="F9505">
        <v>0</v>
      </c>
    </row>
    <row r="9506" spans="1:6" x14ac:dyDescent="0.25">
      <c r="A9506">
        <v>2</v>
      </c>
      <c r="B9506" t="s">
        <v>2171</v>
      </c>
      <c r="C9506">
        <v>6343.05</v>
      </c>
      <c r="D9506" s="55">
        <v>43799</v>
      </c>
      <c r="E9506">
        <v>5</v>
      </c>
      <c r="F9506">
        <v>329</v>
      </c>
    </row>
    <row r="9507" spans="1:6" x14ac:dyDescent="0.25">
      <c r="A9507">
        <v>3</v>
      </c>
      <c r="B9507" t="s">
        <v>9135</v>
      </c>
      <c r="C9507">
        <v>4499.58</v>
      </c>
      <c r="D9507" s="55">
        <v>43799</v>
      </c>
      <c r="E9507">
        <v>4</v>
      </c>
      <c r="F9507">
        <v>0</v>
      </c>
    </row>
    <row r="9508" spans="1:6" x14ac:dyDescent="0.25">
      <c r="A9508">
        <v>4</v>
      </c>
      <c r="B9508" t="s">
        <v>9136</v>
      </c>
      <c r="C9508">
        <v>1735.95</v>
      </c>
      <c r="D9508" s="55">
        <v>43799</v>
      </c>
      <c r="E9508">
        <v>1</v>
      </c>
      <c r="F9508">
        <v>0</v>
      </c>
    </row>
    <row r="9509" spans="1:6" x14ac:dyDescent="0.25">
      <c r="A9509" t="s">
        <v>9137</v>
      </c>
    </row>
    <row r="9510" spans="1:6" x14ac:dyDescent="0.25">
      <c r="A9510" t="s">
        <v>1962</v>
      </c>
    </row>
    <row r="9511" spans="1:6" x14ac:dyDescent="0.25">
      <c r="A9511" t="s">
        <v>9138</v>
      </c>
    </row>
    <row r="9512" spans="1:6" x14ac:dyDescent="0.25">
      <c r="A9512" t="s">
        <v>9139</v>
      </c>
    </row>
    <row r="9514" spans="1:6" x14ac:dyDescent="0.25">
      <c r="A9514" t="s">
        <v>9140</v>
      </c>
    </row>
    <row r="9515" spans="1:6" x14ac:dyDescent="0.25">
      <c r="A9515" t="s">
        <v>9141</v>
      </c>
    </row>
    <row r="9516" spans="1:6" x14ac:dyDescent="0.25">
      <c r="A9516" t="s">
        <v>9142</v>
      </c>
    </row>
    <row r="9517" spans="1:6" x14ac:dyDescent="0.25">
      <c r="A9517" t="s">
        <v>9143</v>
      </c>
    </row>
    <row r="9518" spans="1:6" x14ac:dyDescent="0.25">
      <c r="A9518" t="s">
        <v>9144</v>
      </c>
    </row>
    <row r="9519" spans="1:6" x14ac:dyDescent="0.25">
      <c r="A9519" t="s">
        <v>9145</v>
      </c>
    </row>
    <row r="9520" spans="1:6" x14ac:dyDescent="0.25">
      <c r="A9520" t="s">
        <v>9146</v>
      </c>
    </row>
    <row r="9521" spans="1:3" x14ac:dyDescent="0.25">
      <c r="A9521" t="s">
        <v>9147</v>
      </c>
    </row>
    <row r="9522" spans="1:3" x14ac:dyDescent="0.25">
      <c r="A9522" t="s">
        <v>9148</v>
      </c>
    </row>
    <row r="9523" spans="1:3" x14ac:dyDescent="0.25">
      <c r="A9523" t="s">
        <v>9149</v>
      </c>
    </row>
    <row r="9525" spans="1:3" x14ac:dyDescent="0.25">
      <c r="A9525" t="s">
        <v>4653</v>
      </c>
    </row>
    <row r="9526" spans="1:3" x14ac:dyDescent="0.25">
      <c r="A9526" t="s">
        <v>9150</v>
      </c>
    </row>
    <row r="9527" spans="1:3" x14ac:dyDescent="0.25">
      <c r="A9527" t="s">
        <v>9151</v>
      </c>
    </row>
    <row r="9528" spans="1:3" x14ac:dyDescent="0.25">
      <c r="A9528" t="s">
        <v>9152</v>
      </c>
    </row>
    <row r="9529" spans="1:3" x14ac:dyDescent="0.25">
      <c r="A9529" t="s">
        <v>1515</v>
      </c>
    </row>
    <row r="9530" spans="1:3" x14ac:dyDescent="0.25">
      <c r="A9530" t="s">
        <v>1517</v>
      </c>
    </row>
    <row r="9532" spans="1:3" x14ac:dyDescent="0.25">
      <c r="A9532" t="s">
        <v>9153</v>
      </c>
    </row>
    <row r="9533" spans="1:3" x14ac:dyDescent="0.25">
      <c r="A9533" t="s">
        <v>9154</v>
      </c>
    </row>
    <row r="9534" spans="1:3" x14ac:dyDescent="0.25">
      <c r="A9534" t="s">
        <v>9155</v>
      </c>
    </row>
    <row r="9535" spans="1:3" x14ac:dyDescent="0.25">
      <c r="A9535" t="s">
        <v>9156</v>
      </c>
    </row>
    <row r="9536" spans="1:3" x14ac:dyDescent="0.25">
      <c r="A9536" t="s">
        <v>9157</v>
      </c>
      <c r="B9536" t="s">
        <v>9126</v>
      </c>
      <c r="C9536">
        <v>40125.65</v>
      </c>
    </row>
    <row r="9537" spans="1:2" x14ac:dyDescent="0.25">
      <c r="A9537" t="s">
        <v>2388</v>
      </c>
      <c r="B9537">
        <v>1634.64</v>
      </c>
    </row>
    <row r="9538" spans="1:2" x14ac:dyDescent="0.25">
      <c r="A9538" t="s">
        <v>9158</v>
      </c>
    </row>
    <row r="9539" spans="1:2" x14ac:dyDescent="0.25">
      <c r="A9539" t="s">
        <v>9159</v>
      </c>
    </row>
    <row r="9540" spans="1:2" x14ac:dyDescent="0.25">
      <c r="A9540" t="s">
        <v>9160</v>
      </c>
    </row>
    <row r="9541" spans="1:2" x14ac:dyDescent="0.25">
      <c r="A9541" t="s">
        <v>9161</v>
      </c>
    </row>
    <row r="9542" spans="1:2" x14ac:dyDescent="0.25">
      <c r="A9542" t="s">
        <v>9158</v>
      </c>
    </row>
    <row r="9543" spans="1:2" x14ac:dyDescent="0.25">
      <c r="A9543" t="s">
        <v>9162</v>
      </c>
    </row>
    <row r="9544" spans="1:2" x14ac:dyDescent="0.25">
      <c r="A9544" t="s">
        <v>9163</v>
      </c>
    </row>
    <row r="9546" spans="1:2" x14ac:dyDescent="0.25">
      <c r="A9546" t="s">
        <v>9158</v>
      </c>
    </row>
    <row r="9547" spans="1:2" x14ac:dyDescent="0.25">
      <c r="A9547" t="s">
        <v>9164</v>
      </c>
    </row>
    <row r="9548" spans="1:2" x14ac:dyDescent="0.25">
      <c r="A9548" t="s">
        <v>9165</v>
      </c>
    </row>
    <row r="9549" spans="1:2" x14ac:dyDescent="0.25">
      <c r="A9549" t="s">
        <v>9166</v>
      </c>
    </row>
    <row r="9550" spans="1:2" x14ac:dyDescent="0.25">
      <c r="A9550" t="s">
        <v>9158</v>
      </c>
    </row>
    <row r="9551" spans="1:2" x14ac:dyDescent="0.25">
      <c r="A9551" t="s">
        <v>9167</v>
      </c>
    </row>
    <row r="9552" spans="1:2" x14ac:dyDescent="0.25">
      <c r="A9552" t="s">
        <v>9168</v>
      </c>
    </row>
    <row r="9553" spans="1:1" x14ac:dyDescent="0.25">
      <c r="A9553" t="s">
        <v>9169</v>
      </c>
    </row>
    <row r="9554" spans="1:1" x14ac:dyDescent="0.25">
      <c r="A9554" t="s">
        <v>9158</v>
      </c>
    </row>
    <row r="9555" spans="1:1" x14ac:dyDescent="0.25">
      <c r="A9555" t="s">
        <v>9170</v>
      </c>
    </row>
    <row r="9556" spans="1:1" x14ac:dyDescent="0.25">
      <c r="A9556" t="s">
        <v>9171</v>
      </c>
    </row>
    <row r="9557" spans="1:1" x14ac:dyDescent="0.25">
      <c r="A9557" t="s">
        <v>9172</v>
      </c>
    </row>
    <row r="9558" spans="1:1" x14ac:dyDescent="0.25">
      <c r="A9558" t="s">
        <v>9173</v>
      </c>
    </row>
    <row r="9559" spans="1:1" x14ac:dyDescent="0.25">
      <c r="A9559" t="s">
        <v>9174</v>
      </c>
    </row>
    <row r="9560" spans="1:1" x14ac:dyDescent="0.25">
      <c r="A9560" t="s">
        <v>9175</v>
      </c>
    </row>
    <row r="9561" spans="1:1" x14ac:dyDescent="0.25">
      <c r="A9561" t="s">
        <v>9176</v>
      </c>
    </row>
    <row r="9563" spans="1:1" x14ac:dyDescent="0.25">
      <c r="A9563" t="s">
        <v>9177</v>
      </c>
    </row>
    <row r="9564" spans="1:1" x14ac:dyDescent="0.25">
      <c r="A9564" t="s">
        <v>9178</v>
      </c>
    </row>
    <row r="9565" spans="1:1" x14ac:dyDescent="0.25">
      <c r="A9565" t="s">
        <v>9179</v>
      </c>
    </row>
    <row r="9566" spans="1:1" x14ac:dyDescent="0.25">
      <c r="A9566" t="s">
        <v>9180</v>
      </c>
    </row>
    <row r="9567" spans="1:1" x14ac:dyDescent="0.25">
      <c r="A9567" t="s">
        <v>6009</v>
      </c>
    </row>
    <row r="9568" spans="1:1" x14ac:dyDescent="0.25">
      <c r="A9568" t="s">
        <v>9181</v>
      </c>
    </row>
    <row r="9569" spans="1:1" x14ac:dyDescent="0.25">
      <c r="A9569" t="s">
        <v>9182</v>
      </c>
    </row>
    <row r="9570" spans="1:1" x14ac:dyDescent="0.25">
      <c r="A9570" t="s">
        <v>9183</v>
      </c>
    </row>
    <row r="9571" spans="1:1" x14ac:dyDescent="0.25">
      <c r="A9571" t="s">
        <v>9184</v>
      </c>
    </row>
    <row r="9572" spans="1:1" x14ac:dyDescent="0.25">
      <c r="A9572" t="s">
        <v>9185</v>
      </c>
    </row>
    <row r="9573" spans="1:1" x14ac:dyDescent="0.25">
      <c r="A9573" t="s">
        <v>9186</v>
      </c>
    </row>
    <row r="9574" spans="1:1" x14ac:dyDescent="0.25">
      <c r="A9574" t="s">
        <v>9187</v>
      </c>
    </row>
    <row r="9575" spans="1:1" x14ac:dyDescent="0.25">
      <c r="A9575" t="s">
        <v>9183</v>
      </c>
    </row>
    <row r="9576" spans="1:1" x14ac:dyDescent="0.25">
      <c r="A9576" t="s">
        <v>9170</v>
      </c>
    </row>
    <row r="9577" spans="1:1" x14ac:dyDescent="0.25">
      <c r="A9577" t="s">
        <v>9188</v>
      </c>
    </row>
    <row r="9578" spans="1:1" x14ac:dyDescent="0.25">
      <c r="A9578" t="s">
        <v>9189</v>
      </c>
    </row>
    <row r="9579" spans="1:1" x14ac:dyDescent="0.25">
      <c r="A9579" t="s">
        <v>9190</v>
      </c>
    </row>
    <row r="9580" spans="1:1" x14ac:dyDescent="0.25">
      <c r="A9580" t="s">
        <v>9191</v>
      </c>
    </row>
    <row r="9581" spans="1:1" x14ac:dyDescent="0.25">
      <c r="A9581" t="s">
        <v>9192</v>
      </c>
    </row>
    <row r="9582" spans="1:1" x14ac:dyDescent="0.25">
      <c r="A9582" t="s">
        <v>9193</v>
      </c>
    </row>
    <row r="9583" spans="1:1" x14ac:dyDescent="0.25">
      <c r="A9583" t="s">
        <v>9194</v>
      </c>
    </row>
    <row r="9584" spans="1:1" x14ac:dyDescent="0.25">
      <c r="A9584" t="s">
        <v>9195</v>
      </c>
    </row>
    <row r="9585" spans="1:1" x14ac:dyDescent="0.25">
      <c r="A9585" t="s">
        <v>9196</v>
      </c>
    </row>
    <row r="9586" spans="1:1" x14ac:dyDescent="0.25">
      <c r="A9586" t="s">
        <v>9197</v>
      </c>
    </row>
    <row r="9587" spans="1:1" x14ac:dyDescent="0.25">
      <c r="A9587" t="s">
        <v>9194</v>
      </c>
    </row>
    <row r="9588" spans="1:1" x14ac:dyDescent="0.25">
      <c r="A9588" t="s">
        <v>9198</v>
      </c>
    </row>
    <row r="9589" spans="1:1" x14ac:dyDescent="0.25">
      <c r="A9589" t="s">
        <v>9199</v>
      </c>
    </row>
    <row r="9590" spans="1:1" x14ac:dyDescent="0.25">
      <c r="A9590" t="s">
        <v>9200</v>
      </c>
    </row>
    <row r="9591" spans="1:1" x14ac:dyDescent="0.25">
      <c r="A9591" t="s">
        <v>9201</v>
      </c>
    </row>
    <row r="9593" spans="1:1" x14ac:dyDescent="0.25">
      <c r="A9593" t="s">
        <v>9202</v>
      </c>
    </row>
    <row r="9594" spans="1:1" x14ac:dyDescent="0.25">
      <c r="A9594" t="s">
        <v>9203</v>
      </c>
    </row>
    <row r="9595" spans="1:1" x14ac:dyDescent="0.25">
      <c r="A9595" t="s">
        <v>9204</v>
      </c>
    </row>
    <row r="9596" spans="1:1" x14ac:dyDescent="0.25">
      <c r="A9596" t="s">
        <v>9205</v>
      </c>
    </row>
    <row r="9597" spans="1:1" x14ac:dyDescent="0.25">
      <c r="A9597" t="s">
        <v>3036</v>
      </c>
    </row>
    <row r="9598" spans="1:1" x14ac:dyDescent="0.25">
      <c r="A9598" t="s">
        <v>9206</v>
      </c>
    </row>
    <row r="9599" spans="1:1" x14ac:dyDescent="0.25">
      <c r="A9599" t="s">
        <v>9207</v>
      </c>
    </row>
    <row r="9600" spans="1:1" x14ac:dyDescent="0.25">
      <c r="A9600" t="s">
        <v>8930</v>
      </c>
    </row>
    <row r="9602" spans="1:1" x14ac:dyDescent="0.25">
      <c r="A9602" t="s">
        <v>9208</v>
      </c>
    </row>
    <row r="9603" spans="1:1" x14ac:dyDescent="0.25">
      <c r="A9603" t="s">
        <v>4813</v>
      </c>
    </row>
    <row r="9604" spans="1:1" x14ac:dyDescent="0.25">
      <c r="A9604" t="s">
        <v>4828</v>
      </c>
    </row>
    <row r="9605" spans="1:1" x14ac:dyDescent="0.25">
      <c r="A9605" t="s">
        <v>9209</v>
      </c>
    </row>
    <row r="9606" spans="1:1" x14ac:dyDescent="0.25">
      <c r="A9606" t="s">
        <v>9210</v>
      </c>
    </row>
    <row r="9607" spans="1:1" x14ac:dyDescent="0.25">
      <c r="A9607" t="s">
        <v>4698</v>
      </c>
    </row>
    <row r="9608" spans="1:1" x14ac:dyDescent="0.25">
      <c r="A9608" t="s">
        <v>9211</v>
      </c>
    </row>
    <row r="9609" spans="1:1" x14ac:dyDescent="0.25">
      <c r="A9609" t="s">
        <v>9212</v>
      </c>
    </row>
    <row r="9610" spans="1:1" x14ac:dyDescent="0.25">
      <c r="A9610" t="s">
        <v>9213</v>
      </c>
    </row>
    <row r="9611" spans="1:1" x14ac:dyDescent="0.25">
      <c r="A9611" t="s">
        <v>9214</v>
      </c>
    </row>
    <row r="9612" spans="1:1" x14ac:dyDescent="0.25">
      <c r="A9612" t="s">
        <v>9215</v>
      </c>
    </row>
    <row r="9613" spans="1:1" x14ac:dyDescent="0.25">
      <c r="A9613" t="s">
        <v>9216</v>
      </c>
    </row>
    <row r="9614" spans="1:1" x14ac:dyDescent="0.25">
      <c r="A9614" t="s">
        <v>9217</v>
      </c>
    </row>
    <row r="9616" spans="1:1" x14ac:dyDescent="0.25">
      <c r="A9616" t="s">
        <v>9215</v>
      </c>
    </row>
    <row r="9617" spans="1:1" x14ac:dyDescent="0.25">
      <c r="A9617" t="s">
        <v>9218</v>
      </c>
    </row>
    <row r="9618" spans="1:1" x14ac:dyDescent="0.25">
      <c r="A9618" t="s">
        <v>9219</v>
      </c>
    </row>
    <row r="9620" spans="1:1" x14ac:dyDescent="0.25">
      <c r="A9620" t="s">
        <v>9220</v>
      </c>
    </row>
    <row r="9621" spans="1:1" x14ac:dyDescent="0.25">
      <c r="A9621" t="s">
        <v>4249</v>
      </c>
    </row>
    <row r="9622" spans="1:1" x14ac:dyDescent="0.25">
      <c r="A9622" t="s">
        <v>9221</v>
      </c>
    </row>
    <row r="9623" spans="1:1" x14ac:dyDescent="0.25">
      <c r="A9623" t="s">
        <v>9222</v>
      </c>
    </row>
    <row r="9624" spans="1:1" x14ac:dyDescent="0.25">
      <c r="A9624" t="s">
        <v>9223</v>
      </c>
    </row>
    <row r="9625" spans="1:1" x14ac:dyDescent="0.25">
      <c r="A9625" t="s">
        <v>9224</v>
      </c>
    </row>
    <row r="9626" spans="1:1" x14ac:dyDescent="0.25">
      <c r="A9626" t="s">
        <v>9225</v>
      </c>
    </row>
    <row r="9628" spans="1:1" x14ac:dyDescent="0.25">
      <c r="A9628" t="s">
        <v>9226</v>
      </c>
    </row>
    <row r="9629" spans="1:1" x14ac:dyDescent="0.25">
      <c r="A9629" t="s">
        <v>9227</v>
      </c>
    </row>
    <row r="9630" spans="1:1" x14ac:dyDescent="0.25">
      <c r="A9630" t="s">
        <v>9228</v>
      </c>
    </row>
    <row r="9631" spans="1:1" x14ac:dyDescent="0.25">
      <c r="A9631" t="s">
        <v>9229</v>
      </c>
    </row>
    <row r="9632" spans="1:1" x14ac:dyDescent="0.25">
      <c r="A9632" t="s">
        <v>9230</v>
      </c>
    </row>
    <row r="9633" spans="1:1" x14ac:dyDescent="0.25">
      <c r="A9633" t="s">
        <v>9231</v>
      </c>
    </row>
    <row r="9634" spans="1:1" x14ac:dyDescent="0.25">
      <c r="A9634" t="s">
        <v>9232</v>
      </c>
    </row>
    <row r="9635" spans="1:1" x14ac:dyDescent="0.25">
      <c r="A9635" t="s">
        <v>1462</v>
      </c>
    </row>
    <row r="9636" spans="1:1" x14ac:dyDescent="0.25">
      <c r="A9636" t="s">
        <v>1463</v>
      </c>
    </row>
    <row r="9637" spans="1:1" x14ac:dyDescent="0.25">
      <c r="A9637" t="s">
        <v>1464</v>
      </c>
    </row>
    <row r="9638" spans="1:1" x14ac:dyDescent="0.25">
      <c r="A9638" t="s">
        <v>1465</v>
      </c>
    </row>
    <row r="9639" spans="1:1" x14ac:dyDescent="0.25">
      <c r="A9639" t="s">
        <v>1466</v>
      </c>
    </row>
    <row r="9640" spans="1:1" x14ac:dyDescent="0.25">
      <c r="A9640" t="s">
        <v>1467</v>
      </c>
    </row>
    <row r="9643" spans="1:1" x14ac:dyDescent="0.25">
      <c r="A9643" t="s">
        <v>9233</v>
      </c>
    </row>
    <row r="9644" spans="1:1" x14ac:dyDescent="0.25">
      <c r="A9644" t="s">
        <v>9234</v>
      </c>
    </row>
    <row r="9645" spans="1:1" x14ac:dyDescent="0.25">
      <c r="A9645" t="s">
        <v>9235</v>
      </c>
    </row>
    <row r="9646" spans="1:1" x14ac:dyDescent="0.25">
      <c r="A9646" t="s">
        <v>9236</v>
      </c>
    </row>
    <row r="9647" spans="1:1" x14ac:dyDescent="0.25">
      <c r="A9647" t="s">
        <v>9237</v>
      </c>
    </row>
    <row r="9648" spans="1:1" x14ac:dyDescent="0.25">
      <c r="A9648" t="s">
        <v>9238</v>
      </c>
    </row>
    <row r="9649" spans="1:1" x14ac:dyDescent="0.25">
      <c r="A9649" t="s">
        <v>9239</v>
      </c>
    </row>
    <row r="9650" spans="1:1" x14ac:dyDescent="0.25">
      <c r="A9650" t="s">
        <v>9240</v>
      </c>
    </row>
    <row r="9651" spans="1:1" x14ac:dyDescent="0.25">
      <c r="A9651" t="s">
        <v>9241</v>
      </c>
    </row>
    <row r="9652" spans="1:1" x14ac:dyDescent="0.25">
      <c r="A9652" t="s">
        <v>9242</v>
      </c>
    </row>
    <row r="9653" spans="1:1" x14ac:dyDescent="0.25">
      <c r="A9653" t="s">
        <v>9243</v>
      </c>
    </row>
    <row r="9654" spans="1:1" x14ac:dyDescent="0.25">
      <c r="A9654" t="s">
        <v>9244</v>
      </c>
    </row>
    <row r="9655" spans="1:1" x14ac:dyDescent="0.25">
      <c r="A9655" t="s">
        <v>9245</v>
      </c>
    </row>
    <row r="9656" spans="1:1" x14ac:dyDescent="0.25">
      <c r="A9656" t="s">
        <v>9246</v>
      </c>
    </row>
    <row r="9657" spans="1:1" x14ac:dyDescent="0.25">
      <c r="A9657" t="s">
        <v>1515</v>
      </c>
    </row>
    <row r="9658" spans="1:1" x14ac:dyDescent="0.25">
      <c r="A9658" t="s">
        <v>9247</v>
      </c>
    </row>
    <row r="9660" spans="1:1" x14ac:dyDescent="0.25">
      <c r="A9660" t="s">
        <v>9248</v>
      </c>
    </row>
    <row r="9661" spans="1:1" x14ac:dyDescent="0.25">
      <c r="A9661" t="s">
        <v>9249</v>
      </c>
    </row>
    <row r="9662" spans="1:1" x14ac:dyDescent="0.25">
      <c r="A9662" t="s">
        <v>9250</v>
      </c>
    </row>
    <row r="9663" spans="1:1" x14ac:dyDescent="0.25">
      <c r="A9663" t="s">
        <v>9251</v>
      </c>
    </row>
    <row r="9664" spans="1:1" x14ac:dyDescent="0.25">
      <c r="A9664" t="s">
        <v>9252</v>
      </c>
    </row>
    <row r="9665" spans="1:1" x14ac:dyDescent="0.25">
      <c r="A9665" t="s">
        <v>9253</v>
      </c>
    </row>
    <row r="9666" spans="1:1" x14ac:dyDescent="0.25">
      <c r="A9666" t="s">
        <v>9254</v>
      </c>
    </row>
    <row r="9667" spans="1:1" x14ac:dyDescent="0.25">
      <c r="A9667" t="s">
        <v>9255</v>
      </c>
    </row>
    <row r="9668" spans="1:1" x14ac:dyDescent="0.25">
      <c r="A9668" t="s">
        <v>9256</v>
      </c>
    </row>
    <row r="9669" spans="1:1" x14ac:dyDescent="0.25">
      <c r="A9669" t="s">
        <v>9257</v>
      </c>
    </row>
    <row r="9671" spans="1:1" x14ac:dyDescent="0.25">
      <c r="A9671" t="s">
        <v>9258</v>
      </c>
    </row>
    <row r="9672" spans="1:1" x14ac:dyDescent="0.25">
      <c r="A9672" t="s">
        <v>9259</v>
      </c>
    </row>
    <row r="9673" spans="1:1" x14ac:dyDescent="0.25">
      <c r="A9673" t="s">
        <v>9260</v>
      </c>
    </row>
    <row r="9674" spans="1:1" x14ac:dyDescent="0.25">
      <c r="A9674" t="s">
        <v>9261</v>
      </c>
    </row>
    <row r="9675" spans="1:1" x14ac:dyDescent="0.25">
      <c r="A9675" t="s">
        <v>9262</v>
      </c>
    </row>
    <row r="9676" spans="1:1" x14ac:dyDescent="0.25">
      <c r="A9676" t="s">
        <v>9263</v>
      </c>
    </row>
    <row r="9677" spans="1:1" x14ac:dyDescent="0.25">
      <c r="A9677" t="s">
        <v>9264</v>
      </c>
    </row>
    <row r="9678" spans="1:1" x14ac:dyDescent="0.25">
      <c r="A9678" t="s">
        <v>9265</v>
      </c>
    </row>
    <row r="9679" spans="1:1" x14ac:dyDescent="0.25">
      <c r="A9679" t="s">
        <v>9266</v>
      </c>
    </row>
    <row r="9680" spans="1:1" x14ac:dyDescent="0.25">
      <c r="A9680" t="s">
        <v>9267</v>
      </c>
    </row>
    <row r="9681" spans="1:1" x14ac:dyDescent="0.25">
      <c r="A9681" t="s">
        <v>9268</v>
      </c>
    </row>
    <row r="9682" spans="1:1" x14ac:dyDescent="0.25">
      <c r="A9682" t="s">
        <v>9269</v>
      </c>
    </row>
    <row r="9683" spans="1:1" x14ac:dyDescent="0.25">
      <c r="A9683" t="s">
        <v>9270</v>
      </c>
    </row>
    <row r="9684" spans="1:1" x14ac:dyDescent="0.25">
      <c r="A9684" t="s">
        <v>9271</v>
      </c>
    </row>
    <row r="9685" spans="1:1" x14ac:dyDescent="0.25">
      <c r="A9685" t="s">
        <v>9272</v>
      </c>
    </row>
    <row r="9686" spans="1:1" x14ac:dyDescent="0.25">
      <c r="A9686" t="s">
        <v>9273</v>
      </c>
    </row>
    <row r="9687" spans="1:1" x14ac:dyDescent="0.25">
      <c r="A9687" t="s">
        <v>9274</v>
      </c>
    </row>
    <row r="9688" spans="1:1" x14ac:dyDescent="0.25">
      <c r="A9688" t="s">
        <v>9275</v>
      </c>
    </row>
    <row r="9690" spans="1:1" x14ac:dyDescent="0.25">
      <c r="A9690" t="s">
        <v>9276</v>
      </c>
    </row>
    <row r="9691" spans="1:1" x14ac:dyDescent="0.25">
      <c r="A9691" t="s">
        <v>9277</v>
      </c>
    </row>
    <row r="9692" spans="1:1" x14ac:dyDescent="0.25">
      <c r="A9692" t="s">
        <v>9278</v>
      </c>
    </row>
    <row r="9694" spans="1:1" x14ac:dyDescent="0.25">
      <c r="A9694" t="s">
        <v>9279</v>
      </c>
    </row>
    <row r="9695" spans="1:1" x14ac:dyDescent="0.25">
      <c r="A9695" t="s">
        <v>9280</v>
      </c>
    </row>
    <row r="9696" spans="1:1" x14ac:dyDescent="0.25">
      <c r="A9696" t="s">
        <v>9281</v>
      </c>
    </row>
    <row r="9697" spans="1:5" x14ac:dyDescent="0.25">
      <c r="A9697" t="s">
        <v>9282</v>
      </c>
    </row>
    <row r="9698" spans="1:5" x14ac:dyDescent="0.25">
      <c r="A9698" t="s">
        <v>1515</v>
      </c>
    </row>
    <row r="9699" spans="1:5" x14ac:dyDescent="0.25">
      <c r="A9699" t="s">
        <v>9283</v>
      </c>
    </row>
    <row r="9700" spans="1:5" x14ac:dyDescent="0.25">
      <c r="A9700" t="s">
        <v>1517</v>
      </c>
    </row>
    <row r="9702" spans="1:5" x14ac:dyDescent="0.25">
      <c r="A9702" t="s">
        <v>1519</v>
      </c>
    </row>
    <row r="9703" spans="1:5" x14ac:dyDescent="0.25">
      <c r="A9703" t="s">
        <v>9284</v>
      </c>
    </row>
    <row r="9704" spans="1:5" x14ac:dyDescent="0.25">
      <c r="A9704" t="s">
        <v>9285</v>
      </c>
    </row>
    <row r="9705" spans="1:5" x14ac:dyDescent="0.25">
      <c r="A9705" t="s">
        <v>2170</v>
      </c>
    </row>
    <row r="9706" spans="1:5" x14ac:dyDescent="0.25">
      <c r="A9706" t="s">
        <v>9286</v>
      </c>
    </row>
    <row r="9707" spans="1:5" x14ac:dyDescent="0.25">
      <c r="A9707" t="s">
        <v>8905</v>
      </c>
      <c r="B9707">
        <v>2315.84</v>
      </c>
      <c r="C9707" s="55">
        <v>43799</v>
      </c>
      <c r="D9707">
        <v>5</v>
      </c>
    </row>
    <row r="9708" spans="1:5" x14ac:dyDescent="0.25">
      <c r="A9708" t="s">
        <v>7569</v>
      </c>
      <c r="B9708">
        <v>1403.48</v>
      </c>
      <c r="C9708" s="55">
        <v>43799</v>
      </c>
      <c r="D9708">
        <v>5</v>
      </c>
      <c r="E9708">
        <v>973</v>
      </c>
    </row>
    <row r="9709" spans="1:5" x14ac:dyDescent="0.25">
      <c r="A9709" t="s">
        <v>9287</v>
      </c>
      <c r="B9709">
        <v>3674.48</v>
      </c>
      <c r="C9709" s="55">
        <v>43830</v>
      </c>
      <c r="D9709">
        <v>5</v>
      </c>
    </row>
    <row r="9710" spans="1:5" x14ac:dyDescent="0.25">
      <c r="A9710" t="s">
        <v>9288</v>
      </c>
    </row>
    <row r="9711" spans="1:5" x14ac:dyDescent="0.25">
      <c r="A9711" t="s">
        <v>9173</v>
      </c>
    </row>
    <row r="9712" spans="1:5" x14ac:dyDescent="0.25">
      <c r="A9712" t="s">
        <v>9174</v>
      </c>
    </row>
    <row r="9713" spans="1:1" x14ac:dyDescent="0.25">
      <c r="A9713" t="s">
        <v>9175</v>
      </c>
    </row>
    <row r="9714" spans="1:1" x14ac:dyDescent="0.25">
      <c r="A9714" t="s">
        <v>9176</v>
      </c>
    </row>
    <row r="9716" spans="1:1" x14ac:dyDescent="0.25">
      <c r="A9716" t="s">
        <v>9289</v>
      </c>
    </row>
    <row r="9717" spans="1:1" x14ac:dyDescent="0.25">
      <c r="A9717" t="s">
        <v>9173</v>
      </c>
    </row>
    <row r="9718" spans="1:1" x14ac:dyDescent="0.25">
      <c r="A9718" t="s">
        <v>9290</v>
      </c>
    </row>
    <row r="9719" spans="1:1" x14ac:dyDescent="0.25">
      <c r="A9719" t="s">
        <v>9291</v>
      </c>
    </row>
    <row r="9720" spans="1:1" x14ac:dyDescent="0.25">
      <c r="A9720" t="s">
        <v>9292</v>
      </c>
    </row>
    <row r="9721" spans="1:1" x14ac:dyDescent="0.25">
      <c r="A9721" t="s">
        <v>9293</v>
      </c>
    </row>
    <row r="9722" spans="1:1" x14ac:dyDescent="0.25">
      <c r="A9722" t="s">
        <v>9294</v>
      </c>
    </row>
    <row r="9723" spans="1:1" x14ac:dyDescent="0.25">
      <c r="A9723" t="s">
        <v>9295</v>
      </c>
    </row>
    <row r="9724" spans="1:1" x14ac:dyDescent="0.25">
      <c r="A9724" t="s">
        <v>2411</v>
      </c>
    </row>
    <row r="9725" spans="1:1" x14ac:dyDescent="0.25">
      <c r="A9725" t="s">
        <v>9296</v>
      </c>
    </row>
    <row r="9726" spans="1:1" x14ac:dyDescent="0.25">
      <c r="A9726" t="s">
        <v>9297</v>
      </c>
    </row>
    <row r="9727" spans="1:1" x14ac:dyDescent="0.25">
      <c r="A9727" t="s">
        <v>9298</v>
      </c>
    </row>
    <row r="9728" spans="1:1" x14ac:dyDescent="0.25">
      <c r="A9728" t="s">
        <v>9299</v>
      </c>
    </row>
    <row r="9730" spans="1:1" x14ac:dyDescent="0.25">
      <c r="A9730" t="s">
        <v>9300</v>
      </c>
    </row>
    <row r="9732" spans="1:1" x14ac:dyDescent="0.25">
      <c r="A9732" t="s">
        <v>9301</v>
      </c>
    </row>
    <row r="9733" spans="1:1" x14ac:dyDescent="0.25">
      <c r="A9733" t="s">
        <v>9302</v>
      </c>
    </row>
    <row r="9735" spans="1:1" x14ac:dyDescent="0.25">
      <c r="A9735" t="s">
        <v>9303</v>
      </c>
    </row>
    <row r="9737" spans="1:1" x14ac:dyDescent="0.25">
      <c r="A9737" t="s">
        <v>9304</v>
      </c>
    </row>
    <row r="9740" spans="1:1" x14ac:dyDescent="0.25">
      <c r="A9740" t="s">
        <v>9305</v>
      </c>
    </row>
    <row r="9741" spans="1:1" x14ac:dyDescent="0.25">
      <c r="A9741" t="s">
        <v>9306</v>
      </c>
    </row>
    <row r="9742" spans="1:1" x14ac:dyDescent="0.25">
      <c r="A9742" t="s">
        <v>9307</v>
      </c>
    </row>
    <row r="9743" spans="1:1" x14ac:dyDescent="0.25">
      <c r="A9743" t="s">
        <v>9308</v>
      </c>
    </row>
    <row r="9744" spans="1:1" x14ac:dyDescent="0.25">
      <c r="A9744" t="s">
        <v>9309</v>
      </c>
    </row>
    <row r="9745" spans="1:1" x14ac:dyDescent="0.25">
      <c r="A9745" t="s">
        <v>9305</v>
      </c>
    </row>
    <row r="9746" spans="1:1" x14ac:dyDescent="0.25">
      <c r="A9746" t="s">
        <v>9310</v>
      </c>
    </row>
    <row r="9747" spans="1:1" x14ac:dyDescent="0.25">
      <c r="A9747" t="s">
        <v>9311</v>
      </c>
    </row>
    <row r="9748" spans="1:1" x14ac:dyDescent="0.25">
      <c r="A9748" t="s">
        <v>9312</v>
      </c>
    </row>
    <row r="9749" spans="1:1" x14ac:dyDescent="0.25">
      <c r="A9749" t="s">
        <v>9313</v>
      </c>
    </row>
    <row r="9750" spans="1:1" x14ac:dyDescent="0.25">
      <c r="A9750" t="s">
        <v>9314</v>
      </c>
    </row>
    <row r="9751" spans="1:1" x14ac:dyDescent="0.25">
      <c r="A9751" t="s">
        <v>9315</v>
      </c>
    </row>
    <row r="9753" spans="1:1" x14ac:dyDescent="0.25">
      <c r="A9753" t="s">
        <v>9316</v>
      </c>
    </row>
    <row r="9754" spans="1:1" x14ac:dyDescent="0.25">
      <c r="A9754" t="s">
        <v>9317</v>
      </c>
    </row>
    <row r="9755" spans="1:1" x14ac:dyDescent="0.25">
      <c r="A9755" t="s">
        <v>9318</v>
      </c>
    </row>
    <row r="9756" spans="1:1" x14ac:dyDescent="0.25">
      <c r="A9756" t="s">
        <v>9319</v>
      </c>
    </row>
    <row r="9757" spans="1:1" x14ac:dyDescent="0.25">
      <c r="A9757" t="s">
        <v>9320</v>
      </c>
    </row>
    <row r="9758" spans="1:1" x14ac:dyDescent="0.25">
      <c r="A9758" t="s">
        <v>9321</v>
      </c>
    </row>
    <row r="9759" spans="1:1" x14ac:dyDescent="0.25">
      <c r="A9759" t="s">
        <v>9322</v>
      </c>
    </row>
    <row r="9760" spans="1:1" x14ac:dyDescent="0.25">
      <c r="A9760" t="s">
        <v>9323</v>
      </c>
    </row>
    <row r="9761" spans="1:1" x14ac:dyDescent="0.25">
      <c r="A9761" t="s">
        <v>9324</v>
      </c>
    </row>
    <row r="9762" spans="1:1" x14ac:dyDescent="0.25">
      <c r="A9762" t="s">
        <v>9325</v>
      </c>
    </row>
    <row r="9763" spans="1:1" x14ac:dyDescent="0.25">
      <c r="A9763" t="s">
        <v>4955</v>
      </c>
    </row>
    <row r="9764" spans="1:1" x14ac:dyDescent="0.25">
      <c r="A9764" t="s">
        <v>1575</v>
      </c>
    </row>
    <row r="9765" spans="1:1" x14ac:dyDescent="0.25">
      <c r="A9765" t="s">
        <v>9326</v>
      </c>
    </row>
    <row r="9766" spans="1:1" x14ac:dyDescent="0.25">
      <c r="A9766" t="s">
        <v>9327</v>
      </c>
    </row>
    <row r="9767" spans="1:1" x14ac:dyDescent="0.25">
      <c r="A9767" t="s">
        <v>9328</v>
      </c>
    </row>
    <row r="9768" spans="1:1" x14ac:dyDescent="0.25">
      <c r="A9768" t="s">
        <v>9329</v>
      </c>
    </row>
    <row r="9769" spans="1:1" x14ac:dyDescent="0.25">
      <c r="A9769" t="s">
        <v>9330</v>
      </c>
    </row>
    <row r="9770" spans="1:1" x14ac:dyDescent="0.25">
      <c r="A9770" t="s">
        <v>9331</v>
      </c>
    </row>
    <row r="9771" spans="1:1" x14ac:dyDescent="0.25">
      <c r="A9771" t="s">
        <v>9332</v>
      </c>
    </row>
    <row r="9772" spans="1:1" x14ac:dyDescent="0.25">
      <c r="A9772" t="s">
        <v>9333</v>
      </c>
    </row>
    <row r="9773" spans="1:1" x14ac:dyDescent="0.25">
      <c r="A9773" t="s">
        <v>9334</v>
      </c>
    </row>
    <row r="9774" spans="1:1" x14ac:dyDescent="0.25">
      <c r="A9774" t="s">
        <v>9335</v>
      </c>
    </row>
    <row r="9775" spans="1:1" x14ac:dyDescent="0.25">
      <c r="A9775" t="s">
        <v>9336</v>
      </c>
    </row>
    <row r="9776" spans="1:1" x14ac:dyDescent="0.25">
      <c r="A9776" t="s">
        <v>9337</v>
      </c>
    </row>
    <row r="9777" spans="1:1" x14ac:dyDescent="0.25">
      <c r="A9777" t="s">
        <v>9334</v>
      </c>
    </row>
    <row r="9778" spans="1:1" x14ac:dyDescent="0.25">
      <c r="A9778" t="s">
        <v>9338</v>
      </c>
    </row>
    <row r="9779" spans="1:1" x14ac:dyDescent="0.25">
      <c r="A9779" t="s">
        <v>9339</v>
      </c>
    </row>
    <row r="9780" spans="1:1" x14ac:dyDescent="0.25">
      <c r="A9780" t="s">
        <v>9340</v>
      </c>
    </row>
    <row r="9781" spans="1:1" x14ac:dyDescent="0.25">
      <c r="A9781" t="s">
        <v>9341</v>
      </c>
    </row>
    <row r="9782" spans="1:1" x14ac:dyDescent="0.25">
      <c r="A9782" t="s">
        <v>9342</v>
      </c>
    </row>
    <row r="9783" spans="1:1" x14ac:dyDescent="0.25">
      <c r="A9783" t="s">
        <v>9343</v>
      </c>
    </row>
    <row r="9784" spans="1:1" x14ac:dyDescent="0.25">
      <c r="A9784" t="s">
        <v>2099</v>
      </c>
    </row>
    <row r="9785" spans="1:1" x14ac:dyDescent="0.25">
      <c r="A9785" t="s">
        <v>9344</v>
      </c>
    </row>
    <row r="9787" spans="1:1" x14ac:dyDescent="0.25">
      <c r="A9787" t="s">
        <v>9342</v>
      </c>
    </row>
    <row r="9788" spans="1:1" x14ac:dyDescent="0.25">
      <c r="A9788" t="s">
        <v>9345</v>
      </c>
    </row>
    <row r="9789" spans="1:1" x14ac:dyDescent="0.25">
      <c r="A9789" t="s">
        <v>9346</v>
      </c>
    </row>
    <row r="9790" spans="1:1" x14ac:dyDescent="0.25">
      <c r="A9790" t="s">
        <v>9347</v>
      </c>
    </row>
    <row r="9791" spans="1:1" x14ac:dyDescent="0.25">
      <c r="A9791" t="s">
        <v>9348</v>
      </c>
    </row>
    <row r="9792" spans="1:1" x14ac:dyDescent="0.25">
      <c r="A9792" t="s">
        <v>9349</v>
      </c>
    </row>
    <row r="9793" spans="1:3" x14ac:dyDescent="0.25">
      <c r="A9793" t="s">
        <v>9350</v>
      </c>
    </row>
    <row r="9794" spans="1:3" x14ac:dyDescent="0.25">
      <c r="A9794" t="s">
        <v>9351</v>
      </c>
    </row>
    <row r="9795" spans="1:3" x14ac:dyDescent="0.25">
      <c r="A9795" t="s">
        <v>9352</v>
      </c>
      <c r="B9795" t="s">
        <v>9353</v>
      </c>
    </row>
    <row r="9796" spans="1:3" x14ac:dyDescent="0.25">
      <c r="A9796" t="s">
        <v>9354</v>
      </c>
    </row>
    <row r="9797" spans="1:3" x14ac:dyDescent="0.25">
      <c r="A9797" t="s">
        <v>9355</v>
      </c>
    </row>
    <row r="9798" spans="1:3" x14ac:dyDescent="0.25">
      <c r="A9798" t="s">
        <v>9356</v>
      </c>
    </row>
    <row r="9799" spans="1:3" x14ac:dyDescent="0.25">
      <c r="A9799" t="s">
        <v>9357</v>
      </c>
    </row>
    <row r="9800" spans="1:3" x14ac:dyDescent="0.25">
      <c r="A9800" t="s">
        <v>9358</v>
      </c>
    </row>
    <row r="9801" spans="1:3" x14ac:dyDescent="0.25">
      <c r="A9801" t="s">
        <v>9359</v>
      </c>
    </row>
    <row r="9802" spans="1:3" x14ac:dyDescent="0.25">
      <c r="A9802" t="s">
        <v>9360</v>
      </c>
      <c r="B9802" t="s">
        <v>4357</v>
      </c>
      <c r="C9802" t="s">
        <v>9361</v>
      </c>
    </row>
    <row r="9804" spans="1:3" x14ac:dyDescent="0.25">
      <c r="A9804" t="s">
        <v>9362</v>
      </c>
    </row>
    <row r="9805" spans="1:3" x14ac:dyDescent="0.25">
      <c r="A9805" t="s">
        <v>9363</v>
      </c>
    </row>
    <row r="9806" spans="1:3" x14ac:dyDescent="0.25">
      <c r="A9806" t="s">
        <v>9364</v>
      </c>
    </row>
    <row r="9807" spans="1:3" x14ac:dyDescent="0.25">
      <c r="A9807" t="s">
        <v>2834</v>
      </c>
    </row>
    <row r="9808" spans="1:3" x14ac:dyDescent="0.25">
      <c r="A9808" t="s">
        <v>9365</v>
      </c>
    </row>
    <row r="9809" spans="1:1" x14ac:dyDescent="0.25">
      <c r="A9809" t="s">
        <v>9366</v>
      </c>
    </row>
    <row r="9810" spans="1:1" x14ac:dyDescent="0.25">
      <c r="A9810" t="s">
        <v>9367</v>
      </c>
    </row>
    <row r="9811" spans="1:1" x14ac:dyDescent="0.25">
      <c r="A9811" t="s">
        <v>9368</v>
      </c>
    </row>
    <row r="9812" spans="1:1" x14ac:dyDescent="0.25">
      <c r="A9812" t="s">
        <v>9369</v>
      </c>
    </row>
    <row r="9813" spans="1:1" x14ac:dyDescent="0.25">
      <c r="A9813" t="s">
        <v>9370</v>
      </c>
    </row>
    <row r="9814" spans="1:1" x14ac:dyDescent="0.25">
      <c r="A9814" t="s">
        <v>9371</v>
      </c>
    </row>
    <row r="9816" spans="1:1" x14ac:dyDescent="0.25">
      <c r="A9816" t="s">
        <v>9372</v>
      </c>
    </row>
    <row r="9817" spans="1:1" x14ac:dyDescent="0.25">
      <c r="A9817" t="s">
        <v>9373</v>
      </c>
    </row>
    <row r="9818" spans="1:1" x14ac:dyDescent="0.25">
      <c r="A9818" t="s">
        <v>9374</v>
      </c>
    </row>
    <row r="9819" spans="1:1" x14ac:dyDescent="0.25">
      <c r="A9819" t="s">
        <v>9375</v>
      </c>
    </row>
    <row r="9820" spans="1:1" x14ac:dyDescent="0.25">
      <c r="A9820" t="s">
        <v>9376</v>
      </c>
    </row>
    <row r="9821" spans="1:1" x14ac:dyDescent="0.25">
      <c r="A9821" t="s">
        <v>9377</v>
      </c>
    </row>
    <row r="9822" spans="1:1" x14ac:dyDescent="0.25">
      <c r="A9822" t="s">
        <v>9378</v>
      </c>
    </row>
    <row r="9823" spans="1:1" x14ac:dyDescent="0.25">
      <c r="A9823" t="s">
        <v>9375</v>
      </c>
    </row>
    <row r="9824" spans="1:1" x14ac:dyDescent="0.25">
      <c r="A9824" t="s">
        <v>9379</v>
      </c>
    </row>
    <row r="9825" spans="1:1" x14ac:dyDescent="0.25">
      <c r="A9825" t="s">
        <v>9380</v>
      </c>
    </row>
    <row r="9826" spans="1:1" x14ac:dyDescent="0.25">
      <c r="A9826" t="s">
        <v>9381</v>
      </c>
    </row>
    <row r="9827" spans="1:1" x14ac:dyDescent="0.25">
      <c r="A9827" t="s">
        <v>9382</v>
      </c>
    </row>
    <row r="9828" spans="1:1" x14ac:dyDescent="0.25">
      <c r="A9828" t="s">
        <v>9383</v>
      </c>
    </row>
    <row r="9829" spans="1:1" x14ac:dyDescent="0.25">
      <c r="A9829" t="s">
        <v>9375</v>
      </c>
    </row>
    <row r="9830" spans="1:1" x14ac:dyDescent="0.25">
      <c r="A9830" t="s">
        <v>9384</v>
      </c>
    </row>
    <row r="9831" spans="1:1" x14ac:dyDescent="0.25">
      <c r="A9831" t="s">
        <v>9385</v>
      </c>
    </row>
    <row r="9832" spans="1:1" x14ac:dyDescent="0.25">
      <c r="A9832" t="s">
        <v>9386</v>
      </c>
    </row>
    <row r="9834" spans="1:1" x14ac:dyDescent="0.25">
      <c r="A9834" t="s">
        <v>9387</v>
      </c>
    </row>
    <row r="9835" spans="1:1" x14ac:dyDescent="0.25">
      <c r="A9835" t="s">
        <v>4837</v>
      </c>
    </row>
    <row r="9836" spans="1:1" x14ac:dyDescent="0.25">
      <c r="A9836" t="s">
        <v>9388</v>
      </c>
    </row>
    <row r="9837" spans="1:1" x14ac:dyDescent="0.25">
      <c r="A9837" t="s">
        <v>9389</v>
      </c>
    </row>
    <row r="9838" spans="1:1" x14ac:dyDescent="0.25">
      <c r="A9838" t="s">
        <v>9390</v>
      </c>
    </row>
    <row r="9839" spans="1:1" x14ac:dyDescent="0.25">
      <c r="A9839" t="s">
        <v>9391</v>
      </c>
    </row>
    <row r="9840" spans="1:1" x14ac:dyDescent="0.25">
      <c r="A9840" t="s">
        <v>9392</v>
      </c>
    </row>
    <row r="9841" spans="1:1" x14ac:dyDescent="0.25">
      <c r="A9841" t="s">
        <v>9393</v>
      </c>
    </row>
    <row r="9842" spans="1:1" x14ac:dyDescent="0.25">
      <c r="A9842" t="s">
        <v>9394</v>
      </c>
    </row>
    <row r="9843" spans="1:1" x14ac:dyDescent="0.25">
      <c r="A9843" t="s">
        <v>9395</v>
      </c>
    </row>
    <row r="9844" spans="1:1" x14ac:dyDescent="0.25">
      <c r="A9844" t="s">
        <v>9396</v>
      </c>
    </row>
    <row r="9845" spans="1:1" x14ac:dyDescent="0.25">
      <c r="A9845" t="s">
        <v>9397</v>
      </c>
    </row>
    <row r="9846" spans="1:1" x14ac:dyDescent="0.25">
      <c r="A9846" t="s">
        <v>9398</v>
      </c>
    </row>
    <row r="9847" spans="1:1" x14ac:dyDescent="0.25">
      <c r="A9847" t="s">
        <v>9391</v>
      </c>
    </row>
    <row r="9848" spans="1:1" x14ac:dyDescent="0.25">
      <c r="A9848" t="s">
        <v>9399</v>
      </c>
    </row>
    <row r="9849" spans="1:1" x14ac:dyDescent="0.25">
      <c r="A9849" t="s">
        <v>9400</v>
      </c>
    </row>
    <row r="9850" spans="1:1" x14ac:dyDescent="0.25">
      <c r="A9850" t="s">
        <v>9401</v>
      </c>
    </row>
    <row r="9851" spans="1:1" x14ac:dyDescent="0.25">
      <c r="A9851" t="s">
        <v>9391</v>
      </c>
    </row>
    <row r="9852" spans="1:1" x14ac:dyDescent="0.25">
      <c r="A9852" t="s">
        <v>9402</v>
      </c>
    </row>
    <row r="9853" spans="1:1" x14ac:dyDescent="0.25">
      <c r="A9853" t="s">
        <v>9403</v>
      </c>
    </row>
    <row r="9854" spans="1:1" x14ac:dyDescent="0.25">
      <c r="A9854" t="s">
        <v>9395</v>
      </c>
    </row>
    <row r="9855" spans="1:1" x14ac:dyDescent="0.25">
      <c r="A9855" t="s">
        <v>9404</v>
      </c>
    </row>
    <row r="9856" spans="1:1" x14ac:dyDescent="0.25">
      <c r="A9856" t="s">
        <v>9405</v>
      </c>
    </row>
    <row r="9857" spans="1:1" x14ac:dyDescent="0.25">
      <c r="A9857" t="s">
        <v>9406</v>
      </c>
    </row>
    <row r="9858" spans="1:1" x14ac:dyDescent="0.25">
      <c r="A9858" t="s">
        <v>9407</v>
      </c>
    </row>
    <row r="9859" spans="1:1" x14ac:dyDescent="0.25">
      <c r="A9859" t="s">
        <v>9395</v>
      </c>
    </row>
    <row r="9860" spans="1:1" x14ac:dyDescent="0.25">
      <c r="A9860" t="s">
        <v>9408</v>
      </c>
    </row>
    <row r="9861" spans="1:1" x14ac:dyDescent="0.25">
      <c r="A9861" t="s">
        <v>9409</v>
      </c>
    </row>
    <row r="9862" spans="1:1" x14ac:dyDescent="0.25">
      <c r="A9862" t="s">
        <v>9391</v>
      </c>
    </row>
    <row r="9863" spans="1:1" x14ac:dyDescent="0.25">
      <c r="A9863" t="s">
        <v>9410</v>
      </c>
    </row>
    <row r="9864" spans="1:1" x14ac:dyDescent="0.25">
      <c r="A9864" t="s">
        <v>9411</v>
      </c>
    </row>
    <row r="9865" spans="1:1" x14ac:dyDescent="0.25">
      <c r="A9865" t="s">
        <v>9412</v>
      </c>
    </row>
    <row r="9866" spans="1:1" x14ac:dyDescent="0.25">
      <c r="A9866" t="s">
        <v>9391</v>
      </c>
    </row>
    <row r="9867" spans="1:1" x14ac:dyDescent="0.25">
      <c r="A9867" t="s">
        <v>9413</v>
      </c>
    </row>
    <row r="9868" spans="1:1" x14ac:dyDescent="0.25">
      <c r="A9868" t="s">
        <v>9414</v>
      </c>
    </row>
    <row r="9869" spans="1:1" x14ac:dyDescent="0.25">
      <c r="A9869" t="s">
        <v>9415</v>
      </c>
    </row>
    <row r="9870" spans="1:1" x14ac:dyDescent="0.25">
      <c r="A9870" t="s">
        <v>9391</v>
      </c>
    </row>
    <row r="9871" spans="1:1" x14ac:dyDescent="0.25">
      <c r="A9871" t="s">
        <v>9416</v>
      </c>
    </row>
    <row r="9872" spans="1:1" x14ac:dyDescent="0.25">
      <c r="A9872" t="s">
        <v>9417</v>
      </c>
    </row>
    <row r="9873" spans="1:1" x14ac:dyDescent="0.25">
      <c r="A9873" t="s">
        <v>9418</v>
      </c>
    </row>
    <row r="9874" spans="1:1" x14ac:dyDescent="0.25">
      <c r="A9874" t="s">
        <v>9391</v>
      </c>
    </row>
    <row r="9875" spans="1:1" x14ac:dyDescent="0.25">
      <c r="A9875" t="s">
        <v>9419</v>
      </c>
    </row>
    <row r="9876" spans="1:1" x14ac:dyDescent="0.25">
      <c r="A9876" t="s">
        <v>9420</v>
      </c>
    </row>
    <row r="9877" spans="1:1" x14ac:dyDescent="0.25">
      <c r="A9877" t="s">
        <v>2436</v>
      </c>
    </row>
    <row r="9879" spans="1:1" x14ac:dyDescent="0.25">
      <c r="A9879" t="s">
        <v>3169</v>
      </c>
    </row>
    <row r="9880" spans="1:1" x14ac:dyDescent="0.25">
      <c r="A9880" t="s">
        <v>9421</v>
      </c>
    </row>
    <row r="9881" spans="1:1" x14ac:dyDescent="0.25">
      <c r="A9881" t="s">
        <v>2613</v>
      </c>
    </row>
    <row r="9883" spans="1:1" x14ac:dyDescent="0.25">
      <c r="A9883" t="s">
        <v>9422</v>
      </c>
    </row>
    <row r="9884" spans="1:1" x14ac:dyDescent="0.25">
      <c r="A9884" t="s">
        <v>1517</v>
      </c>
    </row>
    <row r="9885" spans="1:1" x14ac:dyDescent="0.25">
      <c r="A9885" t="s">
        <v>9423</v>
      </c>
    </row>
    <row r="9887" spans="1:1" x14ac:dyDescent="0.25">
      <c r="A9887" t="s">
        <v>1519</v>
      </c>
    </row>
    <row r="9888" spans="1:1" x14ac:dyDescent="0.25">
      <c r="A9888" t="s">
        <v>9424</v>
      </c>
    </row>
    <row r="9889" spans="1:4" x14ac:dyDescent="0.25">
      <c r="A9889" t="s">
        <v>8902</v>
      </c>
    </row>
    <row r="9890" spans="1:4" x14ac:dyDescent="0.25">
      <c r="A9890" t="s">
        <v>2170</v>
      </c>
    </row>
    <row r="9891" spans="1:4" x14ac:dyDescent="0.25">
      <c r="A9891" t="s">
        <v>1523</v>
      </c>
    </row>
    <row r="9892" spans="1:4" x14ac:dyDescent="0.25">
      <c r="A9892" t="s">
        <v>2171</v>
      </c>
      <c r="B9892">
        <v>2287</v>
      </c>
      <c r="C9892" s="55">
        <v>43799</v>
      </c>
      <c r="D9892">
        <v>5</v>
      </c>
    </row>
    <row r="9893" spans="1:4" x14ac:dyDescent="0.25">
      <c r="A9893" t="s">
        <v>2436</v>
      </c>
    </row>
    <row r="9894" spans="1:4" x14ac:dyDescent="0.25">
      <c r="A9894" t="s">
        <v>9425</v>
      </c>
    </row>
    <row r="9895" spans="1:4" x14ac:dyDescent="0.25">
      <c r="A9895" t="s">
        <v>9426</v>
      </c>
    </row>
    <row r="9896" spans="1:4" x14ac:dyDescent="0.25">
      <c r="A9896" t="s">
        <v>9427</v>
      </c>
    </row>
    <row r="9897" spans="1:4" x14ac:dyDescent="0.25">
      <c r="A9897" t="s">
        <v>9428</v>
      </c>
    </row>
    <row r="9898" spans="1:4" x14ac:dyDescent="0.25">
      <c r="A9898" t="s">
        <v>9429</v>
      </c>
    </row>
    <row r="9899" spans="1:4" x14ac:dyDescent="0.25">
      <c r="A9899" t="s">
        <v>9430</v>
      </c>
    </row>
    <row r="9901" spans="1:4" x14ac:dyDescent="0.25">
      <c r="A9901" t="s">
        <v>2436</v>
      </c>
    </row>
    <row r="9902" spans="1:4" x14ac:dyDescent="0.25">
      <c r="A9902" t="s">
        <v>9431</v>
      </c>
    </row>
    <row r="9903" spans="1:4" x14ac:dyDescent="0.25">
      <c r="A9903" t="s">
        <v>9432</v>
      </c>
    </row>
    <row r="9904" spans="1:4" x14ac:dyDescent="0.25">
      <c r="A9904" t="s">
        <v>9433</v>
      </c>
    </row>
    <row r="9905" spans="1:1" x14ac:dyDescent="0.25">
      <c r="A9905" t="s">
        <v>9434</v>
      </c>
    </row>
    <row r="9906" spans="1:1" x14ac:dyDescent="0.25">
      <c r="A9906" t="s">
        <v>9435</v>
      </c>
    </row>
    <row r="9907" spans="1:1" x14ac:dyDescent="0.25">
      <c r="A9907" t="s">
        <v>9436</v>
      </c>
    </row>
    <row r="9908" spans="1:1" x14ac:dyDescent="0.25">
      <c r="A9908" t="s">
        <v>9437</v>
      </c>
    </row>
    <row r="9909" spans="1:1" x14ac:dyDescent="0.25">
      <c r="A9909" t="s">
        <v>9349</v>
      </c>
    </row>
    <row r="9910" spans="1:1" x14ac:dyDescent="0.25">
      <c r="A9910" t="s">
        <v>9438</v>
      </c>
    </row>
    <row r="9911" spans="1:1" x14ac:dyDescent="0.25">
      <c r="A9911" t="s">
        <v>9439</v>
      </c>
    </row>
    <row r="9912" spans="1:1" x14ac:dyDescent="0.25">
      <c r="A9912" t="s">
        <v>9440</v>
      </c>
    </row>
    <row r="9913" spans="1:1" x14ac:dyDescent="0.25">
      <c r="A9913" t="s">
        <v>9441</v>
      </c>
    </row>
    <row r="9914" spans="1:1" x14ac:dyDescent="0.25">
      <c r="A9914" t="s">
        <v>9442</v>
      </c>
    </row>
    <row r="9915" spans="1:1" x14ac:dyDescent="0.25">
      <c r="A9915" t="s">
        <v>9443</v>
      </c>
    </row>
    <row r="9916" spans="1:1" x14ac:dyDescent="0.25">
      <c r="A9916" t="s">
        <v>9444</v>
      </c>
    </row>
    <row r="9917" spans="1:1" x14ac:dyDescent="0.25">
      <c r="A9917" t="s">
        <v>9445</v>
      </c>
    </row>
    <row r="9919" spans="1:1" x14ac:dyDescent="0.25">
      <c r="A9919" t="s">
        <v>9446</v>
      </c>
    </row>
    <row r="9920" spans="1:1" x14ac:dyDescent="0.25">
      <c r="A9920" t="s">
        <v>9447</v>
      </c>
    </row>
    <row r="9921" spans="1:1" x14ac:dyDescent="0.25">
      <c r="A9921" t="s">
        <v>9448</v>
      </c>
    </row>
    <row r="9922" spans="1:1" x14ac:dyDescent="0.25">
      <c r="A9922" t="s">
        <v>9449</v>
      </c>
    </row>
    <row r="9923" spans="1:1" x14ac:dyDescent="0.25">
      <c r="A9923" t="s">
        <v>9450</v>
      </c>
    </row>
    <row r="9924" spans="1:1" x14ac:dyDescent="0.25">
      <c r="A9924" t="s">
        <v>9451</v>
      </c>
    </row>
    <row r="9925" spans="1:1" x14ac:dyDescent="0.25">
      <c r="A9925" t="s">
        <v>9452</v>
      </c>
    </row>
    <row r="9926" spans="1:1" x14ac:dyDescent="0.25">
      <c r="A9926" t="s">
        <v>9453</v>
      </c>
    </row>
    <row r="9927" spans="1:1" x14ac:dyDescent="0.25">
      <c r="A9927" t="s">
        <v>9447</v>
      </c>
    </row>
    <row r="9928" spans="1:1" x14ac:dyDescent="0.25">
      <c r="A9928" t="s">
        <v>9454</v>
      </c>
    </row>
    <row r="9929" spans="1:1" x14ac:dyDescent="0.25">
      <c r="A9929" t="s">
        <v>9455</v>
      </c>
    </row>
    <row r="9930" spans="1:1" x14ac:dyDescent="0.25">
      <c r="A9930" t="s">
        <v>9456</v>
      </c>
    </row>
    <row r="9931" spans="1:1" x14ac:dyDescent="0.25">
      <c r="A9931" t="s">
        <v>9457</v>
      </c>
    </row>
    <row r="9932" spans="1:1" x14ac:dyDescent="0.25">
      <c r="A9932" t="s">
        <v>9458</v>
      </c>
    </row>
    <row r="9933" spans="1:1" x14ac:dyDescent="0.25">
      <c r="A9933" t="s">
        <v>9459</v>
      </c>
    </row>
    <row r="9934" spans="1:1" x14ac:dyDescent="0.25">
      <c r="A9934" t="s">
        <v>9460</v>
      </c>
    </row>
    <row r="9935" spans="1:1" x14ac:dyDescent="0.25">
      <c r="A9935" t="s">
        <v>9461</v>
      </c>
    </row>
    <row r="9937" spans="1:7" x14ac:dyDescent="0.25">
      <c r="A9937" t="s">
        <v>9462</v>
      </c>
      <c r="B9937" t="s">
        <v>9463</v>
      </c>
      <c r="C9937" t="s">
        <v>9464</v>
      </c>
      <c r="D9937" t="s">
        <v>9465</v>
      </c>
      <c r="E9937">
        <v>201902</v>
      </c>
      <c r="F9937" t="s">
        <v>2014</v>
      </c>
      <c r="G9937">
        <v>3122</v>
      </c>
    </row>
    <row r="9938" spans="1:7" x14ac:dyDescent="0.25">
      <c r="A9938" t="s">
        <v>9466</v>
      </c>
    </row>
    <row r="9939" spans="1:7" x14ac:dyDescent="0.25">
      <c r="A9939" t="s">
        <v>9467</v>
      </c>
    </row>
    <row r="9940" spans="1:7" x14ac:dyDescent="0.25">
      <c r="A9940" t="s">
        <v>9468</v>
      </c>
    </row>
    <row r="9941" spans="1:7" x14ac:dyDescent="0.25">
      <c r="A9941" t="s">
        <v>9469</v>
      </c>
    </row>
    <row r="9942" spans="1:7" x14ac:dyDescent="0.25">
      <c r="A9942" t="s">
        <v>9470</v>
      </c>
      <c r="B9942" t="s">
        <v>9471</v>
      </c>
    </row>
    <row r="9943" spans="1:7" x14ac:dyDescent="0.25">
      <c r="A9943" t="s">
        <v>9472</v>
      </c>
    </row>
    <row r="9944" spans="1:7" x14ac:dyDescent="0.25">
      <c r="A9944" t="s">
        <v>9473</v>
      </c>
    </row>
    <row r="9945" spans="1:7" x14ac:dyDescent="0.25">
      <c r="A9945" t="s">
        <v>9474</v>
      </c>
    </row>
    <row r="9946" spans="1:7" x14ac:dyDescent="0.25">
      <c r="A9946" t="s">
        <v>9475</v>
      </c>
    </row>
    <row r="9947" spans="1:7" x14ac:dyDescent="0.25">
      <c r="A9947" t="s">
        <v>9476</v>
      </c>
    </row>
    <row r="9948" spans="1:7" x14ac:dyDescent="0.25">
      <c r="A9948" t="s">
        <v>9477</v>
      </c>
    </row>
    <row r="9949" spans="1:7" x14ac:dyDescent="0.25">
      <c r="A9949" t="s">
        <v>2610</v>
      </c>
    </row>
    <row r="9950" spans="1:7" x14ac:dyDescent="0.25">
      <c r="A9950" t="s">
        <v>9478</v>
      </c>
    </row>
    <row r="9951" spans="1:7" x14ac:dyDescent="0.25">
      <c r="A9951" t="s">
        <v>9479</v>
      </c>
    </row>
    <row r="9952" spans="1:7" x14ac:dyDescent="0.25">
      <c r="A9952" t="s">
        <v>9480</v>
      </c>
    </row>
    <row r="9953" spans="1:2" x14ac:dyDescent="0.25">
      <c r="A9953" t="s">
        <v>9481</v>
      </c>
    </row>
    <row r="9954" spans="1:2" x14ac:dyDescent="0.25">
      <c r="A9954" t="s">
        <v>9482</v>
      </c>
    </row>
    <row r="9955" spans="1:2" x14ac:dyDescent="0.25">
      <c r="A9955" t="s">
        <v>9483</v>
      </c>
    </row>
    <row r="9957" spans="1:2" x14ac:dyDescent="0.25">
      <c r="A9957" t="s">
        <v>9472</v>
      </c>
    </row>
    <row r="9958" spans="1:2" x14ac:dyDescent="0.25">
      <c r="A9958" t="s">
        <v>9484</v>
      </c>
    </row>
    <row r="9959" spans="1:2" x14ac:dyDescent="0.25">
      <c r="A9959" t="s">
        <v>9485</v>
      </c>
    </row>
    <row r="9960" spans="1:2" x14ac:dyDescent="0.25">
      <c r="A9960" t="s">
        <v>9486</v>
      </c>
    </row>
    <row r="9961" spans="1:2" x14ac:dyDescent="0.25">
      <c r="A9961" t="s">
        <v>9487</v>
      </c>
    </row>
    <row r="9963" spans="1:2" x14ac:dyDescent="0.25">
      <c r="A9963" t="s">
        <v>9488</v>
      </c>
      <c r="B9963" t="s">
        <v>9489</v>
      </c>
    </row>
    <row r="9964" spans="1:2" x14ac:dyDescent="0.25">
      <c r="A9964" t="s">
        <v>9490</v>
      </c>
    </row>
    <row r="9966" spans="1:2" x14ac:dyDescent="0.25">
      <c r="A9966" t="s">
        <v>9491</v>
      </c>
    </row>
    <row r="9967" spans="1:2" x14ac:dyDescent="0.25">
      <c r="A9967" t="s">
        <v>1245</v>
      </c>
    </row>
    <row r="9968" spans="1:2" x14ac:dyDescent="0.25">
      <c r="A9968" t="s">
        <v>9492</v>
      </c>
    </row>
    <row r="9969" spans="1:3" x14ac:dyDescent="0.25">
      <c r="A9969" t="s">
        <v>9493</v>
      </c>
    </row>
    <row r="9970" spans="1:3" x14ac:dyDescent="0.25">
      <c r="A9970" t="s">
        <v>1515</v>
      </c>
    </row>
    <row r="9971" spans="1:3" x14ac:dyDescent="0.25">
      <c r="A9971" t="s">
        <v>9494</v>
      </c>
    </row>
    <row r="9972" spans="1:3" x14ac:dyDescent="0.25">
      <c r="A9972" t="s">
        <v>1517</v>
      </c>
    </row>
    <row r="9973" spans="1:3" x14ac:dyDescent="0.25">
      <c r="A9973" t="s">
        <v>9495</v>
      </c>
    </row>
    <row r="9975" spans="1:3" x14ac:dyDescent="0.25">
      <c r="A9975" t="s">
        <v>1519</v>
      </c>
    </row>
    <row r="9976" spans="1:3" x14ac:dyDescent="0.25">
      <c r="A9976" t="s">
        <v>9496</v>
      </c>
    </row>
    <row r="9977" spans="1:3" x14ac:dyDescent="0.25">
      <c r="A9977" t="s">
        <v>2191</v>
      </c>
    </row>
    <row r="9978" spans="1:3" x14ac:dyDescent="0.25">
      <c r="A9978" t="s">
        <v>2170</v>
      </c>
    </row>
    <row r="9979" spans="1:3" x14ac:dyDescent="0.25">
      <c r="A9979" t="s">
        <v>1523</v>
      </c>
    </row>
    <row r="9981" spans="1:3" x14ac:dyDescent="0.25">
      <c r="A9981" t="s">
        <v>1505</v>
      </c>
      <c r="B9981" t="s">
        <v>1506</v>
      </c>
      <c r="C9981" t="s">
        <v>1507</v>
      </c>
    </row>
    <row r="9982" spans="1:3" x14ac:dyDescent="0.25">
      <c r="A9982" t="s">
        <v>1279</v>
      </c>
      <c r="B9982">
        <v>120.14</v>
      </c>
      <c r="C9982" s="55">
        <v>42373</v>
      </c>
    </row>
    <row r="9983" spans="1:3" x14ac:dyDescent="0.25">
      <c r="A9983" t="s">
        <v>9497</v>
      </c>
    </row>
    <row r="9984" spans="1:3" x14ac:dyDescent="0.25">
      <c r="A9984" t="s">
        <v>9498</v>
      </c>
    </row>
    <row r="9985" spans="1:1" x14ac:dyDescent="0.25">
      <c r="A9985" t="s">
        <v>9499</v>
      </c>
    </row>
    <row r="9986" spans="1:1" x14ac:dyDescent="0.25">
      <c r="A9986" t="s">
        <v>9500</v>
      </c>
    </row>
    <row r="9987" spans="1:1" x14ac:dyDescent="0.25">
      <c r="A9987" t="s">
        <v>9501</v>
      </c>
    </row>
    <row r="9988" spans="1:1" x14ac:dyDescent="0.25">
      <c r="A9988" t="s">
        <v>9502</v>
      </c>
    </row>
    <row r="9989" spans="1:1" x14ac:dyDescent="0.25">
      <c r="A9989" t="s">
        <v>9503</v>
      </c>
    </row>
    <row r="9990" spans="1:1" x14ac:dyDescent="0.25">
      <c r="A9990" t="s">
        <v>9504</v>
      </c>
    </row>
    <row r="9991" spans="1:1" x14ac:dyDescent="0.25">
      <c r="A9991" t="s">
        <v>9505</v>
      </c>
    </row>
    <row r="9992" spans="1:1" x14ac:dyDescent="0.25">
      <c r="A9992" t="s">
        <v>9500</v>
      </c>
    </row>
    <row r="9993" spans="1:1" x14ac:dyDescent="0.25">
      <c r="A9993" t="s">
        <v>9506</v>
      </c>
    </row>
    <row r="9994" spans="1:1" x14ac:dyDescent="0.25">
      <c r="A9994" t="s">
        <v>9507</v>
      </c>
    </row>
    <row r="9995" spans="1:1" x14ac:dyDescent="0.25">
      <c r="A9995" t="s">
        <v>9508</v>
      </c>
    </row>
    <row r="9996" spans="1:1" x14ac:dyDescent="0.25">
      <c r="A9996" t="s">
        <v>9509</v>
      </c>
    </row>
    <row r="9997" spans="1:1" x14ac:dyDescent="0.25">
      <c r="A9997" t="s">
        <v>4182</v>
      </c>
    </row>
    <row r="9999" spans="1:1" x14ac:dyDescent="0.25">
      <c r="A9999" t="s">
        <v>9500</v>
      </c>
    </row>
    <row r="10000" spans="1:1" x14ac:dyDescent="0.25">
      <c r="A10000" t="s">
        <v>9510</v>
      </c>
    </row>
    <row r="10001" spans="1:1" x14ac:dyDescent="0.25">
      <c r="A10001" t="s">
        <v>9511</v>
      </c>
    </row>
    <row r="10002" spans="1:1" x14ac:dyDescent="0.25">
      <c r="A10002" t="s">
        <v>9512</v>
      </c>
    </row>
    <row r="10003" spans="1:1" x14ac:dyDescent="0.25">
      <c r="A10003" t="s">
        <v>9276</v>
      </c>
    </row>
    <row r="10004" spans="1:1" x14ac:dyDescent="0.25">
      <c r="A10004" t="s">
        <v>9277</v>
      </c>
    </row>
    <row r="10005" spans="1:1" x14ac:dyDescent="0.25">
      <c r="A10005" t="s">
        <v>9500</v>
      </c>
    </row>
    <row r="10006" spans="1:1" x14ac:dyDescent="0.25">
      <c r="A10006" t="s">
        <v>9513</v>
      </c>
    </row>
    <row r="10007" spans="1:1" x14ac:dyDescent="0.25">
      <c r="A10007" t="s">
        <v>9514</v>
      </c>
    </row>
    <row r="10008" spans="1:1" x14ac:dyDescent="0.25">
      <c r="A10008" t="s">
        <v>9515</v>
      </c>
    </row>
    <row r="10009" spans="1:1" x14ac:dyDescent="0.25">
      <c r="A10009" t="s">
        <v>9516</v>
      </c>
    </row>
    <row r="10010" spans="1:1" x14ac:dyDescent="0.25">
      <c r="A10010" t="s">
        <v>9500</v>
      </c>
    </row>
    <row r="10011" spans="1:1" x14ac:dyDescent="0.25">
      <c r="A10011" t="s">
        <v>9517</v>
      </c>
    </row>
    <row r="10012" spans="1:1" x14ac:dyDescent="0.25">
      <c r="A10012" t="s">
        <v>9518</v>
      </c>
    </row>
    <row r="10013" spans="1:1" x14ac:dyDescent="0.25">
      <c r="A10013" t="s">
        <v>1900</v>
      </c>
    </row>
    <row r="10014" spans="1:1" x14ac:dyDescent="0.25">
      <c r="A10014" t="s">
        <v>9519</v>
      </c>
    </row>
    <row r="10015" spans="1:1" x14ac:dyDescent="0.25">
      <c r="A10015" t="s">
        <v>9500</v>
      </c>
    </row>
    <row r="10016" spans="1:1" x14ac:dyDescent="0.25">
      <c r="A10016" t="s">
        <v>9520</v>
      </c>
    </row>
    <row r="10017" spans="1:1" x14ac:dyDescent="0.25">
      <c r="A10017" t="s">
        <v>9521</v>
      </c>
    </row>
    <row r="10018" spans="1:1" x14ac:dyDescent="0.25">
      <c r="A10018" t="s">
        <v>9522</v>
      </c>
    </row>
    <row r="10019" spans="1:1" x14ac:dyDescent="0.25">
      <c r="A10019" t="s">
        <v>9523</v>
      </c>
    </row>
    <row r="10020" spans="1:1" x14ac:dyDescent="0.25">
      <c r="A10020" t="s">
        <v>9524</v>
      </c>
    </row>
    <row r="10021" spans="1:1" x14ac:dyDescent="0.25">
      <c r="A10021" t="s">
        <v>9525</v>
      </c>
    </row>
    <row r="10022" spans="1:1" x14ac:dyDescent="0.25">
      <c r="A10022" t="s">
        <v>9500</v>
      </c>
    </row>
    <row r="10023" spans="1:1" x14ac:dyDescent="0.25">
      <c r="A10023" t="s">
        <v>9526</v>
      </c>
    </row>
    <row r="10024" spans="1:1" x14ac:dyDescent="0.25">
      <c r="A10024" t="s">
        <v>9527</v>
      </c>
    </row>
    <row r="10025" spans="1:1" x14ac:dyDescent="0.25">
      <c r="A10025" t="s">
        <v>9528</v>
      </c>
    </row>
    <row r="10026" spans="1:1" x14ac:dyDescent="0.25">
      <c r="A10026" t="s">
        <v>9529</v>
      </c>
    </row>
    <row r="10027" spans="1:1" x14ac:dyDescent="0.25">
      <c r="A10027" t="s">
        <v>9530</v>
      </c>
    </row>
    <row r="10028" spans="1:1" x14ac:dyDescent="0.25">
      <c r="A10028" t="s">
        <v>9531</v>
      </c>
    </row>
    <row r="10029" spans="1:1" x14ac:dyDescent="0.25">
      <c r="A10029" t="s">
        <v>9532</v>
      </c>
    </row>
    <row r="10030" spans="1:1" x14ac:dyDescent="0.25">
      <c r="A10030" t="s">
        <v>9533</v>
      </c>
    </row>
    <row r="10031" spans="1:1" x14ac:dyDescent="0.25">
      <c r="A10031" t="s">
        <v>9534</v>
      </c>
    </row>
    <row r="10032" spans="1:1" x14ac:dyDescent="0.25">
      <c r="A10032" t="s">
        <v>9535</v>
      </c>
    </row>
    <row r="10033" spans="1:1" x14ac:dyDescent="0.25">
      <c r="A10033" t="s">
        <v>9536</v>
      </c>
    </row>
    <row r="10035" spans="1:1" x14ac:dyDescent="0.25">
      <c r="A10035" t="s">
        <v>9537</v>
      </c>
    </row>
    <row r="10036" spans="1:1" x14ac:dyDescent="0.25">
      <c r="A10036" s="4">
        <v>46032</v>
      </c>
    </row>
    <row r="10037" spans="1:1" x14ac:dyDescent="0.25">
      <c r="A10037" t="s">
        <v>9538</v>
      </c>
    </row>
    <row r="10038" spans="1:1" x14ac:dyDescent="0.25">
      <c r="A10038" t="s">
        <v>1515</v>
      </c>
    </row>
    <row r="10039" spans="1:1" x14ac:dyDescent="0.25">
      <c r="A10039" t="s">
        <v>9539</v>
      </c>
    </row>
    <row r="10040" spans="1:1" x14ac:dyDescent="0.25">
      <c r="A10040" t="s">
        <v>9540</v>
      </c>
    </row>
    <row r="10041" spans="1:1" x14ac:dyDescent="0.25">
      <c r="A10041" t="s">
        <v>9541</v>
      </c>
    </row>
    <row r="10042" spans="1:1" x14ac:dyDescent="0.25">
      <c r="A10042" t="s">
        <v>9542</v>
      </c>
    </row>
    <row r="10044" spans="1:1" x14ac:dyDescent="0.25">
      <c r="A10044" t="s">
        <v>9543</v>
      </c>
    </row>
    <row r="10045" spans="1:1" x14ac:dyDescent="0.25">
      <c r="A10045" t="s">
        <v>9544</v>
      </c>
    </row>
    <row r="10046" spans="1:1" x14ac:dyDescent="0.25">
      <c r="A10046" t="s">
        <v>9545</v>
      </c>
    </row>
    <row r="10047" spans="1:1" x14ac:dyDescent="0.25">
      <c r="A10047" t="s">
        <v>9546</v>
      </c>
    </row>
    <row r="10048" spans="1:1" x14ac:dyDescent="0.25">
      <c r="A10048" t="s">
        <v>9547</v>
      </c>
    </row>
    <row r="10049" spans="1:1" x14ac:dyDescent="0.25">
      <c r="A10049" t="s">
        <v>9548</v>
      </c>
    </row>
    <row r="10050" spans="1:1" x14ac:dyDescent="0.25">
      <c r="A10050" t="s">
        <v>9549</v>
      </c>
    </row>
    <row r="10051" spans="1:1" x14ac:dyDescent="0.25">
      <c r="A10051" t="s">
        <v>9550</v>
      </c>
    </row>
    <row r="10052" spans="1:1" x14ac:dyDescent="0.25">
      <c r="A10052" t="s">
        <v>9551</v>
      </c>
    </row>
    <row r="10053" spans="1:1" x14ac:dyDescent="0.25">
      <c r="A10053" t="s">
        <v>9552</v>
      </c>
    </row>
    <row r="10054" spans="1:1" x14ac:dyDescent="0.25">
      <c r="A10054" t="s">
        <v>9553</v>
      </c>
    </row>
    <row r="10055" spans="1:1" x14ac:dyDescent="0.25">
      <c r="A10055" t="s">
        <v>9554</v>
      </c>
    </row>
    <row r="10056" spans="1:1" x14ac:dyDescent="0.25">
      <c r="A10056" t="s">
        <v>9555</v>
      </c>
    </row>
    <row r="10057" spans="1:1" x14ac:dyDescent="0.25">
      <c r="A10057" t="s">
        <v>9556</v>
      </c>
    </row>
    <row r="10058" spans="1:1" x14ac:dyDescent="0.25">
      <c r="A10058" t="s">
        <v>9557</v>
      </c>
    </row>
    <row r="10059" spans="1:1" x14ac:dyDescent="0.25">
      <c r="A10059" t="s">
        <v>9558</v>
      </c>
    </row>
    <row r="10060" spans="1:1" x14ac:dyDescent="0.25">
      <c r="A10060" t="s">
        <v>9559</v>
      </c>
    </row>
    <row r="10061" spans="1:1" x14ac:dyDescent="0.25">
      <c r="A10061" t="s">
        <v>9560</v>
      </c>
    </row>
    <row r="10062" spans="1:1" x14ac:dyDescent="0.25">
      <c r="A10062" t="s">
        <v>9561</v>
      </c>
    </row>
    <row r="10063" spans="1:1" x14ac:dyDescent="0.25">
      <c r="A10063" t="s">
        <v>9562</v>
      </c>
    </row>
    <row r="10064" spans="1:1" x14ac:dyDescent="0.25">
      <c r="A10064" t="s">
        <v>9563</v>
      </c>
    </row>
    <row r="10065" spans="1:1" x14ac:dyDescent="0.25">
      <c r="A10065" t="s">
        <v>9564</v>
      </c>
    </row>
    <row r="10066" spans="1:1" x14ac:dyDescent="0.25">
      <c r="A10066" t="s">
        <v>9565</v>
      </c>
    </row>
    <row r="10067" spans="1:1" x14ac:dyDescent="0.25">
      <c r="A10067" t="s">
        <v>9566</v>
      </c>
    </row>
    <row r="10068" spans="1:1" x14ac:dyDescent="0.25">
      <c r="A10068" t="s">
        <v>9567</v>
      </c>
    </row>
    <row r="10069" spans="1:1" x14ac:dyDescent="0.25">
      <c r="A10069" t="s">
        <v>9568</v>
      </c>
    </row>
    <row r="10070" spans="1:1" x14ac:dyDescent="0.25">
      <c r="A10070" t="s">
        <v>9569</v>
      </c>
    </row>
    <row r="10071" spans="1:1" x14ac:dyDescent="0.25">
      <c r="A10071" t="s">
        <v>9570</v>
      </c>
    </row>
    <row r="10072" spans="1:1" x14ac:dyDescent="0.25">
      <c r="A10072" t="s">
        <v>9571</v>
      </c>
    </row>
    <row r="10073" spans="1:1" x14ac:dyDescent="0.25">
      <c r="A10073" t="s">
        <v>9572</v>
      </c>
    </row>
    <row r="10074" spans="1:1" x14ac:dyDescent="0.25">
      <c r="A10074" t="s">
        <v>9573</v>
      </c>
    </row>
    <row r="10075" spans="1:1" x14ac:dyDescent="0.25">
      <c r="A10075" t="s">
        <v>9574</v>
      </c>
    </row>
    <row r="10076" spans="1:1" x14ac:dyDescent="0.25">
      <c r="A10076" t="s">
        <v>9575</v>
      </c>
    </row>
    <row r="10077" spans="1:1" x14ac:dyDescent="0.25">
      <c r="A10077" t="s">
        <v>9576</v>
      </c>
    </row>
    <row r="10078" spans="1:1" x14ac:dyDescent="0.25">
      <c r="A10078" t="s">
        <v>9577</v>
      </c>
    </row>
    <row r="10079" spans="1:1" x14ac:dyDescent="0.25">
      <c r="A10079" t="s">
        <v>9578</v>
      </c>
    </row>
    <row r="10080" spans="1:1" x14ac:dyDescent="0.25">
      <c r="A10080" t="s">
        <v>9579</v>
      </c>
    </row>
    <row r="10081" spans="1:1" x14ac:dyDescent="0.25">
      <c r="A10081" t="s">
        <v>9580</v>
      </c>
    </row>
    <row r="10082" spans="1:1" x14ac:dyDescent="0.25">
      <c r="A10082" t="s">
        <v>9581</v>
      </c>
    </row>
    <row r="10083" spans="1:1" x14ac:dyDescent="0.25">
      <c r="A10083" t="s">
        <v>9582</v>
      </c>
    </row>
    <row r="10084" spans="1:1" x14ac:dyDescent="0.25">
      <c r="A10084" t="s">
        <v>9583</v>
      </c>
    </row>
    <row r="10085" spans="1:1" x14ac:dyDescent="0.25">
      <c r="A10085" t="s">
        <v>9584</v>
      </c>
    </row>
    <row r="10086" spans="1:1" x14ac:dyDescent="0.25">
      <c r="A10086" t="s">
        <v>9585</v>
      </c>
    </row>
    <row r="10087" spans="1:1" x14ac:dyDescent="0.25">
      <c r="A10087" t="s">
        <v>9586</v>
      </c>
    </row>
    <row r="10088" spans="1:1" x14ac:dyDescent="0.25">
      <c r="A10088" t="s">
        <v>9587</v>
      </c>
    </row>
    <row r="10089" spans="1:1" x14ac:dyDescent="0.25">
      <c r="A10089" t="s">
        <v>9588</v>
      </c>
    </row>
    <row r="10090" spans="1:1" x14ac:dyDescent="0.25">
      <c r="A10090" t="s">
        <v>9589</v>
      </c>
    </row>
    <row r="10091" spans="1:1" x14ac:dyDescent="0.25">
      <c r="A10091" t="s">
        <v>8661</v>
      </c>
    </row>
    <row r="10092" spans="1:1" x14ac:dyDescent="0.25">
      <c r="A10092" t="s">
        <v>9590</v>
      </c>
    </row>
    <row r="10093" spans="1:1" x14ac:dyDescent="0.25">
      <c r="A10093" t="s">
        <v>9591</v>
      </c>
    </row>
    <row r="10094" spans="1:1" x14ac:dyDescent="0.25">
      <c r="A10094" t="s">
        <v>9592</v>
      </c>
    </row>
    <row r="10095" spans="1:1" x14ac:dyDescent="0.25">
      <c r="A10095" t="s">
        <v>9593</v>
      </c>
    </row>
    <row r="10096" spans="1:1" x14ac:dyDescent="0.25">
      <c r="A10096" t="s">
        <v>9594</v>
      </c>
    </row>
    <row r="10097" spans="1:1" x14ac:dyDescent="0.25">
      <c r="A10097" t="s">
        <v>9595</v>
      </c>
    </row>
    <row r="10098" spans="1:1" x14ac:dyDescent="0.25">
      <c r="A10098" t="s">
        <v>9596</v>
      </c>
    </row>
    <row r="10099" spans="1:1" x14ac:dyDescent="0.25">
      <c r="A10099" t="s">
        <v>9597</v>
      </c>
    </row>
    <row r="10100" spans="1:1" x14ac:dyDescent="0.25">
      <c r="A10100" t="s">
        <v>9598</v>
      </c>
    </row>
    <row r="10101" spans="1:1" x14ac:dyDescent="0.25">
      <c r="A10101" t="s">
        <v>9599</v>
      </c>
    </row>
    <row r="10102" spans="1:1" x14ac:dyDescent="0.25">
      <c r="A10102" t="s">
        <v>9600</v>
      </c>
    </row>
    <row r="10103" spans="1:1" x14ac:dyDescent="0.25">
      <c r="A10103" t="s">
        <v>9601</v>
      </c>
    </row>
    <row r="10104" spans="1:1" x14ac:dyDescent="0.25">
      <c r="A10104" t="s">
        <v>9602</v>
      </c>
    </row>
    <row r="10105" spans="1:1" x14ac:dyDescent="0.25">
      <c r="A10105" t="s">
        <v>9603</v>
      </c>
    </row>
    <row r="10106" spans="1:1" x14ac:dyDescent="0.25">
      <c r="A10106" t="s">
        <v>9604</v>
      </c>
    </row>
    <row r="10107" spans="1:1" x14ac:dyDescent="0.25">
      <c r="A10107" t="s">
        <v>9605</v>
      </c>
    </row>
    <row r="10108" spans="1:1" x14ac:dyDescent="0.25">
      <c r="A10108" t="s">
        <v>9606</v>
      </c>
    </row>
    <row r="10109" spans="1:1" x14ac:dyDescent="0.25">
      <c r="A10109" t="s">
        <v>9607</v>
      </c>
    </row>
    <row r="10110" spans="1:1" x14ac:dyDescent="0.25">
      <c r="A10110" t="s">
        <v>9608</v>
      </c>
    </row>
    <row r="10111" spans="1:1" x14ac:dyDescent="0.25">
      <c r="A10111" t="s">
        <v>9609</v>
      </c>
    </row>
    <row r="10112" spans="1:1" x14ac:dyDescent="0.25">
      <c r="A10112" t="s">
        <v>9610</v>
      </c>
    </row>
    <row r="10113" spans="1:1" x14ac:dyDescent="0.25">
      <c r="A10113" t="s">
        <v>9611</v>
      </c>
    </row>
    <row r="10114" spans="1:1" x14ac:dyDescent="0.25">
      <c r="A10114" t="s">
        <v>9612</v>
      </c>
    </row>
    <row r="10115" spans="1:1" x14ac:dyDescent="0.25">
      <c r="A10115" t="s">
        <v>9613</v>
      </c>
    </row>
    <row r="10116" spans="1:1" x14ac:dyDescent="0.25">
      <c r="A10116" t="s">
        <v>9614</v>
      </c>
    </row>
    <row r="10117" spans="1:1" x14ac:dyDescent="0.25">
      <c r="A10117" t="s">
        <v>9615</v>
      </c>
    </row>
    <row r="10118" spans="1:1" x14ac:dyDescent="0.25">
      <c r="A10118" t="s">
        <v>9616</v>
      </c>
    </row>
    <row r="10119" spans="1:1" x14ac:dyDescent="0.25">
      <c r="A10119" t="s">
        <v>9617</v>
      </c>
    </row>
    <row r="10120" spans="1:1" x14ac:dyDescent="0.25">
      <c r="A10120" t="s">
        <v>9618</v>
      </c>
    </row>
    <row r="10121" spans="1:1" x14ac:dyDescent="0.25">
      <c r="A10121" t="s">
        <v>9619</v>
      </c>
    </row>
    <row r="10122" spans="1:1" x14ac:dyDescent="0.25">
      <c r="A10122" t="s">
        <v>9620</v>
      </c>
    </row>
    <row r="10123" spans="1:1" x14ac:dyDescent="0.25">
      <c r="A10123" t="s">
        <v>9621</v>
      </c>
    </row>
    <row r="10124" spans="1:1" x14ac:dyDescent="0.25">
      <c r="A10124" t="s">
        <v>9622</v>
      </c>
    </row>
    <row r="10125" spans="1:1" x14ac:dyDescent="0.25">
      <c r="A10125" t="s">
        <v>9623</v>
      </c>
    </row>
    <row r="10126" spans="1:1" x14ac:dyDescent="0.25">
      <c r="A10126" t="s">
        <v>9624</v>
      </c>
    </row>
    <row r="10127" spans="1:1" x14ac:dyDescent="0.25">
      <c r="A10127" t="s">
        <v>9625</v>
      </c>
    </row>
    <row r="10128" spans="1:1" x14ac:dyDescent="0.25">
      <c r="A10128" t="s">
        <v>9626</v>
      </c>
    </row>
    <row r="10129" spans="1:6" x14ac:dyDescent="0.25">
      <c r="A10129" t="s">
        <v>9627</v>
      </c>
    </row>
    <row r="10130" spans="1:6" x14ac:dyDescent="0.25">
      <c r="A10130" t="s">
        <v>9628</v>
      </c>
    </row>
    <row r="10131" spans="1:6" x14ac:dyDescent="0.25">
      <c r="A10131" t="s">
        <v>9629</v>
      </c>
    </row>
    <row r="10132" spans="1:6" x14ac:dyDescent="0.25">
      <c r="A10132" t="s">
        <v>9630</v>
      </c>
    </row>
    <row r="10133" spans="1:6" x14ac:dyDescent="0.25">
      <c r="A10133" t="s">
        <v>9631</v>
      </c>
    </row>
    <row r="10134" spans="1:6" x14ac:dyDescent="0.25">
      <c r="A10134" t="s">
        <v>4353</v>
      </c>
    </row>
    <row r="10135" spans="1:6" x14ac:dyDescent="0.25">
      <c r="A10135" t="s">
        <v>9632</v>
      </c>
    </row>
    <row r="10136" spans="1:6" x14ac:dyDescent="0.25">
      <c r="A10136" t="s">
        <v>9633</v>
      </c>
    </row>
    <row r="10137" spans="1:6" x14ac:dyDescent="0.25">
      <c r="A10137" t="s">
        <v>9634</v>
      </c>
    </row>
    <row r="10138" spans="1:6" x14ac:dyDescent="0.25">
      <c r="A10138" t="s">
        <v>4356</v>
      </c>
    </row>
    <row r="10139" spans="1:6" x14ac:dyDescent="0.25">
      <c r="A10139">
        <v>1</v>
      </c>
      <c r="B10139" t="s">
        <v>2171</v>
      </c>
      <c r="C10139">
        <v>474.51</v>
      </c>
      <c r="D10139" s="55">
        <v>43799</v>
      </c>
      <c r="E10139">
        <v>5</v>
      </c>
      <c r="F10139">
        <v>851</v>
      </c>
    </row>
    <row r="10140" spans="1:6" x14ac:dyDescent="0.25">
      <c r="A10140" t="s">
        <v>9635</v>
      </c>
    </row>
    <row r="10141" spans="1:6" x14ac:dyDescent="0.25">
      <c r="A10141" t="s">
        <v>9636</v>
      </c>
    </row>
    <row r="10142" spans="1:6" x14ac:dyDescent="0.25">
      <c r="A10142" t="s">
        <v>9637</v>
      </c>
    </row>
    <row r="10143" spans="1:6" x14ac:dyDescent="0.25">
      <c r="A10143" t="s">
        <v>9638</v>
      </c>
    </row>
    <row r="10144" spans="1:6" x14ac:dyDescent="0.25">
      <c r="A10144" t="s">
        <v>9639</v>
      </c>
    </row>
    <row r="10145" spans="1:1" x14ac:dyDescent="0.25">
      <c r="A10145" t="s">
        <v>9640</v>
      </c>
    </row>
    <row r="10146" spans="1:1" x14ac:dyDescent="0.25">
      <c r="A10146" t="s">
        <v>9641</v>
      </c>
    </row>
    <row r="10147" spans="1:1" x14ac:dyDescent="0.25">
      <c r="A10147" t="s">
        <v>9642</v>
      </c>
    </row>
    <row r="10148" spans="1:1" x14ac:dyDescent="0.25">
      <c r="A10148" t="s">
        <v>9638</v>
      </c>
    </row>
    <row r="10149" spans="1:1" x14ac:dyDescent="0.25">
      <c r="A10149" t="s">
        <v>9643</v>
      </c>
    </row>
    <row r="10150" spans="1:1" x14ac:dyDescent="0.25">
      <c r="A10150" t="s">
        <v>9581</v>
      </c>
    </row>
    <row r="10151" spans="1:1" x14ac:dyDescent="0.25">
      <c r="A10151" t="s">
        <v>9644</v>
      </c>
    </row>
    <row r="10152" spans="1:1" x14ac:dyDescent="0.25">
      <c r="A10152" t="s">
        <v>9583</v>
      </c>
    </row>
    <row r="10153" spans="1:1" x14ac:dyDescent="0.25">
      <c r="A10153" t="s">
        <v>9645</v>
      </c>
    </row>
    <row r="10154" spans="1:1" x14ac:dyDescent="0.25">
      <c r="A10154" t="s">
        <v>9646</v>
      </c>
    </row>
    <row r="10155" spans="1:1" x14ac:dyDescent="0.25">
      <c r="A10155" t="s">
        <v>9647</v>
      </c>
    </row>
    <row r="10156" spans="1:1" x14ac:dyDescent="0.25">
      <c r="A10156" t="s">
        <v>9648</v>
      </c>
    </row>
    <row r="10157" spans="1:1" x14ac:dyDescent="0.25">
      <c r="A10157" t="s">
        <v>9649</v>
      </c>
    </row>
    <row r="10158" spans="1:1" x14ac:dyDescent="0.25">
      <c r="A10158" t="s">
        <v>9650</v>
      </c>
    </row>
    <row r="10159" spans="1:1" x14ac:dyDescent="0.25">
      <c r="A10159" t="s">
        <v>9651</v>
      </c>
    </row>
    <row r="10160" spans="1:1" x14ac:dyDescent="0.25">
      <c r="A10160" t="s">
        <v>9652</v>
      </c>
    </row>
    <row r="10161" spans="1:1" x14ac:dyDescent="0.25">
      <c r="A10161" t="s">
        <v>9653</v>
      </c>
    </row>
    <row r="10162" spans="1:1" x14ac:dyDescent="0.25">
      <c r="A10162" t="s">
        <v>9654</v>
      </c>
    </row>
    <row r="10163" spans="1:1" x14ac:dyDescent="0.25">
      <c r="A10163" t="s">
        <v>9655</v>
      </c>
    </row>
    <row r="10164" spans="1:1" x14ac:dyDescent="0.25">
      <c r="A10164" t="s">
        <v>9656</v>
      </c>
    </row>
    <row r="10165" spans="1:1" x14ac:dyDescent="0.25">
      <c r="A10165" t="s">
        <v>9657</v>
      </c>
    </row>
    <row r="10166" spans="1:1" x14ac:dyDescent="0.25">
      <c r="A10166" t="s">
        <v>9658</v>
      </c>
    </row>
    <row r="10167" spans="1:1" x14ac:dyDescent="0.25">
      <c r="A10167" t="s">
        <v>9659</v>
      </c>
    </row>
    <row r="10168" spans="1:1" x14ac:dyDescent="0.25">
      <c r="A10168" t="s">
        <v>9660</v>
      </c>
    </row>
    <row r="10169" spans="1:1" x14ac:dyDescent="0.25">
      <c r="A10169" t="s">
        <v>9661</v>
      </c>
    </row>
    <row r="10170" spans="1:1" x14ac:dyDescent="0.25">
      <c r="A10170" t="s">
        <v>9662</v>
      </c>
    </row>
    <row r="10171" spans="1:1" x14ac:dyDescent="0.25">
      <c r="A10171" t="s">
        <v>9663</v>
      </c>
    </row>
    <row r="10172" spans="1:1" x14ac:dyDescent="0.25">
      <c r="A10172" t="s">
        <v>9664</v>
      </c>
    </row>
    <row r="10173" spans="1:1" x14ac:dyDescent="0.25">
      <c r="A10173" t="s">
        <v>9665</v>
      </c>
    </row>
    <row r="10174" spans="1:1" x14ac:dyDescent="0.25">
      <c r="A10174" t="s">
        <v>9666</v>
      </c>
    </row>
    <row r="10175" spans="1:1" x14ac:dyDescent="0.25">
      <c r="A10175" t="s">
        <v>9667</v>
      </c>
    </row>
    <row r="10176" spans="1:1" x14ac:dyDescent="0.25">
      <c r="A10176" t="s">
        <v>9668</v>
      </c>
    </row>
    <row r="10177" spans="1:1" x14ac:dyDescent="0.25">
      <c r="A10177" t="s">
        <v>9669</v>
      </c>
    </row>
    <row r="10178" spans="1:1" x14ac:dyDescent="0.25">
      <c r="A10178" t="s">
        <v>9670</v>
      </c>
    </row>
    <row r="10179" spans="1:1" x14ac:dyDescent="0.25">
      <c r="A10179" t="s">
        <v>9671</v>
      </c>
    </row>
    <row r="10180" spans="1:1" x14ac:dyDescent="0.25">
      <c r="A10180" t="s">
        <v>9672</v>
      </c>
    </row>
    <row r="10181" spans="1:1" x14ac:dyDescent="0.25">
      <c r="A10181" t="s">
        <v>9673</v>
      </c>
    </row>
    <row r="10182" spans="1:1" x14ac:dyDescent="0.25">
      <c r="A10182" t="s">
        <v>9674</v>
      </c>
    </row>
    <row r="10183" spans="1:1" x14ac:dyDescent="0.25">
      <c r="A10183" t="s">
        <v>9675</v>
      </c>
    </row>
    <row r="10184" spans="1:1" x14ac:dyDescent="0.25">
      <c r="A10184" t="s">
        <v>9676</v>
      </c>
    </row>
    <row r="10185" spans="1:1" x14ac:dyDescent="0.25">
      <c r="A10185" t="s">
        <v>9677</v>
      </c>
    </row>
    <row r="10186" spans="1:1" x14ac:dyDescent="0.25">
      <c r="A10186" t="s">
        <v>9678</v>
      </c>
    </row>
    <row r="10187" spans="1:1" x14ac:dyDescent="0.25">
      <c r="A10187" t="s">
        <v>9679</v>
      </c>
    </row>
    <row r="10188" spans="1:1" x14ac:dyDescent="0.25">
      <c r="A10188" t="s">
        <v>9680</v>
      </c>
    </row>
    <row r="10189" spans="1:1" x14ac:dyDescent="0.25">
      <c r="A10189" t="s">
        <v>9681</v>
      </c>
    </row>
    <row r="10190" spans="1:1" x14ac:dyDescent="0.25">
      <c r="A10190" t="s">
        <v>9682</v>
      </c>
    </row>
    <row r="10191" spans="1:1" x14ac:dyDescent="0.25">
      <c r="A10191" t="s">
        <v>9683</v>
      </c>
    </row>
    <row r="10192" spans="1:1" x14ac:dyDescent="0.25">
      <c r="A10192" t="s">
        <v>9684</v>
      </c>
    </row>
    <row r="10193" spans="1:1" x14ac:dyDescent="0.25">
      <c r="A10193" t="s">
        <v>9685</v>
      </c>
    </row>
    <row r="10194" spans="1:1" x14ac:dyDescent="0.25">
      <c r="A10194" t="s">
        <v>9657</v>
      </c>
    </row>
    <row r="10195" spans="1:1" x14ac:dyDescent="0.25">
      <c r="A10195" t="s">
        <v>9658</v>
      </c>
    </row>
    <row r="10196" spans="1:1" x14ac:dyDescent="0.25">
      <c r="A10196" t="s">
        <v>9686</v>
      </c>
    </row>
    <row r="10197" spans="1:1" x14ac:dyDescent="0.25">
      <c r="A10197" t="s">
        <v>9660</v>
      </c>
    </row>
    <row r="10198" spans="1:1" x14ac:dyDescent="0.25">
      <c r="A10198" t="s">
        <v>9687</v>
      </c>
    </row>
    <row r="10199" spans="1:1" x14ac:dyDescent="0.25">
      <c r="A10199" t="s">
        <v>9688</v>
      </c>
    </row>
    <row r="10200" spans="1:1" x14ac:dyDescent="0.25">
      <c r="A10200" t="s">
        <v>9689</v>
      </c>
    </row>
    <row r="10201" spans="1:1" x14ac:dyDescent="0.25">
      <c r="A10201" t="s">
        <v>9690</v>
      </c>
    </row>
    <row r="10202" spans="1:1" x14ac:dyDescent="0.25">
      <c r="A10202" t="s">
        <v>9691</v>
      </c>
    </row>
    <row r="10203" spans="1:1" x14ac:dyDescent="0.25">
      <c r="A10203" t="s">
        <v>9692</v>
      </c>
    </row>
    <row r="10204" spans="1:1" x14ac:dyDescent="0.25">
      <c r="A10204" t="s">
        <v>9693</v>
      </c>
    </row>
    <row r="10205" spans="1:1" x14ac:dyDescent="0.25">
      <c r="A10205" t="s">
        <v>9694</v>
      </c>
    </row>
    <row r="10206" spans="1:1" x14ac:dyDescent="0.25">
      <c r="A10206" t="s">
        <v>9695</v>
      </c>
    </row>
    <row r="10207" spans="1:1" x14ac:dyDescent="0.25">
      <c r="A10207" t="s">
        <v>9696</v>
      </c>
    </row>
    <row r="10208" spans="1:1" x14ac:dyDescent="0.25">
      <c r="A10208" t="s">
        <v>9697</v>
      </c>
    </row>
    <row r="10209" spans="1:1" x14ac:dyDescent="0.25">
      <c r="A10209" t="s">
        <v>9698</v>
      </c>
    </row>
    <row r="10210" spans="1:1" x14ac:dyDescent="0.25">
      <c r="A10210" t="s">
        <v>9699</v>
      </c>
    </row>
    <row r="10211" spans="1:1" x14ac:dyDescent="0.25">
      <c r="A10211" t="s">
        <v>9700</v>
      </c>
    </row>
    <row r="10212" spans="1:1" x14ac:dyDescent="0.25">
      <c r="A10212" t="s">
        <v>9701</v>
      </c>
    </row>
    <row r="10213" spans="1:1" x14ac:dyDescent="0.25">
      <c r="A10213" t="s">
        <v>9702</v>
      </c>
    </row>
    <row r="10214" spans="1:1" x14ac:dyDescent="0.25">
      <c r="A10214" t="s">
        <v>9703</v>
      </c>
    </row>
    <row r="10215" spans="1:1" x14ac:dyDescent="0.25">
      <c r="A10215" t="s">
        <v>9704</v>
      </c>
    </row>
    <row r="10216" spans="1:1" x14ac:dyDescent="0.25">
      <c r="A10216" t="s">
        <v>9705</v>
      </c>
    </row>
    <row r="10217" spans="1:1" x14ac:dyDescent="0.25">
      <c r="A10217" t="s">
        <v>9706</v>
      </c>
    </row>
    <row r="10218" spans="1:1" x14ac:dyDescent="0.25">
      <c r="A10218" t="s">
        <v>9707</v>
      </c>
    </row>
    <row r="10219" spans="1:1" x14ac:dyDescent="0.25">
      <c r="A10219" t="s">
        <v>9708</v>
      </c>
    </row>
    <row r="10220" spans="1:1" x14ac:dyDescent="0.25">
      <c r="A10220" t="s">
        <v>9703</v>
      </c>
    </row>
    <row r="10221" spans="1:1" x14ac:dyDescent="0.25">
      <c r="A10221" t="s">
        <v>9657</v>
      </c>
    </row>
    <row r="10222" spans="1:1" x14ac:dyDescent="0.25">
      <c r="A10222" t="s">
        <v>9705</v>
      </c>
    </row>
    <row r="10223" spans="1:1" x14ac:dyDescent="0.25">
      <c r="A10223" t="s">
        <v>9709</v>
      </c>
    </row>
    <row r="10224" spans="1:1" x14ac:dyDescent="0.25">
      <c r="A10224" t="s">
        <v>9707</v>
      </c>
    </row>
    <row r="10225" spans="1:1" x14ac:dyDescent="0.25">
      <c r="A10225" t="s">
        <v>9710</v>
      </c>
    </row>
    <row r="10226" spans="1:1" x14ac:dyDescent="0.25">
      <c r="A10226" t="s">
        <v>9711</v>
      </c>
    </row>
    <row r="10227" spans="1:1" x14ac:dyDescent="0.25">
      <c r="A10227" t="s">
        <v>9712</v>
      </c>
    </row>
    <row r="10228" spans="1:1" x14ac:dyDescent="0.25">
      <c r="A10228" t="s">
        <v>9713</v>
      </c>
    </row>
    <row r="10229" spans="1:1" x14ac:dyDescent="0.25">
      <c r="A10229" t="s">
        <v>9005</v>
      </c>
    </row>
    <row r="10230" spans="1:1" x14ac:dyDescent="0.25">
      <c r="A10230" t="s">
        <v>9714</v>
      </c>
    </row>
    <row r="10231" spans="1:1" x14ac:dyDescent="0.25">
      <c r="A10231" t="s">
        <v>9715</v>
      </c>
    </row>
    <row r="10232" spans="1:1" x14ac:dyDescent="0.25">
      <c r="A10232" t="s">
        <v>9716</v>
      </c>
    </row>
    <row r="10233" spans="1:1" x14ac:dyDescent="0.25">
      <c r="A10233" t="s">
        <v>9717</v>
      </c>
    </row>
    <row r="10234" spans="1:1" x14ac:dyDescent="0.25">
      <c r="A10234" t="s">
        <v>9718</v>
      </c>
    </row>
    <row r="10235" spans="1:1" x14ac:dyDescent="0.25">
      <c r="A10235" t="s">
        <v>9719</v>
      </c>
    </row>
    <row r="10236" spans="1:1" x14ac:dyDescent="0.25">
      <c r="A10236" t="s">
        <v>9720</v>
      </c>
    </row>
    <row r="10237" spans="1:1" x14ac:dyDescent="0.25">
      <c r="A10237" t="s">
        <v>9721</v>
      </c>
    </row>
    <row r="10238" spans="1:1" x14ac:dyDescent="0.25">
      <c r="A10238" t="s">
        <v>9722</v>
      </c>
    </row>
    <row r="10239" spans="1:1" x14ac:dyDescent="0.25">
      <c r="A10239" t="s">
        <v>9723</v>
      </c>
    </row>
    <row r="10240" spans="1:1" x14ac:dyDescent="0.25">
      <c r="A10240" t="s">
        <v>9724</v>
      </c>
    </row>
    <row r="10241" spans="1:1" x14ac:dyDescent="0.25">
      <c r="A10241" t="s">
        <v>9725</v>
      </c>
    </row>
    <row r="10242" spans="1:1" x14ac:dyDescent="0.25">
      <c r="A10242" t="s">
        <v>9726</v>
      </c>
    </row>
    <row r="10243" spans="1:1" x14ac:dyDescent="0.25">
      <c r="A10243" t="s">
        <v>9727</v>
      </c>
    </row>
    <row r="10244" spans="1:1" x14ac:dyDescent="0.25">
      <c r="A10244" t="s">
        <v>9728</v>
      </c>
    </row>
    <row r="10245" spans="1:1" x14ac:dyDescent="0.25">
      <c r="A10245" t="s">
        <v>9729</v>
      </c>
    </row>
    <row r="10246" spans="1:1" x14ac:dyDescent="0.25">
      <c r="A10246" t="s">
        <v>9730</v>
      </c>
    </row>
    <row r="10247" spans="1:1" x14ac:dyDescent="0.25">
      <c r="A10247" t="s">
        <v>9731</v>
      </c>
    </row>
    <row r="10248" spans="1:1" x14ac:dyDescent="0.25">
      <c r="A10248" t="s">
        <v>9732</v>
      </c>
    </row>
    <row r="10249" spans="1:1" x14ac:dyDescent="0.25">
      <c r="A10249" t="s">
        <v>9733</v>
      </c>
    </row>
    <row r="10250" spans="1:1" x14ac:dyDescent="0.25">
      <c r="A10250" t="s">
        <v>9734</v>
      </c>
    </row>
    <row r="10251" spans="1:1" x14ac:dyDescent="0.25">
      <c r="A10251" t="s">
        <v>9735</v>
      </c>
    </row>
    <row r="10252" spans="1:1" x14ac:dyDescent="0.25">
      <c r="A10252" t="s">
        <v>9736</v>
      </c>
    </row>
    <row r="10253" spans="1:1" x14ac:dyDescent="0.25">
      <c r="A10253" t="s">
        <v>9737</v>
      </c>
    </row>
    <row r="10254" spans="1:1" x14ac:dyDescent="0.25">
      <c r="A10254" t="s">
        <v>9738</v>
      </c>
    </row>
    <row r="10255" spans="1:1" x14ac:dyDescent="0.25">
      <c r="A10255" t="s">
        <v>9739</v>
      </c>
    </row>
    <row r="10256" spans="1:1" x14ac:dyDescent="0.25">
      <c r="A10256" t="s">
        <v>9740</v>
      </c>
    </row>
    <row r="10257" spans="1:1" x14ac:dyDescent="0.25">
      <c r="A10257" t="s">
        <v>9741</v>
      </c>
    </row>
    <row r="10258" spans="1:1" x14ac:dyDescent="0.25">
      <c r="A10258" t="s">
        <v>9742</v>
      </c>
    </row>
    <row r="10259" spans="1:1" x14ac:dyDescent="0.25">
      <c r="A10259" t="s">
        <v>9743</v>
      </c>
    </row>
    <row r="10260" spans="1:1" x14ac:dyDescent="0.25">
      <c r="A10260" t="s">
        <v>9744</v>
      </c>
    </row>
    <row r="10261" spans="1:1" x14ac:dyDescent="0.25">
      <c r="A10261" t="s">
        <v>9745</v>
      </c>
    </row>
    <row r="10262" spans="1:1" x14ac:dyDescent="0.25">
      <c r="A10262" t="s">
        <v>9746</v>
      </c>
    </row>
    <row r="10263" spans="1:1" x14ac:dyDescent="0.25">
      <c r="A10263" t="s">
        <v>9747</v>
      </c>
    </row>
    <row r="10264" spans="1:1" x14ac:dyDescent="0.25">
      <c r="A10264" t="s">
        <v>9748</v>
      </c>
    </row>
    <row r="10265" spans="1:1" x14ac:dyDescent="0.25">
      <c r="A10265" t="s">
        <v>9749</v>
      </c>
    </row>
    <row r="10266" spans="1:1" x14ac:dyDescent="0.25">
      <c r="A10266" t="s">
        <v>9750</v>
      </c>
    </row>
    <row r="10267" spans="1:1" x14ac:dyDescent="0.25">
      <c r="A10267" t="s">
        <v>9751</v>
      </c>
    </row>
    <row r="10268" spans="1:1" x14ac:dyDescent="0.25">
      <c r="A10268" t="s">
        <v>9752</v>
      </c>
    </row>
    <row r="10269" spans="1:1" x14ac:dyDescent="0.25">
      <c r="A10269" t="s">
        <v>9753</v>
      </c>
    </row>
    <row r="10270" spans="1:1" x14ac:dyDescent="0.25">
      <c r="A10270" t="s">
        <v>9754</v>
      </c>
    </row>
    <row r="10271" spans="1:1" x14ac:dyDescent="0.25">
      <c r="A10271" t="s">
        <v>9755</v>
      </c>
    </row>
    <row r="10272" spans="1:1" x14ac:dyDescent="0.25">
      <c r="A10272" t="s">
        <v>9756</v>
      </c>
    </row>
    <row r="10273" spans="1:1" x14ac:dyDescent="0.25">
      <c r="A10273" t="s">
        <v>9757</v>
      </c>
    </row>
    <row r="10274" spans="1:1" x14ac:dyDescent="0.25">
      <c r="A10274" t="s">
        <v>9758</v>
      </c>
    </row>
    <row r="10275" spans="1:1" x14ac:dyDescent="0.25">
      <c r="A10275" t="s">
        <v>9759</v>
      </c>
    </row>
    <row r="10276" spans="1:1" x14ac:dyDescent="0.25">
      <c r="A10276" t="s">
        <v>9760</v>
      </c>
    </row>
    <row r="10277" spans="1:1" x14ac:dyDescent="0.25">
      <c r="A10277" t="s">
        <v>9761</v>
      </c>
    </row>
    <row r="10278" spans="1:1" x14ac:dyDescent="0.25">
      <c r="A10278" t="s">
        <v>9762</v>
      </c>
    </row>
    <row r="10279" spans="1:1" x14ac:dyDescent="0.25">
      <c r="A10279" t="s">
        <v>9580</v>
      </c>
    </row>
    <row r="10280" spans="1:1" x14ac:dyDescent="0.25">
      <c r="A10280" t="s">
        <v>9581</v>
      </c>
    </row>
    <row r="10281" spans="1:1" x14ac:dyDescent="0.25">
      <c r="A10281" t="s">
        <v>9763</v>
      </c>
    </row>
    <row r="10282" spans="1:1" x14ac:dyDescent="0.25">
      <c r="A10282" t="s">
        <v>9583</v>
      </c>
    </row>
    <row r="10283" spans="1:1" x14ac:dyDescent="0.25">
      <c r="A10283" t="s">
        <v>9764</v>
      </c>
    </row>
    <row r="10284" spans="1:1" x14ac:dyDescent="0.25">
      <c r="A10284" t="s">
        <v>9765</v>
      </c>
    </row>
    <row r="10285" spans="1:1" x14ac:dyDescent="0.25">
      <c r="A10285" t="s">
        <v>9766</v>
      </c>
    </row>
    <row r="10286" spans="1:1" x14ac:dyDescent="0.25">
      <c r="A10286" t="s">
        <v>9767</v>
      </c>
    </row>
    <row r="10287" spans="1:1" x14ac:dyDescent="0.25">
      <c r="A10287" t="s">
        <v>9768</v>
      </c>
    </row>
    <row r="10288" spans="1:1" x14ac:dyDescent="0.25">
      <c r="A10288" t="s">
        <v>9769</v>
      </c>
    </row>
    <row r="10289" spans="1:1" x14ac:dyDescent="0.25">
      <c r="A10289" t="s">
        <v>9770</v>
      </c>
    </row>
    <row r="10290" spans="1:1" x14ac:dyDescent="0.25">
      <c r="A10290" t="s">
        <v>9771</v>
      </c>
    </row>
    <row r="10291" spans="1:1" x14ac:dyDescent="0.25">
      <c r="A10291" t="s">
        <v>9772</v>
      </c>
    </row>
    <row r="10292" spans="1:1" x14ac:dyDescent="0.25">
      <c r="A10292" t="s">
        <v>9773</v>
      </c>
    </row>
    <row r="10293" spans="1:1" x14ac:dyDescent="0.25">
      <c r="A10293" t="s">
        <v>9774</v>
      </c>
    </row>
    <row r="10294" spans="1:1" x14ac:dyDescent="0.25">
      <c r="A10294" t="s">
        <v>9775</v>
      </c>
    </row>
    <row r="10295" spans="1:1" x14ac:dyDescent="0.25">
      <c r="A10295" t="s">
        <v>9776</v>
      </c>
    </row>
    <row r="10296" spans="1:1" x14ac:dyDescent="0.25">
      <c r="A10296" t="s">
        <v>9777</v>
      </c>
    </row>
    <row r="10297" spans="1:1" x14ac:dyDescent="0.25">
      <c r="A10297" t="s">
        <v>9778</v>
      </c>
    </row>
    <row r="10298" spans="1:1" x14ac:dyDescent="0.25">
      <c r="A10298" t="s">
        <v>9779</v>
      </c>
    </row>
    <row r="10299" spans="1:1" x14ac:dyDescent="0.25">
      <c r="A10299" t="s">
        <v>9780</v>
      </c>
    </row>
    <row r="10300" spans="1:1" x14ac:dyDescent="0.25">
      <c r="A10300" t="s">
        <v>9647</v>
      </c>
    </row>
    <row r="10301" spans="1:1" x14ac:dyDescent="0.25">
      <c r="A10301" t="s">
        <v>9781</v>
      </c>
    </row>
    <row r="10302" spans="1:1" x14ac:dyDescent="0.25">
      <c r="A10302" t="s">
        <v>9649</v>
      </c>
    </row>
    <row r="10303" spans="1:1" x14ac:dyDescent="0.25">
      <c r="A10303" t="s">
        <v>9782</v>
      </c>
    </row>
    <row r="10304" spans="1:1" x14ac:dyDescent="0.25">
      <c r="A10304" t="s">
        <v>9783</v>
      </c>
    </row>
    <row r="10305" spans="1:1" x14ac:dyDescent="0.25">
      <c r="A10305" t="s">
        <v>9784</v>
      </c>
    </row>
    <row r="10306" spans="1:1" x14ac:dyDescent="0.25">
      <c r="A10306" t="s">
        <v>9785</v>
      </c>
    </row>
    <row r="10307" spans="1:1" x14ac:dyDescent="0.25">
      <c r="A10307" t="s">
        <v>9786</v>
      </c>
    </row>
    <row r="10308" spans="1:1" x14ac:dyDescent="0.25">
      <c r="A10308" t="s">
        <v>9787</v>
      </c>
    </row>
    <row r="10309" spans="1:1" x14ac:dyDescent="0.25">
      <c r="A10309" t="s">
        <v>9783</v>
      </c>
    </row>
    <row r="10310" spans="1:1" x14ac:dyDescent="0.25">
      <c r="A10310" t="s">
        <v>9788</v>
      </c>
    </row>
    <row r="10311" spans="1:1" x14ac:dyDescent="0.25">
      <c r="A10311" t="s">
        <v>9789</v>
      </c>
    </row>
    <row r="10312" spans="1:1" x14ac:dyDescent="0.25">
      <c r="A10312" t="s">
        <v>9790</v>
      </c>
    </row>
    <row r="10313" spans="1:1" x14ac:dyDescent="0.25">
      <c r="A10313" t="s">
        <v>9791</v>
      </c>
    </row>
    <row r="10314" spans="1:1" x14ac:dyDescent="0.25">
      <c r="A10314" t="s">
        <v>9792</v>
      </c>
    </row>
    <row r="10315" spans="1:1" x14ac:dyDescent="0.25">
      <c r="A10315" t="s">
        <v>9793</v>
      </c>
    </row>
    <row r="10316" spans="1:1" x14ac:dyDescent="0.25">
      <c r="A10316" t="s">
        <v>9794</v>
      </c>
    </row>
    <row r="10317" spans="1:1" x14ac:dyDescent="0.25">
      <c r="A10317" t="s">
        <v>9795</v>
      </c>
    </row>
    <row r="10318" spans="1:1" x14ac:dyDescent="0.25">
      <c r="A10318" t="s">
        <v>9796</v>
      </c>
    </row>
    <row r="10319" spans="1:1" x14ac:dyDescent="0.25">
      <c r="A10319" t="s">
        <v>9797</v>
      </c>
    </row>
    <row r="10320" spans="1:1" x14ac:dyDescent="0.25">
      <c r="A10320" t="s">
        <v>9798</v>
      </c>
    </row>
    <row r="10321" spans="1:1" x14ac:dyDescent="0.25">
      <c r="A10321" t="s">
        <v>9799</v>
      </c>
    </row>
    <row r="10322" spans="1:1" x14ac:dyDescent="0.25">
      <c r="A10322" t="s">
        <v>9800</v>
      </c>
    </row>
    <row r="10323" spans="1:1" x14ac:dyDescent="0.25">
      <c r="A10323" t="s">
        <v>9801</v>
      </c>
    </row>
    <row r="10324" spans="1:1" x14ac:dyDescent="0.25">
      <c r="A10324" t="s">
        <v>9802</v>
      </c>
    </row>
    <row r="10325" spans="1:1" x14ac:dyDescent="0.25">
      <c r="A10325" t="s">
        <v>9803</v>
      </c>
    </row>
    <row r="10326" spans="1:1" x14ac:dyDescent="0.25">
      <c r="A10326" t="s">
        <v>9804</v>
      </c>
    </row>
    <row r="10327" spans="1:1" x14ac:dyDescent="0.25">
      <c r="A10327" t="s">
        <v>9805</v>
      </c>
    </row>
    <row r="10328" spans="1:1" x14ac:dyDescent="0.25">
      <c r="A10328" t="s">
        <v>3813</v>
      </c>
    </row>
    <row r="10329" spans="1:1" x14ac:dyDescent="0.25">
      <c r="A10329" t="s">
        <v>9806</v>
      </c>
    </row>
    <row r="10330" spans="1:1" x14ac:dyDescent="0.25">
      <c r="A10330" t="s">
        <v>9807</v>
      </c>
    </row>
    <row r="10331" spans="1:1" x14ac:dyDescent="0.25">
      <c r="A10331" t="s">
        <v>9808</v>
      </c>
    </row>
    <row r="10332" spans="1:1" x14ac:dyDescent="0.25">
      <c r="A10332" t="s">
        <v>9809</v>
      </c>
    </row>
    <row r="10334" spans="1:1" x14ac:dyDescent="0.25">
      <c r="A10334" t="s">
        <v>9810</v>
      </c>
    </row>
    <row r="10335" spans="1:1" x14ac:dyDescent="0.25">
      <c r="A10335" t="s">
        <v>9811</v>
      </c>
    </row>
    <row r="10336" spans="1:1" x14ac:dyDescent="0.25">
      <c r="A10336" t="s">
        <v>9812</v>
      </c>
    </row>
    <row r="10337" spans="1:1" x14ac:dyDescent="0.25">
      <c r="A10337" t="s">
        <v>9813</v>
      </c>
    </row>
    <row r="10338" spans="1:1" x14ac:dyDescent="0.25">
      <c r="A10338" t="s">
        <v>9814</v>
      </c>
    </row>
    <row r="10339" spans="1:1" x14ac:dyDescent="0.25">
      <c r="A10339" t="s">
        <v>9815</v>
      </c>
    </row>
    <row r="10340" spans="1:1" x14ac:dyDescent="0.25">
      <c r="A10340" t="s">
        <v>9564</v>
      </c>
    </row>
    <row r="10341" spans="1:1" x14ac:dyDescent="0.25">
      <c r="A10341" t="s">
        <v>9565</v>
      </c>
    </row>
    <row r="10342" spans="1:1" x14ac:dyDescent="0.25">
      <c r="A10342" t="s">
        <v>9816</v>
      </c>
    </row>
    <row r="10343" spans="1:1" x14ac:dyDescent="0.25">
      <c r="A10343" t="s">
        <v>9567</v>
      </c>
    </row>
    <row r="10344" spans="1:1" x14ac:dyDescent="0.25">
      <c r="A10344" t="s">
        <v>9817</v>
      </c>
    </row>
    <row r="10345" spans="1:1" x14ac:dyDescent="0.25">
      <c r="A10345" t="s">
        <v>9818</v>
      </c>
    </row>
    <row r="10346" spans="1:1" x14ac:dyDescent="0.25">
      <c r="A10346" t="s">
        <v>9819</v>
      </c>
    </row>
    <row r="10347" spans="1:1" x14ac:dyDescent="0.25">
      <c r="A10347" t="s">
        <v>9820</v>
      </c>
    </row>
    <row r="10348" spans="1:1" x14ac:dyDescent="0.25">
      <c r="A10348" t="s">
        <v>9821</v>
      </c>
    </row>
    <row r="10349" spans="1:1" x14ac:dyDescent="0.25">
      <c r="A10349" t="s">
        <v>9822</v>
      </c>
    </row>
    <row r="10350" spans="1:1" x14ac:dyDescent="0.25">
      <c r="A10350" t="s">
        <v>9823</v>
      </c>
    </row>
    <row r="10351" spans="1:1" x14ac:dyDescent="0.25">
      <c r="A10351" t="s">
        <v>9824</v>
      </c>
    </row>
    <row r="10352" spans="1:1" x14ac:dyDescent="0.25">
      <c r="A10352" t="s">
        <v>9825</v>
      </c>
    </row>
    <row r="10353" spans="1:1" x14ac:dyDescent="0.25">
      <c r="A10353" t="s">
        <v>9826</v>
      </c>
    </row>
    <row r="10354" spans="1:1" x14ac:dyDescent="0.25">
      <c r="A10354" t="s">
        <v>9827</v>
      </c>
    </row>
    <row r="10355" spans="1:1" x14ac:dyDescent="0.25">
      <c r="A10355" t="s">
        <v>9828</v>
      </c>
    </row>
    <row r="10356" spans="1:1" x14ac:dyDescent="0.25">
      <c r="A10356" t="s">
        <v>9711</v>
      </c>
    </row>
    <row r="10357" spans="1:1" x14ac:dyDescent="0.25">
      <c r="A10357" t="s">
        <v>9712</v>
      </c>
    </row>
    <row r="10358" spans="1:1" x14ac:dyDescent="0.25">
      <c r="A10358" t="s">
        <v>9829</v>
      </c>
    </row>
    <row r="10359" spans="1:1" x14ac:dyDescent="0.25">
      <c r="A10359" t="s">
        <v>9005</v>
      </c>
    </row>
    <row r="10360" spans="1:1" x14ac:dyDescent="0.25">
      <c r="A10360" t="s">
        <v>9830</v>
      </c>
    </row>
    <row r="10361" spans="1:1" x14ac:dyDescent="0.25">
      <c r="A10361" t="s">
        <v>9831</v>
      </c>
    </row>
    <row r="10362" spans="1:1" x14ac:dyDescent="0.25">
      <c r="A10362" t="s">
        <v>9832</v>
      </c>
    </row>
    <row r="10363" spans="1:1" x14ac:dyDescent="0.25">
      <c r="A10363" t="s">
        <v>9833</v>
      </c>
    </row>
    <row r="10364" spans="1:1" x14ac:dyDescent="0.25">
      <c r="A10364" t="s">
        <v>9834</v>
      </c>
    </row>
    <row r="10365" spans="1:1" x14ac:dyDescent="0.25">
      <c r="A10365" t="s">
        <v>9835</v>
      </c>
    </row>
    <row r="10366" spans="1:1" x14ac:dyDescent="0.25">
      <c r="A10366" t="s">
        <v>9836</v>
      </c>
    </row>
    <row r="10367" spans="1:1" x14ac:dyDescent="0.25">
      <c r="A10367" t="s">
        <v>9837</v>
      </c>
    </row>
    <row r="10368" spans="1:1" x14ac:dyDescent="0.25">
      <c r="A10368" t="s">
        <v>9838</v>
      </c>
    </row>
    <row r="10369" spans="1:1" x14ac:dyDescent="0.25">
      <c r="A10369" t="s">
        <v>9839</v>
      </c>
    </row>
    <row r="10370" spans="1:1" x14ac:dyDescent="0.25">
      <c r="A10370" t="s">
        <v>9840</v>
      </c>
    </row>
    <row r="10371" spans="1:1" x14ac:dyDescent="0.25">
      <c r="A10371" t="s">
        <v>9841</v>
      </c>
    </row>
    <row r="10372" spans="1:1" x14ac:dyDescent="0.25">
      <c r="A10372" t="s">
        <v>9836</v>
      </c>
    </row>
    <row r="10373" spans="1:1" x14ac:dyDescent="0.25">
      <c r="A10373" t="s">
        <v>9842</v>
      </c>
    </row>
    <row r="10374" spans="1:1" x14ac:dyDescent="0.25">
      <c r="A10374" t="s">
        <v>9843</v>
      </c>
    </row>
    <row r="10375" spans="1:1" x14ac:dyDescent="0.25">
      <c r="A10375" t="s">
        <v>9844</v>
      </c>
    </row>
    <row r="10376" spans="1:1" x14ac:dyDescent="0.25">
      <c r="A10376" t="s">
        <v>9845</v>
      </c>
    </row>
    <row r="10377" spans="1:1" x14ac:dyDescent="0.25">
      <c r="A10377" t="s">
        <v>9836</v>
      </c>
    </row>
    <row r="10378" spans="1:1" x14ac:dyDescent="0.25">
      <c r="A10378" t="s">
        <v>9846</v>
      </c>
    </row>
    <row r="10379" spans="1:1" x14ac:dyDescent="0.25">
      <c r="A10379" t="s">
        <v>9847</v>
      </c>
    </row>
    <row r="10380" spans="1:1" x14ac:dyDescent="0.25">
      <c r="A10380" t="s">
        <v>9848</v>
      </c>
    </row>
    <row r="10381" spans="1:1" x14ac:dyDescent="0.25">
      <c r="A10381" t="s">
        <v>9849</v>
      </c>
    </row>
    <row r="10382" spans="1:1" x14ac:dyDescent="0.25">
      <c r="A10382" t="s">
        <v>9836</v>
      </c>
    </row>
    <row r="10383" spans="1:1" x14ac:dyDescent="0.25">
      <c r="A10383" t="s">
        <v>9850</v>
      </c>
    </row>
    <row r="10384" spans="1:1" x14ac:dyDescent="0.25">
      <c r="A10384" t="s">
        <v>9851</v>
      </c>
    </row>
    <row r="10385" spans="1:1" x14ac:dyDescent="0.25">
      <c r="A10385" t="s">
        <v>9852</v>
      </c>
    </row>
    <row r="10386" spans="1:1" x14ac:dyDescent="0.25">
      <c r="A10386" t="s">
        <v>9853</v>
      </c>
    </row>
    <row r="10387" spans="1:1" x14ac:dyDescent="0.25">
      <c r="A10387" t="s">
        <v>9854</v>
      </c>
    </row>
    <row r="10388" spans="1:1" x14ac:dyDescent="0.25">
      <c r="A10388" t="s">
        <v>9855</v>
      </c>
    </row>
    <row r="10389" spans="1:1" x14ac:dyDescent="0.25">
      <c r="A10389" t="s">
        <v>9856</v>
      </c>
    </row>
    <row r="10390" spans="1:1" x14ac:dyDescent="0.25">
      <c r="A10390" t="s">
        <v>9857</v>
      </c>
    </row>
    <row r="10391" spans="1:1" x14ac:dyDescent="0.25">
      <c r="A10391" t="s">
        <v>9858</v>
      </c>
    </row>
    <row r="10392" spans="1:1" x14ac:dyDescent="0.25">
      <c r="A10392" t="s">
        <v>9859</v>
      </c>
    </row>
    <row r="10393" spans="1:1" x14ac:dyDescent="0.25">
      <c r="A10393" t="s">
        <v>9860</v>
      </c>
    </row>
    <row r="10394" spans="1:1" x14ac:dyDescent="0.25">
      <c r="A10394" t="s">
        <v>9861</v>
      </c>
    </row>
    <row r="10395" spans="1:1" x14ac:dyDescent="0.25">
      <c r="A10395" t="s">
        <v>9862</v>
      </c>
    </row>
    <row r="10396" spans="1:1" x14ac:dyDescent="0.25">
      <c r="A10396" t="s">
        <v>9863</v>
      </c>
    </row>
    <row r="10397" spans="1:1" x14ac:dyDescent="0.25">
      <c r="A10397" t="s">
        <v>9864</v>
      </c>
    </row>
    <row r="10398" spans="1:1" x14ac:dyDescent="0.25">
      <c r="A10398" t="s">
        <v>9865</v>
      </c>
    </row>
    <row r="10399" spans="1:1" x14ac:dyDescent="0.25">
      <c r="A10399" t="s">
        <v>9866</v>
      </c>
    </row>
    <row r="10400" spans="1:1" x14ac:dyDescent="0.25">
      <c r="A10400" t="s">
        <v>9867</v>
      </c>
    </row>
    <row r="10401" spans="1:1" x14ac:dyDescent="0.25">
      <c r="A10401" t="s">
        <v>9868</v>
      </c>
    </row>
    <row r="10402" spans="1:1" x14ac:dyDescent="0.25">
      <c r="A10402" t="s">
        <v>9869</v>
      </c>
    </row>
    <row r="10403" spans="1:1" x14ac:dyDescent="0.25">
      <c r="A10403" t="s">
        <v>9865</v>
      </c>
    </row>
    <row r="10404" spans="1:1" x14ac:dyDescent="0.25">
      <c r="A10404" t="s">
        <v>9870</v>
      </c>
    </row>
    <row r="10405" spans="1:1" x14ac:dyDescent="0.25">
      <c r="A10405" t="s">
        <v>9871</v>
      </c>
    </row>
    <row r="10406" spans="1:1" x14ac:dyDescent="0.25">
      <c r="A10406" t="s">
        <v>9872</v>
      </c>
    </row>
    <row r="10407" spans="1:1" x14ac:dyDescent="0.25">
      <c r="A10407" t="s">
        <v>9873</v>
      </c>
    </row>
    <row r="10408" spans="1:1" x14ac:dyDescent="0.25">
      <c r="A10408" t="s">
        <v>9865</v>
      </c>
    </row>
    <row r="10409" spans="1:1" x14ac:dyDescent="0.25">
      <c r="A10409" t="s">
        <v>9874</v>
      </c>
    </row>
    <row r="10410" spans="1:1" x14ac:dyDescent="0.25">
      <c r="A10410" t="s">
        <v>9875</v>
      </c>
    </row>
    <row r="10411" spans="1:1" x14ac:dyDescent="0.25">
      <c r="A10411" t="s">
        <v>9876</v>
      </c>
    </row>
    <row r="10412" spans="1:1" x14ac:dyDescent="0.25">
      <c r="A10412" t="s">
        <v>9877</v>
      </c>
    </row>
    <row r="10414" spans="1:1" x14ac:dyDescent="0.25">
      <c r="A10414" t="s">
        <v>9865</v>
      </c>
    </row>
    <row r="10415" spans="1:1" x14ac:dyDescent="0.25">
      <c r="A10415" t="s">
        <v>9878</v>
      </c>
    </row>
    <row r="10416" spans="1:1" x14ac:dyDescent="0.25">
      <c r="A10416" t="s">
        <v>9879</v>
      </c>
    </row>
    <row r="10417" spans="1:1" x14ac:dyDescent="0.25">
      <c r="A10417" t="s">
        <v>9880</v>
      </c>
    </row>
    <row r="10418" spans="1:1" x14ac:dyDescent="0.25">
      <c r="A10418" t="s">
        <v>9881</v>
      </c>
    </row>
    <row r="10419" spans="1:1" x14ac:dyDescent="0.25">
      <c r="A10419" t="s">
        <v>9882</v>
      </c>
    </row>
    <row r="10420" spans="1:1" x14ac:dyDescent="0.25">
      <c r="A10420" t="s">
        <v>9883</v>
      </c>
    </row>
    <row r="10421" spans="1:1" x14ac:dyDescent="0.25">
      <c r="A10421" t="s">
        <v>9884</v>
      </c>
    </row>
    <row r="10422" spans="1:1" x14ac:dyDescent="0.25">
      <c r="A10422" t="s">
        <v>9885</v>
      </c>
    </row>
    <row r="10423" spans="1:1" x14ac:dyDescent="0.25">
      <c r="A10423" t="s">
        <v>9886</v>
      </c>
    </row>
    <row r="10424" spans="1:1" x14ac:dyDescent="0.25">
      <c r="A10424" t="s">
        <v>9887</v>
      </c>
    </row>
    <row r="10425" spans="1:1" x14ac:dyDescent="0.25">
      <c r="A10425" t="s">
        <v>9888</v>
      </c>
    </row>
    <row r="10426" spans="1:1" x14ac:dyDescent="0.25">
      <c r="A10426" t="s">
        <v>9889</v>
      </c>
    </row>
    <row r="10427" spans="1:1" x14ac:dyDescent="0.25">
      <c r="A10427" t="s">
        <v>9776</v>
      </c>
    </row>
    <row r="10428" spans="1:1" x14ac:dyDescent="0.25">
      <c r="A10428" t="s">
        <v>9890</v>
      </c>
    </row>
    <row r="10429" spans="1:1" x14ac:dyDescent="0.25">
      <c r="A10429" t="s">
        <v>9778</v>
      </c>
    </row>
    <row r="10430" spans="1:1" x14ac:dyDescent="0.25">
      <c r="A10430" t="s">
        <v>9891</v>
      </c>
    </row>
    <row r="10431" spans="1:1" x14ac:dyDescent="0.25">
      <c r="A10431" t="s">
        <v>9892</v>
      </c>
    </row>
    <row r="10432" spans="1:1" x14ac:dyDescent="0.25">
      <c r="A10432" t="s">
        <v>9893</v>
      </c>
    </row>
    <row r="10433" spans="1:1" x14ac:dyDescent="0.25">
      <c r="A10433" t="s">
        <v>9894</v>
      </c>
    </row>
    <row r="10434" spans="1:1" x14ac:dyDescent="0.25">
      <c r="A10434" t="s">
        <v>9895</v>
      </c>
    </row>
    <row r="10435" spans="1:1" x14ac:dyDescent="0.25">
      <c r="A10435" t="s">
        <v>9896</v>
      </c>
    </row>
    <row r="10436" spans="1:1" x14ac:dyDescent="0.25">
      <c r="A10436" t="s">
        <v>9897</v>
      </c>
    </row>
    <row r="10437" spans="1:1" x14ac:dyDescent="0.25">
      <c r="A10437" t="s">
        <v>9898</v>
      </c>
    </row>
    <row r="10438" spans="1:1" x14ac:dyDescent="0.25">
      <c r="A10438" t="s">
        <v>9899</v>
      </c>
    </row>
    <row r="10439" spans="1:1" x14ac:dyDescent="0.25">
      <c r="A10439" t="s">
        <v>9900</v>
      </c>
    </row>
    <row r="10440" spans="1:1" x14ac:dyDescent="0.25">
      <c r="A10440" t="s">
        <v>9901</v>
      </c>
    </row>
    <row r="10441" spans="1:1" x14ac:dyDescent="0.25">
      <c r="A10441" t="s">
        <v>9902</v>
      </c>
    </row>
    <row r="10442" spans="1:1" x14ac:dyDescent="0.25">
      <c r="A10442" t="s">
        <v>9903</v>
      </c>
    </row>
    <row r="10443" spans="1:1" x14ac:dyDescent="0.25">
      <c r="A10443" t="s">
        <v>9904</v>
      </c>
    </row>
    <row r="10444" spans="1:1" x14ac:dyDescent="0.25">
      <c r="A10444" t="s">
        <v>9905</v>
      </c>
    </row>
    <row r="10445" spans="1:1" x14ac:dyDescent="0.25">
      <c r="A10445" t="s">
        <v>9906</v>
      </c>
    </row>
    <row r="10446" spans="1:1" x14ac:dyDescent="0.25">
      <c r="A10446" t="s">
        <v>9907</v>
      </c>
    </row>
    <row r="10447" spans="1:1" x14ac:dyDescent="0.25">
      <c r="A10447" t="s">
        <v>9605</v>
      </c>
    </row>
    <row r="10448" spans="1:1" x14ac:dyDescent="0.25">
      <c r="A10448" t="s">
        <v>9908</v>
      </c>
    </row>
    <row r="10449" spans="1:1" x14ac:dyDescent="0.25">
      <c r="A10449" t="s">
        <v>9909</v>
      </c>
    </row>
    <row r="10450" spans="1:1" x14ac:dyDescent="0.25">
      <c r="A10450" t="s">
        <v>9910</v>
      </c>
    </row>
    <row r="10451" spans="1:1" x14ac:dyDescent="0.25">
      <c r="A10451" t="s">
        <v>9911</v>
      </c>
    </row>
    <row r="10452" spans="1:1" x14ac:dyDescent="0.25">
      <c r="A10452" t="s">
        <v>9912</v>
      </c>
    </row>
    <row r="10453" spans="1:1" x14ac:dyDescent="0.25">
      <c r="A10453" t="s">
        <v>9913</v>
      </c>
    </row>
    <row r="10454" spans="1:1" x14ac:dyDescent="0.25">
      <c r="A10454" t="s">
        <v>9914</v>
      </c>
    </row>
    <row r="10455" spans="1:1" x14ac:dyDescent="0.25">
      <c r="A10455" t="s">
        <v>9915</v>
      </c>
    </row>
    <row r="10456" spans="1:1" x14ac:dyDescent="0.25">
      <c r="A10456" t="s">
        <v>9916</v>
      </c>
    </row>
    <row r="10457" spans="1:1" x14ac:dyDescent="0.25">
      <c r="A10457" t="s">
        <v>9917</v>
      </c>
    </row>
    <row r="10458" spans="1:1" x14ac:dyDescent="0.25">
      <c r="A10458" t="s">
        <v>9918</v>
      </c>
    </row>
    <row r="10459" spans="1:1" x14ac:dyDescent="0.25">
      <c r="A10459" t="s">
        <v>9919</v>
      </c>
    </row>
    <row r="10460" spans="1:1" x14ac:dyDescent="0.25">
      <c r="A10460" t="s">
        <v>9920</v>
      </c>
    </row>
    <row r="10461" spans="1:1" x14ac:dyDescent="0.25">
      <c r="A10461" t="s">
        <v>9921</v>
      </c>
    </row>
    <row r="10462" spans="1:1" x14ac:dyDescent="0.25">
      <c r="A10462" t="s">
        <v>9922</v>
      </c>
    </row>
    <row r="10463" spans="1:1" x14ac:dyDescent="0.25">
      <c r="A10463" t="s">
        <v>9923</v>
      </c>
    </row>
    <row r="10464" spans="1:1" x14ac:dyDescent="0.25">
      <c r="A10464" t="s">
        <v>9924</v>
      </c>
    </row>
    <row r="10465" spans="1:1" x14ac:dyDescent="0.25">
      <c r="A10465" t="s">
        <v>9925</v>
      </c>
    </row>
    <row r="10466" spans="1:1" x14ac:dyDescent="0.25">
      <c r="A10466" t="s">
        <v>9926</v>
      </c>
    </row>
    <row r="10467" spans="1:1" x14ac:dyDescent="0.25">
      <c r="A10467" t="s">
        <v>9927</v>
      </c>
    </row>
    <row r="10468" spans="1:1" x14ac:dyDescent="0.25">
      <c r="A10468" t="s">
        <v>9928</v>
      </c>
    </row>
    <row r="10469" spans="1:1" x14ac:dyDescent="0.25">
      <c r="A10469" t="s">
        <v>9929</v>
      </c>
    </row>
    <row r="10470" spans="1:1" x14ac:dyDescent="0.25">
      <c r="A10470" t="s">
        <v>9930</v>
      </c>
    </row>
    <row r="10471" spans="1:1" x14ac:dyDescent="0.25">
      <c r="A10471" t="s">
        <v>9931</v>
      </c>
    </row>
    <row r="10472" spans="1:1" x14ac:dyDescent="0.25">
      <c r="A10472" t="s">
        <v>9912</v>
      </c>
    </row>
    <row r="10473" spans="1:1" x14ac:dyDescent="0.25">
      <c r="A10473" t="s">
        <v>9932</v>
      </c>
    </row>
    <row r="10474" spans="1:1" x14ac:dyDescent="0.25">
      <c r="A10474" t="s">
        <v>9914</v>
      </c>
    </row>
    <row r="10475" spans="1:1" x14ac:dyDescent="0.25">
      <c r="A10475" t="s">
        <v>9933</v>
      </c>
    </row>
    <row r="10476" spans="1:1" x14ac:dyDescent="0.25">
      <c r="A10476" t="s">
        <v>9934</v>
      </c>
    </row>
    <row r="10477" spans="1:1" x14ac:dyDescent="0.25">
      <c r="A10477" t="s">
        <v>9935</v>
      </c>
    </row>
    <row r="10478" spans="1:1" x14ac:dyDescent="0.25">
      <c r="A10478" t="s">
        <v>9936</v>
      </c>
    </row>
    <row r="10479" spans="1:1" x14ac:dyDescent="0.25">
      <c r="A10479" t="s">
        <v>3913</v>
      </c>
    </row>
    <row r="10480" spans="1:1" x14ac:dyDescent="0.25">
      <c r="A10480" t="s">
        <v>3914</v>
      </c>
    </row>
    <row r="10481" spans="1:6" x14ac:dyDescent="0.25">
      <c r="A10481" t="s">
        <v>3915</v>
      </c>
    </row>
    <row r="10482" spans="1:6" x14ac:dyDescent="0.25">
      <c r="A10482" t="s">
        <v>3916</v>
      </c>
    </row>
    <row r="10483" spans="1:6" x14ac:dyDescent="0.25">
      <c r="A10483" t="s">
        <v>3917</v>
      </c>
    </row>
    <row r="10484" spans="1:6" x14ac:dyDescent="0.25">
      <c r="A10484" t="s">
        <v>3918</v>
      </c>
    </row>
    <row r="10485" spans="1:6" x14ac:dyDescent="0.25">
      <c r="A10485" t="s">
        <v>3919</v>
      </c>
    </row>
    <row r="10487" spans="1:6" x14ac:dyDescent="0.25">
      <c r="A10487" t="s">
        <v>9937</v>
      </c>
    </row>
    <row r="10488" spans="1:6" x14ac:dyDescent="0.25">
      <c r="A10488" t="s">
        <v>9938</v>
      </c>
    </row>
    <row r="10489" spans="1:6" x14ac:dyDescent="0.25">
      <c r="A10489" t="s">
        <v>9939</v>
      </c>
    </row>
    <row r="10490" spans="1:6" x14ac:dyDescent="0.25">
      <c r="A10490" t="s">
        <v>9940</v>
      </c>
    </row>
    <row r="10491" spans="1:6" x14ac:dyDescent="0.25">
      <c r="A10491" t="s">
        <v>4353</v>
      </c>
    </row>
    <row r="10492" spans="1:6" x14ac:dyDescent="0.25">
      <c r="A10492" t="s">
        <v>9941</v>
      </c>
    </row>
    <row r="10493" spans="1:6" x14ac:dyDescent="0.25">
      <c r="A10493" t="s">
        <v>4356</v>
      </c>
    </row>
    <row r="10494" spans="1:6" x14ac:dyDescent="0.25">
      <c r="A10494">
        <v>1</v>
      </c>
      <c r="B10494" t="s">
        <v>2171</v>
      </c>
      <c r="C10494">
        <v>866.1</v>
      </c>
      <c r="D10494" s="55">
        <v>43799</v>
      </c>
      <c r="E10494">
        <v>5</v>
      </c>
      <c r="F10494">
        <v>1233</v>
      </c>
    </row>
    <row r="10495" spans="1:6" x14ac:dyDescent="0.25">
      <c r="A10495" t="s">
        <v>9942</v>
      </c>
    </row>
    <row r="10496" spans="1:6" x14ac:dyDescent="0.25">
      <c r="A10496" t="s">
        <v>9943</v>
      </c>
    </row>
    <row r="10497" spans="1:1" x14ac:dyDescent="0.25">
      <c r="A10497" t="s">
        <v>9944</v>
      </c>
    </row>
    <row r="10498" spans="1:1" x14ac:dyDescent="0.25">
      <c r="A10498" t="s">
        <v>9945</v>
      </c>
    </row>
    <row r="10499" spans="1:1" x14ac:dyDescent="0.25">
      <c r="A10499" t="s">
        <v>9946</v>
      </c>
    </row>
    <row r="10500" spans="1:1" x14ac:dyDescent="0.25">
      <c r="A10500" t="s">
        <v>9947</v>
      </c>
    </row>
    <row r="10501" spans="1:1" x14ac:dyDescent="0.25">
      <c r="A10501" t="s">
        <v>9948</v>
      </c>
    </row>
    <row r="10502" spans="1:1" x14ac:dyDescent="0.25">
      <c r="A10502" t="s">
        <v>9949</v>
      </c>
    </row>
    <row r="10503" spans="1:1" x14ac:dyDescent="0.25">
      <c r="A10503" t="s">
        <v>9950</v>
      </c>
    </row>
    <row r="10504" spans="1:1" x14ac:dyDescent="0.25">
      <c r="A10504" t="s">
        <v>9951</v>
      </c>
    </row>
    <row r="10505" spans="1:1" x14ac:dyDescent="0.25">
      <c r="A10505" t="s">
        <v>9952</v>
      </c>
    </row>
    <row r="10506" spans="1:1" x14ac:dyDescent="0.25">
      <c r="A10506" t="s">
        <v>9953</v>
      </c>
    </row>
    <row r="10507" spans="1:1" x14ac:dyDescent="0.25">
      <c r="A10507" t="s">
        <v>9954</v>
      </c>
    </row>
    <row r="10508" spans="1:1" x14ac:dyDescent="0.25">
      <c r="A10508" t="s">
        <v>9955</v>
      </c>
    </row>
    <row r="10509" spans="1:1" x14ac:dyDescent="0.25">
      <c r="A10509" t="s">
        <v>9956</v>
      </c>
    </row>
    <row r="10510" spans="1:1" x14ac:dyDescent="0.25">
      <c r="A10510" t="s">
        <v>9957</v>
      </c>
    </row>
    <row r="10511" spans="1:1" x14ac:dyDescent="0.25">
      <c r="A10511" t="s">
        <v>9958</v>
      </c>
    </row>
    <row r="10512" spans="1:1" x14ac:dyDescent="0.25">
      <c r="A10512" t="s">
        <v>9959</v>
      </c>
    </row>
    <row r="10513" spans="1:1" x14ac:dyDescent="0.25">
      <c r="A10513" t="s">
        <v>9960</v>
      </c>
    </row>
    <row r="10514" spans="1:1" x14ac:dyDescent="0.25">
      <c r="A10514" t="s">
        <v>9916</v>
      </c>
    </row>
    <row r="10515" spans="1:1" x14ac:dyDescent="0.25">
      <c r="A10515" t="s">
        <v>9917</v>
      </c>
    </row>
    <row r="10516" spans="1:1" x14ac:dyDescent="0.25">
      <c r="A10516" t="s">
        <v>9961</v>
      </c>
    </row>
    <row r="10517" spans="1:1" x14ac:dyDescent="0.25">
      <c r="A10517" t="s">
        <v>9919</v>
      </c>
    </row>
    <row r="10518" spans="1:1" x14ac:dyDescent="0.25">
      <c r="A10518" t="s">
        <v>9962</v>
      </c>
    </row>
    <row r="10519" spans="1:1" x14ac:dyDescent="0.25">
      <c r="A10519" t="s">
        <v>9963</v>
      </c>
    </row>
    <row r="10520" spans="1:1" x14ac:dyDescent="0.25">
      <c r="A10520" t="s">
        <v>9964</v>
      </c>
    </row>
    <row r="10521" spans="1:1" x14ac:dyDescent="0.25">
      <c r="A10521" t="s">
        <v>9965</v>
      </c>
    </row>
    <row r="10522" spans="1:1" x14ac:dyDescent="0.25">
      <c r="A10522" t="s">
        <v>9966</v>
      </c>
    </row>
    <row r="10523" spans="1:1" x14ac:dyDescent="0.25">
      <c r="A10523" t="s">
        <v>9967</v>
      </c>
    </row>
    <row r="10524" spans="1:1" x14ac:dyDescent="0.25">
      <c r="A10524" t="s">
        <v>9968</v>
      </c>
    </row>
    <row r="10525" spans="1:1" x14ac:dyDescent="0.25">
      <c r="A10525" t="s">
        <v>9969</v>
      </c>
    </row>
    <row r="10526" spans="1:1" x14ac:dyDescent="0.25">
      <c r="A10526" t="s">
        <v>9970</v>
      </c>
    </row>
    <row r="10527" spans="1:1" x14ac:dyDescent="0.25">
      <c r="A10527" t="s">
        <v>9971</v>
      </c>
    </row>
    <row r="10528" spans="1:1" x14ac:dyDescent="0.25">
      <c r="A10528" t="s">
        <v>9972</v>
      </c>
    </row>
    <row r="10529" spans="1:1" x14ac:dyDescent="0.25">
      <c r="A10529" t="s">
        <v>9973</v>
      </c>
    </row>
    <row r="10530" spans="1:1" x14ac:dyDescent="0.25">
      <c r="A10530" t="s">
        <v>9974</v>
      </c>
    </row>
    <row r="10531" spans="1:1" x14ac:dyDescent="0.25">
      <c r="A10531" t="s">
        <v>9975</v>
      </c>
    </row>
    <row r="10532" spans="1:1" x14ac:dyDescent="0.25">
      <c r="A10532" t="s">
        <v>9976</v>
      </c>
    </row>
    <row r="10533" spans="1:1" x14ac:dyDescent="0.25">
      <c r="A10533" t="s">
        <v>9977</v>
      </c>
    </row>
    <row r="10534" spans="1:1" x14ac:dyDescent="0.25">
      <c r="A10534" t="s">
        <v>9971</v>
      </c>
    </row>
    <row r="10535" spans="1:1" x14ac:dyDescent="0.25">
      <c r="A10535" t="s">
        <v>9978</v>
      </c>
    </row>
    <row r="10536" spans="1:1" x14ac:dyDescent="0.25">
      <c r="A10536" t="s">
        <v>9973</v>
      </c>
    </row>
    <row r="10537" spans="1:1" x14ac:dyDescent="0.25">
      <c r="A10537" t="s">
        <v>9979</v>
      </c>
    </row>
    <row r="10538" spans="1:1" x14ac:dyDescent="0.25">
      <c r="A10538" t="s">
        <v>9980</v>
      </c>
    </row>
    <row r="10539" spans="1:1" x14ac:dyDescent="0.25">
      <c r="A10539" t="s">
        <v>9981</v>
      </c>
    </row>
    <row r="10540" spans="1:1" x14ac:dyDescent="0.25">
      <c r="A10540" t="s">
        <v>9982</v>
      </c>
    </row>
    <row r="10541" spans="1:1" x14ac:dyDescent="0.25">
      <c r="A10541" t="s">
        <v>9983</v>
      </c>
    </row>
    <row r="10542" spans="1:1" x14ac:dyDescent="0.25">
      <c r="A10542" t="s">
        <v>9984</v>
      </c>
    </row>
    <row r="10543" spans="1:1" x14ac:dyDescent="0.25">
      <c r="A10543" t="s">
        <v>9985</v>
      </c>
    </row>
    <row r="10544" spans="1:1" x14ac:dyDescent="0.25">
      <c r="A10544" t="s">
        <v>9986</v>
      </c>
    </row>
    <row r="10545" spans="1:5" x14ac:dyDescent="0.25">
      <c r="A10545" t="s">
        <v>9987</v>
      </c>
    </row>
    <row r="10546" spans="1:5" x14ac:dyDescent="0.25">
      <c r="A10546" t="s">
        <v>9988</v>
      </c>
    </row>
    <row r="10547" spans="1:5" x14ac:dyDescent="0.25">
      <c r="A10547" t="s">
        <v>9989</v>
      </c>
    </row>
    <row r="10548" spans="1:5" x14ac:dyDescent="0.25">
      <c r="A10548" t="s">
        <v>9990</v>
      </c>
    </row>
    <row r="10549" spans="1:5" x14ac:dyDescent="0.25">
      <c r="A10549" t="s">
        <v>9991</v>
      </c>
    </row>
    <row r="10550" spans="1:5" x14ac:dyDescent="0.25">
      <c r="A10550" t="s">
        <v>9992</v>
      </c>
    </row>
    <row r="10551" spans="1:5" x14ac:dyDescent="0.25">
      <c r="A10551" t="s">
        <v>1342</v>
      </c>
    </row>
    <row r="10552" spans="1:5" x14ac:dyDescent="0.25">
      <c r="A10552" t="s">
        <v>9993</v>
      </c>
    </row>
    <row r="10553" spans="1:5" x14ac:dyDescent="0.25">
      <c r="A10553" t="s">
        <v>9994</v>
      </c>
    </row>
    <row r="10554" spans="1:5" x14ac:dyDescent="0.25">
      <c r="A10554" t="s">
        <v>9995</v>
      </c>
    </row>
    <row r="10555" spans="1:5" x14ac:dyDescent="0.25">
      <c r="A10555" t="s">
        <v>9996</v>
      </c>
    </row>
    <row r="10556" spans="1:5" x14ac:dyDescent="0.25">
      <c r="A10556" t="s">
        <v>9997</v>
      </c>
    </row>
    <row r="10557" spans="1:5" x14ac:dyDescent="0.25">
      <c r="A10557" t="s">
        <v>9998</v>
      </c>
      <c r="B10557" t="s">
        <v>4946</v>
      </c>
      <c r="C10557">
        <v>2758.08</v>
      </c>
      <c r="D10557" t="s">
        <v>3428</v>
      </c>
      <c r="E10557">
        <v>374</v>
      </c>
    </row>
    <row r="10558" spans="1:5" x14ac:dyDescent="0.25">
      <c r="A10558" t="s">
        <v>9998</v>
      </c>
      <c r="B10558" t="s">
        <v>9999</v>
      </c>
      <c r="C10558">
        <v>1</v>
      </c>
      <c r="D10558" t="s">
        <v>3428</v>
      </c>
      <c r="E10558">
        <v>0</v>
      </c>
    </row>
    <row r="10559" spans="1:5" x14ac:dyDescent="0.25">
      <c r="A10559" t="s">
        <v>4948</v>
      </c>
      <c r="B10559" t="s">
        <v>4946</v>
      </c>
      <c r="C10559">
        <v>2272.13</v>
      </c>
      <c r="D10559" t="s">
        <v>3428</v>
      </c>
      <c r="E10559">
        <v>675</v>
      </c>
    </row>
    <row r="10560" spans="1:5" x14ac:dyDescent="0.25">
      <c r="A10560" t="s">
        <v>10000</v>
      </c>
      <c r="B10560" t="s">
        <v>4946</v>
      </c>
      <c r="C10560">
        <v>1190.8699999999999</v>
      </c>
      <c r="D10560" t="s">
        <v>3428</v>
      </c>
      <c r="E10560">
        <v>821</v>
      </c>
    </row>
    <row r="10562" spans="1:1" x14ac:dyDescent="0.25">
      <c r="A10562" t="s">
        <v>10001</v>
      </c>
    </row>
    <row r="10565" spans="1:1" x14ac:dyDescent="0.25">
      <c r="A10565" t="s">
        <v>10002</v>
      </c>
    </row>
    <row r="10566" spans="1:1" x14ac:dyDescent="0.25">
      <c r="A10566" t="s">
        <v>10003</v>
      </c>
    </row>
    <row r="10567" spans="1:1" x14ac:dyDescent="0.25">
      <c r="A10567" t="s">
        <v>10004</v>
      </c>
    </row>
    <row r="10568" spans="1:1" x14ac:dyDescent="0.25">
      <c r="A10568" t="s">
        <v>10005</v>
      </c>
    </row>
    <row r="10569" spans="1:1" x14ac:dyDescent="0.25">
      <c r="A10569" t="s">
        <v>10006</v>
      </c>
    </row>
    <row r="10570" spans="1:1" x14ac:dyDescent="0.25">
      <c r="A10570" t="s">
        <v>10002</v>
      </c>
    </row>
    <row r="10571" spans="1:1" x14ac:dyDescent="0.25">
      <c r="A10571" t="s">
        <v>10007</v>
      </c>
    </row>
    <row r="10572" spans="1:1" x14ac:dyDescent="0.25">
      <c r="A10572" t="s">
        <v>10008</v>
      </c>
    </row>
    <row r="10573" spans="1:1" x14ac:dyDescent="0.25">
      <c r="A10573" t="s">
        <v>10009</v>
      </c>
    </row>
    <row r="10574" spans="1:1" x14ac:dyDescent="0.25">
      <c r="A10574" t="s">
        <v>10010</v>
      </c>
    </row>
    <row r="10575" spans="1:1" x14ac:dyDescent="0.25">
      <c r="A10575" t="s">
        <v>10011</v>
      </c>
    </row>
    <row r="10576" spans="1:1" x14ac:dyDescent="0.25">
      <c r="A10576" t="s">
        <v>10012</v>
      </c>
    </row>
    <row r="10577" spans="1:1" x14ac:dyDescent="0.25">
      <c r="A10577" t="s">
        <v>10013</v>
      </c>
    </row>
    <row r="10578" spans="1:1" x14ac:dyDescent="0.25">
      <c r="A10578" t="s">
        <v>10014</v>
      </c>
    </row>
    <row r="10579" spans="1:1" x14ac:dyDescent="0.25">
      <c r="A10579" t="s">
        <v>10015</v>
      </c>
    </row>
    <row r="10580" spans="1:1" x14ac:dyDescent="0.25">
      <c r="A10580" t="s">
        <v>10016</v>
      </c>
    </row>
    <row r="10581" spans="1:1" x14ac:dyDescent="0.25">
      <c r="A10581" t="s">
        <v>10017</v>
      </c>
    </row>
    <row r="10582" spans="1:1" x14ac:dyDescent="0.25">
      <c r="A10582" t="s">
        <v>10018</v>
      </c>
    </row>
    <row r="10583" spans="1:1" x14ac:dyDescent="0.25">
      <c r="A10583" t="s">
        <v>10019</v>
      </c>
    </row>
    <row r="10584" spans="1:1" x14ac:dyDescent="0.25">
      <c r="A10584" t="s">
        <v>10020</v>
      </c>
    </row>
    <row r="10585" spans="1:1" x14ac:dyDescent="0.25">
      <c r="A10585" t="s">
        <v>10021</v>
      </c>
    </row>
    <row r="10586" spans="1:1" x14ac:dyDescent="0.25">
      <c r="A10586" t="s">
        <v>10022</v>
      </c>
    </row>
    <row r="10587" spans="1:1" x14ac:dyDescent="0.25">
      <c r="A10587" t="s">
        <v>10023</v>
      </c>
    </row>
    <row r="10588" spans="1:1" x14ac:dyDescent="0.25">
      <c r="A10588" t="s">
        <v>10024</v>
      </c>
    </row>
    <row r="10589" spans="1:1" x14ac:dyDescent="0.25">
      <c r="A10589" t="s">
        <v>10025</v>
      </c>
    </row>
    <row r="10590" spans="1:1" x14ac:dyDescent="0.25">
      <c r="A10590" t="s">
        <v>10026</v>
      </c>
    </row>
    <row r="10591" spans="1:1" x14ac:dyDescent="0.25">
      <c r="A10591" t="s">
        <v>10027</v>
      </c>
    </row>
    <row r="10592" spans="1:1" x14ac:dyDescent="0.25">
      <c r="A10592" t="s">
        <v>10028</v>
      </c>
    </row>
    <row r="10593" spans="1:1" x14ac:dyDescent="0.25">
      <c r="A10593" t="s">
        <v>10029</v>
      </c>
    </row>
    <row r="10594" spans="1:1" x14ac:dyDescent="0.25">
      <c r="A10594" t="s">
        <v>10030</v>
      </c>
    </row>
    <row r="10595" spans="1:1" x14ac:dyDescent="0.25">
      <c r="A10595" t="s">
        <v>10031</v>
      </c>
    </row>
    <row r="10596" spans="1:1" x14ac:dyDescent="0.25">
      <c r="A10596" t="s">
        <v>10032</v>
      </c>
    </row>
    <row r="10597" spans="1:1" x14ac:dyDescent="0.25">
      <c r="A10597" t="s">
        <v>10033</v>
      </c>
    </row>
    <row r="10598" spans="1:1" x14ac:dyDescent="0.25">
      <c r="A10598" t="s">
        <v>10034</v>
      </c>
    </row>
    <row r="10599" spans="1:1" x14ac:dyDescent="0.25">
      <c r="A10599" t="s">
        <v>10035</v>
      </c>
    </row>
    <row r="10600" spans="1:1" x14ac:dyDescent="0.25">
      <c r="A10600" t="s">
        <v>10036</v>
      </c>
    </row>
    <row r="10601" spans="1:1" x14ac:dyDescent="0.25">
      <c r="A10601" t="s">
        <v>10037</v>
      </c>
    </row>
    <row r="10602" spans="1:1" x14ac:dyDescent="0.25">
      <c r="A10602" t="s">
        <v>10038</v>
      </c>
    </row>
    <row r="10603" spans="1:1" x14ac:dyDescent="0.25">
      <c r="A10603" t="s">
        <v>10039</v>
      </c>
    </row>
    <row r="10604" spans="1:1" x14ac:dyDescent="0.25">
      <c r="A10604" t="s">
        <v>10040</v>
      </c>
    </row>
    <row r="10605" spans="1:1" x14ac:dyDescent="0.25">
      <c r="A10605" t="s">
        <v>1330</v>
      </c>
    </row>
    <row r="10606" spans="1:1" x14ac:dyDescent="0.25">
      <c r="A10606" t="s">
        <v>10041</v>
      </c>
    </row>
    <row r="10607" spans="1:1" x14ac:dyDescent="0.25">
      <c r="A10607" t="s">
        <v>10038</v>
      </c>
    </row>
    <row r="10608" spans="1:1" x14ac:dyDescent="0.25">
      <c r="A10608" t="s">
        <v>10042</v>
      </c>
    </row>
    <row r="10609" spans="1:1" x14ac:dyDescent="0.25">
      <c r="A10609" t="s">
        <v>10043</v>
      </c>
    </row>
    <row r="10610" spans="1:1" x14ac:dyDescent="0.25">
      <c r="A10610" t="s">
        <v>10044</v>
      </c>
    </row>
    <row r="10611" spans="1:1" x14ac:dyDescent="0.25">
      <c r="A10611" t="s">
        <v>10045</v>
      </c>
    </row>
    <row r="10612" spans="1:1" x14ac:dyDescent="0.25">
      <c r="A10612" t="s">
        <v>10046</v>
      </c>
    </row>
    <row r="10613" spans="1:1" x14ac:dyDescent="0.25">
      <c r="A10613" t="s">
        <v>10047</v>
      </c>
    </row>
    <row r="10614" spans="1:1" x14ac:dyDescent="0.25">
      <c r="A10614" t="s">
        <v>10048</v>
      </c>
    </row>
    <row r="10615" spans="1:1" x14ac:dyDescent="0.25">
      <c r="A10615" t="s">
        <v>10049</v>
      </c>
    </row>
    <row r="10616" spans="1:1" x14ac:dyDescent="0.25">
      <c r="A10616" t="s">
        <v>10050</v>
      </c>
    </row>
    <row r="10617" spans="1:1" x14ac:dyDescent="0.25">
      <c r="A10617" t="s">
        <v>10051</v>
      </c>
    </row>
    <row r="10618" spans="1:1" x14ac:dyDescent="0.25">
      <c r="A10618" t="s">
        <v>10052</v>
      </c>
    </row>
    <row r="10619" spans="1:1" x14ac:dyDescent="0.25">
      <c r="A10619" t="s">
        <v>10053</v>
      </c>
    </row>
    <row r="10620" spans="1:1" x14ac:dyDescent="0.25">
      <c r="A10620" t="s">
        <v>10054</v>
      </c>
    </row>
    <row r="10621" spans="1:1" x14ac:dyDescent="0.25">
      <c r="A10621" t="s">
        <v>10055</v>
      </c>
    </row>
    <row r="10622" spans="1:1" x14ac:dyDescent="0.25">
      <c r="A10622" t="s">
        <v>10056</v>
      </c>
    </row>
    <row r="10623" spans="1:1" x14ac:dyDescent="0.25">
      <c r="A10623" t="s">
        <v>10057</v>
      </c>
    </row>
    <row r="10624" spans="1:1" x14ac:dyDescent="0.25">
      <c r="A10624" t="s">
        <v>10058</v>
      </c>
    </row>
    <row r="10625" spans="1:1" x14ac:dyDescent="0.25">
      <c r="A10625" t="s">
        <v>10059</v>
      </c>
    </row>
    <row r="10626" spans="1:1" x14ac:dyDescent="0.25">
      <c r="A10626" t="s">
        <v>10060</v>
      </c>
    </row>
    <row r="10627" spans="1:1" x14ac:dyDescent="0.25">
      <c r="A10627" t="s">
        <v>10061</v>
      </c>
    </row>
    <row r="10628" spans="1:1" x14ac:dyDescent="0.25">
      <c r="A10628" t="s">
        <v>10062</v>
      </c>
    </row>
    <row r="10629" spans="1:1" x14ac:dyDescent="0.25">
      <c r="A10629" t="s">
        <v>10063</v>
      </c>
    </row>
    <row r="10630" spans="1:1" x14ac:dyDescent="0.25">
      <c r="A10630" t="s">
        <v>10064</v>
      </c>
    </row>
    <row r="10631" spans="1:1" x14ac:dyDescent="0.25">
      <c r="A10631" t="s">
        <v>10065</v>
      </c>
    </row>
    <row r="10632" spans="1:1" x14ac:dyDescent="0.25">
      <c r="A10632" t="s">
        <v>10066</v>
      </c>
    </row>
    <row r="10633" spans="1:1" x14ac:dyDescent="0.25">
      <c r="A10633" t="s">
        <v>8571</v>
      </c>
    </row>
    <row r="10634" spans="1:1" x14ac:dyDescent="0.25">
      <c r="A10634" t="s">
        <v>8572</v>
      </c>
    </row>
    <row r="10635" spans="1:1" x14ac:dyDescent="0.25">
      <c r="A10635" t="s">
        <v>10067</v>
      </c>
    </row>
    <row r="10636" spans="1:1" x14ac:dyDescent="0.25">
      <c r="A10636" t="s">
        <v>10068</v>
      </c>
    </row>
    <row r="10637" spans="1:1" x14ac:dyDescent="0.25">
      <c r="A10637" t="s">
        <v>8575</v>
      </c>
    </row>
    <row r="10638" spans="1:1" x14ac:dyDescent="0.25">
      <c r="A10638" t="s">
        <v>10066</v>
      </c>
    </row>
    <row r="10639" spans="1:1" x14ac:dyDescent="0.25">
      <c r="A10639" t="s">
        <v>10069</v>
      </c>
    </row>
    <row r="10640" spans="1:1" x14ac:dyDescent="0.25">
      <c r="A10640" t="s">
        <v>10070</v>
      </c>
    </row>
    <row r="10641" spans="1:1" x14ac:dyDescent="0.25">
      <c r="A10641" t="s">
        <v>10071</v>
      </c>
    </row>
    <row r="10642" spans="1:1" x14ac:dyDescent="0.25">
      <c r="A10642" t="s">
        <v>10072</v>
      </c>
    </row>
    <row r="10643" spans="1:1" x14ac:dyDescent="0.25">
      <c r="A10643">
        <v>920584267</v>
      </c>
    </row>
    <row r="10644" spans="1:1" x14ac:dyDescent="0.25">
      <c r="A10644" t="s">
        <v>10073</v>
      </c>
    </row>
    <row r="10645" spans="1:1" x14ac:dyDescent="0.25">
      <c r="A10645" t="s">
        <v>10074</v>
      </c>
    </row>
    <row r="10646" spans="1:1" x14ac:dyDescent="0.25">
      <c r="A10646" t="s">
        <v>10075</v>
      </c>
    </row>
    <row r="10647" spans="1:1" x14ac:dyDescent="0.25">
      <c r="A10647" t="s">
        <v>10076</v>
      </c>
    </row>
    <row r="10648" spans="1:1" x14ac:dyDescent="0.25">
      <c r="A10648" t="s">
        <v>10077</v>
      </c>
    </row>
    <row r="10649" spans="1:1" x14ac:dyDescent="0.25">
      <c r="A10649" t="s">
        <v>10078</v>
      </c>
    </row>
    <row r="10650" spans="1:1" x14ac:dyDescent="0.25">
      <c r="A10650" t="s">
        <v>10079</v>
      </c>
    </row>
    <row r="10651" spans="1:1" x14ac:dyDescent="0.25">
      <c r="A10651" t="s">
        <v>10080</v>
      </c>
    </row>
    <row r="10652" spans="1:1" x14ac:dyDescent="0.25">
      <c r="A10652" t="s">
        <v>10081</v>
      </c>
    </row>
    <row r="10653" spans="1:1" x14ac:dyDescent="0.25">
      <c r="A10653" t="s">
        <v>10082</v>
      </c>
    </row>
    <row r="10654" spans="1:1" x14ac:dyDescent="0.25">
      <c r="A10654" t="s">
        <v>10083</v>
      </c>
    </row>
    <row r="10655" spans="1:1" x14ac:dyDescent="0.25">
      <c r="A10655" t="s">
        <v>10084</v>
      </c>
    </row>
    <row r="10656" spans="1:1" x14ac:dyDescent="0.25">
      <c r="A10656" t="s">
        <v>10085</v>
      </c>
    </row>
    <row r="10657" spans="1:1" x14ac:dyDescent="0.25">
      <c r="A10657" t="s">
        <v>10086</v>
      </c>
    </row>
    <row r="10658" spans="1:1" x14ac:dyDescent="0.25">
      <c r="A10658" t="s">
        <v>10087</v>
      </c>
    </row>
    <row r="10659" spans="1:1" x14ac:dyDescent="0.25">
      <c r="A10659" t="s">
        <v>10088</v>
      </c>
    </row>
    <row r="10660" spans="1:1" x14ac:dyDescent="0.25">
      <c r="A10660" t="s">
        <v>10089</v>
      </c>
    </row>
    <row r="10661" spans="1:1" x14ac:dyDescent="0.25">
      <c r="A10661" t="s">
        <v>10090</v>
      </c>
    </row>
    <row r="10662" spans="1:1" x14ac:dyDescent="0.25">
      <c r="A10662" t="s">
        <v>10091</v>
      </c>
    </row>
    <row r="10663" spans="1:1" x14ac:dyDescent="0.25">
      <c r="A10663" t="s">
        <v>10092</v>
      </c>
    </row>
    <row r="10664" spans="1:1" x14ac:dyDescent="0.25">
      <c r="A10664" t="s">
        <v>10093</v>
      </c>
    </row>
    <row r="10665" spans="1:1" x14ac:dyDescent="0.25">
      <c r="A10665" t="s">
        <v>10094</v>
      </c>
    </row>
    <row r="10666" spans="1:1" x14ac:dyDescent="0.25">
      <c r="A10666" t="s">
        <v>10095</v>
      </c>
    </row>
    <row r="10667" spans="1:1" x14ac:dyDescent="0.25">
      <c r="A10667" t="s">
        <v>10096</v>
      </c>
    </row>
    <row r="10668" spans="1:1" x14ac:dyDescent="0.25">
      <c r="A10668" t="s">
        <v>10097</v>
      </c>
    </row>
    <row r="10669" spans="1:1" x14ac:dyDescent="0.25">
      <c r="A10669" t="s">
        <v>10098</v>
      </c>
    </row>
    <row r="10670" spans="1:1" x14ac:dyDescent="0.25">
      <c r="A10670" t="s">
        <v>10099</v>
      </c>
    </row>
    <row r="10671" spans="1:1" x14ac:dyDescent="0.25">
      <c r="A10671" t="s">
        <v>10100</v>
      </c>
    </row>
    <row r="10672" spans="1:1" x14ac:dyDescent="0.25">
      <c r="A10672" t="s">
        <v>10101</v>
      </c>
    </row>
    <row r="10673" spans="1:1" x14ac:dyDescent="0.25">
      <c r="A10673" t="s">
        <v>10102</v>
      </c>
    </row>
    <row r="10674" spans="1:1" x14ac:dyDescent="0.25">
      <c r="A10674" t="s">
        <v>10103</v>
      </c>
    </row>
    <row r="10675" spans="1:1" x14ac:dyDescent="0.25">
      <c r="A10675" t="s">
        <v>10104</v>
      </c>
    </row>
    <row r="10676" spans="1:1" x14ac:dyDescent="0.25">
      <c r="A10676" t="s">
        <v>10105</v>
      </c>
    </row>
    <row r="10677" spans="1:1" x14ac:dyDescent="0.25">
      <c r="A10677" t="s">
        <v>10106</v>
      </c>
    </row>
    <row r="10678" spans="1:1" x14ac:dyDescent="0.25">
      <c r="A10678" t="s">
        <v>10107</v>
      </c>
    </row>
    <row r="10679" spans="1:1" x14ac:dyDescent="0.25">
      <c r="A10679" t="s">
        <v>10108</v>
      </c>
    </row>
    <row r="10680" spans="1:1" x14ac:dyDescent="0.25">
      <c r="A10680" t="s">
        <v>10109</v>
      </c>
    </row>
    <row r="10681" spans="1:1" x14ac:dyDescent="0.25">
      <c r="A10681" t="s">
        <v>10110</v>
      </c>
    </row>
    <row r="10682" spans="1:1" x14ac:dyDescent="0.25">
      <c r="A10682" t="s">
        <v>10111</v>
      </c>
    </row>
    <row r="10683" spans="1:1" x14ac:dyDescent="0.25">
      <c r="A10683" t="s">
        <v>10106</v>
      </c>
    </row>
    <row r="10684" spans="1:1" x14ac:dyDescent="0.25">
      <c r="A10684" t="s">
        <v>10112</v>
      </c>
    </row>
    <row r="10685" spans="1:1" x14ac:dyDescent="0.25">
      <c r="A10685" t="s">
        <v>10113</v>
      </c>
    </row>
    <row r="10686" spans="1:1" x14ac:dyDescent="0.25">
      <c r="A10686" t="s">
        <v>10114</v>
      </c>
    </row>
    <row r="10687" spans="1:1" x14ac:dyDescent="0.25">
      <c r="A10687" t="s">
        <v>10115</v>
      </c>
    </row>
    <row r="10688" spans="1:1" x14ac:dyDescent="0.25">
      <c r="A10688" t="s">
        <v>10116</v>
      </c>
    </row>
    <row r="10690" spans="1:1" x14ac:dyDescent="0.25">
      <c r="A10690" t="s">
        <v>10117</v>
      </c>
    </row>
    <row r="10691" spans="1:1" x14ac:dyDescent="0.25">
      <c r="A10691" t="s">
        <v>10118</v>
      </c>
    </row>
    <row r="10692" spans="1:1" x14ac:dyDescent="0.25">
      <c r="A10692" t="s">
        <v>10119</v>
      </c>
    </row>
    <row r="10693" spans="1:1" x14ac:dyDescent="0.25">
      <c r="A10693" t="s">
        <v>10120</v>
      </c>
    </row>
    <row r="10694" spans="1:1" x14ac:dyDescent="0.25">
      <c r="A10694" t="s">
        <v>10121</v>
      </c>
    </row>
    <row r="10695" spans="1:1" x14ac:dyDescent="0.25">
      <c r="A10695" t="s">
        <v>10122</v>
      </c>
    </row>
    <row r="10696" spans="1:1" x14ac:dyDescent="0.25">
      <c r="A10696" t="s">
        <v>10123</v>
      </c>
    </row>
    <row r="10697" spans="1:1" x14ac:dyDescent="0.25">
      <c r="A10697" t="s">
        <v>10124</v>
      </c>
    </row>
    <row r="10698" spans="1:1" x14ac:dyDescent="0.25">
      <c r="A10698" t="s">
        <v>10125</v>
      </c>
    </row>
    <row r="10699" spans="1:1" x14ac:dyDescent="0.25">
      <c r="A10699" t="s">
        <v>10126</v>
      </c>
    </row>
    <row r="10700" spans="1:1" x14ac:dyDescent="0.25">
      <c r="A10700" t="s">
        <v>10127</v>
      </c>
    </row>
    <row r="10701" spans="1:1" x14ac:dyDescent="0.25">
      <c r="A10701" t="s">
        <v>9938</v>
      </c>
    </row>
    <row r="10702" spans="1:1" x14ac:dyDescent="0.25">
      <c r="A10702" t="s">
        <v>10128</v>
      </c>
    </row>
    <row r="10703" spans="1:1" x14ac:dyDescent="0.25">
      <c r="A10703" t="s">
        <v>10129</v>
      </c>
    </row>
    <row r="10704" spans="1:1" x14ac:dyDescent="0.25">
      <c r="A10704" t="s">
        <v>4353</v>
      </c>
    </row>
    <row r="10705" spans="1:1" x14ac:dyDescent="0.25">
      <c r="A10705" t="s">
        <v>10130</v>
      </c>
    </row>
    <row r="10706" spans="1:1" x14ac:dyDescent="0.25">
      <c r="A10706" t="s">
        <v>10131</v>
      </c>
    </row>
    <row r="10707" spans="1:1" x14ac:dyDescent="0.25">
      <c r="A10707" t="s">
        <v>9634</v>
      </c>
    </row>
    <row r="10708" spans="1:1" x14ac:dyDescent="0.25">
      <c r="A10708" t="s">
        <v>10132</v>
      </c>
    </row>
    <row r="10709" spans="1:1" x14ac:dyDescent="0.25">
      <c r="A10709" t="s">
        <v>10133</v>
      </c>
    </row>
    <row r="10710" spans="1:1" x14ac:dyDescent="0.25">
      <c r="A10710" t="s">
        <v>10134</v>
      </c>
    </row>
    <row r="10711" spans="1:1" x14ac:dyDescent="0.25">
      <c r="A10711" t="s">
        <v>10135</v>
      </c>
    </row>
    <row r="10712" spans="1:1" x14ac:dyDescent="0.25">
      <c r="A10712" t="s">
        <v>10136</v>
      </c>
    </row>
    <row r="10713" spans="1:1" x14ac:dyDescent="0.25">
      <c r="A10713" t="s">
        <v>10137</v>
      </c>
    </row>
    <row r="10714" spans="1:1" x14ac:dyDescent="0.25">
      <c r="A10714" t="s">
        <v>10138</v>
      </c>
    </row>
    <row r="10715" spans="1:1" x14ac:dyDescent="0.25">
      <c r="A10715" t="s">
        <v>10139</v>
      </c>
    </row>
    <row r="10716" spans="1:1" x14ac:dyDescent="0.25">
      <c r="A10716" t="s">
        <v>9634</v>
      </c>
    </row>
    <row r="10717" spans="1:1" x14ac:dyDescent="0.25">
      <c r="A10717" t="s">
        <v>10140</v>
      </c>
    </row>
    <row r="10718" spans="1:1" x14ac:dyDescent="0.25">
      <c r="A10718" t="s">
        <v>10141</v>
      </c>
    </row>
    <row r="10719" spans="1:1" x14ac:dyDescent="0.25">
      <c r="A10719" t="s">
        <v>10142</v>
      </c>
    </row>
    <row r="10720" spans="1:1" x14ac:dyDescent="0.25">
      <c r="A10720" t="s">
        <v>10143</v>
      </c>
    </row>
    <row r="10721" spans="1:1" x14ac:dyDescent="0.25">
      <c r="A10721" t="s">
        <v>10144</v>
      </c>
    </row>
    <row r="10722" spans="1:1" x14ac:dyDescent="0.25">
      <c r="A10722" t="s">
        <v>10145</v>
      </c>
    </row>
    <row r="10724" spans="1:1" x14ac:dyDescent="0.25">
      <c r="A10724" t="s">
        <v>10146</v>
      </c>
    </row>
    <row r="10725" spans="1:1" x14ac:dyDescent="0.25">
      <c r="A10725" t="s">
        <v>9951</v>
      </c>
    </row>
    <row r="10726" spans="1:1" x14ac:dyDescent="0.25">
      <c r="A10726" t="s">
        <v>9952</v>
      </c>
    </row>
    <row r="10727" spans="1:1" x14ac:dyDescent="0.25">
      <c r="A10727" t="s">
        <v>10147</v>
      </c>
    </row>
    <row r="10728" spans="1:1" x14ac:dyDescent="0.25">
      <c r="A10728" t="s">
        <v>10148</v>
      </c>
    </row>
    <row r="10729" spans="1:1" x14ac:dyDescent="0.25">
      <c r="A10729" t="s">
        <v>10149</v>
      </c>
    </row>
    <row r="10730" spans="1:1" x14ac:dyDescent="0.25">
      <c r="A10730" t="s">
        <v>10150</v>
      </c>
    </row>
    <row r="10731" spans="1:1" x14ac:dyDescent="0.25">
      <c r="A10731" t="s">
        <v>10151</v>
      </c>
    </row>
    <row r="10732" spans="1:1" x14ac:dyDescent="0.25">
      <c r="A10732" t="s">
        <v>10152</v>
      </c>
    </row>
    <row r="10733" spans="1:1" x14ac:dyDescent="0.25">
      <c r="A10733" t="s">
        <v>10153</v>
      </c>
    </row>
    <row r="10734" spans="1:1" x14ac:dyDescent="0.25">
      <c r="A10734" t="s">
        <v>10154</v>
      </c>
    </row>
    <row r="10735" spans="1:1" x14ac:dyDescent="0.25">
      <c r="A10735" t="s">
        <v>10155</v>
      </c>
    </row>
    <row r="10736" spans="1:1" x14ac:dyDescent="0.25">
      <c r="A10736" t="s">
        <v>10156</v>
      </c>
    </row>
    <row r="10737" spans="1:1" x14ac:dyDescent="0.25">
      <c r="A10737" t="s">
        <v>10157</v>
      </c>
    </row>
    <row r="10738" spans="1:1" x14ac:dyDescent="0.25">
      <c r="A10738" t="s">
        <v>10158</v>
      </c>
    </row>
    <row r="10739" spans="1:1" x14ac:dyDescent="0.25">
      <c r="A10739" t="s">
        <v>10159</v>
      </c>
    </row>
    <row r="10740" spans="1:1" x14ac:dyDescent="0.25">
      <c r="A10740" t="s">
        <v>10160</v>
      </c>
    </row>
    <row r="10741" spans="1:1" x14ac:dyDescent="0.25">
      <c r="A10741" t="s">
        <v>10161</v>
      </c>
    </row>
    <row r="10742" spans="1:1" x14ac:dyDescent="0.25">
      <c r="A10742" t="s">
        <v>10162</v>
      </c>
    </row>
    <row r="10743" spans="1:1" x14ac:dyDescent="0.25">
      <c r="A10743" t="s">
        <v>10163</v>
      </c>
    </row>
    <row r="10744" spans="1:1" x14ac:dyDescent="0.25">
      <c r="A10744" t="s">
        <v>10164</v>
      </c>
    </row>
    <row r="10745" spans="1:1" x14ac:dyDescent="0.25">
      <c r="A10745" t="s">
        <v>10165</v>
      </c>
    </row>
    <row r="10746" spans="1:1" x14ac:dyDescent="0.25">
      <c r="A10746" t="s">
        <v>10166</v>
      </c>
    </row>
    <row r="10747" spans="1:1" x14ac:dyDescent="0.25">
      <c r="A10747" t="s">
        <v>10167</v>
      </c>
    </row>
    <row r="10748" spans="1:1" x14ac:dyDescent="0.25">
      <c r="A10748" t="s">
        <v>10168</v>
      </c>
    </row>
    <row r="10749" spans="1:1" x14ac:dyDescent="0.25">
      <c r="A10749" t="s">
        <v>10169</v>
      </c>
    </row>
    <row r="10750" spans="1:1" x14ac:dyDescent="0.25">
      <c r="A10750" t="s">
        <v>10170</v>
      </c>
    </row>
    <row r="10751" spans="1:1" x14ac:dyDescent="0.25">
      <c r="A10751" t="s">
        <v>10171</v>
      </c>
    </row>
    <row r="10752" spans="1:1" x14ac:dyDescent="0.25">
      <c r="A10752" t="s">
        <v>10172</v>
      </c>
    </row>
    <row r="10753" spans="1:1" x14ac:dyDescent="0.25">
      <c r="A10753" t="s">
        <v>10173</v>
      </c>
    </row>
    <row r="10754" spans="1:1" x14ac:dyDescent="0.25">
      <c r="A10754" t="s">
        <v>10174</v>
      </c>
    </row>
    <row r="10755" spans="1:1" x14ac:dyDescent="0.25">
      <c r="A10755" t="s">
        <v>10175</v>
      </c>
    </row>
    <row r="10756" spans="1:1" x14ac:dyDescent="0.25">
      <c r="A10756" t="s">
        <v>10176</v>
      </c>
    </row>
    <row r="10757" spans="1:1" x14ac:dyDescent="0.25">
      <c r="A10757" t="s">
        <v>9938</v>
      </c>
    </row>
    <row r="10758" spans="1:1" x14ac:dyDescent="0.25">
      <c r="A10758" t="s">
        <v>10128</v>
      </c>
    </row>
    <row r="10759" spans="1:1" x14ac:dyDescent="0.25">
      <c r="A10759" t="s">
        <v>10129</v>
      </c>
    </row>
    <row r="10760" spans="1:1" x14ac:dyDescent="0.25">
      <c r="A10760" t="s">
        <v>4353</v>
      </c>
    </row>
    <row r="10761" spans="1:1" x14ac:dyDescent="0.25">
      <c r="A10761" t="s">
        <v>10130</v>
      </c>
    </row>
    <row r="10762" spans="1:1" x14ac:dyDescent="0.25">
      <c r="A10762" t="s">
        <v>10131</v>
      </c>
    </row>
    <row r="10763" spans="1:1" x14ac:dyDescent="0.25">
      <c r="A10763" t="s">
        <v>9634</v>
      </c>
    </row>
    <row r="10764" spans="1:1" x14ac:dyDescent="0.25">
      <c r="A10764" t="s">
        <v>10132</v>
      </c>
    </row>
    <row r="10765" spans="1:1" x14ac:dyDescent="0.25">
      <c r="A10765" t="s">
        <v>10133</v>
      </c>
    </row>
    <row r="10766" spans="1:1" x14ac:dyDescent="0.25">
      <c r="A10766" t="s">
        <v>10134</v>
      </c>
    </row>
    <row r="10767" spans="1:1" x14ac:dyDescent="0.25">
      <c r="A10767" t="s">
        <v>10135</v>
      </c>
    </row>
    <row r="10768" spans="1:1" x14ac:dyDescent="0.25">
      <c r="A10768" t="s">
        <v>10177</v>
      </c>
    </row>
    <row r="10769" spans="1:1" x14ac:dyDescent="0.25">
      <c r="A10769" t="s">
        <v>10178</v>
      </c>
    </row>
    <row r="10770" spans="1:1" x14ac:dyDescent="0.25">
      <c r="A10770" t="s">
        <v>9952</v>
      </c>
    </row>
    <row r="10771" spans="1:1" x14ac:dyDescent="0.25">
      <c r="A10771" t="s">
        <v>10179</v>
      </c>
    </row>
    <row r="10772" spans="1:1" x14ac:dyDescent="0.25">
      <c r="A10772" t="s">
        <v>10180</v>
      </c>
    </row>
    <row r="10773" spans="1:1" x14ac:dyDescent="0.25">
      <c r="A10773" t="s">
        <v>10181</v>
      </c>
    </row>
    <row r="10774" spans="1:1" x14ac:dyDescent="0.25">
      <c r="A10774" t="s">
        <v>10182</v>
      </c>
    </row>
    <row r="10775" spans="1:1" x14ac:dyDescent="0.25">
      <c r="A10775" t="s">
        <v>10183</v>
      </c>
    </row>
    <row r="10777" spans="1:1" x14ac:dyDescent="0.25">
      <c r="A10777" t="s">
        <v>10184</v>
      </c>
    </row>
    <row r="10778" spans="1:1" x14ac:dyDescent="0.25">
      <c r="A10778" t="s">
        <v>10185</v>
      </c>
    </row>
    <row r="10779" spans="1:1" x14ac:dyDescent="0.25">
      <c r="A10779" t="s">
        <v>9973</v>
      </c>
    </row>
    <row r="10780" spans="1:1" x14ac:dyDescent="0.25">
      <c r="A10780" t="s">
        <v>10186</v>
      </c>
    </row>
    <row r="10781" spans="1:1" x14ac:dyDescent="0.25">
      <c r="A10781" t="s">
        <v>10187</v>
      </c>
    </row>
    <row r="10782" spans="1:1" x14ac:dyDescent="0.25">
      <c r="A10782" t="s">
        <v>10188</v>
      </c>
    </row>
    <row r="10783" spans="1:1" x14ac:dyDescent="0.25">
      <c r="A10783" t="s">
        <v>10189</v>
      </c>
    </row>
    <row r="10784" spans="1:1" x14ac:dyDescent="0.25">
      <c r="A10784" t="s">
        <v>10190</v>
      </c>
    </row>
    <row r="10785" spans="1:1" x14ac:dyDescent="0.25">
      <c r="A10785" t="s">
        <v>10191</v>
      </c>
    </row>
    <row r="10786" spans="1:1" x14ac:dyDescent="0.25">
      <c r="A10786" t="s">
        <v>10192</v>
      </c>
    </row>
    <row r="10787" spans="1:1" x14ac:dyDescent="0.25">
      <c r="A10787" t="s">
        <v>10193</v>
      </c>
    </row>
    <row r="10788" spans="1:1" x14ac:dyDescent="0.25">
      <c r="A10788" t="s">
        <v>10194</v>
      </c>
    </row>
    <row r="10789" spans="1:1" x14ac:dyDescent="0.25">
      <c r="A10789" t="s">
        <v>10195</v>
      </c>
    </row>
    <row r="10790" spans="1:1" x14ac:dyDescent="0.25">
      <c r="A10790" t="s">
        <v>10196</v>
      </c>
    </row>
    <row r="10791" spans="1:1" x14ac:dyDescent="0.25">
      <c r="A10791" t="s">
        <v>10197</v>
      </c>
    </row>
    <row r="10792" spans="1:1" x14ac:dyDescent="0.25">
      <c r="A10792" t="s">
        <v>10198</v>
      </c>
    </row>
    <row r="10793" spans="1:1" x14ac:dyDescent="0.25">
      <c r="A10793" t="s">
        <v>10199</v>
      </c>
    </row>
    <row r="10794" spans="1:1" x14ac:dyDescent="0.25">
      <c r="A10794" t="s">
        <v>10200</v>
      </c>
    </row>
    <row r="10795" spans="1:1" x14ac:dyDescent="0.25">
      <c r="A10795" t="s">
        <v>10201</v>
      </c>
    </row>
    <row r="10796" spans="1:1" x14ac:dyDescent="0.25">
      <c r="A10796" t="s">
        <v>10202</v>
      </c>
    </row>
    <row r="10797" spans="1:1" x14ac:dyDescent="0.25">
      <c r="A10797" t="s">
        <v>10203</v>
      </c>
    </row>
    <row r="10798" spans="1:1" x14ac:dyDescent="0.25">
      <c r="A10798" t="s">
        <v>10204</v>
      </c>
    </row>
    <row r="10799" spans="1:1" x14ac:dyDescent="0.25">
      <c r="A10799" t="s">
        <v>10205</v>
      </c>
    </row>
    <row r="10800" spans="1:1" x14ac:dyDescent="0.25">
      <c r="A10800" t="s">
        <v>10206</v>
      </c>
    </row>
    <row r="10801" spans="1:1" x14ac:dyDescent="0.25">
      <c r="A10801" t="s">
        <v>10207</v>
      </c>
    </row>
    <row r="10802" spans="1:1" x14ac:dyDescent="0.25">
      <c r="A10802" t="s">
        <v>10208</v>
      </c>
    </row>
    <row r="10803" spans="1:1" x14ac:dyDescent="0.25">
      <c r="A10803" t="s">
        <v>10209</v>
      </c>
    </row>
    <row r="10804" spans="1:1" x14ac:dyDescent="0.25">
      <c r="A10804" t="s">
        <v>10210</v>
      </c>
    </row>
    <row r="10805" spans="1:1" x14ac:dyDescent="0.25">
      <c r="A10805" t="s">
        <v>10211</v>
      </c>
    </row>
    <row r="10806" spans="1:1" x14ac:dyDescent="0.25">
      <c r="A10806" t="s">
        <v>10208</v>
      </c>
    </row>
    <row r="10807" spans="1:1" x14ac:dyDescent="0.25">
      <c r="A10807" t="s">
        <v>10212</v>
      </c>
    </row>
    <row r="10808" spans="1:1" x14ac:dyDescent="0.25">
      <c r="A10808" t="s">
        <v>10213</v>
      </c>
    </row>
    <row r="10809" spans="1:1" x14ac:dyDescent="0.25">
      <c r="A10809" t="s">
        <v>10214</v>
      </c>
    </row>
    <row r="10810" spans="1:1" x14ac:dyDescent="0.25">
      <c r="A10810" t="s">
        <v>10215</v>
      </c>
    </row>
    <row r="10811" spans="1:1" x14ac:dyDescent="0.25">
      <c r="A10811" t="s">
        <v>10084</v>
      </c>
    </row>
    <row r="10812" spans="1:1" x14ac:dyDescent="0.25">
      <c r="A10812" t="s">
        <v>10216</v>
      </c>
    </row>
    <row r="10813" spans="1:1" x14ac:dyDescent="0.25">
      <c r="A10813" t="s">
        <v>10217</v>
      </c>
    </row>
    <row r="10814" spans="1:1" x14ac:dyDescent="0.25">
      <c r="A10814" t="s">
        <v>10218</v>
      </c>
    </row>
    <row r="10816" spans="1:1" x14ac:dyDescent="0.25">
      <c r="A10816" t="s">
        <v>10219</v>
      </c>
    </row>
    <row r="10817" spans="1:1" x14ac:dyDescent="0.25">
      <c r="A10817" t="s">
        <v>1317</v>
      </c>
    </row>
    <row r="10818" spans="1:1" x14ac:dyDescent="0.25">
      <c r="A10818" t="s">
        <v>10220</v>
      </c>
    </row>
    <row r="10820" spans="1:1" x14ac:dyDescent="0.25">
      <c r="A10820" t="s">
        <v>10221</v>
      </c>
    </row>
    <row r="10821" spans="1:1" x14ac:dyDescent="0.25">
      <c r="A10821" t="s">
        <v>10222</v>
      </c>
    </row>
    <row r="10822" spans="1:1" x14ac:dyDescent="0.25">
      <c r="A10822" t="s">
        <v>10223</v>
      </c>
    </row>
    <row r="10823" spans="1:1" x14ac:dyDescent="0.25">
      <c r="A10823" t="s">
        <v>10224</v>
      </c>
    </row>
    <row r="10824" spans="1:1" x14ac:dyDescent="0.25">
      <c r="A10824" t="s">
        <v>10225</v>
      </c>
    </row>
    <row r="10825" spans="1:1" x14ac:dyDescent="0.25">
      <c r="A10825" t="s">
        <v>10226</v>
      </c>
    </row>
    <row r="10827" spans="1:1" x14ac:dyDescent="0.25">
      <c r="A10827" t="s">
        <v>10227</v>
      </c>
    </row>
    <row r="10828" spans="1:1" x14ac:dyDescent="0.25">
      <c r="A10828" t="s">
        <v>6924</v>
      </c>
    </row>
    <row r="10829" spans="1:1" x14ac:dyDescent="0.25">
      <c r="A10829" t="s">
        <v>10228</v>
      </c>
    </row>
    <row r="10830" spans="1:1" x14ac:dyDescent="0.25">
      <c r="A10830" t="s">
        <v>7323</v>
      </c>
    </row>
    <row r="10831" spans="1:1" x14ac:dyDescent="0.25">
      <c r="A10831" t="s">
        <v>10229</v>
      </c>
    </row>
    <row r="10832" spans="1:1" x14ac:dyDescent="0.25">
      <c r="A10832" t="s">
        <v>1342</v>
      </c>
    </row>
    <row r="10833" spans="1:3" x14ac:dyDescent="0.25">
      <c r="A10833" t="s">
        <v>10230</v>
      </c>
    </row>
    <row r="10834" spans="1:3" x14ac:dyDescent="0.25">
      <c r="A10834" t="s">
        <v>10231</v>
      </c>
      <c r="B10834">
        <v>4380.8599999999997</v>
      </c>
      <c r="C10834" s="55">
        <v>42524</v>
      </c>
    </row>
    <row r="10835" spans="1:3" x14ac:dyDescent="0.25">
      <c r="A10835" t="s">
        <v>10232</v>
      </c>
    </row>
    <row r="10836" spans="1:3" x14ac:dyDescent="0.25">
      <c r="A10836" t="s">
        <v>10233</v>
      </c>
    </row>
    <row r="10837" spans="1:3" x14ac:dyDescent="0.25">
      <c r="A10837" t="s">
        <v>10234</v>
      </c>
    </row>
    <row r="10838" spans="1:3" x14ac:dyDescent="0.25">
      <c r="A10838" t="s">
        <v>10235</v>
      </c>
    </row>
    <row r="10844" spans="1:3" x14ac:dyDescent="0.25">
      <c r="A10844" t="s">
        <v>10236</v>
      </c>
    </row>
    <row r="10845" spans="1:3" x14ac:dyDescent="0.25">
      <c r="A10845" t="s">
        <v>10237</v>
      </c>
    </row>
    <row r="10846" spans="1:3" x14ac:dyDescent="0.25">
      <c r="A10846" t="s">
        <v>10238</v>
      </c>
    </row>
    <row r="10847" spans="1:3" x14ac:dyDescent="0.25">
      <c r="A10847" t="s">
        <v>10239</v>
      </c>
    </row>
    <row r="10848" spans="1:3" x14ac:dyDescent="0.25">
      <c r="A10848" t="s">
        <v>10240</v>
      </c>
    </row>
    <row r="10849" spans="1:1" x14ac:dyDescent="0.25">
      <c r="A10849" t="s">
        <v>10241</v>
      </c>
    </row>
    <row r="10850" spans="1:1" x14ac:dyDescent="0.25">
      <c r="A10850" t="s">
        <v>10242</v>
      </c>
    </row>
    <row r="10851" spans="1:1" x14ac:dyDescent="0.25">
      <c r="A10851" t="s">
        <v>10243</v>
      </c>
    </row>
    <row r="10852" spans="1:1" x14ac:dyDescent="0.25">
      <c r="A10852" t="s">
        <v>10236</v>
      </c>
    </row>
    <row r="10853" spans="1:1" x14ac:dyDescent="0.25">
      <c r="A10853" t="s">
        <v>10237</v>
      </c>
    </row>
    <row r="10854" spans="1:1" x14ac:dyDescent="0.25">
      <c r="A10854" t="s">
        <v>10238</v>
      </c>
    </row>
    <row r="10855" spans="1:1" x14ac:dyDescent="0.25">
      <c r="A10855" t="s">
        <v>10239</v>
      </c>
    </row>
    <row r="10856" spans="1:1" x14ac:dyDescent="0.25">
      <c r="A10856" t="s">
        <v>10240</v>
      </c>
    </row>
    <row r="10857" spans="1:1" x14ac:dyDescent="0.25">
      <c r="A10857" t="s">
        <v>10241</v>
      </c>
    </row>
    <row r="10858" spans="1:1" x14ac:dyDescent="0.25">
      <c r="A10858" t="s">
        <v>10242</v>
      </c>
    </row>
    <row r="10859" spans="1:1" x14ac:dyDescent="0.25">
      <c r="A10859" t="s">
        <v>10243</v>
      </c>
    </row>
    <row r="10860" spans="1:1" x14ac:dyDescent="0.25">
      <c r="A10860" t="s">
        <v>10244</v>
      </c>
    </row>
    <row r="10861" spans="1:1" x14ac:dyDescent="0.25">
      <c r="A10861" t="s">
        <v>10245</v>
      </c>
    </row>
    <row r="10862" spans="1:1" x14ac:dyDescent="0.25">
      <c r="A10862" t="s">
        <v>10246</v>
      </c>
    </row>
    <row r="10863" spans="1:1" x14ac:dyDescent="0.25">
      <c r="A10863" t="s">
        <v>10247</v>
      </c>
    </row>
    <row r="10864" spans="1:1" x14ac:dyDescent="0.25">
      <c r="A10864" t="s">
        <v>10245</v>
      </c>
    </row>
    <row r="10865" spans="1:1" x14ac:dyDescent="0.25">
      <c r="A10865" t="s">
        <v>10248</v>
      </c>
    </row>
    <row r="10866" spans="1:1" x14ac:dyDescent="0.25">
      <c r="A10866" t="s">
        <v>10249</v>
      </c>
    </row>
    <row r="10867" spans="1:1" x14ac:dyDescent="0.25">
      <c r="A10867" t="s">
        <v>10250</v>
      </c>
    </row>
    <row r="10868" spans="1:1" x14ac:dyDescent="0.25">
      <c r="A10868" t="s">
        <v>10251</v>
      </c>
    </row>
    <row r="10869" spans="1:1" x14ac:dyDescent="0.25">
      <c r="A10869" t="s">
        <v>10252</v>
      </c>
    </row>
    <row r="10870" spans="1:1" x14ac:dyDescent="0.25">
      <c r="A10870" t="s">
        <v>10253</v>
      </c>
    </row>
    <row r="10871" spans="1:1" x14ac:dyDescent="0.25">
      <c r="A10871" t="s">
        <v>4362</v>
      </c>
    </row>
    <row r="10872" spans="1:1" x14ac:dyDescent="0.25">
      <c r="A10872" t="s">
        <v>10254</v>
      </c>
    </row>
    <row r="10873" spans="1:1" x14ac:dyDescent="0.25">
      <c r="A10873" t="s">
        <v>3701</v>
      </c>
    </row>
    <row r="10874" spans="1:1" x14ac:dyDescent="0.25">
      <c r="A10874" t="s">
        <v>4353</v>
      </c>
    </row>
    <row r="10875" spans="1:1" x14ac:dyDescent="0.25">
      <c r="A10875" t="s">
        <v>10255</v>
      </c>
    </row>
    <row r="10876" spans="1:1" x14ac:dyDescent="0.25">
      <c r="A10876" t="s">
        <v>10256</v>
      </c>
    </row>
    <row r="10877" spans="1:1" x14ac:dyDescent="0.25">
      <c r="A10877" t="s">
        <v>10257</v>
      </c>
    </row>
    <row r="10878" spans="1:1" x14ac:dyDescent="0.25">
      <c r="A10878" t="s">
        <v>10258</v>
      </c>
    </row>
    <row r="10879" spans="1:1" x14ac:dyDescent="0.25">
      <c r="A10879" t="s">
        <v>10259</v>
      </c>
    </row>
    <row r="10880" spans="1:1" x14ac:dyDescent="0.25">
      <c r="A10880" t="s">
        <v>10260</v>
      </c>
    </row>
    <row r="10881" spans="1:1" x14ac:dyDescent="0.25">
      <c r="A10881" t="s">
        <v>10261</v>
      </c>
    </row>
    <row r="10882" spans="1:1" x14ac:dyDescent="0.25">
      <c r="A10882" t="s">
        <v>10262</v>
      </c>
    </row>
    <row r="10883" spans="1:1" x14ac:dyDescent="0.25">
      <c r="A10883" t="s">
        <v>10263</v>
      </c>
    </row>
    <row r="10884" spans="1:1" x14ac:dyDescent="0.25">
      <c r="A10884" t="s">
        <v>10264</v>
      </c>
    </row>
    <row r="10885" spans="1:1" x14ac:dyDescent="0.25">
      <c r="A10885" t="s">
        <v>10151</v>
      </c>
    </row>
    <row r="10886" spans="1:1" x14ac:dyDescent="0.25">
      <c r="A10886" t="s">
        <v>10265</v>
      </c>
    </row>
    <row r="10887" spans="1:1" x14ac:dyDescent="0.25">
      <c r="A10887" t="s">
        <v>10266</v>
      </c>
    </row>
    <row r="10888" spans="1:1" x14ac:dyDescent="0.25">
      <c r="A10888" t="s">
        <v>10267</v>
      </c>
    </row>
    <row r="10889" spans="1:1" x14ac:dyDescent="0.25">
      <c r="A10889" t="s">
        <v>10268</v>
      </c>
    </row>
    <row r="10890" spans="1:1" x14ac:dyDescent="0.25">
      <c r="A10890" t="s">
        <v>10269</v>
      </c>
    </row>
    <row r="10891" spans="1:1" x14ac:dyDescent="0.25">
      <c r="A10891" t="s">
        <v>10270</v>
      </c>
    </row>
    <row r="10892" spans="1:1" x14ac:dyDescent="0.25">
      <c r="A10892" t="s">
        <v>10271</v>
      </c>
    </row>
    <row r="10893" spans="1:1" x14ac:dyDescent="0.25">
      <c r="A10893" t="s">
        <v>10272</v>
      </c>
    </row>
    <row r="10894" spans="1:1" x14ac:dyDescent="0.25">
      <c r="A10894" t="s">
        <v>10273</v>
      </c>
    </row>
    <row r="10895" spans="1:1" x14ac:dyDescent="0.25">
      <c r="A10895" t="s">
        <v>10274</v>
      </c>
    </row>
    <row r="10896" spans="1:1" x14ac:dyDescent="0.25">
      <c r="A10896" t="s">
        <v>10275</v>
      </c>
    </row>
    <row r="10897" spans="1:1" x14ac:dyDescent="0.25">
      <c r="A10897" t="s">
        <v>10276</v>
      </c>
    </row>
    <row r="10898" spans="1:1" x14ac:dyDescent="0.25">
      <c r="A10898" t="s">
        <v>10277</v>
      </c>
    </row>
    <row r="10899" spans="1:1" x14ac:dyDescent="0.25">
      <c r="A10899" t="s">
        <v>10278</v>
      </c>
    </row>
    <row r="10900" spans="1:1" x14ac:dyDescent="0.25">
      <c r="A10900" t="s">
        <v>10151</v>
      </c>
    </row>
    <row r="10901" spans="1:1" x14ac:dyDescent="0.25">
      <c r="A10901" t="s">
        <v>10279</v>
      </c>
    </row>
    <row r="10902" spans="1:1" x14ac:dyDescent="0.25">
      <c r="A10902" t="s">
        <v>10280</v>
      </c>
    </row>
    <row r="10903" spans="1:1" x14ac:dyDescent="0.25">
      <c r="A10903" t="s">
        <v>10281</v>
      </c>
    </row>
    <row r="10904" spans="1:1" x14ac:dyDescent="0.25">
      <c r="A10904" t="s">
        <v>10282</v>
      </c>
    </row>
    <row r="10905" spans="1:1" x14ac:dyDescent="0.25">
      <c r="A10905" t="s">
        <v>10283</v>
      </c>
    </row>
    <row r="10906" spans="1:1" x14ac:dyDescent="0.25">
      <c r="A10906" t="s">
        <v>10284</v>
      </c>
    </row>
    <row r="10907" spans="1:1" x14ac:dyDescent="0.25">
      <c r="A10907" t="s">
        <v>10285</v>
      </c>
    </row>
    <row r="10908" spans="1:1" x14ac:dyDescent="0.25">
      <c r="A10908" t="s">
        <v>4353</v>
      </c>
    </row>
    <row r="10909" spans="1:1" x14ac:dyDescent="0.25">
      <c r="A10909" t="s">
        <v>10286</v>
      </c>
    </row>
    <row r="10910" spans="1:1" x14ac:dyDescent="0.25">
      <c r="A10910" t="s">
        <v>10287</v>
      </c>
    </row>
    <row r="10911" spans="1:1" x14ac:dyDescent="0.25">
      <c r="A10911" t="s">
        <v>9634</v>
      </c>
    </row>
    <row r="10912" spans="1:1" x14ac:dyDescent="0.25">
      <c r="A10912" t="s">
        <v>10288</v>
      </c>
    </row>
    <row r="10913" spans="1:3" x14ac:dyDescent="0.25">
      <c r="B10913" t="s">
        <v>4357</v>
      </c>
      <c r="C10913">
        <v>149.22999999999999</v>
      </c>
    </row>
    <row r="10914" spans="1:3" x14ac:dyDescent="0.25">
      <c r="A10914" t="s">
        <v>10289</v>
      </c>
    </row>
    <row r="10915" spans="1:3" x14ac:dyDescent="0.25">
      <c r="A10915" t="s">
        <v>10290</v>
      </c>
    </row>
    <row r="10916" spans="1:3" x14ac:dyDescent="0.25">
      <c r="A10916" t="s">
        <v>10291</v>
      </c>
    </row>
    <row r="10917" spans="1:3" x14ac:dyDescent="0.25">
      <c r="A10917" t="s">
        <v>10292</v>
      </c>
    </row>
    <row r="10918" spans="1:3" x14ac:dyDescent="0.25">
      <c r="A10918" t="s">
        <v>10293</v>
      </c>
    </row>
    <row r="10919" spans="1:3" x14ac:dyDescent="0.25">
      <c r="A10919">
        <v>956629825</v>
      </c>
    </row>
    <row r="10920" spans="1:3" x14ac:dyDescent="0.25">
      <c r="A10920" t="s">
        <v>10294</v>
      </c>
    </row>
    <row r="10921" spans="1:3" x14ac:dyDescent="0.25">
      <c r="A10921" t="s">
        <v>10295</v>
      </c>
    </row>
    <row r="10922" spans="1:3" x14ac:dyDescent="0.25">
      <c r="A10922" t="s">
        <v>9860</v>
      </c>
    </row>
    <row r="10923" spans="1:3" x14ac:dyDescent="0.25">
      <c r="A10923" t="s">
        <v>10296</v>
      </c>
    </row>
    <row r="10924" spans="1:3" x14ac:dyDescent="0.25">
      <c r="A10924" t="s">
        <v>10297</v>
      </c>
    </row>
    <row r="10925" spans="1:3" x14ac:dyDescent="0.25">
      <c r="A10925" t="s">
        <v>10298</v>
      </c>
    </row>
    <row r="10926" spans="1:3" x14ac:dyDescent="0.25">
      <c r="A10926" t="s">
        <v>10299</v>
      </c>
    </row>
    <row r="10927" spans="1:3" x14ac:dyDescent="0.25">
      <c r="A10927" t="s">
        <v>10300</v>
      </c>
    </row>
    <row r="10928" spans="1:3" x14ac:dyDescent="0.25">
      <c r="A10928" t="s">
        <v>10301</v>
      </c>
    </row>
    <row r="10930" spans="1:1" x14ac:dyDescent="0.25">
      <c r="A10930" t="s">
        <v>10302</v>
      </c>
    </row>
    <row r="10931" spans="1:1" x14ac:dyDescent="0.25">
      <c r="A10931" t="s">
        <v>10303</v>
      </c>
    </row>
    <row r="10932" spans="1:1" x14ac:dyDescent="0.25">
      <c r="A10932" t="s">
        <v>10304</v>
      </c>
    </row>
    <row r="10933" spans="1:1" x14ac:dyDescent="0.25">
      <c r="A10933" t="s">
        <v>10305</v>
      </c>
    </row>
    <row r="10934" spans="1:1" x14ac:dyDescent="0.25">
      <c r="A10934" t="s">
        <v>10306</v>
      </c>
    </row>
    <row r="10935" spans="1:1" x14ac:dyDescent="0.25">
      <c r="A10935" t="s">
        <v>10307</v>
      </c>
    </row>
    <row r="10936" spans="1:1" x14ac:dyDescent="0.25">
      <c r="A10936" t="s">
        <v>10308</v>
      </c>
    </row>
    <row r="10937" spans="1:1" x14ac:dyDescent="0.25">
      <c r="A10937" t="s">
        <v>10309</v>
      </c>
    </row>
    <row r="10938" spans="1:1" x14ac:dyDescent="0.25">
      <c r="A10938" t="s">
        <v>10310</v>
      </c>
    </row>
    <row r="10939" spans="1:1" x14ac:dyDescent="0.25">
      <c r="A10939" t="s">
        <v>10311</v>
      </c>
    </row>
    <row r="10940" spans="1:1" x14ac:dyDescent="0.25">
      <c r="A10940" t="s">
        <v>10312</v>
      </c>
    </row>
    <row r="10941" spans="1:1" x14ac:dyDescent="0.25">
      <c r="A10941" t="s">
        <v>10313</v>
      </c>
    </row>
    <row r="10942" spans="1:1" x14ac:dyDescent="0.25">
      <c r="A10942" t="s">
        <v>1704</v>
      </c>
    </row>
    <row r="10943" spans="1:1" x14ac:dyDescent="0.25">
      <c r="A10943" t="s">
        <v>10314</v>
      </c>
    </row>
    <row r="10944" spans="1:1" x14ac:dyDescent="0.25">
      <c r="A10944" t="s">
        <v>10315</v>
      </c>
    </row>
    <row r="10945" spans="1:1" x14ac:dyDescent="0.25">
      <c r="A10945" t="s">
        <v>10316</v>
      </c>
    </row>
    <row r="10946" spans="1:1" x14ac:dyDescent="0.25">
      <c r="A10946" t="s">
        <v>10317</v>
      </c>
    </row>
    <row r="10947" spans="1:1" x14ac:dyDescent="0.25">
      <c r="A10947" t="s">
        <v>10318</v>
      </c>
    </row>
    <row r="10948" spans="1:1" x14ac:dyDescent="0.25">
      <c r="A10948" t="s">
        <v>10319</v>
      </c>
    </row>
    <row r="10949" spans="1:1" x14ac:dyDescent="0.25">
      <c r="A10949" t="s">
        <v>10314</v>
      </c>
    </row>
    <row r="10950" spans="1:1" x14ac:dyDescent="0.25">
      <c r="A10950" t="s">
        <v>10320</v>
      </c>
    </row>
    <row r="10951" spans="1:1" x14ac:dyDescent="0.25">
      <c r="A10951" t="s">
        <v>9689</v>
      </c>
    </row>
    <row r="10952" spans="1:1" x14ac:dyDescent="0.25">
      <c r="A10952" t="s">
        <v>10321</v>
      </c>
    </row>
    <row r="10953" spans="1:1" x14ac:dyDescent="0.25">
      <c r="A10953" t="s">
        <v>9691</v>
      </c>
    </row>
    <row r="10954" spans="1:1" x14ac:dyDescent="0.25">
      <c r="A10954" t="s">
        <v>10322</v>
      </c>
    </row>
    <row r="10955" spans="1:1" x14ac:dyDescent="0.25">
      <c r="A10955" t="s">
        <v>10323</v>
      </c>
    </row>
    <row r="10956" spans="1:1" x14ac:dyDescent="0.25">
      <c r="A10956" t="s">
        <v>10324</v>
      </c>
    </row>
    <row r="10957" spans="1:1" x14ac:dyDescent="0.25">
      <c r="A10957" t="s">
        <v>10325</v>
      </c>
    </row>
    <row r="10958" spans="1:1" x14ac:dyDescent="0.25">
      <c r="A10958" t="s">
        <v>10326</v>
      </c>
    </row>
    <row r="10959" spans="1:1" x14ac:dyDescent="0.25">
      <c r="A10959" t="s">
        <v>10327</v>
      </c>
    </row>
    <row r="10960" spans="1:1" x14ac:dyDescent="0.25">
      <c r="A10960" t="s">
        <v>10328</v>
      </c>
    </row>
    <row r="10961" spans="1:1" x14ac:dyDescent="0.25">
      <c r="A10961" t="s">
        <v>10329</v>
      </c>
    </row>
    <row r="10962" spans="1:1" x14ac:dyDescent="0.25">
      <c r="A10962" t="s">
        <v>10330</v>
      </c>
    </row>
    <row r="10963" spans="1:1" x14ac:dyDescent="0.25">
      <c r="A10963" t="s">
        <v>10331</v>
      </c>
    </row>
    <row r="10964" spans="1:1" x14ac:dyDescent="0.25">
      <c r="A10964" t="s">
        <v>10332</v>
      </c>
    </row>
    <row r="10965" spans="1:1" x14ac:dyDescent="0.25">
      <c r="A10965" t="s">
        <v>10328</v>
      </c>
    </row>
    <row r="10966" spans="1:1" x14ac:dyDescent="0.25">
      <c r="A10966" t="s">
        <v>10333</v>
      </c>
    </row>
    <row r="10967" spans="1:1" x14ac:dyDescent="0.25">
      <c r="A10967" t="s">
        <v>10334</v>
      </c>
    </row>
    <row r="10968" spans="1:1" x14ac:dyDescent="0.25">
      <c r="A10968" t="s">
        <v>10335</v>
      </c>
    </row>
    <row r="10969" spans="1:1" x14ac:dyDescent="0.25">
      <c r="A10969" t="s">
        <v>10336</v>
      </c>
    </row>
    <row r="10970" spans="1:1" x14ac:dyDescent="0.25">
      <c r="A10970" t="s">
        <v>10337</v>
      </c>
    </row>
    <row r="10971" spans="1:1" x14ac:dyDescent="0.25">
      <c r="A10971" t="s">
        <v>10328</v>
      </c>
    </row>
    <row r="10972" spans="1:1" x14ac:dyDescent="0.25">
      <c r="A10972" t="s">
        <v>10338</v>
      </c>
    </row>
    <row r="10973" spans="1:1" x14ac:dyDescent="0.25">
      <c r="A10973" t="s">
        <v>10339</v>
      </c>
    </row>
    <row r="10974" spans="1:1" x14ac:dyDescent="0.25">
      <c r="A10974" t="s">
        <v>10340</v>
      </c>
    </row>
    <row r="10975" spans="1:1" x14ac:dyDescent="0.25">
      <c r="A10975" t="s">
        <v>10341</v>
      </c>
    </row>
    <row r="10976" spans="1:1" x14ac:dyDescent="0.25">
      <c r="A10976" t="s">
        <v>10342</v>
      </c>
    </row>
    <row r="10977" spans="1:3" x14ac:dyDescent="0.25">
      <c r="A10977" t="s">
        <v>10343</v>
      </c>
    </row>
    <row r="10978" spans="1:3" x14ac:dyDescent="0.25">
      <c r="A10978" t="s">
        <v>10344</v>
      </c>
    </row>
    <row r="10979" spans="1:3" x14ac:dyDescent="0.25">
      <c r="A10979" t="s">
        <v>10345</v>
      </c>
    </row>
    <row r="10980" spans="1:3" x14ac:dyDescent="0.25">
      <c r="A10980" t="s">
        <v>10346</v>
      </c>
    </row>
    <row r="10981" spans="1:3" x14ac:dyDescent="0.25">
      <c r="A10981" t="s">
        <v>10347</v>
      </c>
    </row>
    <row r="10982" spans="1:3" x14ac:dyDescent="0.25">
      <c r="A10982" t="s">
        <v>10348</v>
      </c>
    </row>
    <row r="10983" spans="1:3" x14ac:dyDescent="0.25">
      <c r="A10983" t="s">
        <v>10349</v>
      </c>
    </row>
    <row r="10984" spans="1:3" x14ac:dyDescent="0.25">
      <c r="A10984" t="s">
        <v>10350</v>
      </c>
    </row>
    <row r="10985" spans="1:3" x14ac:dyDescent="0.25">
      <c r="A10985" t="s">
        <v>4353</v>
      </c>
    </row>
    <row r="10986" spans="1:3" x14ac:dyDescent="0.25">
      <c r="A10986" t="s">
        <v>9634</v>
      </c>
    </row>
    <row r="10987" spans="1:3" x14ac:dyDescent="0.25">
      <c r="A10987" t="s">
        <v>4356</v>
      </c>
    </row>
    <row r="10988" spans="1:3" x14ac:dyDescent="0.25">
      <c r="A10988" t="s">
        <v>1278</v>
      </c>
      <c r="B10988">
        <v>2894.5</v>
      </c>
    </row>
    <row r="10989" spans="1:3" x14ac:dyDescent="0.25">
      <c r="A10989" t="s">
        <v>4948</v>
      </c>
      <c r="C10989">
        <v>3714.01</v>
      </c>
    </row>
    <row r="10990" spans="1:3" x14ac:dyDescent="0.25">
      <c r="A10990" t="s">
        <v>10351</v>
      </c>
    </row>
    <row r="10991" spans="1:3" x14ac:dyDescent="0.25">
      <c r="A10991" t="s">
        <v>10352</v>
      </c>
    </row>
    <row r="10992" spans="1:3" x14ac:dyDescent="0.25">
      <c r="A10992" t="s">
        <v>10353</v>
      </c>
    </row>
    <row r="10993" spans="1:1" x14ac:dyDescent="0.25">
      <c r="A10993" t="s">
        <v>10354</v>
      </c>
    </row>
    <row r="10994" spans="1:1" x14ac:dyDescent="0.25">
      <c r="A10994" t="s">
        <v>10355</v>
      </c>
    </row>
    <row r="10995" spans="1:1" x14ac:dyDescent="0.25">
      <c r="A10995" t="s">
        <v>10356</v>
      </c>
    </row>
    <row r="10996" spans="1:1" x14ac:dyDescent="0.25">
      <c r="A10996" t="s">
        <v>10357</v>
      </c>
    </row>
    <row r="10997" spans="1:1" x14ac:dyDescent="0.25">
      <c r="A10997" t="s">
        <v>10358</v>
      </c>
    </row>
    <row r="10998" spans="1:1" x14ac:dyDescent="0.25">
      <c r="A10998" t="s">
        <v>10359</v>
      </c>
    </row>
    <row r="10999" spans="1:1" x14ac:dyDescent="0.25">
      <c r="A10999" t="s">
        <v>10360</v>
      </c>
    </row>
    <row r="11000" spans="1:1" x14ac:dyDescent="0.25">
      <c r="A11000" t="s">
        <v>10361</v>
      </c>
    </row>
    <row r="11001" spans="1:1" x14ac:dyDescent="0.25">
      <c r="A11001" t="s">
        <v>10362</v>
      </c>
    </row>
    <row r="11002" spans="1:1" x14ac:dyDescent="0.25">
      <c r="A11002" t="s">
        <v>10363</v>
      </c>
    </row>
    <row r="11003" spans="1:1" x14ac:dyDescent="0.25">
      <c r="A11003" t="s">
        <v>10364</v>
      </c>
    </row>
    <row r="11004" spans="1:1" x14ac:dyDescent="0.25">
      <c r="A11004" t="s">
        <v>10365</v>
      </c>
    </row>
    <row r="11005" spans="1:1" x14ac:dyDescent="0.25">
      <c r="A11005" t="s">
        <v>10366</v>
      </c>
    </row>
    <row r="11006" spans="1:1" x14ac:dyDescent="0.25">
      <c r="A11006" t="s">
        <v>10367</v>
      </c>
    </row>
    <row r="11007" spans="1:1" x14ac:dyDescent="0.25">
      <c r="A11007" t="s">
        <v>10368</v>
      </c>
    </row>
    <row r="11008" spans="1:1" x14ac:dyDescent="0.25">
      <c r="A11008" t="s">
        <v>10369</v>
      </c>
    </row>
    <row r="11009" spans="1:1" x14ac:dyDescent="0.25">
      <c r="A11009" t="s">
        <v>10370</v>
      </c>
    </row>
    <row r="11010" spans="1:1" x14ac:dyDescent="0.25">
      <c r="A11010" t="s">
        <v>10371</v>
      </c>
    </row>
    <row r="11011" spans="1:1" x14ac:dyDescent="0.25">
      <c r="A11011" t="s">
        <v>10372</v>
      </c>
    </row>
    <row r="11012" spans="1:1" x14ac:dyDescent="0.25">
      <c r="A11012" t="s">
        <v>10369</v>
      </c>
    </row>
    <row r="11013" spans="1:1" x14ac:dyDescent="0.25">
      <c r="A11013" t="s">
        <v>10373</v>
      </c>
    </row>
    <row r="11014" spans="1:1" x14ac:dyDescent="0.25">
      <c r="A11014" t="s">
        <v>10374</v>
      </c>
    </row>
    <row r="11015" spans="1:1" x14ac:dyDescent="0.25">
      <c r="A11015" t="s">
        <v>10375</v>
      </c>
    </row>
    <row r="11016" spans="1:1" x14ac:dyDescent="0.25">
      <c r="A11016" t="s">
        <v>10376</v>
      </c>
    </row>
    <row r="11017" spans="1:1" x14ac:dyDescent="0.25">
      <c r="A11017" t="s">
        <v>10377</v>
      </c>
    </row>
    <row r="11018" spans="1:1" x14ac:dyDescent="0.25">
      <c r="A11018" t="s">
        <v>10378</v>
      </c>
    </row>
    <row r="11019" spans="1:1" x14ac:dyDescent="0.25">
      <c r="A11019" t="s">
        <v>10379</v>
      </c>
    </row>
    <row r="11020" spans="1:1" x14ac:dyDescent="0.25">
      <c r="A11020" t="s">
        <v>10380</v>
      </c>
    </row>
    <row r="11021" spans="1:1" x14ac:dyDescent="0.25">
      <c r="A11021" t="s">
        <v>10381</v>
      </c>
    </row>
    <row r="11022" spans="1:1" x14ac:dyDescent="0.25">
      <c r="A11022" t="s">
        <v>10382</v>
      </c>
    </row>
    <row r="11023" spans="1:1" x14ac:dyDescent="0.25">
      <c r="A11023" t="s">
        <v>10383</v>
      </c>
    </row>
    <row r="11024" spans="1:1" x14ac:dyDescent="0.25">
      <c r="A11024" t="s">
        <v>10384</v>
      </c>
    </row>
    <row r="11025" spans="1:1" x14ac:dyDescent="0.25">
      <c r="A11025" t="s">
        <v>10385</v>
      </c>
    </row>
    <row r="11026" spans="1:1" x14ac:dyDescent="0.25">
      <c r="A11026" t="s">
        <v>4353</v>
      </c>
    </row>
    <row r="11027" spans="1:1" x14ac:dyDescent="0.25">
      <c r="A11027" t="s">
        <v>10386</v>
      </c>
    </row>
    <row r="11028" spans="1:1" x14ac:dyDescent="0.25">
      <c r="A11028" t="s">
        <v>10387</v>
      </c>
    </row>
    <row r="11029" spans="1:1" x14ac:dyDescent="0.25">
      <c r="A11029" t="s">
        <v>9634</v>
      </c>
    </row>
    <row r="11030" spans="1:1" x14ac:dyDescent="0.25">
      <c r="A11030" t="s">
        <v>10258</v>
      </c>
    </row>
    <row r="11031" spans="1:1" x14ac:dyDescent="0.25">
      <c r="A11031" t="s">
        <v>10388</v>
      </c>
    </row>
    <row r="11032" spans="1:1" x14ac:dyDescent="0.25">
      <c r="A11032" t="s">
        <v>10389</v>
      </c>
    </row>
    <row r="11033" spans="1:1" x14ac:dyDescent="0.25">
      <c r="A11033" t="s">
        <v>10390</v>
      </c>
    </row>
    <row r="11034" spans="1:1" x14ac:dyDescent="0.25">
      <c r="A11034" t="s">
        <v>10391</v>
      </c>
    </row>
    <row r="11035" spans="1:1" x14ac:dyDescent="0.25">
      <c r="A11035" t="s">
        <v>10382</v>
      </c>
    </row>
    <row r="11036" spans="1:1" x14ac:dyDescent="0.25">
      <c r="A11036" t="s">
        <v>10392</v>
      </c>
    </row>
    <row r="11037" spans="1:1" x14ac:dyDescent="0.25">
      <c r="A11037" t="s">
        <v>10393</v>
      </c>
    </row>
    <row r="11038" spans="1:1" x14ac:dyDescent="0.25">
      <c r="A11038" t="s">
        <v>10394</v>
      </c>
    </row>
    <row r="11039" spans="1:1" x14ac:dyDescent="0.25">
      <c r="A11039" t="s">
        <v>10395</v>
      </c>
    </row>
    <row r="11040" spans="1:1" x14ac:dyDescent="0.25">
      <c r="A11040" t="s">
        <v>10396</v>
      </c>
    </row>
    <row r="11041" spans="1:1" x14ac:dyDescent="0.25">
      <c r="A11041" t="s">
        <v>10397</v>
      </c>
    </row>
    <row r="11042" spans="1:1" x14ac:dyDescent="0.25">
      <c r="A11042" t="s">
        <v>10398</v>
      </c>
    </row>
    <row r="11043" spans="1:1" x14ac:dyDescent="0.25">
      <c r="A11043" t="s">
        <v>10399</v>
      </c>
    </row>
    <row r="11044" spans="1:1" x14ac:dyDescent="0.25">
      <c r="A11044" t="s">
        <v>10400</v>
      </c>
    </row>
    <row r="11045" spans="1:1" x14ac:dyDescent="0.25">
      <c r="A11045" t="s">
        <v>10401</v>
      </c>
    </row>
    <row r="11046" spans="1:1" x14ac:dyDescent="0.25">
      <c r="A11046" t="s">
        <v>10402</v>
      </c>
    </row>
    <row r="11047" spans="1:1" x14ac:dyDescent="0.25">
      <c r="A11047" t="s">
        <v>10403</v>
      </c>
    </row>
    <row r="11048" spans="1:1" x14ac:dyDescent="0.25">
      <c r="A11048" t="s">
        <v>10404</v>
      </c>
    </row>
    <row r="11049" spans="1:1" x14ac:dyDescent="0.25">
      <c r="A11049" t="s">
        <v>9921</v>
      </c>
    </row>
    <row r="11050" spans="1:1" x14ac:dyDescent="0.25">
      <c r="A11050" t="s">
        <v>10405</v>
      </c>
    </row>
    <row r="11051" spans="1:1" x14ac:dyDescent="0.25">
      <c r="A11051" t="s">
        <v>9924</v>
      </c>
    </row>
    <row r="11052" spans="1:1" x14ac:dyDescent="0.25">
      <c r="A11052" t="s">
        <v>10406</v>
      </c>
    </row>
    <row r="11053" spans="1:1" x14ac:dyDescent="0.25">
      <c r="A11053" t="s">
        <v>10107</v>
      </c>
    </row>
    <row r="11054" spans="1:1" x14ac:dyDescent="0.25">
      <c r="A11054" t="s">
        <v>10108</v>
      </c>
    </row>
    <row r="11055" spans="1:1" x14ac:dyDescent="0.25">
      <c r="A11055" t="s">
        <v>10407</v>
      </c>
    </row>
    <row r="11056" spans="1:1" x14ac:dyDescent="0.25">
      <c r="A11056" t="s">
        <v>10110</v>
      </c>
    </row>
    <row r="11057" spans="1:1" x14ac:dyDescent="0.25">
      <c r="A11057" t="s">
        <v>10111</v>
      </c>
    </row>
    <row r="11058" spans="1:1" x14ac:dyDescent="0.25">
      <c r="A11058" t="s">
        <v>10406</v>
      </c>
    </row>
    <row r="11059" spans="1:1" x14ac:dyDescent="0.25">
      <c r="A11059" t="s">
        <v>10408</v>
      </c>
    </row>
    <row r="11060" spans="1:1" x14ac:dyDescent="0.25">
      <c r="A11060" t="s">
        <v>10409</v>
      </c>
    </row>
    <row r="11061" spans="1:1" x14ac:dyDescent="0.25">
      <c r="A11061" t="s">
        <v>10410</v>
      </c>
    </row>
    <row r="11062" spans="1:1" x14ac:dyDescent="0.25">
      <c r="A11062" t="s">
        <v>10411</v>
      </c>
    </row>
    <row r="11063" spans="1:1" x14ac:dyDescent="0.25">
      <c r="A11063" t="s">
        <v>10412</v>
      </c>
    </row>
    <row r="11064" spans="1:1" x14ac:dyDescent="0.25">
      <c r="A11064" t="s">
        <v>10406</v>
      </c>
    </row>
    <row r="11065" spans="1:1" x14ac:dyDescent="0.25">
      <c r="A11065" t="s">
        <v>10413</v>
      </c>
    </row>
    <row r="11066" spans="1:1" x14ac:dyDescent="0.25">
      <c r="A11066" t="s">
        <v>10414</v>
      </c>
    </row>
    <row r="11067" spans="1:1" x14ac:dyDescent="0.25">
      <c r="A11067" t="s">
        <v>10415</v>
      </c>
    </row>
    <row r="11068" spans="1:1" x14ac:dyDescent="0.25">
      <c r="A11068" t="s">
        <v>10416</v>
      </c>
    </row>
    <row r="11069" spans="1:1" x14ac:dyDescent="0.25">
      <c r="A11069" t="s">
        <v>10417</v>
      </c>
    </row>
    <row r="11070" spans="1:1" x14ac:dyDescent="0.25">
      <c r="A11070" t="s">
        <v>10418</v>
      </c>
    </row>
    <row r="11071" spans="1:1" x14ac:dyDescent="0.25">
      <c r="A11071" t="s">
        <v>10419</v>
      </c>
    </row>
    <row r="11072" spans="1:1" x14ac:dyDescent="0.25">
      <c r="A11072" t="s">
        <v>10420</v>
      </c>
    </row>
    <row r="11073" spans="1:1" x14ac:dyDescent="0.25">
      <c r="A11073" t="s">
        <v>10421</v>
      </c>
    </row>
    <row r="11074" spans="1:1" x14ac:dyDescent="0.25">
      <c r="A11074" t="s">
        <v>10422</v>
      </c>
    </row>
    <row r="11075" spans="1:1" x14ac:dyDescent="0.25">
      <c r="A11075" t="s">
        <v>10419</v>
      </c>
    </row>
    <row r="11076" spans="1:1" x14ac:dyDescent="0.25">
      <c r="A11076" t="s">
        <v>10423</v>
      </c>
    </row>
    <row r="11077" spans="1:1" x14ac:dyDescent="0.25">
      <c r="A11077" t="s">
        <v>10424</v>
      </c>
    </row>
    <row r="11078" spans="1:1" x14ac:dyDescent="0.25">
      <c r="A11078" t="s">
        <v>10425</v>
      </c>
    </row>
    <row r="11079" spans="1:1" x14ac:dyDescent="0.25">
      <c r="A11079" t="s">
        <v>10419</v>
      </c>
    </row>
    <row r="11080" spans="1:1" x14ac:dyDescent="0.25">
      <c r="A11080" t="s">
        <v>10426</v>
      </c>
    </row>
    <row r="11081" spans="1:1" x14ac:dyDescent="0.25">
      <c r="A11081" t="s">
        <v>10427</v>
      </c>
    </row>
    <row r="11082" spans="1:1" x14ac:dyDescent="0.25">
      <c r="A11082" t="s">
        <v>10428</v>
      </c>
    </row>
    <row r="11083" spans="1:1" x14ac:dyDescent="0.25">
      <c r="A11083" t="s">
        <v>10429</v>
      </c>
    </row>
    <row r="11084" spans="1:1" x14ac:dyDescent="0.25">
      <c r="A11084" t="s">
        <v>10430</v>
      </c>
    </row>
    <row r="11085" spans="1:1" x14ac:dyDescent="0.25">
      <c r="A11085" t="s">
        <v>1509</v>
      </c>
    </row>
    <row r="11086" spans="1:1" x14ac:dyDescent="0.25">
      <c r="A11086" t="s">
        <v>10419</v>
      </c>
    </row>
    <row r="11087" spans="1:1" x14ac:dyDescent="0.25">
      <c r="A11087" t="s">
        <v>10431</v>
      </c>
    </row>
    <row r="11088" spans="1:1" x14ac:dyDescent="0.25">
      <c r="A11088" t="s">
        <v>10432</v>
      </c>
    </row>
    <row r="11089" spans="1:1" x14ac:dyDescent="0.25">
      <c r="A11089" t="s">
        <v>10433</v>
      </c>
    </row>
    <row r="11090" spans="1:1" x14ac:dyDescent="0.25">
      <c r="A11090" t="s">
        <v>10434</v>
      </c>
    </row>
    <row r="11091" spans="1:1" x14ac:dyDescent="0.25">
      <c r="A11091" t="s">
        <v>10435</v>
      </c>
    </row>
    <row r="11092" spans="1:1" x14ac:dyDescent="0.25">
      <c r="A11092" t="s">
        <v>10436</v>
      </c>
    </row>
    <row r="11093" spans="1:1" x14ac:dyDescent="0.25">
      <c r="A11093" t="s">
        <v>10437</v>
      </c>
    </row>
    <row r="11094" spans="1:1" x14ac:dyDescent="0.25">
      <c r="A11094" t="s">
        <v>10438</v>
      </c>
    </row>
    <row r="11095" spans="1:1" x14ac:dyDescent="0.25">
      <c r="A11095" t="s">
        <v>10439</v>
      </c>
    </row>
    <row r="11096" spans="1:1" x14ac:dyDescent="0.25">
      <c r="A11096" t="s">
        <v>10437</v>
      </c>
    </row>
    <row r="11097" spans="1:1" x14ac:dyDescent="0.25">
      <c r="A11097" t="s">
        <v>10440</v>
      </c>
    </row>
    <row r="11098" spans="1:1" x14ac:dyDescent="0.25">
      <c r="A11098" t="s">
        <v>10441</v>
      </c>
    </row>
    <row r="11099" spans="1:1" x14ac:dyDescent="0.25">
      <c r="A11099" t="s">
        <v>10442</v>
      </c>
    </row>
    <row r="11100" spans="1:1" x14ac:dyDescent="0.25">
      <c r="A11100" t="s">
        <v>10443</v>
      </c>
    </row>
    <row r="11101" spans="1:1" x14ac:dyDescent="0.25">
      <c r="A11101" t="s">
        <v>10444</v>
      </c>
    </row>
    <row r="11102" spans="1:1" x14ac:dyDescent="0.25">
      <c r="A11102" t="s">
        <v>10445</v>
      </c>
    </row>
    <row r="11103" spans="1:1" x14ac:dyDescent="0.25">
      <c r="A11103" t="s">
        <v>10437</v>
      </c>
    </row>
    <row r="11104" spans="1:1" x14ac:dyDescent="0.25">
      <c r="A11104" t="s">
        <v>10446</v>
      </c>
    </row>
    <row r="11105" spans="1:1" x14ac:dyDescent="0.25">
      <c r="A11105" t="s">
        <v>10447</v>
      </c>
    </row>
    <row r="11106" spans="1:1" x14ac:dyDescent="0.25">
      <c r="A11106" t="s">
        <v>10448</v>
      </c>
    </row>
    <row r="11107" spans="1:1" x14ac:dyDescent="0.25">
      <c r="A11107" t="s">
        <v>10449</v>
      </c>
    </row>
    <row r="11108" spans="1:1" x14ac:dyDescent="0.25">
      <c r="A11108" t="s">
        <v>1342</v>
      </c>
    </row>
    <row r="11109" spans="1:1" x14ac:dyDescent="0.25">
      <c r="A11109" t="s">
        <v>10450</v>
      </c>
    </row>
    <row r="11110" spans="1:1" x14ac:dyDescent="0.25">
      <c r="A11110" t="s">
        <v>10451</v>
      </c>
    </row>
    <row r="11111" spans="1:1" x14ac:dyDescent="0.25">
      <c r="A11111" t="s">
        <v>10452</v>
      </c>
    </row>
    <row r="11112" spans="1:1" x14ac:dyDescent="0.25">
      <c r="A11112" t="s">
        <v>10453</v>
      </c>
    </row>
    <row r="11113" spans="1:1" x14ac:dyDescent="0.25">
      <c r="A11113" t="s">
        <v>10437</v>
      </c>
    </row>
    <row r="11114" spans="1:1" x14ac:dyDescent="0.25">
      <c r="A11114" t="s">
        <v>10454</v>
      </c>
    </row>
    <row r="11115" spans="1:1" x14ac:dyDescent="0.25">
      <c r="A11115" t="s">
        <v>10455</v>
      </c>
    </row>
    <row r="11116" spans="1:1" x14ac:dyDescent="0.25">
      <c r="A11116" t="s">
        <v>10456</v>
      </c>
    </row>
    <row r="11117" spans="1:1" x14ac:dyDescent="0.25">
      <c r="A11117" t="s">
        <v>10457</v>
      </c>
    </row>
    <row r="11118" spans="1:1" x14ac:dyDescent="0.25">
      <c r="A11118" t="s">
        <v>10458</v>
      </c>
    </row>
    <row r="11120" spans="1:1" x14ac:dyDescent="0.25">
      <c r="A11120" t="s">
        <v>10459</v>
      </c>
    </row>
    <row r="11121" spans="1:1" x14ac:dyDescent="0.25">
      <c r="A11121" t="s">
        <v>10123</v>
      </c>
    </row>
    <row r="11122" spans="1:1" x14ac:dyDescent="0.25">
      <c r="A11122" t="s">
        <v>10124</v>
      </c>
    </row>
    <row r="11123" spans="1:1" x14ac:dyDescent="0.25">
      <c r="A11123" t="s">
        <v>10125</v>
      </c>
    </row>
    <row r="11124" spans="1:1" x14ac:dyDescent="0.25">
      <c r="A11124" t="s">
        <v>10126</v>
      </c>
    </row>
    <row r="11125" spans="1:1" x14ac:dyDescent="0.25">
      <c r="A11125" t="s">
        <v>10460</v>
      </c>
    </row>
    <row r="11126" spans="1:1" x14ac:dyDescent="0.25">
      <c r="A11126" t="s">
        <v>10461</v>
      </c>
    </row>
    <row r="11127" spans="1:1" x14ac:dyDescent="0.25">
      <c r="A11127" t="s">
        <v>10462</v>
      </c>
    </row>
    <row r="11128" spans="1:1" x14ac:dyDescent="0.25">
      <c r="A11128" t="s">
        <v>10463</v>
      </c>
    </row>
    <row r="11129" spans="1:1" x14ac:dyDescent="0.25">
      <c r="A11129" t="s">
        <v>10464</v>
      </c>
    </row>
    <row r="11130" spans="1:1" x14ac:dyDescent="0.25">
      <c r="A11130" t="s">
        <v>10460</v>
      </c>
    </row>
    <row r="11131" spans="1:1" x14ac:dyDescent="0.25">
      <c r="A11131" t="s">
        <v>10465</v>
      </c>
    </row>
    <row r="11132" spans="1:1" x14ac:dyDescent="0.25">
      <c r="A11132" t="s">
        <v>10466</v>
      </c>
    </row>
    <row r="11133" spans="1:1" x14ac:dyDescent="0.25">
      <c r="A11133" t="s">
        <v>10467</v>
      </c>
    </row>
    <row r="11134" spans="1:1" x14ac:dyDescent="0.25">
      <c r="A11134" t="s">
        <v>10468</v>
      </c>
    </row>
    <row r="11135" spans="1:1" x14ac:dyDescent="0.25">
      <c r="A11135" t="s">
        <v>10460</v>
      </c>
    </row>
    <row r="11136" spans="1:1" x14ac:dyDescent="0.25">
      <c r="A11136" t="s">
        <v>10469</v>
      </c>
    </row>
    <row r="11137" spans="1:1" x14ac:dyDescent="0.25">
      <c r="A11137" t="s">
        <v>10470</v>
      </c>
    </row>
    <row r="11138" spans="1:1" x14ac:dyDescent="0.25">
      <c r="A11138" t="s">
        <v>10471</v>
      </c>
    </row>
    <row r="11139" spans="1:1" x14ac:dyDescent="0.25">
      <c r="A11139" t="s">
        <v>10472</v>
      </c>
    </row>
    <row r="11140" spans="1:1" x14ac:dyDescent="0.25">
      <c r="A11140" t="s">
        <v>10473</v>
      </c>
    </row>
    <row r="11141" spans="1:1" x14ac:dyDescent="0.25">
      <c r="A11141" t="s">
        <v>10460</v>
      </c>
    </row>
    <row r="11142" spans="1:1" x14ac:dyDescent="0.25">
      <c r="A11142" t="s">
        <v>10474</v>
      </c>
    </row>
    <row r="11143" spans="1:1" x14ac:dyDescent="0.25">
      <c r="A11143" t="s">
        <v>10339</v>
      </c>
    </row>
    <row r="11144" spans="1:1" x14ac:dyDescent="0.25">
      <c r="A11144" t="s">
        <v>10467</v>
      </c>
    </row>
    <row r="11145" spans="1:1" x14ac:dyDescent="0.25">
      <c r="A11145" t="s">
        <v>10475</v>
      </c>
    </row>
    <row r="11146" spans="1:1" x14ac:dyDescent="0.25">
      <c r="A11146" t="s">
        <v>10476</v>
      </c>
    </row>
    <row r="11147" spans="1:1" x14ac:dyDescent="0.25">
      <c r="A11147" t="s">
        <v>3932</v>
      </c>
    </row>
    <row r="11148" spans="1:1" x14ac:dyDescent="0.25">
      <c r="A11148" t="s">
        <v>10477</v>
      </c>
    </row>
    <row r="11149" spans="1:1" x14ac:dyDescent="0.25">
      <c r="A11149" t="s">
        <v>10151</v>
      </c>
    </row>
    <row r="11150" spans="1:1" x14ac:dyDescent="0.25">
      <c r="A11150" t="s">
        <v>10478</v>
      </c>
    </row>
    <row r="11151" spans="1:1" x14ac:dyDescent="0.25">
      <c r="A11151" t="s">
        <v>10479</v>
      </c>
    </row>
    <row r="11152" spans="1:1" x14ac:dyDescent="0.25">
      <c r="A11152" t="s">
        <v>10480</v>
      </c>
    </row>
    <row r="11153" spans="1:1" x14ac:dyDescent="0.25">
      <c r="A11153" t="s">
        <v>3932</v>
      </c>
    </row>
    <row r="11154" spans="1:1" x14ac:dyDescent="0.25">
      <c r="A11154" t="s">
        <v>3933</v>
      </c>
    </row>
    <row r="11155" spans="1:1" x14ac:dyDescent="0.25">
      <c r="A11155" t="s">
        <v>3934</v>
      </c>
    </row>
    <row r="11156" spans="1:1" x14ac:dyDescent="0.25">
      <c r="A11156" t="s">
        <v>3935</v>
      </c>
    </row>
    <row r="11157" spans="1:1" x14ac:dyDescent="0.25">
      <c r="A11157" t="s">
        <v>3936</v>
      </c>
    </row>
    <row r="11158" spans="1:1" x14ac:dyDescent="0.25">
      <c r="A11158" t="s">
        <v>3932</v>
      </c>
    </row>
    <row r="11159" spans="1:1" x14ac:dyDescent="0.25">
      <c r="A11159" t="s">
        <v>10481</v>
      </c>
    </row>
    <row r="11160" spans="1:1" x14ac:dyDescent="0.25">
      <c r="A11160" t="s">
        <v>10339</v>
      </c>
    </row>
    <row r="11161" spans="1:1" x14ac:dyDescent="0.25">
      <c r="A11161" t="s">
        <v>10463</v>
      </c>
    </row>
    <row r="11162" spans="1:1" x14ac:dyDescent="0.25">
      <c r="A11162" t="s">
        <v>10482</v>
      </c>
    </row>
    <row r="11163" spans="1:1" x14ac:dyDescent="0.25">
      <c r="A11163" t="s">
        <v>10483</v>
      </c>
    </row>
    <row r="11164" spans="1:1" x14ac:dyDescent="0.25">
      <c r="A11164" t="s">
        <v>10484</v>
      </c>
    </row>
    <row r="11165" spans="1:1" x14ac:dyDescent="0.25">
      <c r="A11165" t="s">
        <v>10485</v>
      </c>
    </row>
    <row r="11166" spans="1:1" x14ac:dyDescent="0.25">
      <c r="A11166" t="s">
        <v>10486</v>
      </c>
    </row>
    <row r="11167" spans="1:1" x14ac:dyDescent="0.25">
      <c r="A11167" t="s">
        <v>8739</v>
      </c>
    </row>
    <row r="11168" spans="1:1" x14ac:dyDescent="0.25">
      <c r="A11168" t="s">
        <v>10487</v>
      </c>
    </row>
    <row r="11169" spans="1:1" x14ac:dyDescent="0.25">
      <c r="A11169" t="s">
        <v>10488</v>
      </c>
    </row>
    <row r="11170" spans="1:1" x14ac:dyDescent="0.25">
      <c r="A11170" t="s">
        <v>10489</v>
      </c>
    </row>
    <row r="11171" spans="1:1" x14ac:dyDescent="0.25">
      <c r="A11171" t="s">
        <v>1342</v>
      </c>
    </row>
    <row r="11172" spans="1:1" x14ac:dyDescent="0.25">
      <c r="A11172" t="s">
        <v>10490</v>
      </c>
    </row>
    <row r="11173" spans="1:1" x14ac:dyDescent="0.25">
      <c r="A11173" t="s">
        <v>10491</v>
      </c>
    </row>
    <row r="11174" spans="1:1" x14ac:dyDescent="0.25">
      <c r="A11174" t="s">
        <v>10492</v>
      </c>
    </row>
    <row r="11175" spans="1:1" x14ac:dyDescent="0.25">
      <c r="A11175" t="s">
        <v>10493</v>
      </c>
    </row>
    <row r="11176" spans="1:1" x14ac:dyDescent="0.25">
      <c r="A11176" t="s">
        <v>8739</v>
      </c>
    </row>
    <row r="11177" spans="1:1" x14ac:dyDescent="0.25">
      <c r="A11177" t="s">
        <v>9921</v>
      </c>
    </row>
    <row r="11178" spans="1:1" x14ac:dyDescent="0.25">
      <c r="A11178" t="s">
        <v>10494</v>
      </c>
    </row>
    <row r="11179" spans="1:1" x14ac:dyDescent="0.25">
      <c r="A11179" t="s">
        <v>10495</v>
      </c>
    </row>
    <row r="11180" spans="1:1" x14ac:dyDescent="0.25">
      <c r="A11180" t="s">
        <v>9924</v>
      </c>
    </row>
    <row r="11181" spans="1:1" x14ac:dyDescent="0.25">
      <c r="A11181" t="s">
        <v>10496</v>
      </c>
    </row>
    <row r="11182" spans="1:1" x14ac:dyDescent="0.25">
      <c r="A11182" t="s">
        <v>10497</v>
      </c>
    </row>
    <row r="11183" spans="1:1" x14ac:dyDescent="0.25">
      <c r="A11183" t="s">
        <v>10498</v>
      </c>
    </row>
    <row r="11184" spans="1:1" x14ac:dyDescent="0.25">
      <c r="A11184" t="s">
        <v>10499</v>
      </c>
    </row>
    <row r="11185" spans="1:1" x14ac:dyDescent="0.25">
      <c r="A11185" t="s">
        <v>10496</v>
      </c>
    </row>
    <row r="11186" spans="1:1" x14ac:dyDescent="0.25">
      <c r="A11186" t="s">
        <v>10500</v>
      </c>
    </row>
    <row r="11188" spans="1:1" x14ac:dyDescent="0.25">
      <c r="A11188" t="s">
        <v>10501</v>
      </c>
    </row>
    <row r="11189" spans="1:1" x14ac:dyDescent="0.25">
      <c r="A11189" t="s">
        <v>10496</v>
      </c>
    </row>
    <row r="11190" spans="1:1" x14ac:dyDescent="0.25">
      <c r="A11190" t="s">
        <v>10502</v>
      </c>
    </row>
    <row r="11191" spans="1:1" x14ac:dyDescent="0.25">
      <c r="A11191" t="s">
        <v>10503</v>
      </c>
    </row>
    <row r="11192" spans="1:1" x14ac:dyDescent="0.25">
      <c r="A11192" t="s">
        <v>10496</v>
      </c>
    </row>
    <row r="11193" spans="1:1" x14ac:dyDescent="0.25">
      <c r="A11193" t="s">
        <v>10504</v>
      </c>
    </row>
    <row r="11194" spans="1:1" x14ac:dyDescent="0.25">
      <c r="A11194" t="s">
        <v>10505</v>
      </c>
    </row>
    <row r="11195" spans="1:1" x14ac:dyDescent="0.25">
      <c r="A11195" t="s">
        <v>10506</v>
      </c>
    </row>
    <row r="11196" spans="1:1" x14ac:dyDescent="0.25">
      <c r="A11196" t="s">
        <v>10507</v>
      </c>
    </row>
    <row r="11197" spans="1:1" x14ac:dyDescent="0.25">
      <c r="A11197" t="s">
        <v>10508</v>
      </c>
    </row>
    <row r="11198" spans="1:1" x14ac:dyDescent="0.25">
      <c r="A11198" t="s">
        <v>10151</v>
      </c>
    </row>
    <row r="11199" spans="1:1" x14ac:dyDescent="0.25">
      <c r="A11199" t="s">
        <v>10509</v>
      </c>
    </row>
    <row r="11200" spans="1:1" x14ac:dyDescent="0.25">
      <c r="A11200" t="s">
        <v>10510</v>
      </c>
    </row>
    <row r="11201" spans="1:6" x14ac:dyDescent="0.25">
      <c r="A11201" t="s">
        <v>10511</v>
      </c>
    </row>
    <row r="11202" spans="1:6" x14ac:dyDescent="0.25">
      <c r="A11202" t="s">
        <v>4245</v>
      </c>
    </row>
    <row r="11203" spans="1:6" x14ac:dyDescent="0.25">
      <c r="A11203" t="s">
        <v>10512</v>
      </c>
    </row>
    <row r="11204" spans="1:6" x14ac:dyDescent="0.25">
      <c r="A11204" t="s">
        <v>10513</v>
      </c>
    </row>
    <row r="11205" spans="1:6" x14ac:dyDescent="0.25">
      <c r="A11205" t="s">
        <v>10514</v>
      </c>
    </row>
    <row r="11206" spans="1:6" x14ac:dyDescent="0.25">
      <c r="A11206" t="s">
        <v>10515</v>
      </c>
    </row>
    <row r="11207" spans="1:6" x14ac:dyDescent="0.25">
      <c r="A11207" t="s">
        <v>10516</v>
      </c>
    </row>
    <row r="11208" spans="1:6" x14ac:dyDescent="0.25">
      <c r="A11208">
        <v>1</v>
      </c>
      <c r="B11208" t="s">
        <v>2171</v>
      </c>
      <c r="C11208">
        <v>964.86</v>
      </c>
      <c r="D11208" s="55">
        <v>43799</v>
      </c>
      <c r="E11208">
        <v>5</v>
      </c>
      <c r="F11208">
        <v>929</v>
      </c>
    </row>
    <row r="11209" spans="1:6" x14ac:dyDescent="0.25">
      <c r="A11209" t="s">
        <v>10517</v>
      </c>
    </row>
    <row r="11210" spans="1:6" x14ac:dyDescent="0.25">
      <c r="A11210" t="s">
        <v>10518</v>
      </c>
    </row>
    <row r="11211" spans="1:6" x14ac:dyDescent="0.25">
      <c r="A11211" t="s">
        <v>10519</v>
      </c>
    </row>
    <row r="11212" spans="1:6" x14ac:dyDescent="0.25">
      <c r="A11212" t="s">
        <v>10520</v>
      </c>
    </row>
    <row r="11213" spans="1:6" x14ac:dyDescent="0.25">
      <c r="A11213" t="s">
        <v>10521</v>
      </c>
    </row>
    <row r="11214" spans="1:6" x14ac:dyDescent="0.25">
      <c r="A11214" t="s">
        <v>10522</v>
      </c>
    </row>
    <row r="11215" spans="1:6" x14ac:dyDescent="0.25">
      <c r="A11215" t="s">
        <v>10523</v>
      </c>
    </row>
    <row r="11216" spans="1:6" x14ac:dyDescent="0.25">
      <c r="A11216" t="s">
        <v>10524</v>
      </c>
    </row>
    <row r="11217" spans="1:1" x14ac:dyDescent="0.25">
      <c r="A11217" t="s">
        <v>10525</v>
      </c>
    </row>
    <row r="11218" spans="1:1" x14ac:dyDescent="0.25">
      <c r="A11218" t="s">
        <v>10526</v>
      </c>
    </row>
    <row r="11219" spans="1:1" x14ac:dyDescent="0.25">
      <c r="A11219" t="s">
        <v>10527</v>
      </c>
    </row>
    <row r="11220" spans="1:1" x14ac:dyDescent="0.25">
      <c r="A11220" t="s">
        <v>10528</v>
      </c>
    </row>
    <row r="11221" spans="1:1" x14ac:dyDescent="0.25">
      <c r="A11221" t="s">
        <v>10529</v>
      </c>
    </row>
    <row r="11222" spans="1:1" x14ac:dyDescent="0.25">
      <c r="A11222" t="s">
        <v>10530</v>
      </c>
    </row>
    <row r="11223" spans="1:1" x14ac:dyDescent="0.25">
      <c r="A11223" t="s">
        <v>10531</v>
      </c>
    </row>
    <row r="11224" spans="1:1" x14ac:dyDescent="0.25">
      <c r="A11224" t="s">
        <v>10532</v>
      </c>
    </row>
    <row r="11225" spans="1:1" x14ac:dyDescent="0.25">
      <c r="A11225" t="s">
        <v>10533</v>
      </c>
    </row>
    <row r="11226" spans="1:1" x14ac:dyDescent="0.25">
      <c r="A11226" t="s">
        <v>10534</v>
      </c>
    </row>
    <row r="11227" spans="1:1" x14ac:dyDescent="0.25">
      <c r="A11227" t="s">
        <v>10535</v>
      </c>
    </row>
    <row r="11228" spans="1:1" x14ac:dyDescent="0.25">
      <c r="A11228" t="s">
        <v>10536</v>
      </c>
    </row>
    <row r="11229" spans="1:1" x14ac:dyDescent="0.25">
      <c r="A11229" t="s">
        <v>10537</v>
      </c>
    </row>
    <row r="11230" spans="1:1" x14ac:dyDescent="0.25">
      <c r="A11230" t="s">
        <v>10538</v>
      </c>
    </row>
    <row r="11231" spans="1:1" x14ac:dyDescent="0.25">
      <c r="A11231" t="s">
        <v>9442</v>
      </c>
    </row>
    <row r="11232" spans="1:1" x14ac:dyDescent="0.25">
      <c r="A11232" t="s">
        <v>10539</v>
      </c>
    </row>
    <row r="11233" spans="1:1" x14ac:dyDescent="0.25">
      <c r="A11233" t="s">
        <v>10540</v>
      </c>
    </row>
    <row r="11234" spans="1:1" x14ac:dyDescent="0.25">
      <c r="A11234" t="s">
        <v>10541</v>
      </c>
    </row>
    <row r="11235" spans="1:1" x14ac:dyDescent="0.25">
      <c r="A11235" t="s">
        <v>10542</v>
      </c>
    </row>
    <row r="11236" spans="1:1" x14ac:dyDescent="0.25">
      <c r="A11236" t="s">
        <v>10543</v>
      </c>
    </row>
    <row r="11237" spans="1:1" x14ac:dyDescent="0.25">
      <c r="A11237" t="s">
        <v>10544</v>
      </c>
    </row>
    <row r="11238" spans="1:1" x14ac:dyDescent="0.25">
      <c r="A11238" t="s">
        <v>10545</v>
      </c>
    </row>
    <row r="11239" spans="1:1" x14ac:dyDescent="0.25">
      <c r="A11239" t="s">
        <v>10546</v>
      </c>
    </row>
    <row r="11240" spans="1:1" x14ac:dyDescent="0.25">
      <c r="A11240" t="s">
        <v>10547</v>
      </c>
    </row>
    <row r="11242" spans="1:1" x14ac:dyDescent="0.25">
      <c r="A11242" t="s">
        <v>10548</v>
      </c>
    </row>
    <row r="11243" spans="1:1" x14ac:dyDescent="0.25">
      <c r="A11243" t="s">
        <v>10549</v>
      </c>
    </row>
    <row r="11244" spans="1:1" x14ac:dyDescent="0.25">
      <c r="A11244" t="s">
        <v>10550</v>
      </c>
    </row>
    <row r="11245" spans="1:1" x14ac:dyDescent="0.25">
      <c r="A11245" t="s">
        <v>10551</v>
      </c>
    </row>
    <row r="11247" spans="1:1" x14ac:dyDescent="0.25">
      <c r="A11247" t="s">
        <v>10552</v>
      </c>
    </row>
    <row r="11248" spans="1:1" x14ac:dyDescent="0.25">
      <c r="A11248" t="s">
        <v>10553</v>
      </c>
    </row>
    <row r="11249" spans="1:1" x14ac:dyDescent="0.25">
      <c r="A11249" t="s">
        <v>10554</v>
      </c>
    </row>
    <row r="11250" spans="1:1" x14ac:dyDescent="0.25">
      <c r="A11250" t="s">
        <v>10555</v>
      </c>
    </row>
    <row r="11251" spans="1:1" x14ac:dyDescent="0.25">
      <c r="A11251" t="s">
        <v>10556</v>
      </c>
    </row>
    <row r="11252" spans="1:1" x14ac:dyDescent="0.25">
      <c r="A11252" t="s">
        <v>10557</v>
      </c>
    </row>
    <row r="11253" spans="1:1" x14ac:dyDescent="0.25">
      <c r="A11253" t="s">
        <v>10558</v>
      </c>
    </row>
    <row r="11254" spans="1:1" x14ac:dyDescent="0.25">
      <c r="A11254" t="s">
        <v>10559</v>
      </c>
    </row>
    <row r="11255" spans="1:1" x14ac:dyDescent="0.25">
      <c r="A11255" t="s">
        <v>10560</v>
      </c>
    </row>
    <row r="11256" spans="1:1" x14ac:dyDescent="0.25">
      <c r="A11256" t="s">
        <v>10561</v>
      </c>
    </row>
    <row r="11257" spans="1:1" x14ac:dyDescent="0.25">
      <c r="A11257" t="s">
        <v>10562</v>
      </c>
    </row>
    <row r="11258" spans="1:1" x14ac:dyDescent="0.25">
      <c r="A11258" t="s">
        <v>10563</v>
      </c>
    </row>
    <row r="11259" spans="1:1" x14ac:dyDescent="0.25">
      <c r="A11259" t="s">
        <v>10564</v>
      </c>
    </row>
    <row r="11260" spans="1:1" x14ac:dyDescent="0.25">
      <c r="A11260" t="s">
        <v>10565</v>
      </c>
    </row>
    <row r="11261" spans="1:1" x14ac:dyDescent="0.25">
      <c r="A11261" t="s">
        <v>10566</v>
      </c>
    </row>
    <row r="11262" spans="1:1" x14ac:dyDescent="0.25">
      <c r="A11262" t="s">
        <v>10567</v>
      </c>
    </row>
    <row r="11263" spans="1:1" x14ac:dyDescent="0.25">
      <c r="A11263" t="s">
        <v>10568</v>
      </c>
    </row>
    <row r="11264" spans="1:1" x14ac:dyDescent="0.25">
      <c r="A11264" t="s">
        <v>10569</v>
      </c>
    </row>
    <row r="11265" spans="1:1" x14ac:dyDescent="0.25">
      <c r="A11265" t="s">
        <v>10570</v>
      </c>
    </row>
    <row r="11266" spans="1:1" x14ac:dyDescent="0.25">
      <c r="A11266" t="s">
        <v>10571</v>
      </c>
    </row>
    <row r="11267" spans="1:1" x14ac:dyDescent="0.25">
      <c r="A11267" t="s">
        <v>10572</v>
      </c>
    </row>
    <row r="11268" spans="1:1" x14ac:dyDescent="0.25">
      <c r="A11268" t="s">
        <v>10573</v>
      </c>
    </row>
    <row r="11269" spans="1:1" x14ac:dyDescent="0.25">
      <c r="A11269" t="s">
        <v>10574</v>
      </c>
    </row>
    <row r="11270" spans="1:1" x14ac:dyDescent="0.25">
      <c r="A11270" t="s">
        <v>10575</v>
      </c>
    </row>
    <row r="11271" spans="1:1" x14ac:dyDescent="0.25">
      <c r="A11271" t="s">
        <v>10576</v>
      </c>
    </row>
    <row r="11272" spans="1:1" x14ac:dyDescent="0.25">
      <c r="A11272" t="s">
        <v>10577</v>
      </c>
    </row>
    <row r="11273" spans="1:1" x14ac:dyDescent="0.25">
      <c r="A11273" t="s">
        <v>10578</v>
      </c>
    </row>
    <row r="11274" spans="1:1" x14ac:dyDescent="0.25">
      <c r="A11274" t="s">
        <v>10579</v>
      </c>
    </row>
    <row r="11275" spans="1:1" x14ac:dyDescent="0.25">
      <c r="A11275" t="s">
        <v>10580</v>
      </c>
    </row>
    <row r="11276" spans="1:1" x14ac:dyDescent="0.25">
      <c r="A11276" t="s">
        <v>10581</v>
      </c>
    </row>
    <row r="11277" spans="1:1" x14ac:dyDescent="0.25">
      <c r="A11277" t="s">
        <v>10582</v>
      </c>
    </row>
    <row r="11278" spans="1:1" x14ac:dyDescent="0.25">
      <c r="A11278" t="s">
        <v>10583</v>
      </c>
    </row>
    <row r="11279" spans="1:1" x14ac:dyDescent="0.25">
      <c r="A11279" t="s">
        <v>10584</v>
      </c>
    </row>
    <row r="11280" spans="1:1" x14ac:dyDescent="0.25">
      <c r="A11280" t="s">
        <v>10585</v>
      </c>
    </row>
    <row r="11281" spans="1:2" x14ac:dyDescent="0.25">
      <c r="A11281" t="s">
        <v>10586</v>
      </c>
    </row>
    <row r="11282" spans="1:2" x14ac:dyDescent="0.25">
      <c r="A11282" t="s">
        <v>10587</v>
      </c>
    </row>
    <row r="11283" spans="1:2" x14ac:dyDescent="0.25">
      <c r="A11283" t="s">
        <v>10588</v>
      </c>
    </row>
    <row r="11284" spans="1:2" x14ac:dyDescent="0.25">
      <c r="A11284" t="s">
        <v>10589</v>
      </c>
    </row>
    <row r="11285" spans="1:2" x14ac:dyDescent="0.25">
      <c r="A11285" t="s">
        <v>10590</v>
      </c>
    </row>
    <row r="11286" spans="1:2" x14ac:dyDescent="0.25">
      <c r="A11286" t="s">
        <v>10591</v>
      </c>
      <c r="B11286" t="s">
        <v>10592</v>
      </c>
    </row>
    <row r="11287" spans="1:2" x14ac:dyDescent="0.25">
      <c r="A11287" t="s">
        <v>10593</v>
      </c>
    </row>
    <row r="11288" spans="1:2" x14ac:dyDescent="0.25">
      <c r="A11288" t="s">
        <v>10594</v>
      </c>
    </row>
    <row r="11289" spans="1:2" x14ac:dyDescent="0.25">
      <c r="A11289" t="s">
        <v>10595</v>
      </c>
    </row>
    <row r="11290" spans="1:2" x14ac:dyDescent="0.25">
      <c r="A11290" t="s">
        <v>10596</v>
      </c>
    </row>
    <row r="11291" spans="1:2" x14ac:dyDescent="0.25">
      <c r="A11291" t="s">
        <v>4353</v>
      </c>
    </row>
    <row r="11292" spans="1:2" x14ac:dyDescent="0.25">
      <c r="A11292" t="s">
        <v>9634</v>
      </c>
    </row>
    <row r="11293" spans="1:2" x14ac:dyDescent="0.25">
      <c r="A11293" t="s">
        <v>10597</v>
      </c>
      <c r="B11293" t="s">
        <v>10598</v>
      </c>
    </row>
    <row r="11294" spans="1:2" x14ac:dyDescent="0.25">
      <c r="A11294" t="s">
        <v>10599</v>
      </c>
    </row>
    <row r="11295" spans="1:2" x14ac:dyDescent="0.25">
      <c r="A11295" t="s">
        <v>10600</v>
      </c>
    </row>
    <row r="11296" spans="1:2" x14ac:dyDescent="0.25">
      <c r="A11296" t="s">
        <v>10601</v>
      </c>
    </row>
    <row r="11297" spans="1:1" x14ac:dyDescent="0.25">
      <c r="A11297" t="s">
        <v>10602</v>
      </c>
    </row>
    <row r="11298" spans="1:1" x14ac:dyDescent="0.25">
      <c r="A11298" t="s">
        <v>10603</v>
      </c>
    </row>
    <row r="11299" spans="1:1" x14ac:dyDescent="0.25">
      <c r="A11299" t="s">
        <v>10293</v>
      </c>
    </row>
    <row r="11300" spans="1:1" x14ac:dyDescent="0.25">
      <c r="A11300" t="s">
        <v>10604</v>
      </c>
    </row>
    <row r="11301" spans="1:1" x14ac:dyDescent="0.25">
      <c r="A11301" t="s">
        <v>10605</v>
      </c>
    </row>
    <row r="11305" spans="1:1" x14ac:dyDescent="0.25">
      <c r="A11305" t="s">
        <v>10606</v>
      </c>
    </row>
    <row r="11306" spans="1:1" x14ac:dyDescent="0.25">
      <c r="A11306" t="s">
        <v>10607</v>
      </c>
    </row>
    <row r="11307" spans="1:1" x14ac:dyDescent="0.25">
      <c r="A11307" t="s">
        <v>10608</v>
      </c>
    </row>
    <row r="11308" spans="1:1" x14ac:dyDescent="0.25">
      <c r="A11308" t="s">
        <v>10609</v>
      </c>
    </row>
    <row r="11309" spans="1:1" x14ac:dyDescent="0.25">
      <c r="A11309" t="s">
        <v>2754</v>
      </c>
    </row>
    <row r="11310" spans="1:1" x14ac:dyDescent="0.25">
      <c r="A11310" t="s">
        <v>2755</v>
      </c>
    </row>
    <row r="11311" spans="1:1" x14ac:dyDescent="0.25">
      <c r="A11311" t="s">
        <v>2756</v>
      </c>
    </row>
    <row r="11312" spans="1:1" x14ac:dyDescent="0.25">
      <c r="A11312" t="s">
        <v>10610</v>
      </c>
    </row>
    <row r="11313" spans="1:8" x14ac:dyDescent="0.25">
      <c r="A11313" t="s">
        <v>2758</v>
      </c>
    </row>
    <row r="11314" spans="1:8" x14ac:dyDescent="0.25">
      <c r="A11314" t="s">
        <v>2759</v>
      </c>
    </row>
    <row r="11315" spans="1:8" x14ac:dyDescent="0.25">
      <c r="A11315" t="s">
        <v>10611</v>
      </c>
    </row>
    <row r="11316" spans="1:8" x14ac:dyDescent="0.25">
      <c r="A11316" t="s">
        <v>10612</v>
      </c>
    </row>
    <row r="11317" spans="1:8" x14ac:dyDescent="0.25">
      <c r="A11317" t="s">
        <v>10613</v>
      </c>
    </row>
    <row r="11318" spans="1:8" x14ac:dyDescent="0.25">
      <c r="A11318" t="s">
        <v>10614</v>
      </c>
    </row>
    <row r="11319" spans="1:8" x14ac:dyDescent="0.25">
      <c r="A11319" t="s">
        <v>10615</v>
      </c>
    </row>
    <row r="11320" spans="1:8" x14ac:dyDescent="0.25">
      <c r="A11320" t="s">
        <v>10616</v>
      </c>
    </row>
    <row r="11321" spans="1:8" x14ac:dyDescent="0.25">
      <c r="A11321" t="s">
        <v>10617</v>
      </c>
      <c r="B11321" t="s">
        <v>10618</v>
      </c>
      <c r="C11321" t="s">
        <v>9135</v>
      </c>
      <c r="D11321" t="s">
        <v>10619</v>
      </c>
      <c r="E11321" t="s">
        <v>2172</v>
      </c>
      <c r="F11321" t="s">
        <v>10620</v>
      </c>
      <c r="G11321" t="s">
        <v>2388</v>
      </c>
      <c r="H11321" t="s">
        <v>10621</v>
      </c>
    </row>
    <row r="11322" spans="1:8" x14ac:dyDescent="0.25">
      <c r="A11322" t="s">
        <v>10622</v>
      </c>
    </row>
    <row r="11323" spans="1:8" x14ac:dyDescent="0.25">
      <c r="A11323" t="s">
        <v>10383</v>
      </c>
    </row>
    <row r="11324" spans="1:8" x14ac:dyDescent="0.25">
      <c r="A11324" t="s">
        <v>10623</v>
      </c>
    </row>
    <row r="11325" spans="1:8" x14ac:dyDescent="0.25">
      <c r="A11325" t="s">
        <v>10624</v>
      </c>
    </row>
    <row r="11326" spans="1:8" x14ac:dyDescent="0.25">
      <c r="A11326" t="s">
        <v>10625</v>
      </c>
    </row>
    <row r="11327" spans="1:8" x14ac:dyDescent="0.25">
      <c r="A11327" t="s">
        <v>10626</v>
      </c>
    </row>
    <row r="11328" spans="1:8" x14ac:dyDescent="0.25">
      <c r="A11328" t="s">
        <v>10627</v>
      </c>
    </row>
    <row r="11329" spans="1:1" x14ac:dyDescent="0.25">
      <c r="A11329" t="s">
        <v>9634</v>
      </c>
    </row>
    <row r="11330" spans="1:1" x14ac:dyDescent="0.25">
      <c r="A11330" t="s">
        <v>10628</v>
      </c>
    </row>
    <row r="11331" spans="1:1" x14ac:dyDescent="0.25">
      <c r="A11331" t="s">
        <v>10599</v>
      </c>
    </row>
    <row r="11332" spans="1:1" x14ac:dyDescent="0.25">
      <c r="A11332" t="s">
        <v>10629</v>
      </c>
    </row>
    <row r="11333" spans="1:1" x14ac:dyDescent="0.25">
      <c r="A11333" t="s">
        <v>10630</v>
      </c>
    </row>
    <row r="11334" spans="1:1" x14ac:dyDescent="0.25">
      <c r="A11334" t="s">
        <v>10631</v>
      </c>
    </row>
    <row r="11335" spans="1:1" x14ac:dyDescent="0.25">
      <c r="A11335" t="s">
        <v>10622</v>
      </c>
    </row>
    <row r="11336" spans="1:1" x14ac:dyDescent="0.25">
      <c r="A11336" t="s">
        <v>10632</v>
      </c>
    </row>
    <row r="11337" spans="1:1" x14ac:dyDescent="0.25">
      <c r="A11337" t="s">
        <v>10633</v>
      </c>
    </row>
    <row r="11338" spans="1:1" x14ac:dyDescent="0.25">
      <c r="A11338" t="s">
        <v>10634</v>
      </c>
    </row>
    <row r="11339" spans="1:1" x14ac:dyDescent="0.25">
      <c r="A11339" t="s">
        <v>4353</v>
      </c>
    </row>
    <row r="11340" spans="1:1" x14ac:dyDescent="0.25">
      <c r="A11340" t="s">
        <v>9634</v>
      </c>
    </row>
    <row r="11341" spans="1:1" x14ac:dyDescent="0.25">
      <c r="A11341" t="s">
        <v>10635</v>
      </c>
    </row>
    <row r="11342" spans="1:1" x14ac:dyDescent="0.25">
      <c r="A11342" t="s">
        <v>10636</v>
      </c>
    </row>
    <row r="11343" spans="1:1" x14ac:dyDescent="0.25">
      <c r="A11343" t="s">
        <v>10637</v>
      </c>
    </row>
    <row r="11344" spans="1:1" x14ac:dyDescent="0.25">
      <c r="A11344" t="s">
        <v>10638</v>
      </c>
    </row>
    <row r="11345" spans="1:1" x14ac:dyDescent="0.25">
      <c r="A11345" t="s">
        <v>10639</v>
      </c>
    </row>
    <row r="11346" spans="1:1" x14ac:dyDescent="0.25">
      <c r="A11346" t="s">
        <v>10640</v>
      </c>
    </row>
    <row r="11347" spans="1:1" x14ac:dyDescent="0.25">
      <c r="A11347" t="s">
        <v>10641</v>
      </c>
    </row>
    <row r="11348" spans="1:1" x14ac:dyDescent="0.25">
      <c r="A11348" t="s">
        <v>9765</v>
      </c>
    </row>
    <row r="11349" spans="1:1" x14ac:dyDescent="0.25">
      <c r="A11349" t="s">
        <v>9766</v>
      </c>
    </row>
    <row r="11350" spans="1:1" x14ac:dyDescent="0.25">
      <c r="A11350" t="s">
        <v>10642</v>
      </c>
    </row>
    <row r="11351" spans="1:1" x14ac:dyDescent="0.25">
      <c r="A11351" t="s">
        <v>9768</v>
      </c>
    </row>
    <row r="11352" spans="1:1" x14ac:dyDescent="0.25">
      <c r="A11352" t="s">
        <v>10643</v>
      </c>
    </row>
    <row r="11353" spans="1:1" x14ac:dyDescent="0.25">
      <c r="A11353" t="s">
        <v>10644</v>
      </c>
    </row>
    <row r="11354" spans="1:1" x14ac:dyDescent="0.25">
      <c r="A11354" t="s">
        <v>10645</v>
      </c>
    </row>
    <row r="11355" spans="1:1" x14ac:dyDescent="0.25">
      <c r="A11355" t="s">
        <v>10646</v>
      </c>
    </row>
    <row r="11356" spans="1:1" x14ac:dyDescent="0.25">
      <c r="A11356" t="s">
        <v>10647</v>
      </c>
    </row>
    <row r="11357" spans="1:1" x14ac:dyDescent="0.25">
      <c r="A11357" t="s">
        <v>10648</v>
      </c>
    </row>
    <row r="11358" spans="1:1" x14ac:dyDescent="0.25">
      <c r="A11358" t="s">
        <v>10649</v>
      </c>
    </row>
    <row r="11359" spans="1:1" x14ac:dyDescent="0.25">
      <c r="A11359" t="s">
        <v>10650</v>
      </c>
    </row>
    <row r="11360" spans="1:1" x14ac:dyDescent="0.25">
      <c r="A11360" t="s">
        <v>10651</v>
      </c>
    </row>
    <row r="11361" spans="1:5" x14ac:dyDescent="0.25">
      <c r="A11361" t="s">
        <v>10652</v>
      </c>
      <c r="B11361" t="s">
        <v>10653</v>
      </c>
      <c r="C11361" t="s">
        <v>10654</v>
      </c>
      <c r="D11361">
        <v>449.54</v>
      </c>
      <c r="E11361" s="55">
        <v>43607</v>
      </c>
    </row>
    <row r="11362" spans="1:5" x14ac:dyDescent="0.25">
      <c r="A11362" t="s">
        <v>10655</v>
      </c>
    </row>
    <row r="11363" spans="1:5" x14ac:dyDescent="0.25">
      <c r="A11363" t="s">
        <v>10647</v>
      </c>
    </row>
    <row r="11364" spans="1:5" x14ac:dyDescent="0.25">
      <c r="A11364" t="s">
        <v>10656</v>
      </c>
    </row>
    <row r="11365" spans="1:5" x14ac:dyDescent="0.25">
      <c r="A11365" t="s">
        <v>10657</v>
      </c>
    </row>
    <row r="11366" spans="1:5" x14ac:dyDescent="0.25">
      <c r="A11366" t="s">
        <v>10456</v>
      </c>
    </row>
    <row r="11367" spans="1:5" x14ac:dyDescent="0.25">
      <c r="A11367" t="s">
        <v>10658</v>
      </c>
    </row>
    <row r="11368" spans="1:5" x14ac:dyDescent="0.25">
      <c r="A11368" t="s">
        <v>10659</v>
      </c>
    </row>
    <row r="11369" spans="1:5" x14ac:dyDescent="0.25">
      <c r="A11369" t="s">
        <v>10660</v>
      </c>
    </row>
    <row r="11370" spans="1:5" x14ac:dyDescent="0.25">
      <c r="A11370" t="s">
        <v>10661</v>
      </c>
    </row>
    <row r="11371" spans="1:5" x14ac:dyDescent="0.25">
      <c r="A11371" t="s">
        <v>10662</v>
      </c>
    </row>
    <row r="11372" spans="1:5" x14ac:dyDescent="0.25">
      <c r="A11372" t="s">
        <v>10663</v>
      </c>
    </row>
    <row r="11373" spans="1:5" x14ac:dyDescent="0.25">
      <c r="A11373" t="s">
        <v>10664</v>
      </c>
    </row>
    <row r="11374" spans="1:5" x14ac:dyDescent="0.25">
      <c r="A11374" t="s">
        <v>10665</v>
      </c>
    </row>
    <row r="11375" spans="1:5" x14ac:dyDescent="0.25">
      <c r="A11375" t="s">
        <v>10666</v>
      </c>
    </row>
    <row r="11376" spans="1:5" x14ac:dyDescent="0.25">
      <c r="A11376" t="s">
        <v>9634</v>
      </c>
    </row>
    <row r="11377" spans="1:6" x14ac:dyDescent="0.25">
      <c r="A11377" t="s">
        <v>4356</v>
      </c>
    </row>
    <row r="11378" spans="1:6" x14ac:dyDescent="0.25">
      <c r="A11378">
        <v>1</v>
      </c>
      <c r="B11378" t="s">
        <v>10667</v>
      </c>
      <c r="C11378">
        <v>7809.5</v>
      </c>
      <c r="D11378" s="55">
        <v>43799</v>
      </c>
      <c r="E11378">
        <v>5</v>
      </c>
      <c r="F11378">
        <v>850</v>
      </c>
    </row>
    <row r="11379" spans="1:6" x14ac:dyDescent="0.25">
      <c r="A11379">
        <v>2</v>
      </c>
      <c r="B11379" t="s">
        <v>10668</v>
      </c>
    </row>
    <row r="11380" spans="1:6" x14ac:dyDescent="0.25">
      <c r="A11380" t="s">
        <v>10669</v>
      </c>
    </row>
    <row r="11382" spans="1:6" x14ac:dyDescent="0.25">
      <c r="A11382" t="s">
        <v>10670</v>
      </c>
    </row>
    <row r="11384" spans="1:6" x14ac:dyDescent="0.25">
      <c r="A11384" t="s">
        <v>10671</v>
      </c>
    </row>
    <row r="11385" spans="1:6" x14ac:dyDescent="0.25">
      <c r="A11385" t="s">
        <v>10672</v>
      </c>
    </row>
    <row r="11386" spans="1:6" x14ac:dyDescent="0.25">
      <c r="A11386" t="s">
        <v>10339</v>
      </c>
    </row>
    <row r="11387" spans="1:6" x14ac:dyDescent="0.25">
      <c r="A11387" t="s">
        <v>10673</v>
      </c>
    </row>
    <row r="11388" spans="1:6" x14ac:dyDescent="0.25">
      <c r="A11388" t="s">
        <v>10674</v>
      </c>
    </row>
    <row r="11389" spans="1:6" x14ac:dyDescent="0.25">
      <c r="A11389" t="s">
        <v>10675</v>
      </c>
    </row>
    <row r="11391" spans="1:6" x14ac:dyDescent="0.25">
      <c r="A11391" t="s">
        <v>10676</v>
      </c>
    </row>
    <row r="11392" spans="1:6" x14ac:dyDescent="0.25">
      <c r="A11392" t="s">
        <v>10677</v>
      </c>
    </row>
    <row r="11393" spans="1:2" x14ac:dyDescent="0.25">
      <c r="A11393" t="s">
        <v>10678</v>
      </c>
    </row>
    <row r="11394" spans="1:2" x14ac:dyDescent="0.25">
      <c r="A11394" t="s">
        <v>10679</v>
      </c>
    </row>
    <row r="11395" spans="1:2" x14ac:dyDescent="0.25">
      <c r="A11395" t="s">
        <v>10680</v>
      </c>
    </row>
    <row r="11396" spans="1:2" x14ac:dyDescent="0.25">
      <c r="A11396" t="s">
        <v>10681</v>
      </c>
      <c r="B11396" t="s">
        <v>10682</v>
      </c>
    </row>
    <row r="11397" spans="1:2" x14ac:dyDescent="0.25">
      <c r="A11397" t="s">
        <v>10683</v>
      </c>
    </row>
    <row r="11398" spans="1:2" x14ac:dyDescent="0.25">
      <c r="A11398" t="s">
        <v>10684</v>
      </c>
    </row>
    <row r="11399" spans="1:2" x14ac:dyDescent="0.25">
      <c r="A11399" t="s">
        <v>10339</v>
      </c>
    </row>
    <row r="11400" spans="1:2" x14ac:dyDescent="0.25">
      <c r="A11400" t="s">
        <v>10685</v>
      </c>
    </row>
    <row r="11401" spans="1:2" x14ac:dyDescent="0.25">
      <c r="A11401" t="s">
        <v>10686</v>
      </c>
    </row>
    <row r="11402" spans="1:2" x14ac:dyDescent="0.25">
      <c r="A11402" t="s">
        <v>10687</v>
      </c>
    </row>
    <row r="11403" spans="1:2" x14ac:dyDescent="0.25">
      <c r="A11403" t="s">
        <v>10688</v>
      </c>
    </row>
    <row r="11404" spans="1:2" x14ac:dyDescent="0.25">
      <c r="A11404" t="s">
        <v>10689</v>
      </c>
    </row>
    <row r="11405" spans="1:2" x14ac:dyDescent="0.25">
      <c r="A11405" t="s">
        <v>10690</v>
      </c>
    </row>
    <row r="11406" spans="1:2" x14ac:dyDescent="0.25">
      <c r="A11406" t="s">
        <v>10691</v>
      </c>
    </row>
    <row r="11407" spans="1:2" x14ac:dyDescent="0.25">
      <c r="A11407" t="s">
        <v>10692</v>
      </c>
    </row>
    <row r="11408" spans="1:2" x14ac:dyDescent="0.25">
      <c r="A11408" t="s">
        <v>10693</v>
      </c>
    </row>
    <row r="11409" spans="1:1" x14ac:dyDescent="0.25">
      <c r="A11409" t="s">
        <v>10694</v>
      </c>
    </row>
    <row r="11410" spans="1:1" x14ac:dyDescent="0.25">
      <c r="A11410" t="s">
        <v>10695</v>
      </c>
    </row>
    <row r="11411" spans="1:1" x14ac:dyDescent="0.25">
      <c r="A11411" t="s">
        <v>10696</v>
      </c>
    </row>
    <row r="11412" spans="1:1" x14ac:dyDescent="0.25">
      <c r="A11412" t="s">
        <v>10697</v>
      </c>
    </row>
    <row r="11413" spans="1:1" x14ac:dyDescent="0.25">
      <c r="A11413" t="s">
        <v>10698</v>
      </c>
    </row>
    <row r="11414" spans="1:1" x14ac:dyDescent="0.25">
      <c r="A11414" t="s">
        <v>10699</v>
      </c>
    </row>
    <row r="11415" spans="1:1" x14ac:dyDescent="0.25">
      <c r="A11415" t="s">
        <v>10700</v>
      </c>
    </row>
    <row r="11416" spans="1:1" x14ac:dyDescent="0.25">
      <c r="A11416" t="s">
        <v>10701</v>
      </c>
    </row>
    <row r="11417" spans="1:1" x14ac:dyDescent="0.25">
      <c r="A11417" t="s">
        <v>10702</v>
      </c>
    </row>
    <row r="11418" spans="1:1" x14ac:dyDescent="0.25">
      <c r="A11418" t="s">
        <v>10703</v>
      </c>
    </row>
    <row r="11419" spans="1:1" x14ac:dyDescent="0.25">
      <c r="A11419" t="s">
        <v>10339</v>
      </c>
    </row>
    <row r="11420" spans="1:1" x14ac:dyDescent="0.25">
      <c r="A11420" t="s">
        <v>10704</v>
      </c>
    </row>
    <row r="11421" spans="1:1" x14ac:dyDescent="0.25">
      <c r="A11421" t="s">
        <v>10705</v>
      </c>
    </row>
    <row r="11422" spans="1:1" x14ac:dyDescent="0.25">
      <c r="A11422" t="s">
        <v>10706</v>
      </c>
    </row>
    <row r="11423" spans="1:1" x14ac:dyDescent="0.25">
      <c r="A11423" t="s">
        <v>10707</v>
      </c>
    </row>
    <row r="11424" spans="1:1" x14ac:dyDescent="0.25">
      <c r="A11424" t="s">
        <v>10708</v>
      </c>
    </row>
    <row r="11425" spans="1:1" x14ac:dyDescent="0.25">
      <c r="A11425" t="s">
        <v>10709</v>
      </c>
    </row>
    <row r="11426" spans="1:1" x14ac:dyDescent="0.25">
      <c r="A11426" t="s">
        <v>10710</v>
      </c>
    </row>
    <row r="11427" spans="1:1" x14ac:dyDescent="0.25">
      <c r="A11427" t="s">
        <v>10711</v>
      </c>
    </row>
    <row r="11428" spans="1:1" x14ac:dyDescent="0.25">
      <c r="A11428" t="s">
        <v>10712</v>
      </c>
    </row>
    <row r="11429" spans="1:1" x14ac:dyDescent="0.25">
      <c r="A11429" t="s">
        <v>10713</v>
      </c>
    </row>
    <row r="11430" spans="1:1" x14ac:dyDescent="0.25">
      <c r="A11430" t="s">
        <v>10714</v>
      </c>
    </row>
    <row r="11431" spans="1:1" x14ac:dyDescent="0.25">
      <c r="A11431" t="s">
        <v>10715</v>
      </c>
    </row>
    <row r="11432" spans="1:1" x14ac:dyDescent="0.25">
      <c r="A11432" t="s">
        <v>10716</v>
      </c>
    </row>
    <row r="11434" spans="1:1" x14ac:dyDescent="0.25">
      <c r="A11434" t="s">
        <v>10717</v>
      </c>
    </row>
    <row r="11435" spans="1:1" x14ac:dyDescent="0.25">
      <c r="A11435" t="s">
        <v>5254</v>
      </c>
    </row>
    <row r="11437" spans="1:1" x14ac:dyDescent="0.25">
      <c r="A11437" t="s">
        <v>10718</v>
      </c>
    </row>
    <row r="11438" spans="1:1" x14ac:dyDescent="0.25">
      <c r="A11438" t="s">
        <v>10719</v>
      </c>
    </row>
    <row r="11442" spans="1:3" x14ac:dyDescent="0.25">
      <c r="A11442" t="s">
        <v>10720</v>
      </c>
    </row>
    <row r="11443" spans="1:3" x14ac:dyDescent="0.25">
      <c r="A11443" t="s">
        <v>10721</v>
      </c>
    </row>
    <row r="11444" spans="1:3" x14ac:dyDescent="0.25">
      <c r="A11444" t="s">
        <v>10339</v>
      </c>
    </row>
    <row r="11445" spans="1:3" x14ac:dyDescent="0.25">
      <c r="A11445" t="s">
        <v>10722</v>
      </c>
    </row>
    <row r="11446" spans="1:3" x14ac:dyDescent="0.25">
      <c r="A11446" t="s">
        <v>10723</v>
      </c>
    </row>
    <row r="11447" spans="1:3" x14ac:dyDescent="0.25">
      <c r="A11447" t="s">
        <v>10724</v>
      </c>
    </row>
    <row r="11448" spans="1:3" x14ac:dyDescent="0.25">
      <c r="A11448" t="s">
        <v>10725</v>
      </c>
    </row>
    <row r="11449" spans="1:3" x14ac:dyDescent="0.25">
      <c r="A11449" t="s">
        <v>10726</v>
      </c>
    </row>
    <row r="11450" spans="1:3" x14ac:dyDescent="0.25">
      <c r="A11450" t="s">
        <v>10727</v>
      </c>
    </row>
    <row r="11451" spans="1:3" x14ac:dyDescent="0.25">
      <c r="A11451" t="s">
        <v>10728</v>
      </c>
    </row>
    <row r="11452" spans="1:3" x14ac:dyDescent="0.25">
      <c r="A11452" t="s">
        <v>10729</v>
      </c>
      <c r="B11452" t="s">
        <v>10730</v>
      </c>
      <c r="C11452" t="s">
        <v>10731</v>
      </c>
    </row>
    <row r="11453" spans="1:3" x14ac:dyDescent="0.25">
      <c r="A11453" t="s">
        <v>10732</v>
      </c>
    </row>
    <row r="11454" spans="1:3" x14ac:dyDescent="0.25">
      <c r="A11454" t="s">
        <v>10733</v>
      </c>
    </row>
    <row r="11455" spans="1:3" x14ac:dyDescent="0.25">
      <c r="A11455" t="s">
        <v>10734</v>
      </c>
    </row>
    <row r="11456" spans="1:3" x14ac:dyDescent="0.25">
      <c r="A11456" t="s">
        <v>10735</v>
      </c>
    </row>
    <row r="11457" spans="1:3" x14ac:dyDescent="0.25">
      <c r="A11457" t="s">
        <v>10736</v>
      </c>
    </row>
    <row r="11458" spans="1:3" x14ac:dyDescent="0.25">
      <c r="A11458" t="s">
        <v>10737</v>
      </c>
      <c r="B11458" t="s">
        <v>10738</v>
      </c>
      <c r="C11458" t="s">
        <v>10739</v>
      </c>
    </row>
    <row r="11460" spans="1:3" x14ac:dyDescent="0.25">
      <c r="A11460" t="s">
        <v>10740</v>
      </c>
    </row>
    <row r="11461" spans="1:3" x14ac:dyDescent="0.25">
      <c r="A11461" t="s">
        <v>10741</v>
      </c>
    </row>
    <row r="11462" spans="1:3" x14ac:dyDescent="0.25">
      <c r="A11462" t="s">
        <v>10339</v>
      </c>
    </row>
    <row r="11463" spans="1:3" x14ac:dyDescent="0.25">
      <c r="A11463" t="s">
        <v>10742</v>
      </c>
    </row>
    <row r="11464" spans="1:3" x14ac:dyDescent="0.25">
      <c r="A11464" t="s">
        <v>10743</v>
      </c>
    </row>
    <row r="11465" spans="1:3" x14ac:dyDescent="0.25">
      <c r="A11465" t="s">
        <v>10744</v>
      </c>
    </row>
    <row r="11466" spans="1:3" x14ac:dyDescent="0.25">
      <c r="A11466" t="s">
        <v>10740</v>
      </c>
    </row>
    <row r="11467" spans="1:3" x14ac:dyDescent="0.25">
      <c r="A11467" t="s">
        <v>10745</v>
      </c>
    </row>
    <row r="11468" spans="1:3" x14ac:dyDescent="0.25">
      <c r="A11468" t="s">
        <v>10339</v>
      </c>
    </row>
    <row r="11469" spans="1:3" x14ac:dyDescent="0.25">
      <c r="A11469" t="s">
        <v>10746</v>
      </c>
    </row>
    <row r="11470" spans="1:3" x14ac:dyDescent="0.25">
      <c r="A11470" t="s">
        <v>10747</v>
      </c>
    </row>
    <row r="11471" spans="1:3" x14ac:dyDescent="0.25">
      <c r="A11471" t="s">
        <v>10748</v>
      </c>
    </row>
    <row r="11472" spans="1:3" x14ac:dyDescent="0.25">
      <c r="A11472" t="s">
        <v>10749</v>
      </c>
    </row>
    <row r="11473" spans="1:1" x14ac:dyDescent="0.25">
      <c r="A11473" t="s">
        <v>10750</v>
      </c>
    </row>
    <row r="11474" spans="1:1" x14ac:dyDescent="0.25">
      <c r="A11474" t="s">
        <v>10751</v>
      </c>
    </row>
    <row r="11475" spans="1:1" x14ac:dyDescent="0.25">
      <c r="A11475" t="s">
        <v>10752</v>
      </c>
    </row>
    <row r="11476" spans="1:1" x14ac:dyDescent="0.25">
      <c r="A11476" t="s">
        <v>4353</v>
      </c>
    </row>
    <row r="11477" spans="1:1" x14ac:dyDescent="0.25">
      <c r="A11477" t="s">
        <v>10753</v>
      </c>
    </row>
    <row r="11478" spans="1:1" x14ac:dyDescent="0.25">
      <c r="A11478" t="s">
        <v>10754</v>
      </c>
    </row>
    <row r="11479" spans="1:1" x14ac:dyDescent="0.25">
      <c r="A11479" t="s">
        <v>10755</v>
      </c>
    </row>
    <row r="11480" spans="1:1" x14ac:dyDescent="0.25">
      <c r="A11480" t="s">
        <v>10756</v>
      </c>
    </row>
    <row r="11481" spans="1:1" x14ac:dyDescent="0.25">
      <c r="A11481" t="s">
        <v>10757</v>
      </c>
    </row>
    <row r="11482" spans="1:1" x14ac:dyDescent="0.25">
      <c r="A11482" t="s">
        <v>10758</v>
      </c>
    </row>
    <row r="11483" spans="1:1" x14ac:dyDescent="0.25">
      <c r="A11483" t="s">
        <v>10759</v>
      </c>
    </row>
    <row r="11484" spans="1:1" x14ac:dyDescent="0.25">
      <c r="A11484" t="s">
        <v>10760</v>
      </c>
    </row>
    <row r="11485" spans="1:1" x14ac:dyDescent="0.25">
      <c r="A11485" t="s">
        <v>10761</v>
      </c>
    </row>
    <row r="11486" spans="1:1" x14ac:dyDescent="0.25">
      <c r="A11486" t="s">
        <v>10762</v>
      </c>
    </row>
    <row r="11487" spans="1:1" x14ac:dyDescent="0.25">
      <c r="A11487" t="s">
        <v>10763</v>
      </c>
    </row>
    <row r="11488" spans="1:1" x14ac:dyDescent="0.25">
      <c r="A11488" t="s">
        <v>10764</v>
      </c>
    </row>
    <row r="11489" spans="1:2" x14ac:dyDescent="0.25">
      <c r="A11489" t="s">
        <v>10765</v>
      </c>
    </row>
    <row r="11490" spans="1:2" x14ac:dyDescent="0.25">
      <c r="A11490" t="s">
        <v>10766</v>
      </c>
    </row>
    <row r="11492" spans="1:2" x14ac:dyDescent="0.25">
      <c r="A11492" t="s">
        <v>10767</v>
      </c>
    </row>
    <row r="11493" spans="1:2" x14ac:dyDescent="0.25">
      <c r="A11493" t="s">
        <v>10768</v>
      </c>
    </row>
    <row r="11494" spans="1:2" x14ac:dyDescent="0.25">
      <c r="A11494" t="s">
        <v>10769</v>
      </c>
    </row>
    <row r="11495" spans="1:2" x14ac:dyDescent="0.25">
      <c r="A11495" t="s">
        <v>10770</v>
      </c>
    </row>
    <row r="11496" spans="1:2" x14ac:dyDescent="0.25">
      <c r="A11496" t="s">
        <v>10771</v>
      </c>
    </row>
    <row r="11497" spans="1:2" x14ac:dyDescent="0.25">
      <c r="A11497" t="s">
        <v>10772</v>
      </c>
      <c r="B11497" t="s">
        <v>10773</v>
      </c>
    </row>
    <row r="11498" spans="1:2" x14ac:dyDescent="0.25">
      <c r="A11498" t="s">
        <v>10767</v>
      </c>
    </row>
    <row r="11499" spans="1:2" x14ac:dyDescent="0.25">
      <c r="A11499" t="s">
        <v>10774</v>
      </c>
    </row>
    <row r="11500" spans="1:2" x14ac:dyDescent="0.25">
      <c r="A11500" t="s">
        <v>10775</v>
      </c>
    </row>
    <row r="11501" spans="1:2" x14ac:dyDescent="0.25">
      <c r="A11501" t="s">
        <v>10776</v>
      </c>
    </row>
    <row r="11502" spans="1:2" x14ac:dyDescent="0.25">
      <c r="A11502" t="s">
        <v>10777</v>
      </c>
    </row>
    <row r="11503" spans="1:2" x14ac:dyDescent="0.25">
      <c r="A11503" t="s">
        <v>10778</v>
      </c>
    </row>
    <row r="11504" spans="1:2" x14ac:dyDescent="0.25">
      <c r="A11504" t="s">
        <v>10767</v>
      </c>
    </row>
    <row r="11505" spans="1:5" x14ac:dyDescent="0.25">
      <c r="A11505" t="s">
        <v>10779</v>
      </c>
    </row>
    <row r="11506" spans="1:5" x14ac:dyDescent="0.25">
      <c r="A11506" t="s">
        <v>10780</v>
      </c>
    </row>
    <row r="11507" spans="1:5" x14ac:dyDescent="0.25">
      <c r="A11507" t="s">
        <v>10781</v>
      </c>
    </row>
    <row r="11508" spans="1:5" x14ac:dyDescent="0.25">
      <c r="A11508" t="s">
        <v>10782</v>
      </c>
    </row>
    <row r="11509" spans="1:5" x14ac:dyDescent="0.25">
      <c r="A11509" t="s">
        <v>10783</v>
      </c>
      <c r="B11509" t="s">
        <v>10784</v>
      </c>
      <c r="C11509">
        <v>201909</v>
      </c>
      <c r="D11509" t="s">
        <v>2014</v>
      </c>
      <c r="E11509" t="s">
        <v>10785</v>
      </c>
    </row>
    <row r="11510" spans="1:5" x14ac:dyDescent="0.25">
      <c r="A11510" t="s">
        <v>10786</v>
      </c>
    </row>
    <row r="11511" spans="1:5" x14ac:dyDescent="0.25">
      <c r="A11511" t="s">
        <v>10787</v>
      </c>
    </row>
    <row r="11512" spans="1:5" x14ac:dyDescent="0.25">
      <c r="A11512" t="s">
        <v>10788</v>
      </c>
    </row>
    <row r="11513" spans="1:5" x14ac:dyDescent="0.25">
      <c r="A11513" t="s">
        <v>10789</v>
      </c>
    </row>
    <row r="11514" spans="1:5" x14ac:dyDescent="0.25">
      <c r="A11514" t="s">
        <v>10790</v>
      </c>
    </row>
    <row r="11515" spans="1:5" x14ac:dyDescent="0.25">
      <c r="A11515" t="s">
        <v>10791</v>
      </c>
      <c r="B11515" t="s">
        <v>10792</v>
      </c>
    </row>
    <row r="11516" spans="1:5" x14ac:dyDescent="0.25">
      <c r="A11516" t="s">
        <v>10793</v>
      </c>
    </row>
    <row r="11517" spans="1:5" x14ac:dyDescent="0.25">
      <c r="A11517" t="s">
        <v>10794</v>
      </c>
    </row>
    <row r="11518" spans="1:5" x14ac:dyDescent="0.25">
      <c r="A11518" t="s">
        <v>10795</v>
      </c>
    </row>
    <row r="11519" spans="1:5" x14ac:dyDescent="0.25">
      <c r="A11519" t="s">
        <v>10796</v>
      </c>
    </row>
    <row r="11520" spans="1:5" x14ac:dyDescent="0.25">
      <c r="A11520" t="s">
        <v>10797</v>
      </c>
    </row>
    <row r="11521" spans="1:2" x14ac:dyDescent="0.25">
      <c r="A11521" t="s">
        <v>10798</v>
      </c>
      <c r="B11521" t="s">
        <v>10799</v>
      </c>
    </row>
    <row r="11522" spans="1:2" x14ac:dyDescent="0.25">
      <c r="A11522" t="s">
        <v>10800</v>
      </c>
    </row>
    <row r="11523" spans="1:2" x14ac:dyDescent="0.25">
      <c r="A11523" t="s">
        <v>10801</v>
      </c>
    </row>
    <row r="11524" spans="1:2" x14ac:dyDescent="0.25">
      <c r="A11524" t="s">
        <v>10339</v>
      </c>
    </row>
    <row r="11525" spans="1:2" x14ac:dyDescent="0.25">
      <c r="A11525" t="s">
        <v>10802</v>
      </c>
    </row>
    <row r="11526" spans="1:2" x14ac:dyDescent="0.25">
      <c r="A11526" t="s">
        <v>10803</v>
      </c>
    </row>
    <row r="11527" spans="1:2" x14ac:dyDescent="0.25">
      <c r="A11527" t="s">
        <v>10804</v>
      </c>
    </row>
    <row r="11528" spans="1:2" x14ac:dyDescent="0.25">
      <c r="A11528" t="s">
        <v>10805</v>
      </c>
    </row>
    <row r="11529" spans="1:2" x14ac:dyDescent="0.25">
      <c r="A11529" t="s">
        <v>10806</v>
      </c>
    </row>
    <row r="11530" spans="1:2" x14ac:dyDescent="0.25">
      <c r="A11530" t="s">
        <v>10807</v>
      </c>
    </row>
    <row r="11531" spans="1:2" x14ac:dyDescent="0.25">
      <c r="A11531" t="s">
        <v>10808</v>
      </c>
    </row>
    <row r="11532" spans="1:2" x14ac:dyDescent="0.25">
      <c r="A11532" t="s">
        <v>10809</v>
      </c>
    </row>
    <row r="11533" spans="1:2" x14ac:dyDescent="0.25">
      <c r="A11533" t="s">
        <v>10810</v>
      </c>
    </row>
    <row r="11534" spans="1:2" x14ac:dyDescent="0.25">
      <c r="A11534" t="s">
        <v>10811</v>
      </c>
    </row>
    <row r="11535" spans="1:2" x14ac:dyDescent="0.25">
      <c r="A11535" t="s">
        <v>10812</v>
      </c>
    </row>
    <row r="11536" spans="1:2" x14ac:dyDescent="0.25">
      <c r="A11536" t="s">
        <v>10813</v>
      </c>
    </row>
    <row r="11537" spans="1:1" x14ac:dyDescent="0.25">
      <c r="A11537" t="s">
        <v>1342</v>
      </c>
    </row>
    <row r="11538" spans="1:1" x14ac:dyDescent="0.25">
      <c r="A11538" t="s">
        <v>10814</v>
      </c>
    </row>
    <row r="11539" spans="1:1" x14ac:dyDescent="0.25">
      <c r="A11539" t="s">
        <v>10815</v>
      </c>
    </row>
    <row r="11540" spans="1:1" x14ac:dyDescent="0.25">
      <c r="A11540" t="s">
        <v>10816</v>
      </c>
    </row>
    <row r="11541" spans="1:1" x14ac:dyDescent="0.25">
      <c r="A11541" t="s">
        <v>10817</v>
      </c>
    </row>
    <row r="11542" spans="1:1" x14ac:dyDescent="0.25">
      <c r="A11542" t="s">
        <v>10818</v>
      </c>
    </row>
    <row r="11543" spans="1:1" x14ac:dyDescent="0.25">
      <c r="A11543" t="s">
        <v>10819</v>
      </c>
    </row>
    <row r="11544" spans="1:1" x14ac:dyDescent="0.25">
      <c r="A11544" t="s">
        <v>10820</v>
      </c>
    </row>
    <row r="11545" spans="1:1" x14ac:dyDescent="0.25">
      <c r="A11545" t="s">
        <v>10821</v>
      </c>
    </row>
    <row r="11546" spans="1:1" x14ac:dyDescent="0.25">
      <c r="A11546" t="s">
        <v>10822</v>
      </c>
    </row>
    <row r="11548" spans="1:1" x14ac:dyDescent="0.25">
      <c r="A11548" t="s">
        <v>10817</v>
      </c>
    </row>
    <row r="11549" spans="1:1" x14ac:dyDescent="0.25">
      <c r="A11549" t="s">
        <v>10823</v>
      </c>
    </row>
    <row r="11550" spans="1:1" x14ac:dyDescent="0.25">
      <c r="A11550" t="s">
        <v>10824</v>
      </c>
    </row>
    <row r="11551" spans="1:1" x14ac:dyDescent="0.25">
      <c r="A11551" t="s">
        <v>10825</v>
      </c>
    </row>
    <row r="11552" spans="1:1" x14ac:dyDescent="0.25">
      <c r="A11552" t="s">
        <v>10826</v>
      </c>
    </row>
    <row r="11553" spans="1:2" x14ac:dyDescent="0.25">
      <c r="A11553" t="s">
        <v>10827</v>
      </c>
      <c r="B11553" t="s">
        <v>10828</v>
      </c>
    </row>
    <row r="11556" spans="1:2" x14ac:dyDescent="0.25">
      <c r="A11556" t="s">
        <v>10829</v>
      </c>
    </row>
    <row r="11557" spans="1:2" x14ac:dyDescent="0.25">
      <c r="A11557" t="s">
        <v>10830</v>
      </c>
    </row>
    <row r="11558" spans="1:2" x14ac:dyDescent="0.25">
      <c r="A11558" t="s">
        <v>10831</v>
      </c>
    </row>
    <row r="11559" spans="1:2" x14ac:dyDescent="0.25">
      <c r="A11559" t="s">
        <v>10832</v>
      </c>
    </row>
    <row r="11560" spans="1:2" x14ac:dyDescent="0.25">
      <c r="A11560" t="s">
        <v>10833</v>
      </c>
    </row>
    <row r="11561" spans="1:2" x14ac:dyDescent="0.25">
      <c r="A11561" t="s">
        <v>10834</v>
      </c>
    </row>
    <row r="11562" spans="1:2" x14ac:dyDescent="0.25">
      <c r="A11562" t="s">
        <v>10829</v>
      </c>
    </row>
    <row r="11563" spans="1:2" x14ac:dyDescent="0.25">
      <c r="A11563" t="s">
        <v>10835</v>
      </c>
    </row>
    <row r="11564" spans="1:2" x14ac:dyDescent="0.25">
      <c r="A11564" t="s">
        <v>10836</v>
      </c>
    </row>
    <row r="11565" spans="1:2" x14ac:dyDescent="0.25">
      <c r="A11565" t="s">
        <v>10837</v>
      </c>
    </row>
    <row r="11566" spans="1:2" x14ac:dyDescent="0.25">
      <c r="A11566" t="s">
        <v>10838</v>
      </c>
    </row>
    <row r="11567" spans="1:2" x14ac:dyDescent="0.25">
      <c r="A11567" t="s">
        <v>10339</v>
      </c>
    </row>
    <row r="11568" spans="1:2" x14ac:dyDescent="0.25">
      <c r="A11568" t="s">
        <v>10839</v>
      </c>
    </row>
    <row r="11569" spans="1:5" x14ac:dyDescent="0.25">
      <c r="A11569" t="s">
        <v>10840</v>
      </c>
    </row>
    <row r="11570" spans="1:5" x14ac:dyDescent="0.25">
      <c r="A11570" t="s">
        <v>10841</v>
      </c>
    </row>
    <row r="11571" spans="1:5" x14ac:dyDescent="0.25">
      <c r="A11571" t="s">
        <v>10842</v>
      </c>
    </row>
    <row r="11572" spans="1:5" x14ac:dyDescent="0.25">
      <c r="A11572" t="s">
        <v>10843</v>
      </c>
    </row>
    <row r="11573" spans="1:5" x14ac:dyDescent="0.25">
      <c r="A11573" t="s">
        <v>10844</v>
      </c>
    </row>
    <row r="11574" spans="1:5" x14ac:dyDescent="0.25">
      <c r="A11574" t="s">
        <v>10845</v>
      </c>
    </row>
    <row r="11575" spans="1:5" x14ac:dyDescent="0.25">
      <c r="A11575" t="s">
        <v>10846</v>
      </c>
    </row>
    <row r="11576" spans="1:5" x14ac:dyDescent="0.25">
      <c r="A11576" t="s">
        <v>10847</v>
      </c>
    </row>
    <row r="11577" spans="1:5" x14ac:dyDescent="0.25">
      <c r="A11577" t="s">
        <v>10842</v>
      </c>
    </row>
    <row r="11578" spans="1:5" x14ac:dyDescent="0.25">
      <c r="A11578" t="s">
        <v>10848</v>
      </c>
    </row>
    <row r="11579" spans="1:5" x14ac:dyDescent="0.25">
      <c r="A11579" t="s">
        <v>10849</v>
      </c>
    </row>
    <row r="11580" spans="1:5" x14ac:dyDescent="0.25">
      <c r="A11580" t="s">
        <v>10850</v>
      </c>
    </row>
    <row r="11581" spans="1:5" x14ac:dyDescent="0.25">
      <c r="A11581" t="s">
        <v>10851</v>
      </c>
    </row>
    <row r="11582" spans="1:5" x14ac:dyDescent="0.25">
      <c r="A11582" t="s">
        <v>10852</v>
      </c>
      <c r="B11582" t="s">
        <v>10853</v>
      </c>
      <c r="C11582">
        <v>201909</v>
      </c>
      <c r="D11582" t="s">
        <v>2014</v>
      </c>
      <c r="E11582">
        <v>3893</v>
      </c>
    </row>
    <row r="11583" spans="1:5" x14ac:dyDescent="0.25">
      <c r="A11583" t="s">
        <v>10854</v>
      </c>
    </row>
    <row r="11584" spans="1:5" x14ac:dyDescent="0.25">
      <c r="A11584" t="s">
        <v>10855</v>
      </c>
    </row>
    <row r="11585" spans="1:1" x14ac:dyDescent="0.25">
      <c r="A11585" t="s">
        <v>10856</v>
      </c>
    </row>
    <row r="11586" spans="1:1" x14ac:dyDescent="0.25">
      <c r="A11586" t="s">
        <v>10857</v>
      </c>
    </row>
    <row r="11587" spans="1:1" x14ac:dyDescent="0.25">
      <c r="A11587" t="s">
        <v>10858</v>
      </c>
    </row>
    <row r="11588" spans="1:1" x14ac:dyDescent="0.25">
      <c r="A11588" t="s">
        <v>10859</v>
      </c>
    </row>
    <row r="11589" spans="1:1" x14ac:dyDescent="0.25">
      <c r="A11589" t="s">
        <v>10854</v>
      </c>
    </row>
    <row r="11590" spans="1:1" x14ac:dyDescent="0.25">
      <c r="A11590" t="s">
        <v>10860</v>
      </c>
    </row>
    <row r="11591" spans="1:1" x14ac:dyDescent="0.25">
      <c r="A11591" t="s">
        <v>10861</v>
      </c>
    </row>
    <row r="11592" spans="1:1" x14ac:dyDescent="0.25">
      <c r="A11592" t="s">
        <v>10862</v>
      </c>
    </row>
    <row r="11593" spans="1:1" x14ac:dyDescent="0.25">
      <c r="A11593" t="s">
        <v>10863</v>
      </c>
    </row>
    <row r="11594" spans="1:1" x14ac:dyDescent="0.25">
      <c r="A11594" t="s">
        <v>10864</v>
      </c>
    </row>
    <row r="11596" spans="1:1" x14ac:dyDescent="0.25">
      <c r="A11596" t="s">
        <v>10865</v>
      </c>
    </row>
    <row r="11597" spans="1:1" x14ac:dyDescent="0.25">
      <c r="A11597" t="s">
        <v>10866</v>
      </c>
    </row>
    <row r="11598" spans="1:1" x14ac:dyDescent="0.25">
      <c r="A11598" t="s">
        <v>10867</v>
      </c>
    </row>
    <row r="11599" spans="1:1" x14ac:dyDescent="0.25">
      <c r="A11599" t="s">
        <v>10868</v>
      </c>
    </row>
    <row r="11600" spans="1:1" x14ac:dyDescent="0.25">
      <c r="A11600" t="s">
        <v>10869</v>
      </c>
    </row>
    <row r="11601" spans="1:1" x14ac:dyDescent="0.25">
      <c r="A11601" t="s">
        <v>10870</v>
      </c>
    </row>
    <row r="11602" spans="1:1" x14ac:dyDescent="0.25">
      <c r="A11602" t="s">
        <v>10865</v>
      </c>
    </row>
    <row r="11603" spans="1:1" x14ac:dyDescent="0.25">
      <c r="A11603" t="s">
        <v>10871</v>
      </c>
    </row>
    <row r="11604" spans="1:1" x14ac:dyDescent="0.25">
      <c r="A11604" t="s">
        <v>10872</v>
      </c>
    </row>
    <row r="11605" spans="1:1" x14ac:dyDescent="0.25">
      <c r="A11605" t="s">
        <v>10063</v>
      </c>
    </row>
    <row r="11606" spans="1:1" x14ac:dyDescent="0.25">
      <c r="A11606" t="s">
        <v>10873</v>
      </c>
    </row>
    <row r="11607" spans="1:1" x14ac:dyDescent="0.25">
      <c r="A11607" t="s">
        <v>10874</v>
      </c>
    </row>
    <row r="11608" spans="1:1" x14ac:dyDescent="0.25">
      <c r="A11608" t="s">
        <v>10875</v>
      </c>
    </row>
    <row r="11609" spans="1:1" x14ac:dyDescent="0.25">
      <c r="A11609" t="s">
        <v>5268</v>
      </c>
    </row>
    <row r="11610" spans="1:1" x14ac:dyDescent="0.25">
      <c r="A11610" t="s">
        <v>10876</v>
      </c>
    </row>
    <row r="11611" spans="1:1" x14ac:dyDescent="0.25">
      <c r="A11611" t="s">
        <v>10877</v>
      </c>
    </row>
    <row r="11612" spans="1:1" x14ac:dyDescent="0.25">
      <c r="A11612" t="s">
        <v>10878</v>
      </c>
    </row>
    <row r="11613" spans="1:1" x14ac:dyDescent="0.25">
      <c r="A11613" t="s">
        <v>10879</v>
      </c>
    </row>
    <row r="11614" spans="1:1" x14ac:dyDescent="0.25">
      <c r="A11614" t="s">
        <v>10880</v>
      </c>
    </row>
    <row r="11615" spans="1:1" x14ac:dyDescent="0.25">
      <c r="A11615" t="s">
        <v>10881</v>
      </c>
    </row>
    <row r="11616" spans="1:1" x14ac:dyDescent="0.25">
      <c r="A11616" t="s">
        <v>10882</v>
      </c>
    </row>
    <row r="11617" spans="1:1" x14ac:dyDescent="0.25">
      <c r="A11617" t="s">
        <v>10883</v>
      </c>
    </row>
    <row r="11618" spans="1:1" x14ac:dyDescent="0.25">
      <c r="A11618" t="s">
        <v>10884</v>
      </c>
    </row>
    <row r="11619" spans="1:1" x14ac:dyDescent="0.25">
      <c r="A11619" t="s">
        <v>10885</v>
      </c>
    </row>
    <row r="11620" spans="1:1" x14ac:dyDescent="0.25">
      <c r="A11620" t="s">
        <v>10886</v>
      </c>
    </row>
    <row r="11621" spans="1:1" x14ac:dyDescent="0.25">
      <c r="A11621" t="s">
        <v>10214</v>
      </c>
    </row>
    <row r="11622" spans="1:1" x14ac:dyDescent="0.25">
      <c r="A11622" t="s">
        <v>10887</v>
      </c>
    </row>
    <row r="11623" spans="1:1" x14ac:dyDescent="0.25">
      <c r="A11623" t="s">
        <v>10888</v>
      </c>
    </row>
    <row r="11624" spans="1:1" x14ac:dyDescent="0.25">
      <c r="A11624" t="s">
        <v>10889</v>
      </c>
    </row>
    <row r="11625" spans="1:1" x14ac:dyDescent="0.25">
      <c r="A11625" t="s">
        <v>5160</v>
      </c>
    </row>
    <row r="11626" spans="1:1" x14ac:dyDescent="0.25">
      <c r="A11626" t="s">
        <v>10890</v>
      </c>
    </row>
    <row r="11627" spans="1:1" x14ac:dyDescent="0.25">
      <c r="A11627" t="s">
        <v>10891</v>
      </c>
    </row>
    <row r="11628" spans="1:1" x14ac:dyDescent="0.25">
      <c r="A11628" t="s">
        <v>10892</v>
      </c>
    </row>
    <row r="11629" spans="1:1" x14ac:dyDescent="0.25">
      <c r="A11629" t="s">
        <v>10893</v>
      </c>
    </row>
    <row r="11630" spans="1:1" x14ac:dyDescent="0.25">
      <c r="A11630" t="s">
        <v>10894</v>
      </c>
    </row>
    <row r="11631" spans="1:1" x14ac:dyDescent="0.25">
      <c r="A11631" t="s">
        <v>10895</v>
      </c>
    </row>
    <row r="11632" spans="1:1" x14ac:dyDescent="0.25">
      <c r="A11632" t="s">
        <v>10896</v>
      </c>
    </row>
    <row r="11633" spans="1:1" x14ac:dyDescent="0.25">
      <c r="A11633" t="s">
        <v>10897</v>
      </c>
    </row>
    <row r="11634" spans="1:1" x14ac:dyDescent="0.25">
      <c r="A11634" t="s">
        <v>10898</v>
      </c>
    </row>
    <row r="11635" spans="1:1" x14ac:dyDescent="0.25">
      <c r="A11635" t="s">
        <v>10899</v>
      </c>
    </row>
    <row r="11636" spans="1:1" x14ac:dyDescent="0.25">
      <c r="A11636" t="s">
        <v>10900</v>
      </c>
    </row>
    <row r="11637" spans="1:1" x14ac:dyDescent="0.25">
      <c r="A11637" t="s">
        <v>10901</v>
      </c>
    </row>
    <row r="11638" spans="1:1" x14ac:dyDescent="0.25">
      <c r="A11638" t="s">
        <v>10902</v>
      </c>
    </row>
    <row r="11639" spans="1:1" x14ac:dyDescent="0.25">
      <c r="A11639" t="s">
        <v>10903</v>
      </c>
    </row>
    <row r="11640" spans="1:1" x14ac:dyDescent="0.25">
      <c r="A11640" t="s">
        <v>10904</v>
      </c>
    </row>
    <row r="11641" spans="1:1" x14ac:dyDescent="0.25">
      <c r="A11641" t="s">
        <v>10905</v>
      </c>
    </row>
    <row r="11642" spans="1:1" x14ac:dyDescent="0.25">
      <c r="A11642" t="s">
        <v>10906</v>
      </c>
    </row>
    <row r="11643" spans="1:1" x14ac:dyDescent="0.25">
      <c r="A11643" t="s">
        <v>10907</v>
      </c>
    </row>
    <row r="11644" spans="1:1" x14ac:dyDescent="0.25">
      <c r="A11644" t="s">
        <v>10908</v>
      </c>
    </row>
    <row r="11645" spans="1:1" x14ac:dyDescent="0.25">
      <c r="A11645" t="s">
        <v>10909</v>
      </c>
    </row>
    <row r="11646" spans="1:1" x14ac:dyDescent="0.25">
      <c r="A11646" t="s">
        <v>10910</v>
      </c>
    </row>
    <row r="11647" spans="1:1" x14ac:dyDescent="0.25">
      <c r="A11647" t="s">
        <v>10911</v>
      </c>
    </row>
    <row r="11648" spans="1:1" x14ac:dyDescent="0.25">
      <c r="A11648" t="s">
        <v>10912</v>
      </c>
    </row>
    <row r="11649" spans="1:2" x14ac:dyDescent="0.25">
      <c r="A11649" t="s">
        <v>10913</v>
      </c>
    </row>
    <row r="11650" spans="1:2" x14ac:dyDescent="0.25">
      <c r="A11650" t="s">
        <v>10914</v>
      </c>
    </row>
    <row r="11651" spans="1:2" x14ac:dyDescent="0.25">
      <c r="A11651" t="s">
        <v>10915</v>
      </c>
    </row>
    <row r="11652" spans="1:2" x14ac:dyDescent="0.25">
      <c r="A11652" t="s">
        <v>10916</v>
      </c>
    </row>
    <row r="11653" spans="1:2" x14ac:dyDescent="0.25">
      <c r="A11653" t="s">
        <v>10917</v>
      </c>
    </row>
    <row r="11654" spans="1:2" x14ac:dyDescent="0.25">
      <c r="A11654" t="s">
        <v>10918</v>
      </c>
    </row>
    <row r="11655" spans="1:2" x14ac:dyDescent="0.25">
      <c r="A11655" t="s">
        <v>10919</v>
      </c>
    </row>
    <row r="11656" spans="1:2" x14ac:dyDescent="0.25">
      <c r="A11656" t="s">
        <v>10920</v>
      </c>
    </row>
    <row r="11657" spans="1:2" x14ac:dyDescent="0.25">
      <c r="A11657" t="s">
        <v>10921</v>
      </c>
    </row>
    <row r="11658" spans="1:2" x14ac:dyDescent="0.25">
      <c r="A11658" t="s">
        <v>10922</v>
      </c>
    </row>
    <row r="11659" spans="1:2" x14ac:dyDescent="0.25">
      <c r="A11659" t="s">
        <v>10923</v>
      </c>
    </row>
    <row r="11660" spans="1:2" x14ac:dyDescent="0.25">
      <c r="A11660" t="s">
        <v>10924</v>
      </c>
    </row>
    <row r="11661" spans="1:2" x14ac:dyDescent="0.25">
      <c r="A11661" t="s">
        <v>10925</v>
      </c>
    </row>
    <row r="11662" spans="1:2" x14ac:dyDescent="0.25">
      <c r="A11662" t="s">
        <v>10926</v>
      </c>
      <c r="B11662" t="s">
        <v>10927</v>
      </c>
    </row>
    <row r="11663" spans="1:2" x14ac:dyDescent="0.25">
      <c r="A11663" t="s">
        <v>10928</v>
      </c>
    </row>
    <row r="11664" spans="1:2" x14ac:dyDescent="0.25">
      <c r="A11664" t="s">
        <v>10929</v>
      </c>
    </row>
    <row r="11665" spans="1:1" x14ac:dyDescent="0.25">
      <c r="A11665" t="s">
        <v>10930</v>
      </c>
    </row>
    <row r="11666" spans="1:1" x14ac:dyDescent="0.25">
      <c r="A11666" t="s">
        <v>10931</v>
      </c>
    </row>
    <row r="11667" spans="1:1" x14ac:dyDescent="0.25">
      <c r="A11667" t="s">
        <v>10932</v>
      </c>
    </row>
    <row r="11668" spans="1:1" x14ac:dyDescent="0.25">
      <c r="A11668" t="s">
        <v>10933</v>
      </c>
    </row>
    <row r="11669" spans="1:1" x14ac:dyDescent="0.25">
      <c r="A11669" t="s">
        <v>10934</v>
      </c>
    </row>
    <row r="11670" spans="1:1" x14ac:dyDescent="0.25">
      <c r="A11670" t="s">
        <v>10935</v>
      </c>
    </row>
    <row r="11671" spans="1:1" x14ac:dyDescent="0.25">
      <c r="A11671" t="s">
        <v>10936</v>
      </c>
    </row>
    <row r="11672" spans="1:1" x14ac:dyDescent="0.25">
      <c r="A11672" t="s">
        <v>10937</v>
      </c>
    </row>
    <row r="11673" spans="1:1" x14ac:dyDescent="0.25">
      <c r="A11673" t="s">
        <v>10938</v>
      </c>
    </row>
    <row r="11674" spans="1:1" x14ac:dyDescent="0.25">
      <c r="A11674" t="s">
        <v>7909</v>
      </c>
    </row>
    <row r="11676" spans="1:1" x14ac:dyDescent="0.25">
      <c r="A11676" t="s">
        <v>10939</v>
      </c>
    </row>
    <row r="11678" spans="1:1" x14ac:dyDescent="0.25">
      <c r="A11678" t="s">
        <v>10940</v>
      </c>
    </row>
    <row r="11680" spans="1:1" x14ac:dyDescent="0.25">
      <c r="A11680" t="s">
        <v>10941</v>
      </c>
    </row>
    <row r="11681" spans="1:1" x14ac:dyDescent="0.25">
      <c r="A11681" t="s">
        <v>10942</v>
      </c>
    </row>
    <row r="11682" spans="1:1" x14ac:dyDescent="0.25">
      <c r="A11682" t="s">
        <v>10943</v>
      </c>
    </row>
    <row r="11683" spans="1:1" x14ac:dyDescent="0.25">
      <c r="A11683" t="s">
        <v>10944</v>
      </c>
    </row>
    <row r="11684" spans="1:1" x14ac:dyDescent="0.25">
      <c r="A11684" t="s">
        <v>10945</v>
      </c>
    </row>
    <row r="11685" spans="1:1" x14ac:dyDescent="0.25">
      <c r="A11685" t="s">
        <v>10946</v>
      </c>
    </row>
    <row r="11686" spans="1:1" x14ac:dyDescent="0.25">
      <c r="A11686" t="s">
        <v>10947</v>
      </c>
    </row>
    <row r="11687" spans="1:1" x14ac:dyDescent="0.25">
      <c r="A11687" t="s">
        <v>10942</v>
      </c>
    </row>
    <row r="11688" spans="1:1" x14ac:dyDescent="0.25">
      <c r="A11688" t="s">
        <v>3212</v>
      </c>
    </row>
    <row r="11689" spans="1:1" x14ac:dyDescent="0.25">
      <c r="A11689" t="s">
        <v>10948</v>
      </c>
    </row>
    <row r="11690" spans="1:1" x14ac:dyDescent="0.25">
      <c r="A11690" t="s">
        <v>10945</v>
      </c>
    </row>
    <row r="11691" spans="1:1" x14ac:dyDescent="0.25">
      <c r="A11691" t="s">
        <v>10949</v>
      </c>
    </row>
    <row r="11692" spans="1:1" x14ac:dyDescent="0.25">
      <c r="A11692" t="s">
        <v>10947</v>
      </c>
    </row>
    <row r="11693" spans="1:1" x14ac:dyDescent="0.25">
      <c r="A11693" t="s">
        <v>10950</v>
      </c>
    </row>
    <row r="11694" spans="1:1" x14ac:dyDescent="0.25">
      <c r="A11694" t="s">
        <v>9836</v>
      </c>
    </row>
    <row r="11695" spans="1:1" x14ac:dyDescent="0.25">
      <c r="A11695" t="s">
        <v>10951</v>
      </c>
    </row>
    <row r="11696" spans="1:1" x14ac:dyDescent="0.25">
      <c r="A11696" t="s">
        <v>9851</v>
      </c>
    </row>
    <row r="11697" spans="1:5" x14ac:dyDescent="0.25">
      <c r="A11697" t="s">
        <v>10952</v>
      </c>
    </row>
    <row r="11698" spans="1:5" x14ac:dyDescent="0.25">
      <c r="A11698" t="s">
        <v>9853</v>
      </c>
    </row>
    <row r="11699" spans="1:5" x14ac:dyDescent="0.25">
      <c r="A11699" t="s">
        <v>10953</v>
      </c>
    </row>
    <row r="11700" spans="1:5" x14ac:dyDescent="0.25">
      <c r="A11700" t="s">
        <v>10954</v>
      </c>
    </row>
    <row r="11701" spans="1:5" x14ac:dyDescent="0.25">
      <c r="A11701" t="s">
        <v>10955</v>
      </c>
    </row>
    <row r="11702" spans="1:5" x14ac:dyDescent="0.25">
      <c r="A11702" t="s">
        <v>10956</v>
      </c>
    </row>
    <row r="11703" spans="1:5" x14ac:dyDescent="0.25">
      <c r="A11703" t="s">
        <v>10957</v>
      </c>
    </row>
    <row r="11704" spans="1:5" x14ac:dyDescent="0.25">
      <c r="A11704" t="s">
        <v>10958</v>
      </c>
    </row>
    <row r="11705" spans="1:5" x14ac:dyDescent="0.25">
      <c r="A11705" t="s">
        <v>10959</v>
      </c>
    </row>
    <row r="11706" spans="1:5" x14ac:dyDescent="0.25">
      <c r="A11706" t="s">
        <v>10960</v>
      </c>
    </row>
    <row r="11707" spans="1:5" x14ac:dyDescent="0.25">
      <c r="A11707" t="s">
        <v>10961</v>
      </c>
    </row>
    <row r="11708" spans="1:5" x14ac:dyDescent="0.25">
      <c r="A11708" t="s">
        <v>10962</v>
      </c>
    </row>
    <row r="11709" spans="1:5" x14ac:dyDescent="0.25">
      <c r="A11709" t="s">
        <v>8543</v>
      </c>
      <c r="B11709" t="s">
        <v>8544</v>
      </c>
      <c r="C11709" t="s">
        <v>8545</v>
      </c>
      <c r="D11709" t="s">
        <v>8546</v>
      </c>
      <c r="E11709" t="s">
        <v>8547</v>
      </c>
    </row>
    <row r="11710" spans="1:5" x14ac:dyDescent="0.25">
      <c r="A11710" t="s">
        <v>1278</v>
      </c>
      <c r="B11710" t="s">
        <v>4946</v>
      </c>
      <c r="C11710">
        <v>3114.81</v>
      </c>
      <c r="D11710" t="s">
        <v>3428</v>
      </c>
      <c r="E11710">
        <v>984</v>
      </c>
    </row>
    <row r="11711" spans="1:5" x14ac:dyDescent="0.25">
      <c r="A11711" t="s">
        <v>4948</v>
      </c>
      <c r="B11711" t="s">
        <v>4946</v>
      </c>
      <c r="C11711">
        <v>7189.07</v>
      </c>
      <c r="D11711" t="s">
        <v>3428</v>
      </c>
      <c r="E11711">
        <v>1050</v>
      </c>
    </row>
    <row r="11713" spans="1:5" x14ac:dyDescent="0.25">
      <c r="A11713" t="s">
        <v>10963</v>
      </c>
    </row>
    <row r="11714" spans="1:5" x14ac:dyDescent="0.25">
      <c r="A11714" t="s">
        <v>10964</v>
      </c>
    </row>
    <row r="11715" spans="1:5" x14ac:dyDescent="0.25">
      <c r="A11715" t="s">
        <v>10965</v>
      </c>
    </row>
    <row r="11716" spans="1:5" x14ac:dyDescent="0.25">
      <c r="A11716" t="s">
        <v>10966</v>
      </c>
    </row>
    <row r="11717" spans="1:5" x14ac:dyDescent="0.25">
      <c r="A11717" t="s">
        <v>10967</v>
      </c>
    </row>
    <row r="11718" spans="1:5" x14ac:dyDescent="0.25">
      <c r="A11718" t="s">
        <v>10968</v>
      </c>
    </row>
    <row r="11719" spans="1:5" x14ac:dyDescent="0.25">
      <c r="A11719" t="s">
        <v>10969</v>
      </c>
    </row>
    <row r="11720" spans="1:5" x14ac:dyDescent="0.25">
      <c r="A11720" t="s">
        <v>10970</v>
      </c>
    </row>
    <row r="11721" spans="1:5" x14ac:dyDescent="0.25">
      <c r="A11721" t="s">
        <v>10971</v>
      </c>
    </row>
    <row r="11722" spans="1:5" x14ac:dyDescent="0.25">
      <c r="A11722" t="s">
        <v>10972</v>
      </c>
    </row>
    <row r="11723" spans="1:5" x14ac:dyDescent="0.25">
      <c r="A11723" t="s">
        <v>10973</v>
      </c>
    </row>
    <row r="11724" spans="1:5" x14ac:dyDescent="0.25">
      <c r="A11724" t="s">
        <v>10974</v>
      </c>
    </row>
    <row r="11725" spans="1:5" x14ac:dyDescent="0.25">
      <c r="A11725" t="s">
        <v>10975</v>
      </c>
    </row>
    <row r="11726" spans="1:5" x14ac:dyDescent="0.25">
      <c r="A11726" t="s">
        <v>10976</v>
      </c>
      <c r="B11726" t="s">
        <v>3432</v>
      </c>
      <c r="C11726">
        <v>133467.03</v>
      </c>
      <c r="D11726" t="s">
        <v>3428</v>
      </c>
      <c r="E11726">
        <v>0</v>
      </c>
    </row>
    <row r="11727" spans="1:5" x14ac:dyDescent="0.25">
      <c r="A11727" t="s">
        <v>1278</v>
      </c>
      <c r="B11727" t="s">
        <v>4946</v>
      </c>
      <c r="C11727">
        <v>26073.49</v>
      </c>
      <c r="D11727" t="s">
        <v>3428</v>
      </c>
      <c r="E11727">
        <v>984</v>
      </c>
    </row>
    <row r="11728" spans="1:5" x14ac:dyDescent="0.25">
      <c r="A11728" t="s">
        <v>4948</v>
      </c>
      <c r="B11728" t="s">
        <v>4946</v>
      </c>
      <c r="C11728">
        <v>3912.13</v>
      </c>
      <c r="D11728" t="s">
        <v>3428</v>
      </c>
      <c r="E11728">
        <v>941</v>
      </c>
    </row>
    <row r="11729" spans="1:1" x14ac:dyDescent="0.25">
      <c r="A11729" t="s">
        <v>10977</v>
      </c>
    </row>
    <row r="11730" spans="1:1" x14ac:dyDescent="0.25">
      <c r="A11730" t="s">
        <v>10978</v>
      </c>
    </row>
    <row r="11731" spans="1:1" x14ac:dyDescent="0.25">
      <c r="A11731" t="s">
        <v>10979</v>
      </c>
    </row>
    <row r="11732" spans="1:1" x14ac:dyDescent="0.25">
      <c r="A11732" t="s">
        <v>10980</v>
      </c>
    </row>
    <row r="11733" spans="1:1" x14ac:dyDescent="0.25">
      <c r="A11733" t="s">
        <v>10981</v>
      </c>
    </row>
    <row r="11734" spans="1:1" x14ac:dyDescent="0.25">
      <c r="A11734" t="s">
        <v>10982</v>
      </c>
    </row>
    <row r="11735" spans="1:1" x14ac:dyDescent="0.25">
      <c r="A11735" t="s">
        <v>5160</v>
      </c>
    </row>
    <row r="11736" spans="1:1" x14ac:dyDescent="0.25">
      <c r="A11736" t="s">
        <v>10983</v>
      </c>
    </row>
    <row r="11737" spans="1:1" x14ac:dyDescent="0.25">
      <c r="A11737" t="s">
        <v>5162</v>
      </c>
    </row>
    <row r="11738" spans="1:1" x14ac:dyDescent="0.25">
      <c r="A11738" t="s">
        <v>10984</v>
      </c>
    </row>
    <row r="11739" spans="1:1" x14ac:dyDescent="0.25">
      <c r="A11739" t="s">
        <v>10985</v>
      </c>
    </row>
    <row r="11740" spans="1:1" x14ac:dyDescent="0.25">
      <c r="A11740" t="s">
        <v>10986</v>
      </c>
    </row>
    <row r="11741" spans="1:1" x14ac:dyDescent="0.25">
      <c r="A11741" t="s">
        <v>10987</v>
      </c>
    </row>
    <row r="11742" spans="1:1" x14ac:dyDescent="0.25">
      <c r="A11742" t="s">
        <v>10988</v>
      </c>
    </row>
    <row r="11743" spans="1:1" x14ac:dyDescent="0.25">
      <c r="A11743" t="s">
        <v>10989</v>
      </c>
    </row>
    <row r="11744" spans="1:1" x14ac:dyDescent="0.25">
      <c r="A11744" t="s">
        <v>10990</v>
      </c>
    </row>
    <row r="11745" spans="1:5" x14ac:dyDescent="0.25">
      <c r="A11745" t="s">
        <v>10991</v>
      </c>
    </row>
    <row r="11746" spans="1:5" x14ac:dyDescent="0.25">
      <c r="A11746" t="s">
        <v>10992</v>
      </c>
    </row>
    <row r="11747" spans="1:5" x14ac:dyDescent="0.25">
      <c r="A11747" t="s">
        <v>10993</v>
      </c>
    </row>
    <row r="11748" spans="1:5" x14ac:dyDescent="0.25">
      <c r="A11748" t="s">
        <v>8543</v>
      </c>
      <c r="B11748" t="s">
        <v>8544</v>
      </c>
      <c r="C11748" t="s">
        <v>8545</v>
      </c>
      <c r="D11748" t="s">
        <v>8546</v>
      </c>
      <c r="E11748" t="s">
        <v>8547</v>
      </c>
    </row>
    <row r="11749" spans="1:5" x14ac:dyDescent="0.25">
      <c r="A11749" t="s">
        <v>4948</v>
      </c>
      <c r="B11749" t="s">
        <v>4946</v>
      </c>
      <c r="C11749">
        <v>1275.77</v>
      </c>
      <c r="D11749" t="s">
        <v>3428</v>
      </c>
      <c r="E11749">
        <v>1050</v>
      </c>
    </row>
    <row r="11751" spans="1:5" x14ac:dyDescent="0.25">
      <c r="A11751" t="s">
        <v>10991</v>
      </c>
    </row>
    <row r="11752" spans="1:5" x14ac:dyDescent="0.25">
      <c r="A11752" t="s">
        <v>10994</v>
      </c>
    </row>
    <row r="11753" spans="1:5" x14ac:dyDescent="0.25">
      <c r="A11753" t="s">
        <v>10995</v>
      </c>
    </row>
    <row r="11754" spans="1:5" x14ac:dyDescent="0.25">
      <c r="A11754" t="s">
        <v>10996</v>
      </c>
    </row>
    <row r="11755" spans="1:5" x14ac:dyDescent="0.25">
      <c r="A11755" t="s">
        <v>10997</v>
      </c>
    </row>
    <row r="11756" spans="1:5" x14ac:dyDescent="0.25">
      <c r="A11756" t="s">
        <v>10998</v>
      </c>
    </row>
    <row r="11757" spans="1:5" x14ac:dyDescent="0.25">
      <c r="A11757" t="s">
        <v>10999</v>
      </c>
    </row>
    <row r="11758" spans="1:5" x14ac:dyDescent="0.25">
      <c r="A11758" t="s">
        <v>11000</v>
      </c>
    </row>
    <row r="11759" spans="1:5" x14ac:dyDescent="0.25">
      <c r="A11759" t="s">
        <v>11001</v>
      </c>
    </row>
    <row r="11760" spans="1:5" x14ac:dyDescent="0.25">
      <c r="A11760" t="s">
        <v>11002</v>
      </c>
    </row>
    <row r="11761" spans="1:1" x14ac:dyDescent="0.25">
      <c r="A11761" t="s">
        <v>11003</v>
      </c>
    </row>
    <row r="11762" spans="1:1" x14ac:dyDescent="0.25">
      <c r="A11762" t="s">
        <v>11004</v>
      </c>
    </row>
    <row r="11763" spans="1:1" x14ac:dyDescent="0.25">
      <c r="A11763" t="s">
        <v>11005</v>
      </c>
    </row>
    <row r="11764" spans="1:1" x14ac:dyDescent="0.25">
      <c r="A11764" t="s">
        <v>11006</v>
      </c>
    </row>
    <row r="11765" spans="1:1" x14ac:dyDescent="0.25">
      <c r="A11765" t="s">
        <v>11007</v>
      </c>
    </row>
    <row r="11766" spans="1:1" x14ac:dyDescent="0.25">
      <c r="A11766" t="s">
        <v>11008</v>
      </c>
    </row>
    <row r="11767" spans="1:1" x14ac:dyDescent="0.25">
      <c r="A11767" t="s">
        <v>6249</v>
      </c>
    </row>
    <row r="11768" spans="1:1" x14ac:dyDescent="0.25">
      <c r="A11768">
        <v>979536033</v>
      </c>
    </row>
    <row r="11769" spans="1:1" x14ac:dyDescent="0.25">
      <c r="A11769" t="s">
        <v>11006</v>
      </c>
    </row>
    <row r="11770" spans="1:1" x14ac:dyDescent="0.25">
      <c r="A11770" t="s">
        <v>11009</v>
      </c>
    </row>
    <row r="11771" spans="1:1" x14ac:dyDescent="0.25">
      <c r="A11771" t="s">
        <v>11010</v>
      </c>
    </row>
    <row r="11772" spans="1:1" x14ac:dyDescent="0.25">
      <c r="A11772" t="s">
        <v>11011</v>
      </c>
    </row>
    <row r="11773" spans="1:1" x14ac:dyDescent="0.25">
      <c r="A11773">
        <v>956299965</v>
      </c>
    </row>
    <row r="11774" spans="1:1" x14ac:dyDescent="0.25">
      <c r="A11774" t="s">
        <v>11012</v>
      </c>
    </row>
    <row r="11775" spans="1:1" x14ac:dyDescent="0.25">
      <c r="A11775" t="s">
        <v>11013</v>
      </c>
    </row>
    <row r="11776" spans="1:1" x14ac:dyDescent="0.25">
      <c r="A11776" t="s">
        <v>1463</v>
      </c>
    </row>
    <row r="11777" spans="1:1" x14ac:dyDescent="0.25">
      <c r="A11777" t="s">
        <v>11014</v>
      </c>
    </row>
    <row r="11778" spans="1:1" x14ac:dyDescent="0.25">
      <c r="A11778" t="s">
        <v>11015</v>
      </c>
    </row>
    <row r="11779" spans="1:1" x14ac:dyDescent="0.25">
      <c r="A11779" t="s">
        <v>11016</v>
      </c>
    </row>
    <row r="11780" spans="1:1" x14ac:dyDescent="0.25">
      <c r="A11780" t="s">
        <v>11017</v>
      </c>
    </row>
    <row r="11781" spans="1:1" x14ac:dyDescent="0.25">
      <c r="A11781" t="s">
        <v>11018</v>
      </c>
    </row>
    <row r="11782" spans="1:1" x14ac:dyDescent="0.25">
      <c r="A11782" t="s">
        <v>11015</v>
      </c>
    </row>
    <row r="11783" spans="1:1" x14ac:dyDescent="0.25">
      <c r="A11783" t="s">
        <v>11019</v>
      </c>
    </row>
    <row r="11784" spans="1:1" x14ac:dyDescent="0.25">
      <c r="A11784" t="s">
        <v>11020</v>
      </c>
    </row>
    <row r="11785" spans="1:1" x14ac:dyDescent="0.25">
      <c r="A11785" t="s">
        <v>11021</v>
      </c>
    </row>
    <row r="11786" spans="1:1" x14ac:dyDescent="0.25">
      <c r="A11786" t="s">
        <v>11022</v>
      </c>
    </row>
    <row r="11787" spans="1:1" x14ac:dyDescent="0.25">
      <c r="A11787" t="s">
        <v>11023</v>
      </c>
    </row>
    <row r="11788" spans="1:1" x14ac:dyDescent="0.25">
      <c r="A11788" t="s">
        <v>11024</v>
      </c>
    </row>
    <row r="11789" spans="1:1" x14ac:dyDescent="0.25">
      <c r="A11789" t="s">
        <v>11025</v>
      </c>
    </row>
    <row r="11790" spans="1:1" x14ac:dyDescent="0.25">
      <c r="A11790" t="s">
        <v>11026</v>
      </c>
    </row>
    <row r="11791" spans="1:1" x14ac:dyDescent="0.25">
      <c r="A11791" t="s">
        <v>11027</v>
      </c>
    </row>
    <row r="11792" spans="1:1" x14ac:dyDescent="0.25">
      <c r="A11792" t="s">
        <v>11028</v>
      </c>
    </row>
    <row r="11793" spans="1:1" x14ac:dyDescent="0.25">
      <c r="A11793" t="s">
        <v>11029</v>
      </c>
    </row>
    <row r="11794" spans="1:1" x14ac:dyDescent="0.25">
      <c r="A11794" t="s">
        <v>11030</v>
      </c>
    </row>
    <row r="11795" spans="1:1" x14ac:dyDescent="0.25">
      <c r="A11795" t="s">
        <v>11028</v>
      </c>
    </row>
    <row r="11796" spans="1:1" x14ac:dyDescent="0.25">
      <c r="A11796" t="s">
        <v>11031</v>
      </c>
    </row>
    <row r="11797" spans="1:1" x14ac:dyDescent="0.25">
      <c r="A11797" t="s">
        <v>11032</v>
      </c>
    </row>
    <row r="11798" spans="1:1" x14ac:dyDescent="0.25">
      <c r="A11798" t="s">
        <v>11033</v>
      </c>
    </row>
    <row r="11799" spans="1:1" x14ac:dyDescent="0.25">
      <c r="A11799" t="s">
        <v>11034</v>
      </c>
    </row>
    <row r="11800" spans="1:1" x14ac:dyDescent="0.25">
      <c r="A11800" t="s">
        <v>11035</v>
      </c>
    </row>
    <row r="11801" spans="1:1" x14ac:dyDescent="0.25">
      <c r="A11801" t="s">
        <v>11036</v>
      </c>
    </row>
    <row r="11802" spans="1:1" x14ac:dyDescent="0.25">
      <c r="A11802" t="s">
        <v>11037</v>
      </c>
    </row>
    <row r="11803" spans="1:1" x14ac:dyDescent="0.25">
      <c r="A11803" t="s">
        <v>11038</v>
      </c>
    </row>
    <row r="11804" spans="1:1" x14ac:dyDescent="0.25">
      <c r="A11804" t="s">
        <v>11039</v>
      </c>
    </row>
    <row r="11805" spans="1:1" x14ac:dyDescent="0.25">
      <c r="A11805" t="s">
        <v>11040</v>
      </c>
    </row>
    <row r="11806" spans="1:1" x14ac:dyDescent="0.25">
      <c r="A11806" t="s">
        <v>11041</v>
      </c>
    </row>
    <row r="11807" spans="1:1" x14ac:dyDescent="0.25">
      <c r="A11807" t="s">
        <v>11042</v>
      </c>
    </row>
    <row r="11808" spans="1:1" x14ac:dyDescent="0.25">
      <c r="A11808" t="s">
        <v>11043</v>
      </c>
    </row>
    <row r="11809" spans="1:1" x14ac:dyDescent="0.25">
      <c r="A11809" t="s">
        <v>11044</v>
      </c>
    </row>
    <row r="11810" spans="1:1" x14ac:dyDescent="0.25">
      <c r="A11810" t="s">
        <v>11045</v>
      </c>
    </row>
    <row r="11811" spans="1:1" x14ac:dyDescent="0.25">
      <c r="A11811" t="s">
        <v>11046</v>
      </c>
    </row>
    <row r="11812" spans="1:1" x14ac:dyDescent="0.25">
      <c r="A11812" t="s">
        <v>11047</v>
      </c>
    </row>
    <row r="11814" spans="1:1" x14ac:dyDescent="0.25">
      <c r="A11814" t="s">
        <v>11048</v>
      </c>
    </row>
    <row r="11815" spans="1:1" x14ac:dyDescent="0.25">
      <c r="A11815" t="s">
        <v>8899</v>
      </c>
    </row>
    <row r="11816" spans="1:1" x14ac:dyDescent="0.25">
      <c r="A11816" t="s">
        <v>11049</v>
      </c>
    </row>
    <row r="11817" spans="1:1" x14ac:dyDescent="0.25">
      <c r="A11817" t="s">
        <v>11050</v>
      </c>
    </row>
    <row r="11818" spans="1:1" x14ac:dyDescent="0.25">
      <c r="A11818" t="s">
        <v>11048</v>
      </c>
    </row>
    <row r="11819" spans="1:1" x14ac:dyDescent="0.25">
      <c r="A11819" t="s">
        <v>11051</v>
      </c>
    </row>
    <row r="11820" spans="1:1" x14ac:dyDescent="0.25">
      <c r="A11820" t="s">
        <v>11052</v>
      </c>
    </row>
    <row r="11821" spans="1:1" x14ac:dyDescent="0.25">
      <c r="A11821" t="s">
        <v>11053</v>
      </c>
    </row>
    <row r="11822" spans="1:1" x14ac:dyDescent="0.25">
      <c r="A11822" t="s">
        <v>5213</v>
      </c>
    </row>
    <row r="11823" spans="1:1" x14ac:dyDescent="0.25">
      <c r="A11823" t="s">
        <v>11054</v>
      </c>
    </row>
    <row r="11824" spans="1:1" x14ac:dyDescent="0.25">
      <c r="A11824" t="s">
        <v>11055</v>
      </c>
    </row>
    <row r="11825" spans="1:5" x14ac:dyDescent="0.25">
      <c r="A11825" t="s">
        <v>11056</v>
      </c>
    </row>
    <row r="11826" spans="1:5" x14ac:dyDescent="0.25">
      <c r="A11826" t="s">
        <v>9998</v>
      </c>
      <c r="B11826" t="s">
        <v>4946</v>
      </c>
      <c r="C11826">
        <v>512.9</v>
      </c>
      <c r="D11826" t="s">
        <v>3428</v>
      </c>
      <c r="E11826">
        <v>526</v>
      </c>
    </row>
    <row r="11827" spans="1:5" x14ac:dyDescent="0.25">
      <c r="A11827" t="s">
        <v>9998</v>
      </c>
      <c r="B11827" t="s">
        <v>9999</v>
      </c>
      <c r="C11827">
        <v>1</v>
      </c>
      <c r="D11827" t="s">
        <v>3428</v>
      </c>
      <c r="E11827">
        <v>0</v>
      </c>
    </row>
    <row r="11828" spans="1:5" x14ac:dyDescent="0.25">
      <c r="A11828" t="s">
        <v>5317</v>
      </c>
      <c r="B11828" t="s">
        <v>5148</v>
      </c>
      <c r="C11828">
        <v>203.47</v>
      </c>
      <c r="D11828" t="s">
        <v>3428</v>
      </c>
      <c r="E11828">
        <v>253</v>
      </c>
    </row>
    <row r="11829" spans="1:5" x14ac:dyDescent="0.25">
      <c r="A11829" t="s">
        <v>5317</v>
      </c>
      <c r="B11829" t="s">
        <v>3432</v>
      </c>
      <c r="C11829">
        <v>203.47</v>
      </c>
      <c r="D11829" t="s">
        <v>3428</v>
      </c>
      <c r="E11829">
        <v>0</v>
      </c>
    </row>
    <row r="11830" spans="1:5" x14ac:dyDescent="0.25">
      <c r="A11830" t="s">
        <v>5317</v>
      </c>
      <c r="B11830" t="s">
        <v>5320</v>
      </c>
      <c r="C11830">
        <v>2238.17</v>
      </c>
      <c r="D11830" t="s">
        <v>3428</v>
      </c>
      <c r="E11830">
        <v>0</v>
      </c>
    </row>
    <row r="11831" spans="1:5" x14ac:dyDescent="0.25">
      <c r="A11831" t="s">
        <v>11057</v>
      </c>
    </row>
    <row r="11832" spans="1:5" x14ac:dyDescent="0.25">
      <c r="A11832" t="s">
        <v>11058</v>
      </c>
    </row>
    <row r="11833" spans="1:5" x14ac:dyDescent="0.25">
      <c r="A11833" t="s">
        <v>11059</v>
      </c>
    </row>
    <row r="11834" spans="1:5" x14ac:dyDescent="0.25">
      <c r="A11834" t="s">
        <v>11060</v>
      </c>
    </row>
    <row r="11835" spans="1:5" x14ac:dyDescent="0.25">
      <c r="A11835" t="s">
        <v>11061</v>
      </c>
    </row>
    <row r="11836" spans="1:5" x14ac:dyDescent="0.25">
      <c r="A11836" t="s">
        <v>11062</v>
      </c>
      <c r="B11836" t="s">
        <v>4946</v>
      </c>
      <c r="C11836">
        <v>379.78</v>
      </c>
      <c r="D11836" t="s">
        <v>3428</v>
      </c>
      <c r="E11836">
        <v>702</v>
      </c>
    </row>
    <row r="11837" spans="1:5" x14ac:dyDescent="0.25">
      <c r="A11837" t="s">
        <v>4948</v>
      </c>
      <c r="B11837" t="s">
        <v>4946</v>
      </c>
      <c r="C11837">
        <v>2902.14</v>
      </c>
      <c r="D11837" t="s">
        <v>3428</v>
      </c>
      <c r="E11837">
        <v>968</v>
      </c>
    </row>
    <row r="11838" spans="1:5" x14ac:dyDescent="0.25">
      <c r="A11838" t="s">
        <v>11063</v>
      </c>
    </row>
    <row r="11839" spans="1:5" x14ac:dyDescent="0.25">
      <c r="A11839" t="s">
        <v>11025</v>
      </c>
    </row>
    <row r="11840" spans="1:5" x14ac:dyDescent="0.25">
      <c r="A11840" t="s">
        <v>11064</v>
      </c>
    </row>
    <row r="11841" spans="1:5" x14ac:dyDescent="0.25">
      <c r="A11841" t="s">
        <v>11065</v>
      </c>
    </row>
    <row r="11842" spans="1:5" x14ac:dyDescent="0.25">
      <c r="A11842" t="s">
        <v>11063</v>
      </c>
    </row>
    <row r="11843" spans="1:5" x14ac:dyDescent="0.25">
      <c r="A11843" t="s">
        <v>11066</v>
      </c>
    </row>
    <row r="11844" spans="1:5" x14ac:dyDescent="0.25">
      <c r="A11844" t="s">
        <v>11067</v>
      </c>
    </row>
    <row r="11845" spans="1:5" x14ac:dyDescent="0.25">
      <c r="A11845" t="s">
        <v>11068</v>
      </c>
    </row>
    <row r="11846" spans="1:5" x14ac:dyDescent="0.25">
      <c r="A11846" t="s">
        <v>11069</v>
      </c>
      <c r="B11846" t="s">
        <v>3430</v>
      </c>
      <c r="C11846">
        <v>61204.88</v>
      </c>
      <c r="D11846" t="s">
        <v>11070</v>
      </c>
      <c r="E11846">
        <v>0</v>
      </c>
    </row>
    <row r="11847" spans="1:5" x14ac:dyDescent="0.25">
      <c r="A11847" t="s">
        <v>11071</v>
      </c>
      <c r="B11847" t="s">
        <v>3432</v>
      </c>
      <c r="C11847">
        <v>36722.93</v>
      </c>
      <c r="D11847" t="s">
        <v>11070</v>
      </c>
      <c r="E11847">
        <v>0</v>
      </c>
    </row>
    <row r="11848" spans="1:5" x14ac:dyDescent="0.25">
      <c r="A11848" t="s">
        <v>1278</v>
      </c>
      <c r="B11848" t="s">
        <v>4946</v>
      </c>
      <c r="C11848">
        <v>29106.37</v>
      </c>
      <c r="D11848" t="s">
        <v>3428</v>
      </c>
      <c r="E11848">
        <v>917</v>
      </c>
    </row>
    <row r="11849" spans="1:5" x14ac:dyDescent="0.25">
      <c r="A11849" t="s">
        <v>4948</v>
      </c>
      <c r="B11849" t="s">
        <v>4946</v>
      </c>
      <c r="C11849">
        <v>3901.01</v>
      </c>
      <c r="D11849" t="s">
        <v>3428</v>
      </c>
      <c r="E11849">
        <v>685</v>
      </c>
    </row>
    <row r="11850" spans="1:5" x14ac:dyDescent="0.25">
      <c r="A11850">
        <v>982769385</v>
      </c>
    </row>
    <row r="11851" spans="1:5" x14ac:dyDescent="0.25">
      <c r="A11851" t="s">
        <v>11072</v>
      </c>
    </row>
    <row r="11852" spans="1:5" x14ac:dyDescent="0.25">
      <c r="A11852" t="s">
        <v>11073</v>
      </c>
    </row>
    <row r="11853" spans="1:5" x14ac:dyDescent="0.25">
      <c r="A11853" t="s">
        <v>11074</v>
      </c>
    </row>
    <row r="11854" spans="1:5" x14ac:dyDescent="0.25">
      <c r="A11854" t="s">
        <v>11075</v>
      </c>
    </row>
    <row r="11855" spans="1:5" x14ac:dyDescent="0.25">
      <c r="A11855" t="s">
        <v>11072</v>
      </c>
    </row>
    <row r="11856" spans="1:5" x14ac:dyDescent="0.25">
      <c r="A11856" t="s">
        <v>11076</v>
      </c>
    </row>
    <row r="11857" spans="1:5" x14ac:dyDescent="0.25">
      <c r="A11857" t="s">
        <v>11077</v>
      </c>
    </row>
    <row r="11858" spans="1:5" x14ac:dyDescent="0.25">
      <c r="A11858" t="s">
        <v>11078</v>
      </c>
    </row>
    <row r="11859" spans="1:5" x14ac:dyDescent="0.25">
      <c r="A11859" t="s">
        <v>11079</v>
      </c>
    </row>
    <row r="11860" spans="1:5" x14ac:dyDescent="0.25">
      <c r="A11860" t="s">
        <v>11080</v>
      </c>
    </row>
    <row r="11861" spans="1:5" x14ac:dyDescent="0.25">
      <c r="A11861" t="s">
        <v>11081</v>
      </c>
    </row>
    <row r="11862" spans="1:5" x14ac:dyDescent="0.25">
      <c r="A11862" t="s">
        <v>11082</v>
      </c>
    </row>
    <row r="11863" spans="1:5" x14ac:dyDescent="0.25">
      <c r="A11863" t="s">
        <v>11083</v>
      </c>
    </row>
    <row r="11864" spans="1:5" x14ac:dyDescent="0.25">
      <c r="A11864" t="s">
        <v>11084</v>
      </c>
    </row>
    <row r="11865" spans="1:5" x14ac:dyDescent="0.25">
      <c r="A11865" t="s">
        <v>11081</v>
      </c>
    </row>
    <row r="11866" spans="1:5" x14ac:dyDescent="0.25">
      <c r="A11866" t="s">
        <v>11085</v>
      </c>
    </row>
    <row r="11867" spans="1:5" x14ac:dyDescent="0.25">
      <c r="A11867" t="s">
        <v>11086</v>
      </c>
    </row>
    <row r="11868" spans="1:5" x14ac:dyDescent="0.25">
      <c r="A11868" t="s">
        <v>11087</v>
      </c>
      <c r="B11868" t="s">
        <v>4946</v>
      </c>
      <c r="C11868">
        <v>2000</v>
      </c>
      <c r="D11868" t="s">
        <v>3428</v>
      </c>
      <c r="E11868">
        <v>1334</v>
      </c>
    </row>
    <row r="11869" spans="1:5" x14ac:dyDescent="0.25">
      <c r="A11869" t="s">
        <v>8548</v>
      </c>
      <c r="B11869" t="s">
        <v>4946</v>
      </c>
      <c r="C11869">
        <v>575.35</v>
      </c>
      <c r="D11869" t="s">
        <v>3428</v>
      </c>
      <c r="E11869">
        <v>1182</v>
      </c>
    </row>
    <row r="11870" spans="1:5" x14ac:dyDescent="0.25">
      <c r="A11870" t="s">
        <v>4947</v>
      </c>
      <c r="B11870" t="s">
        <v>4946</v>
      </c>
      <c r="C11870">
        <v>1418</v>
      </c>
      <c r="D11870" t="s">
        <v>3428</v>
      </c>
      <c r="E11870">
        <v>1356</v>
      </c>
    </row>
    <row r="11872" spans="1:5" x14ac:dyDescent="0.25">
      <c r="A11872" t="s">
        <v>11081</v>
      </c>
    </row>
    <row r="11873" spans="1:5" x14ac:dyDescent="0.25">
      <c r="A11873" t="s">
        <v>11088</v>
      </c>
    </row>
    <row r="11874" spans="1:5" x14ac:dyDescent="0.25">
      <c r="A11874" t="s">
        <v>11089</v>
      </c>
    </row>
    <row r="11875" spans="1:5" x14ac:dyDescent="0.25">
      <c r="A11875" t="s">
        <v>11090</v>
      </c>
    </row>
    <row r="11876" spans="1:5" x14ac:dyDescent="0.25">
      <c r="A11876" t="s">
        <v>11081</v>
      </c>
    </row>
    <row r="11877" spans="1:5" x14ac:dyDescent="0.25">
      <c r="A11877" t="s">
        <v>11091</v>
      </c>
    </row>
    <row r="11878" spans="1:5" x14ac:dyDescent="0.25">
      <c r="A11878" t="s">
        <v>11092</v>
      </c>
    </row>
    <row r="11879" spans="1:5" x14ac:dyDescent="0.25">
      <c r="A11879" t="s">
        <v>11093</v>
      </c>
    </row>
    <row r="11880" spans="1:5" x14ac:dyDescent="0.25">
      <c r="A11880" t="s">
        <v>11094</v>
      </c>
      <c r="B11880" t="s">
        <v>4946</v>
      </c>
      <c r="C11880">
        <v>9156.7099999999991</v>
      </c>
      <c r="D11880" t="s">
        <v>3428</v>
      </c>
      <c r="E11880">
        <v>1066</v>
      </c>
    </row>
    <row r="11881" spans="1:5" x14ac:dyDescent="0.25">
      <c r="A11881" t="s">
        <v>9998</v>
      </c>
      <c r="B11881" t="s">
        <v>4946</v>
      </c>
      <c r="C11881">
        <v>2381.25</v>
      </c>
      <c r="D11881" t="s">
        <v>3428</v>
      </c>
      <c r="E11881">
        <v>1349</v>
      </c>
    </row>
    <row r="11882" spans="1:5" x14ac:dyDescent="0.25">
      <c r="A11882" t="s">
        <v>9998</v>
      </c>
      <c r="B11882" t="s">
        <v>9999</v>
      </c>
      <c r="C11882">
        <v>1</v>
      </c>
      <c r="D11882" t="s">
        <v>3428</v>
      </c>
      <c r="E11882">
        <v>0</v>
      </c>
    </row>
    <row r="11884" spans="1:5" x14ac:dyDescent="0.25">
      <c r="A11884" t="s">
        <v>11081</v>
      </c>
    </row>
    <row r="11885" spans="1:5" x14ac:dyDescent="0.25">
      <c r="A11885" t="s">
        <v>11095</v>
      </c>
    </row>
    <row r="11886" spans="1:5" x14ac:dyDescent="0.25">
      <c r="A11886" t="s">
        <v>11096</v>
      </c>
    </row>
    <row r="11887" spans="1:5" x14ac:dyDescent="0.25">
      <c r="A11887" t="s">
        <v>11097</v>
      </c>
    </row>
    <row r="11888" spans="1:5" x14ac:dyDescent="0.25">
      <c r="A11888" t="s">
        <v>11081</v>
      </c>
    </row>
    <row r="11889" spans="1:5" x14ac:dyDescent="0.25">
      <c r="A11889" t="s">
        <v>11098</v>
      </c>
    </row>
    <row r="11890" spans="1:5" x14ac:dyDescent="0.25">
      <c r="A11890" t="s">
        <v>11099</v>
      </c>
      <c r="B11890" t="s">
        <v>8544</v>
      </c>
      <c r="C11890" t="s">
        <v>8545</v>
      </c>
      <c r="D11890" t="s">
        <v>8546</v>
      </c>
      <c r="E11890" t="s">
        <v>8547</v>
      </c>
    </row>
    <row r="11891" spans="1:5" x14ac:dyDescent="0.25">
      <c r="A11891" t="s">
        <v>1278</v>
      </c>
      <c r="B11891" t="s">
        <v>4946</v>
      </c>
      <c r="C11891">
        <v>318.95</v>
      </c>
      <c r="D11891" t="s">
        <v>3428</v>
      </c>
      <c r="E11891">
        <v>948</v>
      </c>
    </row>
    <row r="11892" spans="1:5" x14ac:dyDescent="0.25">
      <c r="A11892" t="s">
        <v>4948</v>
      </c>
      <c r="B11892" t="s">
        <v>4946</v>
      </c>
      <c r="C11892">
        <v>1353.1</v>
      </c>
      <c r="D11892" t="s">
        <v>3428</v>
      </c>
      <c r="E11892">
        <v>1142</v>
      </c>
    </row>
    <row r="11893" spans="1:5" x14ac:dyDescent="0.25">
      <c r="A11893">
        <v>978606471</v>
      </c>
    </row>
    <row r="11894" spans="1:5" x14ac:dyDescent="0.25">
      <c r="A11894" t="s">
        <v>11081</v>
      </c>
    </row>
    <row r="11895" spans="1:5" x14ac:dyDescent="0.25">
      <c r="A11895" t="s">
        <v>11100</v>
      </c>
    </row>
    <row r="11896" spans="1:5" x14ac:dyDescent="0.25">
      <c r="A11896" t="s">
        <v>11101</v>
      </c>
      <c r="B11896" t="s">
        <v>5148</v>
      </c>
      <c r="C11896">
        <v>1303.5</v>
      </c>
      <c r="D11896" t="s">
        <v>3428</v>
      </c>
      <c r="E11896">
        <v>1149</v>
      </c>
    </row>
    <row r="11897" spans="1:5" x14ac:dyDescent="0.25">
      <c r="A11897" t="s">
        <v>11102</v>
      </c>
      <c r="B11897" t="s">
        <v>3432</v>
      </c>
      <c r="C11897">
        <v>1300.3499999999999</v>
      </c>
      <c r="D11897" t="s">
        <v>3428</v>
      </c>
      <c r="E11897">
        <v>1149</v>
      </c>
    </row>
    <row r="11898" spans="1:5" x14ac:dyDescent="0.25">
      <c r="A11898" t="s">
        <v>11102</v>
      </c>
      <c r="B11898" t="s">
        <v>5149</v>
      </c>
      <c r="C11898">
        <v>3.15</v>
      </c>
      <c r="D11898" t="s">
        <v>3428</v>
      </c>
      <c r="E11898">
        <v>1149</v>
      </c>
    </row>
    <row r="11899" spans="1:5" x14ac:dyDescent="0.25">
      <c r="A11899" t="s">
        <v>5146</v>
      </c>
      <c r="B11899" t="s">
        <v>4946</v>
      </c>
      <c r="C11899">
        <v>560.12</v>
      </c>
      <c r="D11899" t="s">
        <v>3428</v>
      </c>
      <c r="E11899">
        <v>1071</v>
      </c>
    </row>
    <row r="11900" spans="1:5" x14ac:dyDescent="0.25">
      <c r="A11900" t="s">
        <v>4947</v>
      </c>
      <c r="B11900" t="s">
        <v>4946</v>
      </c>
      <c r="C11900">
        <v>1052.3</v>
      </c>
      <c r="D11900" t="s">
        <v>3428</v>
      </c>
      <c r="E11900">
        <v>1122</v>
      </c>
    </row>
    <row r="11901" spans="1:5" x14ac:dyDescent="0.25">
      <c r="A11901" t="s">
        <v>4948</v>
      </c>
      <c r="B11901" t="s">
        <v>4946</v>
      </c>
      <c r="C11901">
        <v>1780.63</v>
      </c>
      <c r="D11901" t="s">
        <v>3428</v>
      </c>
      <c r="E11901">
        <v>1070</v>
      </c>
    </row>
    <row r="11903" spans="1:5" x14ac:dyDescent="0.25">
      <c r="A11903" t="s">
        <v>11103</v>
      </c>
    </row>
    <row r="11904" spans="1:5" x14ac:dyDescent="0.25">
      <c r="A11904" t="s">
        <v>11104</v>
      </c>
    </row>
    <row r="11905" spans="1:5" x14ac:dyDescent="0.25">
      <c r="A11905" t="s">
        <v>11105</v>
      </c>
    </row>
    <row r="11906" spans="1:5" x14ac:dyDescent="0.25">
      <c r="A11906" t="s">
        <v>11106</v>
      </c>
      <c r="B11906" t="s">
        <v>4946</v>
      </c>
      <c r="C11906">
        <v>56.85</v>
      </c>
      <c r="D11906" t="s">
        <v>3428</v>
      </c>
      <c r="E11906">
        <v>852</v>
      </c>
    </row>
    <row r="11908" spans="1:5" x14ac:dyDescent="0.25">
      <c r="A11908" t="s">
        <v>11107</v>
      </c>
    </row>
    <row r="11909" spans="1:5" x14ac:dyDescent="0.25">
      <c r="A11909" t="s">
        <v>11108</v>
      </c>
    </row>
    <row r="11910" spans="1:5" x14ac:dyDescent="0.25">
      <c r="A11910" t="s">
        <v>11109</v>
      </c>
    </row>
    <row r="11911" spans="1:5" x14ac:dyDescent="0.25">
      <c r="A11911" t="s">
        <v>11110</v>
      </c>
      <c r="B11911" t="s">
        <v>4946</v>
      </c>
      <c r="C11911">
        <v>6776.71</v>
      </c>
      <c r="D11911" t="s">
        <v>3428</v>
      </c>
      <c r="E11911">
        <v>828</v>
      </c>
    </row>
    <row r="11912" spans="1:5" x14ac:dyDescent="0.25">
      <c r="A11912" t="s">
        <v>4948</v>
      </c>
      <c r="B11912" t="s">
        <v>4946</v>
      </c>
      <c r="C11912">
        <v>1923.66</v>
      </c>
      <c r="D11912" t="s">
        <v>3428</v>
      </c>
      <c r="E11912">
        <v>909</v>
      </c>
    </row>
    <row r="11913" spans="1:5" x14ac:dyDescent="0.25">
      <c r="A11913" t="s">
        <v>11107</v>
      </c>
    </row>
    <row r="11914" spans="1:5" x14ac:dyDescent="0.25">
      <c r="A11914" t="s">
        <v>11111</v>
      </c>
    </row>
    <row r="11915" spans="1:5" x14ac:dyDescent="0.25">
      <c r="A11915" t="s">
        <v>11112</v>
      </c>
    </row>
    <row r="11916" spans="1:5" x14ac:dyDescent="0.25">
      <c r="A11916" t="s">
        <v>11113</v>
      </c>
    </row>
    <row r="11917" spans="1:5" x14ac:dyDescent="0.25">
      <c r="A11917" t="s">
        <v>11114</v>
      </c>
    </row>
    <row r="11918" spans="1:5" x14ac:dyDescent="0.25">
      <c r="A11918" t="s">
        <v>11115</v>
      </c>
    </row>
    <row r="11920" spans="1:5" x14ac:dyDescent="0.25">
      <c r="A11920" t="s">
        <v>11113</v>
      </c>
    </row>
    <row r="11921" spans="1:1" x14ac:dyDescent="0.25">
      <c r="A11921" t="s">
        <v>11116</v>
      </c>
    </row>
    <row r="11922" spans="1:1" x14ac:dyDescent="0.25">
      <c r="A11922" t="s">
        <v>11117</v>
      </c>
    </row>
    <row r="11923" spans="1:1" x14ac:dyDescent="0.25">
      <c r="A11923" t="s">
        <v>11118</v>
      </c>
    </row>
    <row r="11924" spans="1:1" x14ac:dyDescent="0.25">
      <c r="A11924" t="s">
        <v>11119</v>
      </c>
    </row>
    <row r="11925" spans="1:1" x14ac:dyDescent="0.25">
      <c r="A11925" t="s">
        <v>11120</v>
      </c>
    </row>
    <row r="11926" spans="1:1" x14ac:dyDescent="0.25">
      <c r="A11926" t="s">
        <v>11121</v>
      </c>
    </row>
    <row r="11927" spans="1:1" x14ac:dyDescent="0.25">
      <c r="A11927" t="s">
        <v>11122</v>
      </c>
    </row>
    <row r="11928" spans="1:1" x14ac:dyDescent="0.25">
      <c r="A11928" t="s">
        <v>11123</v>
      </c>
    </row>
    <row r="11929" spans="1:1" x14ac:dyDescent="0.25">
      <c r="A11929" t="s">
        <v>11121</v>
      </c>
    </row>
    <row r="11930" spans="1:1" x14ac:dyDescent="0.25">
      <c r="A11930" t="s">
        <v>11124</v>
      </c>
    </row>
    <row r="11931" spans="1:1" x14ac:dyDescent="0.25">
      <c r="A11931" t="s">
        <v>11125</v>
      </c>
    </row>
    <row r="11932" spans="1:1" x14ac:dyDescent="0.25">
      <c r="A11932" t="s">
        <v>11126</v>
      </c>
    </row>
    <row r="11933" spans="1:1" x14ac:dyDescent="0.25">
      <c r="A11933" t="s">
        <v>11127</v>
      </c>
    </row>
    <row r="11934" spans="1:1" x14ac:dyDescent="0.25">
      <c r="A11934" t="s">
        <v>11128</v>
      </c>
    </row>
    <row r="11935" spans="1:1" x14ac:dyDescent="0.25">
      <c r="A11935" t="s">
        <v>2026</v>
      </c>
    </row>
    <row r="11936" spans="1:1" x14ac:dyDescent="0.25">
      <c r="A11936" t="s">
        <v>11129</v>
      </c>
    </row>
    <row r="11937" spans="1:5" x14ac:dyDescent="0.25">
      <c r="A11937" t="s">
        <v>11130</v>
      </c>
      <c r="B11937" t="s">
        <v>5148</v>
      </c>
      <c r="C11937">
        <v>180.73</v>
      </c>
      <c r="D11937" t="s">
        <v>3428</v>
      </c>
      <c r="E11937">
        <v>1430</v>
      </c>
    </row>
    <row r="11938" spans="1:5" x14ac:dyDescent="0.25">
      <c r="A11938" t="s">
        <v>11131</v>
      </c>
    </row>
    <row r="11939" spans="1:5" x14ac:dyDescent="0.25">
      <c r="A11939" t="s">
        <v>11132</v>
      </c>
    </row>
    <row r="11940" spans="1:5" x14ac:dyDescent="0.25">
      <c r="A11940" t="s">
        <v>11133</v>
      </c>
    </row>
    <row r="11941" spans="1:5" x14ac:dyDescent="0.25">
      <c r="A11941" t="s">
        <v>11134</v>
      </c>
    </row>
    <row r="11942" spans="1:5" x14ac:dyDescent="0.25">
      <c r="A11942" t="s">
        <v>11135</v>
      </c>
    </row>
    <row r="11943" spans="1:5" x14ac:dyDescent="0.25">
      <c r="A11943" t="s">
        <v>11136</v>
      </c>
    </row>
    <row r="11944" spans="1:5" x14ac:dyDescent="0.25">
      <c r="A11944">
        <v>924698615</v>
      </c>
    </row>
    <row r="11945" spans="1:5" x14ac:dyDescent="0.25">
      <c r="A11945" t="s">
        <v>11137</v>
      </c>
    </row>
    <row r="11946" spans="1:5" x14ac:dyDescent="0.25">
      <c r="A11946" t="s">
        <v>11138</v>
      </c>
    </row>
    <row r="11947" spans="1:5" x14ac:dyDescent="0.25">
      <c r="A11947" t="s">
        <v>11139</v>
      </c>
    </row>
    <row r="11948" spans="1:5" x14ac:dyDescent="0.25">
      <c r="A11948" t="s">
        <v>11140</v>
      </c>
    </row>
    <row r="11949" spans="1:5" x14ac:dyDescent="0.25">
      <c r="A11949" t="s">
        <v>11141</v>
      </c>
    </row>
    <row r="11950" spans="1:5" x14ac:dyDescent="0.25">
      <c r="A11950" t="s">
        <v>11142</v>
      </c>
    </row>
    <row r="11951" spans="1:5" x14ac:dyDescent="0.25">
      <c r="A11951" t="s">
        <v>11143</v>
      </c>
    </row>
    <row r="11952" spans="1:5" x14ac:dyDescent="0.25">
      <c r="A11952" t="s">
        <v>11144</v>
      </c>
    </row>
    <row r="11953" spans="1:1" x14ac:dyDescent="0.25">
      <c r="A11953" t="s">
        <v>11145</v>
      </c>
    </row>
    <row r="11954" spans="1:1" x14ac:dyDescent="0.25">
      <c r="A11954" t="s">
        <v>11146</v>
      </c>
    </row>
    <row r="11955" spans="1:1" x14ac:dyDescent="0.25">
      <c r="A11955" t="s">
        <v>11147</v>
      </c>
    </row>
    <row r="11956" spans="1:1" x14ac:dyDescent="0.25">
      <c r="A11956" t="s">
        <v>11148</v>
      </c>
    </row>
    <row r="11957" spans="1:1" x14ac:dyDescent="0.25">
      <c r="A11957" t="s">
        <v>11149</v>
      </c>
    </row>
    <row r="11958" spans="1:1" x14ac:dyDescent="0.25">
      <c r="A11958" t="s">
        <v>11150</v>
      </c>
    </row>
    <row r="11959" spans="1:1" x14ac:dyDescent="0.25">
      <c r="A11959" t="s">
        <v>11151</v>
      </c>
    </row>
    <row r="11961" spans="1:1" x14ac:dyDescent="0.25">
      <c r="A11961" t="s">
        <v>11152</v>
      </c>
    </row>
    <row r="11962" spans="1:1" x14ac:dyDescent="0.25">
      <c r="A11962" t="s">
        <v>11153</v>
      </c>
    </row>
    <row r="11963" spans="1:1" x14ac:dyDescent="0.25">
      <c r="A11963" t="s">
        <v>11154</v>
      </c>
    </row>
    <row r="11964" spans="1:1" x14ac:dyDescent="0.25">
      <c r="A11964" t="s">
        <v>11155</v>
      </c>
    </row>
    <row r="11965" spans="1:1" x14ac:dyDescent="0.25">
      <c r="A11965" t="s">
        <v>11156</v>
      </c>
    </row>
    <row r="11967" spans="1:1" x14ac:dyDescent="0.25">
      <c r="A11967" t="s">
        <v>5111</v>
      </c>
    </row>
    <row r="11968" spans="1:1" x14ac:dyDescent="0.25">
      <c r="A11968" t="s">
        <v>11157</v>
      </c>
    </row>
    <row r="11969" spans="1:1" x14ac:dyDescent="0.25">
      <c r="A11969" t="s">
        <v>11158</v>
      </c>
    </row>
    <row r="11970" spans="1:1" x14ac:dyDescent="0.25">
      <c r="A11970" t="s">
        <v>1463</v>
      </c>
    </row>
    <row r="11971" spans="1:1" x14ac:dyDescent="0.25">
      <c r="A11971" t="s">
        <v>11159</v>
      </c>
    </row>
    <row r="11972" spans="1:1" x14ac:dyDescent="0.25">
      <c r="A11972" t="s">
        <v>4538</v>
      </c>
    </row>
    <row r="11973" spans="1:1" x14ac:dyDescent="0.25">
      <c r="A11973" t="s">
        <v>11160</v>
      </c>
    </row>
    <row r="11974" spans="1:1" x14ac:dyDescent="0.25">
      <c r="A11974" t="s">
        <v>11161</v>
      </c>
    </row>
    <row r="11976" spans="1:1" x14ac:dyDescent="0.25">
      <c r="A11976" t="s">
        <v>11162</v>
      </c>
    </row>
    <row r="11977" spans="1:1" x14ac:dyDescent="0.25">
      <c r="A11977" t="s">
        <v>11163</v>
      </c>
    </row>
    <row r="11978" spans="1:1" x14ac:dyDescent="0.25">
      <c r="A11978" t="s">
        <v>11164</v>
      </c>
    </row>
    <row r="11979" spans="1:1" x14ac:dyDescent="0.25">
      <c r="A11979" t="s">
        <v>11165</v>
      </c>
    </row>
    <row r="11980" spans="1:1" x14ac:dyDescent="0.25">
      <c r="A11980" t="s">
        <v>11166</v>
      </c>
    </row>
    <row r="11981" spans="1:1" x14ac:dyDescent="0.25">
      <c r="A11981" t="s">
        <v>11167</v>
      </c>
    </row>
    <row r="11982" spans="1:1" x14ac:dyDescent="0.25">
      <c r="A11982" t="s">
        <v>11168</v>
      </c>
    </row>
    <row r="11983" spans="1:1" x14ac:dyDescent="0.25">
      <c r="A11983" t="s">
        <v>11169</v>
      </c>
    </row>
    <row r="11985" spans="1:1" x14ac:dyDescent="0.25">
      <c r="A11985" t="s">
        <v>11170</v>
      </c>
    </row>
    <row r="11986" spans="1:1" x14ac:dyDescent="0.25">
      <c r="A11986" t="s">
        <v>11171</v>
      </c>
    </row>
    <row r="11987" spans="1:1" x14ac:dyDescent="0.25">
      <c r="A11987" t="s">
        <v>11172</v>
      </c>
    </row>
    <row r="11988" spans="1:1" x14ac:dyDescent="0.25">
      <c r="A11988" t="s">
        <v>11173</v>
      </c>
    </row>
    <row r="11989" spans="1:1" x14ac:dyDescent="0.25">
      <c r="A11989" t="s">
        <v>11174</v>
      </c>
    </row>
    <row r="11990" spans="1:1" x14ac:dyDescent="0.25">
      <c r="A11990" t="s">
        <v>11175</v>
      </c>
    </row>
    <row r="11991" spans="1:1" x14ac:dyDescent="0.25">
      <c r="A11991" t="s">
        <v>11176</v>
      </c>
    </row>
    <row r="11992" spans="1:1" x14ac:dyDescent="0.25">
      <c r="A11992" t="s">
        <v>11177</v>
      </c>
    </row>
    <row r="11993" spans="1:1" x14ac:dyDescent="0.25">
      <c r="A11993" t="s">
        <v>11178</v>
      </c>
    </row>
    <row r="11994" spans="1:1" x14ac:dyDescent="0.25">
      <c r="A11994" t="s">
        <v>11179</v>
      </c>
    </row>
    <row r="11995" spans="1:1" x14ac:dyDescent="0.25">
      <c r="A11995" t="s">
        <v>11180</v>
      </c>
    </row>
    <row r="11996" spans="1:1" x14ac:dyDescent="0.25">
      <c r="A11996" t="s">
        <v>11181</v>
      </c>
    </row>
    <row r="11997" spans="1:1" x14ac:dyDescent="0.25">
      <c r="A11997" t="s">
        <v>11182</v>
      </c>
    </row>
    <row r="11998" spans="1:1" x14ac:dyDescent="0.25">
      <c r="A11998" t="s">
        <v>11183</v>
      </c>
    </row>
    <row r="11999" spans="1:1" x14ac:dyDescent="0.25">
      <c r="A11999" t="s">
        <v>11184</v>
      </c>
    </row>
    <row r="12000" spans="1:1" x14ac:dyDescent="0.25">
      <c r="A12000" t="s">
        <v>11185</v>
      </c>
    </row>
    <row r="12001" spans="1:1" x14ac:dyDescent="0.25">
      <c r="A12001" t="s">
        <v>11186</v>
      </c>
    </row>
    <row r="12002" spans="1:1" x14ac:dyDescent="0.25">
      <c r="A12002" t="s">
        <v>11187</v>
      </c>
    </row>
    <row r="12003" spans="1:1" x14ac:dyDescent="0.25">
      <c r="A12003" t="s">
        <v>11188</v>
      </c>
    </row>
    <row r="12004" spans="1:1" x14ac:dyDescent="0.25">
      <c r="A12004" t="s">
        <v>11189</v>
      </c>
    </row>
    <row r="12005" spans="1:1" x14ac:dyDescent="0.25">
      <c r="A12005" t="s">
        <v>11190</v>
      </c>
    </row>
    <row r="12006" spans="1:1" x14ac:dyDescent="0.25">
      <c r="A12006" t="s">
        <v>11191</v>
      </c>
    </row>
    <row r="12007" spans="1:1" x14ac:dyDescent="0.25">
      <c r="A12007" t="s">
        <v>11192</v>
      </c>
    </row>
    <row r="12008" spans="1:1" x14ac:dyDescent="0.25">
      <c r="A12008" t="s">
        <v>11193</v>
      </c>
    </row>
    <row r="12009" spans="1:1" x14ac:dyDescent="0.25">
      <c r="A12009" t="s">
        <v>11194</v>
      </c>
    </row>
    <row r="12010" spans="1:1" x14ac:dyDescent="0.25">
      <c r="A12010" t="s">
        <v>11195</v>
      </c>
    </row>
    <row r="12011" spans="1:1" x14ac:dyDescent="0.25">
      <c r="A12011" t="s">
        <v>11196</v>
      </c>
    </row>
    <row r="12012" spans="1:1" x14ac:dyDescent="0.25">
      <c r="A12012" t="s">
        <v>11197</v>
      </c>
    </row>
    <row r="12013" spans="1:1" x14ac:dyDescent="0.25">
      <c r="A12013" t="s">
        <v>11198</v>
      </c>
    </row>
    <row r="12014" spans="1:1" x14ac:dyDescent="0.25">
      <c r="A12014" t="s">
        <v>11199</v>
      </c>
    </row>
    <row r="12015" spans="1:1" x14ac:dyDescent="0.25">
      <c r="A12015" t="s">
        <v>11200</v>
      </c>
    </row>
    <row r="12016" spans="1:1" x14ac:dyDescent="0.25">
      <c r="A12016" t="s">
        <v>11201</v>
      </c>
    </row>
    <row r="12017" spans="1:1" x14ac:dyDescent="0.25">
      <c r="A12017" t="s">
        <v>11202</v>
      </c>
    </row>
    <row r="12018" spans="1:1" x14ac:dyDescent="0.25">
      <c r="A12018" t="s">
        <v>11203</v>
      </c>
    </row>
    <row r="12019" spans="1:1" x14ac:dyDescent="0.25">
      <c r="A12019" t="s">
        <v>11204</v>
      </c>
    </row>
    <row r="12020" spans="1:1" x14ac:dyDescent="0.25">
      <c r="A12020" t="s">
        <v>11205</v>
      </c>
    </row>
    <row r="12021" spans="1:1" x14ac:dyDescent="0.25">
      <c r="A12021" t="s">
        <v>11206</v>
      </c>
    </row>
    <row r="12022" spans="1:1" x14ac:dyDescent="0.25">
      <c r="A12022" t="s">
        <v>11207</v>
      </c>
    </row>
    <row r="12023" spans="1:1" x14ac:dyDescent="0.25">
      <c r="A12023" t="s">
        <v>11208</v>
      </c>
    </row>
    <row r="12024" spans="1:1" x14ac:dyDescent="0.25">
      <c r="A12024" t="s">
        <v>11209</v>
      </c>
    </row>
    <row r="12025" spans="1:1" x14ac:dyDescent="0.25">
      <c r="A12025" t="s">
        <v>11210</v>
      </c>
    </row>
    <row r="12026" spans="1:1" x14ac:dyDescent="0.25">
      <c r="A12026" t="s">
        <v>11211</v>
      </c>
    </row>
    <row r="12027" spans="1:1" x14ac:dyDescent="0.25">
      <c r="A12027" t="s">
        <v>11212</v>
      </c>
    </row>
    <row r="12028" spans="1:1" x14ac:dyDescent="0.25">
      <c r="A12028" t="s">
        <v>11213</v>
      </c>
    </row>
    <row r="12029" spans="1:1" x14ac:dyDescent="0.25">
      <c r="A12029" t="s">
        <v>11214</v>
      </c>
    </row>
    <row r="12030" spans="1:1" x14ac:dyDescent="0.25">
      <c r="A12030" t="s">
        <v>3501</v>
      </c>
    </row>
    <row r="12031" spans="1:1" x14ac:dyDescent="0.25">
      <c r="A12031" t="s">
        <v>11215</v>
      </c>
    </row>
    <row r="12032" spans="1:1" x14ac:dyDescent="0.25">
      <c r="A12032" t="s">
        <v>11216</v>
      </c>
    </row>
    <row r="12033" spans="1:1" x14ac:dyDescent="0.25">
      <c r="A12033" t="s">
        <v>11217</v>
      </c>
    </row>
    <row r="12034" spans="1:1" x14ac:dyDescent="0.25">
      <c r="A12034" t="s">
        <v>11218</v>
      </c>
    </row>
    <row r="12035" spans="1:1" x14ac:dyDescent="0.25">
      <c r="A12035" t="s">
        <v>11219</v>
      </c>
    </row>
    <row r="12036" spans="1:1" x14ac:dyDescent="0.25">
      <c r="A12036" t="s">
        <v>11220</v>
      </c>
    </row>
    <row r="12037" spans="1:1" x14ac:dyDescent="0.25">
      <c r="A12037" t="s">
        <v>11221</v>
      </c>
    </row>
    <row r="12038" spans="1:1" x14ac:dyDescent="0.25">
      <c r="A12038" t="s">
        <v>11222</v>
      </c>
    </row>
    <row r="12039" spans="1:1" x14ac:dyDescent="0.25">
      <c r="A12039" t="s">
        <v>11223</v>
      </c>
    </row>
    <row r="12040" spans="1:1" x14ac:dyDescent="0.25">
      <c r="A12040" t="s">
        <v>11224</v>
      </c>
    </row>
    <row r="12041" spans="1:1" x14ac:dyDescent="0.25">
      <c r="A12041" t="s">
        <v>11225</v>
      </c>
    </row>
    <row r="12042" spans="1:1" x14ac:dyDescent="0.25">
      <c r="A12042" t="s">
        <v>11226</v>
      </c>
    </row>
    <row r="12043" spans="1:1" x14ac:dyDescent="0.25">
      <c r="A12043" t="s">
        <v>11227</v>
      </c>
    </row>
    <row r="12044" spans="1:1" x14ac:dyDescent="0.25">
      <c r="A12044" t="s">
        <v>11228</v>
      </c>
    </row>
    <row r="12045" spans="1:1" x14ac:dyDescent="0.25">
      <c r="A12045" t="s">
        <v>11229</v>
      </c>
    </row>
    <row r="12046" spans="1:1" x14ac:dyDescent="0.25">
      <c r="A12046" t="s">
        <v>11230</v>
      </c>
    </row>
    <row r="12047" spans="1:1" x14ac:dyDescent="0.25">
      <c r="A12047" t="s">
        <v>11231</v>
      </c>
    </row>
    <row r="12048" spans="1:1" x14ac:dyDescent="0.25">
      <c r="A12048" t="s">
        <v>11232</v>
      </c>
    </row>
    <row r="12049" spans="1:2" x14ac:dyDescent="0.25">
      <c r="A12049" t="s">
        <v>11233</v>
      </c>
    </row>
    <row r="12050" spans="1:2" x14ac:dyDescent="0.25">
      <c r="A12050" t="s">
        <v>11234</v>
      </c>
    </row>
    <row r="12051" spans="1:2" x14ac:dyDescent="0.25">
      <c r="A12051" t="s">
        <v>11235</v>
      </c>
    </row>
    <row r="12052" spans="1:2" x14ac:dyDescent="0.25">
      <c r="A12052" t="s">
        <v>11236</v>
      </c>
    </row>
    <row r="12053" spans="1:2" x14ac:dyDescent="0.25">
      <c r="A12053" t="s">
        <v>11237</v>
      </c>
    </row>
    <row r="12054" spans="1:2" x14ac:dyDescent="0.25">
      <c r="A12054" t="s">
        <v>11238</v>
      </c>
    </row>
    <row r="12055" spans="1:2" x14ac:dyDescent="0.25">
      <c r="A12055" t="s">
        <v>1342</v>
      </c>
    </row>
    <row r="12056" spans="1:2" x14ac:dyDescent="0.25">
      <c r="A12056" t="s">
        <v>11239</v>
      </c>
    </row>
    <row r="12057" spans="1:2" x14ac:dyDescent="0.25">
      <c r="A12057" t="s">
        <v>11240</v>
      </c>
    </row>
    <row r="12058" spans="1:2" x14ac:dyDescent="0.25">
      <c r="A12058" t="s">
        <v>11241</v>
      </c>
    </row>
    <row r="12059" spans="1:2" x14ac:dyDescent="0.25">
      <c r="A12059" t="s">
        <v>11242</v>
      </c>
    </row>
    <row r="12060" spans="1:2" x14ac:dyDescent="0.25">
      <c r="B12060" t="s">
        <v>7494</v>
      </c>
    </row>
    <row r="12061" spans="1:2" x14ac:dyDescent="0.25">
      <c r="A12061" t="s">
        <v>11243</v>
      </c>
    </row>
    <row r="12062" spans="1:2" x14ac:dyDescent="0.25">
      <c r="B12062" t="s">
        <v>4373</v>
      </c>
    </row>
    <row r="12063" spans="1:2" x14ac:dyDescent="0.25">
      <c r="A12063" t="s">
        <v>11244</v>
      </c>
    </row>
    <row r="12064" spans="1:2" x14ac:dyDescent="0.25">
      <c r="A12064" t="s">
        <v>11245</v>
      </c>
    </row>
    <row r="12065" spans="1:1" x14ac:dyDescent="0.25">
      <c r="A12065" t="s">
        <v>11246</v>
      </c>
    </row>
    <row r="12066" spans="1:1" x14ac:dyDescent="0.25">
      <c r="A12066" t="s">
        <v>11247</v>
      </c>
    </row>
    <row r="12067" spans="1:1" x14ac:dyDescent="0.25">
      <c r="A12067" t="s">
        <v>11248</v>
      </c>
    </row>
    <row r="12068" spans="1:1" x14ac:dyDescent="0.25">
      <c r="A12068" t="s">
        <v>11249</v>
      </c>
    </row>
    <row r="12069" spans="1:1" x14ac:dyDescent="0.25">
      <c r="A12069" t="s">
        <v>11250</v>
      </c>
    </row>
    <row r="12070" spans="1:1" x14ac:dyDescent="0.25">
      <c r="A12070" t="s">
        <v>11251</v>
      </c>
    </row>
    <row r="12071" spans="1:1" x14ac:dyDescent="0.25">
      <c r="A12071" t="s">
        <v>11252</v>
      </c>
    </row>
    <row r="12072" spans="1:1" x14ac:dyDescent="0.25">
      <c r="A12072" t="s">
        <v>11253</v>
      </c>
    </row>
    <row r="12073" spans="1:1" x14ac:dyDescent="0.25">
      <c r="A12073" t="s">
        <v>11254</v>
      </c>
    </row>
    <row r="12074" spans="1:1" x14ac:dyDescent="0.25">
      <c r="A12074" t="s">
        <v>8556</v>
      </c>
    </row>
    <row r="12075" spans="1:1" x14ac:dyDescent="0.25">
      <c r="A12075" t="s">
        <v>11255</v>
      </c>
    </row>
    <row r="12076" spans="1:1" x14ac:dyDescent="0.25">
      <c r="A12076" t="s">
        <v>11256</v>
      </c>
    </row>
    <row r="12077" spans="1:1" x14ac:dyDescent="0.25">
      <c r="A12077" t="s">
        <v>11247</v>
      </c>
    </row>
    <row r="12078" spans="1:1" x14ac:dyDescent="0.25">
      <c r="A12078" t="s">
        <v>11257</v>
      </c>
    </row>
    <row r="12079" spans="1:1" x14ac:dyDescent="0.25">
      <c r="A12079" t="s">
        <v>11258</v>
      </c>
    </row>
    <row r="12080" spans="1:1" x14ac:dyDescent="0.25">
      <c r="A12080" t="s">
        <v>11259</v>
      </c>
    </row>
    <row r="12081" spans="1:1" x14ac:dyDescent="0.25">
      <c r="A12081" t="s">
        <v>11260</v>
      </c>
    </row>
    <row r="12082" spans="1:1" x14ac:dyDescent="0.25">
      <c r="A12082" t="s">
        <v>11261</v>
      </c>
    </row>
    <row r="12083" spans="1:1" x14ac:dyDescent="0.25">
      <c r="A12083" t="s">
        <v>11262</v>
      </c>
    </row>
    <row r="12084" spans="1:1" x14ac:dyDescent="0.25">
      <c r="A12084" t="s">
        <v>11263</v>
      </c>
    </row>
    <row r="12085" spans="1:1" x14ac:dyDescent="0.25">
      <c r="A12085" t="s">
        <v>6705</v>
      </c>
    </row>
    <row r="12086" spans="1:1" x14ac:dyDescent="0.25">
      <c r="A12086" t="s">
        <v>11264</v>
      </c>
    </row>
    <row r="12087" spans="1:1" x14ac:dyDescent="0.25">
      <c r="A12087" t="s">
        <v>11265</v>
      </c>
    </row>
    <row r="12088" spans="1:1" x14ac:dyDescent="0.25">
      <c r="A12088" t="s">
        <v>11266</v>
      </c>
    </row>
    <row r="12089" spans="1:1" x14ac:dyDescent="0.25">
      <c r="A12089" t="s">
        <v>11267</v>
      </c>
    </row>
    <row r="12090" spans="1:1" x14ac:dyDescent="0.25">
      <c r="A12090" t="s">
        <v>11268</v>
      </c>
    </row>
    <row r="12091" spans="1:1" x14ac:dyDescent="0.25">
      <c r="A12091" t="s">
        <v>11269</v>
      </c>
    </row>
    <row r="12092" spans="1:1" x14ac:dyDescent="0.25">
      <c r="A12092" t="s">
        <v>11270</v>
      </c>
    </row>
    <row r="12093" spans="1:1" x14ac:dyDescent="0.25">
      <c r="A12093" t="s">
        <v>11271</v>
      </c>
    </row>
    <row r="12094" spans="1:1" x14ac:dyDescent="0.25">
      <c r="A12094" t="s">
        <v>11272</v>
      </c>
    </row>
    <row r="12095" spans="1:1" x14ac:dyDescent="0.25">
      <c r="A12095" t="s">
        <v>11273</v>
      </c>
    </row>
    <row r="12096" spans="1:1" x14ac:dyDescent="0.25">
      <c r="A12096" t="s">
        <v>6356</v>
      </c>
    </row>
    <row r="12097" spans="1:1" x14ac:dyDescent="0.25">
      <c r="A12097" t="s">
        <v>11274</v>
      </c>
    </row>
    <row r="12098" spans="1:1" x14ac:dyDescent="0.25">
      <c r="A12098" t="s">
        <v>11275</v>
      </c>
    </row>
    <row r="12099" spans="1:1" x14ac:dyDescent="0.25">
      <c r="A12099" t="s">
        <v>6438</v>
      </c>
    </row>
    <row r="12100" spans="1:1" x14ac:dyDescent="0.25">
      <c r="A12100" t="s">
        <v>11276</v>
      </c>
    </row>
    <row r="12101" spans="1:1" x14ac:dyDescent="0.25">
      <c r="A12101" t="s">
        <v>11277</v>
      </c>
    </row>
    <row r="12102" spans="1:1" x14ac:dyDescent="0.25">
      <c r="A12102" t="s">
        <v>11278</v>
      </c>
    </row>
    <row r="12103" spans="1:1" x14ac:dyDescent="0.25">
      <c r="A12103" t="s">
        <v>11279</v>
      </c>
    </row>
    <row r="12104" spans="1:1" x14ac:dyDescent="0.25">
      <c r="A12104" t="s">
        <v>11280</v>
      </c>
    </row>
    <row r="12105" spans="1:1" x14ac:dyDescent="0.25">
      <c r="A12105" t="s">
        <v>11281</v>
      </c>
    </row>
    <row r="12106" spans="1:1" x14ac:dyDescent="0.25">
      <c r="A12106" t="s">
        <v>11282</v>
      </c>
    </row>
    <row r="12107" spans="1:1" x14ac:dyDescent="0.25">
      <c r="A12107" t="s">
        <v>11283</v>
      </c>
    </row>
    <row r="12108" spans="1:1" x14ac:dyDescent="0.25">
      <c r="A12108" t="s">
        <v>11284</v>
      </c>
    </row>
    <row r="12109" spans="1:1" x14ac:dyDescent="0.25">
      <c r="A12109" t="s">
        <v>11285</v>
      </c>
    </row>
    <row r="12110" spans="1:1" x14ac:dyDescent="0.25">
      <c r="A12110" t="s">
        <v>11286</v>
      </c>
    </row>
    <row r="12111" spans="1:1" x14ac:dyDescent="0.25">
      <c r="A12111" t="s">
        <v>11287</v>
      </c>
    </row>
    <row r="12112" spans="1:1" x14ac:dyDescent="0.25">
      <c r="A12112" t="s">
        <v>1563</v>
      </c>
    </row>
    <row r="12113" spans="1:1" x14ac:dyDescent="0.25">
      <c r="A12113" t="s">
        <v>11288</v>
      </c>
    </row>
    <row r="12114" spans="1:1" x14ac:dyDescent="0.25">
      <c r="A12114" t="s">
        <v>11289</v>
      </c>
    </row>
    <row r="12115" spans="1:1" x14ac:dyDescent="0.25">
      <c r="A12115" t="s">
        <v>11290</v>
      </c>
    </row>
    <row r="12116" spans="1:1" x14ac:dyDescent="0.25">
      <c r="A12116" t="s">
        <v>5028</v>
      </c>
    </row>
    <row r="12117" spans="1:1" x14ac:dyDescent="0.25">
      <c r="A12117" t="s">
        <v>11291</v>
      </c>
    </row>
    <row r="12118" spans="1:1" x14ac:dyDescent="0.25">
      <c r="A12118" t="s">
        <v>11292</v>
      </c>
    </row>
    <row r="12119" spans="1:1" x14ac:dyDescent="0.25">
      <c r="A12119" t="s">
        <v>11293</v>
      </c>
    </row>
    <row r="12120" spans="1:1" x14ac:dyDescent="0.25">
      <c r="A12120" t="s">
        <v>11294</v>
      </c>
    </row>
    <row r="12121" spans="1:1" x14ac:dyDescent="0.25">
      <c r="A12121" t="s">
        <v>7012</v>
      </c>
    </row>
    <row r="12122" spans="1:1" x14ac:dyDescent="0.25">
      <c r="A12122" t="s">
        <v>11295</v>
      </c>
    </row>
    <row r="12123" spans="1:1" x14ac:dyDescent="0.25">
      <c r="A12123" t="s">
        <v>11296</v>
      </c>
    </row>
    <row r="12124" spans="1:1" x14ac:dyDescent="0.25">
      <c r="A12124" t="s">
        <v>11297</v>
      </c>
    </row>
    <row r="12125" spans="1:1" x14ac:dyDescent="0.25">
      <c r="A12125" t="s">
        <v>11298</v>
      </c>
    </row>
    <row r="12126" spans="1:1" x14ac:dyDescent="0.25">
      <c r="A12126" t="s">
        <v>11299</v>
      </c>
    </row>
    <row r="12127" spans="1:1" x14ac:dyDescent="0.25">
      <c r="A12127" t="s">
        <v>11300</v>
      </c>
    </row>
    <row r="12128" spans="1:1" x14ac:dyDescent="0.25">
      <c r="A12128" t="s">
        <v>11301</v>
      </c>
    </row>
    <row r="12129" spans="1:1" x14ac:dyDescent="0.25">
      <c r="A12129" t="s">
        <v>11302</v>
      </c>
    </row>
    <row r="12130" spans="1:1" x14ac:dyDescent="0.25">
      <c r="A12130" t="s">
        <v>10119</v>
      </c>
    </row>
    <row r="12131" spans="1:1" x14ac:dyDescent="0.25">
      <c r="A12131" t="s">
        <v>11303</v>
      </c>
    </row>
    <row r="12132" spans="1:1" x14ac:dyDescent="0.25">
      <c r="A12132" t="s">
        <v>10121</v>
      </c>
    </row>
    <row r="12133" spans="1:1" x14ac:dyDescent="0.25">
      <c r="A12133" t="s">
        <v>11304</v>
      </c>
    </row>
    <row r="12134" spans="1:1" x14ac:dyDescent="0.25">
      <c r="A12134" t="s">
        <v>11305</v>
      </c>
    </row>
    <row r="12135" spans="1:1" x14ac:dyDescent="0.25">
      <c r="A12135" t="s">
        <v>11306</v>
      </c>
    </row>
    <row r="12136" spans="1:1" x14ac:dyDescent="0.25">
      <c r="A12136" t="s">
        <v>11307</v>
      </c>
    </row>
    <row r="12137" spans="1:1" x14ac:dyDescent="0.25">
      <c r="A12137" t="s">
        <v>5021</v>
      </c>
    </row>
    <row r="12138" spans="1:1" x14ac:dyDescent="0.25">
      <c r="A12138" t="s">
        <v>11308</v>
      </c>
    </row>
    <row r="12139" spans="1:1" x14ac:dyDescent="0.25">
      <c r="A12139" t="s">
        <v>11309</v>
      </c>
    </row>
    <row r="12140" spans="1:1" x14ac:dyDescent="0.25">
      <c r="A12140" t="s">
        <v>11310</v>
      </c>
    </row>
    <row r="12141" spans="1:1" x14ac:dyDescent="0.25">
      <c r="A12141" t="s">
        <v>11311</v>
      </c>
    </row>
    <row r="12142" spans="1:1" x14ac:dyDescent="0.25">
      <c r="A12142" t="s">
        <v>11312</v>
      </c>
    </row>
    <row r="12143" spans="1:1" x14ac:dyDescent="0.25">
      <c r="A12143" t="s">
        <v>11313</v>
      </c>
    </row>
    <row r="12144" spans="1:1" x14ac:dyDescent="0.25">
      <c r="A12144" t="s">
        <v>11314</v>
      </c>
    </row>
    <row r="12145" spans="1:1" x14ac:dyDescent="0.25">
      <c r="A12145" t="s">
        <v>11315</v>
      </c>
    </row>
    <row r="12146" spans="1:1" x14ac:dyDescent="0.25">
      <c r="A12146" t="s">
        <v>11316</v>
      </c>
    </row>
    <row r="12147" spans="1:1" x14ac:dyDescent="0.25">
      <c r="A12147" t="s">
        <v>11317</v>
      </c>
    </row>
    <row r="12149" spans="1:1" x14ac:dyDescent="0.25">
      <c r="A12149" t="s">
        <v>11318</v>
      </c>
    </row>
    <row r="12150" spans="1:1" x14ac:dyDescent="0.25">
      <c r="A12150" t="s">
        <v>11319</v>
      </c>
    </row>
    <row r="12151" spans="1:1" x14ac:dyDescent="0.25">
      <c r="A12151" t="s">
        <v>11320</v>
      </c>
    </row>
    <row r="12152" spans="1:1" x14ac:dyDescent="0.25">
      <c r="A12152" t="s">
        <v>11321</v>
      </c>
    </row>
    <row r="12153" spans="1:1" x14ac:dyDescent="0.25">
      <c r="A12153" t="s">
        <v>11322</v>
      </c>
    </row>
    <row r="12154" spans="1:1" x14ac:dyDescent="0.25">
      <c r="A12154" t="s">
        <v>11323</v>
      </c>
    </row>
    <row r="12155" spans="1:1" x14ac:dyDescent="0.25">
      <c r="A12155" t="s">
        <v>11324</v>
      </c>
    </row>
    <row r="12156" spans="1:1" x14ac:dyDescent="0.25">
      <c r="A12156" t="s">
        <v>11325</v>
      </c>
    </row>
    <row r="12157" spans="1:1" x14ac:dyDescent="0.25">
      <c r="A12157" t="s">
        <v>11326</v>
      </c>
    </row>
    <row r="12158" spans="1:1" x14ac:dyDescent="0.25">
      <c r="A12158" t="s">
        <v>11327</v>
      </c>
    </row>
    <row r="12159" spans="1:1" x14ac:dyDescent="0.25">
      <c r="A12159" t="s">
        <v>11328</v>
      </c>
    </row>
    <row r="12160" spans="1:1" x14ac:dyDescent="0.25">
      <c r="A12160" t="s">
        <v>11329</v>
      </c>
    </row>
    <row r="12161" spans="1:1" x14ac:dyDescent="0.25">
      <c r="A12161" t="s">
        <v>11330</v>
      </c>
    </row>
    <row r="12162" spans="1:1" x14ac:dyDescent="0.25">
      <c r="A12162" t="s">
        <v>11331</v>
      </c>
    </row>
    <row r="12163" spans="1:1" x14ac:dyDescent="0.25">
      <c r="A12163" t="s">
        <v>11332</v>
      </c>
    </row>
    <row r="12164" spans="1:1" x14ac:dyDescent="0.25">
      <c r="A12164" t="s">
        <v>11333</v>
      </c>
    </row>
    <row r="12165" spans="1:1" x14ac:dyDescent="0.25">
      <c r="A12165" t="s">
        <v>11334</v>
      </c>
    </row>
    <row r="12166" spans="1:1" x14ac:dyDescent="0.25">
      <c r="A12166" t="s">
        <v>11335</v>
      </c>
    </row>
    <row r="12167" spans="1:1" x14ac:dyDescent="0.25">
      <c r="A12167" t="s">
        <v>11336</v>
      </c>
    </row>
    <row r="12168" spans="1:1" x14ac:dyDescent="0.25">
      <c r="A12168" t="s">
        <v>11337</v>
      </c>
    </row>
    <row r="12169" spans="1:1" x14ac:dyDescent="0.25">
      <c r="A12169" t="s">
        <v>11338</v>
      </c>
    </row>
    <row r="12170" spans="1:1" x14ac:dyDescent="0.25">
      <c r="A12170" t="s">
        <v>11339</v>
      </c>
    </row>
    <row r="12171" spans="1:1" x14ac:dyDescent="0.25">
      <c r="A12171" t="s">
        <v>11340</v>
      </c>
    </row>
    <row r="12172" spans="1:1" x14ac:dyDescent="0.25">
      <c r="A12172" t="s">
        <v>11341</v>
      </c>
    </row>
    <row r="12173" spans="1:1" x14ac:dyDescent="0.25">
      <c r="A12173" t="s">
        <v>11342</v>
      </c>
    </row>
    <row r="12174" spans="1:1" x14ac:dyDescent="0.25">
      <c r="A12174" t="s">
        <v>11343</v>
      </c>
    </row>
    <row r="12175" spans="1:1" x14ac:dyDescent="0.25">
      <c r="A12175" t="s">
        <v>11344</v>
      </c>
    </row>
    <row r="12176" spans="1:1" x14ac:dyDescent="0.25">
      <c r="A12176" t="s">
        <v>11345</v>
      </c>
    </row>
    <row r="12177" spans="1:1" x14ac:dyDescent="0.25">
      <c r="A12177" t="s">
        <v>7520</v>
      </c>
    </row>
    <row r="12178" spans="1:1" x14ac:dyDescent="0.25">
      <c r="A12178" t="s">
        <v>11346</v>
      </c>
    </row>
    <row r="12179" spans="1:1" x14ac:dyDescent="0.25">
      <c r="A12179" t="s">
        <v>11347</v>
      </c>
    </row>
    <row r="12180" spans="1:1" x14ac:dyDescent="0.25">
      <c r="A12180" t="s">
        <v>11348</v>
      </c>
    </row>
    <row r="12181" spans="1:1" x14ac:dyDescent="0.25">
      <c r="A12181" t="s">
        <v>11349</v>
      </c>
    </row>
    <row r="12182" spans="1:1" x14ac:dyDescent="0.25">
      <c r="A12182" t="s">
        <v>11343</v>
      </c>
    </row>
    <row r="12183" spans="1:1" x14ac:dyDescent="0.25">
      <c r="A12183" t="s">
        <v>11344</v>
      </c>
    </row>
    <row r="12184" spans="1:1" x14ac:dyDescent="0.25">
      <c r="A12184" t="s">
        <v>11345</v>
      </c>
    </row>
    <row r="12185" spans="1:1" x14ac:dyDescent="0.25">
      <c r="A12185" t="s">
        <v>7520</v>
      </c>
    </row>
    <row r="12186" spans="1:1" x14ac:dyDescent="0.25">
      <c r="A12186" t="s">
        <v>11350</v>
      </c>
    </row>
    <row r="12187" spans="1:1" x14ac:dyDescent="0.25">
      <c r="A12187" t="s">
        <v>11347</v>
      </c>
    </row>
    <row r="12188" spans="1:1" x14ac:dyDescent="0.25">
      <c r="A12188" t="s">
        <v>11348</v>
      </c>
    </row>
    <row r="12189" spans="1:1" x14ac:dyDescent="0.25">
      <c r="A12189" t="s">
        <v>11349</v>
      </c>
    </row>
    <row r="12190" spans="1:1" x14ac:dyDescent="0.25">
      <c r="A12190" t="s">
        <v>11351</v>
      </c>
    </row>
    <row r="12191" spans="1:1" x14ac:dyDescent="0.25">
      <c r="A12191" t="s">
        <v>11352</v>
      </c>
    </row>
    <row r="12192" spans="1:1" x14ac:dyDescent="0.25">
      <c r="A12192" t="s">
        <v>11353</v>
      </c>
    </row>
    <row r="12193" spans="1:1" x14ac:dyDescent="0.25">
      <c r="A12193" t="s">
        <v>11354</v>
      </c>
    </row>
    <row r="12194" spans="1:1" x14ac:dyDescent="0.25">
      <c r="A12194" t="s">
        <v>4168</v>
      </c>
    </row>
    <row r="12195" spans="1:1" x14ac:dyDescent="0.25">
      <c r="A12195" t="s">
        <v>11355</v>
      </c>
    </row>
    <row r="12197" spans="1:1" x14ac:dyDescent="0.25">
      <c r="A12197" t="s">
        <v>11356</v>
      </c>
    </row>
    <row r="12198" spans="1:1" x14ac:dyDescent="0.25">
      <c r="A12198" t="s">
        <v>11357</v>
      </c>
    </row>
    <row r="12199" spans="1:1" x14ac:dyDescent="0.25">
      <c r="A12199" t="s">
        <v>11358</v>
      </c>
    </row>
    <row r="12200" spans="1:1" x14ac:dyDescent="0.25">
      <c r="A12200" t="s">
        <v>11359</v>
      </c>
    </row>
    <row r="12201" spans="1:1" x14ac:dyDescent="0.25">
      <c r="A12201" t="s">
        <v>11360</v>
      </c>
    </row>
    <row r="12202" spans="1:1" x14ac:dyDescent="0.25">
      <c r="A12202" t="s">
        <v>11361</v>
      </c>
    </row>
    <row r="12204" spans="1:1" x14ac:dyDescent="0.25">
      <c r="A12204" t="s">
        <v>11362</v>
      </c>
    </row>
    <row r="12205" spans="1:1" x14ac:dyDescent="0.25">
      <c r="A12205" t="s">
        <v>11363</v>
      </c>
    </row>
    <row r="12206" spans="1:1" x14ac:dyDescent="0.25">
      <c r="A12206" t="s">
        <v>11364</v>
      </c>
    </row>
    <row r="12207" spans="1:1" x14ac:dyDescent="0.25">
      <c r="A12207" t="s">
        <v>11365</v>
      </c>
    </row>
    <row r="12208" spans="1:1" x14ac:dyDescent="0.25">
      <c r="A12208" t="s">
        <v>11366</v>
      </c>
    </row>
    <row r="12209" spans="1:1" x14ac:dyDescent="0.25">
      <c r="A12209" t="s">
        <v>11367</v>
      </c>
    </row>
    <row r="12210" spans="1:1" x14ac:dyDescent="0.25">
      <c r="A12210" t="s">
        <v>11368</v>
      </c>
    </row>
    <row r="12211" spans="1:1" x14ac:dyDescent="0.25">
      <c r="A12211" t="s">
        <v>11369</v>
      </c>
    </row>
    <row r="12212" spans="1:1" x14ac:dyDescent="0.25">
      <c r="A12212" t="s">
        <v>11370</v>
      </c>
    </row>
    <row r="12213" spans="1:1" x14ac:dyDescent="0.25">
      <c r="A12213" t="s">
        <v>11371</v>
      </c>
    </row>
    <row r="12214" spans="1:1" x14ac:dyDescent="0.25">
      <c r="A12214" t="s">
        <v>11372</v>
      </c>
    </row>
    <row r="12215" spans="1:1" x14ac:dyDescent="0.25">
      <c r="A12215" t="s">
        <v>11373</v>
      </c>
    </row>
    <row r="12216" spans="1:1" x14ac:dyDescent="0.25">
      <c r="A12216" t="s">
        <v>11374</v>
      </c>
    </row>
    <row r="12217" spans="1:1" x14ac:dyDescent="0.25">
      <c r="A12217" t="s">
        <v>11375</v>
      </c>
    </row>
    <row r="12218" spans="1:1" x14ac:dyDescent="0.25">
      <c r="A12218" t="s">
        <v>11376</v>
      </c>
    </row>
    <row r="12219" spans="1:1" x14ac:dyDescent="0.25">
      <c r="A12219" t="s">
        <v>11377</v>
      </c>
    </row>
    <row r="12220" spans="1:1" x14ac:dyDescent="0.25">
      <c r="A12220" t="s">
        <v>11378</v>
      </c>
    </row>
    <row r="12221" spans="1:1" x14ac:dyDescent="0.25">
      <c r="A12221" t="s">
        <v>11379</v>
      </c>
    </row>
    <row r="12222" spans="1:1" x14ac:dyDescent="0.25">
      <c r="A12222" t="s">
        <v>11380</v>
      </c>
    </row>
    <row r="12223" spans="1:1" x14ac:dyDescent="0.25">
      <c r="A12223" t="s">
        <v>11381</v>
      </c>
    </row>
    <row r="12224" spans="1:1" x14ac:dyDescent="0.25">
      <c r="A12224" t="s">
        <v>3731</v>
      </c>
    </row>
    <row r="12225" spans="1:1" x14ac:dyDescent="0.25">
      <c r="A12225" t="s">
        <v>11382</v>
      </c>
    </row>
    <row r="12226" spans="1:1" x14ac:dyDescent="0.25">
      <c r="A12226" t="s">
        <v>11383</v>
      </c>
    </row>
    <row r="12227" spans="1:1" x14ac:dyDescent="0.25">
      <c r="A12227" t="s">
        <v>11384</v>
      </c>
    </row>
    <row r="12228" spans="1:1" x14ac:dyDescent="0.25">
      <c r="A12228" t="s">
        <v>11385</v>
      </c>
    </row>
    <row r="12229" spans="1:1" x14ac:dyDescent="0.25">
      <c r="A12229" t="s">
        <v>11386</v>
      </c>
    </row>
    <row r="12230" spans="1:1" x14ac:dyDescent="0.25">
      <c r="A12230" t="s">
        <v>11387</v>
      </c>
    </row>
    <row r="12231" spans="1:1" x14ac:dyDescent="0.25">
      <c r="A12231" t="s">
        <v>11388</v>
      </c>
    </row>
    <row r="12232" spans="1:1" x14ac:dyDescent="0.25">
      <c r="A12232" t="s">
        <v>11389</v>
      </c>
    </row>
    <row r="12233" spans="1:1" x14ac:dyDescent="0.25">
      <c r="A12233" t="s">
        <v>11390</v>
      </c>
    </row>
    <row r="12234" spans="1:1" x14ac:dyDescent="0.25">
      <c r="A12234" t="s">
        <v>11391</v>
      </c>
    </row>
    <row r="12235" spans="1:1" x14ac:dyDescent="0.25">
      <c r="A12235" t="s">
        <v>11392</v>
      </c>
    </row>
    <row r="12236" spans="1:1" x14ac:dyDescent="0.25">
      <c r="A12236" t="s">
        <v>5608</v>
      </c>
    </row>
    <row r="12237" spans="1:1" x14ac:dyDescent="0.25">
      <c r="A12237" t="s">
        <v>11393</v>
      </c>
    </row>
    <row r="12238" spans="1:1" x14ac:dyDescent="0.25">
      <c r="A12238" t="s">
        <v>5609</v>
      </c>
    </row>
    <row r="12239" spans="1:1" x14ac:dyDescent="0.25">
      <c r="A12239" t="s">
        <v>11394</v>
      </c>
    </row>
    <row r="12240" spans="1:1" x14ac:dyDescent="0.25">
      <c r="A12240" t="s">
        <v>11395</v>
      </c>
    </row>
    <row r="12241" spans="1:1" x14ac:dyDescent="0.25">
      <c r="A12241" t="s">
        <v>11396</v>
      </c>
    </row>
    <row r="12242" spans="1:1" x14ac:dyDescent="0.25">
      <c r="A12242" t="s">
        <v>11397</v>
      </c>
    </row>
    <row r="12243" spans="1:1" x14ac:dyDescent="0.25">
      <c r="A12243" t="s">
        <v>11398</v>
      </c>
    </row>
    <row r="12244" spans="1:1" x14ac:dyDescent="0.25">
      <c r="A12244" t="s">
        <v>11399</v>
      </c>
    </row>
    <row r="12245" spans="1:1" x14ac:dyDescent="0.25">
      <c r="A12245" t="s">
        <v>11400</v>
      </c>
    </row>
    <row r="12246" spans="1:1" x14ac:dyDescent="0.25">
      <c r="A12246" t="s">
        <v>11401</v>
      </c>
    </row>
    <row r="12247" spans="1:1" x14ac:dyDescent="0.25">
      <c r="A12247" t="s">
        <v>11402</v>
      </c>
    </row>
    <row r="12248" spans="1:1" x14ac:dyDescent="0.25">
      <c r="A12248" t="s">
        <v>11403</v>
      </c>
    </row>
    <row r="12249" spans="1:1" x14ac:dyDescent="0.25">
      <c r="A12249" t="s">
        <v>11404</v>
      </c>
    </row>
    <row r="12250" spans="1:1" x14ac:dyDescent="0.25">
      <c r="A12250" t="s">
        <v>11405</v>
      </c>
    </row>
    <row r="12251" spans="1:1" x14ac:dyDescent="0.25">
      <c r="A12251" t="s">
        <v>11406</v>
      </c>
    </row>
    <row r="12252" spans="1:1" x14ac:dyDescent="0.25">
      <c r="A12252" t="s">
        <v>11407</v>
      </c>
    </row>
    <row r="12253" spans="1:1" x14ac:dyDescent="0.25">
      <c r="A12253" t="s">
        <v>11408</v>
      </c>
    </row>
    <row r="12254" spans="1:1" x14ac:dyDescent="0.25">
      <c r="A12254" t="s">
        <v>11409</v>
      </c>
    </row>
    <row r="12255" spans="1:1" x14ac:dyDescent="0.25">
      <c r="A12255" t="s">
        <v>11410</v>
      </c>
    </row>
    <row r="12256" spans="1:1" x14ac:dyDescent="0.25">
      <c r="A12256" t="s">
        <v>11411</v>
      </c>
    </row>
    <row r="12257" spans="1:1" x14ac:dyDescent="0.25">
      <c r="A12257" t="s">
        <v>11412</v>
      </c>
    </row>
    <row r="12258" spans="1:1" x14ac:dyDescent="0.25">
      <c r="A12258" t="s">
        <v>11413</v>
      </c>
    </row>
    <row r="12260" spans="1:1" x14ac:dyDescent="0.25">
      <c r="A12260" t="s">
        <v>11414</v>
      </c>
    </row>
    <row r="12261" spans="1:1" x14ac:dyDescent="0.25">
      <c r="A12261" t="s">
        <v>8386</v>
      </c>
    </row>
    <row r="12262" spans="1:1" x14ac:dyDescent="0.25">
      <c r="A12262" t="s">
        <v>11415</v>
      </c>
    </row>
    <row r="12263" spans="1:1" x14ac:dyDescent="0.25">
      <c r="A12263" t="s">
        <v>11416</v>
      </c>
    </row>
    <row r="12264" spans="1:1" x14ac:dyDescent="0.25">
      <c r="A12264" t="s">
        <v>11417</v>
      </c>
    </row>
    <row r="12265" spans="1:1" x14ac:dyDescent="0.25">
      <c r="A12265" t="s">
        <v>11413</v>
      </c>
    </row>
    <row r="12267" spans="1:1" x14ac:dyDescent="0.25">
      <c r="A12267" t="s">
        <v>11414</v>
      </c>
    </row>
    <row r="12268" spans="1:1" x14ac:dyDescent="0.25">
      <c r="A12268" t="s">
        <v>8386</v>
      </c>
    </row>
    <row r="12269" spans="1:1" x14ac:dyDescent="0.25">
      <c r="A12269" t="s">
        <v>11415</v>
      </c>
    </row>
    <row r="12270" spans="1:1" x14ac:dyDescent="0.25">
      <c r="A12270" t="s">
        <v>11416</v>
      </c>
    </row>
    <row r="12271" spans="1:1" x14ac:dyDescent="0.25">
      <c r="A12271" t="s">
        <v>11417</v>
      </c>
    </row>
    <row r="12273" spans="1:1" x14ac:dyDescent="0.25">
      <c r="A12273" t="s">
        <v>11418</v>
      </c>
    </row>
    <row r="12274" spans="1:1" x14ac:dyDescent="0.25">
      <c r="A12274" t="s">
        <v>11419</v>
      </c>
    </row>
    <row r="12275" spans="1:1" x14ac:dyDescent="0.25">
      <c r="A12275" t="s">
        <v>3125</v>
      </c>
    </row>
    <row r="12276" spans="1:1" x14ac:dyDescent="0.25">
      <c r="A12276" t="s">
        <v>6104</v>
      </c>
    </row>
    <row r="12277" spans="1:1" x14ac:dyDescent="0.25">
      <c r="A12277" t="s">
        <v>11420</v>
      </c>
    </row>
    <row r="12278" spans="1:1" x14ac:dyDescent="0.25">
      <c r="A12278" t="s">
        <v>11421</v>
      </c>
    </row>
    <row r="12279" spans="1:1" x14ac:dyDescent="0.25">
      <c r="A12279" t="s">
        <v>11422</v>
      </c>
    </row>
    <row r="12280" spans="1:1" x14ac:dyDescent="0.25">
      <c r="A12280" t="s">
        <v>11423</v>
      </c>
    </row>
    <row r="12281" spans="1:1" x14ac:dyDescent="0.25">
      <c r="A12281" t="s">
        <v>11424</v>
      </c>
    </row>
    <row r="12282" spans="1:1" x14ac:dyDescent="0.25">
      <c r="A12282" t="s">
        <v>11425</v>
      </c>
    </row>
    <row r="12283" spans="1:1" x14ac:dyDescent="0.25">
      <c r="A12283" t="s">
        <v>11426</v>
      </c>
    </row>
    <row r="12284" spans="1:1" x14ac:dyDescent="0.25">
      <c r="A12284" t="s">
        <v>11376</v>
      </c>
    </row>
    <row r="12285" spans="1:1" x14ac:dyDescent="0.25">
      <c r="A12285" t="s">
        <v>11427</v>
      </c>
    </row>
    <row r="12286" spans="1:1" x14ac:dyDescent="0.25">
      <c r="A12286" t="s">
        <v>11428</v>
      </c>
    </row>
    <row r="12287" spans="1:1" x14ac:dyDescent="0.25">
      <c r="A12287" t="s">
        <v>11429</v>
      </c>
    </row>
    <row r="12288" spans="1:1" x14ac:dyDescent="0.25">
      <c r="A12288" t="s">
        <v>11379</v>
      </c>
    </row>
    <row r="12289" spans="1:1" x14ac:dyDescent="0.25">
      <c r="A12289" t="s">
        <v>11380</v>
      </c>
    </row>
    <row r="12290" spans="1:1" x14ac:dyDescent="0.25">
      <c r="A12290" t="s">
        <v>11381</v>
      </c>
    </row>
    <row r="12291" spans="1:1" x14ac:dyDescent="0.25">
      <c r="A12291" t="s">
        <v>3731</v>
      </c>
    </row>
    <row r="12292" spans="1:1" x14ac:dyDescent="0.25">
      <c r="A12292" t="s">
        <v>11382</v>
      </c>
    </row>
    <row r="12293" spans="1:1" x14ac:dyDescent="0.25">
      <c r="A12293" t="s">
        <v>11383</v>
      </c>
    </row>
    <row r="12294" spans="1:1" x14ac:dyDescent="0.25">
      <c r="A12294" t="s">
        <v>11384</v>
      </c>
    </row>
    <row r="12295" spans="1:1" x14ac:dyDescent="0.25">
      <c r="A12295" t="s">
        <v>11430</v>
      </c>
    </row>
    <row r="12296" spans="1:1" x14ac:dyDescent="0.25">
      <c r="A12296" t="s">
        <v>11431</v>
      </c>
    </row>
    <row r="12298" spans="1:1" x14ac:dyDescent="0.25">
      <c r="A12298" t="s">
        <v>11432</v>
      </c>
    </row>
    <row r="12299" spans="1:1" x14ac:dyDescent="0.25">
      <c r="A12299" t="s">
        <v>11433</v>
      </c>
    </row>
    <row r="12300" spans="1:1" x14ac:dyDescent="0.25">
      <c r="A12300" t="s">
        <v>2277</v>
      </c>
    </row>
    <row r="12301" spans="1:1" x14ac:dyDescent="0.25">
      <c r="A12301" t="s">
        <v>11434</v>
      </c>
    </row>
    <row r="12302" spans="1:1" x14ac:dyDescent="0.25">
      <c r="A12302" t="s">
        <v>11435</v>
      </c>
    </row>
    <row r="12303" spans="1:1" x14ac:dyDescent="0.25">
      <c r="A12303" t="s">
        <v>11436</v>
      </c>
    </row>
    <row r="12304" spans="1:1" x14ac:dyDescent="0.25">
      <c r="A12304" t="s">
        <v>11437</v>
      </c>
    </row>
    <row r="12305" spans="1:1" x14ac:dyDescent="0.25">
      <c r="A12305" t="s">
        <v>11438</v>
      </c>
    </row>
    <row r="12306" spans="1:1" x14ac:dyDescent="0.25">
      <c r="A12306" t="s">
        <v>11439</v>
      </c>
    </row>
    <row r="12307" spans="1:1" x14ac:dyDescent="0.25">
      <c r="A12307" t="s">
        <v>11440</v>
      </c>
    </row>
    <row r="12308" spans="1:1" x14ac:dyDescent="0.25">
      <c r="A12308" t="s">
        <v>11441</v>
      </c>
    </row>
    <row r="12309" spans="1:1" x14ac:dyDescent="0.25">
      <c r="A12309" t="s">
        <v>11442</v>
      </c>
    </row>
    <row r="12310" spans="1:1" x14ac:dyDescent="0.25">
      <c r="A12310" t="s">
        <v>11443</v>
      </c>
    </row>
    <row r="12311" spans="1:1" x14ac:dyDescent="0.25">
      <c r="A12311" t="s">
        <v>11444</v>
      </c>
    </row>
    <row r="12312" spans="1:1" x14ac:dyDescent="0.25">
      <c r="A12312" t="s">
        <v>11445</v>
      </c>
    </row>
    <row r="12313" spans="1:1" x14ac:dyDescent="0.25">
      <c r="A12313" t="s">
        <v>11446</v>
      </c>
    </row>
    <row r="12314" spans="1:1" x14ac:dyDescent="0.25">
      <c r="A12314" t="s">
        <v>11447</v>
      </c>
    </row>
    <row r="12315" spans="1:1" x14ac:dyDescent="0.25">
      <c r="A12315" t="s">
        <v>11448</v>
      </c>
    </row>
    <row r="12316" spans="1:1" x14ac:dyDescent="0.25">
      <c r="A12316" t="s">
        <v>11449</v>
      </c>
    </row>
    <row r="12317" spans="1:1" x14ac:dyDescent="0.25">
      <c r="A12317" t="s">
        <v>11450</v>
      </c>
    </row>
    <row r="12318" spans="1:1" x14ac:dyDescent="0.25">
      <c r="A12318" t="s">
        <v>11451</v>
      </c>
    </row>
    <row r="12319" spans="1:1" x14ac:dyDescent="0.25">
      <c r="A12319" t="s">
        <v>11452</v>
      </c>
    </row>
    <row r="12320" spans="1:1" x14ac:dyDescent="0.25">
      <c r="A12320" t="s">
        <v>11453</v>
      </c>
    </row>
    <row r="12321" spans="1:1" x14ac:dyDescent="0.25">
      <c r="A12321" t="s">
        <v>11454</v>
      </c>
    </row>
    <row r="12322" spans="1:1" x14ac:dyDescent="0.25">
      <c r="A12322" t="s">
        <v>11455</v>
      </c>
    </row>
    <row r="12323" spans="1:1" x14ac:dyDescent="0.25">
      <c r="A12323" t="s">
        <v>11456</v>
      </c>
    </row>
    <row r="12324" spans="1:1" x14ac:dyDescent="0.25">
      <c r="A12324" t="s">
        <v>11457</v>
      </c>
    </row>
    <row r="12325" spans="1:1" x14ac:dyDescent="0.25">
      <c r="A12325" t="s">
        <v>11458</v>
      </c>
    </row>
    <row r="12326" spans="1:1" x14ac:dyDescent="0.25">
      <c r="A12326" t="s">
        <v>11459</v>
      </c>
    </row>
    <row r="12327" spans="1:1" x14ac:dyDescent="0.25">
      <c r="A12327" t="s">
        <v>11460</v>
      </c>
    </row>
    <row r="12328" spans="1:1" x14ac:dyDescent="0.25">
      <c r="A12328" t="s">
        <v>11461</v>
      </c>
    </row>
    <row r="12329" spans="1:1" x14ac:dyDescent="0.25">
      <c r="A12329" t="s">
        <v>11462</v>
      </c>
    </row>
    <row r="12330" spans="1:1" x14ac:dyDescent="0.25">
      <c r="A12330" t="s">
        <v>11463</v>
      </c>
    </row>
    <row r="12331" spans="1:1" x14ac:dyDescent="0.25">
      <c r="A12331" t="s">
        <v>11464</v>
      </c>
    </row>
    <row r="12332" spans="1:1" x14ac:dyDescent="0.25">
      <c r="A12332" t="s">
        <v>11465</v>
      </c>
    </row>
    <row r="12333" spans="1:1" x14ac:dyDescent="0.25">
      <c r="A12333" t="s">
        <v>11466</v>
      </c>
    </row>
    <row r="12334" spans="1:1" x14ac:dyDescent="0.25">
      <c r="A12334" t="s">
        <v>11467</v>
      </c>
    </row>
    <row r="12335" spans="1:1" x14ac:dyDescent="0.25">
      <c r="A12335" t="s">
        <v>11468</v>
      </c>
    </row>
    <row r="12336" spans="1:1" x14ac:dyDescent="0.25">
      <c r="A12336" t="s">
        <v>11469</v>
      </c>
    </row>
    <row r="12337" spans="1:1" x14ac:dyDescent="0.25">
      <c r="A12337" t="s">
        <v>11470</v>
      </c>
    </row>
    <row r="12338" spans="1:1" x14ac:dyDescent="0.25">
      <c r="A12338" t="s">
        <v>11471</v>
      </c>
    </row>
    <row r="12339" spans="1:1" x14ac:dyDescent="0.25">
      <c r="A12339" t="s">
        <v>11472</v>
      </c>
    </row>
    <row r="12340" spans="1:1" x14ac:dyDescent="0.25">
      <c r="A12340" t="s">
        <v>11473</v>
      </c>
    </row>
    <row r="12341" spans="1:1" x14ac:dyDescent="0.25">
      <c r="A12341" t="s">
        <v>6104</v>
      </c>
    </row>
    <row r="12342" spans="1:1" x14ac:dyDescent="0.25">
      <c r="A12342" t="s">
        <v>11474</v>
      </c>
    </row>
    <row r="12343" spans="1:1" x14ac:dyDescent="0.25">
      <c r="A12343" t="s">
        <v>5270</v>
      </c>
    </row>
    <row r="12344" spans="1:1" x14ac:dyDescent="0.25">
      <c r="A12344" t="s">
        <v>11475</v>
      </c>
    </row>
    <row r="12345" spans="1:1" x14ac:dyDescent="0.25">
      <c r="A12345" t="s">
        <v>11476</v>
      </c>
    </row>
    <row r="12346" spans="1:1" x14ac:dyDescent="0.25">
      <c r="A12346" t="s">
        <v>11477</v>
      </c>
    </row>
    <row r="12347" spans="1:1" x14ac:dyDescent="0.25">
      <c r="A12347" t="s">
        <v>11478</v>
      </c>
    </row>
    <row r="12348" spans="1:1" x14ac:dyDescent="0.25">
      <c r="A12348" t="s">
        <v>11479</v>
      </c>
    </row>
    <row r="12349" spans="1:1" x14ac:dyDescent="0.25">
      <c r="A12349" t="s">
        <v>11480</v>
      </c>
    </row>
    <row r="12350" spans="1:1" x14ac:dyDescent="0.25">
      <c r="A12350" t="s">
        <v>11481</v>
      </c>
    </row>
    <row r="12351" spans="1:1" x14ac:dyDescent="0.25">
      <c r="A12351" t="s">
        <v>11482</v>
      </c>
    </row>
    <row r="12352" spans="1:1" x14ac:dyDescent="0.25">
      <c r="A12352" t="s">
        <v>11483</v>
      </c>
    </row>
    <row r="12353" spans="1:3" x14ac:dyDescent="0.25">
      <c r="A12353" t="s">
        <v>11484</v>
      </c>
    </row>
    <row r="12354" spans="1:3" x14ac:dyDescent="0.25">
      <c r="A12354" t="s">
        <v>11485</v>
      </c>
    </row>
    <row r="12355" spans="1:3" x14ac:dyDescent="0.25">
      <c r="A12355" t="s">
        <v>11486</v>
      </c>
    </row>
    <row r="12356" spans="1:3" x14ac:dyDescent="0.25">
      <c r="A12356" t="s">
        <v>4353</v>
      </c>
    </row>
    <row r="12357" spans="1:3" x14ac:dyDescent="0.25">
      <c r="A12357" t="s">
        <v>9634</v>
      </c>
    </row>
    <row r="12358" spans="1:3" x14ac:dyDescent="0.25">
      <c r="A12358" t="s">
        <v>11487</v>
      </c>
    </row>
    <row r="12359" spans="1:3" x14ac:dyDescent="0.25">
      <c r="A12359" t="s">
        <v>11488</v>
      </c>
      <c r="B12359">
        <v>4097.1400000000003</v>
      </c>
      <c r="C12359" s="55">
        <v>41864</v>
      </c>
    </row>
    <row r="12360" spans="1:3" x14ac:dyDescent="0.25">
      <c r="A12360" t="s">
        <v>10599</v>
      </c>
    </row>
    <row r="12361" spans="1:3" x14ac:dyDescent="0.25">
      <c r="A12361" t="s">
        <v>11489</v>
      </c>
    </row>
    <row r="12362" spans="1:3" x14ac:dyDescent="0.25">
      <c r="A12362" t="s">
        <v>11490</v>
      </c>
    </row>
    <row r="12363" spans="1:3" x14ac:dyDescent="0.25">
      <c r="A12363" t="s">
        <v>11491</v>
      </c>
    </row>
    <row r="12364" spans="1:3" x14ac:dyDescent="0.25">
      <c r="A12364" t="s">
        <v>11492</v>
      </c>
    </row>
    <row r="12365" spans="1:3" x14ac:dyDescent="0.25">
      <c r="A12365" t="s">
        <v>11493</v>
      </c>
    </row>
    <row r="12366" spans="1:3" x14ac:dyDescent="0.25">
      <c r="A12366" t="s">
        <v>11494</v>
      </c>
    </row>
    <row r="12367" spans="1:3" x14ac:dyDescent="0.25">
      <c r="A12367" t="s">
        <v>11495</v>
      </c>
    </row>
    <row r="12368" spans="1:3" x14ac:dyDescent="0.25">
      <c r="A12368" t="s">
        <v>11496</v>
      </c>
    </row>
    <row r="12369" spans="1:1" x14ac:dyDescent="0.25">
      <c r="A12369" t="s">
        <v>11497</v>
      </c>
    </row>
    <row r="12370" spans="1:1" x14ac:dyDescent="0.25">
      <c r="A12370" t="s">
        <v>11498</v>
      </c>
    </row>
    <row r="12371" spans="1:1" x14ac:dyDescent="0.25">
      <c r="A12371" t="s">
        <v>11499</v>
      </c>
    </row>
    <row r="12372" spans="1:1" x14ac:dyDescent="0.25">
      <c r="A12372" t="s">
        <v>11500</v>
      </c>
    </row>
    <row r="12374" spans="1:1" x14ac:dyDescent="0.25">
      <c r="A12374" t="s">
        <v>11501</v>
      </c>
    </row>
    <row r="12375" spans="1:1" x14ac:dyDescent="0.25">
      <c r="A12375" t="s">
        <v>11502</v>
      </c>
    </row>
    <row r="12376" spans="1:1" x14ac:dyDescent="0.25">
      <c r="A12376" t="s">
        <v>4128</v>
      </c>
    </row>
    <row r="12377" spans="1:1" x14ac:dyDescent="0.25">
      <c r="A12377" t="s">
        <v>11503</v>
      </c>
    </row>
    <row r="12378" spans="1:1" x14ac:dyDescent="0.25">
      <c r="A12378" t="s">
        <v>11504</v>
      </c>
    </row>
    <row r="12379" spans="1:1" x14ac:dyDescent="0.25">
      <c r="A12379" t="s">
        <v>11505</v>
      </c>
    </row>
    <row r="12380" spans="1:1" x14ac:dyDescent="0.25">
      <c r="A12380" t="s">
        <v>11506</v>
      </c>
    </row>
    <row r="12381" spans="1:1" x14ac:dyDescent="0.25">
      <c r="A12381" t="s">
        <v>11507</v>
      </c>
    </row>
    <row r="12382" spans="1:1" x14ac:dyDescent="0.25">
      <c r="A12382" t="s">
        <v>11508</v>
      </c>
    </row>
    <row r="12383" spans="1:1" x14ac:dyDescent="0.25">
      <c r="A12383" t="s">
        <v>11509</v>
      </c>
    </row>
    <row r="12384" spans="1:1" x14ac:dyDescent="0.25">
      <c r="A12384" t="s">
        <v>11510</v>
      </c>
    </row>
    <row r="12385" spans="1:1" x14ac:dyDescent="0.25">
      <c r="A12385" t="s">
        <v>11511</v>
      </c>
    </row>
    <row r="12386" spans="1:1" x14ac:dyDescent="0.25">
      <c r="A12386" t="s">
        <v>11274</v>
      </c>
    </row>
    <row r="12387" spans="1:1" x14ac:dyDescent="0.25">
      <c r="A12387" t="s">
        <v>11512</v>
      </c>
    </row>
    <row r="12388" spans="1:1" x14ac:dyDescent="0.25">
      <c r="A12388" t="s">
        <v>11513</v>
      </c>
    </row>
    <row r="12389" spans="1:1" x14ac:dyDescent="0.25">
      <c r="A12389" t="s">
        <v>11514</v>
      </c>
    </row>
    <row r="12390" spans="1:1" x14ac:dyDescent="0.25">
      <c r="A12390" t="s">
        <v>11515</v>
      </c>
    </row>
    <row r="12391" spans="1:1" x14ac:dyDescent="0.25">
      <c r="A12391" t="s">
        <v>11516</v>
      </c>
    </row>
    <row r="12392" spans="1:1" x14ac:dyDescent="0.25">
      <c r="A12392" t="s">
        <v>11517</v>
      </c>
    </row>
    <row r="12393" spans="1:1" x14ac:dyDescent="0.25">
      <c r="A12393" t="s">
        <v>11518</v>
      </c>
    </row>
    <row r="12394" spans="1:1" x14ac:dyDescent="0.25">
      <c r="A12394" t="s">
        <v>11519</v>
      </c>
    </row>
    <row r="12395" spans="1:1" x14ac:dyDescent="0.25">
      <c r="A12395" t="s">
        <v>11520</v>
      </c>
    </row>
    <row r="12396" spans="1:1" x14ac:dyDescent="0.25">
      <c r="A12396" t="s">
        <v>11521</v>
      </c>
    </row>
    <row r="12397" spans="1:1" x14ac:dyDescent="0.25">
      <c r="A12397" t="s">
        <v>11522</v>
      </c>
    </row>
    <row r="12398" spans="1:1" x14ac:dyDescent="0.25">
      <c r="A12398" t="s">
        <v>3555</v>
      </c>
    </row>
    <row r="12399" spans="1:1" x14ac:dyDescent="0.25">
      <c r="A12399" t="s">
        <v>11523</v>
      </c>
    </row>
    <row r="12400" spans="1:1" x14ac:dyDescent="0.25">
      <c r="A12400" t="s">
        <v>11524</v>
      </c>
    </row>
    <row r="12401" spans="1:1" x14ac:dyDescent="0.25">
      <c r="A12401" t="s">
        <v>11525</v>
      </c>
    </row>
    <row r="12402" spans="1:1" x14ac:dyDescent="0.25">
      <c r="A12402" t="s">
        <v>11526</v>
      </c>
    </row>
    <row r="12403" spans="1:1" x14ac:dyDescent="0.25">
      <c r="A12403" t="s">
        <v>11527</v>
      </c>
    </row>
    <row r="12404" spans="1:1" x14ac:dyDescent="0.25">
      <c r="A12404" t="s">
        <v>11528</v>
      </c>
    </row>
    <row r="12405" spans="1:1" x14ac:dyDescent="0.25">
      <c r="A12405" t="s">
        <v>11529</v>
      </c>
    </row>
    <row r="12406" spans="1:1" x14ac:dyDescent="0.25">
      <c r="A12406" t="s">
        <v>3555</v>
      </c>
    </row>
    <row r="12407" spans="1:1" x14ac:dyDescent="0.25">
      <c r="A12407" t="s">
        <v>11530</v>
      </c>
    </row>
    <row r="12408" spans="1:1" x14ac:dyDescent="0.25">
      <c r="A12408" t="s">
        <v>11531</v>
      </c>
    </row>
    <row r="12409" spans="1:1" x14ac:dyDescent="0.25">
      <c r="A12409" t="s">
        <v>11532</v>
      </c>
    </row>
    <row r="12410" spans="1:1" x14ac:dyDescent="0.25">
      <c r="A12410" t="s">
        <v>11533</v>
      </c>
    </row>
    <row r="12411" spans="1:1" x14ac:dyDescent="0.25">
      <c r="A12411" t="s">
        <v>11534</v>
      </c>
    </row>
    <row r="12413" spans="1:1" x14ac:dyDescent="0.25">
      <c r="A12413" t="s">
        <v>11535</v>
      </c>
    </row>
    <row r="12414" spans="1:1" x14ac:dyDescent="0.25">
      <c r="A12414" t="s">
        <v>11536</v>
      </c>
    </row>
    <row r="12415" spans="1:1" x14ac:dyDescent="0.25">
      <c r="A12415" t="s">
        <v>11537</v>
      </c>
    </row>
    <row r="12416" spans="1:1" x14ac:dyDescent="0.25">
      <c r="A12416" t="s">
        <v>11538</v>
      </c>
    </row>
    <row r="12417" spans="1:1" x14ac:dyDescent="0.25">
      <c r="A12417" t="s">
        <v>11539</v>
      </c>
    </row>
    <row r="12418" spans="1:1" x14ac:dyDescent="0.25">
      <c r="A12418" t="s">
        <v>11540</v>
      </c>
    </row>
    <row r="12419" spans="1:1" x14ac:dyDescent="0.25">
      <c r="A12419" t="s">
        <v>11541</v>
      </c>
    </row>
    <row r="12420" spans="1:1" x14ac:dyDescent="0.25">
      <c r="A12420" t="s">
        <v>3501</v>
      </c>
    </row>
    <row r="12421" spans="1:1" x14ac:dyDescent="0.25">
      <c r="A12421" t="s">
        <v>7765</v>
      </c>
    </row>
    <row r="12422" spans="1:1" x14ac:dyDescent="0.25">
      <c r="A12422" t="s">
        <v>11542</v>
      </c>
    </row>
    <row r="12423" spans="1:1" x14ac:dyDescent="0.25">
      <c r="A12423" t="s">
        <v>11543</v>
      </c>
    </row>
    <row r="12424" spans="1:1" x14ac:dyDescent="0.25">
      <c r="A12424" t="s">
        <v>3721</v>
      </c>
    </row>
    <row r="12425" spans="1:1" x14ac:dyDescent="0.25">
      <c r="A12425" t="s">
        <v>4947</v>
      </c>
    </row>
    <row r="12426" spans="1:1" x14ac:dyDescent="0.25">
      <c r="A12426" t="s">
        <v>4947</v>
      </c>
    </row>
    <row r="12427" spans="1:1" x14ac:dyDescent="0.25">
      <c r="A12427" t="s">
        <v>11544</v>
      </c>
    </row>
    <row r="12428" spans="1:1" x14ac:dyDescent="0.25">
      <c r="A12428" t="s">
        <v>11545</v>
      </c>
    </row>
    <row r="12429" spans="1:1" x14ac:dyDescent="0.25">
      <c r="A12429" t="s">
        <v>11546</v>
      </c>
    </row>
    <row r="12430" spans="1:1" x14ac:dyDescent="0.25">
      <c r="A12430" t="s">
        <v>3343</v>
      </c>
    </row>
    <row r="12431" spans="1:1" x14ac:dyDescent="0.25">
      <c r="A12431" t="s">
        <v>1342</v>
      </c>
    </row>
    <row r="12432" spans="1:1" x14ac:dyDescent="0.25">
      <c r="A12432" t="s">
        <v>6964</v>
      </c>
    </row>
    <row r="12433" spans="1:1" x14ac:dyDescent="0.25">
      <c r="A12433" t="s">
        <v>11547</v>
      </c>
    </row>
    <row r="12434" spans="1:1" x14ac:dyDescent="0.25">
      <c r="A12434" t="s">
        <v>11548</v>
      </c>
    </row>
    <row r="12435" spans="1:1" x14ac:dyDescent="0.25">
      <c r="A12435" t="s">
        <v>5028</v>
      </c>
    </row>
    <row r="12436" spans="1:1" x14ac:dyDescent="0.25">
      <c r="A12436" t="s">
        <v>11549</v>
      </c>
    </row>
    <row r="12437" spans="1:1" x14ac:dyDescent="0.25">
      <c r="A12437" t="s">
        <v>11550</v>
      </c>
    </row>
    <row r="12438" spans="1:1" x14ac:dyDescent="0.25">
      <c r="A12438" t="s">
        <v>11551</v>
      </c>
    </row>
    <row r="12439" spans="1:1" x14ac:dyDescent="0.25">
      <c r="A12439" t="s">
        <v>11552</v>
      </c>
    </row>
    <row r="12440" spans="1:1" x14ac:dyDescent="0.25">
      <c r="A12440" t="s">
        <v>11553</v>
      </c>
    </row>
    <row r="12441" spans="1:1" x14ac:dyDescent="0.25">
      <c r="A12441" t="s">
        <v>11554</v>
      </c>
    </row>
    <row r="12442" spans="1:1" x14ac:dyDescent="0.25">
      <c r="A12442" t="s">
        <v>3508</v>
      </c>
    </row>
    <row r="12443" spans="1:1" x14ac:dyDescent="0.25">
      <c r="A12443" t="s">
        <v>11555</v>
      </c>
    </row>
    <row r="12444" spans="1:1" x14ac:dyDescent="0.25">
      <c r="A12444" t="s">
        <v>11556</v>
      </c>
    </row>
    <row r="12445" spans="1:1" x14ac:dyDescent="0.25">
      <c r="A12445" t="s">
        <v>11557</v>
      </c>
    </row>
    <row r="12446" spans="1:1" x14ac:dyDescent="0.25">
      <c r="A12446" t="s">
        <v>11558</v>
      </c>
    </row>
    <row r="12447" spans="1:1" x14ac:dyDescent="0.25">
      <c r="A12447" t="s">
        <v>11559</v>
      </c>
    </row>
    <row r="12448" spans="1:1" x14ac:dyDescent="0.25">
      <c r="A12448" t="s">
        <v>11560</v>
      </c>
    </row>
    <row r="12449" spans="1:1" x14ac:dyDescent="0.25">
      <c r="A12449" t="s">
        <v>11561</v>
      </c>
    </row>
    <row r="12450" spans="1:1" x14ac:dyDescent="0.25">
      <c r="A12450" t="s">
        <v>11562</v>
      </c>
    </row>
    <row r="12451" spans="1:1" x14ac:dyDescent="0.25">
      <c r="A12451" t="s">
        <v>11563</v>
      </c>
    </row>
    <row r="12452" spans="1:1" x14ac:dyDescent="0.25">
      <c r="A12452" t="s">
        <v>11564</v>
      </c>
    </row>
    <row r="12453" spans="1:1" x14ac:dyDescent="0.25">
      <c r="A12453" t="s">
        <v>11565</v>
      </c>
    </row>
    <row r="12454" spans="1:1" x14ac:dyDescent="0.25">
      <c r="A12454" t="s">
        <v>11566</v>
      </c>
    </row>
    <row r="12455" spans="1:1" x14ac:dyDescent="0.25">
      <c r="A12455" t="s">
        <v>8196</v>
      </c>
    </row>
    <row r="12456" spans="1:1" x14ac:dyDescent="0.25">
      <c r="A12456" t="s">
        <v>8326</v>
      </c>
    </row>
    <row r="12457" spans="1:1" x14ac:dyDescent="0.25">
      <c r="A12457" t="s">
        <v>11567</v>
      </c>
    </row>
    <row r="12458" spans="1:1" x14ac:dyDescent="0.25">
      <c r="A12458" t="s">
        <v>11568</v>
      </c>
    </row>
    <row r="12459" spans="1:1" x14ac:dyDescent="0.25">
      <c r="A12459" t="s">
        <v>11569</v>
      </c>
    </row>
    <row r="12460" spans="1:1" x14ac:dyDescent="0.25">
      <c r="A12460" t="s">
        <v>7321</v>
      </c>
    </row>
    <row r="12461" spans="1:1" x14ac:dyDescent="0.25">
      <c r="A12461" t="s">
        <v>7322</v>
      </c>
    </row>
    <row r="12462" spans="1:1" x14ac:dyDescent="0.25">
      <c r="A12462" t="s">
        <v>7323</v>
      </c>
    </row>
    <row r="12463" spans="1:1" x14ac:dyDescent="0.25">
      <c r="A12463" t="s">
        <v>7324</v>
      </c>
    </row>
    <row r="12464" spans="1:1" x14ac:dyDescent="0.25">
      <c r="A12464" t="s">
        <v>7325</v>
      </c>
    </row>
    <row r="12465" spans="1:1" x14ac:dyDescent="0.25">
      <c r="A12465" t="s">
        <v>7326</v>
      </c>
    </row>
    <row r="12466" spans="1:1" x14ac:dyDescent="0.25">
      <c r="A12466" t="s">
        <v>7327</v>
      </c>
    </row>
    <row r="12467" spans="1:1" x14ac:dyDescent="0.25">
      <c r="A12467" t="s">
        <v>7328</v>
      </c>
    </row>
    <row r="12468" spans="1:1" x14ac:dyDescent="0.25">
      <c r="A12468" t="s">
        <v>7329</v>
      </c>
    </row>
    <row r="12469" spans="1:1" x14ac:dyDescent="0.25">
      <c r="A12469" t="s">
        <v>7330</v>
      </c>
    </row>
    <row r="12470" spans="1:1" x14ac:dyDescent="0.25">
      <c r="A12470" t="s">
        <v>7331</v>
      </c>
    </row>
    <row r="12471" spans="1:1" x14ac:dyDescent="0.25">
      <c r="A12471" t="s">
        <v>11570</v>
      </c>
    </row>
    <row r="12472" spans="1:1" x14ac:dyDescent="0.25">
      <c r="A12472" t="s">
        <v>7425</v>
      </c>
    </row>
    <row r="12473" spans="1:1" x14ac:dyDescent="0.25">
      <c r="A12473" t="s">
        <v>11571</v>
      </c>
    </row>
    <row r="12474" spans="1:1" x14ac:dyDescent="0.25">
      <c r="A12474" t="s">
        <v>11572</v>
      </c>
    </row>
    <row r="12475" spans="1:1" x14ac:dyDescent="0.25">
      <c r="A12475" t="s">
        <v>11573</v>
      </c>
    </row>
    <row r="12476" spans="1:1" x14ac:dyDescent="0.25">
      <c r="A12476" t="s">
        <v>11574</v>
      </c>
    </row>
    <row r="12477" spans="1:1" x14ac:dyDescent="0.25">
      <c r="A12477" t="s">
        <v>1434</v>
      </c>
    </row>
    <row r="12478" spans="1:1" x14ac:dyDescent="0.25">
      <c r="A12478" t="s">
        <v>11575</v>
      </c>
    </row>
    <row r="12479" spans="1:1" x14ac:dyDescent="0.25">
      <c r="A12479" t="s">
        <v>11576</v>
      </c>
    </row>
    <row r="12480" spans="1:1" x14ac:dyDescent="0.25">
      <c r="A12480" t="s">
        <v>11577</v>
      </c>
    </row>
    <row r="12481" spans="1:1" x14ac:dyDescent="0.25">
      <c r="A12481" t="s">
        <v>11578</v>
      </c>
    </row>
    <row r="12482" spans="1:1" x14ac:dyDescent="0.25">
      <c r="A12482" t="s">
        <v>11579</v>
      </c>
    </row>
    <row r="12483" spans="1:1" x14ac:dyDescent="0.25">
      <c r="A12483" t="s">
        <v>11580</v>
      </c>
    </row>
    <row r="12484" spans="1:1" x14ac:dyDescent="0.25">
      <c r="A12484" t="s">
        <v>11581</v>
      </c>
    </row>
    <row r="12485" spans="1:1" x14ac:dyDescent="0.25">
      <c r="A12485" t="s">
        <v>11582</v>
      </c>
    </row>
    <row r="12486" spans="1:1" x14ac:dyDescent="0.25">
      <c r="A12486" t="s">
        <v>11583</v>
      </c>
    </row>
    <row r="12488" spans="1:1" x14ac:dyDescent="0.25">
      <c r="A12488" t="s">
        <v>11584</v>
      </c>
    </row>
    <row r="12489" spans="1:1" x14ac:dyDescent="0.25">
      <c r="A12489" t="s">
        <v>11585</v>
      </c>
    </row>
    <row r="12490" spans="1:1" x14ac:dyDescent="0.25">
      <c r="A12490" t="s">
        <v>11586</v>
      </c>
    </row>
    <row r="12491" spans="1:1" x14ac:dyDescent="0.25">
      <c r="A12491" t="s">
        <v>11587</v>
      </c>
    </row>
    <row r="12492" spans="1:1" x14ac:dyDescent="0.25">
      <c r="A12492" t="s">
        <v>11588</v>
      </c>
    </row>
    <row r="12493" spans="1:1" x14ac:dyDescent="0.25">
      <c r="A12493" t="s">
        <v>11589</v>
      </c>
    </row>
    <row r="12494" spans="1:1" x14ac:dyDescent="0.25">
      <c r="A12494" t="s">
        <v>11590</v>
      </c>
    </row>
    <row r="12497" spans="1:1" x14ac:dyDescent="0.25">
      <c r="A12497" t="s">
        <v>11591</v>
      </c>
    </row>
    <row r="12498" spans="1:1" x14ac:dyDescent="0.25">
      <c r="A12498" t="s">
        <v>11592</v>
      </c>
    </row>
    <row r="12499" spans="1:1" x14ac:dyDescent="0.25">
      <c r="A12499" t="s">
        <v>11593</v>
      </c>
    </row>
    <row r="12500" spans="1:1" x14ac:dyDescent="0.25">
      <c r="A12500" t="s">
        <v>11594</v>
      </c>
    </row>
    <row r="12501" spans="1:1" x14ac:dyDescent="0.25">
      <c r="A12501" t="s">
        <v>11595</v>
      </c>
    </row>
    <row r="12502" spans="1:1" x14ac:dyDescent="0.25">
      <c r="A12502" t="s">
        <v>11596</v>
      </c>
    </row>
    <row r="12503" spans="1:1" x14ac:dyDescent="0.25">
      <c r="A12503" t="s">
        <v>11597</v>
      </c>
    </row>
    <row r="12504" spans="1:1" x14ac:dyDescent="0.25">
      <c r="A12504" t="s">
        <v>11598</v>
      </c>
    </row>
    <row r="12505" spans="1:1" x14ac:dyDescent="0.25">
      <c r="A12505" t="s">
        <v>11599</v>
      </c>
    </row>
    <row r="12506" spans="1:1" x14ac:dyDescent="0.25">
      <c r="A12506" t="s">
        <v>11600</v>
      </c>
    </row>
    <row r="12507" spans="1:1" x14ac:dyDescent="0.25">
      <c r="A12507" t="s">
        <v>11601</v>
      </c>
    </row>
    <row r="12508" spans="1:1" x14ac:dyDescent="0.25">
      <c r="A12508" t="s">
        <v>11602</v>
      </c>
    </row>
    <row r="12509" spans="1:1" x14ac:dyDescent="0.25">
      <c r="A12509" t="s">
        <v>11603</v>
      </c>
    </row>
    <row r="12510" spans="1:1" x14ac:dyDescent="0.25">
      <c r="A12510" t="s">
        <v>11604</v>
      </c>
    </row>
    <row r="12511" spans="1:1" x14ac:dyDescent="0.25">
      <c r="A12511" t="s">
        <v>11605</v>
      </c>
    </row>
    <row r="12512" spans="1:1" x14ac:dyDescent="0.25">
      <c r="A12512" t="s">
        <v>11606</v>
      </c>
    </row>
    <row r="12513" spans="1:1" x14ac:dyDescent="0.25">
      <c r="A12513" t="s">
        <v>11607</v>
      </c>
    </row>
    <row r="12514" spans="1:1" x14ac:dyDescent="0.25">
      <c r="A12514" t="s">
        <v>11608</v>
      </c>
    </row>
    <row r="12515" spans="1:1" x14ac:dyDescent="0.25">
      <c r="A12515" t="s">
        <v>11609</v>
      </c>
    </row>
    <row r="12516" spans="1:1" x14ac:dyDescent="0.25">
      <c r="A12516" t="s">
        <v>11610</v>
      </c>
    </row>
    <row r="12517" spans="1:1" x14ac:dyDescent="0.25">
      <c r="A12517" t="s">
        <v>11611</v>
      </c>
    </row>
    <row r="12518" spans="1:1" x14ac:dyDescent="0.25">
      <c r="A12518" t="s">
        <v>11612</v>
      </c>
    </row>
    <row r="12519" spans="1:1" x14ac:dyDescent="0.25">
      <c r="A12519" t="s">
        <v>11613</v>
      </c>
    </row>
    <row r="12520" spans="1:1" x14ac:dyDescent="0.25">
      <c r="A12520" t="s">
        <v>11614</v>
      </c>
    </row>
    <row r="12521" spans="1:1" x14ac:dyDescent="0.25">
      <c r="A12521" t="s">
        <v>11615</v>
      </c>
    </row>
    <row r="12522" spans="1:1" x14ac:dyDescent="0.25">
      <c r="A12522" t="s">
        <v>11616</v>
      </c>
    </row>
    <row r="12523" spans="1:1" x14ac:dyDescent="0.25">
      <c r="A12523" t="s">
        <v>11617</v>
      </c>
    </row>
    <row r="12524" spans="1:1" x14ac:dyDescent="0.25">
      <c r="A12524" t="s">
        <v>11618</v>
      </c>
    </row>
    <row r="12525" spans="1:1" x14ac:dyDescent="0.25">
      <c r="A12525" t="s">
        <v>11619</v>
      </c>
    </row>
    <row r="12526" spans="1:1" x14ac:dyDescent="0.25">
      <c r="A12526" t="s">
        <v>11620</v>
      </c>
    </row>
    <row r="12527" spans="1:1" x14ac:dyDescent="0.25">
      <c r="A12527" t="s">
        <v>11621</v>
      </c>
    </row>
    <row r="12528" spans="1:1" x14ac:dyDescent="0.25">
      <c r="A12528" t="s">
        <v>11622</v>
      </c>
    </row>
    <row r="12529" spans="1:1" x14ac:dyDescent="0.25">
      <c r="A12529" t="s">
        <v>11623</v>
      </c>
    </row>
    <row r="12530" spans="1:1" x14ac:dyDescent="0.25">
      <c r="A12530" t="s">
        <v>11624</v>
      </c>
    </row>
    <row r="12531" spans="1:1" x14ac:dyDescent="0.25">
      <c r="A12531" t="s">
        <v>11625</v>
      </c>
    </row>
    <row r="12532" spans="1:1" x14ac:dyDescent="0.25">
      <c r="A12532" t="s">
        <v>11626</v>
      </c>
    </row>
    <row r="12533" spans="1:1" x14ac:dyDescent="0.25">
      <c r="A12533" t="s">
        <v>11627</v>
      </c>
    </row>
    <row r="12534" spans="1:1" x14ac:dyDescent="0.25">
      <c r="A12534" t="s">
        <v>11628</v>
      </c>
    </row>
    <row r="12535" spans="1:1" x14ac:dyDescent="0.25">
      <c r="A12535" t="s">
        <v>11629</v>
      </c>
    </row>
    <row r="12536" spans="1:1" x14ac:dyDescent="0.25">
      <c r="A12536" t="s">
        <v>11630</v>
      </c>
    </row>
    <row r="12537" spans="1:1" x14ac:dyDescent="0.25">
      <c r="A12537" t="s">
        <v>11631</v>
      </c>
    </row>
    <row r="12538" spans="1:1" x14ac:dyDescent="0.25">
      <c r="A12538" t="s">
        <v>11632</v>
      </c>
    </row>
    <row r="12539" spans="1:1" x14ac:dyDescent="0.25">
      <c r="A12539" t="s">
        <v>11633</v>
      </c>
    </row>
    <row r="12540" spans="1:1" x14ac:dyDescent="0.25">
      <c r="A12540" t="s">
        <v>11634</v>
      </c>
    </row>
    <row r="12541" spans="1:1" x14ac:dyDescent="0.25">
      <c r="A12541" t="s">
        <v>11635</v>
      </c>
    </row>
    <row r="12542" spans="1:1" x14ac:dyDescent="0.25">
      <c r="A12542" t="s">
        <v>11636</v>
      </c>
    </row>
    <row r="12543" spans="1:1" x14ac:dyDescent="0.25">
      <c r="A12543" t="s">
        <v>11637</v>
      </c>
    </row>
    <row r="12544" spans="1:1" x14ac:dyDescent="0.25">
      <c r="A12544" t="s">
        <v>11638</v>
      </c>
    </row>
    <row r="12545" spans="1:1" x14ac:dyDescent="0.25">
      <c r="A12545" t="s">
        <v>11639</v>
      </c>
    </row>
    <row r="12546" spans="1:1" x14ac:dyDescent="0.25">
      <c r="A12546" t="s">
        <v>11640</v>
      </c>
    </row>
    <row r="12547" spans="1:1" x14ac:dyDescent="0.25">
      <c r="A12547" t="s">
        <v>11641</v>
      </c>
    </row>
    <row r="12548" spans="1:1" x14ac:dyDescent="0.25">
      <c r="A12548" t="s">
        <v>11642</v>
      </c>
    </row>
    <row r="12549" spans="1:1" x14ac:dyDescent="0.25">
      <c r="A12549" t="s">
        <v>11643</v>
      </c>
    </row>
    <row r="12550" spans="1:1" x14ac:dyDescent="0.25">
      <c r="A12550" t="s">
        <v>11644</v>
      </c>
    </row>
    <row r="12551" spans="1:1" x14ac:dyDescent="0.25">
      <c r="A12551" t="s">
        <v>11645</v>
      </c>
    </row>
    <row r="12552" spans="1:1" x14ac:dyDescent="0.25">
      <c r="A12552" t="s">
        <v>11646</v>
      </c>
    </row>
    <row r="12553" spans="1:1" x14ac:dyDescent="0.25">
      <c r="A12553" t="s">
        <v>11647</v>
      </c>
    </row>
    <row r="12554" spans="1:1" x14ac:dyDescent="0.25">
      <c r="A12554" t="s">
        <v>11648</v>
      </c>
    </row>
    <row r="12555" spans="1:1" x14ac:dyDescent="0.25">
      <c r="A12555" t="s">
        <v>11649</v>
      </c>
    </row>
    <row r="12556" spans="1:1" x14ac:dyDescent="0.25">
      <c r="A12556" t="s">
        <v>11650</v>
      </c>
    </row>
    <row r="12557" spans="1:1" x14ac:dyDescent="0.25">
      <c r="A12557" t="s">
        <v>11651</v>
      </c>
    </row>
    <row r="12558" spans="1:1" x14ac:dyDescent="0.25">
      <c r="A12558" t="s">
        <v>11652</v>
      </c>
    </row>
    <row r="12559" spans="1:1" x14ac:dyDescent="0.25">
      <c r="A12559" t="s">
        <v>11653</v>
      </c>
    </row>
    <row r="12560" spans="1:1" x14ac:dyDescent="0.25">
      <c r="A12560" t="s">
        <v>11654</v>
      </c>
    </row>
    <row r="12561" spans="1:1" x14ac:dyDescent="0.25">
      <c r="A12561" t="s">
        <v>11655</v>
      </c>
    </row>
    <row r="12562" spans="1:1" x14ac:dyDescent="0.25">
      <c r="A12562" t="s">
        <v>11656</v>
      </c>
    </row>
    <row r="12563" spans="1:1" x14ac:dyDescent="0.25">
      <c r="A12563" t="s">
        <v>11657</v>
      </c>
    </row>
    <row r="12564" spans="1:1" x14ac:dyDescent="0.25">
      <c r="A12564" t="s">
        <v>11658</v>
      </c>
    </row>
    <row r="12565" spans="1:1" x14ac:dyDescent="0.25">
      <c r="A12565" t="s">
        <v>11659</v>
      </c>
    </row>
    <row r="12566" spans="1:1" x14ac:dyDescent="0.25">
      <c r="A12566" t="s">
        <v>11660</v>
      </c>
    </row>
    <row r="12567" spans="1:1" x14ac:dyDescent="0.25">
      <c r="A12567" t="s">
        <v>11661</v>
      </c>
    </row>
    <row r="12568" spans="1:1" x14ac:dyDescent="0.25">
      <c r="A12568" t="s">
        <v>11662</v>
      </c>
    </row>
    <row r="12569" spans="1:1" x14ac:dyDescent="0.25">
      <c r="A12569" t="s">
        <v>11663</v>
      </c>
    </row>
    <row r="12570" spans="1:1" x14ac:dyDescent="0.25">
      <c r="A12570" t="s">
        <v>11664</v>
      </c>
    </row>
    <row r="12571" spans="1:1" x14ac:dyDescent="0.25">
      <c r="A12571" t="s">
        <v>11665</v>
      </c>
    </row>
    <row r="12572" spans="1:1" x14ac:dyDescent="0.25">
      <c r="A12572" t="s">
        <v>11666</v>
      </c>
    </row>
    <row r="12573" spans="1:1" x14ac:dyDescent="0.25">
      <c r="A12573" t="s">
        <v>11667</v>
      </c>
    </row>
    <row r="12574" spans="1:1" x14ac:dyDescent="0.25">
      <c r="A12574" t="s">
        <v>11668</v>
      </c>
    </row>
    <row r="12575" spans="1:1" x14ac:dyDescent="0.25">
      <c r="A12575" t="s">
        <v>11669</v>
      </c>
    </row>
    <row r="12576" spans="1:1" x14ac:dyDescent="0.25">
      <c r="A12576" t="s">
        <v>11670</v>
      </c>
    </row>
    <row r="12577" spans="1:1" x14ac:dyDescent="0.25">
      <c r="A12577" t="s">
        <v>11671</v>
      </c>
    </row>
    <row r="12578" spans="1:1" x14ac:dyDescent="0.25">
      <c r="A12578" t="s">
        <v>11672</v>
      </c>
    </row>
    <row r="12579" spans="1:1" x14ac:dyDescent="0.25">
      <c r="A12579" t="s">
        <v>11673</v>
      </c>
    </row>
    <row r="12580" spans="1:1" x14ac:dyDescent="0.25">
      <c r="A12580" t="s">
        <v>11674</v>
      </c>
    </row>
    <row r="12581" spans="1:1" x14ac:dyDescent="0.25">
      <c r="A12581" t="s">
        <v>11675</v>
      </c>
    </row>
    <row r="12582" spans="1:1" x14ac:dyDescent="0.25">
      <c r="A12582" t="s">
        <v>11676</v>
      </c>
    </row>
    <row r="12583" spans="1:1" x14ac:dyDescent="0.25">
      <c r="A12583" t="s">
        <v>11677</v>
      </c>
    </row>
    <row r="12584" spans="1:1" x14ac:dyDescent="0.25">
      <c r="A12584" t="s">
        <v>11678</v>
      </c>
    </row>
    <row r="12585" spans="1:1" x14ac:dyDescent="0.25">
      <c r="A12585" t="s">
        <v>11679</v>
      </c>
    </row>
    <row r="12586" spans="1:1" x14ac:dyDescent="0.25">
      <c r="A12586" t="s">
        <v>11680</v>
      </c>
    </row>
    <row r="12587" spans="1:1" x14ac:dyDescent="0.25">
      <c r="A12587" t="s">
        <v>11681</v>
      </c>
    </row>
    <row r="12588" spans="1:1" x14ac:dyDescent="0.25">
      <c r="A12588" t="s">
        <v>11682</v>
      </c>
    </row>
    <row r="12589" spans="1:1" x14ac:dyDescent="0.25">
      <c r="A12589" t="s">
        <v>11683</v>
      </c>
    </row>
    <row r="12590" spans="1:1" x14ac:dyDescent="0.25">
      <c r="A12590" t="s">
        <v>11684</v>
      </c>
    </row>
    <row r="12591" spans="1:1" x14ac:dyDescent="0.25">
      <c r="A12591" t="s">
        <v>11685</v>
      </c>
    </row>
    <row r="12592" spans="1:1" x14ac:dyDescent="0.25">
      <c r="A12592" t="s">
        <v>11686</v>
      </c>
    </row>
    <row r="12593" spans="1:1" x14ac:dyDescent="0.25">
      <c r="A12593" t="s">
        <v>11687</v>
      </c>
    </row>
    <row r="12594" spans="1:1" x14ac:dyDescent="0.25">
      <c r="A12594" t="s">
        <v>11688</v>
      </c>
    </row>
    <row r="12595" spans="1:1" x14ac:dyDescent="0.25">
      <c r="A12595" t="s">
        <v>11689</v>
      </c>
    </row>
    <row r="12596" spans="1:1" x14ac:dyDescent="0.25">
      <c r="A12596" t="s">
        <v>11690</v>
      </c>
    </row>
    <row r="12597" spans="1:1" x14ac:dyDescent="0.25">
      <c r="A12597" t="s">
        <v>11691</v>
      </c>
    </row>
    <row r="12598" spans="1:1" x14ac:dyDescent="0.25">
      <c r="A12598" t="s">
        <v>11692</v>
      </c>
    </row>
    <row r="12599" spans="1:1" x14ac:dyDescent="0.25">
      <c r="A12599" t="s">
        <v>11693</v>
      </c>
    </row>
    <row r="12600" spans="1:1" x14ac:dyDescent="0.25">
      <c r="A12600" t="s">
        <v>11694</v>
      </c>
    </row>
    <row r="12601" spans="1:1" x14ac:dyDescent="0.25">
      <c r="A12601" t="s">
        <v>11695</v>
      </c>
    </row>
    <row r="12602" spans="1:1" x14ac:dyDescent="0.25">
      <c r="A12602" t="s">
        <v>11696</v>
      </c>
    </row>
    <row r="12603" spans="1:1" x14ac:dyDescent="0.25">
      <c r="A12603" t="s">
        <v>11697</v>
      </c>
    </row>
    <row r="12604" spans="1:1" x14ac:dyDescent="0.25">
      <c r="A12604" t="s">
        <v>11698</v>
      </c>
    </row>
    <row r="12605" spans="1:1" x14ac:dyDescent="0.25">
      <c r="A12605" t="s">
        <v>11699</v>
      </c>
    </row>
    <row r="12606" spans="1:1" x14ac:dyDescent="0.25">
      <c r="A12606" t="s">
        <v>11700</v>
      </c>
    </row>
    <row r="12607" spans="1:1" x14ac:dyDescent="0.25">
      <c r="A12607" t="s">
        <v>11701</v>
      </c>
    </row>
    <row r="12608" spans="1:1" x14ac:dyDescent="0.25">
      <c r="A12608" t="s">
        <v>11702</v>
      </c>
    </row>
    <row r="12609" spans="1:1" x14ac:dyDescent="0.25">
      <c r="A12609" t="s">
        <v>11703</v>
      </c>
    </row>
    <row r="12610" spans="1:1" x14ac:dyDescent="0.25">
      <c r="A12610" t="s">
        <v>11704</v>
      </c>
    </row>
    <row r="12611" spans="1:1" x14ac:dyDescent="0.25">
      <c r="A12611" t="s">
        <v>11705</v>
      </c>
    </row>
    <row r="12612" spans="1:1" x14ac:dyDescent="0.25">
      <c r="A12612" t="s">
        <v>11706</v>
      </c>
    </row>
    <row r="12613" spans="1:1" x14ac:dyDescent="0.25">
      <c r="A12613" t="s">
        <v>11707</v>
      </c>
    </row>
    <row r="12614" spans="1:1" x14ac:dyDescent="0.25">
      <c r="A12614" t="s">
        <v>11708</v>
      </c>
    </row>
    <row r="12615" spans="1:1" x14ac:dyDescent="0.25">
      <c r="A12615" t="s">
        <v>11709</v>
      </c>
    </row>
    <row r="12616" spans="1:1" x14ac:dyDescent="0.25">
      <c r="A12616" t="s">
        <v>11710</v>
      </c>
    </row>
    <row r="12617" spans="1:1" x14ac:dyDescent="0.25">
      <c r="A12617" t="s">
        <v>11711</v>
      </c>
    </row>
    <row r="12618" spans="1:1" x14ac:dyDescent="0.25">
      <c r="A12618" t="s">
        <v>11712</v>
      </c>
    </row>
    <row r="12619" spans="1:1" x14ac:dyDescent="0.25">
      <c r="A12619" t="s">
        <v>11713</v>
      </c>
    </row>
    <row r="12620" spans="1:1" x14ac:dyDescent="0.25">
      <c r="A12620" t="s">
        <v>11714</v>
      </c>
    </row>
    <row r="12621" spans="1:1" x14ac:dyDescent="0.25">
      <c r="A12621" t="s">
        <v>11715</v>
      </c>
    </row>
    <row r="12622" spans="1:1" x14ac:dyDescent="0.25">
      <c r="A12622" t="s">
        <v>11716</v>
      </c>
    </row>
    <row r="12623" spans="1:1" x14ac:dyDescent="0.25">
      <c r="A12623" t="s">
        <v>11717</v>
      </c>
    </row>
    <row r="12624" spans="1:1" x14ac:dyDescent="0.25">
      <c r="A12624" t="s">
        <v>11718</v>
      </c>
    </row>
    <row r="12625" spans="1:1" x14ac:dyDescent="0.25">
      <c r="A12625" t="s">
        <v>11719</v>
      </c>
    </row>
    <row r="12626" spans="1:1" x14ac:dyDescent="0.25">
      <c r="A12626" t="s">
        <v>11720</v>
      </c>
    </row>
    <row r="12627" spans="1:1" x14ac:dyDescent="0.25">
      <c r="A12627" t="s">
        <v>11721</v>
      </c>
    </row>
    <row r="12628" spans="1:1" x14ac:dyDescent="0.25">
      <c r="A12628" t="s">
        <v>11722</v>
      </c>
    </row>
    <row r="12629" spans="1:1" x14ac:dyDescent="0.25">
      <c r="A12629" t="s">
        <v>11723</v>
      </c>
    </row>
    <row r="12630" spans="1:1" x14ac:dyDescent="0.25">
      <c r="A12630" t="s">
        <v>11724</v>
      </c>
    </row>
    <row r="12631" spans="1:1" x14ac:dyDescent="0.25">
      <c r="A12631" t="s">
        <v>11725</v>
      </c>
    </row>
    <row r="12632" spans="1:1" x14ac:dyDescent="0.25">
      <c r="A12632" t="s">
        <v>11726</v>
      </c>
    </row>
    <row r="12633" spans="1:1" x14ac:dyDescent="0.25">
      <c r="A12633" t="s">
        <v>11727</v>
      </c>
    </row>
    <row r="12634" spans="1:1" x14ac:dyDescent="0.25">
      <c r="A12634" t="s">
        <v>11728</v>
      </c>
    </row>
    <row r="12635" spans="1:1" x14ac:dyDescent="0.25">
      <c r="A12635" t="s">
        <v>11729</v>
      </c>
    </row>
    <row r="12636" spans="1:1" x14ac:dyDescent="0.25">
      <c r="A12636" t="s">
        <v>11730</v>
      </c>
    </row>
    <row r="12637" spans="1:1" x14ac:dyDescent="0.25">
      <c r="A12637" t="s">
        <v>11731</v>
      </c>
    </row>
    <row r="12638" spans="1:1" x14ac:dyDescent="0.25">
      <c r="A12638" t="s">
        <v>11732</v>
      </c>
    </row>
    <row r="12639" spans="1:1" x14ac:dyDescent="0.25">
      <c r="A12639" t="s">
        <v>11733</v>
      </c>
    </row>
    <row r="12640" spans="1:1" x14ac:dyDescent="0.25">
      <c r="A12640" t="s">
        <v>11734</v>
      </c>
    </row>
    <row r="12641" spans="1:1" x14ac:dyDescent="0.25">
      <c r="A12641" t="s">
        <v>11735</v>
      </c>
    </row>
    <row r="12642" spans="1:1" x14ac:dyDescent="0.25">
      <c r="A12642" t="s">
        <v>11736</v>
      </c>
    </row>
    <row r="12643" spans="1:1" x14ac:dyDescent="0.25">
      <c r="A12643" t="s">
        <v>11737</v>
      </c>
    </row>
    <row r="12644" spans="1:1" x14ac:dyDescent="0.25">
      <c r="A12644" t="s">
        <v>11738</v>
      </c>
    </row>
    <row r="12645" spans="1:1" x14ac:dyDescent="0.25">
      <c r="A12645" t="s">
        <v>11739</v>
      </c>
    </row>
    <row r="12646" spans="1:1" x14ac:dyDescent="0.25">
      <c r="A12646" t="s">
        <v>11740</v>
      </c>
    </row>
    <row r="12647" spans="1:1" x14ac:dyDescent="0.25">
      <c r="A12647" t="s">
        <v>11741</v>
      </c>
    </row>
    <row r="12648" spans="1:1" x14ac:dyDescent="0.25">
      <c r="A12648" t="s">
        <v>11742</v>
      </c>
    </row>
    <row r="12649" spans="1:1" x14ac:dyDescent="0.25">
      <c r="A12649" t="s">
        <v>11743</v>
      </c>
    </row>
    <row r="12650" spans="1:1" x14ac:dyDescent="0.25">
      <c r="A12650" t="s">
        <v>11744</v>
      </c>
    </row>
    <row r="12651" spans="1:1" x14ac:dyDescent="0.25">
      <c r="A12651" t="s">
        <v>11745</v>
      </c>
    </row>
    <row r="12652" spans="1:1" x14ac:dyDescent="0.25">
      <c r="A12652" t="s">
        <v>11746</v>
      </c>
    </row>
    <row r="12653" spans="1:1" x14ac:dyDescent="0.25">
      <c r="A12653" t="s">
        <v>11747</v>
      </c>
    </row>
    <row r="12654" spans="1:1" x14ac:dyDescent="0.25">
      <c r="A12654" t="s">
        <v>11748</v>
      </c>
    </row>
    <row r="12655" spans="1:1" x14ac:dyDescent="0.25">
      <c r="A12655" t="s">
        <v>11749</v>
      </c>
    </row>
    <row r="12656" spans="1:1" x14ac:dyDescent="0.25">
      <c r="A12656" t="s">
        <v>11750</v>
      </c>
    </row>
    <row r="12657" spans="1:1" x14ac:dyDescent="0.25">
      <c r="A12657" t="s">
        <v>11751</v>
      </c>
    </row>
    <row r="12658" spans="1:1" x14ac:dyDescent="0.25">
      <c r="A12658" t="s">
        <v>11752</v>
      </c>
    </row>
    <row r="12659" spans="1:1" x14ac:dyDescent="0.25">
      <c r="A12659" t="s">
        <v>11753</v>
      </c>
    </row>
    <row r="12660" spans="1:1" x14ac:dyDescent="0.25">
      <c r="A12660" t="s">
        <v>11754</v>
      </c>
    </row>
    <row r="12661" spans="1:1" x14ac:dyDescent="0.25">
      <c r="A12661" t="s">
        <v>11755</v>
      </c>
    </row>
    <row r="12662" spans="1:1" x14ac:dyDescent="0.25">
      <c r="A12662" t="s">
        <v>11756</v>
      </c>
    </row>
    <row r="12663" spans="1:1" x14ac:dyDescent="0.25">
      <c r="A12663" t="s">
        <v>11757</v>
      </c>
    </row>
    <row r="12664" spans="1:1" x14ac:dyDescent="0.25">
      <c r="A12664" t="s">
        <v>11758</v>
      </c>
    </row>
    <row r="12665" spans="1:1" x14ac:dyDescent="0.25">
      <c r="A12665" t="s">
        <v>11759</v>
      </c>
    </row>
    <row r="12666" spans="1:1" x14ac:dyDescent="0.25">
      <c r="A12666" t="s">
        <v>11760</v>
      </c>
    </row>
    <row r="12667" spans="1:1" x14ac:dyDescent="0.25">
      <c r="A12667" t="s">
        <v>11761</v>
      </c>
    </row>
    <row r="12668" spans="1:1" x14ac:dyDescent="0.25">
      <c r="A12668" t="s">
        <v>11762</v>
      </c>
    </row>
    <row r="12669" spans="1:1" x14ac:dyDescent="0.25">
      <c r="A12669" t="s">
        <v>11763</v>
      </c>
    </row>
    <row r="12670" spans="1:1" x14ac:dyDescent="0.25">
      <c r="A12670" t="s">
        <v>11764</v>
      </c>
    </row>
    <row r="12671" spans="1:1" x14ac:dyDescent="0.25">
      <c r="A12671" t="s">
        <v>11765</v>
      </c>
    </row>
    <row r="12672" spans="1:1" x14ac:dyDescent="0.25">
      <c r="A12672" t="s">
        <v>11766</v>
      </c>
    </row>
    <row r="12673" spans="1:1" x14ac:dyDescent="0.25">
      <c r="A12673" t="s">
        <v>11767</v>
      </c>
    </row>
    <row r="12674" spans="1:1" x14ac:dyDescent="0.25">
      <c r="A12674" t="s">
        <v>11768</v>
      </c>
    </row>
    <row r="12675" spans="1:1" x14ac:dyDescent="0.25">
      <c r="A12675" t="s">
        <v>11769</v>
      </c>
    </row>
    <row r="12676" spans="1:1" x14ac:dyDescent="0.25">
      <c r="A12676" t="s">
        <v>11770</v>
      </c>
    </row>
    <row r="12677" spans="1:1" x14ac:dyDescent="0.25">
      <c r="A12677" t="s">
        <v>11771</v>
      </c>
    </row>
    <row r="12678" spans="1:1" x14ac:dyDescent="0.25">
      <c r="A12678" t="s">
        <v>11772</v>
      </c>
    </row>
    <row r="12679" spans="1:1" x14ac:dyDescent="0.25">
      <c r="A12679" t="s">
        <v>11773</v>
      </c>
    </row>
    <row r="12680" spans="1:1" x14ac:dyDescent="0.25">
      <c r="A12680" t="s">
        <v>11774</v>
      </c>
    </row>
    <row r="12681" spans="1:1" x14ac:dyDescent="0.25">
      <c r="A12681" t="s">
        <v>11775</v>
      </c>
    </row>
    <row r="12682" spans="1:1" x14ac:dyDescent="0.25">
      <c r="A12682" t="s">
        <v>11776</v>
      </c>
    </row>
    <row r="12683" spans="1:1" x14ac:dyDescent="0.25">
      <c r="A12683" t="s">
        <v>11777</v>
      </c>
    </row>
    <row r="12684" spans="1:1" x14ac:dyDescent="0.25">
      <c r="A12684" t="s">
        <v>11778</v>
      </c>
    </row>
    <row r="12685" spans="1:1" x14ac:dyDescent="0.25">
      <c r="A12685" t="s">
        <v>11779</v>
      </c>
    </row>
    <row r="12686" spans="1:1" x14ac:dyDescent="0.25">
      <c r="A12686" t="s">
        <v>11780</v>
      </c>
    </row>
    <row r="12687" spans="1:1" x14ac:dyDescent="0.25">
      <c r="A12687" t="s">
        <v>11781</v>
      </c>
    </row>
    <row r="12688" spans="1:1" x14ac:dyDescent="0.25">
      <c r="A12688" t="s">
        <v>11782</v>
      </c>
    </row>
    <row r="12689" spans="1:1" x14ac:dyDescent="0.25">
      <c r="A12689" t="s">
        <v>11783</v>
      </c>
    </row>
    <row r="12690" spans="1:1" x14ac:dyDescent="0.25">
      <c r="A12690" t="s">
        <v>11784</v>
      </c>
    </row>
    <row r="12691" spans="1:1" x14ac:dyDescent="0.25">
      <c r="A12691" t="s">
        <v>11785</v>
      </c>
    </row>
    <row r="12692" spans="1:1" x14ac:dyDescent="0.25">
      <c r="A12692" t="s">
        <v>11786</v>
      </c>
    </row>
    <row r="12693" spans="1:1" x14ac:dyDescent="0.25">
      <c r="A12693" t="s">
        <v>11787</v>
      </c>
    </row>
    <row r="12694" spans="1:1" x14ac:dyDescent="0.25">
      <c r="A12694" t="s">
        <v>11788</v>
      </c>
    </row>
    <row r="12695" spans="1:1" x14ac:dyDescent="0.25">
      <c r="A12695" t="s">
        <v>11789</v>
      </c>
    </row>
    <row r="12696" spans="1:1" x14ac:dyDescent="0.25">
      <c r="A12696" t="s">
        <v>11790</v>
      </c>
    </row>
    <row r="12697" spans="1:1" x14ac:dyDescent="0.25">
      <c r="A12697" t="s">
        <v>11791</v>
      </c>
    </row>
    <row r="12698" spans="1:1" x14ac:dyDescent="0.25">
      <c r="A12698" t="s">
        <v>11792</v>
      </c>
    </row>
    <row r="12699" spans="1:1" x14ac:dyDescent="0.25">
      <c r="A12699" t="s">
        <v>11793</v>
      </c>
    </row>
    <row r="12700" spans="1:1" x14ac:dyDescent="0.25">
      <c r="A12700" t="s">
        <v>11794</v>
      </c>
    </row>
    <row r="12701" spans="1:1" x14ac:dyDescent="0.25">
      <c r="A12701" t="s">
        <v>11795</v>
      </c>
    </row>
    <row r="12702" spans="1:1" x14ac:dyDescent="0.25">
      <c r="A12702" t="s">
        <v>11796</v>
      </c>
    </row>
    <row r="12703" spans="1:1" x14ac:dyDescent="0.25">
      <c r="A12703" t="s">
        <v>11797</v>
      </c>
    </row>
    <row r="12704" spans="1:1" x14ac:dyDescent="0.25">
      <c r="A12704" t="s">
        <v>11798</v>
      </c>
    </row>
    <row r="12705" spans="1:1" x14ac:dyDescent="0.25">
      <c r="A12705" t="s">
        <v>11799</v>
      </c>
    </row>
    <row r="12706" spans="1:1" x14ac:dyDescent="0.25">
      <c r="A12706" t="s">
        <v>11800</v>
      </c>
    </row>
    <row r="12707" spans="1:1" x14ac:dyDescent="0.25">
      <c r="A12707" t="s">
        <v>11801</v>
      </c>
    </row>
    <row r="12708" spans="1:1" x14ac:dyDescent="0.25">
      <c r="A12708" t="s">
        <v>11802</v>
      </c>
    </row>
    <row r="12709" spans="1:1" x14ac:dyDescent="0.25">
      <c r="A12709" t="s">
        <v>11803</v>
      </c>
    </row>
    <row r="12710" spans="1:1" x14ac:dyDescent="0.25">
      <c r="A12710" t="s">
        <v>11804</v>
      </c>
    </row>
    <row r="12711" spans="1:1" x14ac:dyDescent="0.25">
      <c r="A12711" t="s">
        <v>11805</v>
      </c>
    </row>
    <row r="12712" spans="1:1" x14ac:dyDescent="0.25">
      <c r="A12712" t="s">
        <v>11806</v>
      </c>
    </row>
    <row r="12713" spans="1:1" x14ac:dyDescent="0.25">
      <c r="A12713" t="s">
        <v>11807</v>
      </c>
    </row>
    <row r="12714" spans="1:1" x14ac:dyDescent="0.25">
      <c r="A12714" t="s">
        <v>11808</v>
      </c>
    </row>
    <row r="12715" spans="1:1" x14ac:dyDescent="0.25">
      <c r="A12715" t="s">
        <v>11809</v>
      </c>
    </row>
    <row r="12716" spans="1:1" x14ac:dyDescent="0.25">
      <c r="A12716" t="s">
        <v>11810</v>
      </c>
    </row>
    <row r="12717" spans="1:1" x14ac:dyDescent="0.25">
      <c r="A12717" t="s">
        <v>11811</v>
      </c>
    </row>
    <row r="12718" spans="1:1" x14ac:dyDescent="0.25">
      <c r="A12718" t="s">
        <v>11812</v>
      </c>
    </row>
    <row r="12719" spans="1:1" x14ac:dyDescent="0.25">
      <c r="A12719" t="s">
        <v>11813</v>
      </c>
    </row>
    <row r="12720" spans="1:1" x14ac:dyDescent="0.25">
      <c r="A12720" t="s">
        <v>11814</v>
      </c>
    </row>
    <row r="12721" spans="1:1" x14ac:dyDescent="0.25">
      <c r="A12721" t="s">
        <v>11815</v>
      </c>
    </row>
    <row r="12722" spans="1:1" x14ac:dyDescent="0.25">
      <c r="A12722" t="s">
        <v>11816</v>
      </c>
    </row>
    <row r="12723" spans="1:1" x14ac:dyDescent="0.25">
      <c r="A12723" t="s">
        <v>11817</v>
      </c>
    </row>
    <row r="12724" spans="1:1" x14ac:dyDescent="0.25">
      <c r="A12724" t="s">
        <v>11818</v>
      </c>
    </row>
    <row r="12725" spans="1:1" x14ac:dyDescent="0.25">
      <c r="A12725" t="s">
        <v>11819</v>
      </c>
    </row>
    <row r="12726" spans="1:1" x14ac:dyDescent="0.25">
      <c r="A12726" t="s">
        <v>11820</v>
      </c>
    </row>
    <row r="12727" spans="1:1" x14ac:dyDescent="0.25">
      <c r="A12727" t="s">
        <v>11821</v>
      </c>
    </row>
    <row r="12728" spans="1:1" x14ac:dyDescent="0.25">
      <c r="A12728" t="s">
        <v>11822</v>
      </c>
    </row>
    <row r="12729" spans="1:1" x14ac:dyDescent="0.25">
      <c r="A12729" t="s">
        <v>11823</v>
      </c>
    </row>
    <row r="12730" spans="1:1" x14ac:dyDescent="0.25">
      <c r="A12730" t="s">
        <v>11824</v>
      </c>
    </row>
    <row r="12731" spans="1:1" x14ac:dyDescent="0.25">
      <c r="A12731" t="s">
        <v>11825</v>
      </c>
    </row>
    <row r="12732" spans="1:1" x14ac:dyDescent="0.25">
      <c r="A12732" t="s">
        <v>11826</v>
      </c>
    </row>
    <row r="12733" spans="1:1" x14ac:dyDescent="0.25">
      <c r="A12733" t="s">
        <v>11827</v>
      </c>
    </row>
    <row r="12734" spans="1:1" x14ac:dyDescent="0.25">
      <c r="A12734" t="s">
        <v>11828</v>
      </c>
    </row>
    <row r="12735" spans="1:1" x14ac:dyDescent="0.25">
      <c r="A12735" t="s">
        <v>11829</v>
      </c>
    </row>
    <row r="12736" spans="1:1" x14ac:dyDescent="0.25">
      <c r="A12736" t="s">
        <v>11830</v>
      </c>
    </row>
    <row r="12737" spans="1:1" x14ac:dyDescent="0.25">
      <c r="A12737" t="s">
        <v>11831</v>
      </c>
    </row>
    <row r="12738" spans="1:1" x14ac:dyDescent="0.25">
      <c r="A12738" t="s">
        <v>11832</v>
      </c>
    </row>
    <row r="12739" spans="1:1" x14ac:dyDescent="0.25">
      <c r="A12739" t="s">
        <v>11833</v>
      </c>
    </row>
    <row r="12740" spans="1:1" x14ac:dyDescent="0.25">
      <c r="A12740" t="s">
        <v>11834</v>
      </c>
    </row>
    <row r="12741" spans="1:1" x14ac:dyDescent="0.25">
      <c r="A12741" t="s">
        <v>11835</v>
      </c>
    </row>
    <row r="12742" spans="1:1" x14ac:dyDescent="0.25">
      <c r="A12742" t="s">
        <v>11836</v>
      </c>
    </row>
    <row r="12743" spans="1:1" x14ac:dyDescent="0.25">
      <c r="A12743" t="s">
        <v>11837</v>
      </c>
    </row>
    <row r="12744" spans="1:1" x14ac:dyDescent="0.25">
      <c r="A12744" t="s">
        <v>11838</v>
      </c>
    </row>
    <row r="12745" spans="1:1" x14ac:dyDescent="0.25">
      <c r="A12745" t="s">
        <v>11839</v>
      </c>
    </row>
    <row r="12746" spans="1:1" x14ac:dyDescent="0.25">
      <c r="A12746" t="s">
        <v>11840</v>
      </c>
    </row>
    <row r="12747" spans="1:1" x14ac:dyDescent="0.25">
      <c r="A12747" t="s">
        <v>11841</v>
      </c>
    </row>
    <row r="12748" spans="1:1" x14ac:dyDescent="0.25">
      <c r="A12748" t="s">
        <v>11842</v>
      </c>
    </row>
    <row r="12749" spans="1:1" x14ac:dyDescent="0.25">
      <c r="A12749" t="s">
        <v>11843</v>
      </c>
    </row>
    <row r="12750" spans="1:1" x14ac:dyDescent="0.25">
      <c r="A12750" t="s">
        <v>11844</v>
      </c>
    </row>
    <row r="12751" spans="1:1" x14ac:dyDescent="0.25">
      <c r="A12751" t="s">
        <v>11845</v>
      </c>
    </row>
    <row r="12752" spans="1:1" x14ac:dyDescent="0.25">
      <c r="A12752" t="s">
        <v>11846</v>
      </c>
    </row>
    <row r="12753" spans="1:1" x14ac:dyDescent="0.25">
      <c r="A12753" t="s">
        <v>11847</v>
      </c>
    </row>
    <row r="12754" spans="1:1" x14ac:dyDescent="0.25">
      <c r="A12754" t="s">
        <v>11848</v>
      </c>
    </row>
    <row r="12755" spans="1:1" x14ac:dyDescent="0.25">
      <c r="A12755" t="s">
        <v>11849</v>
      </c>
    </row>
    <row r="12756" spans="1:1" x14ac:dyDescent="0.25">
      <c r="A12756" t="s">
        <v>11850</v>
      </c>
    </row>
    <row r="12757" spans="1:1" x14ac:dyDescent="0.25">
      <c r="A12757" t="s">
        <v>11851</v>
      </c>
    </row>
    <row r="12758" spans="1:1" x14ac:dyDescent="0.25">
      <c r="A12758" t="s">
        <v>11852</v>
      </c>
    </row>
    <row r="12759" spans="1:1" x14ac:dyDescent="0.25">
      <c r="A12759" t="s">
        <v>11853</v>
      </c>
    </row>
    <row r="12760" spans="1:1" x14ac:dyDescent="0.25">
      <c r="A12760" t="s">
        <v>11854</v>
      </c>
    </row>
    <row r="12761" spans="1:1" x14ac:dyDescent="0.25">
      <c r="A12761" t="s">
        <v>11855</v>
      </c>
    </row>
    <row r="12762" spans="1:1" x14ac:dyDescent="0.25">
      <c r="A12762" t="s">
        <v>11856</v>
      </c>
    </row>
    <row r="12763" spans="1:1" x14ac:dyDescent="0.25">
      <c r="A12763" t="s">
        <v>11857</v>
      </c>
    </row>
    <row r="12764" spans="1:1" x14ac:dyDescent="0.25">
      <c r="A12764" t="s">
        <v>11858</v>
      </c>
    </row>
    <row r="12765" spans="1:1" x14ac:dyDescent="0.25">
      <c r="A12765" t="s">
        <v>11859</v>
      </c>
    </row>
    <row r="12766" spans="1:1" x14ac:dyDescent="0.25">
      <c r="A12766" t="s">
        <v>11860</v>
      </c>
    </row>
    <row r="12767" spans="1:1" x14ac:dyDescent="0.25">
      <c r="A12767" t="s">
        <v>11861</v>
      </c>
    </row>
    <row r="12768" spans="1:1" x14ac:dyDescent="0.25">
      <c r="A12768" t="s">
        <v>11862</v>
      </c>
    </row>
    <row r="12769" spans="1:1" x14ac:dyDescent="0.25">
      <c r="A12769" t="s">
        <v>11863</v>
      </c>
    </row>
    <row r="12770" spans="1:1" x14ac:dyDescent="0.25">
      <c r="A12770" t="s">
        <v>11864</v>
      </c>
    </row>
    <row r="12771" spans="1:1" x14ac:dyDescent="0.25">
      <c r="A12771" t="s">
        <v>11865</v>
      </c>
    </row>
    <row r="12772" spans="1:1" x14ac:dyDescent="0.25">
      <c r="A12772" t="s">
        <v>11866</v>
      </c>
    </row>
    <row r="12773" spans="1:1" x14ac:dyDescent="0.25">
      <c r="A12773" t="s">
        <v>11867</v>
      </c>
    </row>
    <row r="12774" spans="1:1" x14ac:dyDescent="0.25">
      <c r="A12774" t="s">
        <v>11868</v>
      </c>
    </row>
    <row r="12775" spans="1:1" x14ac:dyDescent="0.25">
      <c r="A12775" t="s">
        <v>11869</v>
      </c>
    </row>
    <row r="12776" spans="1:1" x14ac:dyDescent="0.25">
      <c r="A12776" t="s">
        <v>11870</v>
      </c>
    </row>
    <row r="12777" spans="1:1" x14ac:dyDescent="0.25">
      <c r="A12777" t="s">
        <v>11871</v>
      </c>
    </row>
    <row r="12778" spans="1:1" x14ac:dyDescent="0.25">
      <c r="A12778" t="s">
        <v>11872</v>
      </c>
    </row>
    <row r="12779" spans="1:1" x14ac:dyDescent="0.25">
      <c r="A12779" t="s">
        <v>11873</v>
      </c>
    </row>
    <row r="12780" spans="1:1" x14ac:dyDescent="0.25">
      <c r="A12780" t="s">
        <v>11874</v>
      </c>
    </row>
    <row r="12781" spans="1:1" x14ac:dyDescent="0.25">
      <c r="A12781" t="s">
        <v>11875</v>
      </c>
    </row>
    <row r="12782" spans="1:1" x14ac:dyDescent="0.25">
      <c r="A12782" t="s">
        <v>11876</v>
      </c>
    </row>
    <row r="12783" spans="1:1" x14ac:dyDescent="0.25">
      <c r="A12783" t="s">
        <v>11877</v>
      </c>
    </row>
    <row r="12784" spans="1:1" x14ac:dyDescent="0.25">
      <c r="A12784" t="s">
        <v>11878</v>
      </c>
    </row>
    <row r="12785" spans="1:1" x14ac:dyDescent="0.25">
      <c r="A12785" t="s">
        <v>11879</v>
      </c>
    </row>
    <row r="12786" spans="1:1" x14ac:dyDescent="0.25">
      <c r="A12786" t="s">
        <v>11880</v>
      </c>
    </row>
    <row r="12787" spans="1:1" x14ac:dyDescent="0.25">
      <c r="A12787" t="s">
        <v>11881</v>
      </c>
    </row>
    <row r="12788" spans="1:1" x14ac:dyDescent="0.25">
      <c r="A12788" t="s">
        <v>11882</v>
      </c>
    </row>
    <row r="12789" spans="1:1" x14ac:dyDescent="0.25">
      <c r="A12789" t="s">
        <v>11883</v>
      </c>
    </row>
    <row r="12790" spans="1:1" x14ac:dyDescent="0.25">
      <c r="A12790" t="s">
        <v>11884</v>
      </c>
    </row>
    <row r="12791" spans="1:1" x14ac:dyDescent="0.25">
      <c r="A12791" t="s">
        <v>11885</v>
      </c>
    </row>
    <row r="12792" spans="1:1" x14ac:dyDescent="0.25">
      <c r="A12792" t="s">
        <v>11886</v>
      </c>
    </row>
    <row r="12793" spans="1:1" x14ac:dyDescent="0.25">
      <c r="A12793" t="s">
        <v>11887</v>
      </c>
    </row>
    <row r="12794" spans="1:1" x14ac:dyDescent="0.25">
      <c r="A12794" t="s">
        <v>11888</v>
      </c>
    </row>
    <row r="12795" spans="1:1" x14ac:dyDescent="0.25">
      <c r="A12795" t="s">
        <v>11889</v>
      </c>
    </row>
    <row r="12796" spans="1:1" x14ac:dyDescent="0.25">
      <c r="A12796" t="s">
        <v>11890</v>
      </c>
    </row>
    <row r="12797" spans="1:1" x14ac:dyDescent="0.25">
      <c r="A12797" t="s">
        <v>11891</v>
      </c>
    </row>
    <row r="12798" spans="1:1" x14ac:dyDescent="0.25">
      <c r="A12798" t="s">
        <v>11892</v>
      </c>
    </row>
    <row r="12799" spans="1:1" x14ac:dyDescent="0.25">
      <c r="A12799" t="s">
        <v>11893</v>
      </c>
    </row>
    <row r="12800" spans="1:1" x14ac:dyDescent="0.25">
      <c r="A12800" t="s">
        <v>11894</v>
      </c>
    </row>
    <row r="12801" spans="1:1" x14ac:dyDescent="0.25">
      <c r="A12801" t="s">
        <v>11895</v>
      </c>
    </row>
    <row r="12802" spans="1:1" x14ac:dyDescent="0.25">
      <c r="A12802" t="s">
        <v>11896</v>
      </c>
    </row>
    <row r="12803" spans="1:1" x14ac:dyDescent="0.25">
      <c r="A12803" t="s">
        <v>11897</v>
      </c>
    </row>
    <row r="12804" spans="1:1" x14ac:dyDescent="0.25">
      <c r="A12804" t="s">
        <v>11898</v>
      </c>
    </row>
    <row r="12805" spans="1:1" x14ac:dyDescent="0.25">
      <c r="A12805" t="s">
        <v>11899</v>
      </c>
    </row>
    <row r="12806" spans="1:1" x14ac:dyDescent="0.25">
      <c r="A12806" t="s">
        <v>11900</v>
      </c>
    </row>
    <row r="12807" spans="1:1" x14ac:dyDescent="0.25">
      <c r="A12807" t="s">
        <v>11901</v>
      </c>
    </row>
    <row r="12808" spans="1:1" x14ac:dyDescent="0.25">
      <c r="A12808" t="s">
        <v>11902</v>
      </c>
    </row>
    <row r="12809" spans="1:1" x14ac:dyDescent="0.25">
      <c r="A12809" t="s">
        <v>11903</v>
      </c>
    </row>
    <row r="12811" spans="1:1" x14ac:dyDescent="0.25">
      <c r="A12811" t="s">
        <v>11904</v>
      </c>
    </row>
    <row r="12812" spans="1:1" x14ac:dyDescent="0.25">
      <c r="A12812" t="s">
        <v>11905</v>
      </c>
    </row>
    <row r="12813" spans="1:1" x14ac:dyDescent="0.25">
      <c r="A12813" t="s">
        <v>11906</v>
      </c>
    </row>
    <row r="12814" spans="1:1" x14ac:dyDescent="0.25">
      <c r="A12814" t="s">
        <v>11907</v>
      </c>
    </row>
    <row r="12815" spans="1:1" x14ac:dyDescent="0.25">
      <c r="A12815" t="s">
        <v>11908</v>
      </c>
    </row>
    <row r="12816" spans="1:1" x14ac:dyDescent="0.25">
      <c r="A12816" t="s">
        <v>11909</v>
      </c>
    </row>
    <row r="12817" spans="1:1" x14ac:dyDescent="0.25">
      <c r="A12817" t="s">
        <v>11910</v>
      </c>
    </row>
    <row r="12818" spans="1:1" x14ac:dyDescent="0.25">
      <c r="A12818" t="s">
        <v>11911</v>
      </c>
    </row>
    <row r="12819" spans="1:1" x14ac:dyDescent="0.25">
      <c r="A12819" t="s">
        <v>11912</v>
      </c>
    </row>
    <row r="12820" spans="1:1" x14ac:dyDescent="0.25">
      <c r="A12820" t="s">
        <v>11913</v>
      </c>
    </row>
    <row r="12821" spans="1:1" x14ac:dyDescent="0.25">
      <c r="A12821" t="s">
        <v>11914</v>
      </c>
    </row>
    <row r="12822" spans="1:1" x14ac:dyDescent="0.25">
      <c r="A12822" t="s">
        <v>11915</v>
      </c>
    </row>
    <row r="12823" spans="1:1" x14ac:dyDescent="0.25">
      <c r="A12823" t="s">
        <v>11916</v>
      </c>
    </row>
    <row r="12824" spans="1:1" x14ac:dyDescent="0.25">
      <c r="A12824" t="s">
        <v>11917</v>
      </c>
    </row>
    <row r="12825" spans="1:1" x14ac:dyDescent="0.25">
      <c r="A12825" t="s">
        <v>11918</v>
      </c>
    </row>
    <row r="12826" spans="1:1" x14ac:dyDescent="0.25">
      <c r="A12826" t="s">
        <v>11919</v>
      </c>
    </row>
    <row r="12827" spans="1:1" x14ac:dyDescent="0.25">
      <c r="A12827" t="s">
        <v>11920</v>
      </c>
    </row>
    <row r="12828" spans="1:1" x14ac:dyDescent="0.25">
      <c r="A12828" t="s">
        <v>11921</v>
      </c>
    </row>
    <row r="12829" spans="1:1" x14ac:dyDescent="0.25">
      <c r="A12829" t="s">
        <v>11922</v>
      </c>
    </row>
    <row r="12831" spans="1:1" x14ac:dyDescent="0.25">
      <c r="A12831" t="s">
        <v>11923</v>
      </c>
    </row>
    <row r="12832" spans="1:1" x14ac:dyDescent="0.25">
      <c r="A12832" t="s">
        <v>11924</v>
      </c>
    </row>
    <row r="12833" spans="1:1" x14ac:dyDescent="0.25">
      <c r="A12833" t="s">
        <v>11925</v>
      </c>
    </row>
    <row r="12834" spans="1:1" x14ac:dyDescent="0.25">
      <c r="A12834" t="s">
        <v>11926</v>
      </c>
    </row>
    <row r="12835" spans="1:1" x14ac:dyDescent="0.25">
      <c r="A12835" t="s">
        <v>11927</v>
      </c>
    </row>
    <row r="12836" spans="1:1" x14ac:dyDescent="0.25">
      <c r="A12836" t="s">
        <v>11928</v>
      </c>
    </row>
    <row r="12837" spans="1:1" x14ac:dyDescent="0.25">
      <c r="A12837" t="s">
        <v>11929</v>
      </c>
    </row>
    <row r="12838" spans="1:1" x14ac:dyDescent="0.25">
      <c r="A12838" t="s">
        <v>11930</v>
      </c>
    </row>
    <row r="12839" spans="1:1" x14ac:dyDescent="0.25">
      <c r="A12839" t="s">
        <v>11931</v>
      </c>
    </row>
    <row r="12840" spans="1:1" x14ac:dyDescent="0.25">
      <c r="A12840" t="s">
        <v>11932</v>
      </c>
    </row>
    <row r="12841" spans="1:1" x14ac:dyDescent="0.25">
      <c r="A12841" t="s">
        <v>11933</v>
      </c>
    </row>
    <row r="12842" spans="1:1" x14ac:dyDescent="0.25">
      <c r="A12842" t="s">
        <v>11934</v>
      </c>
    </row>
    <row r="12843" spans="1:1" x14ac:dyDescent="0.25">
      <c r="A12843" t="s">
        <v>11935</v>
      </c>
    </row>
    <row r="12844" spans="1:1" x14ac:dyDescent="0.25">
      <c r="A12844" t="s">
        <v>11936</v>
      </c>
    </row>
    <row r="12845" spans="1:1" x14ac:dyDescent="0.25">
      <c r="A12845" t="s">
        <v>11937</v>
      </c>
    </row>
    <row r="12846" spans="1:1" x14ac:dyDescent="0.25">
      <c r="A12846" t="s">
        <v>11938</v>
      </c>
    </row>
    <row r="12847" spans="1:1" x14ac:dyDescent="0.25">
      <c r="A12847" t="s">
        <v>11939</v>
      </c>
    </row>
    <row r="12848" spans="1:1" x14ac:dyDescent="0.25">
      <c r="A12848" t="s">
        <v>11940</v>
      </c>
    </row>
    <row r="12849" spans="1:1" x14ac:dyDescent="0.25">
      <c r="A12849" t="s">
        <v>11941</v>
      </c>
    </row>
    <row r="12850" spans="1:1" x14ac:dyDescent="0.25">
      <c r="A12850" t="s">
        <v>11942</v>
      </c>
    </row>
    <row r="12851" spans="1:1" x14ac:dyDescent="0.25">
      <c r="A12851" t="s">
        <v>11943</v>
      </c>
    </row>
    <row r="12852" spans="1:1" x14ac:dyDescent="0.25">
      <c r="A12852" t="s">
        <v>11944</v>
      </c>
    </row>
    <row r="12853" spans="1:1" x14ac:dyDescent="0.25">
      <c r="A12853" t="s">
        <v>11945</v>
      </c>
    </row>
    <row r="12854" spans="1:1" x14ac:dyDescent="0.25">
      <c r="A12854" t="s">
        <v>11946</v>
      </c>
    </row>
    <row r="12855" spans="1:1" x14ac:dyDescent="0.25">
      <c r="A12855" t="s">
        <v>11947</v>
      </c>
    </row>
    <row r="12856" spans="1:1" x14ac:dyDescent="0.25">
      <c r="A12856" t="s">
        <v>11948</v>
      </c>
    </row>
    <row r="12857" spans="1:1" x14ac:dyDescent="0.25">
      <c r="A12857" t="s">
        <v>11949</v>
      </c>
    </row>
    <row r="12858" spans="1:1" x14ac:dyDescent="0.25">
      <c r="A12858" t="s">
        <v>11950</v>
      </c>
    </row>
    <row r="12859" spans="1:1" x14ac:dyDescent="0.25">
      <c r="A12859" t="s">
        <v>11951</v>
      </c>
    </row>
    <row r="12860" spans="1:1" x14ac:dyDescent="0.25">
      <c r="A12860" t="s">
        <v>11952</v>
      </c>
    </row>
    <row r="12861" spans="1:1" x14ac:dyDescent="0.25">
      <c r="A12861" t="s">
        <v>11953</v>
      </c>
    </row>
    <row r="12862" spans="1:1" x14ac:dyDescent="0.25">
      <c r="A12862" t="s">
        <v>11954</v>
      </c>
    </row>
    <row r="12863" spans="1:1" x14ac:dyDescent="0.25">
      <c r="A12863" t="s">
        <v>11955</v>
      </c>
    </row>
    <row r="12864" spans="1:1" x14ac:dyDescent="0.25">
      <c r="A12864" t="s">
        <v>11956</v>
      </c>
    </row>
    <row r="12865" spans="1:1" x14ac:dyDescent="0.25">
      <c r="A12865" t="s">
        <v>11957</v>
      </c>
    </row>
    <row r="12866" spans="1:1" x14ac:dyDescent="0.25">
      <c r="A12866" t="s">
        <v>11958</v>
      </c>
    </row>
    <row r="12867" spans="1:1" x14ac:dyDescent="0.25">
      <c r="A12867" t="s">
        <v>11959</v>
      </c>
    </row>
    <row r="12868" spans="1:1" x14ac:dyDescent="0.25">
      <c r="A12868" t="s">
        <v>11960</v>
      </c>
    </row>
    <row r="12869" spans="1:1" x14ac:dyDescent="0.25">
      <c r="A12869" t="s">
        <v>11961</v>
      </c>
    </row>
    <row r="12870" spans="1:1" x14ac:dyDescent="0.25">
      <c r="A12870" t="s">
        <v>11962</v>
      </c>
    </row>
    <row r="12871" spans="1:1" x14ac:dyDescent="0.25">
      <c r="A12871" t="s">
        <v>11963</v>
      </c>
    </row>
    <row r="12872" spans="1:1" x14ac:dyDescent="0.25">
      <c r="A12872" t="s">
        <v>11964</v>
      </c>
    </row>
    <row r="12873" spans="1:1" x14ac:dyDescent="0.25">
      <c r="A12873" t="s">
        <v>11965</v>
      </c>
    </row>
    <row r="12874" spans="1:1" x14ac:dyDescent="0.25">
      <c r="A12874" t="s">
        <v>11966</v>
      </c>
    </row>
    <row r="12875" spans="1:1" x14ac:dyDescent="0.25">
      <c r="A12875" t="s">
        <v>11967</v>
      </c>
    </row>
    <row r="12876" spans="1:1" x14ac:dyDescent="0.25">
      <c r="A12876" t="s">
        <v>11968</v>
      </c>
    </row>
    <row r="12877" spans="1:1" x14ac:dyDescent="0.25">
      <c r="A12877" t="s">
        <v>11969</v>
      </c>
    </row>
    <row r="12878" spans="1:1" x14ac:dyDescent="0.25">
      <c r="A12878" t="s">
        <v>11970</v>
      </c>
    </row>
    <row r="12879" spans="1:1" x14ac:dyDescent="0.25">
      <c r="A12879" t="s">
        <v>11971</v>
      </c>
    </row>
    <row r="12880" spans="1:1" x14ac:dyDescent="0.25">
      <c r="A12880" t="s">
        <v>11972</v>
      </c>
    </row>
    <row r="12882" spans="1:1" x14ac:dyDescent="0.25">
      <c r="A12882" t="s">
        <v>11973</v>
      </c>
    </row>
    <row r="12883" spans="1:1" x14ac:dyDescent="0.25">
      <c r="A12883" t="s">
        <v>11974</v>
      </c>
    </row>
    <row r="12884" spans="1:1" x14ac:dyDescent="0.25">
      <c r="A12884" t="s">
        <v>11975</v>
      </c>
    </row>
    <row r="12885" spans="1:1" x14ac:dyDescent="0.25">
      <c r="A12885" t="s">
        <v>11976</v>
      </c>
    </row>
    <row r="12886" spans="1:1" x14ac:dyDescent="0.25">
      <c r="A12886" t="s">
        <v>11977</v>
      </c>
    </row>
    <row r="12887" spans="1:1" x14ac:dyDescent="0.25">
      <c r="A12887" t="s">
        <v>11978</v>
      </c>
    </row>
    <row r="12888" spans="1:1" x14ac:dyDescent="0.25">
      <c r="A12888" t="s">
        <v>11979</v>
      </c>
    </row>
    <row r="12889" spans="1:1" x14ac:dyDescent="0.25">
      <c r="A12889" t="s">
        <v>11980</v>
      </c>
    </row>
    <row r="12890" spans="1:1" x14ac:dyDescent="0.25">
      <c r="A12890" t="s">
        <v>11981</v>
      </c>
    </row>
    <row r="12891" spans="1:1" x14ac:dyDescent="0.25">
      <c r="A12891" t="s">
        <v>11982</v>
      </c>
    </row>
    <row r="12892" spans="1:1" x14ac:dyDescent="0.25">
      <c r="A12892" t="s">
        <v>11983</v>
      </c>
    </row>
    <row r="12893" spans="1:1" x14ac:dyDescent="0.25">
      <c r="A12893" t="s">
        <v>11984</v>
      </c>
    </row>
    <row r="12894" spans="1:1" x14ac:dyDescent="0.25">
      <c r="A12894" t="s">
        <v>11985</v>
      </c>
    </row>
    <row r="12895" spans="1:1" x14ac:dyDescent="0.25">
      <c r="A12895" t="s">
        <v>11986</v>
      </c>
    </row>
    <row r="12896" spans="1:1" x14ac:dyDescent="0.25">
      <c r="A12896" t="s">
        <v>11987</v>
      </c>
    </row>
    <row r="12897" spans="1:1" x14ac:dyDescent="0.25">
      <c r="A12897" t="s">
        <v>11988</v>
      </c>
    </row>
    <row r="12898" spans="1:1" x14ac:dyDescent="0.25">
      <c r="A12898" t="s">
        <v>11989</v>
      </c>
    </row>
    <row r="12899" spans="1:1" x14ac:dyDescent="0.25">
      <c r="A12899" t="s">
        <v>11990</v>
      </c>
    </row>
    <row r="12900" spans="1:1" x14ac:dyDescent="0.25">
      <c r="A12900" t="s">
        <v>11991</v>
      </c>
    </row>
    <row r="12901" spans="1:1" x14ac:dyDescent="0.25">
      <c r="A12901" t="s">
        <v>11992</v>
      </c>
    </row>
    <row r="12902" spans="1:1" x14ac:dyDescent="0.25">
      <c r="A12902" t="s">
        <v>11993</v>
      </c>
    </row>
    <row r="12903" spans="1:1" x14ac:dyDescent="0.25">
      <c r="A12903" t="s">
        <v>11994</v>
      </c>
    </row>
    <row r="12904" spans="1:1" x14ac:dyDescent="0.25">
      <c r="A12904" t="s">
        <v>11995</v>
      </c>
    </row>
    <row r="12905" spans="1:1" x14ac:dyDescent="0.25">
      <c r="A12905" t="s">
        <v>11996</v>
      </c>
    </row>
    <row r="12906" spans="1:1" x14ac:dyDescent="0.25">
      <c r="A12906" t="s">
        <v>11997</v>
      </c>
    </row>
    <row r="12907" spans="1:1" x14ac:dyDescent="0.25">
      <c r="A12907" t="s">
        <v>11998</v>
      </c>
    </row>
    <row r="12908" spans="1:1" x14ac:dyDescent="0.25">
      <c r="A12908" t="s">
        <v>11999</v>
      </c>
    </row>
    <row r="12909" spans="1:1" x14ac:dyDescent="0.25">
      <c r="A12909" t="s">
        <v>12000</v>
      </c>
    </row>
    <row r="12910" spans="1:1" x14ac:dyDescent="0.25">
      <c r="A12910" t="s">
        <v>12001</v>
      </c>
    </row>
    <row r="12911" spans="1:1" x14ac:dyDescent="0.25">
      <c r="A12911" t="s">
        <v>12002</v>
      </c>
    </row>
    <row r="12912" spans="1:1" x14ac:dyDescent="0.25">
      <c r="A12912" t="s">
        <v>12003</v>
      </c>
    </row>
    <row r="12913" spans="1:1" x14ac:dyDescent="0.25">
      <c r="A12913" t="s">
        <v>12004</v>
      </c>
    </row>
    <row r="12914" spans="1:1" x14ac:dyDescent="0.25">
      <c r="A12914" t="s">
        <v>12005</v>
      </c>
    </row>
    <row r="12915" spans="1:1" x14ac:dyDescent="0.25">
      <c r="A12915" t="s">
        <v>12006</v>
      </c>
    </row>
    <row r="12916" spans="1:1" x14ac:dyDescent="0.25">
      <c r="A12916" t="s">
        <v>12007</v>
      </c>
    </row>
    <row r="12917" spans="1:1" x14ac:dyDescent="0.25">
      <c r="A12917" t="s">
        <v>12008</v>
      </c>
    </row>
    <row r="12918" spans="1:1" x14ac:dyDescent="0.25">
      <c r="A12918" t="s">
        <v>12009</v>
      </c>
    </row>
    <row r="12919" spans="1:1" x14ac:dyDescent="0.25">
      <c r="A12919" t="s">
        <v>12010</v>
      </c>
    </row>
    <row r="12920" spans="1:1" x14ac:dyDescent="0.25">
      <c r="A12920" t="s">
        <v>12011</v>
      </c>
    </row>
    <row r="12921" spans="1:1" x14ac:dyDescent="0.25">
      <c r="A12921" t="s">
        <v>12012</v>
      </c>
    </row>
    <row r="12922" spans="1:1" x14ac:dyDescent="0.25">
      <c r="A12922" t="s">
        <v>12013</v>
      </c>
    </row>
    <row r="12923" spans="1:1" x14ac:dyDescent="0.25">
      <c r="A12923" t="s">
        <v>12014</v>
      </c>
    </row>
    <row r="12924" spans="1:1" x14ac:dyDescent="0.25">
      <c r="A12924" t="s">
        <v>12015</v>
      </c>
    </row>
    <row r="12925" spans="1:1" x14ac:dyDescent="0.25">
      <c r="A12925" t="s">
        <v>12016</v>
      </c>
    </row>
    <row r="12926" spans="1:1" x14ac:dyDescent="0.25">
      <c r="A12926" t="s">
        <v>12017</v>
      </c>
    </row>
    <row r="12927" spans="1:1" x14ac:dyDescent="0.25">
      <c r="A12927" t="s">
        <v>12018</v>
      </c>
    </row>
    <row r="12928" spans="1:1" x14ac:dyDescent="0.25">
      <c r="A12928" t="s">
        <v>12019</v>
      </c>
    </row>
    <row r="12929" spans="1:1" x14ac:dyDescent="0.25">
      <c r="A12929" t="s">
        <v>12020</v>
      </c>
    </row>
    <row r="12930" spans="1:1" x14ac:dyDescent="0.25">
      <c r="A12930" t="s">
        <v>12021</v>
      </c>
    </row>
    <row r="12931" spans="1:1" x14ac:dyDescent="0.25">
      <c r="A12931" t="s">
        <v>12022</v>
      </c>
    </row>
    <row r="12932" spans="1:1" x14ac:dyDescent="0.25">
      <c r="A12932" t="s">
        <v>12023</v>
      </c>
    </row>
    <row r="12933" spans="1:1" x14ac:dyDescent="0.25">
      <c r="A12933" t="s">
        <v>12024</v>
      </c>
    </row>
    <row r="12934" spans="1:1" x14ac:dyDescent="0.25">
      <c r="A12934" t="s">
        <v>12025</v>
      </c>
    </row>
    <row r="12935" spans="1:1" x14ac:dyDescent="0.25">
      <c r="A12935" t="s">
        <v>12026</v>
      </c>
    </row>
    <row r="12936" spans="1:1" x14ac:dyDescent="0.25">
      <c r="A12936" t="s">
        <v>12027</v>
      </c>
    </row>
    <row r="12937" spans="1:1" x14ac:dyDescent="0.25">
      <c r="A12937" t="s">
        <v>12028</v>
      </c>
    </row>
    <row r="12938" spans="1:1" x14ac:dyDescent="0.25">
      <c r="A12938" t="s">
        <v>12029</v>
      </c>
    </row>
    <row r="12939" spans="1:1" x14ac:dyDescent="0.25">
      <c r="A12939" t="s">
        <v>12030</v>
      </c>
    </row>
    <row r="12940" spans="1:1" x14ac:dyDescent="0.25">
      <c r="A12940" t="s">
        <v>12031</v>
      </c>
    </row>
    <row r="12941" spans="1:1" x14ac:dyDescent="0.25">
      <c r="A12941" t="s">
        <v>12032</v>
      </c>
    </row>
    <row r="12942" spans="1:1" x14ac:dyDescent="0.25">
      <c r="A12942" t="s">
        <v>12033</v>
      </c>
    </row>
    <row r="12943" spans="1:1" x14ac:dyDescent="0.25">
      <c r="A12943" t="s">
        <v>12034</v>
      </c>
    </row>
    <row r="12944" spans="1:1" x14ac:dyDescent="0.25">
      <c r="A12944" t="s">
        <v>12035</v>
      </c>
    </row>
    <row r="12945" spans="1:1" x14ac:dyDescent="0.25">
      <c r="A12945" t="s">
        <v>12036</v>
      </c>
    </row>
    <row r="12946" spans="1:1" x14ac:dyDescent="0.25">
      <c r="A12946" t="s">
        <v>12037</v>
      </c>
    </row>
    <row r="12947" spans="1:1" x14ac:dyDescent="0.25">
      <c r="A12947" t="s">
        <v>12038</v>
      </c>
    </row>
    <row r="12948" spans="1:1" x14ac:dyDescent="0.25">
      <c r="A12948" t="s">
        <v>12039</v>
      </c>
    </row>
    <row r="12949" spans="1:1" x14ac:dyDescent="0.25">
      <c r="A12949" t="s">
        <v>12040</v>
      </c>
    </row>
    <row r="12950" spans="1:1" x14ac:dyDescent="0.25">
      <c r="A12950" t="s">
        <v>12041</v>
      </c>
    </row>
    <row r="12951" spans="1:1" x14ac:dyDescent="0.25">
      <c r="A12951" t="s">
        <v>12042</v>
      </c>
    </row>
    <row r="12953" spans="1:1" x14ac:dyDescent="0.25">
      <c r="A12953" t="s">
        <v>12043</v>
      </c>
    </row>
    <row r="12954" spans="1:1" x14ac:dyDescent="0.25">
      <c r="A12954" t="s">
        <v>12044</v>
      </c>
    </row>
    <row r="12955" spans="1:1" x14ac:dyDescent="0.25">
      <c r="A12955" t="s">
        <v>12045</v>
      </c>
    </row>
    <row r="12956" spans="1:1" x14ac:dyDescent="0.25">
      <c r="A12956" t="s">
        <v>12046</v>
      </c>
    </row>
    <row r="12957" spans="1:1" x14ac:dyDescent="0.25">
      <c r="A12957" t="s">
        <v>12047</v>
      </c>
    </row>
    <row r="12958" spans="1:1" x14ac:dyDescent="0.25">
      <c r="A12958" t="s">
        <v>12048</v>
      </c>
    </row>
    <row r="12959" spans="1:1" x14ac:dyDescent="0.25">
      <c r="A12959" t="s">
        <v>12049</v>
      </c>
    </row>
    <row r="12960" spans="1:1" x14ac:dyDescent="0.25">
      <c r="A12960" t="s">
        <v>12050</v>
      </c>
    </row>
    <row r="12961" spans="1:1" x14ac:dyDescent="0.25">
      <c r="A12961" t="s">
        <v>12051</v>
      </c>
    </row>
    <row r="12962" spans="1:1" x14ac:dyDescent="0.25">
      <c r="A12962" t="s">
        <v>12052</v>
      </c>
    </row>
    <row r="12963" spans="1:1" x14ac:dyDescent="0.25">
      <c r="A12963" t="s">
        <v>12053</v>
      </c>
    </row>
    <row r="12964" spans="1:1" x14ac:dyDescent="0.25">
      <c r="A12964" t="s">
        <v>12054</v>
      </c>
    </row>
    <row r="12965" spans="1:1" x14ac:dyDescent="0.25">
      <c r="A12965" t="s">
        <v>12055</v>
      </c>
    </row>
    <row r="12966" spans="1:1" x14ac:dyDescent="0.25">
      <c r="A12966" t="s">
        <v>12056</v>
      </c>
    </row>
    <row r="12967" spans="1:1" x14ac:dyDescent="0.25">
      <c r="A12967" t="s">
        <v>12057</v>
      </c>
    </row>
    <row r="12968" spans="1:1" x14ac:dyDescent="0.25">
      <c r="A12968" t="s">
        <v>12058</v>
      </c>
    </row>
    <row r="12969" spans="1:1" x14ac:dyDescent="0.25">
      <c r="A12969" t="s">
        <v>12059</v>
      </c>
    </row>
    <row r="12970" spans="1:1" x14ac:dyDescent="0.25">
      <c r="A12970" t="s">
        <v>12060</v>
      </c>
    </row>
    <row r="12971" spans="1:1" x14ac:dyDescent="0.25">
      <c r="A12971" t="s">
        <v>12061</v>
      </c>
    </row>
    <row r="12972" spans="1:1" x14ac:dyDescent="0.25">
      <c r="A12972" t="s">
        <v>12062</v>
      </c>
    </row>
    <row r="12973" spans="1:1" x14ac:dyDescent="0.25">
      <c r="A12973" t="s">
        <v>12063</v>
      </c>
    </row>
    <row r="12974" spans="1:1" x14ac:dyDescent="0.25">
      <c r="A12974" t="s">
        <v>12064</v>
      </c>
    </row>
    <row r="12977" spans="1:1" x14ac:dyDescent="0.25">
      <c r="A12977" t="s">
        <v>12065</v>
      </c>
    </row>
    <row r="12978" spans="1:1" x14ac:dyDescent="0.25">
      <c r="A12978" t="s">
        <v>12066</v>
      </c>
    </row>
    <row r="12979" spans="1:1" x14ac:dyDescent="0.25">
      <c r="A12979" t="s">
        <v>12067</v>
      </c>
    </row>
    <row r="12980" spans="1:1" x14ac:dyDescent="0.25">
      <c r="A12980" t="s">
        <v>12068</v>
      </c>
    </row>
    <row r="12981" spans="1:1" x14ac:dyDescent="0.25">
      <c r="A12981" t="s">
        <v>12069</v>
      </c>
    </row>
    <row r="12983" spans="1:1" x14ac:dyDescent="0.25">
      <c r="A12983" t="s">
        <v>12070</v>
      </c>
    </row>
    <row r="12984" spans="1:1" x14ac:dyDescent="0.25">
      <c r="A12984" t="s">
        <v>12071</v>
      </c>
    </row>
    <row r="12985" spans="1:1" x14ac:dyDescent="0.25">
      <c r="A12985" t="s">
        <v>12072</v>
      </c>
    </row>
    <row r="12986" spans="1:1" x14ac:dyDescent="0.25">
      <c r="A12986" t="s">
        <v>12073</v>
      </c>
    </row>
    <row r="12987" spans="1:1" x14ac:dyDescent="0.25">
      <c r="A12987" t="s">
        <v>12074</v>
      </c>
    </row>
    <row r="12988" spans="1:1" x14ac:dyDescent="0.25">
      <c r="A12988" t="s">
        <v>12075</v>
      </c>
    </row>
    <row r="12989" spans="1:1" x14ac:dyDescent="0.25">
      <c r="A12989" t="s">
        <v>12076</v>
      </c>
    </row>
    <row r="12990" spans="1:1" x14ac:dyDescent="0.25">
      <c r="A12990" t="s">
        <v>12077</v>
      </c>
    </row>
    <row r="12991" spans="1:1" x14ac:dyDescent="0.25">
      <c r="A12991" t="s">
        <v>12078</v>
      </c>
    </row>
    <row r="12992" spans="1:1" x14ac:dyDescent="0.25">
      <c r="A12992" t="s">
        <v>12079</v>
      </c>
    </row>
    <row r="12993" spans="1:1" x14ac:dyDescent="0.25">
      <c r="A12993" t="s">
        <v>12080</v>
      </c>
    </row>
    <row r="12994" spans="1:1" x14ac:dyDescent="0.25">
      <c r="A12994" t="s">
        <v>12081</v>
      </c>
    </row>
    <row r="12995" spans="1:1" x14ac:dyDescent="0.25">
      <c r="A12995" t="s">
        <v>12082</v>
      </c>
    </row>
    <row r="12996" spans="1:1" x14ac:dyDescent="0.25">
      <c r="A12996" t="s">
        <v>12083</v>
      </c>
    </row>
    <row r="12997" spans="1:1" x14ac:dyDescent="0.25">
      <c r="A12997" t="s">
        <v>12084</v>
      </c>
    </row>
    <row r="12998" spans="1:1" x14ac:dyDescent="0.25">
      <c r="A12998" t="s">
        <v>12085</v>
      </c>
    </row>
    <row r="12999" spans="1:1" x14ac:dyDescent="0.25">
      <c r="A12999" t="s">
        <v>12086</v>
      </c>
    </row>
    <row r="13001" spans="1:1" x14ac:dyDescent="0.25">
      <c r="A13001" t="s">
        <v>12087</v>
      </c>
    </row>
    <row r="13002" spans="1:1" x14ac:dyDescent="0.25">
      <c r="A13002" t="s">
        <v>12088</v>
      </c>
    </row>
    <row r="13003" spans="1:1" x14ac:dyDescent="0.25">
      <c r="A13003" t="s">
        <v>12089</v>
      </c>
    </row>
    <row r="13004" spans="1:1" x14ac:dyDescent="0.25">
      <c r="A13004" t="s">
        <v>12090</v>
      </c>
    </row>
    <row r="13005" spans="1:1" x14ac:dyDescent="0.25">
      <c r="A13005" t="s">
        <v>12091</v>
      </c>
    </row>
    <row r="13006" spans="1:1" x14ac:dyDescent="0.25">
      <c r="A13006" t="s">
        <v>12092</v>
      </c>
    </row>
    <row r="13007" spans="1:1" x14ac:dyDescent="0.25">
      <c r="A13007" t="s">
        <v>12093</v>
      </c>
    </row>
    <row r="13009" spans="1:1" x14ac:dyDescent="0.25">
      <c r="A13009" t="s">
        <v>12094</v>
      </c>
    </row>
    <row r="13010" spans="1:1" x14ac:dyDescent="0.25">
      <c r="A13010" t="s">
        <v>12095</v>
      </c>
    </row>
    <row r="13011" spans="1:1" x14ac:dyDescent="0.25">
      <c r="A13011" t="s">
        <v>12096</v>
      </c>
    </row>
    <row r="13012" spans="1:1" x14ac:dyDescent="0.25">
      <c r="A13012" t="s">
        <v>12097</v>
      </c>
    </row>
    <row r="13013" spans="1:1" x14ac:dyDescent="0.25">
      <c r="A13013" t="s">
        <v>12098</v>
      </c>
    </row>
    <row r="13014" spans="1:1" x14ac:dyDescent="0.25">
      <c r="A13014" t="s">
        <v>12099</v>
      </c>
    </row>
    <row r="13015" spans="1:1" x14ac:dyDescent="0.25">
      <c r="A13015" t="s">
        <v>12100</v>
      </c>
    </row>
    <row r="13016" spans="1:1" x14ac:dyDescent="0.25">
      <c r="A13016" t="s">
        <v>12101</v>
      </c>
    </row>
    <row r="13017" spans="1:1" x14ac:dyDescent="0.25">
      <c r="A13017" t="s">
        <v>12102</v>
      </c>
    </row>
    <row r="13018" spans="1:1" x14ac:dyDescent="0.25">
      <c r="A13018" t="s">
        <v>12103</v>
      </c>
    </row>
    <row r="13019" spans="1:1" x14ac:dyDescent="0.25">
      <c r="A13019" t="s">
        <v>12104</v>
      </c>
    </row>
    <row r="13020" spans="1:1" x14ac:dyDescent="0.25">
      <c r="A13020" t="s">
        <v>12105</v>
      </c>
    </row>
    <row r="13021" spans="1:1" x14ac:dyDescent="0.25">
      <c r="A13021" t="s">
        <v>12106</v>
      </c>
    </row>
    <row r="13022" spans="1:1" x14ac:dyDescent="0.25">
      <c r="A13022" t="s">
        <v>12107</v>
      </c>
    </row>
    <row r="13023" spans="1:1" x14ac:dyDescent="0.25">
      <c r="A13023" t="s">
        <v>12108</v>
      </c>
    </row>
    <row r="13024" spans="1:1" x14ac:dyDescent="0.25">
      <c r="A13024" t="s">
        <v>12109</v>
      </c>
    </row>
    <row r="13025" spans="1:1" x14ac:dyDescent="0.25">
      <c r="A13025" t="s">
        <v>12110</v>
      </c>
    </row>
    <row r="13026" spans="1:1" x14ac:dyDescent="0.25">
      <c r="A13026" t="s">
        <v>12111</v>
      </c>
    </row>
    <row r="13027" spans="1:1" x14ac:dyDescent="0.25">
      <c r="A13027" t="s">
        <v>12112</v>
      </c>
    </row>
    <row r="13028" spans="1:1" x14ac:dyDescent="0.25">
      <c r="A13028" t="s">
        <v>12113</v>
      </c>
    </row>
    <row r="13029" spans="1:1" x14ac:dyDescent="0.25">
      <c r="A13029" t="s">
        <v>12114</v>
      </c>
    </row>
    <row r="13030" spans="1:1" x14ac:dyDescent="0.25">
      <c r="A13030" t="s">
        <v>12115</v>
      </c>
    </row>
    <row r="13031" spans="1:1" x14ac:dyDescent="0.25">
      <c r="A13031" t="s">
        <v>12116</v>
      </c>
    </row>
    <row r="13032" spans="1:1" x14ac:dyDescent="0.25">
      <c r="A13032" t="s">
        <v>12117</v>
      </c>
    </row>
    <row r="13033" spans="1:1" x14ac:dyDescent="0.25">
      <c r="A13033" t="s">
        <v>12118</v>
      </c>
    </row>
    <row r="13034" spans="1:1" x14ac:dyDescent="0.25">
      <c r="A13034" t="s">
        <v>12119</v>
      </c>
    </row>
    <row r="13035" spans="1:1" x14ac:dyDescent="0.25">
      <c r="A13035" t="s">
        <v>12120</v>
      </c>
    </row>
    <row r="13036" spans="1:1" x14ac:dyDescent="0.25">
      <c r="A13036" t="s">
        <v>12121</v>
      </c>
    </row>
    <row r="13037" spans="1:1" x14ac:dyDescent="0.25">
      <c r="A13037">
        <v>957273984</v>
      </c>
    </row>
    <row r="13038" spans="1:1" x14ac:dyDescent="0.25">
      <c r="A13038" t="s">
        <v>12122</v>
      </c>
    </row>
    <row r="13039" spans="1:1" x14ac:dyDescent="0.25">
      <c r="A13039" t="s">
        <v>12123</v>
      </c>
    </row>
    <row r="13040" spans="1:1" x14ac:dyDescent="0.25">
      <c r="A13040" t="s">
        <v>12124</v>
      </c>
    </row>
    <row r="13041" spans="1:2" x14ac:dyDescent="0.25">
      <c r="A13041" t="s">
        <v>12125</v>
      </c>
    </row>
    <row r="13043" spans="1:2" x14ac:dyDescent="0.25">
      <c r="A13043" t="s">
        <v>12126</v>
      </c>
    </row>
    <row r="13044" spans="1:2" x14ac:dyDescent="0.25">
      <c r="A13044" t="s">
        <v>12127</v>
      </c>
    </row>
    <row r="13045" spans="1:2" x14ac:dyDescent="0.25">
      <c r="A13045" t="s">
        <v>12128</v>
      </c>
    </row>
    <row r="13046" spans="1:2" x14ac:dyDescent="0.25">
      <c r="A13046" t="s">
        <v>12129</v>
      </c>
    </row>
    <row r="13047" spans="1:2" x14ac:dyDescent="0.25">
      <c r="A13047" t="s">
        <v>12130</v>
      </c>
    </row>
    <row r="13048" spans="1:2" x14ac:dyDescent="0.25">
      <c r="A13048" t="s">
        <v>12131</v>
      </c>
    </row>
    <row r="13049" spans="1:2" x14ac:dyDescent="0.25">
      <c r="A13049" t="s">
        <v>12132</v>
      </c>
    </row>
    <row r="13050" spans="1:2" x14ac:dyDescent="0.25">
      <c r="A13050" t="s">
        <v>12133</v>
      </c>
      <c r="B13050">
        <v>201803</v>
      </c>
    </row>
    <row r="13051" spans="1:2" x14ac:dyDescent="0.25">
      <c r="A13051" t="s">
        <v>12134</v>
      </c>
    </row>
    <row r="13052" spans="1:2" x14ac:dyDescent="0.25">
      <c r="A13052" t="s">
        <v>12135</v>
      </c>
    </row>
    <row r="13053" spans="1:2" x14ac:dyDescent="0.25">
      <c r="A13053" t="s">
        <v>12136</v>
      </c>
    </row>
    <row r="13054" spans="1:2" x14ac:dyDescent="0.25">
      <c r="A13054" t="s">
        <v>12137</v>
      </c>
    </row>
    <row r="13055" spans="1:2" x14ac:dyDescent="0.25">
      <c r="A13055" t="s">
        <v>12138</v>
      </c>
    </row>
    <row r="13056" spans="1:2" x14ac:dyDescent="0.25">
      <c r="A13056" t="s">
        <v>12139</v>
      </c>
    </row>
    <row r="13057" spans="1:1" x14ac:dyDescent="0.25">
      <c r="A13057" t="s">
        <v>12140</v>
      </c>
    </row>
    <row r="13058" spans="1:1" x14ac:dyDescent="0.25">
      <c r="A13058" t="s">
        <v>12141</v>
      </c>
    </row>
    <row r="13059" spans="1:1" x14ac:dyDescent="0.25">
      <c r="A13059" t="s">
        <v>1342</v>
      </c>
    </row>
    <row r="13060" spans="1:1" x14ac:dyDescent="0.25">
      <c r="A13060" t="s">
        <v>12142</v>
      </c>
    </row>
    <row r="13061" spans="1:1" x14ac:dyDescent="0.25">
      <c r="A13061" t="s">
        <v>12143</v>
      </c>
    </row>
    <row r="13062" spans="1:1" x14ac:dyDescent="0.25">
      <c r="A13062" t="s">
        <v>12144</v>
      </c>
    </row>
    <row r="13064" spans="1:1" x14ac:dyDescent="0.25">
      <c r="A13064" t="s">
        <v>12145</v>
      </c>
    </row>
    <row r="13065" spans="1:1" x14ac:dyDescent="0.25">
      <c r="A13065" t="s">
        <v>12146</v>
      </c>
    </row>
    <row r="13066" spans="1:1" x14ac:dyDescent="0.25">
      <c r="A13066" t="s">
        <v>12147</v>
      </c>
    </row>
    <row r="13067" spans="1:1" x14ac:dyDescent="0.25">
      <c r="A13067" t="s">
        <v>12148</v>
      </c>
    </row>
    <row r="13068" spans="1:1" x14ac:dyDescent="0.25">
      <c r="A13068" t="s">
        <v>12149</v>
      </c>
    </row>
    <row r="13069" spans="1:1" x14ac:dyDescent="0.25">
      <c r="A13069" t="s">
        <v>12150</v>
      </c>
    </row>
    <row r="13070" spans="1:1" x14ac:dyDescent="0.25">
      <c r="A13070" t="s">
        <v>12151</v>
      </c>
    </row>
    <row r="13071" spans="1:1" x14ac:dyDescent="0.25">
      <c r="A13071" t="s">
        <v>12152</v>
      </c>
    </row>
    <row r="13072" spans="1:1" x14ac:dyDescent="0.25">
      <c r="A13072" t="s">
        <v>12153</v>
      </c>
    </row>
    <row r="13073" spans="1:1" x14ac:dyDescent="0.25">
      <c r="A13073" t="s">
        <v>12154</v>
      </c>
    </row>
    <row r="13074" spans="1:1" x14ac:dyDescent="0.25">
      <c r="A13074" t="s">
        <v>12155</v>
      </c>
    </row>
    <row r="13075" spans="1:1" x14ac:dyDescent="0.25">
      <c r="A13075" t="s">
        <v>12156</v>
      </c>
    </row>
    <row r="13076" spans="1:1" x14ac:dyDescent="0.25">
      <c r="A13076" t="s">
        <v>12157</v>
      </c>
    </row>
    <row r="13077" spans="1:1" x14ac:dyDescent="0.25">
      <c r="A13077" t="s">
        <v>12158</v>
      </c>
    </row>
    <row r="13078" spans="1:1" x14ac:dyDescent="0.25">
      <c r="A13078" t="s">
        <v>12159</v>
      </c>
    </row>
    <row r="13079" spans="1:1" x14ac:dyDescent="0.25">
      <c r="A13079" t="s">
        <v>12160</v>
      </c>
    </row>
    <row r="13080" spans="1:1" x14ac:dyDescent="0.25">
      <c r="A13080" t="s">
        <v>12161</v>
      </c>
    </row>
    <row r="13081" spans="1:1" x14ac:dyDescent="0.25">
      <c r="A13081" t="s">
        <v>12162</v>
      </c>
    </row>
    <row r="13082" spans="1:1" x14ac:dyDescent="0.25">
      <c r="A13082" t="s">
        <v>12163</v>
      </c>
    </row>
    <row r="13083" spans="1:1" x14ac:dyDescent="0.25">
      <c r="A13083" t="s">
        <v>12164</v>
      </c>
    </row>
    <row r="13084" spans="1:1" x14ac:dyDescent="0.25">
      <c r="A13084" t="s">
        <v>12165</v>
      </c>
    </row>
    <row r="13085" spans="1:1" x14ac:dyDescent="0.25">
      <c r="A13085" t="s">
        <v>12166</v>
      </c>
    </row>
    <row r="13086" spans="1:1" x14ac:dyDescent="0.25">
      <c r="A13086" t="s">
        <v>12167</v>
      </c>
    </row>
    <row r="13087" spans="1:1" x14ac:dyDescent="0.25">
      <c r="A13087" t="s">
        <v>12168</v>
      </c>
    </row>
    <row r="13088" spans="1:1" x14ac:dyDescent="0.25">
      <c r="A13088" t="s">
        <v>12169</v>
      </c>
    </row>
    <row r="13089" spans="1:1" x14ac:dyDescent="0.25">
      <c r="A13089" t="s">
        <v>12170</v>
      </c>
    </row>
    <row r="13090" spans="1:1" x14ac:dyDescent="0.25">
      <c r="A13090" t="s">
        <v>12171</v>
      </c>
    </row>
    <row r="13091" spans="1:1" x14ac:dyDescent="0.25">
      <c r="A13091" t="s">
        <v>12172</v>
      </c>
    </row>
    <row r="13092" spans="1:1" x14ac:dyDescent="0.25">
      <c r="A13092" t="s">
        <v>12173</v>
      </c>
    </row>
    <row r="13093" spans="1:1" x14ac:dyDescent="0.25">
      <c r="A13093" t="s">
        <v>12174</v>
      </c>
    </row>
    <row r="13094" spans="1:1" x14ac:dyDescent="0.25">
      <c r="A13094" t="s">
        <v>12175</v>
      </c>
    </row>
    <row r="13095" spans="1:1" x14ac:dyDescent="0.25">
      <c r="A13095" t="s">
        <v>12176</v>
      </c>
    </row>
    <row r="13096" spans="1:1" x14ac:dyDescent="0.25">
      <c r="A13096" t="s">
        <v>12177</v>
      </c>
    </row>
    <row r="13097" spans="1:1" x14ac:dyDescent="0.25">
      <c r="A13097" t="s">
        <v>12178</v>
      </c>
    </row>
    <row r="13098" spans="1:1" x14ac:dyDescent="0.25">
      <c r="A13098" t="s">
        <v>12179</v>
      </c>
    </row>
    <row r="13099" spans="1:1" x14ac:dyDescent="0.25">
      <c r="A13099" t="s">
        <v>12180</v>
      </c>
    </row>
    <row r="13100" spans="1:1" x14ac:dyDescent="0.25">
      <c r="A13100" t="s">
        <v>12181</v>
      </c>
    </row>
    <row r="13101" spans="1:1" x14ac:dyDescent="0.25">
      <c r="A13101" t="s">
        <v>12182</v>
      </c>
    </row>
    <row r="13102" spans="1:1" x14ac:dyDescent="0.25">
      <c r="A13102" t="s">
        <v>12183</v>
      </c>
    </row>
    <row r="13103" spans="1:1" x14ac:dyDescent="0.25">
      <c r="A13103" t="s">
        <v>12184</v>
      </c>
    </row>
    <row r="13104" spans="1:1" x14ac:dyDescent="0.25">
      <c r="A13104" t="s">
        <v>12185</v>
      </c>
    </row>
    <row r="13105" spans="1:1" x14ac:dyDescent="0.25">
      <c r="A13105" t="s">
        <v>12186</v>
      </c>
    </row>
    <row r="13106" spans="1:1" x14ac:dyDescent="0.25">
      <c r="A13106" t="s">
        <v>12187</v>
      </c>
    </row>
    <row r="13107" spans="1:1" x14ac:dyDescent="0.25">
      <c r="A13107" t="s">
        <v>12188</v>
      </c>
    </row>
    <row r="13108" spans="1:1" x14ac:dyDescent="0.25">
      <c r="A13108" t="s">
        <v>12189</v>
      </c>
    </row>
    <row r="13109" spans="1:1" x14ac:dyDescent="0.25">
      <c r="A13109" t="s">
        <v>12190</v>
      </c>
    </row>
    <row r="13110" spans="1:1" x14ac:dyDescent="0.25">
      <c r="A13110" t="s">
        <v>12191</v>
      </c>
    </row>
    <row r="13111" spans="1:1" x14ac:dyDescent="0.25">
      <c r="A13111" t="s">
        <v>12192</v>
      </c>
    </row>
    <row r="13112" spans="1:1" x14ac:dyDescent="0.25">
      <c r="A13112" t="s">
        <v>12193</v>
      </c>
    </row>
    <row r="13113" spans="1:1" x14ac:dyDescent="0.25">
      <c r="A13113" t="s">
        <v>12194</v>
      </c>
    </row>
    <row r="13114" spans="1:1" x14ac:dyDescent="0.25">
      <c r="A13114" t="s">
        <v>12195</v>
      </c>
    </row>
    <row r="13115" spans="1:1" x14ac:dyDescent="0.25">
      <c r="A13115" t="s">
        <v>12196</v>
      </c>
    </row>
    <row r="13116" spans="1:1" x14ac:dyDescent="0.25">
      <c r="A13116" t="s">
        <v>12197</v>
      </c>
    </row>
    <row r="13117" spans="1:1" x14ac:dyDescent="0.25">
      <c r="A13117" t="s">
        <v>12198</v>
      </c>
    </row>
    <row r="13118" spans="1:1" x14ac:dyDescent="0.25">
      <c r="A13118" t="s">
        <v>12199</v>
      </c>
    </row>
    <row r="13119" spans="1:1" x14ac:dyDescent="0.25">
      <c r="A13119" t="s">
        <v>12200</v>
      </c>
    </row>
    <row r="13120" spans="1:1" x14ac:dyDescent="0.25">
      <c r="A13120" t="s">
        <v>12201</v>
      </c>
    </row>
    <row r="13121" spans="1:1" x14ac:dyDescent="0.25">
      <c r="A13121" t="s">
        <v>12202</v>
      </c>
    </row>
    <row r="13122" spans="1:1" x14ac:dyDescent="0.25">
      <c r="A13122" t="s">
        <v>12203</v>
      </c>
    </row>
    <row r="13123" spans="1:1" x14ac:dyDescent="0.25">
      <c r="A13123" t="s">
        <v>12204</v>
      </c>
    </row>
    <row r="13124" spans="1:1" x14ac:dyDescent="0.25">
      <c r="A13124" t="s">
        <v>12205</v>
      </c>
    </row>
    <row r="13125" spans="1:1" x14ac:dyDescent="0.25">
      <c r="A13125" t="s">
        <v>12206</v>
      </c>
    </row>
    <row r="13126" spans="1:1" x14ac:dyDescent="0.25">
      <c r="A13126" t="s">
        <v>12207</v>
      </c>
    </row>
    <row r="13127" spans="1:1" x14ac:dyDescent="0.25">
      <c r="A13127" t="s">
        <v>12208</v>
      </c>
    </row>
    <row r="13128" spans="1:1" x14ac:dyDescent="0.25">
      <c r="A13128" t="s">
        <v>12209</v>
      </c>
    </row>
    <row r="13129" spans="1:1" x14ac:dyDescent="0.25">
      <c r="A13129" t="s">
        <v>12210</v>
      </c>
    </row>
    <row r="13130" spans="1:1" x14ac:dyDescent="0.25">
      <c r="A13130" t="s">
        <v>12211</v>
      </c>
    </row>
    <row r="13131" spans="1:1" x14ac:dyDescent="0.25">
      <c r="A13131" t="s">
        <v>12212</v>
      </c>
    </row>
    <row r="13132" spans="1:1" x14ac:dyDescent="0.25">
      <c r="A13132" t="s">
        <v>12213</v>
      </c>
    </row>
    <row r="13133" spans="1:1" x14ac:dyDescent="0.25">
      <c r="A13133" t="s">
        <v>12214</v>
      </c>
    </row>
    <row r="13134" spans="1:1" x14ac:dyDescent="0.25">
      <c r="A13134" t="s">
        <v>12215</v>
      </c>
    </row>
    <row r="13135" spans="1:1" x14ac:dyDescent="0.25">
      <c r="A13135" t="s">
        <v>12216</v>
      </c>
    </row>
    <row r="13136" spans="1:1" x14ac:dyDescent="0.25">
      <c r="A13136" t="s">
        <v>12217</v>
      </c>
    </row>
    <row r="13137" spans="1:1" x14ac:dyDescent="0.25">
      <c r="A13137" t="s">
        <v>12218</v>
      </c>
    </row>
    <row r="13138" spans="1:1" x14ac:dyDescent="0.25">
      <c r="A13138" t="s">
        <v>12219</v>
      </c>
    </row>
    <row r="13139" spans="1:1" x14ac:dyDescent="0.25">
      <c r="A13139" t="s">
        <v>12220</v>
      </c>
    </row>
    <row r="13140" spans="1:1" x14ac:dyDescent="0.25">
      <c r="A13140" t="s">
        <v>12221</v>
      </c>
    </row>
    <row r="13141" spans="1:1" x14ac:dyDescent="0.25">
      <c r="A13141" t="s">
        <v>12222</v>
      </c>
    </row>
    <row r="13142" spans="1:1" x14ac:dyDescent="0.25">
      <c r="A13142" t="s">
        <v>12223</v>
      </c>
    </row>
    <row r="13143" spans="1:1" x14ac:dyDescent="0.25">
      <c r="A13143" t="s">
        <v>12224</v>
      </c>
    </row>
    <row r="13144" spans="1:1" x14ac:dyDescent="0.25">
      <c r="A13144" t="s">
        <v>12225</v>
      </c>
    </row>
    <row r="13145" spans="1:1" x14ac:dyDescent="0.25">
      <c r="A13145" t="s">
        <v>12226</v>
      </c>
    </row>
    <row r="13146" spans="1:1" x14ac:dyDescent="0.25">
      <c r="A13146" t="s">
        <v>12227</v>
      </c>
    </row>
    <row r="13147" spans="1:1" x14ac:dyDescent="0.25">
      <c r="A13147" t="s">
        <v>12228</v>
      </c>
    </row>
    <row r="13148" spans="1:1" x14ac:dyDescent="0.25">
      <c r="A13148" t="s">
        <v>12229</v>
      </c>
    </row>
    <row r="13149" spans="1:1" x14ac:dyDescent="0.25">
      <c r="A13149" t="s">
        <v>12230</v>
      </c>
    </row>
    <row r="13150" spans="1:1" x14ac:dyDescent="0.25">
      <c r="A13150" t="s">
        <v>12231</v>
      </c>
    </row>
    <row r="13151" spans="1:1" x14ac:dyDescent="0.25">
      <c r="A13151" t="s">
        <v>12232</v>
      </c>
    </row>
    <row r="13152" spans="1:1" x14ac:dyDescent="0.25">
      <c r="A13152" t="s">
        <v>12233</v>
      </c>
    </row>
    <row r="13153" spans="1:1" x14ac:dyDescent="0.25">
      <c r="A13153" t="s">
        <v>12234</v>
      </c>
    </row>
    <row r="13154" spans="1:1" x14ac:dyDescent="0.25">
      <c r="A13154" t="s">
        <v>12235</v>
      </c>
    </row>
    <row r="13155" spans="1:1" x14ac:dyDescent="0.25">
      <c r="A13155" t="s">
        <v>12236</v>
      </c>
    </row>
    <row r="13156" spans="1:1" x14ac:dyDescent="0.25">
      <c r="A13156" t="s">
        <v>12237</v>
      </c>
    </row>
    <row r="13157" spans="1:1" x14ac:dyDescent="0.25">
      <c r="A13157" t="s">
        <v>12238</v>
      </c>
    </row>
    <row r="13158" spans="1:1" x14ac:dyDescent="0.25">
      <c r="A13158" t="s">
        <v>12239</v>
      </c>
    </row>
    <row r="13159" spans="1:1" x14ac:dyDescent="0.25">
      <c r="A13159" t="s">
        <v>12240</v>
      </c>
    </row>
    <row r="13160" spans="1:1" x14ac:dyDescent="0.25">
      <c r="A13160" t="s">
        <v>12241</v>
      </c>
    </row>
    <row r="13161" spans="1:1" x14ac:dyDescent="0.25">
      <c r="A13161" t="s">
        <v>12242</v>
      </c>
    </row>
    <row r="13162" spans="1:1" x14ac:dyDescent="0.25">
      <c r="A13162" t="s">
        <v>12243</v>
      </c>
    </row>
    <row r="13163" spans="1:1" x14ac:dyDescent="0.25">
      <c r="A13163" t="s">
        <v>12244</v>
      </c>
    </row>
    <row r="13164" spans="1:1" x14ac:dyDescent="0.25">
      <c r="A13164" t="s">
        <v>12245</v>
      </c>
    </row>
    <row r="13165" spans="1:1" x14ac:dyDescent="0.25">
      <c r="A13165" t="s">
        <v>12246</v>
      </c>
    </row>
    <row r="13166" spans="1:1" x14ac:dyDescent="0.25">
      <c r="A13166" t="s">
        <v>12247</v>
      </c>
    </row>
    <row r="13168" spans="1:1" x14ac:dyDescent="0.25">
      <c r="A13168" t="s">
        <v>12248</v>
      </c>
    </row>
    <row r="13169" spans="1:1" x14ac:dyDescent="0.25">
      <c r="A13169" t="s">
        <v>12249</v>
      </c>
    </row>
    <row r="13170" spans="1:1" x14ac:dyDescent="0.25">
      <c r="A13170" t="s">
        <v>12250</v>
      </c>
    </row>
    <row r="13171" spans="1:1" x14ac:dyDescent="0.25">
      <c r="A13171" t="s">
        <v>12251</v>
      </c>
    </row>
    <row r="13172" spans="1:1" x14ac:dyDescent="0.25">
      <c r="A13172" t="s">
        <v>12252</v>
      </c>
    </row>
    <row r="13173" spans="1:1" x14ac:dyDescent="0.25">
      <c r="A13173" t="s">
        <v>12253</v>
      </c>
    </row>
    <row r="13174" spans="1:1" x14ac:dyDescent="0.25">
      <c r="A13174" t="s">
        <v>5688</v>
      </c>
    </row>
    <row r="13175" spans="1:1" x14ac:dyDescent="0.25">
      <c r="A13175" t="s">
        <v>12254</v>
      </c>
    </row>
    <row r="13176" spans="1:1" x14ac:dyDescent="0.25">
      <c r="A13176" t="s">
        <v>12255</v>
      </c>
    </row>
    <row r="13177" spans="1:1" x14ac:dyDescent="0.25">
      <c r="A13177" t="s">
        <v>4547</v>
      </c>
    </row>
    <row r="13178" spans="1:1" x14ac:dyDescent="0.25">
      <c r="A13178" t="s">
        <v>12256</v>
      </c>
    </row>
    <row r="13179" spans="1:1" x14ac:dyDescent="0.25">
      <c r="A13179" t="s">
        <v>12257</v>
      </c>
    </row>
    <row r="13180" spans="1:1" x14ac:dyDescent="0.25">
      <c r="A13180" t="s">
        <v>12258</v>
      </c>
    </row>
    <row r="13181" spans="1:1" x14ac:dyDescent="0.25">
      <c r="A13181" t="s">
        <v>12259</v>
      </c>
    </row>
    <row r="13182" spans="1:1" x14ac:dyDescent="0.25">
      <c r="A13182" t="s">
        <v>12260</v>
      </c>
    </row>
    <row r="13183" spans="1:1" x14ac:dyDescent="0.25">
      <c r="A13183" t="s">
        <v>12261</v>
      </c>
    </row>
    <row r="13184" spans="1:1" x14ac:dyDescent="0.25">
      <c r="A13184" t="s">
        <v>12262</v>
      </c>
    </row>
    <row r="13185" spans="1:1" x14ac:dyDescent="0.25">
      <c r="A13185" t="s">
        <v>12263</v>
      </c>
    </row>
    <row r="13186" spans="1:1" x14ac:dyDescent="0.25">
      <c r="A13186" t="s">
        <v>12264</v>
      </c>
    </row>
    <row r="13187" spans="1:1" x14ac:dyDescent="0.25">
      <c r="A13187" t="s">
        <v>12265</v>
      </c>
    </row>
    <row r="13188" spans="1:1" x14ac:dyDescent="0.25">
      <c r="A13188" t="s">
        <v>12266</v>
      </c>
    </row>
    <row r="13189" spans="1:1" x14ac:dyDescent="0.25">
      <c r="A13189" t="s">
        <v>12267</v>
      </c>
    </row>
    <row r="13190" spans="1:1" x14ac:dyDescent="0.25">
      <c r="A13190" t="s">
        <v>12268</v>
      </c>
    </row>
    <row r="13191" spans="1:1" x14ac:dyDescent="0.25">
      <c r="A13191" t="s">
        <v>12269</v>
      </c>
    </row>
    <row r="13192" spans="1:1" x14ac:dyDescent="0.25">
      <c r="A13192" t="s">
        <v>4653</v>
      </c>
    </row>
    <row r="13193" spans="1:1" x14ac:dyDescent="0.25">
      <c r="A13193" t="s">
        <v>12270</v>
      </c>
    </row>
    <row r="13194" spans="1:1" x14ac:dyDescent="0.25">
      <c r="A13194" t="s">
        <v>12271</v>
      </c>
    </row>
    <row r="13195" spans="1:1" x14ac:dyDescent="0.25">
      <c r="A13195" t="s">
        <v>12272</v>
      </c>
    </row>
    <row r="13196" spans="1:1" x14ac:dyDescent="0.25">
      <c r="A13196" t="s">
        <v>12273</v>
      </c>
    </row>
    <row r="13197" spans="1:1" x14ac:dyDescent="0.25">
      <c r="A13197" t="s">
        <v>12274</v>
      </c>
    </row>
    <row r="13198" spans="1:1" x14ac:dyDescent="0.25">
      <c r="A13198" t="s">
        <v>12275</v>
      </c>
    </row>
    <row r="13199" spans="1:1" x14ac:dyDescent="0.25">
      <c r="A13199" t="s">
        <v>12276</v>
      </c>
    </row>
    <row r="13200" spans="1:1" x14ac:dyDescent="0.25">
      <c r="A13200" t="s">
        <v>12277</v>
      </c>
    </row>
    <row r="13201" spans="1:1" x14ac:dyDescent="0.25">
      <c r="A13201" t="s">
        <v>12278</v>
      </c>
    </row>
    <row r="13202" spans="1:1" x14ac:dyDescent="0.25">
      <c r="A13202" t="s">
        <v>12279</v>
      </c>
    </row>
    <row r="13203" spans="1:1" x14ac:dyDescent="0.25">
      <c r="A13203" t="s">
        <v>4653</v>
      </c>
    </row>
    <row r="13204" spans="1:1" x14ac:dyDescent="0.25">
      <c r="A13204" t="s">
        <v>12270</v>
      </c>
    </row>
    <row r="13205" spans="1:1" x14ac:dyDescent="0.25">
      <c r="A13205" t="s">
        <v>12271</v>
      </c>
    </row>
    <row r="13206" spans="1:1" x14ac:dyDescent="0.25">
      <c r="A13206" t="s">
        <v>12272</v>
      </c>
    </row>
    <row r="13207" spans="1:1" x14ac:dyDescent="0.25">
      <c r="A13207" t="s">
        <v>12273</v>
      </c>
    </row>
    <row r="13208" spans="1:1" x14ac:dyDescent="0.25">
      <c r="A13208" t="s">
        <v>12274</v>
      </c>
    </row>
    <row r="13209" spans="1:1" x14ac:dyDescent="0.25">
      <c r="A13209" t="s">
        <v>12275</v>
      </c>
    </row>
    <row r="13210" spans="1:1" x14ac:dyDescent="0.25">
      <c r="A13210" t="s">
        <v>12276</v>
      </c>
    </row>
    <row r="13211" spans="1:1" x14ac:dyDescent="0.25">
      <c r="A13211" t="s">
        <v>12277</v>
      </c>
    </row>
    <row r="13212" spans="1:1" x14ac:dyDescent="0.25">
      <c r="A13212" t="s">
        <v>12278</v>
      </c>
    </row>
    <row r="13213" spans="1:1" x14ac:dyDescent="0.25">
      <c r="A13213" t="s">
        <v>12280</v>
      </c>
    </row>
    <row r="13214" spans="1:1" x14ac:dyDescent="0.25">
      <c r="A13214" t="s">
        <v>12281</v>
      </c>
    </row>
    <row r="13215" spans="1:1" x14ac:dyDescent="0.25">
      <c r="A13215" t="s">
        <v>12282</v>
      </c>
    </row>
    <row r="13216" spans="1:1" x14ac:dyDescent="0.25">
      <c r="A13216" t="s">
        <v>12283</v>
      </c>
    </row>
    <row r="13217" spans="1:1" x14ac:dyDescent="0.25">
      <c r="A13217" t="s">
        <v>5274</v>
      </c>
    </row>
    <row r="13218" spans="1:1" x14ac:dyDescent="0.25">
      <c r="A13218" t="s">
        <v>12284</v>
      </c>
    </row>
    <row r="13220" spans="1:1" x14ac:dyDescent="0.25">
      <c r="A13220" t="s">
        <v>12285</v>
      </c>
    </row>
    <row r="13221" spans="1:1" x14ac:dyDescent="0.25">
      <c r="A13221" t="s">
        <v>12286</v>
      </c>
    </row>
    <row r="13222" spans="1:1" x14ac:dyDescent="0.25">
      <c r="A13222" t="s">
        <v>12287</v>
      </c>
    </row>
    <row r="13223" spans="1:1" x14ac:dyDescent="0.25">
      <c r="A13223" t="s">
        <v>12288</v>
      </c>
    </row>
    <row r="13224" spans="1:1" x14ac:dyDescent="0.25">
      <c r="A13224" t="s">
        <v>3960</v>
      </c>
    </row>
    <row r="13225" spans="1:1" x14ac:dyDescent="0.25">
      <c r="A13225" t="s">
        <v>12289</v>
      </c>
    </row>
    <row r="13226" spans="1:1" x14ac:dyDescent="0.25">
      <c r="A13226" t="s">
        <v>12290</v>
      </c>
    </row>
    <row r="13227" spans="1:1" x14ac:dyDescent="0.25">
      <c r="A13227" t="s">
        <v>12291</v>
      </c>
    </row>
    <row r="13229" spans="1:1" x14ac:dyDescent="0.25">
      <c r="A13229" t="s">
        <v>12292</v>
      </c>
    </row>
    <row r="13230" spans="1:1" x14ac:dyDescent="0.25">
      <c r="A13230" t="s">
        <v>12293</v>
      </c>
    </row>
    <row r="13232" spans="1:1" x14ac:dyDescent="0.25">
      <c r="A13232" t="s">
        <v>12294</v>
      </c>
    </row>
    <row r="13233" spans="1:1" x14ac:dyDescent="0.25">
      <c r="A13233" t="s">
        <v>12295</v>
      </c>
    </row>
    <row r="13234" spans="1:1" x14ac:dyDescent="0.25">
      <c r="A13234" t="s">
        <v>12296</v>
      </c>
    </row>
    <row r="13235" spans="1:1" x14ac:dyDescent="0.25">
      <c r="A13235" t="s">
        <v>12297</v>
      </c>
    </row>
    <row r="13236" spans="1:1" x14ac:dyDescent="0.25">
      <c r="A13236">
        <v>44442535</v>
      </c>
    </row>
    <row r="13237" spans="1:1" x14ac:dyDescent="0.25">
      <c r="A13237">
        <v>939157967</v>
      </c>
    </row>
    <row r="13238" spans="1:1" x14ac:dyDescent="0.25">
      <c r="A13238" t="s">
        <v>12298</v>
      </c>
    </row>
    <row r="13239" spans="1:1" x14ac:dyDescent="0.25">
      <c r="A13239" t="s">
        <v>5554</v>
      </c>
    </row>
    <row r="13240" spans="1:1" x14ac:dyDescent="0.25">
      <c r="A13240" t="s">
        <v>12299</v>
      </c>
    </row>
    <row r="13241" spans="1:1" x14ac:dyDescent="0.25">
      <c r="A13241" t="s">
        <v>12300</v>
      </c>
    </row>
    <row r="13242" spans="1:1" x14ac:dyDescent="0.25">
      <c r="A13242" t="s">
        <v>12301</v>
      </c>
    </row>
    <row r="13243" spans="1:1" x14ac:dyDescent="0.25">
      <c r="A13243" t="s">
        <v>12302</v>
      </c>
    </row>
    <row r="13244" spans="1:1" x14ac:dyDescent="0.25">
      <c r="A13244" t="s">
        <v>12303</v>
      </c>
    </row>
    <row r="13245" spans="1:1" x14ac:dyDescent="0.25">
      <c r="A13245" t="s">
        <v>12304</v>
      </c>
    </row>
    <row r="13246" spans="1:1" x14ac:dyDescent="0.25">
      <c r="A13246" t="s">
        <v>12305</v>
      </c>
    </row>
    <row r="13247" spans="1:1" x14ac:dyDescent="0.25">
      <c r="A13247" t="s">
        <v>12306</v>
      </c>
    </row>
    <row r="13248" spans="1:1" x14ac:dyDescent="0.25">
      <c r="A13248" t="s">
        <v>12307</v>
      </c>
    </row>
    <row r="13249" spans="1:1" x14ac:dyDescent="0.25">
      <c r="A13249" t="s">
        <v>12308</v>
      </c>
    </row>
    <row r="13250" spans="1:1" x14ac:dyDescent="0.25">
      <c r="A13250" t="s">
        <v>12309</v>
      </c>
    </row>
    <row r="13251" spans="1:1" x14ac:dyDescent="0.25">
      <c r="A13251">
        <v>942640778</v>
      </c>
    </row>
    <row r="13252" spans="1:1" x14ac:dyDescent="0.25">
      <c r="A13252">
        <v>80106353</v>
      </c>
    </row>
    <row r="13253" spans="1:1" x14ac:dyDescent="0.25">
      <c r="A13253" t="s">
        <v>12310</v>
      </c>
    </row>
    <row r="13254" spans="1:1" x14ac:dyDescent="0.25">
      <c r="A13254" t="s">
        <v>12311</v>
      </c>
    </row>
    <row r="13255" spans="1:1" x14ac:dyDescent="0.25">
      <c r="A13255" t="s">
        <v>12312</v>
      </c>
    </row>
    <row r="13256" spans="1:1" x14ac:dyDescent="0.25">
      <c r="A13256" t="s">
        <v>12313</v>
      </c>
    </row>
    <row r="13257" spans="1:1" x14ac:dyDescent="0.25">
      <c r="A13257" t="s">
        <v>12314</v>
      </c>
    </row>
    <row r="13258" spans="1:1" x14ac:dyDescent="0.25">
      <c r="A13258" t="s">
        <v>12315</v>
      </c>
    </row>
    <row r="13259" spans="1:1" x14ac:dyDescent="0.25">
      <c r="A13259" t="s">
        <v>12316</v>
      </c>
    </row>
    <row r="13260" spans="1:1" x14ac:dyDescent="0.25">
      <c r="A13260" t="s">
        <v>12317</v>
      </c>
    </row>
    <row r="13261" spans="1:1" x14ac:dyDescent="0.25">
      <c r="A13261" t="s">
        <v>12318</v>
      </c>
    </row>
    <row r="13262" spans="1:1" x14ac:dyDescent="0.25">
      <c r="A13262" t="s">
        <v>12319</v>
      </c>
    </row>
    <row r="13263" spans="1:1" x14ac:dyDescent="0.25">
      <c r="A13263" t="s">
        <v>12320</v>
      </c>
    </row>
    <row r="13264" spans="1:1" x14ac:dyDescent="0.25">
      <c r="A13264" t="s">
        <v>12321</v>
      </c>
    </row>
    <row r="13265" spans="1:1" x14ac:dyDescent="0.25">
      <c r="A13265" t="s">
        <v>12322</v>
      </c>
    </row>
    <row r="13266" spans="1:1" x14ac:dyDescent="0.25">
      <c r="A13266" t="s">
        <v>12323</v>
      </c>
    </row>
    <row r="13267" spans="1:1" x14ac:dyDescent="0.25">
      <c r="A13267" t="s">
        <v>12324</v>
      </c>
    </row>
    <row r="13268" spans="1:1" x14ac:dyDescent="0.25">
      <c r="A13268" t="s">
        <v>12325</v>
      </c>
    </row>
    <row r="13269" spans="1:1" x14ac:dyDescent="0.25">
      <c r="A13269" t="s">
        <v>12326</v>
      </c>
    </row>
    <row r="13270" spans="1:1" x14ac:dyDescent="0.25">
      <c r="A13270" t="s">
        <v>12327</v>
      </c>
    </row>
    <row r="13271" spans="1:1" x14ac:dyDescent="0.25">
      <c r="A13271" t="s">
        <v>12328</v>
      </c>
    </row>
    <row r="13272" spans="1:1" x14ac:dyDescent="0.25">
      <c r="A13272" t="s">
        <v>12329</v>
      </c>
    </row>
    <row r="13273" spans="1:1" x14ac:dyDescent="0.25">
      <c r="A13273" t="s">
        <v>12330</v>
      </c>
    </row>
    <row r="13274" spans="1:1" x14ac:dyDescent="0.25">
      <c r="A13274" t="s">
        <v>12331</v>
      </c>
    </row>
    <row r="13275" spans="1:1" x14ac:dyDescent="0.25">
      <c r="A13275" t="s">
        <v>12332</v>
      </c>
    </row>
    <row r="13276" spans="1:1" x14ac:dyDescent="0.25">
      <c r="A13276" t="s">
        <v>1962</v>
      </c>
    </row>
    <row r="13277" spans="1:1" x14ac:dyDescent="0.25">
      <c r="A13277" t="s">
        <v>12333</v>
      </c>
    </row>
    <row r="13278" spans="1:1" x14ac:dyDescent="0.25">
      <c r="A13278" t="s">
        <v>12334</v>
      </c>
    </row>
    <row r="13279" spans="1:1" x14ac:dyDescent="0.25">
      <c r="A13279" t="s">
        <v>12335</v>
      </c>
    </row>
    <row r="13280" spans="1:1" x14ac:dyDescent="0.25">
      <c r="A13280" t="s">
        <v>12336</v>
      </c>
    </row>
    <row r="13281" spans="1:1" x14ac:dyDescent="0.25">
      <c r="A13281" t="s">
        <v>12337</v>
      </c>
    </row>
    <row r="13282" spans="1:1" x14ac:dyDescent="0.25">
      <c r="A13282" t="s">
        <v>12338</v>
      </c>
    </row>
    <row r="13283" spans="1:1" x14ac:dyDescent="0.25">
      <c r="A13283" t="s">
        <v>12339</v>
      </c>
    </row>
    <row r="13284" spans="1:1" x14ac:dyDescent="0.25">
      <c r="A13284" t="s">
        <v>12340</v>
      </c>
    </row>
    <row r="13285" spans="1:1" x14ac:dyDescent="0.25">
      <c r="A13285" t="s">
        <v>12341</v>
      </c>
    </row>
    <row r="13286" spans="1:1" x14ac:dyDescent="0.25">
      <c r="A13286" t="s">
        <v>12342</v>
      </c>
    </row>
    <row r="13287" spans="1:1" x14ac:dyDescent="0.25">
      <c r="A13287" t="s">
        <v>12343</v>
      </c>
    </row>
    <row r="13288" spans="1:1" x14ac:dyDescent="0.25">
      <c r="A13288" t="s">
        <v>12344</v>
      </c>
    </row>
    <row r="13289" spans="1:1" x14ac:dyDescent="0.25">
      <c r="A13289" t="s">
        <v>12345</v>
      </c>
    </row>
    <row r="13290" spans="1:1" x14ac:dyDescent="0.25">
      <c r="A13290" t="s">
        <v>12346</v>
      </c>
    </row>
    <row r="13291" spans="1:1" x14ac:dyDescent="0.25">
      <c r="A13291" t="s">
        <v>12347</v>
      </c>
    </row>
    <row r="13292" spans="1:1" x14ac:dyDescent="0.25">
      <c r="A13292" t="s">
        <v>12348</v>
      </c>
    </row>
    <row r="13293" spans="1:1" x14ac:dyDescent="0.25">
      <c r="A13293" t="s">
        <v>3731</v>
      </c>
    </row>
    <row r="13294" spans="1:1" x14ac:dyDescent="0.25">
      <c r="A13294" t="s">
        <v>12349</v>
      </c>
    </row>
    <row r="13295" spans="1:1" x14ac:dyDescent="0.25">
      <c r="A13295" t="s">
        <v>12350</v>
      </c>
    </row>
    <row r="13296" spans="1:1" x14ac:dyDescent="0.25">
      <c r="A13296" t="s">
        <v>12351</v>
      </c>
    </row>
    <row r="13297" spans="1:1" x14ac:dyDescent="0.25">
      <c r="A13297" t="s">
        <v>12352</v>
      </c>
    </row>
    <row r="13299" spans="1:1" x14ac:dyDescent="0.25">
      <c r="A13299" t="s">
        <v>12353</v>
      </c>
    </row>
    <row r="13300" spans="1:1" x14ac:dyDescent="0.25">
      <c r="A13300" t="s">
        <v>12354</v>
      </c>
    </row>
    <row r="13301" spans="1:1" x14ac:dyDescent="0.25">
      <c r="A13301" t="s">
        <v>12355</v>
      </c>
    </row>
    <row r="13302" spans="1:1" x14ac:dyDescent="0.25">
      <c r="A13302" t="s">
        <v>12356</v>
      </c>
    </row>
    <row r="13303" spans="1:1" x14ac:dyDescent="0.25">
      <c r="A13303" t="s">
        <v>12357</v>
      </c>
    </row>
    <row r="13304" spans="1:1" x14ac:dyDescent="0.25">
      <c r="A13304" t="s">
        <v>12358</v>
      </c>
    </row>
    <row r="13305" spans="1:1" x14ac:dyDescent="0.25">
      <c r="A13305" t="s">
        <v>12359</v>
      </c>
    </row>
    <row r="13307" spans="1:1" x14ac:dyDescent="0.25">
      <c r="A13307" t="s">
        <v>12360</v>
      </c>
    </row>
    <row r="13308" spans="1:1" x14ac:dyDescent="0.25">
      <c r="A13308" t="s">
        <v>12361</v>
      </c>
    </row>
    <row r="13309" spans="1:1" x14ac:dyDescent="0.25">
      <c r="A13309" t="s">
        <v>12362</v>
      </c>
    </row>
    <row r="13310" spans="1:1" x14ac:dyDescent="0.25">
      <c r="A13310" t="s">
        <v>12363</v>
      </c>
    </row>
    <row r="13311" spans="1:1" x14ac:dyDescent="0.25">
      <c r="A13311" t="s">
        <v>12364</v>
      </c>
    </row>
    <row r="13312" spans="1:1" x14ac:dyDescent="0.25">
      <c r="A13312" t="s">
        <v>12365</v>
      </c>
    </row>
    <row r="13313" spans="1:1" x14ac:dyDescent="0.25">
      <c r="A13313" t="s">
        <v>12366</v>
      </c>
    </row>
    <row r="13314" spans="1:1" x14ac:dyDescent="0.25">
      <c r="A13314" t="s">
        <v>12367</v>
      </c>
    </row>
    <row r="13315" spans="1:1" x14ac:dyDescent="0.25">
      <c r="A13315" t="s">
        <v>3731</v>
      </c>
    </row>
    <row r="13316" spans="1:1" x14ac:dyDescent="0.25">
      <c r="A13316" t="s">
        <v>12368</v>
      </c>
    </row>
    <row r="13317" spans="1:1" x14ac:dyDescent="0.25">
      <c r="A13317" t="s">
        <v>11217</v>
      </c>
    </row>
    <row r="13318" spans="1:1" x14ac:dyDescent="0.25">
      <c r="A13318" t="s">
        <v>12369</v>
      </c>
    </row>
    <row r="13319" spans="1:1" x14ac:dyDescent="0.25">
      <c r="A13319" t="s">
        <v>12370</v>
      </c>
    </row>
    <row r="13322" spans="1:1" x14ac:dyDescent="0.25">
      <c r="A13322" t="s">
        <v>12371</v>
      </c>
    </row>
    <row r="13323" spans="1:1" x14ac:dyDescent="0.25">
      <c r="A13323" t="s">
        <v>12372</v>
      </c>
    </row>
    <row r="13324" spans="1:1" x14ac:dyDescent="0.25">
      <c r="A13324" t="s">
        <v>12373</v>
      </c>
    </row>
    <row r="13325" spans="1:1" x14ac:dyDescent="0.25">
      <c r="A13325" t="s">
        <v>12374</v>
      </c>
    </row>
    <row r="13326" spans="1:1" x14ac:dyDescent="0.25">
      <c r="A13326" t="s">
        <v>12375</v>
      </c>
    </row>
    <row r="13327" spans="1:1" x14ac:dyDescent="0.25">
      <c r="A13327" t="s">
        <v>12376</v>
      </c>
    </row>
    <row r="13328" spans="1:1" x14ac:dyDescent="0.25">
      <c r="A13328" t="s">
        <v>12377</v>
      </c>
    </row>
    <row r="13329" spans="1:1" x14ac:dyDescent="0.25">
      <c r="A13329" t="s">
        <v>12378</v>
      </c>
    </row>
    <row r="13330" spans="1:1" x14ac:dyDescent="0.25">
      <c r="A13330" t="s">
        <v>12379</v>
      </c>
    </row>
    <row r="13331" spans="1:1" x14ac:dyDescent="0.25">
      <c r="A13331" t="s">
        <v>12380</v>
      </c>
    </row>
    <row r="13332" spans="1:1" x14ac:dyDescent="0.25">
      <c r="A13332" t="s">
        <v>12381</v>
      </c>
    </row>
    <row r="13333" spans="1:1" x14ac:dyDescent="0.25">
      <c r="A13333" t="s">
        <v>12382</v>
      </c>
    </row>
    <row r="13334" spans="1:1" x14ac:dyDescent="0.25">
      <c r="A13334" t="s">
        <v>12383</v>
      </c>
    </row>
    <row r="13335" spans="1:1" x14ac:dyDescent="0.25">
      <c r="A13335" t="s">
        <v>12384</v>
      </c>
    </row>
    <row r="13336" spans="1:1" x14ac:dyDescent="0.25">
      <c r="A13336" t="s">
        <v>12385</v>
      </c>
    </row>
    <row r="13337" spans="1:1" x14ac:dyDescent="0.25">
      <c r="A13337" t="s">
        <v>12386</v>
      </c>
    </row>
    <row r="13338" spans="1:1" x14ac:dyDescent="0.25">
      <c r="A13338" t="s">
        <v>12387</v>
      </c>
    </row>
    <row r="13343" spans="1:1" x14ac:dyDescent="0.25">
      <c r="A13343" t="s">
        <v>12388</v>
      </c>
    </row>
    <row r="13344" spans="1:1" x14ac:dyDescent="0.25">
      <c r="A13344" t="s">
        <v>12389</v>
      </c>
    </row>
    <row r="13345" spans="1:1" x14ac:dyDescent="0.25">
      <c r="A13345" t="s">
        <v>12390</v>
      </c>
    </row>
    <row r="13346" spans="1:1" x14ac:dyDescent="0.25">
      <c r="A13346" t="s">
        <v>12391</v>
      </c>
    </row>
    <row r="13347" spans="1:1" x14ac:dyDescent="0.25">
      <c r="A13347" t="s">
        <v>12392</v>
      </c>
    </row>
    <row r="13349" spans="1:1" x14ac:dyDescent="0.25">
      <c r="A13349" t="s">
        <v>1434</v>
      </c>
    </row>
    <row r="13350" spans="1:1" x14ac:dyDescent="0.25">
      <c r="A13350" t="s">
        <v>12393</v>
      </c>
    </row>
    <row r="13351" spans="1:1" x14ac:dyDescent="0.25">
      <c r="A13351" t="s">
        <v>12394</v>
      </c>
    </row>
    <row r="13352" spans="1:1" x14ac:dyDescent="0.25">
      <c r="A13352" t="s">
        <v>12395</v>
      </c>
    </row>
    <row r="13353" spans="1:1" x14ac:dyDescent="0.25">
      <c r="A13353" t="s">
        <v>12396</v>
      </c>
    </row>
    <row r="13354" spans="1:1" x14ac:dyDescent="0.25">
      <c r="A13354" t="s">
        <v>12397</v>
      </c>
    </row>
    <row r="13355" spans="1:1" x14ac:dyDescent="0.25">
      <c r="A13355" t="s">
        <v>12398</v>
      </c>
    </row>
    <row r="13356" spans="1:1" x14ac:dyDescent="0.25">
      <c r="A13356" t="s">
        <v>12399</v>
      </c>
    </row>
    <row r="13357" spans="1:1" x14ac:dyDescent="0.25">
      <c r="A13357" t="s">
        <v>12400</v>
      </c>
    </row>
    <row r="13358" spans="1:1" x14ac:dyDescent="0.25">
      <c r="A13358" t="s">
        <v>12401</v>
      </c>
    </row>
    <row r="13359" spans="1:1" x14ac:dyDescent="0.25">
      <c r="A13359" t="s">
        <v>12402</v>
      </c>
    </row>
    <row r="13360" spans="1:1" x14ac:dyDescent="0.25">
      <c r="A13360" t="s">
        <v>12403</v>
      </c>
    </row>
    <row r="13361" spans="1:1" x14ac:dyDescent="0.25">
      <c r="A13361" t="s">
        <v>12393</v>
      </c>
    </row>
    <row r="13363" spans="1:1" x14ac:dyDescent="0.25">
      <c r="A13363" t="s">
        <v>12404</v>
      </c>
    </row>
    <row r="13364" spans="1:1" x14ac:dyDescent="0.25">
      <c r="A13364" t="s">
        <v>12405</v>
      </c>
    </row>
    <row r="13365" spans="1:1" x14ac:dyDescent="0.25">
      <c r="A13365" t="s">
        <v>12406</v>
      </c>
    </row>
    <row r="13366" spans="1:1" x14ac:dyDescent="0.25">
      <c r="A13366" t="s">
        <v>12407</v>
      </c>
    </row>
    <row r="13367" spans="1:1" x14ac:dyDescent="0.25">
      <c r="A13367" t="s">
        <v>1434</v>
      </c>
    </row>
    <row r="13368" spans="1:1" x14ac:dyDescent="0.25">
      <c r="A13368" t="s">
        <v>12408</v>
      </c>
    </row>
    <row r="13369" spans="1:1" x14ac:dyDescent="0.25">
      <c r="A13369" t="s">
        <v>12409</v>
      </c>
    </row>
    <row r="13370" spans="1:1" x14ac:dyDescent="0.25">
      <c r="A13370" t="s">
        <v>12410</v>
      </c>
    </row>
    <row r="13371" spans="1:1" x14ac:dyDescent="0.25">
      <c r="A13371" t="s">
        <v>12411</v>
      </c>
    </row>
    <row r="13372" spans="1:1" x14ac:dyDescent="0.25">
      <c r="A13372" t="s">
        <v>12412</v>
      </c>
    </row>
    <row r="13373" spans="1:1" x14ac:dyDescent="0.25">
      <c r="A13373" t="s">
        <v>12413</v>
      </c>
    </row>
    <row r="13374" spans="1:1" x14ac:dyDescent="0.25">
      <c r="A13374" t="s">
        <v>12414</v>
      </c>
    </row>
    <row r="13375" spans="1:1" x14ac:dyDescent="0.25">
      <c r="A13375" t="s">
        <v>12415</v>
      </c>
    </row>
    <row r="13376" spans="1:1" x14ac:dyDescent="0.25">
      <c r="A13376" t="s">
        <v>12416</v>
      </c>
    </row>
    <row r="13377" spans="1:1" x14ac:dyDescent="0.25">
      <c r="A13377" t="s">
        <v>12417</v>
      </c>
    </row>
    <row r="13378" spans="1:1" x14ac:dyDescent="0.25">
      <c r="A13378" t="s">
        <v>12418</v>
      </c>
    </row>
    <row r="13379" spans="1:1" x14ac:dyDescent="0.25">
      <c r="A13379" t="s">
        <v>12419</v>
      </c>
    </row>
    <row r="13380" spans="1:1" x14ac:dyDescent="0.25">
      <c r="A13380" t="s">
        <v>12420</v>
      </c>
    </row>
    <row r="13381" spans="1:1" x14ac:dyDescent="0.25">
      <c r="A13381" t="s">
        <v>1342</v>
      </c>
    </row>
    <row r="13382" spans="1:1" x14ac:dyDescent="0.25">
      <c r="A13382" t="s">
        <v>12421</v>
      </c>
    </row>
    <row r="13383" spans="1:1" x14ac:dyDescent="0.25">
      <c r="A13383" t="s">
        <v>12422</v>
      </c>
    </row>
    <row r="13384" spans="1:1" x14ac:dyDescent="0.25">
      <c r="A13384" t="s">
        <v>12423</v>
      </c>
    </row>
    <row r="13385" spans="1:1" x14ac:dyDescent="0.25">
      <c r="A13385" t="s">
        <v>12424</v>
      </c>
    </row>
    <row r="13386" spans="1:1" x14ac:dyDescent="0.25">
      <c r="A13386" t="s">
        <v>12425</v>
      </c>
    </row>
    <row r="13387" spans="1:1" x14ac:dyDescent="0.25">
      <c r="A13387" t="s">
        <v>12426</v>
      </c>
    </row>
    <row r="13388" spans="1:1" x14ac:dyDescent="0.25">
      <c r="A13388" t="s">
        <v>12427</v>
      </c>
    </row>
    <row r="13389" spans="1:1" x14ac:dyDescent="0.25">
      <c r="A13389" t="s">
        <v>12428</v>
      </c>
    </row>
    <row r="13392" spans="1:1" x14ac:dyDescent="0.25">
      <c r="A13392" t="s">
        <v>12429</v>
      </c>
    </row>
    <row r="13393" spans="1:1" x14ac:dyDescent="0.25">
      <c r="A13393" t="s">
        <v>12430</v>
      </c>
    </row>
    <row r="13394" spans="1:1" x14ac:dyDescent="0.25">
      <c r="A13394" t="s">
        <v>12431</v>
      </c>
    </row>
    <row r="13395" spans="1:1" x14ac:dyDescent="0.25">
      <c r="A13395" t="s">
        <v>12432</v>
      </c>
    </row>
    <row r="13396" spans="1:1" x14ac:dyDescent="0.25">
      <c r="A13396" t="s">
        <v>12433</v>
      </c>
    </row>
    <row r="13397" spans="1:1" x14ac:dyDescent="0.25">
      <c r="A13397" t="s">
        <v>12434</v>
      </c>
    </row>
    <row r="13398" spans="1:1" x14ac:dyDescent="0.25">
      <c r="A13398" t="s">
        <v>12435</v>
      </c>
    </row>
    <row r="13399" spans="1:1" x14ac:dyDescent="0.25">
      <c r="A13399" t="s">
        <v>12436</v>
      </c>
    </row>
    <row r="13400" spans="1:1" x14ac:dyDescent="0.25">
      <c r="A13400" t="s">
        <v>12437</v>
      </c>
    </row>
    <row r="13401" spans="1:1" x14ac:dyDescent="0.25">
      <c r="A13401" t="s">
        <v>12438</v>
      </c>
    </row>
    <row r="13402" spans="1:1" x14ac:dyDescent="0.25">
      <c r="A13402" t="s">
        <v>12439</v>
      </c>
    </row>
    <row r="13403" spans="1:1" x14ac:dyDescent="0.25">
      <c r="A13403" t="s">
        <v>12440</v>
      </c>
    </row>
    <row r="13404" spans="1:1" x14ac:dyDescent="0.25">
      <c r="A13404" t="s">
        <v>12441</v>
      </c>
    </row>
    <row r="13405" spans="1:1" x14ac:dyDescent="0.25">
      <c r="A13405" t="s">
        <v>12442</v>
      </c>
    </row>
    <row r="13406" spans="1:1" x14ac:dyDescent="0.25">
      <c r="A13406" t="s">
        <v>12443</v>
      </c>
    </row>
    <row r="13407" spans="1:1" x14ac:dyDescent="0.25">
      <c r="A13407" t="s">
        <v>12444</v>
      </c>
    </row>
    <row r="13408" spans="1:1" x14ac:dyDescent="0.25">
      <c r="A13408" t="s">
        <v>12445</v>
      </c>
    </row>
    <row r="13409" spans="1:1" x14ac:dyDescent="0.25">
      <c r="A13409" t="s">
        <v>10384</v>
      </c>
    </row>
    <row r="13410" spans="1:1" x14ac:dyDescent="0.25">
      <c r="A13410" t="s">
        <v>12446</v>
      </c>
    </row>
    <row r="13411" spans="1:1" x14ac:dyDescent="0.25">
      <c r="A13411" t="s">
        <v>12447</v>
      </c>
    </row>
    <row r="13412" spans="1:1" x14ac:dyDescent="0.25">
      <c r="A13412" t="s">
        <v>12448</v>
      </c>
    </row>
    <row r="13413" spans="1:1" x14ac:dyDescent="0.25">
      <c r="A13413" t="s">
        <v>12449</v>
      </c>
    </row>
    <row r="13414" spans="1:1" x14ac:dyDescent="0.25">
      <c r="A13414" t="s">
        <v>12450</v>
      </c>
    </row>
    <row r="13415" spans="1:1" x14ac:dyDescent="0.25">
      <c r="A13415" t="s">
        <v>12451</v>
      </c>
    </row>
    <row r="13416" spans="1:1" x14ac:dyDescent="0.25">
      <c r="A13416" t="s">
        <v>12452</v>
      </c>
    </row>
    <row r="13417" spans="1:1" x14ac:dyDescent="0.25">
      <c r="A13417" t="s">
        <v>12453</v>
      </c>
    </row>
    <row r="13418" spans="1:1" x14ac:dyDescent="0.25">
      <c r="A13418" t="s">
        <v>7330</v>
      </c>
    </row>
    <row r="13419" spans="1:1" x14ac:dyDescent="0.25">
      <c r="A13419" t="s">
        <v>12454</v>
      </c>
    </row>
    <row r="13420" spans="1:1" x14ac:dyDescent="0.25">
      <c r="A13420" t="s">
        <v>12455</v>
      </c>
    </row>
    <row r="13421" spans="1:1" x14ac:dyDescent="0.25">
      <c r="A13421" t="s">
        <v>12456</v>
      </c>
    </row>
    <row r="13422" spans="1:1" x14ac:dyDescent="0.25">
      <c r="A13422" t="s">
        <v>12457</v>
      </c>
    </row>
    <row r="13423" spans="1:1" x14ac:dyDescent="0.25">
      <c r="A13423" t="s">
        <v>6705</v>
      </c>
    </row>
    <row r="13424" spans="1:1" x14ac:dyDescent="0.25">
      <c r="A13424" t="s">
        <v>2405</v>
      </c>
    </row>
    <row r="13425" spans="1:1" x14ac:dyDescent="0.25">
      <c r="A13425" t="s">
        <v>12458</v>
      </c>
    </row>
    <row r="13426" spans="1:1" x14ac:dyDescent="0.25">
      <c r="A13426" t="s">
        <v>12459</v>
      </c>
    </row>
    <row r="13427" spans="1:1" x14ac:dyDescent="0.25">
      <c r="A13427" t="s">
        <v>12460</v>
      </c>
    </row>
    <row r="13429" spans="1:1" x14ac:dyDescent="0.25">
      <c r="A13429" t="s">
        <v>12461</v>
      </c>
    </row>
    <row r="13430" spans="1:1" x14ac:dyDescent="0.25">
      <c r="A13430" t="s">
        <v>12139</v>
      </c>
    </row>
    <row r="13431" spans="1:1" x14ac:dyDescent="0.25">
      <c r="A13431" t="s">
        <v>12462</v>
      </c>
    </row>
    <row r="13432" spans="1:1" x14ac:dyDescent="0.25">
      <c r="A13432" t="s">
        <v>12463</v>
      </c>
    </row>
    <row r="13433" spans="1:1" x14ac:dyDescent="0.25">
      <c r="A13433" t="s">
        <v>12464</v>
      </c>
    </row>
    <row r="13434" spans="1:1" x14ac:dyDescent="0.25">
      <c r="A13434" t="s">
        <v>6705</v>
      </c>
    </row>
    <row r="13435" spans="1:1" x14ac:dyDescent="0.25">
      <c r="A13435" t="s">
        <v>12465</v>
      </c>
    </row>
    <row r="13436" spans="1:1" x14ac:dyDescent="0.25">
      <c r="A13436" t="s">
        <v>12466</v>
      </c>
    </row>
    <row r="13437" spans="1:1" x14ac:dyDescent="0.25">
      <c r="A13437" t="s">
        <v>12467</v>
      </c>
    </row>
    <row r="13439" spans="1:1" x14ac:dyDescent="0.25">
      <c r="A13439" t="s">
        <v>12468</v>
      </c>
    </row>
    <row r="13440" spans="1:1" x14ac:dyDescent="0.25">
      <c r="A13440" t="s">
        <v>12469</v>
      </c>
    </row>
    <row r="13441" spans="1:1" x14ac:dyDescent="0.25">
      <c r="A13441" t="s">
        <v>12470</v>
      </c>
    </row>
    <row r="13442" spans="1:1" x14ac:dyDescent="0.25">
      <c r="A13442" t="s">
        <v>12471</v>
      </c>
    </row>
    <row r="13443" spans="1:1" x14ac:dyDescent="0.25">
      <c r="A13443" t="s">
        <v>12472</v>
      </c>
    </row>
    <row r="13444" spans="1:1" x14ac:dyDescent="0.25">
      <c r="A13444" t="s">
        <v>12473</v>
      </c>
    </row>
    <row r="13445" spans="1:1" x14ac:dyDescent="0.25">
      <c r="A13445" t="s">
        <v>8930</v>
      </c>
    </row>
    <row r="13446" spans="1:1" x14ac:dyDescent="0.25">
      <c r="A13446" t="s">
        <v>12474</v>
      </c>
    </row>
    <row r="13447" spans="1:1" x14ac:dyDescent="0.25">
      <c r="A13447" t="s">
        <v>12475</v>
      </c>
    </row>
    <row r="13448" spans="1:1" x14ac:dyDescent="0.25">
      <c r="A13448" t="s">
        <v>12476</v>
      </c>
    </row>
    <row r="13450" spans="1:1" x14ac:dyDescent="0.25">
      <c r="A13450" t="s">
        <v>1563</v>
      </c>
    </row>
    <row r="13451" spans="1:1" x14ac:dyDescent="0.25">
      <c r="A13451" t="s">
        <v>12477</v>
      </c>
    </row>
    <row r="13452" spans="1:1" x14ac:dyDescent="0.25">
      <c r="A13452" t="s">
        <v>12478</v>
      </c>
    </row>
    <row r="13453" spans="1:1" x14ac:dyDescent="0.25">
      <c r="A13453" t="s">
        <v>12479</v>
      </c>
    </row>
    <row r="13454" spans="1:1" x14ac:dyDescent="0.25">
      <c r="A13454" t="s">
        <v>12480</v>
      </c>
    </row>
    <row r="13456" spans="1:1" x14ac:dyDescent="0.25">
      <c r="A13456" t="s">
        <v>8930</v>
      </c>
    </row>
    <row r="13457" spans="1:1" x14ac:dyDescent="0.25">
      <c r="A13457" t="s">
        <v>12481</v>
      </c>
    </row>
    <row r="13458" spans="1:1" x14ac:dyDescent="0.25">
      <c r="A13458" t="s">
        <v>12482</v>
      </c>
    </row>
    <row r="13459" spans="1:1" x14ac:dyDescent="0.25">
      <c r="A13459" t="s">
        <v>12483</v>
      </c>
    </row>
    <row r="13460" spans="1:1" x14ac:dyDescent="0.25">
      <c r="A13460" t="s">
        <v>12484</v>
      </c>
    </row>
    <row r="13461" spans="1:1" x14ac:dyDescent="0.25">
      <c r="A13461" t="s">
        <v>12485</v>
      </c>
    </row>
    <row r="13462" spans="1:1" x14ac:dyDescent="0.25">
      <c r="A13462" t="s">
        <v>12486</v>
      </c>
    </row>
    <row r="13463" spans="1:1" x14ac:dyDescent="0.25">
      <c r="A13463" t="s">
        <v>12487</v>
      </c>
    </row>
    <row r="13464" spans="1:1" x14ac:dyDescent="0.25">
      <c r="A13464" t="s">
        <v>12488</v>
      </c>
    </row>
    <row r="13465" spans="1:1" x14ac:dyDescent="0.25">
      <c r="A13465" t="s">
        <v>12489</v>
      </c>
    </row>
    <row r="13466" spans="1:1" x14ac:dyDescent="0.25">
      <c r="A13466" t="s">
        <v>12490</v>
      </c>
    </row>
    <row r="13467" spans="1:1" x14ac:dyDescent="0.25">
      <c r="A13467" t="s">
        <v>12491</v>
      </c>
    </row>
    <row r="13468" spans="1:1" x14ac:dyDescent="0.25">
      <c r="A13468" t="s">
        <v>12492</v>
      </c>
    </row>
    <row r="13469" spans="1:1" x14ac:dyDescent="0.25">
      <c r="A13469" s="55">
        <v>43920</v>
      </c>
    </row>
    <row r="13470" spans="1:1" x14ac:dyDescent="0.25">
      <c r="A13470" t="s">
        <v>12493</v>
      </c>
    </row>
    <row r="13471" spans="1:1" x14ac:dyDescent="0.25">
      <c r="A13471" t="s">
        <v>12494</v>
      </c>
    </row>
    <row r="13472" spans="1:1" x14ac:dyDescent="0.25">
      <c r="A13472" t="s">
        <v>12495</v>
      </c>
    </row>
    <row r="13473" spans="1:1" x14ac:dyDescent="0.25">
      <c r="A13473" t="s">
        <v>12496</v>
      </c>
    </row>
    <row r="13474" spans="1:1" x14ac:dyDescent="0.25">
      <c r="A13474" t="s">
        <v>12497</v>
      </c>
    </row>
    <row r="13475" spans="1:1" x14ac:dyDescent="0.25">
      <c r="A13475" t="s">
        <v>12498</v>
      </c>
    </row>
    <row r="13476" spans="1:1" x14ac:dyDescent="0.25">
      <c r="A13476" t="s">
        <v>12499</v>
      </c>
    </row>
    <row r="13477" spans="1:1" x14ac:dyDescent="0.25">
      <c r="A13477" t="s">
        <v>8975</v>
      </c>
    </row>
    <row r="13478" spans="1:1" x14ac:dyDescent="0.25">
      <c r="A13478" t="s">
        <v>12500</v>
      </c>
    </row>
    <row r="13479" spans="1:1" x14ac:dyDescent="0.25">
      <c r="A13479" t="s">
        <v>12501</v>
      </c>
    </row>
    <row r="13480" spans="1:1" x14ac:dyDescent="0.25">
      <c r="A13480" t="s">
        <v>12502</v>
      </c>
    </row>
    <row r="13481" spans="1:1" x14ac:dyDescent="0.25">
      <c r="A13481" t="s">
        <v>12503</v>
      </c>
    </row>
    <row r="13482" spans="1:1" x14ac:dyDescent="0.25">
      <c r="A13482" t="s">
        <v>12504</v>
      </c>
    </row>
    <row r="13483" spans="1:1" x14ac:dyDescent="0.25">
      <c r="A13483" t="s">
        <v>12503</v>
      </c>
    </row>
    <row r="13484" spans="1:1" x14ac:dyDescent="0.25">
      <c r="A13484" t="s">
        <v>12505</v>
      </c>
    </row>
    <row r="13485" spans="1:1" x14ac:dyDescent="0.25">
      <c r="A13485" t="s">
        <v>12506</v>
      </c>
    </row>
    <row r="13486" spans="1:1" x14ac:dyDescent="0.25">
      <c r="A13486" t="s">
        <v>12507</v>
      </c>
    </row>
    <row r="13487" spans="1:1" x14ac:dyDescent="0.25">
      <c r="A13487" t="s">
        <v>12508</v>
      </c>
    </row>
    <row r="13488" spans="1:1" x14ac:dyDescent="0.25">
      <c r="A13488" t="s">
        <v>12509</v>
      </c>
    </row>
    <row r="13489" spans="1:1" x14ac:dyDescent="0.25">
      <c r="A13489" t="s">
        <v>12510</v>
      </c>
    </row>
    <row r="13490" spans="1:1" x14ac:dyDescent="0.25">
      <c r="A13490" t="s">
        <v>12511</v>
      </c>
    </row>
    <row r="13491" spans="1:1" x14ac:dyDescent="0.25">
      <c r="A13491" t="s">
        <v>12512</v>
      </c>
    </row>
    <row r="13492" spans="1:1" x14ac:dyDescent="0.25">
      <c r="A13492" t="s">
        <v>12513</v>
      </c>
    </row>
    <row r="13493" spans="1:1" x14ac:dyDescent="0.25">
      <c r="A13493" t="s">
        <v>12514</v>
      </c>
    </row>
    <row r="13494" spans="1:1" x14ac:dyDescent="0.25">
      <c r="A13494" t="s">
        <v>12515</v>
      </c>
    </row>
    <row r="13495" spans="1:1" x14ac:dyDescent="0.25">
      <c r="A13495" t="s">
        <v>12516</v>
      </c>
    </row>
    <row r="13496" spans="1:1" x14ac:dyDescent="0.25">
      <c r="A13496" t="s">
        <v>12517</v>
      </c>
    </row>
    <row r="13497" spans="1:1" x14ac:dyDescent="0.25">
      <c r="A13497" t="s">
        <v>12518</v>
      </c>
    </row>
    <row r="13498" spans="1:1" x14ac:dyDescent="0.25">
      <c r="A13498" t="s">
        <v>12519</v>
      </c>
    </row>
    <row r="13499" spans="1:1" x14ac:dyDescent="0.25">
      <c r="A13499" t="s">
        <v>12520</v>
      </c>
    </row>
    <row r="13500" spans="1:1" x14ac:dyDescent="0.25">
      <c r="A13500" t="s">
        <v>12521</v>
      </c>
    </row>
    <row r="13501" spans="1:1" x14ac:dyDescent="0.25">
      <c r="A13501" t="s">
        <v>12522</v>
      </c>
    </row>
    <row r="13502" spans="1:1" x14ac:dyDescent="0.25">
      <c r="A13502" t="s">
        <v>12523</v>
      </c>
    </row>
    <row r="13503" spans="1:1" x14ac:dyDescent="0.25">
      <c r="A13503" t="s">
        <v>12524</v>
      </c>
    </row>
    <row r="13504" spans="1:1" x14ac:dyDescent="0.25">
      <c r="A13504" t="s">
        <v>12525</v>
      </c>
    </row>
    <row r="13505" spans="1:1" x14ac:dyDescent="0.25">
      <c r="A13505" t="s">
        <v>12526</v>
      </c>
    </row>
    <row r="13506" spans="1:1" x14ac:dyDescent="0.25">
      <c r="A13506" t="s">
        <v>12527</v>
      </c>
    </row>
    <row r="13507" spans="1:1" x14ac:dyDescent="0.25">
      <c r="A13507" t="s">
        <v>12520</v>
      </c>
    </row>
    <row r="13508" spans="1:1" x14ac:dyDescent="0.25">
      <c r="A13508" t="s">
        <v>12528</v>
      </c>
    </row>
    <row r="13509" spans="1:1" x14ac:dyDescent="0.25">
      <c r="A13509" t="s">
        <v>12529</v>
      </c>
    </row>
    <row r="13510" spans="1:1" x14ac:dyDescent="0.25">
      <c r="A13510" t="s">
        <v>12530</v>
      </c>
    </row>
    <row r="13511" spans="1:1" x14ac:dyDescent="0.25">
      <c r="A13511" t="s">
        <v>12531</v>
      </c>
    </row>
    <row r="13512" spans="1:1" x14ac:dyDescent="0.25">
      <c r="A13512" t="s">
        <v>12532</v>
      </c>
    </row>
    <row r="13513" spans="1:1" x14ac:dyDescent="0.25">
      <c r="A13513" t="s">
        <v>12533</v>
      </c>
    </row>
    <row r="13514" spans="1:1" x14ac:dyDescent="0.25">
      <c r="A13514" t="s">
        <v>12534</v>
      </c>
    </row>
    <row r="13515" spans="1:1" x14ac:dyDescent="0.25">
      <c r="A13515" t="s">
        <v>12535</v>
      </c>
    </row>
    <row r="13516" spans="1:1" x14ac:dyDescent="0.25">
      <c r="A13516" t="s">
        <v>12536</v>
      </c>
    </row>
    <row r="13517" spans="1:1" x14ac:dyDescent="0.25">
      <c r="A13517" t="s">
        <v>12537</v>
      </c>
    </row>
    <row r="13518" spans="1:1" x14ac:dyDescent="0.25">
      <c r="A13518" t="s">
        <v>12538</v>
      </c>
    </row>
    <row r="13519" spans="1:1" x14ac:dyDescent="0.25">
      <c r="A13519" t="s">
        <v>12539</v>
      </c>
    </row>
    <row r="13520" spans="1:1" x14ac:dyDescent="0.25">
      <c r="A13520" t="s">
        <v>12540</v>
      </c>
    </row>
    <row r="13521" spans="1:1" x14ac:dyDescent="0.25">
      <c r="A13521" t="s">
        <v>12541</v>
      </c>
    </row>
    <row r="13522" spans="1:1" x14ac:dyDescent="0.25">
      <c r="A13522" t="s">
        <v>12542</v>
      </c>
    </row>
    <row r="13523" spans="1:1" x14ac:dyDescent="0.25">
      <c r="A13523" t="s">
        <v>12543</v>
      </c>
    </row>
    <row r="13524" spans="1:1" x14ac:dyDescent="0.25">
      <c r="A13524" t="s">
        <v>12544</v>
      </c>
    </row>
    <row r="13525" spans="1:1" x14ac:dyDescent="0.25">
      <c r="A13525" t="s">
        <v>12545</v>
      </c>
    </row>
    <row r="13526" spans="1:1" x14ac:dyDescent="0.25">
      <c r="A13526" t="s">
        <v>12546</v>
      </c>
    </row>
    <row r="13527" spans="1:1" x14ac:dyDescent="0.25">
      <c r="A13527" t="s">
        <v>12547</v>
      </c>
    </row>
    <row r="13528" spans="1:1" x14ac:dyDescent="0.25">
      <c r="A13528" t="s">
        <v>12548</v>
      </c>
    </row>
    <row r="13529" spans="1:1" x14ac:dyDescent="0.25">
      <c r="A13529" t="s">
        <v>12549</v>
      </c>
    </row>
    <row r="13530" spans="1:1" x14ac:dyDescent="0.25">
      <c r="A13530" t="s">
        <v>12550</v>
      </c>
    </row>
    <row r="13531" spans="1:1" x14ac:dyDescent="0.25">
      <c r="A13531" t="s">
        <v>12551</v>
      </c>
    </row>
    <row r="13532" spans="1:1" x14ac:dyDescent="0.25">
      <c r="A13532" t="s">
        <v>12552</v>
      </c>
    </row>
    <row r="13533" spans="1:1" x14ac:dyDescent="0.25">
      <c r="A13533" t="s">
        <v>12553</v>
      </c>
    </row>
    <row r="13534" spans="1:1" x14ac:dyDescent="0.25">
      <c r="A13534" t="s">
        <v>12554</v>
      </c>
    </row>
    <row r="13535" spans="1:1" x14ac:dyDescent="0.25">
      <c r="A13535" t="s">
        <v>12555</v>
      </c>
    </row>
    <row r="13536" spans="1:1" x14ac:dyDescent="0.25">
      <c r="A13536" t="s">
        <v>12556</v>
      </c>
    </row>
    <row r="13537" spans="1:1" x14ac:dyDescent="0.25">
      <c r="A13537" t="s">
        <v>12557</v>
      </c>
    </row>
    <row r="13538" spans="1:1" x14ac:dyDescent="0.25">
      <c r="A13538" t="s">
        <v>12558</v>
      </c>
    </row>
    <row r="13539" spans="1:1" x14ac:dyDescent="0.25">
      <c r="A13539" t="s">
        <v>12559</v>
      </c>
    </row>
    <row r="13540" spans="1:1" x14ac:dyDescent="0.25">
      <c r="A13540" t="s">
        <v>2555</v>
      </c>
    </row>
    <row r="13541" spans="1:1" x14ac:dyDescent="0.25">
      <c r="A13541" t="s">
        <v>12560</v>
      </c>
    </row>
    <row r="13542" spans="1:1" x14ac:dyDescent="0.25">
      <c r="A13542" t="s">
        <v>12561</v>
      </c>
    </row>
    <row r="13543" spans="1:1" x14ac:dyDescent="0.25">
      <c r="A13543" t="s">
        <v>12562</v>
      </c>
    </row>
    <row r="13544" spans="1:1" x14ac:dyDescent="0.25">
      <c r="A13544" t="s">
        <v>12563</v>
      </c>
    </row>
    <row r="13545" spans="1:1" x14ac:dyDescent="0.25">
      <c r="A13545" t="s">
        <v>12564</v>
      </c>
    </row>
    <row r="13546" spans="1:1" x14ac:dyDescent="0.25">
      <c r="A13546" t="s">
        <v>12565</v>
      </c>
    </row>
    <row r="13547" spans="1:1" x14ac:dyDescent="0.25">
      <c r="A13547" t="s">
        <v>7202</v>
      </c>
    </row>
    <row r="13548" spans="1:1" x14ac:dyDescent="0.25">
      <c r="A13548" t="s">
        <v>12566</v>
      </c>
    </row>
    <row r="13549" spans="1:1" x14ac:dyDescent="0.25">
      <c r="A13549" t="s">
        <v>12567</v>
      </c>
    </row>
    <row r="13550" spans="1:1" x14ac:dyDescent="0.25">
      <c r="A13550" t="s">
        <v>12568</v>
      </c>
    </row>
    <row r="13551" spans="1:1" x14ac:dyDescent="0.25">
      <c r="A13551" t="s">
        <v>12569</v>
      </c>
    </row>
    <row r="13552" spans="1:1" x14ac:dyDescent="0.25">
      <c r="A13552" t="s">
        <v>1434</v>
      </c>
    </row>
    <row r="13553" spans="1:1" x14ac:dyDescent="0.25">
      <c r="A13553" t="s">
        <v>12570</v>
      </c>
    </row>
    <row r="13554" spans="1:1" x14ac:dyDescent="0.25">
      <c r="A13554" t="s">
        <v>12571</v>
      </c>
    </row>
    <row r="13555" spans="1:1" x14ac:dyDescent="0.25">
      <c r="A13555" t="s">
        <v>12572</v>
      </c>
    </row>
    <row r="13556" spans="1:1" x14ac:dyDescent="0.25">
      <c r="A13556" t="s">
        <v>12573</v>
      </c>
    </row>
    <row r="13557" spans="1:1" x14ac:dyDescent="0.25">
      <c r="A13557" t="s">
        <v>12574</v>
      </c>
    </row>
    <row r="13558" spans="1:1" x14ac:dyDescent="0.25">
      <c r="A13558" t="s">
        <v>12575</v>
      </c>
    </row>
    <row r="13559" spans="1:1" x14ac:dyDescent="0.25">
      <c r="A13559" t="s">
        <v>12576</v>
      </c>
    </row>
    <row r="13560" spans="1:1" x14ac:dyDescent="0.25">
      <c r="A13560" t="s">
        <v>12577</v>
      </c>
    </row>
    <row r="13561" spans="1:1" x14ac:dyDescent="0.25">
      <c r="A13561" t="s">
        <v>12578</v>
      </c>
    </row>
    <row r="13562" spans="1:1" x14ac:dyDescent="0.25">
      <c r="A13562" t="s">
        <v>3054</v>
      </c>
    </row>
    <row r="13563" spans="1:1" x14ac:dyDescent="0.25">
      <c r="A13563" t="s">
        <v>12579</v>
      </c>
    </row>
    <row r="13565" spans="1:1" x14ac:dyDescent="0.25">
      <c r="A13565" t="s">
        <v>12580</v>
      </c>
    </row>
    <row r="13566" spans="1:1" x14ac:dyDescent="0.25">
      <c r="A13566" t="s">
        <v>12581</v>
      </c>
    </row>
    <row r="13567" spans="1:1" x14ac:dyDescent="0.25">
      <c r="A13567" t="s">
        <v>12582</v>
      </c>
    </row>
    <row r="13568" spans="1:1" x14ac:dyDescent="0.25">
      <c r="A13568" t="s">
        <v>12583</v>
      </c>
    </row>
    <row r="13569" spans="1:1" x14ac:dyDescent="0.25">
      <c r="A13569" t="s">
        <v>12583</v>
      </c>
    </row>
    <row r="13570" spans="1:1" x14ac:dyDescent="0.25">
      <c r="A13570" t="s">
        <v>12584</v>
      </c>
    </row>
    <row r="13571" spans="1:1" x14ac:dyDescent="0.25">
      <c r="A13571" t="s">
        <v>8904</v>
      </c>
    </row>
    <row r="13572" spans="1:1" x14ac:dyDescent="0.25">
      <c r="A13572" t="s">
        <v>12585</v>
      </c>
    </row>
    <row r="13573" spans="1:1" x14ac:dyDescent="0.25">
      <c r="A13573" t="s">
        <v>12586</v>
      </c>
    </row>
    <row r="13575" spans="1:1" x14ac:dyDescent="0.25">
      <c r="A13575" t="s">
        <v>12587</v>
      </c>
    </row>
    <row r="13576" spans="1:1" x14ac:dyDescent="0.25">
      <c r="A13576" t="s">
        <v>12588</v>
      </c>
    </row>
    <row r="13577" spans="1:1" x14ac:dyDescent="0.25">
      <c r="A13577" t="s">
        <v>12589</v>
      </c>
    </row>
    <row r="13578" spans="1:1" x14ac:dyDescent="0.25">
      <c r="A13578" t="s">
        <v>12590</v>
      </c>
    </row>
    <row r="13579" spans="1:1" x14ac:dyDescent="0.25">
      <c r="A13579" t="s">
        <v>12591</v>
      </c>
    </row>
    <row r="13580" spans="1:1" x14ac:dyDescent="0.25">
      <c r="A13580" t="s">
        <v>12592</v>
      </c>
    </row>
    <row r="13581" spans="1:1" x14ac:dyDescent="0.25">
      <c r="A13581" t="s">
        <v>12593</v>
      </c>
    </row>
    <row r="13582" spans="1:1" x14ac:dyDescent="0.25">
      <c r="A13582" t="s">
        <v>12594</v>
      </c>
    </row>
    <row r="13583" spans="1:1" x14ac:dyDescent="0.25">
      <c r="A13583" t="s">
        <v>12595</v>
      </c>
    </row>
    <row r="13584" spans="1:1" x14ac:dyDescent="0.25">
      <c r="A13584" t="s">
        <v>12596</v>
      </c>
    </row>
    <row r="13585" spans="1:1" x14ac:dyDescent="0.25">
      <c r="A13585" t="s">
        <v>12597</v>
      </c>
    </row>
    <row r="13586" spans="1:1" x14ac:dyDescent="0.25">
      <c r="A13586" t="s">
        <v>12598</v>
      </c>
    </row>
    <row r="13587" spans="1:1" x14ac:dyDescent="0.25">
      <c r="A13587" t="s">
        <v>12599</v>
      </c>
    </row>
    <row r="13588" spans="1:1" x14ac:dyDescent="0.25">
      <c r="A13588" t="s">
        <v>12600</v>
      </c>
    </row>
    <row r="13589" spans="1:1" x14ac:dyDescent="0.25">
      <c r="A13589" t="s">
        <v>12601</v>
      </c>
    </row>
    <row r="13590" spans="1:1" x14ac:dyDescent="0.25">
      <c r="A13590" t="s">
        <v>12602</v>
      </c>
    </row>
    <row r="13591" spans="1:1" x14ac:dyDescent="0.25">
      <c r="A13591" t="s">
        <v>12603</v>
      </c>
    </row>
    <row r="13592" spans="1:1" x14ac:dyDescent="0.25">
      <c r="A13592" t="s">
        <v>4508</v>
      </c>
    </row>
    <row r="13593" spans="1:1" x14ac:dyDescent="0.25">
      <c r="A13593" t="s">
        <v>12604</v>
      </c>
    </row>
    <row r="13594" spans="1:1" x14ac:dyDescent="0.25">
      <c r="A13594" t="s">
        <v>12605</v>
      </c>
    </row>
    <row r="13595" spans="1:1" x14ac:dyDescent="0.25">
      <c r="A13595" t="s">
        <v>12606</v>
      </c>
    </row>
    <row r="13596" spans="1:1" x14ac:dyDescent="0.25">
      <c r="A13596" t="s">
        <v>4508</v>
      </c>
    </row>
    <row r="13597" spans="1:1" x14ac:dyDescent="0.25">
      <c r="A13597" t="s">
        <v>12607</v>
      </c>
    </row>
    <row r="13598" spans="1:1" x14ac:dyDescent="0.25">
      <c r="A13598" t="s">
        <v>12608</v>
      </c>
    </row>
    <row r="13599" spans="1:1" x14ac:dyDescent="0.25">
      <c r="A13599" t="s">
        <v>12609</v>
      </c>
    </row>
    <row r="13600" spans="1:1" x14ac:dyDescent="0.25">
      <c r="A13600" t="s">
        <v>12610</v>
      </c>
    </row>
    <row r="13601" spans="1:1" x14ac:dyDescent="0.25">
      <c r="A13601" t="s">
        <v>12611</v>
      </c>
    </row>
    <row r="13602" spans="1:1" x14ac:dyDescent="0.25">
      <c r="A13602" t="s">
        <v>12612</v>
      </c>
    </row>
    <row r="13603" spans="1:1" x14ac:dyDescent="0.25">
      <c r="A13603" t="s">
        <v>12613</v>
      </c>
    </row>
    <row r="13604" spans="1:1" x14ac:dyDescent="0.25">
      <c r="A13604" t="s">
        <v>12614</v>
      </c>
    </row>
    <row r="13605" spans="1:1" x14ac:dyDescent="0.25">
      <c r="A13605" t="s">
        <v>12615</v>
      </c>
    </row>
    <row r="13606" spans="1:1" x14ac:dyDescent="0.25">
      <c r="A13606" t="s">
        <v>2867</v>
      </c>
    </row>
    <row r="13607" spans="1:1" x14ac:dyDescent="0.25">
      <c r="A13607" t="s">
        <v>12616</v>
      </c>
    </row>
    <row r="13608" spans="1:1" x14ac:dyDescent="0.25">
      <c r="A13608" t="s">
        <v>12617</v>
      </c>
    </row>
    <row r="13609" spans="1:1" x14ac:dyDescent="0.25">
      <c r="A13609" t="s">
        <v>12618</v>
      </c>
    </row>
    <row r="13610" spans="1:1" x14ac:dyDescent="0.25">
      <c r="A13610" t="s">
        <v>12619</v>
      </c>
    </row>
    <row r="13612" spans="1:1" x14ac:dyDescent="0.25">
      <c r="A13612" t="s">
        <v>12620</v>
      </c>
    </row>
    <row r="13613" spans="1:1" x14ac:dyDescent="0.25">
      <c r="A13613" t="s">
        <v>2867</v>
      </c>
    </row>
    <row r="13614" spans="1:1" x14ac:dyDescent="0.25">
      <c r="A13614" t="s">
        <v>12621</v>
      </c>
    </row>
    <row r="13615" spans="1:1" x14ac:dyDescent="0.25">
      <c r="A13615" t="s">
        <v>12622</v>
      </c>
    </row>
    <row r="13616" spans="1:1" x14ac:dyDescent="0.25">
      <c r="A13616" t="s">
        <v>12623</v>
      </c>
    </row>
    <row r="13617" spans="1:1" x14ac:dyDescent="0.25">
      <c r="A13617" t="s">
        <v>12624</v>
      </c>
    </row>
    <row r="13618" spans="1:1" x14ac:dyDescent="0.25">
      <c r="A13618" t="s">
        <v>12625</v>
      </c>
    </row>
    <row r="13619" spans="1:1" x14ac:dyDescent="0.25">
      <c r="A13619" t="s">
        <v>12626</v>
      </c>
    </row>
    <row r="13620" spans="1:1" x14ac:dyDescent="0.25">
      <c r="A13620" t="s">
        <v>12627</v>
      </c>
    </row>
    <row r="13621" spans="1:1" x14ac:dyDescent="0.25">
      <c r="A13621" t="s">
        <v>12628</v>
      </c>
    </row>
    <row r="13622" spans="1:1" x14ac:dyDescent="0.25">
      <c r="A13622" t="s">
        <v>9299</v>
      </c>
    </row>
    <row r="13623" spans="1:1" x14ac:dyDescent="0.25">
      <c r="A13623" t="s">
        <v>12629</v>
      </c>
    </row>
    <row r="13624" spans="1:1" x14ac:dyDescent="0.25">
      <c r="A13624" t="s">
        <v>12630</v>
      </c>
    </row>
    <row r="13625" spans="1:1" x14ac:dyDescent="0.25">
      <c r="A13625" t="s">
        <v>12631</v>
      </c>
    </row>
    <row r="13626" spans="1:1" x14ac:dyDescent="0.25">
      <c r="A13626" t="s">
        <v>2884</v>
      </c>
    </row>
    <row r="13627" spans="1:1" x14ac:dyDescent="0.25">
      <c r="A13627" t="s">
        <v>12632</v>
      </c>
    </row>
    <row r="13628" spans="1:1" x14ac:dyDescent="0.25">
      <c r="A13628" t="s">
        <v>2884</v>
      </c>
    </row>
    <row r="13629" spans="1:1" x14ac:dyDescent="0.25">
      <c r="A13629" t="s">
        <v>12633</v>
      </c>
    </row>
    <row r="13630" spans="1:1" x14ac:dyDescent="0.25">
      <c r="A13630" t="s">
        <v>12634</v>
      </c>
    </row>
    <row r="13631" spans="1:1" x14ac:dyDescent="0.25">
      <c r="A13631" t="s">
        <v>12635</v>
      </c>
    </row>
    <row r="13632" spans="1:1" x14ac:dyDescent="0.25">
      <c r="A13632" t="s">
        <v>12636</v>
      </c>
    </row>
    <row r="13633" spans="1:1" x14ac:dyDescent="0.25">
      <c r="A13633" t="s">
        <v>12637</v>
      </c>
    </row>
    <row r="13634" spans="1:1" x14ac:dyDescent="0.25">
      <c r="A13634" t="s">
        <v>12638</v>
      </c>
    </row>
    <row r="13635" spans="1:1" x14ac:dyDescent="0.25">
      <c r="A13635" t="s">
        <v>12639</v>
      </c>
    </row>
    <row r="13636" spans="1:1" x14ac:dyDescent="0.25">
      <c r="A13636" t="s">
        <v>12640</v>
      </c>
    </row>
    <row r="13637" spans="1:1" x14ac:dyDescent="0.25">
      <c r="A13637" t="s">
        <v>11389</v>
      </c>
    </row>
    <row r="13638" spans="1:1" x14ac:dyDescent="0.25">
      <c r="A13638" t="s">
        <v>12641</v>
      </c>
    </row>
    <row r="13639" spans="1:1" x14ac:dyDescent="0.25">
      <c r="A13639" t="s">
        <v>12642</v>
      </c>
    </row>
    <row r="13640" spans="1:1" x14ac:dyDescent="0.25">
      <c r="A13640" t="s">
        <v>12643</v>
      </c>
    </row>
    <row r="13641" spans="1:1" x14ac:dyDescent="0.25">
      <c r="A13641" t="s">
        <v>12644</v>
      </c>
    </row>
    <row r="13642" spans="1:1" x14ac:dyDescent="0.25">
      <c r="A13642" t="s">
        <v>12645</v>
      </c>
    </row>
    <row r="13643" spans="1:1" x14ac:dyDescent="0.25">
      <c r="A13643" t="s">
        <v>12646</v>
      </c>
    </row>
    <row r="13644" spans="1:1" x14ac:dyDescent="0.25">
      <c r="A13644" t="s">
        <v>12647</v>
      </c>
    </row>
    <row r="13645" spans="1:1" x14ac:dyDescent="0.25">
      <c r="A13645" t="s">
        <v>12648</v>
      </c>
    </row>
    <row r="13646" spans="1:1" x14ac:dyDescent="0.25">
      <c r="A13646" t="s">
        <v>12649</v>
      </c>
    </row>
    <row r="13647" spans="1:1" x14ac:dyDescent="0.25">
      <c r="A13647" t="s">
        <v>12650</v>
      </c>
    </row>
    <row r="13648" spans="1:1" x14ac:dyDescent="0.25">
      <c r="A13648" t="s">
        <v>12651</v>
      </c>
    </row>
    <row r="13649" spans="1:1" x14ac:dyDescent="0.25">
      <c r="A13649" s="4">
        <v>46173</v>
      </c>
    </row>
    <row r="13650" spans="1:1" x14ac:dyDescent="0.25">
      <c r="A13650" t="s">
        <v>12652</v>
      </c>
    </row>
    <row r="13651" spans="1:1" x14ac:dyDescent="0.25">
      <c r="A13651" t="s">
        <v>12653</v>
      </c>
    </row>
    <row r="13652" spans="1:1" x14ac:dyDescent="0.25">
      <c r="A13652" t="s">
        <v>12653</v>
      </c>
    </row>
    <row r="13653" spans="1:1" x14ac:dyDescent="0.25">
      <c r="A13653" t="s">
        <v>12654</v>
      </c>
    </row>
    <row r="13654" spans="1:1" x14ac:dyDescent="0.25">
      <c r="A13654" t="s">
        <v>12655</v>
      </c>
    </row>
    <row r="13655" spans="1:1" x14ac:dyDescent="0.25">
      <c r="A13655" t="s">
        <v>12656</v>
      </c>
    </row>
    <row r="13656" spans="1:1" x14ac:dyDescent="0.25">
      <c r="A13656" t="s">
        <v>12657</v>
      </c>
    </row>
    <row r="13657" spans="1:1" x14ac:dyDescent="0.25">
      <c r="A13657" t="s">
        <v>12658</v>
      </c>
    </row>
    <row r="13658" spans="1:1" x14ac:dyDescent="0.25">
      <c r="A13658" t="s">
        <v>12659</v>
      </c>
    </row>
    <row r="13659" spans="1:1" x14ac:dyDescent="0.25">
      <c r="A13659" t="s">
        <v>12660</v>
      </c>
    </row>
    <row r="13661" spans="1:1" x14ac:dyDescent="0.25">
      <c r="A13661" t="s">
        <v>12661</v>
      </c>
    </row>
    <row r="13662" spans="1:1" x14ac:dyDescent="0.25">
      <c r="A13662" t="s">
        <v>12662</v>
      </c>
    </row>
    <row r="13663" spans="1:1" x14ac:dyDescent="0.25">
      <c r="A13663" t="s">
        <v>12663</v>
      </c>
    </row>
    <row r="13664" spans="1:1" x14ac:dyDescent="0.25">
      <c r="A13664" t="s">
        <v>12664</v>
      </c>
    </row>
    <row r="13665" spans="1:1" x14ac:dyDescent="0.25">
      <c r="A13665" t="s">
        <v>12665</v>
      </c>
    </row>
    <row r="13666" spans="1:1" x14ac:dyDescent="0.25">
      <c r="A13666" t="s">
        <v>12666</v>
      </c>
    </row>
    <row r="13667" spans="1:1" x14ac:dyDescent="0.25">
      <c r="A13667" t="s">
        <v>12667</v>
      </c>
    </row>
    <row r="13668" spans="1:1" x14ac:dyDescent="0.25">
      <c r="A13668" t="s">
        <v>12668</v>
      </c>
    </row>
    <row r="13669" spans="1:1" x14ac:dyDescent="0.25">
      <c r="A13669" t="s">
        <v>12669</v>
      </c>
    </row>
    <row r="13670" spans="1:1" x14ac:dyDescent="0.25">
      <c r="A13670" t="s">
        <v>12670</v>
      </c>
    </row>
    <row r="13671" spans="1:1" x14ac:dyDescent="0.25">
      <c r="A13671" t="s">
        <v>12671</v>
      </c>
    </row>
    <row r="13672" spans="1:1" x14ac:dyDescent="0.25">
      <c r="A13672" t="s">
        <v>12672</v>
      </c>
    </row>
    <row r="13673" spans="1:1" x14ac:dyDescent="0.25">
      <c r="A13673" t="s">
        <v>12673</v>
      </c>
    </row>
    <row r="13674" spans="1:1" x14ac:dyDescent="0.25">
      <c r="A13674" t="s">
        <v>12674</v>
      </c>
    </row>
    <row r="13675" spans="1:1" x14ac:dyDescent="0.25">
      <c r="A13675" t="s">
        <v>12675</v>
      </c>
    </row>
    <row r="13676" spans="1:1" x14ac:dyDescent="0.25">
      <c r="A13676" t="s">
        <v>12676</v>
      </c>
    </row>
    <row r="13677" spans="1:1" x14ac:dyDescent="0.25">
      <c r="A13677" t="s">
        <v>12677</v>
      </c>
    </row>
    <row r="13678" spans="1:1" x14ac:dyDescent="0.25">
      <c r="A13678" t="s">
        <v>12678</v>
      </c>
    </row>
    <row r="13679" spans="1:1" x14ac:dyDescent="0.25">
      <c r="A13679" t="s">
        <v>12679</v>
      </c>
    </row>
    <row r="13680" spans="1:1" x14ac:dyDescent="0.25">
      <c r="A13680" t="s">
        <v>12680</v>
      </c>
    </row>
    <row r="13681" spans="1:1" x14ac:dyDescent="0.25">
      <c r="A13681" t="s">
        <v>12681</v>
      </c>
    </row>
    <row r="13682" spans="1:1" x14ac:dyDescent="0.25">
      <c r="A13682" t="s">
        <v>12682</v>
      </c>
    </row>
    <row r="13683" spans="1:1" x14ac:dyDescent="0.25">
      <c r="A13683" t="s">
        <v>12683</v>
      </c>
    </row>
    <row r="13684" spans="1:1" x14ac:dyDescent="0.25">
      <c r="A13684" t="s">
        <v>12684</v>
      </c>
    </row>
    <row r="13685" spans="1:1" x14ac:dyDescent="0.25">
      <c r="A13685" t="s">
        <v>12685</v>
      </c>
    </row>
    <row r="13686" spans="1:1" x14ac:dyDescent="0.25">
      <c r="A13686" t="s">
        <v>12686</v>
      </c>
    </row>
    <row r="13687" spans="1:1" x14ac:dyDescent="0.25">
      <c r="A13687" t="s">
        <v>12687</v>
      </c>
    </row>
    <row r="13688" spans="1:1" x14ac:dyDescent="0.25">
      <c r="A13688" t="s">
        <v>3040</v>
      </c>
    </row>
    <row r="13689" spans="1:1" x14ac:dyDescent="0.25">
      <c r="A13689" t="s">
        <v>12688</v>
      </c>
    </row>
    <row r="13690" spans="1:1" x14ac:dyDescent="0.25">
      <c r="A13690" t="s">
        <v>12689</v>
      </c>
    </row>
    <row r="13691" spans="1:1" x14ac:dyDescent="0.25">
      <c r="A13691" t="s">
        <v>12690</v>
      </c>
    </row>
    <row r="13692" spans="1:1" x14ac:dyDescent="0.25">
      <c r="A13692" t="s">
        <v>12691</v>
      </c>
    </row>
    <row r="13693" spans="1:1" x14ac:dyDescent="0.25">
      <c r="A13693" t="s">
        <v>6705</v>
      </c>
    </row>
    <row r="13694" spans="1:1" x14ac:dyDescent="0.25">
      <c r="A13694" t="s">
        <v>12692</v>
      </c>
    </row>
    <row r="13695" spans="1:1" x14ac:dyDescent="0.25">
      <c r="A13695" t="s">
        <v>12693</v>
      </c>
    </row>
    <row r="13696" spans="1:1" x14ac:dyDescent="0.25">
      <c r="A13696" t="s">
        <v>12694</v>
      </c>
    </row>
    <row r="13697" spans="1:1" x14ac:dyDescent="0.25">
      <c r="A13697" t="s">
        <v>12695</v>
      </c>
    </row>
    <row r="13698" spans="1:1" x14ac:dyDescent="0.25">
      <c r="A13698" t="s">
        <v>12696</v>
      </c>
    </row>
    <row r="13699" spans="1:1" x14ac:dyDescent="0.25">
      <c r="A13699" t="s">
        <v>12697</v>
      </c>
    </row>
    <row r="13700" spans="1:1" x14ac:dyDescent="0.25">
      <c r="A13700" t="s">
        <v>12698</v>
      </c>
    </row>
    <row r="13701" spans="1:1" x14ac:dyDescent="0.25">
      <c r="A13701" t="s">
        <v>12699</v>
      </c>
    </row>
    <row r="13702" spans="1:1" x14ac:dyDescent="0.25">
      <c r="A13702" t="s">
        <v>12700</v>
      </c>
    </row>
    <row r="13704" spans="1:1" x14ac:dyDescent="0.25">
      <c r="A13704" t="s">
        <v>2076</v>
      </c>
    </row>
    <row r="13705" spans="1:1" x14ac:dyDescent="0.25">
      <c r="A13705" t="s">
        <v>12701</v>
      </c>
    </row>
    <row r="13706" spans="1:1" x14ac:dyDescent="0.25">
      <c r="A13706" t="s">
        <v>12702</v>
      </c>
    </row>
    <row r="13707" spans="1:1" x14ac:dyDescent="0.25">
      <c r="A13707" t="s">
        <v>12703</v>
      </c>
    </row>
    <row r="13708" spans="1:1" x14ac:dyDescent="0.25">
      <c r="A13708" t="s">
        <v>12704</v>
      </c>
    </row>
    <row r="13709" spans="1:1" x14ac:dyDescent="0.25">
      <c r="A13709" t="s">
        <v>12705</v>
      </c>
    </row>
    <row r="13710" spans="1:1" x14ac:dyDescent="0.25">
      <c r="A13710" t="s">
        <v>12706</v>
      </c>
    </row>
    <row r="13711" spans="1:1" x14ac:dyDescent="0.25">
      <c r="A13711" t="s">
        <v>12707</v>
      </c>
    </row>
    <row r="13712" spans="1:1" x14ac:dyDescent="0.25">
      <c r="A13712" t="s">
        <v>12708</v>
      </c>
    </row>
    <row r="13713" spans="1:1" x14ac:dyDescent="0.25">
      <c r="A13713" t="s">
        <v>12709</v>
      </c>
    </row>
    <row r="13714" spans="1:1" x14ac:dyDescent="0.25">
      <c r="A13714" t="s">
        <v>12710</v>
      </c>
    </row>
    <row r="13715" spans="1:1" x14ac:dyDescent="0.25">
      <c r="A13715" t="s">
        <v>12711</v>
      </c>
    </row>
    <row r="13716" spans="1:1" x14ac:dyDescent="0.25">
      <c r="A13716" t="s">
        <v>12712</v>
      </c>
    </row>
    <row r="13718" spans="1:1" x14ac:dyDescent="0.25">
      <c r="A13718" t="s">
        <v>12713</v>
      </c>
    </row>
    <row r="13719" spans="1:1" x14ac:dyDescent="0.25">
      <c r="A13719" t="s">
        <v>12714</v>
      </c>
    </row>
    <row r="13720" spans="1:1" x14ac:dyDescent="0.25">
      <c r="A13720" t="s">
        <v>12715</v>
      </c>
    </row>
    <row r="13721" spans="1:1" x14ac:dyDescent="0.25">
      <c r="A13721" t="s">
        <v>12716</v>
      </c>
    </row>
    <row r="13722" spans="1:1" x14ac:dyDescent="0.25">
      <c r="A13722" t="s">
        <v>12717</v>
      </c>
    </row>
    <row r="13723" spans="1:1" x14ac:dyDescent="0.25">
      <c r="A13723" t="s">
        <v>12718</v>
      </c>
    </row>
    <row r="13724" spans="1:1" x14ac:dyDescent="0.25">
      <c r="A13724" t="s">
        <v>12719</v>
      </c>
    </row>
    <row r="13725" spans="1:1" x14ac:dyDescent="0.25">
      <c r="A13725" t="s">
        <v>12720</v>
      </c>
    </row>
    <row r="13726" spans="1:1" x14ac:dyDescent="0.25">
      <c r="A13726" t="s">
        <v>12721</v>
      </c>
    </row>
    <row r="13727" spans="1:1" x14ac:dyDescent="0.25">
      <c r="A13727" t="s">
        <v>12722</v>
      </c>
    </row>
    <row r="13728" spans="1:1" x14ac:dyDescent="0.25">
      <c r="A13728" t="s">
        <v>12723</v>
      </c>
    </row>
    <row r="13729" spans="1:1" x14ac:dyDescent="0.25">
      <c r="A13729" t="s">
        <v>12724</v>
      </c>
    </row>
    <row r="13730" spans="1:1" x14ac:dyDescent="0.25">
      <c r="A13730" t="s">
        <v>12725</v>
      </c>
    </row>
    <row r="13731" spans="1:1" x14ac:dyDescent="0.25">
      <c r="A13731" t="s">
        <v>12726</v>
      </c>
    </row>
    <row r="13732" spans="1:1" x14ac:dyDescent="0.25">
      <c r="A13732" t="s">
        <v>12727</v>
      </c>
    </row>
    <row r="13733" spans="1:1" x14ac:dyDescent="0.25">
      <c r="A13733" t="s">
        <v>12728</v>
      </c>
    </row>
    <row r="13734" spans="1:1" x14ac:dyDescent="0.25">
      <c r="A13734" t="s">
        <v>12729</v>
      </c>
    </row>
    <row r="13735" spans="1:1" x14ac:dyDescent="0.25">
      <c r="A13735" t="s">
        <v>12730</v>
      </c>
    </row>
    <row r="13736" spans="1:1" x14ac:dyDescent="0.25">
      <c r="A13736" t="s">
        <v>12731</v>
      </c>
    </row>
    <row r="13737" spans="1:1" x14ac:dyDescent="0.25">
      <c r="A13737" t="s">
        <v>12732</v>
      </c>
    </row>
    <row r="13738" spans="1:1" x14ac:dyDescent="0.25">
      <c r="A13738" t="s">
        <v>12733</v>
      </c>
    </row>
    <row r="13739" spans="1:1" x14ac:dyDescent="0.25">
      <c r="A13739" t="s">
        <v>12734</v>
      </c>
    </row>
    <row r="13740" spans="1:1" x14ac:dyDescent="0.25">
      <c r="A13740" t="s">
        <v>12735</v>
      </c>
    </row>
    <row r="13741" spans="1:1" x14ac:dyDescent="0.25">
      <c r="A13741" t="s">
        <v>12736</v>
      </c>
    </row>
    <row r="13742" spans="1:1" x14ac:dyDescent="0.25">
      <c r="A13742" t="s">
        <v>12737</v>
      </c>
    </row>
    <row r="13743" spans="1:1" x14ac:dyDescent="0.25">
      <c r="A13743" t="s">
        <v>12738</v>
      </c>
    </row>
    <row r="13744" spans="1:1" x14ac:dyDescent="0.25">
      <c r="A13744" t="s">
        <v>4708</v>
      </c>
    </row>
    <row r="13745" spans="1:1" x14ac:dyDescent="0.25">
      <c r="A13745" t="s">
        <v>12739</v>
      </c>
    </row>
    <row r="13746" spans="1:1" x14ac:dyDescent="0.25">
      <c r="A13746" t="s">
        <v>12740</v>
      </c>
    </row>
    <row r="13747" spans="1:1" x14ac:dyDescent="0.25">
      <c r="A13747" t="s">
        <v>12741</v>
      </c>
    </row>
    <row r="13748" spans="1:1" x14ac:dyDescent="0.25">
      <c r="A13748" t="s">
        <v>12742</v>
      </c>
    </row>
    <row r="13749" spans="1:1" x14ac:dyDescent="0.25">
      <c r="A13749" t="s">
        <v>12743</v>
      </c>
    </row>
    <row r="13750" spans="1:1" x14ac:dyDescent="0.25">
      <c r="A13750" t="s">
        <v>12744</v>
      </c>
    </row>
    <row r="13751" spans="1:1" x14ac:dyDescent="0.25">
      <c r="A13751" t="s">
        <v>12745</v>
      </c>
    </row>
    <row r="13752" spans="1:1" x14ac:dyDescent="0.25">
      <c r="A13752" t="s">
        <v>12746</v>
      </c>
    </row>
    <row r="13753" spans="1:1" x14ac:dyDescent="0.25">
      <c r="A13753" t="s">
        <v>12747</v>
      </c>
    </row>
    <row r="13754" spans="1:1" x14ac:dyDescent="0.25">
      <c r="A13754" t="s">
        <v>12748</v>
      </c>
    </row>
    <row r="13755" spans="1:1" x14ac:dyDescent="0.25">
      <c r="A13755" t="s">
        <v>12749</v>
      </c>
    </row>
    <row r="13756" spans="1:1" x14ac:dyDescent="0.25">
      <c r="A13756" t="s">
        <v>12750</v>
      </c>
    </row>
    <row r="13757" spans="1:1" x14ac:dyDescent="0.25">
      <c r="A13757" t="s">
        <v>4884</v>
      </c>
    </row>
    <row r="13758" spans="1:1" x14ac:dyDescent="0.25">
      <c r="A13758" t="s">
        <v>12751</v>
      </c>
    </row>
    <row r="13759" spans="1:1" x14ac:dyDescent="0.25">
      <c r="A13759" t="s">
        <v>12752</v>
      </c>
    </row>
    <row r="13760" spans="1:1" x14ac:dyDescent="0.25">
      <c r="A13760" t="s">
        <v>12753</v>
      </c>
    </row>
    <row r="13761" spans="1:1" x14ac:dyDescent="0.25">
      <c r="A13761" t="s">
        <v>12754</v>
      </c>
    </row>
    <row r="13762" spans="1:1" x14ac:dyDescent="0.25">
      <c r="A13762" t="s">
        <v>12755</v>
      </c>
    </row>
    <row r="13763" spans="1:1" x14ac:dyDescent="0.25">
      <c r="A13763" t="s">
        <v>12756</v>
      </c>
    </row>
    <row r="13764" spans="1:1" x14ac:dyDescent="0.25">
      <c r="A13764" t="s">
        <v>12757</v>
      </c>
    </row>
    <row r="13765" spans="1:1" x14ac:dyDescent="0.25">
      <c r="A13765" t="s">
        <v>12758</v>
      </c>
    </row>
    <row r="13766" spans="1:1" x14ac:dyDescent="0.25">
      <c r="A13766" t="s">
        <v>12759</v>
      </c>
    </row>
    <row r="13767" spans="1:1" x14ac:dyDescent="0.25">
      <c r="A13767" t="s">
        <v>12760</v>
      </c>
    </row>
    <row r="13768" spans="1:1" x14ac:dyDescent="0.25">
      <c r="A13768" t="s">
        <v>12761</v>
      </c>
    </row>
    <row r="13769" spans="1:1" x14ac:dyDescent="0.25">
      <c r="A13769" t="s">
        <v>12762</v>
      </c>
    </row>
    <row r="13770" spans="1:1" x14ac:dyDescent="0.25">
      <c r="A13770" t="s">
        <v>12763</v>
      </c>
    </row>
    <row r="13771" spans="1:1" x14ac:dyDescent="0.25">
      <c r="A13771" t="s">
        <v>12764</v>
      </c>
    </row>
    <row r="13772" spans="1:1" x14ac:dyDescent="0.25">
      <c r="A13772" t="s">
        <v>12765</v>
      </c>
    </row>
    <row r="13773" spans="1:1" x14ac:dyDescent="0.25">
      <c r="A13773" t="s">
        <v>12766</v>
      </c>
    </row>
    <row r="13774" spans="1:1" x14ac:dyDescent="0.25">
      <c r="A13774" t="s">
        <v>12767</v>
      </c>
    </row>
    <row r="13775" spans="1:1" x14ac:dyDescent="0.25">
      <c r="A13775" t="s">
        <v>12768</v>
      </c>
    </row>
    <row r="13776" spans="1:1" x14ac:dyDescent="0.25">
      <c r="A13776" t="s">
        <v>12769</v>
      </c>
    </row>
    <row r="13777" spans="1:1" x14ac:dyDescent="0.25">
      <c r="A13777" t="s">
        <v>12770</v>
      </c>
    </row>
    <row r="13778" spans="1:1" x14ac:dyDescent="0.25">
      <c r="A13778" t="s">
        <v>12771</v>
      </c>
    </row>
    <row r="13779" spans="1:1" x14ac:dyDescent="0.25">
      <c r="A13779" t="s">
        <v>12772</v>
      </c>
    </row>
    <row r="13780" spans="1:1" x14ac:dyDescent="0.25">
      <c r="A13780" t="s">
        <v>12773</v>
      </c>
    </row>
    <row r="13781" spans="1:1" x14ac:dyDescent="0.25">
      <c r="A13781" t="s">
        <v>12774</v>
      </c>
    </row>
    <row r="13782" spans="1:1" x14ac:dyDescent="0.25">
      <c r="A13782" t="s">
        <v>12775</v>
      </c>
    </row>
    <row r="13783" spans="1:1" x14ac:dyDescent="0.25">
      <c r="A13783" t="s">
        <v>12776</v>
      </c>
    </row>
    <row r="13784" spans="1:1" x14ac:dyDescent="0.25">
      <c r="A13784" t="s">
        <v>12777</v>
      </c>
    </row>
    <row r="13785" spans="1:1" x14ac:dyDescent="0.25">
      <c r="A13785" t="s">
        <v>12778</v>
      </c>
    </row>
    <row r="13786" spans="1:1" x14ac:dyDescent="0.25">
      <c r="A13786" t="s">
        <v>12779</v>
      </c>
    </row>
    <row r="13787" spans="1:1" x14ac:dyDescent="0.25">
      <c r="A13787" t="s">
        <v>12780</v>
      </c>
    </row>
    <row r="13788" spans="1:1" x14ac:dyDescent="0.25">
      <c r="A13788" t="s">
        <v>12781</v>
      </c>
    </row>
    <row r="13789" spans="1:1" x14ac:dyDescent="0.25">
      <c r="A13789" t="s">
        <v>12782</v>
      </c>
    </row>
    <row r="13790" spans="1:1" x14ac:dyDescent="0.25">
      <c r="A13790" t="s">
        <v>12783</v>
      </c>
    </row>
    <row r="13792" spans="1:1" x14ac:dyDescent="0.25">
      <c r="A13792" t="s">
        <v>12784</v>
      </c>
    </row>
    <row r="13793" spans="1:1" x14ac:dyDescent="0.25">
      <c r="A13793" t="s">
        <v>12785</v>
      </c>
    </row>
    <row r="13794" spans="1:1" x14ac:dyDescent="0.25">
      <c r="A13794" t="s">
        <v>12786</v>
      </c>
    </row>
    <row r="13795" spans="1:1" x14ac:dyDescent="0.25">
      <c r="A13795" t="s">
        <v>12787</v>
      </c>
    </row>
    <row r="13796" spans="1:1" x14ac:dyDescent="0.25">
      <c r="A13796" t="s">
        <v>12788</v>
      </c>
    </row>
    <row r="13797" spans="1:1" x14ac:dyDescent="0.25">
      <c r="A13797" t="s">
        <v>12789</v>
      </c>
    </row>
    <row r="13798" spans="1:1" x14ac:dyDescent="0.25">
      <c r="A13798" t="s">
        <v>12790</v>
      </c>
    </row>
    <row r="13799" spans="1:1" x14ac:dyDescent="0.25">
      <c r="A13799" t="s">
        <v>12791</v>
      </c>
    </row>
    <row r="13800" spans="1:1" x14ac:dyDescent="0.25">
      <c r="A13800" t="s">
        <v>12792</v>
      </c>
    </row>
    <row r="13801" spans="1:1" x14ac:dyDescent="0.25">
      <c r="A13801" t="s">
        <v>12793</v>
      </c>
    </row>
    <row r="13802" spans="1:1" x14ac:dyDescent="0.25">
      <c r="A13802" t="s">
        <v>12794</v>
      </c>
    </row>
    <row r="13803" spans="1:1" x14ac:dyDescent="0.25">
      <c r="A13803" t="s">
        <v>12795</v>
      </c>
    </row>
    <row r="13804" spans="1:1" x14ac:dyDescent="0.25">
      <c r="A13804" t="s">
        <v>12796</v>
      </c>
    </row>
    <row r="13805" spans="1:1" x14ac:dyDescent="0.25">
      <c r="A13805" t="s">
        <v>12797</v>
      </c>
    </row>
    <row r="13806" spans="1:1" x14ac:dyDescent="0.25">
      <c r="A13806" t="s">
        <v>12798</v>
      </c>
    </row>
    <row r="13807" spans="1:1" x14ac:dyDescent="0.25">
      <c r="A13807" t="s">
        <v>12799</v>
      </c>
    </row>
    <row r="13808" spans="1:1" x14ac:dyDescent="0.25">
      <c r="A13808" t="s">
        <v>12800</v>
      </c>
    </row>
    <row r="13809" spans="1:1" x14ac:dyDescent="0.25">
      <c r="A13809" t="s">
        <v>12801</v>
      </c>
    </row>
    <row r="13810" spans="1:1" x14ac:dyDescent="0.25">
      <c r="A13810" t="s">
        <v>12802</v>
      </c>
    </row>
    <row r="13811" spans="1:1" x14ac:dyDescent="0.25">
      <c r="A13811" t="s">
        <v>12803</v>
      </c>
    </row>
    <row r="13812" spans="1:1" x14ac:dyDescent="0.25">
      <c r="A13812" t="s">
        <v>12804</v>
      </c>
    </row>
    <row r="13813" spans="1:1" x14ac:dyDescent="0.25">
      <c r="A13813" t="s">
        <v>12805</v>
      </c>
    </row>
    <row r="13814" spans="1:1" x14ac:dyDescent="0.25">
      <c r="A13814" t="s">
        <v>12806</v>
      </c>
    </row>
    <row r="13815" spans="1:1" x14ac:dyDescent="0.25">
      <c r="A13815" t="s">
        <v>12807</v>
      </c>
    </row>
    <row r="13816" spans="1:1" x14ac:dyDescent="0.25">
      <c r="A13816" t="s">
        <v>12808</v>
      </c>
    </row>
    <row r="13817" spans="1:1" x14ac:dyDescent="0.25">
      <c r="A13817" t="s">
        <v>12809</v>
      </c>
    </row>
    <row r="13818" spans="1:1" x14ac:dyDescent="0.25">
      <c r="A13818" t="s">
        <v>12810</v>
      </c>
    </row>
    <row r="13819" spans="1:1" x14ac:dyDescent="0.25">
      <c r="A13819" t="s">
        <v>12811</v>
      </c>
    </row>
    <row r="13820" spans="1:1" x14ac:dyDescent="0.25">
      <c r="A13820" t="s">
        <v>12812</v>
      </c>
    </row>
    <row r="13821" spans="1:1" x14ac:dyDescent="0.25">
      <c r="A13821" t="s">
        <v>12813</v>
      </c>
    </row>
    <row r="13822" spans="1:1" x14ac:dyDescent="0.25">
      <c r="A13822" t="s">
        <v>12814</v>
      </c>
    </row>
    <row r="13823" spans="1:1" x14ac:dyDescent="0.25">
      <c r="A13823" t="s">
        <v>12815</v>
      </c>
    </row>
    <row r="13824" spans="1:1" x14ac:dyDescent="0.25">
      <c r="A13824" t="s">
        <v>12816</v>
      </c>
    </row>
    <row r="13825" spans="1:1" x14ac:dyDescent="0.25">
      <c r="A13825" t="s">
        <v>12817</v>
      </c>
    </row>
    <row r="13826" spans="1:1" x14ac:dyDescent="0.25">
      <c r="A13826" t="s">
        <v>12818</v>
      </c>
    </row>
    <row r="13827" spans="1:1" x14ac:dyDescent="0.25">
      <c r="A13827" t="s">
        <v>12819</v>
      </c>
    </row>
    <row r="13828" spans="1:1" x14ac:dyDescent="0.25">
      <c r="A13828" t="s">
        <v>12820</v>
      </c>
    </row>
    <row r="13829" spans="1:1" x14ac:dyDescent="0.25">
      <c r="A13829" t="s">
        <v>12821</v>
      </c>
    </row>
    <row r="13830" spans="1:1" x14ac:dyDescent="0.25">
      <c r="A13830" t="s">
        <v>12822</v>
      </c>
    </row>
    <row r="13831" spans="1:1" x14ac:dyDescent="0.25">
      <c r="A13831" t="s">
        <v>12823</v>
      </c>
    </row>
    <row r="13833" spans="1:1" x14ac:dyDescent="0.25">
      <c r="A13833" t="s">
        <v>12824</v>
      </c>
    </row>
    <row r="13834" spans="1:1" x14ac:dyDescent="0.25">
      <c r="A13834" t="s">
        <v>12825</v>
      </c>
    </row>
    <row r="13835" spans="1:1" x14ac:dyDescent="0.25">
      <c r="A13835" t="s">
        <v>12826</v>
      </c>
    </row>
    <row r="13836" spans="1:1" x14ac:dyDescent="0.25">
      <c r="A13836" t="s">
        <v>12827</v>
      </c>
    </row>
    <row r="13837" spans="1:1" x14ac:dyDescent="0.25">
      <c r="A13837" t="s">
        <v>12828</v>
      </c>
    </row>
    <row r="13838" spans="1:1" x14ac:dyDescent="0.25">
      <c r="A13838" t="s">
        <v>12829</v>
      </c>
    </row>
    <row r="13839" spans="1:1" x14ac:dyDescent="0.25">
      <c r="A13839" t="s">
        <v>12830</v>
      </c>
    </row>
    <row r="13840" spans="1:1" x14ac:dyDescent="0.25">
      <c r="A13840" t="s">
        <v>12831</v>
      </c>
    </row>
    <row r="13841" spans="1:1" x14ac:dyDescent="0.25">
      <c r="A13841" t="s">
        <v>12832</v>
      </c>
    </row>
    <row r="13842" spans="1:1" x14ac:dyDescent="0.25">
      <c r="A13842" t="s">
        <v>12833</v>
      </c>
    </row>
    <row r="13843" spans="1:1" x14ac:dyDescent="0.25">
      <c r="A13843" t="s">
        <v>12834</v>
      </c>
    </row>
    <row r="13844" spans="1:1" x14ac:dyDescent="0.25">
      <c r="A13844" t="s">
        <v>12835</v>
      </c>
    </row>
    <row r="13845" spans="1:1" x14ac:dyDescent="0.25">
      <c r="A13845" t="s">
        <v>12836</v>
      </c>
    </row>
    <row r="13846" spans="1:1" x14ac:dyDescent="0.25">
      <c r="A13846" t="s">
        <v>12837</v>
      </c>
    </row>
    <row r="13847" spans="1:1" x14ac:dyDescent="0.25">
      <c r="A13847" t="s">
        <v>12838</v>
      </c>
    </row>
    <row r="13848" spans="1:1" x14ac:dyDescent="0.25">
      <c r="A13848" t="s">
        <v>12839</v>
      </c>
    </row>
    <row r="13849" spans="1:1" x14ac:dyDescent="0.25">
      <c r="A13849" t="s">
        <v>12840</v>
      </c>
    </row>
    <row r="13850" spans="1:1" x14ac:dyDescent="0.25">
      <c r="A13850" t="s">
        <v>12841</v>
      </c>
    </row>
    <row r="13851" spans="1:1" x14ac:dyDescent="0.25">
      <c r="A13851" t="s">
        <v>12842</v>
      </c>
    </row>
    <row r="13852" spans="1:1" x14ac:dyDescent="0.25">
      <c r="A13852" t="s">
        <v>12843</v>
      </c>
    </row>
    <row r="13853" spans="1:1" x14ac:dyDescent="0.25">
      <c r="A13853" t="s">
        <v>12844</v>
      </c>
    </row>
    <row r="13854" spans="1:1" x14ac:dyDescent="0.25">
      <c r="A13854" t="s">
        <v>12845</v>
      </c>
    </row>
    <row r="13855" spans="1:1" x14ac:dyDescent="0.25">
      <c r="A13855" t="s">
        <v>12846</v>
      </c>
    </row>
    <row r="13856" spans="1:1" x14ac:dyDescent="0.25">
      <c r="A13856" t="s">
        <v>12847</v>
      </c>
    </row>
    <row r="13857" spans="1:1" x14ac:dyDescent="0.25">
      <c r="A13857" t="s">
        <v>12848</v>
      </c>
    </row>
    <row r="13858" spans="1:1" x14ac:dyDescent="0.25">
      <c r="A13858" t="s">
        <v>12849</v>
      </c>
    </row>
    <row r="13859" spans="1:1" x14ac:dyDescent="0.25">
      <c r="A13859" t="s">
        <v>12850</v>
      </c>
    </row>
    <row r="13860" spans="1:1" x14ac:dyDescent="0.25">
      <c r="A13860" t="s">
        <v>12851</v>
      </c>
    </row>
    <row r="13861" spans="1:1" x14ac:dyDescent="0.25">
      <c r="A13861" t="s">
        <v>12852</v>
      </c>
    </row>
    <row r="13862" spans="1:1" x14ac:dyDescent="0.25">
      <c r="A13862" t="s">
        <v>12853</v>
      </c>
    </row>
    <row r="13863" spans="1:1" x14ac:dyDescent="0.25">
      <c r="A13863" t="s">
        <v>12854</v>
      </c>
    </row>
    <row r="13864" spans="1:1" x14ac:dyDescent="0.25">
      <c r="A13864" t="s">
        <v>12855</v>
      </c>
    </row>
    <row r="13865" spans="1:1" x14ac:dyDescent="0.25">
      <c r="A13865" t="s">
        <v>12856</v>
      </c>
    </row>
    <row r="13866" spans="1:1" x14ac:dyDescent="0.25">
      <c r="A13866" t="s">
        <v>12857</v>
      </c>
    </row>
    <row r="13867" spans="1:1" x14ac:dyDescent="0.25">
      <c r="A13867" t="s">
        <v>12858</v>
      </c>
    </row>
    <row r="13868" spans="1:1" x14ac:dyDescent="0.25">
      <c r="A13868" t="s">
        <v>12859</v>
      </c>
    </row>
    <row r="13869" spans="1:1" x14ac:dyDescent="0.25">
      <c r="A13869" t="s">
        <v>12860</v>
      </c>
    </row>
    <row r="13870" spans="1:1" x14ac:dyDescent="0.25">
      <c r="A13870" t="s">
        <v>12861</v>
      </c>
    </row>
    <row r="13871" spans="1:1" x14ac:dyDescent="0.25">
      <c r="A13871" t="s">
        <v>12862</v>
      </c>
    </row>
    <row r="13872" spans="1:1" x14ac:dyDescent="0.25">
      <c r="A13872" t="s">
        <v>12863</v>
      </c>
    </row>
    <row r="13873" spans="1:1" x14ac:dyDescent="0.25">
      <c r="A13873" t="s">
        <v>12864</v>
      </c>
    </row>
    <row r="13874" spans="1:1" x14ac:dyDescent="0.25">
      <c r="A13874" t="s">
        <v>12865</v>
      </c>
    </row>
    <row r="13875" spans="1:1" x14ac:dyDescent="0.25">
      <c r="A13875" t="s">
        <v>12866</v>
      </c>
    </row>
    <row r="13876" spans="1:1" x14ac:dyDescent="0.25">
      <c r="A13876" t="s">
        <v>12867</v>
      </c>
    </row>
    <row r="13877" spans="1:1" x14ac:dyDescent="0.25">
      <c r="A13877" t="s">
        <v>12868</v>
      </c>
    </row>
    <row r="13878" spans="1:1" x14ac:dyDescent="0.25">
      <c r="A13878" t="s">
        <v>12869</v>
      </c>
    </row>
    <row r="13879" spans="1:1" x14ac:dyDescent="0.25">
      <c r="A13879" t="s">
        <v>12870</v>
      </c>
    </row>
    <row r="13880" spans="1:1" x14ac:dyDescent="0.25">
      <c r="A13880" t="s">
        <v>12871</v>
      </c>
    </row>
    <row r="13881" spans="1:1" x14ac:dyDescent="0.25">
      <c r="A13881" t="s">
        <v>12872</v>
      </c>
    </row>
    <row r="13882" spans="1:1" x14ac:dyDescent="0.25">
      <c r="A13882" t="s">
        <v>12873</v>
      </c>
    </row>
    <row r="13883" spans="1:1" x14ac:dyDescent="0.25">
      <c r="A13883" t="s">
        <v>12874</v>
      </c>
    </row>
    <row r="13884" spans="1:1" x14ac:dyDescent="0.25">
      <c r="A13884" t="s">
        <v>12875</v>
      </c>
    </row>
    <row r="13885" spans="1:1" x14ac:dyDescent="0.25">
      <c r="A13885" t="s">
        <v>12876</v>
      </c>
    </row>
    <row r="13886" spans="1:1" x14ac:dyDescent="0.25">
      <c r="A13886" t="s">
        <v>12877</v>
      </c>
    </row>
    <row r="13887" spans="1:1" x14ac:dyDescent="0.25">
      <c r="A13887" t="s">
        <v>12878</v>
      </c>
    </row>
    <row r="13888" spans="1:1" x14ac:dyDescent="0.25">
      <c r="A13888" t="s">
        <v>12879</v>
      </c>
    </row>
    <row r="13889" spans="1:1" x14ac:dyDescent="0.25">
      <c r="A13889" t="s">
        <v>12880</v>
      </c>
    </row>
    <row r="13890" spans="1:1" x14ac:dyDescent="0.25">
      <c r="A13890" t="s">
        <v>12881</v>
      </c>
    </row>
    <row r="13891" spans="1:1" x14ac:dyDescent="0.25">
      <c r="A13891" t="s">
        <v>12882</v>
      </c>
    </row>
    <row r="13892" spans="1:1" x14ac:dyDescent="0.25">
      <c r="A13892" t="s">
        <v>12883</v>
      </c>
    </row>
    <row r="13893" spans="1:1" x14ac:dyDescent="0.25">
      <c r="A13893" t="s">
        <v>12884</v>
      </c>
    </row>
    <row r="13894" spans="1:1" x14ac:dyDescent="0.25">
      <c r="A13894" t="s">
        <v>12885</v>
      </c>
    </row>
    <row r="13895" spans="1:1" x14ac:dyDescent="0.25">
      <c r="A13895" t="s">
        <v>12886</v>
      </c>
    </row>
    <row r="13896" spans="1:1" x14ac:dyDescent="0.25">
      <c r="A13896" t="s">
        <v>12887</v>
      </c>
    </row>
    <row r="13897" spans="1:1" x14ac:dyDescent="0.25">
      <c r="A13897" t="s">
        <v>12888</v>
      </c>
    </row>
    <row r="13898" spans="1:1" x14ac:dyDescent="0.25">
      <c r="A13898" t="s">
        <v>12889</v>
      </c>
    </row>
    <row r="13899" spans="1:1" x14ac:dyDescent="0.25">
      <c r="A13899" t="s">
        <v>12890</v>
      </c>
    </row>
    <row r="13902" spans="1:1" x14ac:dyDescent="0.25">
      <c r="A13902" t="s">
        <v>12891</v>
      </c>
    </row>
    <row r="13903" spans="1:1" x14ac:dyDescent="0.25">
      <c r="A13903" t="s">
        <v>12892</v>
      </c>
    </row>
    <row r="13904" spans="1:1" x14ac:dyDescent="0.25">
      <c r="A13904" t="s">
        <v>12893</v>
      </c>
    </row>
    <row r="13905" spans="1:1" x14ac:dyDescent="0.25">
      <c r="A13905" t="s">
        <v>12894</v>
      </c>
    </row>
    <row r="13906" spans="1:1" x14ac:dyDescent="0.25">
      <c r="A13906" t="s">
        <v>12895</v>
      </c>
    </row>
    <row r="13907" spans="1:1" x14ac:dyDescent="0.25">
      <c r="A13907" t="s">
        <v>12896</v>
      </c>
    </row>
    <row r="13908" spans="1:1" x14ac:dyDescent="0.25">
      <c r="A13908" t="s">
        <v>12897</v>
      </c>
    </row>
    <row r="13913" spans="1:1" x14ac:dyDescent="0.25">
      <c r="A13913" t="s">
        <v>12898</v>
      </c>
    </row>
    <row r="13914" spans="1:1" x14ac:dyDescent="0.25">
      <c r="A13914" t="s">
        <v>12899</v>
      </c>
    </row>
    <row r="13915" spans="1:1" x14ac:dyDescent="0.25">
      <c r="A13915" t="s">
        <v>12900</v>
      </c>
    </row>
    <row r="13916" spans="1:1" x14ac:dyDescent="0.25">
      <c r="A13916" t="s">
        <v>12901</v>
      </c>
    </row>
    <row r="13917" spans="1:1" x14ac:dyDescent="0.25">
      <c r="A13917" t="s">
        <v>12902</v>
      </c>
    </row>
    <row r="13918" spans="1:1" x14ac:dyDescent="0.25">
      <c r="A13918" t="s">
        <v>12903</v>
      </c>
    </row>
    <row r="13919" spans="1:1" x14ac:dyDescent="0.25">
      <c r="A13919" t="s">
        <v>12904</v>
      </c>
    </row>
    <row r="13920" spans="1:1" x14ac:dyDescent="0.25">
      <c r="A13920" t="s">
        <v>12905</v>
      </c>
    </row>
    <row r="13921" spans="1:1" x14ac:dyDescent="0.25">
      <c r="A13921" t="s">
        <v>12906</v>
      </c>
    </row>
    <row r="13922" spans="1:1" x14ac:dyDescent="0.25">
      <c r="A13922" t="s">
        <v>12907</v>
      </c>
    </row>
    <row r="13923" spans="1:1" x14ac:dyDescent="0.25">
      <c r="A13923" t="s">
        <v>12908</v>
      </c>
    </row>
    <row r="13924" spans="1:1" x14ac:dyDescent="0.25">
      <c r="A13924" t="s">
        <v>12909</v>
      </c>
    </row>
    <row r="13925" spans="1:1" x14ac:dyDescent="0.25">
      <c r="A13925" t="s">
        <v>2291</v>
      </c>
    </row>
    <row r="13926" spans="1:1" x14ac:dyDescent="0.25">
      <c r="A13926" t="s">
        <v>12910</v>
      </c>
    </row>
    <row r="13927" spans="1:1" x14ac:dyDescent="0.25">
      <c r="A13927" t="s">
        <v>12911</v>
      </c>
    </row>
    <row r="13928" spans="1:1" x14ac:dyDescent="0.25">
      <c r="A13928" t="s">
        <v>6705</v>
      </c>
    </row>
    <row r="13929" spans="1:1" x14ac:dyDescent="0.25">
      <c r="A13929" t="s">
        <v>2405</v>
      </c>
    </row>
    <row r="13930" spans="1:1" x14ac:dyDescent="0.25">
      <c r="A13930" t="s">
        <v>12912</v>
      </c>
    </row>
    <row r="13931" spans="1:1" x14ac:dyDescent="0.25">
      <c r="A13931" t="s">
        <v>12913</v>
      </c>
    </row>
    <row r="13933" spans="1:1" x14ac:dyDescent="0.25">
      <c r="A13933" t="s">
        <v>12914</v>
      </c>
    </row>
    <row r="13934" spans="1:1" x14ac:dyDescent="0.25">
      <c r="A13934" t="s">
        <v>12915</v>
      </c>
    </row>
    <row r="13935" spans="1:1" x14ac:dyDescent="0.25">
      <c r="A13935" t="s">
        <v>12390</v>
      </c>
    </row>
    <row r="13936" spans="1:1" x14ac:dyDescent="0.25">
      <c r="A13936" t="s">
        <v>12916</v>
      </c>
    </row>
    <row r="13937" spans="1:1" x14ac:dyDescent="0.25">
      <c r="A13937" t="s">
        <v>12917</v>
      </c>
    </row>
    <row r="13938" spans="1:1" x14ac:dyDescent="0.25">
      <c r="A13938" t="s">
        <v>12918</v>
      </c>
    </row>
    <row r="13940" spans="1:1" x14ac:dyDescent="0.25">
      <c r="A13940" t="s">
        <v>12919</v>
      </c>
    </row>
    <row r="13941" spans="1:1" x14ac:dyDescent="0.25">
      <c r="A13941" t="s">
        <v>12390</v>
      </c>
    </row>
    <row r="13942" spans="1:1" x14ac:dyDescent="0.25">
      <c r="A13942" t="s">
        <v>12916</v>
      </c>
    </row>
    <row r="13943" spans="1:1" x14ac:dyDescent="0.25">
      <c r="A13943" t="s">
        <v>12917</v>
      </c>
    </row>
    <row r="13944" spans="1:1" x14ac:dyDescent="0.25">
      <c r="A13944" t="s">
        <v>12920</v>
      </c>
    </row>
    <row r="13945" spans="1:1" x14ac:dyDescent="0.25">
      <c r="A13945" t="s">
        <v>12921</v>
      </c>
    </row>
    <row r="13946" spans="1:1" x14ac:dyDescent="0.25">
      <c r="A13946" t="s">
        <v>12922</v>
      </c>
    </row>
    <row r="13947" spans="1:1" x14ac:dyDescent="0.25">
      <c r="A13947" t="s">
        <v>12923</v>
      </c>
    </row>
    <row r="13948" spans="1:1" x14ac:dyDescent="0.25">
      <c r="A13948" t="s">
        <v>12924</v>
      </c>
    </row>
    <row r="13949" spans="1:1" x14ac:dyDescent="0.25">
      <c r="A13949" t="s">
        <v>12925</v>
      </c>
    </row>
    <row r="13950" spans="1:1" x14ac:dyDescent="0.25">
      <c r="A13950" t="s">
        <v>12926</v>
      </c>
    </row>
    <row r="13951" spans="1:1" x14ac:dyDescent="0.25">
      <c r="A13951" t="s">
        <v>12927</v>
      </c>
    </row>
    <row r="13952" spans="1:1" x14ac:dyDescent="0.25">
      <c r="A13952" t="s">
        <v>12928</v>
      </c>
    </row>
    <row r="13953" spans="1:1" x14ac:dyDescent="0.25">
      <c r="A13953" t="s">
        <v>12929</v>
      </c>
    </row>
    <row r="13954" spans="1:1" x14ac:dyDescent="0.25">
      <c r="A13954" t="s">
        <v>12930</v>
      </c>
    </row>
    <row r="13955" spans="1:1" x14ac:dyDescent="0.25">
      <c r="A13955" t="s">
        <v>12931</v>
      </c>
    </row>
    <row r="13956" spans="1:1" x14ac:dyDescent="0.25">
      <c r="A13956" t="s">
        <v>12932</v>
      </c>
    </row>
    <row r="13957" spans="1:1" x14ac:dyDescent="0.25">
      <c r="A13957" t="s">
        <v>12933</v>
      </c>
    </row>
    <row r="13958" spans="1:1" x14ac:dyDescent="0.25">
      <c r="A13958" t="s">
        <v>12934</v>
      </c>
    </row>
    <row r="13959" spans="1:1" x14ac:dyDescent="0.25">
      <c r="A13959" t="s">
        <v>12935</v>
      </c>
    </row>
    <row r="13960" spans="1:1" x14ac:dyDescent="0.25">
      <c r="A13960" t="s">
        <v>12936</v>
      </c>
    </row>
    <row r="13961" spans="1:1" x14ac:dyDescent="0.25">
      <c r="A13961" t="s">
        <v>12937</v>
      </c>
    </row>
    <row r="13962" spans="1:1" x14ac:dyDescent="0.25">
      <c r="A13962" t="s">
        <v>12139</v>
      </c>
    </row>
    <row r="13963" spans="1:1" x14ac:dyDescent="0.25">
      <c r="A13963" t="s">
        <v>12938</v>
      </c>
    </row>
    <row r="13964" spans="1:1" x14ac:dyDescent="0.25">
      <c r="A13964" t="s">
        <v>6705</v>
      </c>
    </row>
    <row r="13965" spans="1:1" x14ac:dyDescent="0.25">
      <c r="A13965" t="s">
        <v>12939</v>
      </c>
    </row>
    <row r="13966" spans="1:1" x14ac:dyDescent="0.25">
      <c r="A13966" t="s">
        <v>12940</v>
      </c>
    </row>
    <row r="13967" spans="1:1" x14ac:dyDescent="0.25">
      <c r="A13967" t="s">
        <v>12941</v>
      </c>
    </row>
    <row r="13968" spans="1:1" x14ac:dyDescent="0.25">
      <c r="A13968" t="s">
        <v>12942</v>
      </c>
    </row>
    <row r="13969" spans="1:1" x14ac:dyDescent="0.25">
      <c r="A13969" t="s">
        <v>12943</v>
      </c>
    </row>
    <row r="13970" spans="1:1" x14ac:dyDescent="0.25">
      <c r="A13970" t="s">
        <v>12944</v>
      </c>
    </row>
    <row r="13971" spans="1:1" x14ac:dyDescent="0.25">
      <c r="A13971" t="s">
        <v>12945</v>
      </c>
    </row>
    <row r="13972" spans="1:1" x14ac:dyDescent="0.25">
      <c r="A13972" t="s">
        <v>12946</v>
      </c>
    </row>
    <row r="13973" spans="1:1" x14ac:dyDescent="0.25">
      <c r="A13973" t="s">
        <v>12947</v>
      </c>
    </row>
    <row r="13974" spans="1:1" x14ac:dyDescent="0.25">
      <c r="A13974" t="s">
        <v>12948</v>
      </c>
    </row>
    <row r="13975" spans="1:1" x14ac:dyDescent="0.25">
      <c r="A13975" t="s">
        <v>12949</v>
      </c>
    </row>
    <row r="13976" spans="1:1" x14ac:dyDescent="0.25">
      <c r="A13976" t="s">
        <v>12893</v>
      </c>
    </row>
    <row r="13977" spans="1:1" x14ac:dyDescent="0.25">
      <c r="A13977" t="s">
        <v>12950</v>
      </c>
    </row>
    <row r="13978" spans="1:1" x14ac:dyDescent="0.25">
      <c r="A13978" t="s">
        <v>12951</v>
      </c>
    </row>
    <row r="13979" spans="1:1" x14ac:dyDescent="0.25">
      <c r="A13979" t="s">
        <v>12952</v>
      </c>
    </row>
    <row r="13980" spans="1:1" x14ac:dyDescent="0.25">
      <c r="A13980" t="s">
        <v>6705</v>
      </c>
    </row>
    <row r="13981" spans="1:1" x14ac:dyDescent="0.25">
      <c r="A13981" t="s">
        <v>12953</v>
      </c>
    </row>
    <row r="13982" spans="1:1" x14ac:dyDescent="0.25">
      <c r="A13982" t="s">
        <v>12143</v>
      </c>
    </row>
    <row r="13983" spans="1:1" x14ac:dyDescent="0.25">
      <c r="A13983" t="s">
        <v>12954</v>
      </c>
    </row>
    <row r="13985" spans="1:1" x14ac:dyDescent="0.25">
      <c r="A13985" t="s">
        <v>12955</v>
      </c>
    </row>
    <row r="13986" spans="1:1" x14ac:dyDescent="0.25">
      <c r="A13986" t="s">
        <v>12956</v>
      </c>
    </row>
    <row r="13987" spans="1:1" x14ac:dyDescent="0.25">
      <c r="A13987" t="s">
        <v>12957</v>
      </c>
    </row>
    <row r="13988" spans="1:1" x14ac:dyDescent="0.25">
      <c r="A13988" t="s">
        <v>12958</v>
      </c>
    </row>
    <row r="13989" spans="1:1" x14ac:dyDescent="0.25">
      <c r="A13989" t="s">
        <v>12959</v>
      </c>
    </row>
    <row r="13990" spans="1:1" x14ac:dyDescent="0.25">
      <c r="A13990" t="s">
        <v>12960</v>
      </c>
    </row>
    <row r="13991" spans="1:1" x14ac:dyDescent="0.25">
      <c r="A13991" t="s">
        <v>12961</v>
      </c>
    </row>
    <row r="13992" spans="1:1" x14ac:dyDescent="0.25">
      <c r="A13992" t="s">
        <v>12962</v>
      </c>
    </row>
    <row r="13993" spans="1:1" x14ac:dyDescent="0.25">
      <c r="A13993" t="s">
        <v>12963</v>
      </c>
    </row>
    <row r="13994" spans="1:1" x14ac:dyDescent="0.25">
      <c r="A13994" t="s">
        <v>12964</v>
      </c>
    </row>
    <row r="13995" spans="1:1" x14ac:dyDescent="0.25">
      <c r="A13995" t="s">
        <v>12965</v>
      </c>
    </row>
    <row r="13996" spans="1:1" x14ac:dyDescent="0.25">
      <c r="A13996" t="s">
        <v>1548</v>
      </c>
    </row>
    <row r="13997" spans="1:1" x14ac:dyDescent="0.25">
      <c r="A13997" t="s">
        <v>1549</v>
      </c>
    </row>
    <row r="13998" spans="1:1" x14ac:dyDescent="0.25">
      <c r="A13998" t="s">
        <v>1550</v>
      </c>
    </row>
    <row r="13999" spans="1:1" x14ac:dyDescent="0.25">
      <c r="A13999" t="s">
        <v>1551</v>
      </c>
    </row>
    <row r="14000" spans="1:1" x14ac:dyDescent="0.25">
      <c r="A14000" t="s">
        <v>1552</v>
      </c>
    </row>
    <row r="14001" spans="1:1" x14ac:dyDescent="0.25">
      <c r="A14001" t="s">
        <v>1434</v>
      </c>
    </row>
    <row r="14002" spans="1:1" x14ac:dyDescent="0.25">
      <c r="A14002" t="s">
        <v>1553</v>
      </c>
    </row>
    <row r="14003" spans="1:1" x14ac:dyDescent="0.25">
      <c r="A14003" t="s">
        <v>1554</v>
      </c>
    </row>
    <row r="14004" spans="1:1" x14ac:dyDescent="0.25">
      <c r="A14004" t="s">
        <v>1555</v>
      </c>
    </row>
    <row r="14005" spans="1:1" x14ac:dyDescent="0.25">
      <c r="A14005" t="s">
        <v>12966</v>
      </c>
    </row>
    <row r="14006" spans="1:1" x14ac:dyDescent="0.25">
      <c r="A14006" t="s">
        <v>12967</v>
      </c>
    </row>
    <row r="14007" spans="1:1" x14ac:dyDescent="0.25">
      <c r="A14007" t="s">
        <v>12968</v>
      </c>
    </row>
    <row r="14008" spans="1:1" x14ac:dyDescent="0.25">
      <c r="A14008" t="s">
        <v>12969</v>
      </c>
    </row>
    <row r="14009" spans="1:1" x14ac:dyDescent="0.25">
      <c r="A14009" t="s">
        <v>12970</v>
      </c>
    </row>
    <row r="14010" spans="1:1" x14ac:dyDescent="0.25">
      <c r="A14010" t="s">
        <v>12971</v>
      </c>
    </row>
    <row r="14011" spans="1:1" x14ac:dyDescent="0.25">
      <c r="A14011" t="s">
        <v>12641</v>
      </c>
    </row>
    <row r="14012" spans="1:1" x14ac:dyDescent="0.25">
      <c r="A14012" t="s">
        <v>12972</v>
      </c>
    </row>
    <row r="14013" spans="1:1" x14ac:dyDescent="0.25">
      <c r="A14013" t="s">
        <v>12973</v>
      </c>
    </row>
    <row r="14014" spans="1:1" x14ac:dyDescent="0.25">
      <c r="A14014" t="s">
        <v>12974</v>
      </c>
    </row>
    <row r="14015" spans="1:1" x14ac:dyDescent="0.25">
      <c r="A14015" t="s">
        <v>12975</v>
      </c>
    </row>
    <row r="14017" spans="1:1" x14ac:dyDescent="0.25">
      <c r="A14017" t="s">
        <v>12976</v>
      </c>
    </row>
    <row r="14018" spans="1:1" x14ac:dyDescent="0.25">
      <c r="A14018" t="s">
        <v>12977</v>
      </c>
    </row>
    <row r="14019" spans="1:1" x14ac:dyDescent="0.25">
      <c r="A14019" t="s">
        <v>12978</v>
      </c>
    </row>
    <row r="14020" spans="1:1" x14ac:dyDescent="0.25">
      <c r="A14020" t="s">
        <v>12979</v>
      </c>
    </row>
    <row r="14021" spans="1:1" x14ac:dyDescent="0.25">
      <c r="A14021" t="s">
        <v>12980</v>
      </c>
    </row>
    <row r="14022" spans="1:1" x14ac:dyDescent="0.25">
      <c r="A14022" t="s">
        <v>12981</v>
      </c>
    </row>
    <row r="14024" spans="1:1" x14ac:dyDescent="0.25">
      <c r="A14024" t="s">
        <v>12982</v>
      </c>
    </row>
    <row r="14025" spans="1:1" x14ac:dyDescent="0.25">
      <c r="A14025" t="s">
        <v>12983</v>
      </c>
    </row>
    <row r="14026" spans="1:1" x14ac:dyDescent="0.25">
      <c r="A14026" t="s">
        <v>12984</v>
      </c>
    </row>
    <row r="14027" spans="1:1" x14ac:dyDescent="0.25">
      <c r="A14027" t="s">
        <v>12985</v>
      </c>
    </row>
    <row r="14028" spans="1:1" x14ac:dyDescent="0.25">
      <c r="A14028" t="s">
        <v>12986</v>
      </c>
    </row>
    <row r="14029" spans="1:1" x14ac:dyDescent="0.25">
      <c r="A14029" t="s">
        <v>12987</v>
      </c>
    </row>
    <row r="14030" spans="1:1" x14ac:dyDescent="0.25">
      <c r="A14030" t="s">
        <v>12988</v>
      </c>
    </row>
    <row r="14031" spans="1:1" x14ac:dyDescent="0.25">
      <c r="A14031" t="s">
        <v>6705</v>
      </c>
    </row>
    <row r="14032" spans="1:1" x14ac:dyDescent="0.25">
      <c r="A14032" t="s">
        <v>12989</v>
      </c>
    </row>
    <row r="14033" spans="1:1" x14ac:dyDescent="0.25">
      <c r="A14033" t="s">
        <v>12990</v>
      </c>
    </row>
    <row r="14034" spans="1:1" x14ac:dyDescent="0.25">
      <c r="A14034" t="s">
        <v>12991</v>
      </c>
    </row>
    <row r="14035" spans="1:1" x14ac:dyDescent="0.25">
      <c r="A14035" t="s">
        <v>12466</v>
      </c>
    </row>
    <row r="14036" spans="1:1" x14ac:dyDescent="0.25">
      <c r="A14036" t="s">
        <v>12992</v>
      </c>
    </row>
    <row r="14037" spans="1:1" x14ac:dyDescent="0.25">
      <c r="A14037" t="s">
        <v>12993</v>
      </c>
    </row>
    <row r="14038" spans="1:1" x14ac:dyDescent="0.25">
      <c r="A14038" t="s">
        <v>12916</v>
      </c>
    </row>
    <row r="14039" spans="1:1" x14ac:dyDescent="0.25">
      <c r="A14039" t="s">
        <v>12994</v>
      </c>
    </row>
    <row r="14040" spans="1:1" x14ac:dyDescent="0.25">
      <c r="A14040" t="s">
        <v>12995</v>
      </c>
    </row>
    <row r="14041" spans="1:1" x14ac:dyDescent="0.25">
      <c r="A14041" t="s">
        <v>1434</v>
      </c>
    </row>
    <row r="14042" spans="1:1" x14ac:dyDescent="0.25">
      <c r="A14042" t="s">
        <v>12996</v>
      </c>
    </row>
    <row r="14043" spans="1:1" x14ac:dyDescent="0.25">
      <c r="A14043" t="s">
        <v>2405</v>
      </c>
    </row>
    <row r="14044" spans="1:1" x14ac:dyDescent="0.25">
      <c r="A14044" t="s">
        <v>12997</v>
      </c>
    </row>
    <row r="14045" spans="1:1" x14ac:dyDescent="0.25">
      <c r="A14045" t="s">
        <v>12998</v>
      </c>
    </row>
    <row r="14046" spans="1:1" x14ac:dyDescent="0.25">
      <c r="A14046" t="s">
        <v>1333</v>
      </c>
    </row>
    <row r="14047" spans="1:1" x14ac:dyDescent="0.25">
      <c r="A14047" t="s">
        <v>12999</v>
      </c>
    </row>
    <row r="14048" spans="1:1" x14ac:dyDescent="0.25">
      <c r="A14048" t="s">
        <v>13000</v>
      </c>
    </row>
    <row r="14049" spans="1:1" x14ac:dyDescent="0.25">
      <c r="A14049" t="s">
        <v>13001</v>
      </c>
    </row>
    <row r="14050" spans="1:1" x14ac:dyDescent="0.25">
      <c r="A14050" t="s">
        <v>13002</v>
      </c>
    </row>
    <row r="14051" spans="1:1" x14ac:dyDescent="0.25">
      <c r="A14051" t="s">
        <v>13003</v>
      </c>
    </row>
    <row r="14052" spans="1:1" x14ac:dyDescent="0.25">
      <c r="A14052" t="s">
        <v>13004</v>
      </c>
    </row>
    <row r="14053" spans="1:1" x14ac:dyDescent="0.25">
      <c r="A14053" t="s">
        <v>13005</v>
      </c>
    </row>
    <row r="14054" spans="1:1" x14ac:dyDescent="0.25">
      <c r="A14054" t="s">
        <v>13006</v>
      </c>
    </row>
    <row r="14055" spans="1:1" x14ac:dyDescent="0.25">
      <c r="A14055" t="s">
        <v>1434</v>
      </c>
    </row>
    <row r="14056" spans="1:1" x14ac:dyDescent="0.25">
      <c r="A14056" t="s">
        <v>12692</v>
      </c>
    </row>
    <row r="14057" spans="1:1" x14ac:dyDescent="0.25">
      <c r="A14057" t="s">
        <v>13007</v>
      </c>
    </row>
    <row r="14058" spans="1:1" x14ac:dyDescent="0.25">
      <c r="A14058" t="s">
        <v>13008</v>
      </c>
    </row>
    <row r="14059" spans="1:1" x14ac:dyDescent="0.25">
      <c r="A14059" t="s">
        <v>13009</v>
      </c>
    </row>
    <row r="14060" spans="1:1" x14ac:dyDescent="0.25">
      <c r="A14060" t="s">
        <v>13010</v>
      </c>
    </row>
    <row r="14061" spans="1:1" x14ac:dyDescent="0.25">
      <c r="A14061" t="s">
        <v>13011</v>
      </c>
    </row>
    <row r="14062" spans="1:1" x14ac:dyDescent="0.25">
      <c r="A14062" t="s">
        <v>13012</v>
      </c>
    </row>
    <row r="14063" spans="1:1" x14ac:dyDescent="0.25">
      <c r="A14063" t="s">
        <v>13013</v>
      </c>
    </row>
    <row r="14064" spans="1:1" x14ac:dyDescent="0.25">
      <c r="A14064" t="s">
        <v>13014</v>
      </c>
    </row>
    <row r="14065" spans="1:1" x14ac:dyDescent="0.25">
      <c r="A14065" t="s">
        <v>13015</v>
      </c>
    </row>
    <row r="14066" spans="1:1" x14ac:dyDescent="0.25">
      <c r="A14066" t="s">
        <v>13016</v>
      </c>
    </row>
    <row r="14067" spans="1:1" x14ac:dyDescent="0.25">
      <c r="A14067" t="s">
        <v>13017</v>
      </c>
    </row>
    <row r="14068" spans="1:1" x14ac:dyDescent="0.25">
      <c r="A14068" t="s">
        <v>6705</v>
      </c>
    </row>
    <row r="14069" spans="1:1" x14ac:dyDescent="0.25">
      <c r="A14069" t="s">
        <v>3739</v>
      </c>
    </row>
    <row r="14070" spans="1:1" x14ac:dyDescent="0.25">
      <c r="A14070" t="s">
        <v>13018</v>
      </c>
    </row>
    <row r="14071" spans="1:1" x14ac:dyDescent="0.25">
      <c r="A14071" t="s">
        <v>13019</v>
      </c>
    </row>
    <row r="14072" spans="1:1" x14ac:dyDescent="0.25">
      <c r="A14072" t="s">
        <v>13020</v>
      </c>
    </row>
    <row r="14073" spans="1:1" x14ac:dyDescent="0.25">
      <c r="A14073" t="s">
        <v>13021</v>
      </c>
    </row>
    <row r="14074" spans="1:1" x14ac:dyDescent="0.25">
      <c r="A14074" t="s">
        <v>13022</v>
      </c>
    </row>
    <row r="14075" spans="1:1" x14ac:dyDescent="0.25">
      <c r="A14075" t="s">
        <v>13023</v>
      </c>
    </row>
    <row r="14076" spans="1:1" x14ac:dyDescent="0.25">
      <c r="A14076" t="s">
        <v>13024</v>
      </c>
    </row>
    <row r="14077" spans="1:1" x14ac:dyDescent="0.25">
      <c r="A14077" t="s">
        <v>13025</v>
      </c>
    </row>
    <row r="14078" spans="1:1" x14ac:dyDescent="0.25">
      <c r="A14078" t="s">
        <v>1434</v>
      </c>
    </row>
    <row r="14079" spans="1:1" x14ac:dyDescent="0.25">
      <c r="A14079" t="s">
        <v>13026</v>
      </c>
    </row>
    <row r="14080" spans="1:1" x14ac:dyDescent="0.25">
      <c r="A14080" t="s">
        <v>13027</v>
      </c>
    </row>
    <row r="14081" spans="1:1" x14ac:dyDescent="0.25">
      <c r="A14081" t="s">
        <v>13028</v>
      </c>
    </row>
    <row r="14082" spans="1:1" x14ac:dyDescent="0.25">
      <c r="A14082" t="s">
        <v>13029</v>
      </c>
    </row>
    <row r="14083" spans="1:1" x14ac:dyDescent="0.25">
      <c r="A14083" t="s">
        <v>13030</v>
      </c>
    </row>
    <row r="14085" spans="1:1" x14ac:dyDescent="0.25">
      <c r="A14085" t="s">
        <v>13031</v>
      </c>
    </row>
    <row r="14086" spans="1:1" x14ac:dyDescent="0.25">
      <c r="A14086" t="s">
        <v>12968</v>
      </c>
    </row>
    <row r="14087" spans="1:1" x14ac:dyDescent="0.25">
      <c r="A14087" t="s">
        <v>13032</v>
      </c>
    </row>
    <row r="14088" spans="1:1" x14ac:dyDescent="0.25">
      <c r="A14088" t="s">
        <v>1563</v>
      </c>
    </row>
    <row r="14089" spans="1:1" x14ac:dyDescent="0.25">
      <c r="A14089" t="s">
        <v>12641</v>
      </c>
    </row>
    <row r="14090" spans="1:1" x14ac:dyDescent="0.25">
      <c r="A14090" t="s">
        <v>13033</v>
      </c>
    </row>
    <row r="14091" spans="1:1" x14ac:dyDescent="0.25">
      <c r="A14091" t="s">
        <v>7307</v>
      </c>
    </row>
    <row r="14092" spans="1:1" x14ac:dyDescent="0.25">
      <c r="A14092" t="s">
        <v>12410</v>
      </c>
    </row>
    <row r="14093" spans="1:1" x14ac:dyDescent="0.25">
      <c r="A14093" t="s">
        <v>13034</v>
      </c>
    </row>
    <row r="14094" spans="1:1" x14ac:dyDescent="0.25">
      <c r="A14094" t="s">
        <v>13035</v>
      </c>
    </row>
    <row r="14095" spans="1:1" x14ac:dyDescent="0.25">
      <c r="A14095" t="s">
        <v>13036</v>
      </c>
    </row>
    <row r="14096" spans="1:1" x14ac:dyDescent="0.25">
      <c r="A14096" t="s">
        <v>13037</v>
      </c>
    </row>
    <row r="14097" spans="1:1" x14ac:dyDescent="0.25">
      <c r="A14097" t="s">
        <v>13038</v>
      </c>
    </row>
    <row r="14098" spans="1:1" x14ac:dyDescent="0.25">
      <c r="A14098" t="s">
        <v>13039</v>
      </c>
    </row>
    <row r="14099" spans="1:1" x14ac:dyDescent="0.25">
      <c r="A14099" t="s">
        <v>13040</v>
      </c>
    </row>
    <row r="14100" spans="1:1" x14ac:dyDescent="0.25">
      <c r="A14100" t="s">
        <v>13041</v>
      </c>
    </row>
    <row r="14101" spans="1:1" x14ac:dyDescent="0.25">
      <c r="A14101" t="s">
        <v>11216</v>
      </c>
    </row>
    <row r="14102" spans="1:1" x14ac:dyDescent="0.25">
      <c r="A14102" t="s">
        <v>13042</v>
      </c>
    </row>
    <row r="14103" spans="1:1" x14ac:dyDescent="0.25">
      <c r="A14103" t="s">
        <v>13043</v>
      </c>
    </row>
    <row r="14104" spans="1:1" x14ac:dyDescent="0.25">
      <c r="A14104" t="s">
        <v>13044</v>
      </c>
    </row>
    <row r="14106" spans="1:1" x14ac:dyDescent="0.25">
      <c r="A14106" t="s">
        <v>13045</v>
      </c>
    </row>
    <row r="14108" spans="1:1" x14ac:dyDescent="0.25">
      <c r="A14108" t="s">
        <v>13046</v>
      </c>
    </row>
    <row r="14109" spans="1:1" x14ac:dyDescent="0.25">
      <c r="A14109" t="s">
        <v>13047</v>
      </c>
    </row>
    <row r="14110" spans="1:1" x14ac:dyDescent="0.25">
      <c r="A14110" t="s">
        <v>13048</v>
      </c>
    </row>
    <row r="14111" spans="1:1" x14ac:dyDescent="0.25">
      <c r="A14111" t="s">
        <v>13049</v>
      </c>
    </row>
    <row r="14112" spans="1:1" x14ac:dyDescent="0.25">
      <c r="A14112" t="s">
        <v>13050</v>
      </c>
    </row>
    <row r="14113" spans="1:1" x14ac:dyDescent="0.25">
      <c r="A14113" t="s">
        <v>13051</v>
      </c>
    </row>
    <row r="14114" spans="1:1" x14ac:dyDescent="0.25">
      <c r="A14114" t="s">
        <v>13052</v>
      </c>
    </row>
    <row r="14115" spans="1:1" x14ac:dyDescent="0.25">
      <c r="A14115" t="s">
        <v>3681</v>
      </c>
    </row>
    <row r="14116" spans="1:1" x14ac:dyDescent="0.25">
      <c r="A14116" t="s">
        <v>13053</v>
      </c>
    </row>
    <row r="14117" spans="1:1" x14ac:dyDescent="0.25">
      <c r="A14117" t="s">
        <v>13054</v>
      </c>
    </row>
    <row r="14118" spans="1:1" x14ac:dyDescent="0.25">
      <c r="A14118" t="s">
        <v>13055</v>
      </c>
    </row>
    <row r="14119" spans="1:1" x14ac:dyDescent="0.25">
      <c r="A14119" t="s">
        <v>13056</v>
      </c>
    </row>
    <row r="14120" spans="1:1" x14ac:dyDescent="0.25">
      <c r="A14120" t="s">
        <v>13057</v>
      </c>
    </row>
    <row r="14121" spans="1:1" x14ac:dyDescent="0.25">
      <c r="A14121" t="s">
        <v>13058</v>
      </c>
    </row>
    <row r="14122" spans="1:1" x14ac:dyDescent="0.25">
      <c r="A14122" t="s">
        <v>13059</v>
      </c>
    </row>
    <row r="14123" spans="1:1" x14ac:dyDescent="0.25">
      <c r="A14123" t="s">
        <v>13060</v>
      </c>
    </row>
    <row r="14124" spans="1:1" x14ac:dyDescent="0.25">
      <c r="A14124" t="s">
        <v>13061</v>
      </c>
    </row>
    <row r="14125" spans="1:1" x14ac:dyDescent="0.25">
      <c r="A14125" t="s">
        <v>13062</v>
      </c>
    </row>
    <row r="14126" spans="1:1" x14ac:dyDescent="0.25">
      <c r="A14126" t="s">
        <v>13063</v>
      </c>
    </row>
    <row r="14127" spans="1:1" x14ac:dyDescent="0.25">
      <c r="A14127" t="s">
        <v>13064</v>
      </c>
    </row>
    <row r="14129" spans="1:1" x14ac:dyDescent="0.25">
      <c r="A14129" t="s">
        <v>13065</v>
      </c>
    </row>
    <row r="14130" spans="1:1" x14ac:dyDescent="0.25">
      <c r="A14130" t="s">
        <v>13066</v>
      </c>
    </row>
    <row r="14131" spans="1:1" x14ac:dyDescent="0.25">
      <c r="A14131" t="s">
        <v>13067</v>
      </c>
    </row>
    <row r="14132" spans="1:1" x14ac:dyDescent="0.25">
      <c r="A14132" t="s">
        <v>13068</v>
      </c>
    </row>
    <row r="14133" spans="1:1" x14ac:dyDescent="0.25">
      <c r="A14133" t="s">
        <v>13069</v>
      </c>
    </row>
    <row r="14134" spans="1:1" x14ac:dyDescent="0.25">
      <c r="A14134" t="s">
        <v>13070</v>
      </c>
    </row>
    <row r="14135" spans="1:1" x14ac:dyDescent="0.25">
      <c r="A14135" t="s">
        <v>13071</v>
      </c>
    </row>
    <row r="14136" spans="1:1" x14ac:dyDescent="0.25">
      <c r="A14136" t="s">
        <v>13072</v>
      </c>
    </row>
    <row r="14137" spans="1:1" x14ac:dyDescent="0.25">
      <c r="A14137" t="s">
        <v>13073</v>
      </c>
    </row>
    <row r="14138" spans="1:1" x14ac:dyDescent="0.25">
      <c r="A14138" t="s">
        <v>13074</v>
      </c>
    </row>
    <row r="14139" spans="1:1" x14ac:dyDescent="0.25">
      <c r="A14139" t="s">
        <v>13075</v>
      </c>
    </row>
    <row r="14140" spans="1:1" x14ac:dyDescent="0.25">
      <c r="A14140" t="s">
        <v>13076</v>
      </c>
    </row>
    <row r="14141" spans="1:1" x14ac:dyDescent="0.25">
      <c r="A14141" t="s">
        <v>13077</v>
      </c>
    </row>
    <row r="14142" spans="1:1" x14ac:dyDescent="0.25">
      <c r="A14142" t="s">
        <v>5321</v>
      </c>
    </row>
    <row r="14143" spans="1:1" x14ac:dyDescent="0.25">
      <c r="A14143" t="s">
        <v>13078</v>
      </c>
    </row>
    <row r="14144" spans="1:1" x14ac:dyDescent="0.25">
      <c r="A14144" t="s">
        <v>13079</v>
      </c>
    </row>
    <row r="14145" spans="1:1" x14ac:dyDescent="0.25">
      <c r="A14145" t="s">
        <v>13080</v>
      </c>
    </row>
    <row r="14146" spans="1:1" x14ac:dyDescent="0.25">
      <c r="A14146" t="s">
        <v>13081</v>
      </c>
    </row>
    <row r="14147" spans="1:1" x14ac:dyDescent="0.25">
      <c r="A14147" t="s">
        <v>13082</v>
      </c>
    </row>
    <row r="14148" spans="1:1" x14ac:dyDescent="0.25">
      <c r="A14148" t="s">
        <v>13083</v>
      </c>
    </row>
    <row r="14149" spans="1:1" x14ac:dyDescent="0.25">
      <c r="A14149" t="s">
        <v>13084</v>
      </c>
    </row>
    <row r="14150" spans="1:1" x14ac:dyDescent="0.25">
      <c r="A14150" t="s">
        <v>13085</v>
      </c>
    </row>
    <row r="14151" spans="1:1" x14ac:dyDescent="0.25">
      <c r="A14151" t="s">
        <v>3285</v>
      </c>
    </row>
    <row r="14152" spans="1:1" x14ac:dyDescent="0.25">
      <c r="A14152" t="s">
        <v>13086</v>
      </c>
    </row>
    <row r="14153" spans="1:1" x14ac:dyDescent="0.25">
      <c r="A14153" t="s">
        <v>3287</v>
      </c>
    </row>
    <row r="14154" spans="1:1" x14ac:dyDescent="0.25">
      <c r="A14154" t="s">
        <v>8309</v>
      </c>
    </row>
    <row r="14155" spans="1:1" x14ac:dyDescent="0.25">
      <c r="A14155" t="s">
        <v>13087</v>
      </c>
    </row>
    <row r="14156" spans="1:1" x14ac:dyDescent="0.25">
      <c r="A14156" t="s">
        <v>13088</v>
      </c>
    </row>
    <row r="14157" spans="1:1" x14ac:dyDescent="0.25">
      <c r="A14157" t="s">
        <v>13089</v>
      </c>
    </row>
    <row r="14158" spans="1:1" x14ac:dyDescent="0.25">
      <c r="A14158" t="s">
        <v>13090</v>
      </c>
    </row>
    <row r="14159" spans="1:1" x14ac:dyDescent="0.25">
      <c r="A14159" t="s">
        <v>13091</v>
      </c>
    </row>
    <row r="14160" spans="1:1" x14ac:dyDescent="0.25">
      <c r="A14160" t="s">
        <v>13092</v>
      </c>
    </row>
    <row r="14161" spans="1:1" x14ac:dyDescent="0.25">
      <c r="A14161" t="s">
        <v>13093</v>
      </c>
    </row>
    <row r="14162" spans="1:1" x14ac:dyDescent="0.25">
      <c r="A14162" t="s">
        <v>13094</v>
      </c>
    </row>
    <row r="14163" spans="1:1" x14ac:dyDescent="0.25">
      <c r="A14163" t="s">
        <v>3288</v>
      </c>
    </row>
    <row r="14164" spans="1:1" x14ac:dyDescent="0.25">
      <c r="A14164" t="s">
        <v>13095</v>
      </c>
    </row>
    <row r="14165" spans="1:1" x14ac:dyDescent="0.25">
      <c r="A14165" t="s">
        <v>13096</v>
      </c>
    </row>
    <row r="14166" spans="1:1" x14ac:dyDescent="0.25">
      <c r="A14166" t="s">
        <v>13097</v>
      </c>
    </row>
    <row r="14167" spans="1:1" x14ac:dyDescent="0.25">
      <c r="A14167" t="s">
        <v>13098</v>
      </c>
    </row>
    <row r="14168" spans="1:1" x14ac:dyDescent="0.25">
      <c r="A14168" t="s">
        <v>13099</v>
      </c>
    </row>
    <row r="14169" spans="1:1" x14ac:dyDescent="0.25">
      <c r="A14169" t="s">
        <v>13100</v>
      </c>
    </row>
    <row r="14170" spans="1:1" x14ac:dyDescent="0.25">
      <c r="A14170" t="s">
        <v>13101</v>
      </c>
    </row>
    <row r="14171" spans="1:1" x14ac:dyDescent="0.25">
      <c r="A14171" t="s">
        <v>4446</v>
      </c>
    </row>
    <row r="14172" spans="1:1" x14ac:dyDescent="0.25">
      <c r="A14172" t="s">
        <v>13102</v>
      </c>
    </row>
    <row r="14173" spans="1:1" x14ac:dyDescent="0.25">
      <c r="A14173" t="s">
        <v>13103</v>
      </c>
    </row>
    <row r="14174" spans="1:1" x14ac:dyDescent="0.25">
      <c r="A14174" t="s">
        <v>13101</v>
      </c>
    </row>
    <row r="14175" spans="1:1" x14ac:dyDescent="0.25">
      <c r="A14175" t="s">
        <v>13104</v>
      </c>
    </row>
    <row r="14176" spans="1:1" x14ac:dyDescent="0.25">
      <c r="A14176" t="s">
        <v>13105</v>
      </c>
    </row>
    <row r="14177" spans="1:1" x14ac:dyDescent="0.25">
      <c r="A14177" t="s">
        <v>13106</v>
      </c>
    </row>
    <row r="14178" spans="1:1" x14ac:dyDescent="0.25">
      <c r="A14178" t="s">
        <v>13107</v>
      </c>
    </row>
    <row r="14179" spans="1:1" x14ac:dyDescent="0.25">
      <c r="A14179" t="s">
        <v>13108</v>
      </c>
    </row>
    <row r="14180" spans="1:1" x14ac:dyDescent="0.25">
      <c r="A14180" t="s">
        <v>13101</v>
      </c>
    </row>
    <row r="14181" spans="1:1" x14ac:dyDescent="0.25">
      <c r="A14181" t="s">
        <v>1514</v>
      </c>
    </row>
    <row r="14182" spans="1:1" x14ac:dyDescent="0.25">
      <c r="A14182" t="s">
        <v>13109</v>
      </c>
    </row>
    <row r="14183" spans="1:1" x14ac:dyDescent="0.25">
      <c r="A14183" t="s">
        <v>13101</v>
      </c>
    </row>
    <row r="14184" spans="1:1" x14ac:dyDescent="0.25">
      <c r="A14184" t="s">
        <v>13110</v>
      </c>
    </row>
    <row r="14185" spans="1:1" x14ac:dyDescent="0.25">
      <c r="A14185" t="s">
        <v>13111</v>
      </c>
    </row>
    <row r="14186" spans="1:1" x14ac:dyDescent="0.25">
      <c r="A14186" t="s">
        <v>13112</v>
      </c>
    </row>
    <row r="14187" spans="1:1" x14ac:dyDescent="0.25">
      <c r="A14187" t="s">
        <v>13113</v>
      </c>
    </row>
    <row r="14188" spans="1:1" x14ac:dyDescent="0.25">
      <c r="A14188" t="s">
        <v>12638</v>
      </c>
    </row>
    <row r="14189" spans="1:1" x14ac:dyDescent="0.25">
      <c r="A14189" t="s">
        <v>12639</v>
      </c>
    </row>
    <row r="14190" spans="1:1" x14ac:dyDescent="0.25">
      <c r="A14190" t="s">
        <v>12640</v>
      </c>
    </row>
    <row r="14191" spans="1:1" x14ac:dyDescent="0.25">
      <c r="A14191" t="s">
        <v>11389</v>
      </c>
    </row>
    <row r="14192" spans="1:1" x14ac:dyDescent="0.25">
      <c r="A14192" t="s">
        <v>12641</v>
      </c>
    </row>
    <row r="14193" spans="1:1" x14ac:dyDescent="0.25">
      <c r="A14193" t="s">
        <v>12642</v>
      </c>
    </row>
    <row r="14194" spans="1:1" x14ac:dyDescent="0.25">
      <c r="A14194" t="s">
        <v>12643</v>
      </c>
    </row>
    <row r="14195" spans="1:1" x14ac:dyDescent="0.25">
      <c r="A14195" t="s">
        <v>12644</v>
      </c>
    </row>
    <row r="14196" spans="1:1" x14ac:dyDescent="0.25">
      <c r="A14196" t="s">
        <v>13114</v>
      </c>
    </row>
    <row r="14197" spans="1:1" x14ac:dyDescent="0.25">
      <c r="A14197" t="s">
        <v>13115</v>
      </c>
    </row>
    <row r="14198" spans="1:1" x14ac:dyDescent="0.25">
      <c r="A14198" t="s">
        <v>13116</v>
      </c>
    </row>
    <row r="14199" spans="1:1" x14ac:dyDescent="0.25">
      <c r="A14199" t="s">
        <v>13114</v>
      </c>
    </row>
    <row r="14200" spans="1:1" x14ac:dyDescent="0.25">
      <c r="A14200" t="s">
        <v>13117</v>
      </c>
    </row>
    <row r="14201" spans="1:1" x14ac:dyDescent="0.25">
      <c r="A14201" t="s">
        <v>3788</v>
      </c>
    </row>
    <row r="14202" spans="1:1" x14ac:dyDescent="0.25">
      <c r="A14202" t="s">
        <v>13118</v>
      </c>
    </row>
    <row r="14203" spans="1:1" x14ac:dyDescent="0.25">
      <c r="A14203" t="s">
        <v>13119</v>
      </c>
    </row>
    <row r="14204" spans="1:1" x14ac:dyDescent="0.25">
      <c r="A14204" t="s">
        <v>13120</v>
      </c>
    </row>
    <row r="14205" spans="1:1" x14ac:dyDescent="0.25">
      <c r="A14205" t="s">
        <v>13121</v>
      </c>
    </row>
    <row r="14206" spans="1:1" x14ac:dyDescent="0.25">
      <c r="A14206" t="s">
        <v>13118</v>
      </c>
    </row>
    <row r="14207" spans="1:1" x14ac:dyDescent="0.25">
      <c r="A14207" t="s">
        <v>13122</v>
      </c>
    </row>
    <row r="14208" spans="1:1" x14ac:dyDescent="0.25">
      <c r="A14208" t="s">
        <v>13123</v>
      </c>
    </row>
    <row r="14209" spans="1:1" x14ac:dyDescent="0.25">
      <c r="A14209" t="s">
        <v>13124</v>
      </c>
    </row>
    <row r="14210" spans="1:1" x14ac:dyDescent="0.25">
      <c r="A14210" t="s">
        <v>13125</v>
      </c>
    </row>
    <row r="14211" spans="1:1" x14ac:dyDescent="0.25">
      <c r="A14211" t="s">
        <v>13126</v>
      </c>
    </row>
    <row r="14212" spans="1:1" x14ac:dyDescent="0.25">
      <c r="A14212" t="s">
        <v>4909</v>
      </c>
    </row>
    <row r="14213" spans="1:1" x14ac:dyDescent="0.25">
      <c r="A14213" t="s">
        <v>5060</v>
      </c>
    </row>
    <row r="14214" spans="1:1" x14ac:dyDescent="0.25">
      <c r="A14214" t="s">
        <v>3879</v>
      </c>
    </row>
    <row r="14215" spans="1:1" x14ac:dyDescent="0.25">
      <c r="A14215" t="s">
        <v>13127</v>
      </c>
    </row>
    <row r="14216" spans="1:1" x14ac:dyDescent="0.25">
      <c r="A14216" t="s">
        <v>13128</v>
      </c>
    </row>
    <row r="14217" spans="1:1" x14ac:dyDescent="0.25">
      <c r="A14217" t="s">
        <v>13129</v>
      </c>
    </row>
    <row r="14218" spans="1:1" x14ac:dyDescent="0.25">
      <c r="A14218" t="s">
        <v>4128</v>
      </c>
    </row>
    <row r="14220" spans="1:1" x14ac:dyDescent="0.25">
      <c r="A14220" t="s">
        <v>13130</v>
      </c>
    </row>
    <row r="14221" spans="1:1" x14ac:dyDescent="0.25">
      <c r="A14221" t="s">
        <v>13131</v>
      </c>
    </row>
    <row r="14222" spans="1:1" x14ac:dyDescent="0.25">
      <c r="A14222" t="s">
        <v>13132</v>
      </c>
    </row>
    <row r="14223" spans="1:1" x14ac:dyDescent="0.25">
      <c r="A14223" t="s">
        <v>13133</v>
      </c>
    </row>
    <row r="14224" spans="1:1" x14ac:dyDescent="0.25">
      <c r="A14224" t="s">
        <v>13134</v>
      </c>
    </row>
    <row r="14225" spans="1:1" x14ac:dyDescent="0.25">
      <c r="A14225" t="s">
        <v>13135</v>
      </c>
    </row>
    <row r="14226" spans="1:1" x14ac:dyDescent="0.25">
      <c r="A14226" t="s">
        <v>13136</v>
      </c>
    </row>
    <row r="14227" spans="1:1" x14ac:dyDescent="0.25">
      <c r="A14227" t="s">
        <v>13137</v>
      </c>
    </row>
    <row r="14228" spans="1:1" x14ac:dyDescent="0.25">
      <c r="A14228" t="s">
        <v>13138</v>
      </c>
    </row>
    <row r="14229" spans="1:1" x14ac:dyDescent="0.25">
      <c r="A14229" t="s">
        <v>13139</v>
      </c>
    </row>
    <row r="14230" spans="1:1" x14ac:dyDescent="0.25">
      <c r="A14230" t="s">
        <v>13140</v>
      </c>
    </row>
    <row r="14231" spans="1:1" x14ac:dyDescent="0.25">
      <c r="A14231" t="s">
        <v>4399</v>
      </c>
    </row>
    <row r="14232" spans="1:1" x14ac:dyDescent="0.25">
      <c r="A14232" t="s">
        <v>13141</v>
      </c>
    </row>
    <row r="14233" spans="1:1" x14ac:dyDescent="0.25">
      <c r="A14233" t="s">
        <v>13142</v>
      </c>
    </row>
    <row r="14234" spans="1:1" x14ac:dyDescent="0.25">
      <c r="A14234" t="s">
        <v>13140</v>
      </c>
    </row>
    <row r="14235" spans="1:1" x14ac:dyDescent="0.25">
      <c r="A14235" t="s">
        <v>9094</v>
      </c>
    </row>
    <row r="14236" spans="1:1" x14ac:dyDescent="0.25">
      <c r="A14236" t="s">
        <v>13143</v>
      </c>
    </row>
    <row r="14237" spans="1:1" x14ac:dyDescent="0.25">
      <c r="A14237" t="s">
        <v>13144</v>
      </c>
    </row>
    <row r="14238" spans="1:1" x14ac:dyDescent="0.25">
      <c r="A14238" t="s">
        <v>13140</v>
      </c>
    </row>
    <row r="14239" spans="1:1" x14ac:dyDescent="0.25">
      <c r="A14239" t="s">
        <v>9094</v>
      </c>
    </row>
    <row r="14240" spans="1:1" x14ac:dyDescent="0.25">
      <c r="A14240" t="s">
        <v>13143</v>
      </c>
    </row>
    <row r="14241" spans="1:1" x14ac:dyDescent="0.25">
      <c r="A14241" t="s">
        <v>13144</v>
      </c>
    </row>
    <row r="14243" spans="1:1" x14ac:dyDescent="0.25">
      <c r="A14243" t="s">
        <v>13140</v>
      </c>
    </row>
    <row r="14244" spans="1:1" x14ac:dyDescent="0.25">
      <c r="A14244" t="s">
        <v>13145</v>
      </c>
    </row>
    <row r="14245" spans="1:1" x14ac:dyDescent="0.25">
      <c r="A14245" t="s">
        <v>13146</v>
      </c>
    </row>
    <row r="14246" spans="1:1" x14ac:dyDescent="0.25">
      <c r="A14246" t="s">
        <v>13147</v>
      </c>
    </row>
    <row r="14247" spans="1:1" x14ac:dyDescent="0.25">
      <c r="A14247" t="s">
        <v>13148</v>
      </c>
    </row>
    <row r="14248" spans="1:1" x14ac:dyDescent="0.25">
      <c r="A14248" t="s">
        <v>13149</v>
      </c>
    </row>
    <row r="14249" spans="1:1" x14ac:dyDescent="0.25">
      <c r="A14249" t="s">
        <v>13150</v>
      </c>
    </row>
    <row r="14250" spans="1:1" x14ac:dyDescent="0.25">
      <c r="A14250" t="s">
        <v>13151</v>
      </c>
    </row>
    <row r="14252" spans="1:1" x14ac:dyDescent="0.25">
      <c r="A14252" t="s">
        <v>13148</v>
      </c>
    </row>
    <row r="14253" spans="1:1" x14ac:dyDescent="0.25">
      <c r="A14253" t="s">
        <v>9178</v>
      </c>
    </row>
    <row r="14254" spans="1:1" x14ac:dyDescent="0.25">
      <c r="A14254" t="s">
        <v>13152</v>
      </c>
    </row>
    <row r="14255" spans="1:1" x14ac:dyDescent="0.25">
      <c r="A14255" t="s">
        <v>13153</v>
      </c>
    </row>
    <row r="14257" spans="1:1" x14ac:dyDescent="0.25">
      <c r="A14257" t="s">
        <v>13140</v>
      </c>
    </row>
    <row r="14258" spans="1:1" x14ac:dyDescent="0.25">
      <c r="A14258" t="s">
        <v>7032</v>
      </c>
    </row>
    <row r="14259" spans="1:1" x14ac:dyDescent="0.25">
      <c r="A14259" t="s">
        <v>7033</v>
      </c>
    </row>
    <row r="14260" spans="1:1" x14ac:dyDescent="0.25">
      <c r="A14260" t="s">
        <v>7034</v>
      </c>
    </row>
    <row r="14261" spans="1:1" x14ac:dyDescent="0.25">
      <c r="A14261" t="s">
        <v>7035</v>
      </c>
    </row>
    <row r="14262" spans="1:1" x14ac:dyDescent="0.25">
      <c r="A14262" t="s">
        <v>7036</v>
      </c>
    </row>
    <row r="14263" spans="1:1" x14ac:dyDescent="0.25">
      <c r="A14263" t="s">
        <v>6705</v>
      </c>
    </row>
    <row r="14264" spans="1:1" x14ac:dyDescent="0.25">
      <c r="A14264" t="s">
        <v>7037</v>
      </c>
    </row>
    <row r="14265" spans="1:1" x14ac:dyDescent="0.25">
      <c r="A14265" t="s">
        <v>7038</v>
      </c>
    </row>
    <row r="14266" spans="1:1" x14ac:dyDescent="0.25">
      <c r="A14266" t="s">
        <v>7039</v>
      </c>
    </row>
    <row r="14267" spans="1:1" x14ac:dyDescent="0.25">
      <c r="A14267" t="s">
        <v>13154</v>
      </c>
    </row>
    <row r="14268" spans="1:1" x14ac:dyDescent="0.25">
      <c r="A14268" t="s">
        <v>13155</v>
      </c>
    </row>
    <row r="14269" spans="1:1" x14ac:dyDescent="0.25">
      <c r="A14269" t="s">
        <v>13156</v>
      </c>
    </row>
    <row r="14270" spans="1:1" x14ac:dyDescent="0.25">
      <c r="A14270" t="s">
        <v>13157</v>
      </c>
    </row>
    <row r="14271" spans="1:1" x14ac:dyDescent="0.25">
      <c r="A14271" t="s">
        <v>13158</v>
      </c>
    </row>
    <row r="14272" spans="1:1" x14ac:dyDescent="0.25">
      <c r="A14272" t="s">
        <v>13159</v>
      </c>
    </row>
    <row r="14273" spans="1:6" x14ac:dyDescent="0.25">
      <c r="A14273" t="s">
        <v>13160</v>
      </c>
    </row>
    <row r="14274" spans="1:6" x14ac:dyDescent="0.25">
      <c r="A14274" t="s">
        <v>13161</v>
      </c>
    </row>
    <row r="14275" spans="1:6" x14ac:dyDescent="0.25">
      <c r="A14275" t="s">
        <v>13162</v>
      </c>
    </row>
    <row r="14276" spans="1:6" x14ac:dyDescent="0.25">
      <c r="A14276" t="s">
        <v>13163</v>
      </c>
    </row>
    <row r="14277" spans="1:6" x14ac:dyDescent="0.25">
      <c r="A14277" t="s">
        <v>13164</v>
      </c>
    </row>
    <row r="14278" spans="1:6" x14ac:dyDescent="0.25">
      <c r="A14278" t="s">
        <v>13165</v>
      </c>
    </row>
    <row r="14279" spans="1:6" x14ac:dyDescent="0.25">
      <c r="A14279" t="s">
        <v>13166</v>
      </c>
    </row>
    <row r="14280" spans="1:6" x14ac:dyDescent="0.25">
      <c r="A14280" t="s">
        <v>4353</v>
      </c>
    </row>
    <row r="14281" spans="1:6" x14ac:dyDescent="0.25">
      <c r="A14281" t="s">
        <v>13167</v>
      </c>
    </row>
    <row r="14282" spans="1:6" x14ac:dyDescent="0.25">
      <c r="A14282" t="s">
        <v>13168</v>
      </c>
    </row>
    <row r="14284" spans="1:6" x14ac:dyDescent="0.25">
      <c r="A14284" t="s">
        <v>13169</v>
      </c>
    </row>
    <row r="14285" spans="1:6" x14ac:dyDescent="0.25">
      <c r="A14285" t="s">
        <v>9634</v>
      </c>
    </row>
    <row r="14286" spans="1:6" x14ac:dyDescent="0.25">
      <c r="A14286">
        <v>1</v>
      </c>
      <c r="B14286" t="s">
        <v>13170</v>
      </c>
      <c r="C14286">
        <v>2791.98</v>
      </c>
      <c r="D14286" s="55">
        <v>43799</v>
      </c>
      <c r="E14286">
        <v>1</v>
      </c>
      <c r="F14286">
        <v>0</v>
      </c>
    </row>
    <row r="14287" spans="1:6" x14ac:dyDescent="0.25">
      <c r="A14287">
        <v>2</v>
      </c>
      <c r="B14287" t="s">
        <v>3927</v>
      </c>
      <c r="C14287">
        <v>2415.7199999999998</v>
      </c>
      <c r="D14287" s="55">
        <v>43799</v>
      </c>
      <c r="E14287">
        <v>1</v>
      </c>
      <c r="F14287">
        <v>0</v>
      </c>
    </row>
    <row r="14288" spans="1:6" x14ac:dyDescent="0.25">
      <c r="A14288">
        <v>31</v>
      </c>
    </row>
    <row r="14289" spans="1:1" x14ac:dyDescent="0.25">
      <c r="A14289" t="s">
        <v>13171</v>
      </c>
    </row>
    <row r="14290" spans="1:1" x14ac:dyDescent="0.25">
      <c r="A14290" t="s">
        <v>13172</v>
      </c>
    </row>
    <row r="14291" spans="1:1" x14ac:dyDescent="0.25">
      <c r="A14291" t="s">
        <v>13173</v>
      </c>
    </row>
    <row r="14292" spans="1:1" x14ac:dyDescent="0.25">
      <c r="A14292" t="s">
        <v>13174</v>
      </c>
    </row>
    <row r="14293" spans="1:1" x14ac:dyDescent="0.25">
      <c r="A14293" t="s">
        <v>13175</v>
      </c>
    </row>
    <row r="14294" spans="1:1" x14ac:dyDescent="0.25">
      <c r="A14294" t="s">
        <v>13176</v>
      </c>
    </row>
    <row r="14295" spans="1:1" x14ac:dyDescent="0.25">
      <c r="A14295" t="s">
        <v>13177</v>
      </c>
    </row>
    <row r="14296" spans="1:1" x14ac:dyDescent="0.25">
      <c r="A14296" t="s">
        <v>13178</v>
      </c>
    </row>
    <row r="14297" spans="1:1" x14ac:dyDescent="0.25">
      <c r="A14297" t="s">
        <v>13179</v>
      </c>
    </row>
    <row r="14298" spans="1:1" x14ac:dyDescent="0.25">
      <c r="A14298" t="s">
        <v>13180</v>
      </c>
    </row>
    <row r="14300" spans="1:1" x14ac:dyDescent="0.25">
      <c r="A14300" t="s">
        <v>13181</v>
      </c>
    </row>
    <row r="14301" spans="1:1" x14ac:dyDescent="0.25">
      <c r="A14301" t="s">
        <v>13182</v>
      </c>
    </row>
    <row r="14302" spans="1:1" x14ac:dyDescent="0.25">
      <c r="A14302" t="s">
        <v>13183</v>
      </c>
    </row>
    <row r="14303" spans="1:1" x14ac:dyDescent="0.25">
      <c r="A14303" t="s">
        <v>13184</v>
      </c>
    </row>
    <row r="14304" spans="1:1" x14ac:dyDescent="0.25">
      <c r="A14304" t="s">
        <v>13185</v>
      </c>
    </row>
    <row r="14305" spans="1:1" x14ac:dyDescent="0.25">
      <c r="A14305" t="s">
        <v>13186</v>
      </c>
    </row>
    <row r="14306" spans="1:1" x14ac:dyDescent="0.25">
      <c r="A14306" t="s">
        <v>13187</v>
      </c>
    </row>
    <row r="14307" spans="1:1" x14ac:dyDescent="0.25">
      <c r="A14307" t="s">
        <v>13188</v>
      </c>
    </row>
    <row r="14308" spans="1:1" x14ac:dyDescent="0.25">
      <c r="A14308" t="s">
        <v>13189</v>
      </c>
    </row>
    <row r="14309" spans="1:1" x14ac:dyDescent="0.25">
      <c r="A14309" t="s">
        <v>13190</v>
      </c>
    </row>
    <row r="14310" spans="1:1" x14ac:dyDescent="0.25">
      <c r="A14310" t="s">
        <v>13191</v>
      </c>
    </row>
    <row r="14311" spans="1:1" x14ac:dyDescent="0.25">
      <c r="A14311" t="s">
        <v>13192</v>
      </c>
    </row>
    <row r="14312" spans="1:1" x14ac:dyDescent="0.25">
      <c r="A14312" t="s">
        <v>13193</v>
      </c>
    </row>
    <row r="14313" spans="1:1" x14ac:dyDescent="0.25">
      <c r="A14313" t="s">
        <v>13194</v>
      </c>
    </row>
    <row r="14314" spans="1:1" x14ac:dyDescent="0.25">
      <c r="A14314" t="s">
        <v>13195</v>
      </c>
    </row>
    <row r="14315" spans="1:1" x14ac:dyDescent="0.25">
      <c r="A14315" t="s">
        <v>13196</v>
      </c>
    </row>
    <row r="14316" spans="1:1" x14ac:dyDescent="0.25">
      <c r="A14316" t="s">
        <v>13197</v>
      </c>
    </row>
    <row r="14317" spans="1:1" x14ac:dyDescent="0.25">
      <c r="A14317" t="s">
        <v>13198</v>
      </c>
    </row>
    <row r="14318" spans="1:1" x14ac:dyDescent="0.25">
      <c r="A14318" t="s">
        <v>13199</v>
      </c>
    </row>
    <row r="14319" spans="1:1" x14ac:dyDescent="0.25">
      <c r="A14319" t="s">
        <v>13200</v>
      </c>
    </row>
    <row r="14320" spans="1:1" x14ac:dyDescent="0.25">
      <c r="A14320" t="s">
        <v>13201</v>
      </c>
    </row>
    <row r="14321" spans="1:1" x14ac:dyDescent="0.25">
      <c r="A14321" t="s">
        <v>13202</v>
      </c>
    </row>
    <row r="14322" spans="1:1" x14ac:dyDescent="0.25">
      <c r="A14322" t="s">
        <v>13203</v>
      </c>
    </row>
    <row r="14323" spans="1:1" x14ac:dyDescent="0.25">
      <c r="A14323" t="s">
        <v>13204</v>
      </c>
    </row>
    <row r="14324" spans="1:1" x14ac:dyDescent="0.25">
      <c r="A14324" t="s">
        <v>13205</v>
      </c>
    </row>
    <row r="14325" spans="1:1" x14ac:dyDescent="0.25">
      <c r="A14325" t="s">
        <v>13206</v>
      </c>
    </row>
    <row r="14326" spans="1:1" x14ac:dyDescent="0.25">
      <c r="A14326" t="s">
        <v>13207</v>
      </c>
    </row>
    <row r="14327" spans="1:1" x14ac:dyDescent="0.25">
      <c r="A14327" t="s">
        <v>13208</v>
      </c>
    </row>
    <row r="14328" spans="1:1" x14ac:dyDescent="0.25">
      <c r="A14328" t="s">
        <v>13209</v>
      </c>
    </row>
    <row r="14329" spans="1:1" x14ac:dyDescent="0.25">
      <c r="A14329" t="s">
        <v>13210</v>
      </c>
    </row>
    <row r="14330" spans="1:1" x14ac:dyDescent="0.25">
      <c r="A14330" t="s">
        <v>13211</v>
      </c>
    </row>
    <row r="14331" spans="1:1" x14ac:dyDescent="0.25">
      <c r="A14331" t="s">
        <v>13212</v>
      </c>
    </row>
    <row r="14332" spans="1:1" x14ac:dyDescent="0.25">
      <c r="A14332" t="s">
        <v>13213</v>
      </c>
    </row>
    <row r="14333" spans="1:1" x14ac:dyDescent="0.25">
      <c r="A14333" t="s">
        <v>13214</v>
      </c>
    </row>
    <row r="14334" spans="1:1" x14ac:dyDescent="0.25">
      <c r="A14334" t="s">
        <v>13215</v>
      </c>
    </row>
    <row r="14335" spans="1:1" x14ac:dyDescent="0.25">
      <c r="A14335" t="s">
        <v>13216</v>
      </c>
    </row>
    <row r="14336" spans="1:1" x14ac:dyDescent="0.25">
      <c r="A14336" t="s">
        <v>13217</v>
      </c>
    </row>
    <row r="14337" spans="1:1" x14ac:dyDescent="0.25">
      <c r="A14337" t="s">
        <v>13218</v>
      </c>
    </row>
    <row r="14338" spans="1:1" x14ac:dyDescent="0.25">
      <c r="A14338" t="s">
        <v>13219</v>
      </c>
    </row>
    <row r="14339" spans="1:1" x14ac:dyDescent="0.25">
      <c r="A14339" t="s">
        <v>13220</v>
      </c>
    </row>
    <row r="14340" spans="1:1" x14ac:dyDescent="0.25">
      <c r="A14340" t="s">
        <v>13221</v>
      </c>
    </row>
    <row r="14341" spans="1:1" x14ac:dyDescent="0.25">
      <c r="A14341" t="s">
        <v>13222</v>
      </c>
    </row>
    <row r="14342" spans="1:1" x14ac:dyDescent="0.25">
      <c r="A14342" t="s">
        <v>13223</v>
      </c>
    </row>
    <row r="14343" spans="1:1" x14ac:dyDescent="0.25">
      <c r="A14343" t="s">
        <v>13224</v>
      </c>
    </row>
    <row r="14344" spans="1:1" x14ac:dyDescent="0.25">
      <c r="A14344" t="s">
        <v>13225</v>
      </c>
    </row>
    <row r="14345" spans="1:1" x14ac:dyDescent="0.25">
      <c r="A14345" t="s">
        <v>10622</v>
      </c>
    </row>
    <row r="14346" spans="1:1" x14ac:dyDescent="0.25">
      <c r="A14346" t="s">
        <v>13226</v>
      </c>
    </row>
    <row r="14347" spans="1:1" x14ac:dyDescent="0.25">
      <c r="A14347" t="s">
        <v>13227</v>
      </c>
    </row>
    <row r="14348" spans="1:1" x14ac:dyDescent="0.25">
      <c r="A14348" t="s">
        <v>13228</v>
      </c>
    </row>
    <row r="14349" spans="1:1" x14ac:dyDescent="0.25">
      <c r="A14349" t="s">
        <v>13229</v>
      </c>
    </row>
    <row r="14350" spans="1:1" x14ac:dyDescent="0.25">
      <c r="A14350" t="s">
        <v>9634</v>
      </c>
    </row>
    <row r="14351" spans="1:1" x14ac:dyDescent="0.25">
      <c r="A14351" t="s">
        <v>13230</v>
      </c>
    </row>
    <row r="14352" spans="1:1" x14ac:dyDescent="0.25">
      <c r="A14352" t="s">
        <v>9635</v>
      </c>
    </row>
    <row r="14353" spans="1:1" x14ac:dyDescent="0.25">
      <c r="A14353" t="s">
        <v>13231</v>
      </c>
    </row>
    <row r="14354" spans="1:1" x14ac:dyDescent="0.25">
      <c r="A14354" t="s">
        <v>13232</v>
      </c>
    </row>
    <row r="14355" spans="1:1" x14ac:dyDescent="0.25">
      <c r="A14355" t="s">
        <v>13233</v>
      </c>
    </row>
    <row r="14356" spans="1:1" x14ac:dyDescent="0.25">
      <c r="A14356" t="s">
        <v>13234</v>
      </c>
    </row>
    <row r="14357" spans="1:1" x14ac:dyDescent="0.25">
      <c r="A14357" t="s">
        <v>13235</v>
      </c>
    </row>
    <row r="14358" spans="1:1" x14ac:dyDescent="0.25">
      <c r="A14358" t="s">
        <v>13236</v>
      </c>
    </row>
    <row r="14359" spans="1:1" x14ac:dyDescent="0.25">
      <c r="A14359" t="s">
        <v>13237</v>
      </c>
    </row>
    <row r="14360" spans="1:1" x14ac:dyDescent="0.25">
      <c r="A14360" t="s">
        <v>13238</v>
      </c>
    </row>
    <row r="14361" spans="1:1" x14ac:dyDescent="0.25">
      <c r="A14361" t="s">
        <v>13239</v>
      </c>
    </row>
    <row r="14362" spans="1:1" x14ac:dyDescent="0.25">
      <c r="A14362" t="s">
        <v>13240</v>
      </c>
    </row>
    <row r="14363" spans="1:1" x14ac:dyDescent="0.25">
      <c r="A14363" t="s">
        <v>13241</v>
      </c>
    </row>
    <row r="14364" spans="1:1" x14ac:dyDescent="0.25">
      <c r="A14364" t="s">
        <v>13242</v>
      </c>
    </row>
    <row r="14365" spans="1:1" x14ac:dyDescent="0.25">
      <c r="A14365" t="s">
        <v>13243</v>
      </c>
    </row>
    <row r="14367" spans="1:1" x14ac:dyDescent="0.25">
      <c r="A14367" t="s">
        <v>4008</v>
      </c>
    </row>
    <row r="14368" spans="1:1" x14ac:dyDescent="0.25">
      <c r="A14368" t="s">
        <v>13244</v>
      </c>
    </row>
    <row r="14369" spans="1:1" x14ac:dyDescent="0.25">
      <c r="A14369" t="s">
        <v>13245</v>
      </c>
    </row>
    <row r="14370" spans="1:1" x14ac:dyDescent="0.25">
      <c r="A14370" t="s">
        <v>13246</v>
      </c>
    </row>
    <row r="14371" spans="1:1" x14ac:dyDescent="0.25">
      <c r="A14371" t="s">
        <v>13247</v>
      </c>
    </row>
    <row r="14372" spans="1:1" x14ac:dyDescent="0.25">
      <c r="A14372" t="s">
        <v>13248</v>
      </c>
    </row>
    <row r="14373" spans="1:1" x14ac:dyDescent="0.25">
      <c r="A14373" t="s">
        <v>13249</v>
      </c>
    </row>
    <row r="14374" spans="1:1" x14ac:dyDescent="0.25">
      <c r="A14374" t="s">
        <v>13250</v>
      </c>
    </row>
    <row r="14375" spans="1:1" x14ac:dyDescent="0.25">
      <c r="A14375" t="s">
        <v>13251</v>
      </c>
    </row>
    <row r="14376" spans="1:1" x14ac:dyDescent="0.25">
      <c r="A14376" t="s">
        <v>13252</v>
      </c>
    </row>
    <row r="14377" spans="1:1" x14ac:dyDescent="0.25">
      <c r="A14377" t="s">
        <v>13253</v>
      </c>
    </row>
    <row r="14378" spans="1:1" x14ac:dyDescent="0.25">
      <c r="A14378" t="s">
        <v>13254</v>
      </c>
    </row>
    <row r="14379" spans="1:1" x14ac:dyDescent="0.25">
      <c r="A14379" t="s">
        <v>13255</v>
      </c>
    </row>
    <row r="14380" spans="1:1" x14ac:dyDescent="0.25">
      <c r="A14380" t="s">
        <v>13256</v>
      </c>
    </row>
    <row r="14381" spans="1:1" x14ac:dyDescent="0.25">
      <c r="A14381" t="s">
        <v>13257</v>
      </c>
    </row>
    <row r="14382" spans="1:1" x14ac:dyDescent="0.25">
      <c r="A14382" t="s">
        <v>13258</v>
      </c>
    </row>
    <row r="14383" spans="1:1" x14ac:dyDescent="0.25">
      <c r="A14383" t="s">
        <v>13259</v>
      </c>
    </row>
    <row r="14384" spans="1:1" x14ac:dyDescent="0.25">
      <c r="A14384" t="s">
        <v>13260</v>
      </c>
    </row>
    <row r="14385" spans="1:1" x14ac:dyDescent="0.25">
      <c r="A14385" t="s">
        <v>13261</v>
      </c>
    </row>
    <row r="14386" spans="1:1" x14ac:dyDescent="0.25">
      <c r="A14386" t="s">
        <v>13262</v>
      </c>
    </row>
    <row r="14387" spans="1:1" x14ac:dyDescent="0.25">
      <c r="A14387" t="s">
        <v>13263</v>
      </c>
    </row>
    <row r="14388" spans="1:1" x14ac:dyDescent="0.25">
      <c r="A14388" t="s">
        <v>13264</v>
      </c>
    </row>
    <row r="14389" spans="1:1" x14ac:dyDescent="0.25">
      <c r="A14389" t="s">
        <v>13265</v>
      </c>
    </row>
    <row r="14390" spans="1:1" x14ac:dyDescent="0.25">
      <c r="A14390" t="s">
        <v>13266</v>
      </c>
    </row>
    <row r="14391" spans="1:1" x14ac:dyDescent="0.25">
      <c r="A14391" t="s">
        <v>13267</v>
      </c>
    </row>
    <row r="14392" spans="1:1" x14ac:dyDescent="0.25">
      <c r="A14392" t="s">
        <v>13268</v>
      </c>
    </row>
    <row r="14393" spans="1:1" x14ac:dyDescent="0.25">
      <c r="A14393" t="s">
        <v>13269</v>
      </c>
    </row>
    <row r="14394" spans="1:1" x14ac:dyDescent="0.25">
      <c r="A14394" t="s">
        <v>13270</v>
      </c>
    </row>
    <row r="14395" spans="1:1" x14ac:dyDescent="0.25">
      <c r="A14395" t="s">
        <v>13271</v>
      </c>
    </row>
    <row r="14396" spans="1:1" x14ac:dyDescent="0.25">
      <c r="A14396" t="s">
        <v>13272</v>
      </c>
    </row>
    <row r="14397" spans="1:1" x14ac:dyDescent="0.25">
      <c r="A14397" t="s">
        <v>13273</v>
      </c>
    </row>
    <row r="14398" spans="1:1" x14ac:dyDescent="0.25">
      <c r="A14398" t="s">
        <v>13274</v>
      </c>
    </row>
    <row r="14399" spans="1:1" x14ac:dyDescent="0.25">
      <c r="A14399" t="s">
        <v>13275</v>
      </c>
    </row>
    <row r="14400" spans="1:1" x14ac:dyDescent="0.25">
      <c r="A14400" t="s">
        <v>13276</v>
      </c>
    </row>
    <row r="14401" spans="1:1" x14ac:dyDescent="0.25">
      <c r="A14401" t="s">
        <v>13277</v>
      </c>
    </row>
    <row r="14402" spans="1:1" x14ac:dyDescent="0.25">
      <c r="A14402" t="s">
        <v>13278</v>
      </c>
    </row>
    <row r="14403" spans="1:1" x14ac:dyDescent="0.25">
      <c r="A14403" t="s">
        <v>13279</v>
      </c>
    </row>
    <row r="14404" spans="1:1" x14ac:dyDescent="0.25">
      <c r="A14404" t="s">
        <v>13280</v>
      </c>
    </row>
    <row r="14405" spans="1:1" x14ac:dyDescent="0.25">
      <c r="A14405" t="s">
        <v>13281</v>
      </c>
    </row>
    <row r="14406" spans="1:1" x14ac:dyDescent="0.25">
      <c r="A14406" t="s">
        <v>13282</v>
      </c>
    </row>
    <row r="14407" spans="1:1" x14ac:dyDescent="0.25">
      <c r="A14407" t="s">
        <v>13283</v>
      </c>
    </row>
    <row r="14408" spans="1:1" x14ac:dyDescent="0.25">
      <c r="A14408" t="s">
        <v>13284</v>
      </c>
    </row>
    <row r="14409" spans="1:1" x14ac:dyDescent="0.25">
      <c r="A14409" t="s">
        <v>13285</v>
      </c>
    </row>
    <row r="14410" spans="1:1" x14ac:dyDescent="0.25">
      <c r="A14410" t="s">
        <v>13286</v>
      </c>
    </row>
    <row r="14411" spans="1:1" x14ac:dyDescent="0.25">
      <c r="A14411" t="s">
        <v>13287</v>
      </c>
    </row>
    <row r="14412" spans="1:1" x14ac:dyDescent="0.25">
      <c r="A14412" t="s">
        <v>13288</v>
      </c>
    </row>
    <row r="14413" spans="1:1" x14ac:dyDescent="0.25">
      <c r="A14413" t="s">
        <v>13289</v>
      </c>
    </row>
    <row r="14414" spans="1:1" x14ac:dyDescent="0.25">
      <c r="A14414" t="s">
        <v>13290</v>
      </c>
    </row>
    <row r="14415" spans="1:1" x14ac:dyDescent="0.25">
      <c r="A14415" t="s">
        <v>13291</v>
      </c>
    </row>
    <row r="14416" spans="1:1" x14ac:dyDescent="0.25">
      <c r="A14416" t="s">
        <v>13292</v>
      </c>
    </row>
    <row r="14417" spans="1:1" x14ac:dyDescent="0.25">
      <c r="A14417" t="s">
        <v>13293</v>
      </c>
    </row>
    <row r="14418" spans="1:1" x14ac:dyDescent="0.25">
      <c r="A14418" t="s">
        <v>13294</v>
      </c>
    </row>
    <row r="14419" spans="1:1" x14ac:dyDescent="0.25">
      <c r="A14419" t="s">
        <v>13295</v>
      </c>
    </row>
    <row r="14420" spans="1:1" x14ac:dyDescent="0.25">
      <c r="A14420" t="s">
        <v>13296</v>
      </c>
    </row>
    <row r="14421" spans="1:1" x14ac:dyDescent="0.25">
      <c r="A14421" t="s">
        <v>13297</v>
      </c>
    </row>
    <row r="14422" spans="1:1" x14ac:dyDescent="0.25">
      <c r="A14422" t="s">
        <v>13298</v>
      </c>
    </row>
    <row r="14423" spans="1:1" x14ac:dyDescent="0.25">
      <c r="A14423" t="s">
        <v>13299</v>
      </c>
    </row>
    <row r="14424" spans="1:1" x14ac:dyDescent="0.25">
      <c r="A14424" t="s">
        <v>13300</v>
      </c>
    </row>
    <row r="14427" spans="1:1" x14ac:dyDescent="0.25">
      <c r="A14427" t="s">
        <v>13301</v>
      </c>
    </row>
    <row r="14428" spans="1:1" x14ac:dyDescent="0.25">
      <c r="A14428" t="s">
        <v>13302</v>
      </c>
    </row>
    <row r="14430" spans="1:1" x14ac:dyDescent="0.25">
      <c r="A14430" t="s">
        <v>13303</v>
      </c>
    </row>
    <row r="14431" spans="1:1" x14ac:dyDescent="0.25">
      <c r="A14431" t="s">
        <v>13304</v>
      </c>
    </row>
    <row r="14433" spans="1:1" x14ac:dyDescent="0.25">
      <c r="A14433" t="s">
        <v>4827</v>
      </c>
    </row>
    <row r="14434" spans="1:1" x14ac:dyDescent="0.25">
      <c r="A14434" t="s">
        <v>4828</v>
      </c>
    </row>
    <row r="14436" spans="1:1" x14ac:dyDescent="0.25">
      <c r="A14436" t="s">
        <v>13305</v>
      </c>
    </row>
    <row r="14437" spans="1:1" x14ac:dyDescent="0.25">
      <c r="A14437" t="s">
        <v>13306</v>
      </c>
    </row>
    <row r="14438" spans="1:1" x14ac:dyDescent="0.25">
      <c r="A14438" t="s">
        <v>13307</v>
      </c>
    </row>
    <row r="14439" spans="1:1" x14ac:dyDescent="0.25">
      <c r="A14439" t="s">
        <v>13308</v>
      </c>
    </row>
    <row r="14440" spans="1:1" x14ac:dyDescent="0.25">
      <c r="A14440" t="s">
        <v>13309</v>
      </c>
    </row>
    <row r="14441" spans="1:1" x14ac:dyDescent="0.25">
      <c r="A14441" t="s">
        <v>13310</v>
      </c>
    </row>
    <row r="14442" spans="1:1" x14ac:dyDescent="0.25">
      <c r="A14442" t="s">
        <v>13311</v>
      </c>
    </row>
    <row r="14443" spans="1:1" x14ac:dyDescent="0.25">
      <c r="A14443" t="s">
        <v>13312</v>
      </c>
    </row>
    <row r="14444" spans="1:1" x14ac:dyDescent="0.25">
      <c r="A14444" t="s">
        <v>13313</v>
      </c>
    </row>
    <row r="14445" spans="1:1" x14ac:dyDescent="0.25">
      <c r="A14445" t="s">
        <v>13314</v>
      </c>
    </row>
    <row r="14446" spans="1:1" x14ac:dyDescent="0.25">
      <c r="A14446" t="s">
        <v>13315</v>
      </c>
    </row>
    <row r="14447" spans="1:1" x14ac:dyDescent="0.25">
      <c r="A14447" t="s">
        <v>13316</v>
      </c>
    </row>
    <row r="14448" spans="1:1" x14ac:dyDescent="0.25">
      <c r="A14448" t="s">
        <v>12998</v>
      </c>
    </row>
    <row r="14450" spans="1:1" x14ac:dyDescent="0.25">
      <c r="A14450" t="s">
        <v>13317</v>
      </c>
    </row>
    <row r="14451" spans="1:1" x14ac:dyDescent="0.25">
      <c r="A14451" t="s">
        <v>13318</v>
      </c>
    </row>
    <row r="14452" spans="1:1" x14ac:dyDescent="0.25">
      <c r="A14452" t="s">
        <v>3285</v>
      </c>
    </row>
    <row r="14453" spans="1:1" x14ac:dyDescent="0.25">
      <c r="A14453" t="s">
        <v>13319</v>
      </c>
    </row>
    <row r="14454" spans="1:1" x14ac:dyDescent="0.25">
      <c r="A14454" t="s">
        <v>3287</v>
      </c>
    </row>
    <row r="14455" spans="1:1" x14ac:dyDescent="0.25">
      <c r="A14455" t="s">
        <v>3288</v>
      </c>
    </row>
    <row r="14456" spans="1:1" x14ac:dyDescent="0.25">
      <c r="A14456" t="s">
        <v>3289</v>
      </c>
    </row>
    <row r="14457" spans="1:1" x14ac:dyDescent="0.25">
      <c r="A14457" t="s">
        <v>13320</v>
      </c>
    </row>
    <row r="14458" spans="1:1" x14ac:dyDescent="0.25">
      <c r="A14458" t="s">
        <v>13321</v>
      </c>
    </row>
    <row r="14459" spans="1:1" x14ac:dyDescent="0.25">
      <c r="A14459" t="s">
        <v>13322</v>
      </c>
    </row>
    <row r="14460" spans="1:1" x14ac:dyDescent="0.25">
      <c r="A14460" t="s">
        <v>13323</v>
      </c>
    </row>
    <row r="14461" spans="1:1" x14ac:dyDescent="0.25">
      <c r="A14461" t="s">
        <v>13324</v>
      </c>
    </row>
    <row r="14462" spans="1:1" x14ac:dyDescent="0.25">
      <c r="A14462" t="s">
        <v>13325</v>
      </c>
    </row>
    <row r="14464" spans="1:1" x14ac:dyDescent="0.25">
      <c r="A14464" t="s">
        <v>13326</v>
      </c>
    </row>
    <row r="14465" spans="1:1" x14ac:dyDescent="0.25">
      <c r="A14465" t="s">
        <v>13327</v>
      </c>
    </row>
    <row r="14466" spans="1:1" x14ac:dyDescent="0.25">
      <c r="A14466" t="s">
        <v>13328</v>
      </c>
    </row>
    <row r="14467" spans="1:1" x14ac:dyDescent="0.25">
      <c r="A14467" t="s">
        <v>13329</v>
      </c>
    </row>
    <row r="14468" spans="1:1" x14ac:dyDescent="0.25">
      <c r="A14468" t="s">
        <v>13330</v>
      </c>
    </row>
    <row r="14469" spans="1:1" x14ac:dyDescent="0.25">
      <c r="A14469" t="s">
        <v>13331</v>
      </c>
    </row>
    <row r="14470" spans="1:1" x14ac:dyDescent="0.25">
      <c r="A14470" t="s">
        <v>13332</v>
      </c>
    </row>
    <row r="14471" spans="1:1" x14ac:dyDescent="0.25">
      <c r="A14471" t="s">
        <v>13333</v>
      </c>
    </row>
    <row r="14472" spans="1:1" x14ac:dyDescent="0.25">
      <c r="A14472" t="s">
        <v>13334</v>
      </c>
    </row>
    <row r="14474" spans="1:1" x14ac:dyDescent="0.25">
      <c r="A14474" t="s">
        <v>13335</v>
      </c>
    </row>
    <row r="14475" spans="1:1" x14ac:dyDescent="0.25">
      <c r="A14475" t="s">
        <v>13336</v>
      </c>
    </row>
    <row r="14476" spans="1:1" x14ac:dyDescent="0.25">
      <c r="A14476" t="s">
        <v>13337</v>
      </c>
    </row>
    <row r="14477" spans="1:1" x14ac:dyDescent="0.25">
      <c r="A14477" t="s">
        <v>13338</v>
      </c>
    </row>
    <row r="14478" spans="1:1" x14ac:dyDescent="0.25">
      <c r="A14478" t="s">
        <v>13339</v>
      </c>
    </row>
    <row r="14479" spans="1:1" x14ac:dyDescent="0.25">
      <c r="A14479" t="s">
        <v>13340</v>
      </c>
    </row>
    <row r="14480" spans="1:1" x14ac:dyDescent="0.25">
      <c r="A14480" t="s">
        <v>13341</v>
      </c>
    </row>
    <row r="14481" spans="1:1" x14ac:dyDescent="0.25">
      <c r="A14481" t="s">
        <v>13342</v>
      </c>
    </row>
    <row r="14482" spans="1:1" x14ac:dyDescent="0.25">
      <c r="A14482" t="s">
        <v>13343</v>
      </c>
    </row>
    <row r="14484" spans="1:1" x14ac:dyDescent="0.25">
      <c r="A14484" t="s">
        <v>13344</v>
      </c>
    </row>
    <row r="14485" spans="1:1" x14ac:dyDescent="0.25">
      <c r="A14485" t="s">
        <v>13345</v>
      </c>
    </row>
    <row r="14486" spans="1:1" x14ac:dyDescent="0.25">
      <c r="A14486" t="s">
        <v>13346</v>
      </c>
    </row>
    <row r="14487" spans="1:1" x14ac:dyDescent="0.25">
      <c r="A14487" t="s">
        <v>13347</v>
      </c>
    </row>
    <row r="14488" spans="1:1" x14ac:dyDescent="0.25">
      <c r="A14488" t="s">
        <v>13348</v>
      </c>
    </row>
    <row r="14489" spans="1:1" x14ac:dyDescent="0.25">
      <c r="A14489" t="s">
        <v>13349</v>
      </c>
    </row>
    <row r="14490" spans="1:1" x14ac:dyDescent="0.25">
      <c r="A14490" t="s">
        <v>13350</v>
      </c>
    </row>
    <row r="14491" spans="1:1" x14ac:dyDescent="0.25">
      <c r="A14491" t="s">
        <v>13351</v>
      </c>
    </row>
    <row r="14492" spans="1:1" x14ac:dyDescent="0.25">
      <c r="A14492" t="s">
        <v>13352</v>
      </c>
    </row>
    <row r="14493" spans="1:1" x14ac:dyDescent="0.25">
      <c r="A14493" t="s">
        <v>13353</v>
      </c>
    </row>
    <row r="14494" spans="1:1" x14ac:dyDescent="0.25">
      <c r="A14494" t="s">
        <v>13354</v>
      </c>
    </row>
    <row r="14495" spans="1:1" x14ac:dyDescent="0.25">
      <c r="A14495" t="s">
        <v>13355</v>
      </c>
    </row>
    <row r="14496" spans="1:1" x14ac:dyDescent="0.25">
      <c r="A14496" t="s">
        <v>9150</v>
      </c>
    </row>
    <row r="14498" spans="1:1" x14ac:dyDescent="0.25">
      <c r="A14498" t="s">
        <v>13356</v>
      </c>
    </row>
    <row r="14499" spans="1:1" x14ac:dyDescent="0.25">
      <c r="A14499" t="s">
        <v>13357</v>
      </c>
    </row>
    <row r="14500" spans="1:1" x14ac:dyDescent="0.25">
      <c r="A14500" t="s">
        <v>13358</v>
      </c>
    </row>
    <row r="14501" spans="1:1" x14ac:dyDescent="0.25">
      <c r="A14501" t="s">
        <v>13359</v>
      </c>
    </row>
    <row r="14502" spans="1:1" x14ac:dyDescent="0.25">
      <c r="A14502" t="s">
        <v>13360</v>
      </c>
    </row>
    <row r="14503" spans="1:1" x14ac:dyDescent="0.25">
      <c r="A14503" t="s">
        <v>13361</v>
      </c>
    </row>
    <row r="14504" spans="1:1" x14ac:dyDescent="0.25">
      <c r="A14504" t="s">
        <v>13362</v>
      </c>
    </row>
    <row r="14505" spans="1:1" x14ac:dyDescent="0.25">
      <c r="A14505" t="s">
        <v>13363</v>
      </c>
    </row>
    <row r="14506" spans="1:1" x14ac:dyDescent="0.25">
      <c r="A14506" t="s">
        <v>13364</v>
      </c>
    </row>
    <row r="14507" spans="1:1" x14ac:dyDescent="0.25">
      <c r="A14507" t="s">
        <v>13365</v>
      </c>
    </row>
    <row r="14508" spans="1:1" x14ac:dyDescent="0.25">
      <c r="A14508" t="s">
        <v>13366</v>
      </c>
    </row>
    <row r="14509" spans="1:1" x14ac:dyDescent="0.25">
      <c r="A14509" t="s">
        <v>13367</v>
      </c>
    </row>
    <row r="14510" spans="1:1" x14ac:dyDescent="0.25">
      <c r="A14510" t="s">
        <v>13368</v>
      </c>
    </row>
    <row r="14511" spans="1:1" x14ac:dyDescent="0.25">
      <c r="A14511" t="s">
        <v>13369</v>
      </c>
    </row>
    <row r="14512" spans="1:1" x14ac:dyDescent="0.25">
      <c r="A14512" t="s">
        <v>3731</v>
      </c>
    </row>
    <row r="14513" spans="1:2" x14ac:dyDescent="0.25">
      <c r="A14513" t="s">
        <v>13370</v>
      </c>
    </row>
    <row r="14514" spans="1:2" x14ac:dyDescent="0.25">
      <c r="A14514" t="s">
        <v>13371</v>
      </c>
    </row>
    <row r="14515" spans="1:2" x14ac:dyDescent="0.25">
      <c r="A14515" t="s">
        <v>13372</v>
      </c>
    </row>
    <row r="14516" spans="1:2" x14ac:dyDescent="0.25">
      <c r="A14516" t="s">
        <v>13373</v>
      </c>
    </row>
    <row r="14518" spans="1:2" x14ac:dyDescent="0.25">
      <c r="A14518" t="s">
        <v>13374</v>
      </c>
    </row>
    <row r="14519" spans="1:2" x14ac:dyDescent="0.25">
      <c r="A14519" t="s">
        <v>13375</v>
      </c>
    </row>
    <row r="14520" spans="1:2" x14ac:dyDescent="0.25">
      <c r="A14520" t="s">
        <v>13376</v>
      </c>
    </row>
    <row r="14521" spans="1:2" x14ac:dyDescent="0.25">
      <c r="A14521" t="s">
        <v>10711</v>
      </c>
    </row>
    <row r="14522" spans="1:2" x14ac:dyDescent="0.25">
      <c r="A14522" t="s">
        <v>13377</v>
      </c>
    </row>
    <row r="14523" spans="1:2" x14ac:dyDescent="0.25">
      <c r="A14523" t="s">
        <v>13378</v>
      </c>
    </row>
    <row r="14524" spans="1:2" x14ac:dyDescent="0.25">
      <c r="A14524" t="s">
        <v>13379</v>
      </c>
    </row>
    <row r="14525" spans="1:2" x14ac:dyDescent="0.25">
      <c r="A14525" t="s">
        <v>13380</v>
      </c>
    </row>
    <row r="14526" spans="1:2" x14ac:dyDescent="0.25">
      <c r="A14526" t="s">
        <v>6676</v>
      </c>
    </row>
    <row r="14527" spans="1:2" x14ac:dyDescent="0.25">
      <c r="A14527" t="s">
        <v>13381</v>
      </c>
    </row>
    <row r="14528" spans="1:2" x14ac:dyDescent="0.25">
      <c r="A14528" t="s">
        <v>13382</v>
      </c>
      <c r="B14528" t="s">
        <v>13383</v>
      </c>
    </row>
    <row r="14529" spans="1:1" x14ac:dyDescent="0.25">
      <c r="A14529" t="s">
        <v>13384</v>
      </c>
    </row>
    <row r="14530" spans="1:1" x14ac:dyDescent="0.25">
      <c r="A14530" t="s">
        <v>13385</v>
      </c>
    </row>
    <row r="14531" spans="1:1" x14ac:dyDescent="0.25">
      <c r="A14531" t="s">
        <v>13386</v>
      </c>
    </row>
    <row r="14532" spans="1:1" x14ac:dyDescent="0.25">
      <c r="A14532" t="s">
        <v>13387</v>
      </c>
    </row>
    <row r="14533" spans="1:1" x14ac:dyDescent="0.25">
      <c r="A14533" t="s">
        <v>6705</v>
      </c>
    </row>
    <row r="14534" spans="1:1" x14ac:dyDescent="0.25">
      <c r="A14534" t="s">
        <v>13388</v>
      </c>
    </row>
    <row r="14535" spans="1:1" x14ac:dyDescent="0.25">
      <c r="A14535" t="s">
        <v>13389</v>
      </c>
    </row>
    <row r="14536" spans="1:1" x14ac:dyDescent="0.25">
      <c r="A14536" t="s">
        <v>13390</v>
      </c>
    </row>
    <row r="14537" spans="1:1" x14ac:dyDescent="0.25">
      <c r="A14537" t="s">
        <v>13391</v>
      </c>
    </row>
    <row r="14538" spans="1:1" x14ac:dyDescent="0.25">
      <c r="A14538" t="s">
        <v>13392</v>
      </c>
    </row>
    <row r="14539" spans="1:1" x14ac:dyDescent="0.25">
      <c r="A14539" t="s">
        <v>13393</v>
      </c>
    </row>
    <row r="14540" spans="1:1" x14ac:dyDescent="0.25">
      <c r="A14540" t="s">
        <v>3555</v>
      </c>
    </row>
    <row r="14541" spans="1:1" x14ac:dyDescent="0.25">
      <c r="A14541" t="s">
        <v>13394</v>
      </c>
    </row>
    <row r="14542" spans="1:1" x14ac:dyDescent="0.25">
      <c r="A14542" t="s">
        <v>13395</v>
      </c>
    </row>
    <row r="14543" spans="1:1" x14ac:dyDescent="0.25">
      <c r="A14543" t="s">
        <v>13396</v>
      </c>
    </row>
    <row r="14544" spans="1:1" x14ac:dyDescent="0.25">
      <c r="A14544" t="s">
        <v>13397</v>
      </c>
    </row>
    <row r="14545" spans="1:1" x14ac:dyDescent="0.25">
      <c r="A14545" t="s">
        <v>13398</v>
      </c>
    </row>
    <row r="14546" spans="1:1" x14ac:dyDescent="0.25">
      <c r="A14546" t="s">
        <v>13399</v>
      </c>
    </row>
    <row r="14547" spans="1:1" x14ac:dyDescent="0.25">
      <c r="A14547" t="s">
        <v>2726</v>
      </c>
    </row>
    <row r="14548" spans="1:1" x14ac:dyDescent="0.25">
      <c r="A14548" t="s">
        <v>13400</v>
      </c>
    </row>
    <row r="14549" spans="1:1" x14ac:dyDescent="0.25">
      <c r="A14549" t="s">
        <v>13401</v>
      </c>
    </row>
    <row r="14550" spans="1:1" x14ac:dyDescent="0.25">
      <c r="A14550" t="s">
        <v>13402</v>
      </c>
    </row>
    <row r="14551" spans="1:1" x14ac:dyDescent="0.25">
      <c r="A14551">
        <v>984874120</v>
      </c>
    </row>
    <row r="14552" spans="1:1" x14ac:dyDescent="0.25">
      <c r="A14552" t="s">
        <v>1563</v>
      </c>
    </row>
    <row r="14553" spans="1:1" x14ac:dyDescent="0.25">
      <c r="A14553" t="s">
        <v>3815</v>
      </c>
    </row>
    <row r="14554" spans="1:1" x14ac:dyDescent="0.25">
      <c r="A14554" t="s">
        <v>13403</v>
      </c>
    </row>
    <row r="14555" spans="1:1" x14ac:dyDescent="0.25">
      <c r="A14555" t="s">
        <v>13404</v>
      </c>
    </row>
    <row r="14556" spans="1:1" x14ac:dyDescent="0.25">
      <c r="A14556" t="s">
        <v>13405</v>
      </c>
    </row>
    <row r="14557" spans="1:1" x14ac:dyDescent="0.25">
      <c r="A14557" t="s">
        <v>7984</v>
      </c>
    </row>
    <row r="14558" spans="1:1" x14ac:dyDescent="0.25">
      <c r="A14558" t="s">
        <v>13406</v>
      </c>
    </row>
    <row r="14559" spans="1:1" x14ac:dyDescent="0.25">
      <c r="A14559" t="s">
        <v>13407</v>
      </c>
    </row>
    <row r="14560" spans="1:1" x14ac:dyDescent="0.25">
      <c r="A14560" t="s">
        <v>13408</v>
      </c>
    </row>
    <row r="14561" spans="1:2" x14ac:dyDescent="0.25">
      <c r="A14561" t="s">
        <v>13409</v>
      </c>
    </row>
    <row r="14564" spans="1:2" x14ac:dyDescent="0.25">
      <c r="A14564" t="s">
        <v>13410</v>
      </c>
    </row>
    <row r="14565" spans="1:2" x14ac:dyDescent="0.25">
      <c r="A14565" t="s">
        <v>13411</v>
      </c>
    </row>
    <row r="14566" spans="1:2" x14ac:dyDescent="0.25">
      <c r="A14566" t="s">
        <v>11554</v>
      </c>
    </row>
    <row r="14567" spans="1:2" x14ac:dyDescent="0.25">
      <c r="A14567" t="s">
        <v>3555</v>
      </c>
    </row>
    <row r="14568" spans="1:2" x14ac:dyDescent="0.25">
      <c r="A14568" t="s">
        <v>13412</v>
      </c>
    </row>
    <row r="14569" spans="1:2" x14ac:dyDescent="0.25">
      <c r="A14569" t="s">
        <v>13413</v>
      </c>
    </row>
    <row r="14570" spans="1:2" x14ac:dyDescent="0.25">
      <c r="A14570" t="s">
        <v>13414</v>
      </c>
    </row>
    <row r="14571" spans="1:2" x14ac:dyDescent="0.25">
      <c r="A14571" t="s">
        <v>13415</v>
      </c>
      <c r="B14571" t="s">
        <v>1317</v>
      </c>
    </row>
    <row r="14572" spans="1:2" x14ac:dyDescent="0.25">
      <c r="A14572" t="s">
        <v>13416</v>
      </c>
    </row>
    <row r="14573" spans="1:2" x14ac:dyDescent="0.25">
      <c r="A14573" t="s">
        <v>13417</v>
      </c>
      <c r="B14573" t="s">
        <v>1317</v>
      </c>
    </row>
    <row r="14574" spans="1:2" x14ac:dyDescent="0.25">
      <c r="A14574" t="s">
        <v>13417</v>
      </c>
    </row>
    <row r="14575" spans="1:2" x14ac:dyDescent="0.25">
      <c r="A14575" t="s">
        <v>13418</v>
      </c>
      <c r="B14575" t="s">
        <v>1317</v>
      </c>
    </row>
    <row r="14576" spans="1:2" x14ac:dyDescent="0.25">
      <c r="A14576" t="s">
        <v>13418</v>
      </c>
      <c r="B14576" t="s">
        <v>1317</v>
      </c>
    </row>
    <row r="14577" spans="1:1" x14ac:dyDescent="0.25">
      <c r="A14577" t="s">
        <v>1278</v>
      </c>
    </row>
    <row r="14578" spans="1:1" x14ac:dyDescent="0.25">
      <c r="A14578" t="s">
        <v>13419</v>
      </c>
    </row>
    <row r="14579" spans="1:1" x14ac:dyDescent="0.25">
      <c r="A14579" t="s">
        <v>3718</v>
      </c>
    </row>
    <row r="14580" spans="1:1" x14ac:dyDescent="0.25">
      <c r="A14580" t="s">
        <v>13420</v>
      </c>
    </row>
    <row r="14581" spans="1:1" x14ac:dyDescent="0.25">
      <c r="A14581" t="s">
        <v>13421</v>
      </c>
    </row>
    <row r="14582" spans="1:1" x14ac:dyDescent="0.25">
      <c r="A14582" t="s">
        <v>13422</v>
      </c>
    </row>
    <row r="14583" spans="1:1" x14ac:dyDescent="0.25">
      <c r="A14583" t="s">
        <v>13423</v>
      </c>
    </row>
    <row r="14584" spans="1:1" x14ac:dyDescent="0.25">
      <c r="A14584" t="s">
        <v>13424</v>
      </c>
    </row>
    <row r="14585" spans="1:1" x14ac:dyDescent="0.25">
      <c r="A14585" t="s">
        <v>13425</v>
      </c>
    </row>
    <row r="14586" spans="1:1" x14ac:dyDescent="0.25">
      <c r="A14586" t="s">
        <v>13426</v>
      </c>
    </row>
    <row r="14587" spans="1:1" x14ac:dyDescent="0.25">
      <c r="A14587" t="s">
        <v>13427</v>
      </c>
    </row>
    <row r="14588" spans="1:1" x14ac:dyDescent="0.25">
      <c r="A14588" t="s">
        <v>13428</v>
      </c>
    </row>
    <row r="14589" spans="1:1" x14ac:dyDescent="0.25">
      <c r="A14589" t="s">
        <v>13429</v>
      </c>
    </row>
    <row r="14590" spans="1:1" x14ac:dyDescent="0.25">
      <c r="A14590" t="s">
        <v>13430</v>
      </c>
    </row>
    <row r="14591" spans="1:1" x14ac:dyDescent="0.25">
      <c r="A14591" t="s">
        <v>13431</v>
      </c>
    </row>
    <row r="14592" spans="1:1" x14ac:dyDescent="0.25">
      <c r="A14592" t="s">
        <v>13432</v>
      </c>
    </row>
    <row r="14593" spans="1:1" x14ac:dyDescent="0.25">
      <c r="A14593" t="s">
        <v>13433</v>
      </c>
    </row>
    <row r="14594" spans="1:1" x14ac:dyDescent="0.25">
      <c r="A14594" t="s">
        <v>13434</v>
      </c>
    </row>
    <row r="14595" spans="1:1" x14ac:dyDescent="0.25">
      <c r="A14595" t="s">
        <v>13435</v>
      </c>
    </row>
    <row r="14596" spans="1:1" x14ac:dyDescent="0.25">
      <c r="A14596" t="s">
        <v>13436</v>
      </c>
    </row>
    <row r="14597" spans="1:1" x14ac:dyDescent="0.25">
      <c r="A14597" t="s">
        <v>13437</v>
      </c>
    </row>
    <row r="14598" spans="1:1" x14ac:dyDescent="0.25">
      <c r="A14598" t="s">
        <v>7877</v>
      </c>
    </row>
    <row r="14599" spans="1:1" x14ac:dyDescent="0.25">
      <c r="A14599" t="s">
        <v>13438</v>
      </c>
    </row>
    <row r="14600" spans="1:1" x14ac:dyDescent="0.25">
      <c r="A14600" t="s">
        <v>13439</v>
      </c>
    </row>
    <row r="14601" spans="1:1" x14ac:dyDescent="0.25">
      <c r="A14601" t="s">
        <v>13440</v>
      </c>
    </row>
    <row r="14602" spans="1:1" x14ac:dyDescent="0.25">
      <c r="A14602" t="s">
        <v>1563</v>
      </c>
    </row>
    <row r="14603" spans="1:1" x14ac:dyDescent="0.25">
      <c r="A14603" t="s">
        <v>13441</v>
      </c>
    </row>
    <row r="14604" spans="1:1" x14ac:dyDescent="0.25">
      <c r="A14604" t="s">
        <v>13442</v>
      </c>
    </row>
    <row r="14605" spans="1:1" x14ac:dyDescent="0.25">
      <c r="A14605" t="s">
        <v>13443</v>
      </c>
    </row>
    <row r="14606" spans="1:1" x14ac:dyDescent="0.25">
      <c r="A14606" t="s">
        <v>13444</v>
      </c>
    </row>
    <row r="14607" spans="1:1" x14ac:dyDescent="0.25">
      <c r="A14607" t="s">
        <v>7984</v>
      </c>
    </row>
    <row r="14608" spans="1:1" x14ac:dyDescent="0.25">
      <c r="A14608" t="s">
        <v>13445</v>
      </c>
    </row>
    <row r="14609" spans="1:1" x14ac:dyDescent="0.25">
      <c r="A14609" t="s">
        <v>1463</v>
      </c>
    </row>
    <row r="14610" spans="1:1" x14ac:dyDescent="0.25">
      <c r="A14610" t="s">
        <v>13446</v>
      </c>
    </row>
    <row r="14611" spans="1:1" x14ac:dyDescent="0.25">
      <c r="A14611" t="s">
        <v>13447</v>
      </c>
    </row>
    <row r="14612" spans="1:1" x14ac:dyDescent="0.25">
      <c r="A14612" t="s">
        <v>13448</v>
      </c>
    </row>
    <row r="14613" spans="1:1" x14ac:dyDescent="0.25">
      <c r="A14613" t="s">
        <v>13449</v>
      </c>
    </row>
    <row r="14614" spans="1:1" x14ac:dyDescent="0.25">
      <c r="A14614" t="s">
        <v>13450</v>
      </c>
    </row>
    <row r="14615" spans="1:1" x14ac:dyDescent="0.25">
      <c r="A14615" t="s">
        <v>13451</v>
      </c>
    </row>
    <row r="14616" spans="1:1" x14ac:dyDescent="0.25">
      <c r="A14616" t="s">
        <v>8149</v>
      </c>
    </row>
    <row r="14617" spans="1:1" x14ac:dyDescent="0.25">
      <c r="A14617" t="s">
        <v>13452</v>
      </c>
    </row>
    <row r="14618" spans="1:1" x14ac:dyDescent="0.25">
      <c r="A14618" t="s">
        <v>3501</v>
      </c>
    </row>
    <row r="14619" spans="1:1" x14ac:dyDescent="0.25">
      <c r="A14619" t="s">
        <v>13453</v>
      </c>
    </row>
    <row r="14620" spans="1:1" x14ac:dyDescent="0.25">
      <c r="A14620" t="s">
        <v>13454</v>
      </c>
    </row>
    <row r="14621" spans="1:1" x14ac:dyDescent="0.25">
      <c r="A14621" t="s">
        <v>10667</v>
      </c>
    </row>
    <row r="14622" spans="1:1" x14ac:dyDescent="0.25">
      <c r="A14622" t="s">
        <v>8904</v>
      </c>
    </row>
    <row r="14623" spans="1:1" x14ac:dyDescent="0.25">
      <c r="A14623" t="s">
        <v>150</v>
      </c>
    </row>
    <row r="14624" spans="1:1" x14ac:dyDescent="0.25">
      <c r="A14624" t="s">
        <v>9135</v>
      </c>
    </row>
    <row r="14625" spans="1:1" x14ac:dyDescent="0.25">
      <c r="A14625" t="s">
        <v>13455</v>
      </c>
    </row>
    <row r="14626" spans="1:1" x14ac:dyDescent="0.25">
      <c r="A14626" t="s">
        <v>13456</v>
      </c>
    </row>
    <row r="14627" spans="1:1" x14ac:dyDescent="0.25">
      <c r="A14627" t="s">
        <v>13457</v>
      </c>
    </row>
    <row r="14628" spans="1:1" x14ac:dyDescent="0.25">
      <c r="A14628" t="s">
        <v>13458</v>
      </c>
    </row>
    <row r="14629" spans="1:1" x14ac:dyDescent="0.25">
      <c r="A14629" t="s">
        <v>13459</v>
      </c>
    </row>
    <row r="14630" spans="1:1" x14ac:dyDescent="0.25">
      <c r="A14630" t="s">
        <v>13460</v>
      </c>
    </row>
    <row r="14631" spans="1:1" x14ac:dyDescent="0.25">
      <c r="A14631" t="s">
        <v>13461</v>
      </c>
    </row>
    <row r="14632" spans="1:1" x14ac:dyDescent="0.25">
      <c r="A14632" t="s">
        <v>13462</v>
      </c>
    </row>
    <row r="14633" spans="1:1" x14ac:dyDescent="0.25">
      <c r="A14633" t="s">
        <v>13463</v>
      </c>
    </row>
    <row r="14634" spans="1:1" x14ac:dyDescent="0.25">
      <c r="A14634" t="s">
        <v>13464</v>
      </c>
    </row>
    <row r="14635" spans="1:1" x14ac:dyDescent="0.25">
      <c r="A14635" t="s">
        <v>13465</v>
      </c>
    </row>
    <row r="14636" spans="1:1" x14ac:dyDescent="0.25">
      <c r="A14636" t="s">
        <v>13466</v>
      </c>
    </row>
    <row r="14637" spans="1:1" x14ac:dyDescent="0.25">
      <c r="A14637" t="s">
        <v>13467</v>
      </c>
    </row>
    <row r="14638" spans="1:1" x14ac:dyDescent="0.25">
      <c r="A14638" t="s">
        <v>13468</v>
      </c>
    </row>
    <row r="14639" spans="1:1" x14ac:dyDescent="0.25">
      <c r="A14639" t="s">
        <v>13469</v>
      </c>
    </row>
    <row r="14640" spans="1:1" x14ac:dyDescent="0.25">
      <c r="A14640" t="s">
        <v>13470</v>
      </c>
    </row>
    <row r="14641" spans="1:1" x14ac:dyDescent="0.25">
      <c r="A14641" t="s">
        <v>13471</v>
      </c>
    </row>
    <row r="14642" spans="1:1" x14ac:dyDescent="0.25">
      <c r="A14642" t="s">
        <v>13472</v>
      </c>
    </row>
    <row r="14643" spans="1:1" x14ac:dyDescent="0.25">
      <c r="A14643" t="s">
        <v>13473</v>
      </c>
    </row>
    <row r="14644" spans="1:1" x14ac:dyDescent="0.25">
      <c r="A14644" t="s">
        <v>13474</v>
      </c>
    </row>
    <row r="14645" spans="1:1" x14ac:dyDescent="0.25">
      <c r="A14645" t="s">
        <v>13475</v>
      </c>
    </row>
    <row r="14647" spans="1:1" x14ac:dyDescent="0.25">
      <c r="A14647" t="s">
        <v>13476</v>
      </c>
    </row>
    <row r="14648" spans="1:1" x14ac:dyDescent="0.25">
      <c r="A14648" t="s">
        <v>13477</v>
      </c>
    </row>
    <row r="14649" spans="1:1" x14ac:dyDescent="0.25">
      <c r="A14649" t="s">
        <v>13478</v>
      </c>
    </row>
    <row r="14650" spans="1:1" x14ac:dyDescent="0.25">
      <c r="A14650" t="s">
        <v>13479</v>
      </c>
    </row>
    <row r="14651" spans="1:1" x14ac:dyDescent="0.25">
      <c r="A14651" t="s">
        <v>13480</v>
      </c>
    </row>
    <row r="14652" spans="1:1" x14ac:dyDescent="0.25">
      <c r="A14652" t="s">
        <v>13481</v>
      </c>
    </row>
    <row r="14653" spans="1:1" x14ac:dyDescent="0.25">
      <c r="A14653" t="s">
        <v>13482</v>
      </c>
    </row>
    <row r="14654" spans="1:1" x14ac:dyDescent="0.25">
      <c r="A14654" t="s">
        <v>13483</v>
      </c>
    </row>
    <row r="14655" spans="1:1" x14ac:dyDescent="0.25">
      <c r="A14655" t="s">
        <v>13484</v>
      </c>
    </row>
    <row r="14656" spans="1:1" x14ac:dyDescent="0.25">
      <c r="A14656" t="s">
        <v>13485</v>
      </c>
    </row>
    <row r="14657" spans="1:3" x14ac:dyDescent="0.25">
      <c r="A14657" t="s">
        <v>13486</v>
      </c>
    </row>
    <row r="14658" spans="1:3" x14ac:dyDescent="0.25">
      <c r="A14658" t="s">
        <v>13487</v>
      </c>
    </row>
    <row r="14659" spans="1:3" x14ac:dyDescent="0.25">
      <c r="A14659" t="s">
        <v>13488</v>
      </c>
    </row>
    <row r="14660" spans="1:3" x14ac:dyDescent="0.25">
      <c r="A14660" t="s">
        <v>13489</v>
      </c>
    </row>
    <row r="14661" spans="1:3" x14ac:dyDescent="0.25">
      <c r="A14661" t="s">
        <v>13490</v>
      </c>
    </row>
    <row r="14662" spans="1:3" x14ac:dyDescent="0.25">
      <c r="A14662" t="s">
        <v>13491</v>
      </c>
    </row>
    <row r="14663" spans="1:3" x14ac:dyDescent="0.25">
      <c r="A14663" t="s">
        <v>13492</v>
      </c>
    </row>
    <row r="14664" spans="1:3" x14ac:dyDescent="0.25">
      <c r="A14664" t="s">
        <v>13493</v>
      </c>
    </row>
    <row r="14665" spans="1:3" x14ac:dyDescent="0.25">
      <c r="A14665" t="s">
        <v>13494</v>
      </c>
    </row>
    <row r="14666" spans="1:3" x14ac:dyDescent="0.25">
      <c r="A14666" t="s">
        <v>1563</v>
      </c>
    </row>
    <row r="14667" spans="1:3" x14ac:dyDescent="0.25">
      <c r="A14667" t="s">
        <v>13495</v>
      </c>
    </row>
    <row r="14668" spans="1:3" x14ac:dyDescent="0.25">
      <c r="A14668" t="s">
        <v>1984</v>
      </c>
    </row>
    <row r="14669" spans="1:3" x14ac:dyDescent="0.25">
      <c r="A14669" t="s">
        <v>13496</v>
      </c>
    </row>
    <row r="14670" spans="1:3" x14ac:dyDescent="0.25">
      <c r="A14670" t="s">
        <v>13497</v>
      </c>
    </row>
    <row r="14672" spans="1:3" x14ac:dyDescent="0.25">
      <c r="A14672" t="s">
        <v>1505</v>
      </c>
      <c r="B14672" t="s">
        <v>1506</v>
      </c>
      <c r="C14672" t="s">
        <v>1507</v>
      </c>
    </row>
    <row r="14673" spans="1:3" x14ac:dyDescent="0.25">
      <c r="A14673" t="s">
        <v>1509</v>
      </c>
      <c r="B14673">
        <v>17.16</v>
      </c>
      <c r="C14673" s="55">
        <v>42496</v>
      </c>
    </row>
    <row r="14674" spans="1:3" x14ac:dyDescent="0.25">
      <c r="A14674" t="s">
        <v>13498</v>
      </c>
    </row>
    <row r="14676" spans="1:3" x14ac:dyDescent="0.25">
      <c r="A14676" t="s">
        <v>13499</v>
      </c>
    </row>
    <row r="14677" spans="1:3" x14ac:dyDescent="0.25">
      <c r="A14677" t="s">
        <v>13500</v>
      </c>
    </row>
    <row r="14678" spans="1:3" x14ac:dyDescent="0.25">
      <c r="A14678" t="s">
        <v>13501</v>
      </c>
    </row>
    <row r="14679" spans="1:3" x14ac:dyDescent="0.25">
      <c r="A14679" t="s">
        <v>13502</v>
      </c>
    </row>
    <row r="14680" spans="1:3" x14ac:dyDescent="0.25">
      <c r="A14680" t="s">
        <v>13503</v>
      </c>
    </row>
    <row r="14681" spans="1:3" x14ac:dyDescent="0.25">
      <c r="A14681" t="s">
        <v>13504</v>
      </c>
    </row>
    <row r="14682" spans="1:3" x14ac:dyDescent="0.25">
      <c r="A14682" t="s">
        <v>13413</v>
      </c>
    </row>
    <row r="14683" spans="1:3" x14ac:dyDescent="0.25">
      <c r="A14683" t="s">
        <v>3721</v>
      </c>
    </row>
    <row r="14684" spans="1:3" x14ac:dyDescent="0.25">
      <c r="A14684" t="s">
        <v>7493</v>
      </c>
    </row>
    <row r="14685" spans="1:3" x14ac:dyDescent="0.25">
      <c r="A14685" t="s">
        <v>13505</v>
      </c>
    </row>
    <row r="14686" spans="1:3" x14ac:dyDescent="0.25">
      <c r="A14686" t="s">
        <v>13506</v>
      </c>
    </row>
    <row r="14687" spans="1:3" x14ac:dyDescent="0.25">
      <c r="A14687" t="s">
        <v>13507</v>
      </c>
    </row>
    <row r="14688" spans="1:3" x14ac:dyDescent="0.25">
      <c r="A14688" t="s">
        <v>13508</v>
      </c>
    </row>
    <row r="14689" spans="1:1" x14ac:dyDescent="0.25">
      <c r="A14689" t="s">
        <v>13509</v>
      </c>
    </row>
    <row r="14690" spans="1:1" x14ac:dyDescent="0.25">
      <c r="A14690" t="s">
        <v>13510</v>
      </c>
    </row>
    <row r="14691" spans="1:1" x14ac:dyDescent="0.25">
      <c r="A14691" t="s">
        <v>13511</v>
      </c>
    </row>
    <row r="14692" spans="1:1" x14ac:dyDescent="0.25">
      <c r="A14692" t="s">
        <v>13512</v>
      </c>
    </row>
    <row r="14693" spans="1:1" x14ac:dyDescent="0.25">
      <c r="A14693" t="s">
        <v>13513</v>
      </c>
    </row>
    <row r="14694" spans="1:1" x14ac:dyDescent="0.25">
      <c r="A14694" t="s">
        <v>13514</v>
      </c>
    </row>
    <row r="14695" spans="1:1" x14ac:dyDescent="0.25">
      <c r="A14695" t="s">
        <v>13515</v>
      </c>
    </row>
    <row r="14696" spans="1:1" x14ac:dyDescent="0.25">
      <c r="A14696" t="s">
        <v>13516</v>
      </c>
    </row>
    <row r="14697" spans="1:1" x14ac:dyDescent="0.25">
      <c r="A14697" t="s">
        <v>13517</v>
      </c>
    </row>
    <row r="14698" spans="1:1" x14ac:dyDescent="0.25">
      <c r="A14698" t="s">
        <v>13518</v>
      </c>
    </row>
    <row r="14700" spans="1:1" x14ac:dyDescent="0.25">
      <c r="A14700" t="s">
        <v>13519</v>
      </c>
    </row>
    <row r="14704" spans="1:1" x14ac:dyDescent="0.25">
      <c r="A14704" t="s">
        <v>13520</v>
      </c>
    </row>
    <row r="14705" spans="1:1" x14ac:dyDescent="0.25">
      <c r="A14705" t="s">
        <v>13521</v>
      </c>
    </row>
    <row r="14706" spans="1:1" x14ac:dyDescent="0.25">
      <c r="A14706" t="s">
        <v>13522</v>
      </c>
    </row>
    <row r="14707" spans="1:1" x14ac:dyDescent="0.25">
      <c r="A14707" t="s">
        <v>13523</v>
      </c>
    </row>
    <row r="14708" spans="1:1" x14ac:dyDescent="0.25">
      <c r="A14708" t="s">
        <v>13524</v>
      </c>
    </row>
    <row r="14710" spans="1:1" x14ac:dyDescent="0.25">
      <c r="A14710" t="s">
        <v>13525</v>
      </c>
    </row>
    <row r="14711" spans="1:1" x14ac:dyDescent="0.25">
      <c r="A14711" t="s">
        <v>13526</v>
      </c>
    </row>
    <row r="14712" spans="1:1" x14ac:dyDescent="0.25">
      <c r="A14712" t="s">
        <v>13527</v>
      </c>
    </row>
    <row r="14713" spans="1:1" x14ac:dyDescent="0.25">
      <c r="A14713" t="s">
        <v>13528</v>
      </c>
    </row>
    <row r="14714" spans="1:1" x14ac:dyDescent="0.25">
      <c r="A14714" t="s">
        <v>13529</v>
      </c>
    </row>
    <row r="14715" spans="1:1" x14ac:dyDescent="0.25">
      <c r="A14715" t="s">
        <v>13530</v>
      </c>
    </row>
    <row r="14716" spans="1:1" x14ac:dyDescent="0.25">
      <c r="A14716" t="s">
        <v>13531</v>
      </c>
    </row>
    <row r="14717" spans="1:1" x14ac:dyDescent="0.25">
      <c r="A14717" t="s">
        <v>13532</v>
      </c>
    </row>
    <row r="14718" spans="1:1" x14ac:dyDescent="0.25">
      <c r="A14718" t="s">
        <v>13533</v>
      </c>
    </row>
    <row r="14719" spans="1:1" x14ac:dyDescent="0.25">
      <c r="A14719" t="s">
        <v>13534</v>
      </c>
    </row>
    <row r="14720" spans="1:1" x14ac:dyDescent="0.25">
      <c r="A14720" t="s">
        <v>13535</v>
      </c>
    </row>
    <row r="14721" spans="1:1" x14ac:dyDescent="0.25">
      <c r="A14721" t="s">
        <v>13536</v>
      </c>
    </row>
    <row r="14722" spans="1:1" x14ac:dyDescent="0.25">
      <c r="A14722" t="s">
        <v>13537</v>
      </c>
    </row>
    <row r="14723" spans="1:1" x14ac:dyDescent="0.25">
      <c r="A14723" t="s">
        <v>13538</v>
      </c>
    </row>
    <row r="14724" spans="1:1" x14ac:dyDescent="0.25">
      <c r="A14724" t="s">
        <v>13539</v>
      </c>
    </row>
    <row r="14725" spans="1:1" x14ac:dyDescent="0.25">
      <c r="A14725" t="s">
        <v>13540</v>
      </c>
    </row>
    <row r="14726" spans="1:1" x14ac:dyDescent="0.25">
      <c r="A14726" t="s">
        <v>13541</v>
      </c>
    </row>
    <row r="14727" spans="1:1" x14ac:dyDescent="0.25">
      <c r="A14727" t="s">
        <v>13542</v>
      </c>
    </row>
    <row r="14728" spans="1:1" x14ac:dyDescent="0.25">
      <c r="A14728" t="s">
        <v>13543</v>
      </c>
    </row>
    <row r="14729" spans="1:1" x14ac:dyDescent="0.25">
      <c r="A14729" t="s">
        <v>13544</v>
      </c>
    </row>
    <row r="14730" spans="1:1" x14ac:dyDescent="0.25">
      <c r="A14730" t="s">
        <v>13545</v>
      </c>
    </row>
    <row r="14731" spans="1:1" x14ac:dyDescent="0.25">
      <c r="A14731" t="s">
        <v>13546</v>
      </c>
    </row>
    <row r="14732" spans="1:1" x14ac:dyDescent="0.25">
      <c r="A14732" t="s">
        <v>13547</v>
      </c>
    </row>
    <row r="14733" spans="1:1" x14ac:dyDescent="0.25">
      <c r="A14733" t="s">
        <v>13548</v>
      </c>
    </row>
    <row r="14734" spans="1:1" x14ac:dyDescent="0.25">
      <c r="A14734" t="s">
        <v>13549</v>
      </c>
    </row>
    <row r="14735" spans="1:1" x14ac:dyDescent="0.25">
      <c r="A14735" t="s">
        <v>13550</v>
      </c>
    </row>
    <row r="14736" spans="1:1" x14ac:dyDescent="0.25">
      <c r="A14736" t="s">
        <v>13551</v>
      </c>
    </row>
    <row r="14737" spans="1:1" x14ac:dyDescent="0.25">
      <c r="A14737" t="s">
        <v>1434</v>
      </c>
    </row>
    <row r="14738" spans="1:1" x14ac:dyDescent="0.25">
      <c r="A14738" t="s">
        <v>13552</v>
      </c>
    </row>
    <row r="14739" spans="1:1" x14ac:dyDescent="0.25">
      <c r="A14739" t="s">
        <v>13553</v>
      </c>
    </row>
    <row r="14740" spans="1:1" x14ac:dyDescent="0.25">
      <c r="A14740" t="s">
        <v>13554</v>
      </c>
    </row>
    <row r="14741" spans="1:1" x14ac:dyDescent="0.25">
      <c r="A14741" t="s">
        <v>13555</v>
      </c>
    </row>
    <row r="14743" spans="1:1" x14ac:dyDescent="0.25">
      <c r="A14743" t="s">
        <v>13556</v>
      </c>
    </row>
    <row r="14744" spans="1:1" x14ac:dyDescent="0.25">
      <c r="A14744" t="s">
        <v>13557</v>
      </c>
    </row>
    <row r="14745" spans="1:1" x14ac:dyDescent="0.25">
      <c r="A14745" t="s">
        <v>13558</v>
      </c>
    </row>
    <row r="14746" spans="1:1" x14ac:dyDescent="0.25">
      <c r="A14746" t="s">
        <v>13559</v>
      </c>
    </row>
    <row r="14747" spans="1:1" x14ac:dyDescent="0.25">
      <c r="A14747" t="s">
        <v>1463</v>
      </c>
    </row>
    <row r="14748" spans="1:1" x14ac:dyDescent="0.25">
      <c r="A14748" t="s">
        <v>13560</v>
      </c>
    </row>
    <row r="14749" spans="1:1" x14ac:dyDescent="0.25">
      <c r="A14749" t="s">
        <v>13561</v>
      </c>
    </row>
    <row r="14750" spans="1:1" x14ac:dyDescent="0.25">
      <c r="A14750" t="s">
        <v>13562</v>
      </c>
    </row>
    <row r="14751" spans="1:1" x14ac:dyDescent="0.25">
      <c r="A14751" t="s">
        <v>13563</v>
      </c>
    </row>
    <row r="14752" spans="1:1" x14ac:dyDescent="0.25">
      <c r="A14752" t="s">
        <v>13564</v>
      </c>
    </row>
    <row r="14753" spans="1:1" x14ac:dyDescent="0.25">
      <c r="A14753" t="s">
        <v>13565</v>
      </c>
    </row>
    <row r="14754" spans="1:1" x14ac:dyDescent="0.25">
      <c r="A14754" t="s">
        <v>13566</v>
      </c>
    </row>
    <row r="14755" spans="1:1" x14ac:dyDescent="0.25">
      <c r="A14755" t="s">
        <v>13567</v>
      </c>
    </row>
    <row r="14756" spans="1:1" x14ac:dyDescent="0.25">
      <c r="A14756" t="s">
        <v>13568</v>
      </c>
    </row>
    <row r="14757" spans="1:1" x14ac:dyDescent="0.25">
      <c r="A14757" t="s">
        <v>13569</v>
      </c>
    </row>
    <row r="14758" spans="1:1" x14ac:dyDescent="0.25">
      <c r="A14758" t="s">
        <v>13570</v>
      </c>
    </row>
    <row r="14759" spans="1:1" x14ac:dyDescent="0.25">
      <c r="A14759" t="s">
        <v>13571</v>
      </c>
    </row>
    <row r="14760" spans="1:1" x14ac:dyDescent="0.25">
      <c r="A14760" t="s">
        <v>1565</v>
      </c>
    </row>
    <row r="14762" spans="1:1" x14ac:dyDescent="0.25">
      <c r="A14762" t="s">
        <v>13572</v>
      </c>
    </row>
    <row r="14763" spans="1:1" x14ac:dyDescent="0.25">
      <c r="A14763" t="s">
        <v>13573</v>
      </c>
    </row>
    <row r="14764" spans="1:1" x14ac:dyDescent="0.25">
      <c r="A14764" t="s">
        <v>13574</v>
      </c>
    </row>
    <row r="14765" spans="1:1" x14ac:dyDescent="0.25">
      <c r="A14765" t="s">
        <v>13575</v>
      </c>
    </row>
    <row r="14766" spans="1:1" x14ac:dyDescent="0.25">
      <c r="A14766" t="s">
        <v>13576</v>
      </c>
    </row>
    <row r="14768" spans="1:1" x14ac:dyDescent="0.25">
      <c r="A14768" t="s">
        <v>13577</v>
      </c>
    </row>
    <row r="14769" spans="1:1" x14ac:dyDescent="0.25">
      <c r="A14769" t="s">
        <v>13578</v>
      </c>
    </row>
    <row r="14771" spans="1:1" x14ac:dyDescent="0.25">
      <c r="A14771" t="s">
        <v>13579</v>
      </c>
    </row>
    <row r="14772" spans="1:1" x14ac:dyDescent="0.25">
      <c r="A14772" t="s">
        <v>13580</v>
      </c>
    </row>
    <row r="14773" spans="1:1" x14ac:dyDescent="0.25">
      <c r="A14773" t="s">
        <v>13581</v>
      </c>
    </row>
    <row r="14774" spans="1:1" x14ac:dyDescent="0.25">
      <c r="A14774" t="s">
        <v>13582</v>
      </c>
    </row>
    <row r="14775" spans="1:1" x14ac:dyDescent="0.25">
      <c r="A14775" t="s">
        <v>13583</v>
      </c>
    </row>
    <row r="14776" spans="1:1" x14ac:dyDescent="0.25">
      <c r="A14776" t="s">
        <v>13584</v>
      </c>
    </row>
    <row r="14777" spans="1:1" x14ac:dyDescent="0.25">
      <c r="A14777" t="s">
        <v>13585</v>
      </c>
    </row>
    <row r="14778" spans="1:1" x14ac:dyDescent="0.25">
      <c r="A14778" t="s">
        <v>13586</v>
      </c>
    </row>
    <row r="14779" spans="1:1" x14ac:dyDescent="0.25">
      <c r="A14779" t="s">
        <v>13587</v>
      </c>
    </row>
    <row r="14780" spans="1:1" x14ac:dyDescent="0.25">
      <c r="A14780" t="s">
        <v>13588</v>
      </c>
    </row>
    <row r="14781" spans="1:1" x14ac:dyDescent="0.25">
      <c r="A14781" t="s">
        <v>13589</v>
      </c>
    </row>
    <row r="14782" spans="1:1" x14ac:dyDescent="0.25">
      <c r="A14782" t="s">
        <v>13590</v>
      </c>
    </row>
    <row r="14783" spans="1:1" x14ac:dyDescent="0.25">
      <c r="A14783" t="s">
        <v>13591</v>
      </c>
    </row>
    <row r="14784" spans="1:1" x14ac:dyDescent="0.25">
      <c r="A14784" t="s">
        <v>13592</v>
      </c>
    </row>
    <row r="14785" spans="1:1" x14ac:dyDescent="0.25">
      <c r="A14785" t="s">
        <v>13593</v>
      </c>
    </row>
    <row r="14786" spans="1:1" x14ac:dyDescent="0.25">
      <c r="A14786" t="s">
        <v>13594</v>
      </c>
    </row>
    <row r="14787" spans="1:1" x14ac:dyDescent="0.25">
      <c r="A14787" t="s">
        <v>13595</v>
      </c>
    </row>
    <row r="14788" spans="1:1" x14ac:dyDescent="0.25">
      <c r="A14788" t="s">
        <v>13596</v>
      </c>
    </row>
    <row r="14789" spans="1:1" x14ac:dyDescent="0.25">
      <c r="A14789" t="s">
        <v>13597</v>
      </c>
    </row>
    <row r="14790" spans="1:1" x14ac:dyDescent="0.25">
      <c r="A14790" t="s">
        <v>13598</v>
      </c>
    </row>
    <row r="14791" spans="1:1" x14ac:dyDescent="0.25">
      <c r="A14791" t="s">
        <v>13599</v>
      </c>
    </row>
    <row r="14792" spans="1:1" x14ac:dyDescent="0.25">
      <c r="A14792" t="s">
        <v>13600</v>
      </c>
    </row>
    <row r="14793" spans="1:1" x14ac:dyDescent="0.25">
      <c r="A14793" t="s">
        <v>13601</v>
      </c>
    </row>
    <row r="14794" spans="1:1" x14ac:dyDescent="0.25">
      <c r="A14794" t="s">
        <v>13602</v>
      </c>
    </row>
    <row r="14795" spans="1:1" x14ac:dyDescent="0.25">
      <c r="A14795" t="s">
        <v>13603</v>
      </c>
    </row>
    <row r="14796" spans="1:1" x14ac:dyDescent="0.25">
      <c r="A14796" t="s">
        <v>13604</v>
      </c>
    </row>
    <row r="14797" spans="1:1" x14ac:dyDescent="0.25">
      <c r="A14797" t="s">
        <v>13605</v>
      </c>
    </row>
    <row r="14798" spans="1:1" x14ac:dyDescent="0.25">
      <c r="A14798" t="s">
        <v>13606</v>
      </c>
    </row>
    <row r="14799" spans="1:1" x14ac:dyDescent="0.25">
      <c r="A14799" t="s">
        <v>13607</v>
      </c>
    </row>
    <row r="14800" spans="1:1" x14ac:dyDescent="0.25">
      <c r="A14800" t="s">
        <v>13608</v>
      </c>
    </row>
    <row r="14801" spans="1:4" x14ac:dyDescent="0.25">
      <c r="A14801" t="s">
        <v>13609</v>
      </c>
    </row>
    <row r="14802" spans="1:4" x14ac:dyDescent="0.25">
      <c r="A14802" t="s">
        <v>13610</v>
      </c>
    </row>
    <row r="14803" spans="1:4" x14ac:dyDescent="0.25">
      <c r="A14803" t="s">
        <v>13611</v>
      </c>
    </row>
    <row r="14804" spans="1:4" x14ac:dyDescent="0.25">
      <c r="A14804" t="s">
        <v>13612</v>
      </c>
    </row>
    <row r="14805" spans="1:4" x14ac:dyDescent="0.25">
      <c r="A14805" t="s">
        <v>13613</v>
      </c>
    </row>
    <row r="14806" spans="1:4" x14ac:dyDescent="0.25">
      <c r="A14806">
        <v>851966131717</v>
      </c>
    </row>
    <row r="14807" spans="1:4" x14ac:dyDescent="0.25">
      <c r="A14807" t="s">
        <v>13614</v>
      </c>
    </row>
    <row r="14808" spans="1:4" x14ac:dyDescent="0.25">
      <c r="A14808" t="s">
        <v>13615</v>
      </c>
    </row>
    <row r="14809" spans="1:4" x14ac:dyDescent="0.25">
      <c r="A14809" t="s">
        <v>13616</v>
      </c>
    </row>
    <row r="14810" spans="1:4" x14ac:dyDescent="0.25">
      <c r="A14810" t="s">
        <v>1330</v>
      </c>
    </row>
    <row r="14811" spans="1:4" x14ac:dyDescent="0.25">
      <c r="A14811" t="s">
        <v>13617</v>
      </c>
    </row>
    <row r="14812" spans="1:4" x14ac:dyDescent="0.25">
      <c r="A14812" t="s">
        <v>13618</v>
      </c>
    </row>
    <row r="14813" spans="1:4" x14ac:dyDescent="0.25">
      <c r="A14813" t="s">
        <v>13619</v>
      </c>
    </row>
    <row r="14814" spans="1:4" x14ac:dyDescent="0.25">
      <c r="A14814" t="s">
        <v>8550</v>
      </c>
    </row>
    <row r="14815" spans="1:4" x14ac:dyDescent="0.25">
      <c r="A14815" t="s">
        <v>13620</v>
      </c>
      <c r="B14815">
        <v>34208.35</v>
      </c>
      <c r="C14815" s="55">
        <v>43830</v>
      </c>
      <c r="D14815">
        <v>5</v>
      </c>
    </row>
    <row r="14816" spans="1:4" x14ac:dyDescent="0.25">
      <c r="A14816" t="s">
        <v>13621</v>
      </c>
      <c r="B14816">
        <v>7520</v>
      </c>
    </row>
    <row r="14817" spans="1:5" x14ac:dyDescent="0.25">
      <c r="A14817" t="s">
        <v>13622</v>
      </c>
      <c r="B14817">
        <v>985.58</v>
      </c>
      <c r="C14817" s="55">
        <v>43861</v>
      </c>
      <c r="D14817">
        <v>1</v>
      </c>
      <c r="E14817">
        <v>0</v>
      </c>
    </row>
    <row r="14818" spans="1:5" x14ac:dyDescent="0.25">
      <c r="A14818" t="s">
        <v>13613</v>
      </c>
    </row>
    <row r="14819" spans="1:5" x14ac:dyDescent="0.25">
      <c r="A14819">
        <v>851966131717</v>
      </c>
    </row>
    <row r="14820" spans="1:5" x14ac:dyDescent="0.25">
      <c r="A14820" t="s">
        <v>13623</v>
      </c>
    </row>
    <row r="14821" spans="1:5" x14ac:dyDescent="0.25">
      <c r="A14821" t="s">
        <v>13615</v>
      </c>
    </row>
    <row r="14822" spans="1:5" x14ac:dyDescent="0.25">
      <c r="A14822" t="s">
        <v>13616</v>
      </c>
    </row>
    <row r="14823" spans="1:5" x14ac:dyDescent="0.25">
      <c r="A14823" t="s">
        <v>1330</v>
      </c>
    </row>
    <row r="14824" spans="1:5" x14ac:dyDescent="0.25">
      <c r="A14824" t="s">
        <v>13617</v>
      </c>
    </row>
    <row r="14825" spans="1:5" x14ac:dyDescent="0.25">
      <c r="A14825" t="s">
        <v>13618</v>
      </c>
    </row>
    <row r="14826" spans="1:5" x14ac:dyDescent="0.25">
      <c r="A14826" t="s">
        <v>13619</v>
      </c>
    </row>
    <row r="14827" spans="1:5" x14ac:dyDescent="0.25">
      <c r="A14827" t="s">
        <v>8550</v>
      </c>
    </row>
    <row r="14828" spans="1:5" x14ac:dyDescent="0.25">
      <c r="A14828" t="s">
        <v>13620</v>
      </c>
      <c r="B14828">
        <v>34208.35</v>
      </c>
      <c r="C14828" s="55">
        <v>43830</v>
      </c>
      <c r="D14828">
        <v>5</v>
      </c>
    </row>
    <row r="14829" spans="1:5" x14ac:dyDescent="0.25">
      <c r="A14829" t="s">
        <v>13621</v>
      </c>
      <c r="B14829">
        <v>7520</v>
      </c>
    </row>
    <row r="14830" spans="1:5" x14ac:dyDescent="0.25">
      <c r="A14830" t="s">
        <v>13622</v>
      </c>
      <c r="B14830">
        <v>985.58</v>
      </c>
      <c r="C14830" s="55">
        <v>43861</v>
      </c>
      <c r="D14830">
        <v>1</v>
      </c>
      <c r="E14830">
        <v>0</v>
      </c>
    </row>
    <row r="14831" spans="1:5" x14ac:dyDescent="0.25">
      <c r="A14831" t="s">
        <v>13624</v>
      </c>
    </row>
    <row r="14832" spans="1:5" x14ac:dyDescent="0.25">
      <c r="A14832" t="s">
        <v>13625</v>
      </c>
    </row>
    <row r="14833" spans="1:1" x14ac:dyDescent="0.25">
      <c r="A14833" t="s">
        <v>13626</v>
      </c>
    </row>
    <row r="14834" spans="1:1" x14ac:dyDescent="0.25">
      <c r="A14834" t="s">
        <v>13627</v>
      </c>
    </row>
    <row r="14835" spans="1:1" x14ac:dyDescent="0.25">
      <c r="A14835" t="s">
        <v>13628</v>
      </c>
    </row>
    <row r="14836" spans="1:1" x14ac:dyDescent="0.25">
      <c r="A14836" t="s">
        <v>13629</v>
      </c>
    </row>
    <row r="14837" spans="1:1" x14ac:dyDescent="0.25">
      <c r="A14837" t="s">
        <v>13630</v>
      </c>
    </row>
    <row r="14838" spans="1:1" x14ac:dyDescent="0.25">
      <c r="A14838" t="s">
        <v>13631</v>
      </c>
    </row>
    <row r="14839" spans="1:1" x14ac:dyDescent="0.25">
      <c r="A14839" t="s">
        <v>13632</v>
      </c>
    </row>
    <row r="14840" spans="1:1" x14ac:dyDescent="0.25">
      <c r="A14840" t="s">
        <v>13633</v>
      </c>
    </row>
    <row r="14841" spans="1:1" x14ac:dyDescent="0.25">
      <c r="A14841" t="s">
        <v>13634</v>
      </c>
    </row>
    <row r="14842" spans="1:1" x14ac:dyDescent="0.25">
      <c r="A14842" t="s">
        <v>13635</v>
      </c>
    </row>
    <row r="14843" spans="1:1" x14ac:dyDescent="0.25">
      <c r="A14843" t="s">
        <v>13636</v>
      </c>
    </row>
    <row r="14844" spans="1:1" x14ac:dyDescent="0.25">
      <c r="A14844" t="s">
        <v>13637</v>
      </c>
    </row>
    <row r="14845" spans="1:1" x14ac:dyDescent="0.25">
      <c r="A14845" t="s">
        <v>13638</v>
      </c>
    </row>
    <row r="14846" spans="1:1" x14ac:dyDescent="0.25">
      <c r="A14846" t="s">
        <v>13639</v>
      </c>
    </row>
    <row r="14847" spans="1:1" x14ac:dyDescent="0.25">
      <c r="A14847" t="s">
        <v>13640</v>
      </c>
    </row>
    <row r="14848" spans="1:1" x14ac:dyDescent="0.25">
      <c r="A14848" t="s">
        <v>13641</v>
      </c>
    </row>
    <row r="14849" spans="1:1" x14ac:dyDescent="0.25">
      <c r="A14849" t="s">
        <v>13642</v>
      </c>
    </row>
    <row r="14850" spans="1:1" x14ac:dyDescent="0.25">
      <c r="A14850" t="s">
        <v>13643</v>
      </c>
    </row>
    <row r="14851" spans="1:1" x14ac:dyDescent="0.25">
      <c r="A14851" t="s">
        <v>13644</v>
      </c>
    </row>
    <row r="14852" spans="1:1" x14ac:dyDescent="0.25">
      <c r="A14852" t="s">
        <v>13645</v>
      </c>
    </row>
    <row r="14853" spans="1:1" x14ac:dyDescent="0.25">
      <c r="A14853" t="s">
        <v>13646</v>
      </c>
    </row>
    <row r="14854" spans="1:1" x14ac:dyDescent="0.25">
      <c r="A14854" t="s">
        <v>13647</v>
      </c>
    </row>
    <row r="14855" spans="1:1" x14ac:dyDescent="0.25">
      <c r="A14855" t="s">
        <v>13648</v>
      </c>
    </row>
    <row r="14856" spans="1:1" x14ac:dyDescent="0.25">
      <c r="A14856" t="s">
        <v>13649</v>
      </c>
    </row>
    <row r="14857" spans="1:1" x14ac:dyDescent="0.25">
      <c r="A14857" t="s">
        <v>13650</v>
      </c>
    </row>
    <row r="14858" spans="1:1" x14ac:dyDescent="0.25">
      <c r="A14858" t="s">
        <v>13651</v>
      </c>
    </row>
    <row r="14859" spans="1:1" x14ac:dyDescent="0.25">
      <c r="A14859" t="s">
        <v>13652</v>
      </c>
    </row>
    <row r="14860" spans="1:1" x14ac:dyDescent="0.25">
      <c r="A14860" t="s">
        <v>13653</v>
      </c>
    </row>
    <row r="14861" spans="1:1" x14ac:dyDescent="0.25">
      <c r="A14861" t="s">
        <v>13654</v>
      </c>
    </row>
    <row r="14862" spans="1:1" x14ac:dyDescent="0.25">
      <c r="A14862" t="s">
        <v>13655</v>
      </c>
    </row>
    <row r="14863" spans="1:1" x14ac:dyDescent="0.25">
      <c r="A14863" t="s">
        <v>13656</v>
      </c>
    </row>
    <row r="14864" spans="1:1" x14ac:dyDescent="0.25">
      <c r="A14864" t="s">
        <v>13657</v>
      </c>
    </row>
    <row r="14865" spans="1:1" x14ac:dyDescent="0.25">
      <c r="A14865" t="s">
        <v>13658</v>
      </c>
    </row>
    <row r="14866" spans="1:1" x14ac:dyDescent="0.25">
      <c r="A14866" t="s">
        <v>3681</v>
      </c>
    </row>
    <row r="14867" spans="1:1" x14ac:dyDescent="0.25">
      <c r="A14867" t="s">
        <v>13659</v>
      </c>
    </row>
    <row r="14868" spans="1:1" x14ac:dyDescent="0.25">
      <c r="A14868" t="s">
        <v>13660</v>
      </c>
    </row>
    <row r="14869" spans="1:1" x14ac:dyDescent="0.25">
      <c r="A14869" t="s">
        <v>13661</v>
      </c>
    </row>
    <row r="14870" spans="1:1" x14ac:dyDescent="0.25">
      <c r="A14870" t="s">
        <v>13662</v>
      </c>
    </row>
    <row r="14872" spans="1:1" x14ac:dyDescent="0.25">
      <c r="A14872" t="s">
        <v>13663</v>
      </c>
    </row>
    <row r="14873" spans="1:1" x14ac:dyDescent="0.25">
      <c r="A14873" t="s">
        <v>13664</v>
      </c>
    </row>
    <row r="14874" spans="1:1" x14ac:dyDescent="0.25">
      <c r="A14874" t="s">
        <v>13665</v>
      </c>
    </row>
    <row r="14875" spans="1:1" x14ac:dyDescent="0.25">
      <c r="A14875" t="s">
        <v>13666</v>
      </c>
    </row>
    <row r="14876" spans="1:1" x14ac:dyDescent="0.25">
      <c r="A14876" t="s">
        <v>13667</v>
      </c>
    </row>
    <row r="14877" spans="1:1" x14ac:dyDescent="0.25">
      <c r="A14877" t="s">
        <v>13668</v>
      </c>
    </row>
    <row r="14878" spans="1:1" x14ac:dyDescent="0.25">
      <c r="A14878" t="s">
        <v>13669</v>
      </c>
    </row>
    <row r="14879" spans="1:1" x14ac:dyDescent="0.25">
      <c r="A14879" t="s">
        <v>13670</v>
      </c>
    </row>
    <row r="14880" spans="1:1" x14ac:dyDescent="0.25">
      <c r="A14880" t="s">
        <v>13671</v>
      </c>
    </row>
    <row r="14881" spans="1:1" x14ac:dyDescent="0.25">
      <c r="A14881" t="s">
        <v>13672</v>
      </c>
    </row>
    <row r="14882" spans="1:1" x14ac:dyDescent="0.25">
      <c r="A14882" t="s">
        <v>13673</v>
      </c>
    </row>
    <row r="14883" spans="1:1" x14ac:dyDescent="0.25">
      <c r="A14883" t="s">
        <v>13674</v>
      </c>
    </row>
    <row r="14884" spans="1:1" x14ac:dyDescent="0.25">
      <c r="A14884" t="s">
        <v>13675</v>
      </c>
    </row>
    <row r="14885" spans="1:1" x14ac:dyDescent="0.25">
      <c r="A14885" t="s">
        <v>13676</v>
      </c>
    </row>
    <row r="14886" spans="1:1" x14ac:dyDescent="0.25">
      <c r="A14886" t="s">
        <v>13677</v>
      </c>
    </row>
    <row r="14887" spans="1:1" x14ac:dyDescent="0.25">
      <c r="A14887" t="s">
        <v>13678</v>
      </c>
    </row>
    <row r="14888" spans="1:1" x14ac:dyDescent="0.25">
      <c r="A14888" t="s">
        <v>13679</v>
      </c>
    </row>
    <row r="14889" spans="1:1" x14ac:dyDescent="0.25">
      <c r="A14889" t="s">
        <v>13680</v>
      </c>
    </row>
    <row r="14890" spans="1:1" x14ac:dyDescent="0.25">
      <c r="A14890" t="s">
        <v>3681</v>
      </c>
    </row>
    <row r="14891" spans="1:1" x14ac:dyDescent="0.25">
      <c r="A14891" t="s">
        <v>13681</v>
      </c>
    </row>
    <row r="14892" spans="1:1" x14ac:dyDescent="0.25">
      <c r="A14892" t="s">
        <v>13682</v>
      </c>
    </row>
    <row r="14893" spans="1:1" x14ac:dyDescent="0.25">
      <c r="A14893" t="s">
        <v>13683</v>
      </c>
    </row>
    <row r="14894" spans="1:1" x14ac:dyDescent="0.25">
      <c r="A14894" t="s">
        <v>13684</v>
      </c>
    </row>
    <row r="14895" spans="1:1" x14ac:dyDescent="0.25">
      <c r="A14895" t="s">
        <v>13685</v>
      </c>
    </row>
    <row r="14896" spans="1:1" x14ac:dyDescent="0.25">
      <c r="A14896" t="s">
        <v>13686</v>
      </c>
    </row>
    <row r="14898" spans="1:1" x14ac:dyDescent="0.25">
      <c r="A14898" t="s">
        <v>13687</v>
      </c>
    </row>
    <row r="14899" spans="1:1" x14ac:dyDescent="0.25">
      <c r="A14899" t="s">
        <v>13688</v>
      </c>
    </row>
    <row r="14900" spans="1:1" x14ac:dyDescent="0.25">
      <c r="A14900" t="s">
        <v>13689</v>
      </c>
    </row>
    <row r="14901" spans="1:1" x14ac:dyDescent="0.25">
      <c r="A14901" t="s">
        <v>13690</v>
      </c>
    </row>
    <row r="14902" spans="1:1" x14ac:dyDescent="0.25">
      <c r="A14902" t="s">
        <v>13691</v>
      </c>
    </row>
    <row r="14903" spans="1:1" x14ac:dyDescent="0.25">
      <c r="A14903" t="s">
        <v>13692</v>
      </c>
    </row>
    <row r="14904" spans="1:1" x14ac:dyDescent="0.25">
      <c r="A14904" t="s">
        <v>13693</v>
      </c>
    </row>
    <row r="14905" spans="1:1" x14ac:dyDescent="0.25">
      <c r="A14905" t="s">
        <v>13694</v>
      </c>
    </row>
    <row r="14907" spans="1:1" x14ac:dyDescent="0.25">
      <c r="A14907" t="s">
        <v>13695</v>
      </c>
    </row>
    <row r="14908" spans="1:1" x14ac:dyDescent="0.25">
      <c r="A14908" t="s">
        <v>13696</v>
      </c>
    </row>
    <row r="14909" spans="1:1" x14ac:dyDescent="0.25">
      <c r="A14909" t="s">
        <v>13697</v>
      </c>
    </row>
    <row r="14910" spans="1:1" x14ac:dyDescent="0.25">
      <c r="A14910" t="s">
        <v>13698</v>
      </c>
    </row>
    <row r="14911" spans="1:1" x14ac:dyDescent="0.25">
      <c r="A14911" t="s">
        <v>13699</v>
      </c>
    </row>
    <row r="14912" spans="1:1" x14ac:dyDescent="0.25">
      <c r="A14912" t="s">
        <v>13700</v>
      </c>
    </row>
    <row r="14914" spans="1:1" x14ac:dyDescent="0.25">
      <c r="A14914" t="s">
        <v>13701</v>
      </c>
    </row>
    <row r="14916" spans="1:1" x14ac:dyDescent="0.25">
      <c r="A14916" t="s">
        <v>13702</v>
      </c>
    </row>
    <row r="14917" spans="1:1" x14ac:dyDescent="0.25">
      <c r="A14917" t="s">
        <v>13703</v>
      </c>
    </row>
    <row r="14918" spans="1:1" x14ac:dyDescent="0.25">
      <c r="A14918" t="s">
        <v>13704</v>
      </c>
    </row>
    <row r="14919" spans="1:1" x14ac:dyDescent="0.25">
      <c r="A14919" t="s">
        <v>13705</v>
      </c>
    </row>
    <row r="14920" spans="1:1" x14ac:dyDescent="0.25">
      <c r="A14920" t="s">
        <v>13706</v>
      </c>
    </row>
    <row r="14921" spans="1:1" x14ac:dyDescent="0.25">
      <c r="A14921" t="s">
        <v>13707</v>
      </c>
    </row>
    <row r="14922" spans="1:1" x14ac:dyDescent="0.25">
      <c r="A14922">
        <v>942860877</v>
      </c>
    </row>
    <row r="14923" spans="1:1" x14ac:dyDescent="0.25">
      <c r="A14923" t="s">
        <v>13708</v>
      </c>
    </row>
    <row r="14924" spans="1:1" x14ac:dyDescent="0.25">
      <c r="A14924" t="s">
        <v>13709</v>
      </c>
    </row>
    <row r="14925" spans="1:1" x14ac:dyDescent="0.25">
      <c r="A14925" t="s">
        <v>13710</v>
      </c>
    </row>
    <row r="14926" spans="1:1" x14ac:dyDescent="0.25">
      <c r="A14926" t="s">
        <v>13711</v>
      </c>
    </row>
    <row r="14927" spans="1:1" x14ac:dyDescent="0.25">
      <c r="A14927" t="s">
        <v>13712</v>
      </c>
    </row>
    <row r="14928" spans="1:1" x14ac:dyDescent="0.25">
      <c r="A14928" t="s">
        <v>13713</v>
      </c>
    </row>
    <row r="14929" spans="1:1" x14ac:dyDescent="0.25">
      <c r="A14929" t="s">
        <v>13714</v>
      </c>
    </row>
    <row r="14930" spans="1:1" x14ac:dyDescent="0.25">
      <c r="A14930" t="s">
        <v>13715</v>
      </c>
    </row>
    <row r="14931" spans="1:1" x14ac:dyDescent="0.25">
      <c r="A14931" t="s">
        <v>13716</v>
      </c>
    </row>
    <row r="14932" spans="1:1" x14ac:dyDescent="0.25">
      <c r="A14932" t="s">
        <v>13717</v>
      </c>
    </row>
    <row r="14933" spans="1:1" x14ac:dyDescent="0.25">
      <c r="A14933" t="s">
        <v>13718</v>
      </c>
    </row>
    <row r="14934" spans="1:1" x14ac:dyDescent="0.25">
      <c r="A14934" t="s">
        <v>13719</v>
      </c>
    </row>
    <row r="14935" spans="1:1" x14ac:dyDescent="0.25">
      <c r="A14935" t="s">
        <v>13720</v>
      </c>
    </row>
    <row r="14936" spans="1:1" x14ac:dyDescent="0.25">
      <c r="A14936" t="s">
        <v>13721</v>
      </c>
    </row>
    <row r="14937" spans="1:1" x14ac:dyDescent="0.25">
      <c r="A14937" t="s">
        <v>13722</v>
      </c>
    </row>
    <row r="14938" spans="1:1" x14ac:dyDescent="0.25">
      <c r="A14938" t="s">
        <v>13723</v>
      </c>
    </row>
    <row r="14939" spans="1:1" x14ac:dyDescent="0.25">
      <c r="A14939" t="s">
        <v>13724</v>
      </c>
    </row>
    <row r="14940" spans="1:1" x14ac:dyDescent="0.25">
      <c r="A14940" t="s">
        <v>13725</v>
      </c>
    </row>
    <row r="14941" spans="1:1" x14ac:dyDescent="0.25">
      <c r="A14941" t="s">
        <v>13726</v>
      </c>
    </row>
    <row r="14942" spans="1:1" x14ac:dyDescent="0.25">
      <c r="A14942" t="s">
        <v>3287</v>
      </c>
    </row>
    <row r="14943" spans="1:1" x14ac:dyDescent="0.25">
      <c r="A14943" t="s">
        <v>7987</v>
      </c>
    </row>
    <row r="14944" spans="1:1" x14ac:dyDescent="0.25">
      <c r="A14944" t="s">
        <v>13727</v>
      </c>
    </row>
    <row r="14945" spans="1:1" x14ac:dyDescent="0.25">
      <c r="A14945" t="s">
        <v>13728</v>
      </c>
    </row>
    <row r="14946" spans="1:1" x14ac:dyDescent="0.25">
      <c r="A14946" t="s">
        <v>13729</v>
      </c>
    </row>
    <row r="14947" spans="1:1" x14ac:dyDescent="0.25">
      <c r="A14947" t="s">
        <v>13730</v>
      </c>
    </row>
    <row r="14948" spans="1:1" x14ac:dyDescent="0.25">
      <c r="A14948" t="s">
        <v>13731</v>
      </c>
    </row>
    <row r="14949" spans="1:1" x14ac:dyDescent="0.25">
      <c r="A14949" t="s">
        <v>13732</v>
      </c>
    </row>
    <row r="14950" spans="1:1" x14ac:dyDescent="0.25">
      <c r="A14950" t="s">
        <v>13733</v>
      </c>
    </row>
    <row r="14951" spans="1:1" x14ac:dyDescent="0.25">
      <c r="A14951" t="s">
        <v>13734</v>
      </c>
    </row>
    <row r="14952" spans="1:1" x14ac:dyDescent="0.25">
      <c r="A14952" t="s">
        <v>13735</v>
      </c>
    </row>
    <row r="14953" spans="1:1" x14ac:dyDescent="0.25">
      <c r="A14953" t="s">
        <v>13736</v>
      </c>
    </row>
    <row r="14954" spans="1:1" x14ac:dyDescent="0.25">
      <c r="A14954" t="s">
        <v>13737</v>
      </c>
    </row>
    <row r="14955" spans="1:1" x14ac:dyDescent="0.25">
      <c r="A14955" t="s">
        <v>13738</v>
      </c>
    </row>
    <row r="14956" spans="1:1" x14ac:dyDescent="0.25">
      <c r="A14956" t="s">
        <v>13739</v>
      </c>
    </row>
    <row r="14957" spans="1:1" x14ac:dyDescent="0.25">
      <c r="A14957" t="s">
        <v>13740</v>
      </c>
    </row>
    <row r="14958" spans="1:1" x14ac:dyDescent="0.25">
      <c r="A14958" t="s">
        <v>13741</v>
      </c>
    </row>
    <row r="14959" spans="1:1" x14ac:dyDescent="0.25">
      <c r="A14959" t="s">
        <v>13742</v>
      </c>
    </row>
    <row r="14960" spans="1:1" x14ac:dyDescent="0.25">
      <c r="A14960" t="s">
        <v>13743</v>
      </c>
    </row>
    <row r="14961" spans="1:1" x14ac:dyDescent="0.25">
      <c r="A14961" t="s">
        <v>13744</v>
      </c>
    </row>
    <row r="14962" spans="1:1" x14ac:dyDescent="0.25">
      <c r="A14962" t="s">
        <v>12904</v>
      </c>
    </row>
    <row r="14963" spans="1:1" x14ac:dyDescent="0.25">
      <c r="A14963" t="s">
        <v>2291</v>
      </c>
    </row>
    <row r="14964" spans="1:1" x14ac:dyDescent="0.25">
      <c r="A14964" t="s">
        <v>12910</v>
      </c>
    </row>
    <row r="14965" spans="1:1" x14ac:dyDescent="0.25">
      <c r="A14965" t="s">
        <v>12911</v>
      </c>
    </row>
    <row r="14966" spans="1:1" x14ac:dyDescent="0.25">
      <c r="A14966" t="s">
        <v>6705</v>
      </c>
    </row>
    <row r="14967" spans="1:1" x14ac:dyDescent="0.25">
      <c r="A14967" t="s">
        <v>2405</v>
      </c>
    </row>
    <row r="14968" spans="1:1" x14ac:dyDescent="0.25">
      <c r="A14968" t="s">
        <v>12912</v>
      </c>
    </row>
    <row r="14969" spans="1:1" x14ac:dyDescent="0.25">
      <c r="A14969" t="s">
        <v>12913</v>
      </c>
    </row>
    <row r="14970" spans="1:1" x14ac:dyDescent="0.25">
      <c r="A14970" t="s">
        <v>13745</v>
      </c>
    </row>
    <row r="14971" spans="1:1" x14ac:dyDescent="0.25">
      <c r="A14971" t="s">
        <v>13746</v>
      </c>
    </row>
    <row r="14972" spans="1:1" x14ac:dyDescent="0.25">
      <c r="A14972" t="s">
        <v>13747</v>
      </c>
    </row>
    <row r="14973" spans="1:1" x14ac:dyDescent="0.25">
      <c r="A14973" t="s">
        <v>13748</v>
      </c>
    </row>
    <row r="14974" spans="1:1" x14ac:dyDescent="0.25">
      <c r="A14974" t="s">
        <v>13749</v>
      </c>
    </row>
    <row r="14975" spans="1:1" x14ac:dyDescent="0.25">
      <c r="A14975" t="s">
        <v>13750</v>
      </c>
    </row>
    <row r="14976" spans="1:1" x14ac:dyDescent="0.25">
      <c r="A14976" t="s">
        <v>13751</v>
      </c>
    </row>
    <row r="14977" spans="1:1" x14ac:dyDescent="0.25">
      <c r="A14977" t="s">
        <v>13752</v>
      </c>
    </row>
    <row r="14978" spans="1:1" x14ac:dyDescent="0.25">
      <c r="A14978" t="s">
        <v>13753</v>
      </c>
    </row>
    <row r="14979" spans="1:1" x14ac:dyDescent="0.25">
      <c r="A14979" t="s">
        <v>13754</v>
      </c>
    </row>
    <row r="14980" spans="1:1" x14ac:dyDescent="0.25">
      <c r="A14980" t="s">
        <v>13755</v>
      </c>
    </row>
    <row r="14981" spans="1:1" x14ac:dyDescent="0.25">
      <c r="A14981" t="s">
        <v>13756</v>
      </c>
    </row>
    <row r="14982" spans="1:1" x14ac:dyDescent="0.25">
      <c r="A14982" t="s">
        <v>13757</v>
      </c>
    </row>
    <row r="14983" spans="1:1" x14ac:dyDescent="0.25">
      <c r="A14983" t="s">
        <v>13758</v>
      </c>
    </row>
    <row r="14984" spans="1:1" x14ac:dyDescent="0.25">
      <c r="A14984" t="s">
        <v>13759</v>
      </c>
    </row>
    <row r="14985" spans="1:1" x14ac:dyDescent="0.25">
      <c r="A14985" t="s">
        <v>13760</v>
      </c>
    </row>
    <row r="14986" spans="1:1" x14ac:dyDescent="0.25">
      <c r="A14986" t="s">
        <v>13761</v>
      </c>
    </row>
    <row r="14987" spans="1:1" x14ac:dyDescent="0.25">
      <c r="A14987" t="s">
        <v>13762</v>
      </c>
    </row>
    <row r="14988" spans="1:1" x14ac:dyDescent="0.25">
      <c r="A14988" t="s">
        <v>13763</v>
      </c>
    </row>
    <row r="14989" spans="1:1" x14ac:dyDescent="0.25">
      <c r="A14989" t="s">
        <v>13764</v>
      </c>
    </row>
    <row r="14990" spans="1:1" x14ac:dyDescent="0.25">
      <c r="A14990" t="s">
        <v>13765</v>
      </c>
    </row>
    <row r="14991" spans="1:1" x14ac:dyDescent="0.25">
      <c r="A14991" t="s">
        <v>13766</v>
      </c>
    </row>
    <row r="14992" spans="1:1" x14ac:dyDescent="0.25">
      <c r="A14992" t="s">
        <v>13767</v>
      </c>
    </row>
    <row r="14993" spans="1:1" x14ac:dyDescent="0.25">
      <c r="A14993" t="s">
        <v>13768</v>
      </c>
    </row>
    <row r="14994" spans="1:1" x14ac:dyDescent="0.25">
      <c r="A14994" t="s">
        <v>13769</v>
      </c>
    </row>
    <row r="14995" spans="1:1" x14ac:dyDescent="0.25">
      <c r="A14995" t="s">
        <v>13770</v>
      </c>
    </row>
    <row r="14996" spans="1:1" x14ac:dyDescent="0.25">
      <c r="A14996" t="s">
        <v>13771</v>
      </c>
    </row>
    <row r="14997" spans="1:1" x14ac:dyDescent="0.25">
      <c r="A14997" t="s">
        <v>13772</v>
      </c>
    </row>
    <row r="14998" spans="1:1" x14ac:dyDescent="0.25">
      <c r="A14998" t="s">
        <v>2237</v>
      </c>
    </row>
    <row r="14999" spans="1:1" x14ac:dyDescent="0.25">
      <c r="A14999" t="s">
        <v>6879</v>
      </c>
    </row>
    <row r="15000" spans="1:1" x14ac:dyDescent="0.25">
      <c r="A15000" t="s">
        <v>13773</v>
      </c>
    </row>
    <row r="15001" spans="1:1" x14ac:dyDescent="0.25">
      <c r="A15001" t="s">
        <v>13774</v>
      </c>
    </row>
    <row r="15002" spans="1:1" x14ac:dyDescent="0.25">
      <c r="A15002" t="s">
        <v>13775</v>
      </c>
    </row>
    <row r="15003" spans="1:1" x14ac:dyDescent="0.25">
      <c r="A15003" t="s">
        <v>13776</v>
      </c>
    </row>
    <row r="15004" spans="1:1" x14ac:dyDescent="0.25">
      <c r="A15004" t="s">
        <v>13777</v>
      </c>
    </row>
    <row r="15005" spans="1:1" x14ac:dyDescent="0.25">
      <c r="A15005" t="s">
        <v>3860</v>
      </c>
    </row>
    <row r="15006" spans="1:1" x14ac:dyDescent="0.25">
      <c r="A15006" t="s">
        <v>5665</v>
      </c>
    </row>
    <row r="15007" spans="1:1" x14ac:dyDescent="0.25">
      <c r="A15007" t="s">
        <v>5666</v>
      </c>
    </row>
    <row r="15008" spans="1:1" x14ac:dyDescent="0.25">
      <c r="A15008" t="s">
        <v>5667</v>
      </c>
    </row>
    <row r="15009" spans="1:1" x14ac:dyDescent="0.25">
      <c r="A15009" t="s">
        <v>5668</v>
      </c>
    </row>
    <row r="15010" spans="1:1" x14ac:dyDescent="0.25">
      <c r="A15010" t="s">
        <v>5669</v>
      </c>
    </row>
    <row r="15011" spans="1:1" x14ac:dyDescent="0.25">
      <c r="A15011" t="s">
        <v>5218</v>
      </c>
    </row>
    <row r="15012" spans="1:1" x14ac:dyDescent="0.25">
      <c r="A15012" t="s">
        <v>13778</v>
      </c>
    </row>
    <row r="15014" spans="1:1" x14ac:dyDescent="0.25">
      <c r="A15014" t="s">
        <v>13779</v>
      </c>
    </row>
    <row r="15015" spans="1:1" x14ac:dyDescent="0.25">
      <c r="A15015" t="s">
        <v>13780</v>
      </c>
    </row>
    <row r="15016" spans="1:1" x14ac:dyDescent="0.25">
      <c r="A15016" t="s">
        <v>13781</v>
      </c>
    </row>
    <row r="15017" spans="1:1" x14ac:dyDescent="0.25">
      <c r="A15017" t="s">
        <v>13782</v>
      </c>
    </row>
    <row r="15018" spans="1:1" x14ac:dyDescent="0.25">
      <c r="A15018" t="s">
        <v>13783</v>
      </c>
    </row>
    <row r="15019" spans="1:1" x14ac:dyDescent="0.25">
      <c r="A15019" t="s">
        <v>13784</v>
      </c>
    </row>
    <row r="15020" spans="1:1" x14ac:dyDescent="0.25">
      <c r="A15020" t="s">
        <v>13785</v>
      </c>
    </row>
    <row r="15021" spans="1:1" x14ac:dyDescent="0.25">
      <c r="A15021" t="s">
        <v>13786</v>
      </c>
    </row>
    <row r="15022" spans="1:1" x14ac:dyDescent="0.25">
      <c r="A15022" t="s">
        <v>13787</v>
      </c>
    </row>
    <row r="15023" spans="1:1" x14ac:dyDescent="0.25">
      <c r="A15023" t="s">
        <v>13788</v>
      </c>
    </row>
    <row r="15024" spans="1:1" x14ac:dyDescent="0.25">
      <c r="A15024" t="s">
        <v>13789</v>
      </c>
    </row>
    <row r="15025" spans="1:1" x14ac:dyDescent="0.25">
      <c r="A15025" t="s">
        <v>13790</v>
      </c>
    </row>
    <row r="15026" spans="1:1" x14ac:dyDescent="0.25">
      <c r="A15026" t="s">
        <v>13791</v>
      </c>
    </row>
    <row r="15027" spans="1:1" x14ac:dyDescent="0.25">
      <c r="A15027" t="s">
        <v>13792</v>
      </c>
    </row>
    <row r="15028" spans="1:1" x14ac:dyDescent="0.25">
      <c r="A15028" t="s">
        <v>13793</v>
      </c>
    </row>
    <row r="15029" spans="1:1" x14ac:dyDescent="0.25">
      <c r="A15029" t="s">
        <v>13794</v>
      </c>
    </row>
    <row r="15030" spans="1:1" x14ac:dyDescent="0.25">
      <c r="A15030" t="s">
        <v>13795</v>
      </c>
    </row>
    <row r="15031" spans="1:1" x14ac:dyDescent="0.25">
      <c r="A15031" t="s">
        <v>13796</v>
      </c>
    </row>
    <row r="15032" spans="1:1" x14ac:dyDescent="0.25">
      <c r="A15032" t="s">
        <v>13797</v>
      </c>
    </row>
    <row r="15033" spans="1:1" x14ac:dyDescent="0.25">
      <c r="A15033" t="s">
        <v>13798</v>
      </c>
    </row>
    <row r="15034" spans="1:1" x14ac:dyDescent="0.25">
      <c r="A15034" t="s">
        <v>13799</v>
      </c>
    </row>
    <row r="15035" spans="1:1" x14ac:dyDescent="0.25">
      <c r="A15035" t="s">
        <v>13800</v>
      </c>
    </row>
    <row r="15036" spans="1:1" x14ac:dyDescent="0.25">
      <c r="A15036" t="s">
        <v>13801</v>
      </c>
    </row>
    <row r="15037" spans="1:1" x14ac:dyDescent="0.25">
      <c r="A15037" t="s">
        <v>13802</v>
      </c>
    </row>
    <row r="15038" spans="1:1" x14ac:dyDescent="0.25">
      <c r="A15038" t="s">
        <v>13803</v>
      </c>
    </row>
    <row r="15040" spans="1:1" x14ac:dyDescent="0.25">
      <c r="A15040" t="s">
        <v>13804</v>
      </c>
    </row>
    <row r="15041" spans="1:1" x14ac:dyDescent="0.25">
      <c r="A15041" t="s">
        <v>13805</v>
      </c>
    </row>
    <row r="15042" spans="1:1" x14ac:dyDescent="0.25">
      <c r="A15042" t="s">
        <v>13806</v>
      </c>
    </row>
    <row r="15043" spans="1:1" x14ac:dyDescent="0.25">
      <c r="A15043" t="s">
        <v>13807</v>
      </c>
    </row>
    <row r="15044" spans="1:1" x14ac:dyDescent="0.25">
      <c r="A15044" t="s">
        <v>13808</v>
      </c>
    </row>
    <row r="15045" spans="1:1" x14ac:dyDescent="0.25">
      <c r="A15045" t="s">
        <v>13809</v>
      </c>
    </row>
    <row r="15046" spans="1:1" x14ac:dyDescent="0.25">
      <c r="A15046" t="s">
        <v>13810</v>
      </c>
    </row>
    <row r="15047" spans="1:1" x14ac:dyDescent="0.25">
      <c r="A15047" t="s">
        <v>13811</v>
      </c>
    </row>
    <row r="15048" spans="1:1" x14ac:dyDescent="0.25">
      <c r="A15048" t="s">
        <v>13812</v>
      </c>
    </row>
    <row r="15049" spans="1:1" x14ac:dyDescent="0.25">
      <c r="A15049" t="s">
        <v>13813</v>
      </c>
    </row>
    <row r="15050" spans="1:1" x14ac:dyDescent="0.25">
      <c r="A15050" t="s">
        <v>13814</v>
      </c>
    </row>
    <row r="15051" spans="1:1" x14ac:dyDescent="0.25">
      <c r="A15051" t="s">
        <v>13815</v>
      </c>
    </row>
    <row r="15052" spans="1:1" x14ac:dyDescent="0.25">
      <c r="A15052" t="s">
        <v>13816</v>
      </c>
    </row>
    <row r="15054" spans="1:1" x14ac:dyDescent="0.25">
      <c r="A15054" t="s">
        <v>13817</v>
      </c>
    </row>
    <row r="15055" spans="1:1" x14ac:dyDescent="0.25">
      <c r="A15055" t="s">
        <v>13818</v>
      </c>
    </row>
    <row r="15056" spans="1:1" x14ac:dyDescent="0.25">
      <c r="A15056" t="s">
        <v>13819</v>
      </c>
    </row>
    <row r="15057" spans="1:1" x14ac:dyDescent="0.25">
      <c r="A15057" t="s">
        <v>13820</v>
      </c>
    </row>
    <row r="15058" spans="1:1" x14ac:dyDescent="0.25">
      <c r="A15058" t="s">
        <v>13821</v>
      </c>
    </row>
    <row r="15059" spans="1:1" x14ac:dyDescent="0.25">
      <c r="A15059" t="s">
        <v>13822</v>
      </c>
    </row>
    <row r="15061" spans="1:1" x14ac:dyDescent="0.25">
      <c r="A15061" t="s">
        <v>13823</v>
      </c>
    </row>
    <row r="15062" spans="1:1" x14ac:dyDescent="0.25">
      <c r="A15062" t="s">
        <v>13824</v>
      </c>
    </row>
    <row r="15063" spans="1:1" x14ac:dyDescent="0.25">
      <c r="A15063" t="s">
        <v>13825</v>
      </c>
    </row>
    <row r="15064" spans="1:1" x14ac:dyDescent="0.25">
      <c r="A15064" t="s">
        <v>13826</v>
      </c>
    </row>
    <row r="15065" spans="1:1" x14ac:dyDescent="0.25">
      <c r="A15065" t="s">
        <v>13827</v>
      </c>
    </row>
    <row r="15066" spans="1:1" x14ac:dyDescent="0.25">
      <c r="A15066" t="s">
        <v>13828</v>
      </c>
    </row>
    <row r="15067" spans="1:1" x14ac:dyDescent="0.25">
      <c r="A15067" t="s">
        <v>13829</v>
      </c>
    </row>
    <row r="15068" spans="1:1" x14ac:dyDescent="0.25">
      <c r="A15068" t="s">
        <v>13830</v>
      </c>
    </row>
    <row r="15069" spans="1:1" x14ac:dyDescent="0.25">
      <c r="A15069" t="s">
        <v>13831</v>
      </c>
    </row>
    <row r="15070" spans="1:1" x14ac:dyDescent="0.25">
      <c r="A15070" t="s">
        <v>13832</v>
      </c>
    </row>
    <row r="15071" spans="1:1" x14ac:dyDescent="0.25">
      <c r="A15071" t="s">
        <v>13833</v>
      </c>
    </row>
    <row r="15072" spans="1:1" x14ac:dyDescent="0.25">
      <c r="A15072" t="s">
        <v>13834</v>
      </c>
    </row>
    <row r="15073" spans="1:1" x14ac:dyDescent="0.25">
      <c r="A15073">
        <v>700</v>
      </c>
    </row>
    <row r="15074" spans="1:1" x14ac:dyDescent="0.25">
      <c r="A15074" t="s">
        <v>13835</v>
      </c>
    </row>
    <row r="15075" spans="1:1" x14ac:dyDescent="0.25">
      <c r="A15075" t="s">
        <v>13836</v>
      </c>
    </row>
    <row r="15076" spans="1:1" x14ac:dyDescent="0.25">
      <c r="A15076" t="s">
        <v>13837</v>
      </c>
    </row>
    <row r="15077" spans="1:1" x14ac:dyDescent="0.25">
      <c r="A15077" t="s">
        <v>13838</v>
      </c>
    </row>
    <row r="15078" spans="1:1" x14ac:dyDescent="0.25">
      <c r="A15078" t="s">
        <v>13839</v>
      </c>
    </row>
    <row r="15079" spans="1:1" x14ac:dyDescent="0.25">
      <c r="A15079" t="s">
        <v>13840</v>
      </c>
    </row>
    <row r="15080" spans="1:1" x14ac:dyDescent="0.25">
      <c r="A15080" t="s">
        <v>13841</v>
      </c>
    </row>
    <row r="15081" spans="1:1" x14ac:dyDescent="0.25">
      <c r="A15081" t="s">
        <v>13842</v>
      </c>
    </row>
    <row r="15082" spans="1:1" x14ac:dyDescent="0.25">
      <c r="A15082" t="s">
        <v>13843</v>
      </c>
    </row>
    <row r="15083" spans="1:1" x14ac:dyDescent="0.25">
      <c r="A15083" t="s">
        <v>13844</v>
      </c>
    </row>
    <row r="15084" spans="1:1" x14ac:dyDescent="0.25">
      <c r="A15084" t="s">
        <v>13845</v>
      </c>
    </row>
    <row r="15085" spans="1:1" x14ac:dyDescent="0.25">
      <c r="A15085" t="s">
        <v>13846</v>
      </c>
    </row>
    <row r="15086" spans="1:1" x14ac:dyDescent="0.25">
      <c r="A15086" t="s">
        <v>13847</v>
      </c>
    </row>
    <row r="15087" spans="1:1" x14ac:dyDescent="0.25">
      <c r="A15087" t="s">
        <v>13848</v>
      </c>
    </row>
    <row r="15088" spans="1:1" x14ac:dyDescent="0.25">
      <c r="A15088" t="s">
        <v>13849</v>
      </c>
    </row>
    <row r="15089" spans="1:1" x14ac:dyDescent="0.25">
      <c r="A15089" t="s">
        <v>13850</v>
      </c>
    </row>
    <row r="15090" spans="1:1" x14ac:dyDescent="0.25">
      <c r="A15090" t="s">
        <v>13851</v>
      </c>
    </row>
    <row r="15091" spans="1:1" x14ac:dyDescent="0.25">
      <c r="A15091" t="s">
        <v>13852</v>
      </c>
    </row>
    <row r="15092" spans="1:1" x14ac:dyDescent="0.25">
      <c r="A15092" t="s">
        <v>13853</v>
      </c>
    </row>
    <row r="15093" spans="1:1" x14ac:dyDescent="0.25">
      <c r="A15093" t="s">
        <v>13854</v>
      </c>
    </row>
    <row r="15094" spans="1:1" x14ac:dyDescent="0.25">
      <c r="A15094" t="s">
        <v>13855</v>
      </c>
    </row>
    <row r="15095" spans="1:1" x14ac:dyDescent="0.25">
      <c r="A15095" t="s">
        <v>13856</v>
      </c>
    </row>
    <row r="15096" spans="1:1" x14ac:dyDescent="0.25">
      <c r="A15096" t="s">
        <v>13857</v>
      </c>
    </row>
    <row r="15097" spans="1:1" x14ac:dyDescent="0.25">
      <c r="A15097" t="s">
        <v>13858</v>
      </c>
    </row>
    <row r="15098" spans="1:1" x14ac:dyDescent="0.25">
      <c r="A15098" t="s">
        <v>13859</v>
      </c>
    </row>
    <row r="15099" spans="1:1" x14ac:dyDescent="0.25">
      <c r="A15099" t="s">
        <v>13860</v>
      </c>
    </row>
    <row r="15100" spans="1:1" x14ac:dyDescent="0.25">
      <c r="A15100" t="s">
        <v>13861</v>
      </c>
    </row>
    <row r="15101" spans="1:1" x14ac:dyDescent="0.25">
      <c r="A15101" t="s">
        <v>13862</v>
      </c>
    </row>
    <row r="15102" spans="1:1" x14ac:dyDescent="0.25">
      <c r="A15102" t="s">
        <v>13863</v>
      </c>
    </row>
    <row r="15103" spans="1:1" x14ac:dyDescent="0.25">
      <c r="A15103" t="s">
        <v>13864</v>
      </c>
    </row>
    <row r="15104" spans="1:1" x14ac:dyDescent="0.25">
      <c r="A15104" t="s">
        <v>13865</v>
      </c>
    </row>
    <row r="15105" spans="1:1" x14ac:dyDescent="0.25">
      <c r="A15105" t="s">
        <v>13866</v>
      </c>
    </row>
    <row r="15106" spans="1:1" x14ac:dyDescent="0.25">
      <c r="A15106" t="s">
        <v>13867</v>
      </c>
    </row>
    <row r="15107" spans="1:1" x14ac:dyDescent="0.25">
      <c r="A15107" t="s">
        <v>13868</v>
      </c>
    </row>
    <row r="15108" spans="1:1" x14ac:dyDescent="0.25">
      <c r="A15108" t="s">
        <v>13869</v>
      </c>
    </row>
    <row r="15109" spans="1:1" x14ac:dyDescent="0.25">
      <c r="A15109" t="s">
        <v>13870</v>
      </c>
    </row>
    <row r="15110" spans="1:1" x14ac:dyDescent="0.25">
      <c r="A15110" t="s">
        <v>13871</v>
      </c>
    </row>
    <row r="15111" spans="1:1" x14ac:dyDescent="0.25">
      <c r="A15111" t="s">
        <v>13872</v>
      </c>
    </row>
    <row r="15112" spans="1:1" x14ac:dyDescent="0.25">
      <c r="A15112" t="s">
        <v>13873</v>
      </c>
    </row>
    <row r="15113" spans="1:1" x14ac:dyDescent="0.25">
      <c r="A15113" t="s">
        <v>13874</v>
      </c>
    </row>
    <row r="15114" spans="1:1" x14ac:dyDescent="0.25">
      <c r="A15114" t="s">
        <v>13875</v>
      </c>
    </row>
    <row r="15115" spans="1:1" x14ac:dyDescent="0.25">
      <c r="A15115" t="s">
        <v>13876</v>
      </c>
    </row>
    <row r="15116" spans="1:1" x14ac:dyDescent="0.25">
      <c r="A15116" t="s">
        <v>13877</v>
      </c>
    </row>
    <row r="15117" spans="1:1" x14ac:dyDescent="0.25">
      <c r="A15117" t="s">
        <v>13878</v>
      </c>
    </row>
    <row r="15118" spans="1:1" x14ac:dyDescent="0.25">
      <c r="A15118" t="s">
        <v>13879</v>
      </c>
    </row>
    <row r="15119" spans="1:1" x14ac:dyDescent="0.25">
      <c r="A15119" t="s">
        <v>13880</v>
      </c>
    </row>
    <row r="15120" spans="1:1" x14ac:dyDescent="0.25">
      <c r="A15120" t="s">
        <v>13881</v>
      </c>
    </row>
    <row r="15121" spans="1:1" x14ac:dyDescent="0.25">
      <c r="A15121" t="s">
        <v>13882</v>
      </c>
    </row>
    <row r="15122" spans="1:1" x14ac:dyDescent="0.25">
      <c r="A15122" t="s">
        <v>13860</v>
      </c>
    </row>
    <row r="15123" spans="1:1" x14ac:dyDescent="0.25">
      <c r="A15123" t="s">
        <v>13860</v>
      </c>
    </row>
    <row r="15124" spans="1:1" x14ac:dyDescent="0.25">
      <c r="A15124" t="s">
        <v>13883</v>
      </c>
    </row>
    <row r="15125" spans="1:1" x14ac:dyDescent="0.25">
      <c r="A15125" t="s">
        <v>13884</v>
      </c>
    </row>
    <row r="15126" spans="1:1" x14ac:dyDescent="0.25">
      <c r="A15126" t="s">
        <v>13885</v>
      </c>
    </row>
    <row r="15127" spans="1:1" x14ac:dyDescent="0.25">
      <c r="A15127" t="s">
        <v>13886</v>
      </c>
    </row>
    <row r="15128" spans="1:1" x14ac:dyDescent="0.25">
      <c r="A15128" t="s">
        <v>13887</v>
      </c>
    </row>
    <row r="15129" spans="1:1" x14ac:dyDescent="0.25">
      <c r="A15129" t="s">
        <v>13888</v>
      </c>
    </row>
    <row r="15130" spans="1:1" x14ac:dyDescent="0.25">
      <c r="A15130" t="s">
        <v>13889</v>
      </c>
    </row>
    <row r="15131" spans="1:1" x14ac:dyDescent="0.25">
      <c r="A15131" t="s">
        <v>13890</v>
      </c>
    </row>
    <row r="15132" spans="1:1" x14ac:dyDescent="0.25">
      <c r="A15132" t="s">
        <v>13891</v>
      </c>
    </row>
    <row r="15133" spans="1:1" x14ac:dyDescent="0.25">
      <c r="A15133" t="s">
        <v>13892</v>
      </c>
    </row>
    <row r="15134" spans="1:1" x14ac:dyDescent="0.25">
      <c r="A15134" t="s">
        <v>13893</v>
      </c>
    </row>
    <row r="15135" spans="1:1" x14ac:dyDescent="0.25">
      <c r="A15135" t="s">
        <v>13894</v>
      </c>
    </row>
    <row r="15136" spans="1:1" x14ac:dyDescent="0.25">
      <c r="A15136" t="s">
        <v>13895</v>
      </c>
    </row>
    <row r="15137" spans="1:1" x14ac:dyDescent="0.25">
      <c r="A15137" t="s">
        <v>13896</v>
      </c>
    </row>
    <row r="15138" spans="1:1" x14ac:dyDescent="0.25">
      <c r="A15138" t="s">
        <v>13897</v>
      </c>
    </row>
    <row r="15139" spans="1:1" x14ac:dyDescent="0.25">
      <c r="A15139" t="s">
        <v>13898</v>
      </c>
    </row>
    <row r="15140" spans="1:1" x14ac:dyDescent="0.25">
      <c r="A15140" t="s">
        <v>13899</v>
      </c>
    </row>
    <row r="15141" spans="1:1" x14ac:dyDescent="0.25">
      <c r="A15141" t="s">
        <v>13900</v>
      </c>
    </row>
    <row r="15142" spans="1:1" x14ac:dyDescent="0.25">
      <c r="A15142" t="s">
        <v>13901</v>
      </c>
    </row>
    <row r="15143" spans="1:1" x14ac:dyDescent="0.25">
      <c r="A15143" t="s">
        <v>13902</v>
      </c>
    </row>
    <row r="15144" spans="1:1" x14ac:dyDescent="0.25">
      <c r="A15144" t="s">
        <v>13903</v>
      </c>
    </row>
    <row r="15145" spans="1:1" x14ac:dyDescent="0.25">
      <c r="A15145" t="s">
        <v>13904</v>
      </c>
    </row>
    <row r="15146" spans="1:1" x14ac:dyDescent="0.25">
      <c r="A15146" t="s">
        <v>13905</v>
      </c>
    </row>
    <row r="15147" spans="1:1" x14ac:dyDescent="0.25">
      <c r="A15147" t="s">
        <v>13906</v>
      </c>
    </row>
    <row r="15148" spans="1:1" x14ac:dyDescent="0.25">
      <c r="A15148" t="s">
        <v>13907</v>
      </c>
    </row>
    <row r="15149" spans="1:1" x14ac:dyDescent="0.25">
      <c r="A15149" t="s">
        <v>13908</v>
      </c>
    </row>
    <row r="15150" spans="1:1" x14ac:dyDescent="0.25">
      <c r="A15150" t="s">
        <v>13909</v>
      </c>
    </row>
    <row r="15151" spans="1:1" x14ac:dyDescent="0.25">
      <c r="A15151" t="s">
        <v>13910</v>
      </c>
    </row>
    <row r="15152" spans="1:1" x14ac:dyDescent="0.25">
      <c r="A15152" t="s">
        <v>13911</v>
      </c>
    </row>
    <row r="15153" spans="1:1" x14ac:dyDescent="0.25">
      <c r="A15153" t="s">
        <v>13912</v>
      </c>
    </row>
    <row r="15154" spans="1:1" x14ac:dyDescent="0.25">
      <c r="A15154" t="s">
        <v>13913</v>
      </c>
    </row>
    <row r="15155" spans="1:1" x14ac:dyDescent="0.25">
      <c r="A15155" t="s">
        <v>13914</v>
      </c>
    </row>
    <row r="15156" spans="1:1" x14ac:dyDescent="0.25">
      <c r="A15156" t="s">
        <v>13915</v>
      </c>
    </row>
    <row r="15157" spans="1:1" x14ac:dyDescent="0.25">
      <c r="A15157" t="s">
        <v>13916</v>
      </c>
    </row>
    <row r="15158" spans="1:1" x14ac:dyDescent="0.25">
      <c r="A15158" t="s">
        <v>13917</v>
      </c>
    </row>
    <row r="15159" spans="1:1" x14ac:dyDescent="0.25">
      <c r="A15159" t="s">
        <v>13918</v>
      </c>
    </row>
    <row r="15160" spans="1:1" x14ac:dyDescent="0.25">
      <c r="A15160" t="s">
        <v>13919</v>
      </c>
    </row>
    <row r="15161" spans="1:1" x14ac:dyDescent="0.25">
      <c r="A15161" t="s">
        <v>13920</v>
      </c>
    </row>
    <row r="15162" spans="1:1" x14ac:dyDescent="0.25">
      <c r="A15162" t="s">
        <v>13921</v>
      </c>
    </row>
    <row r="15163" spans="1:1" x14ac:dyDescent="0.25">
      <c r="A15163" t="s">
        <v>13922</v>
      </c>
    </row>
    <row r="15164" spans="1:1" x14ac:dyDescent="0.25">
      <c r="A15164" t="s">
        <v>13923</v>
      </c>
    </row>
    <row r="15165" spans="1:1" x14ac:dyDescent="0.25">
      <c r="A15165" t="s">
        <v>13924</v>
      </c>
    </row>
    <row r="15166" spans="1:1" x14ac:dyDescent="0.25">
      <c r="A15166" t="s">
        <v>13925</v>
      </c>
    </row>
    <row r="15167" spans="1:1" x14ac:dyDescent="0.25">
      <c r="A15167" t="s">
        <v>13926</v>
      </c>
    </row>
    <row r="15168" spans="1:1" x14ac:dyDescent="0.25">
      <c r="A15168" t="s">
        <v>13927</v>
      </c>
    </row>
    <row r="15169" spans="1:1" x14ac:dyDescent="0.25">
      <c r="A15169" t="s">
        <v>13928</v>
      </c>
    </row>
    <row r="15170" spans="1:1" x14ac:dyDescent="0.25">
      <c r="A15170" t="s">
        <v>13929</v>
      </c>
    </row>
    <row r="15171" spans="1:1" x14ac:dyDescent="0.25">
      <c r="A15171" t="s">
        <v>13930</v>
      </c>
    </row>
    <row r="15172" spans="1:1" x14ac:dyDescent="0.25">
      <c r="A15172" t="s">
        <v>13931</v>
      </c>
    </row>
    <row r="15173" spans="1:1" x14ac:dyDescent="0.25">
      <c r="A15173" t="s">
        <v>13932</v>
      </c>
    </row>
    <row r="15174" spans="1:1" x14ac:dyDescent="0.25">
      <c r="A15174" t="s">
        <v>13933</v>
      </c>
    </row>
    <row r="15175" spans="1:1" x14ac:dyDescent="0.25">
      <c r="A15175" t="s">
        <v>13934</v>
      </c>
    </row>
    <row r="15176" spans="1:1" x14ac:dyDescent="0.25">
      <c r="A15176" t="s">
        <v>13935</v>
      </c>
    </row>
    <row r="15177" spans="1:1" x14ac:dyDescent="0.25">
      <c r="A15177" t="s">
        <v>13936</v>
      </c>
    </row>
    <row r="15178" spans="1:1" x14ac:dyDescent="0.25">
      <c r="A15178" t="s">
        <v>13937</v>
      </c>
    </row>
    <row r="15179" spans="1:1" x14ac:dyDescent="0.25">
      <c r="A15179" t="s">
        <v>13938</v>
      </c>
    </row>
    <row r="15180" spans="1:1" x14ac:dyDescent="0.25">
      <c r="A15180" t="s">
        <v>13939</v>
      </c>
    </row>
    <row r="15181" spans="1:1" x14ac:dyDescent="0.25">
      <c r="A15181" t="s">
        <v>13940</v>
      </c>
    </row>
    <row r="15182" spans="1:1" x14ac:dyDescent="0.25">
      <c r="A15182" t="s">
        <v>13941</v>
      </c>
    </row>
    <row r="15183" spans="1:1" x14ac:dyDescent="0.25">
      <c r="A15183" t="s">
        <v>13942</v>
      </c>
    </row>
    <row r="15184" spans="1:1" x14ac:dyDescent="0.25">
      <c r="A15184" t="s">
        <v>13943</v>
      </c>
    </row>
    <row r="15185" spans="1:1" x14ac:dyDescent="0.25">
      <c r="A15185" t="s">
        <v>13944</v>
      </c>
    </row>
    <row r="15186" spans="1:1" x14ac:dyDescent="0.25">
      <c r="A15186" t="s">
        <v>13945</v>
      </c>
    </row>
    <row r="15187" spans="1:1" x14ac:dyDescent="0.25">
      <c r="A15187" t="s">
        <v>13946</v>
      </c>
    </row>
    <row r="15188" spans="1:1" x14ac:dyDescent="0.25">
      <c r="A15188" t="s">
        <v>13947</v>
      </c>
    </row>
    <row r="15189" spans="1:1" x14ac:dyDescent="0.25">
      <c r="A15189" t="s">
        <v>13948</v>
      </c>
    </row>
    <row r="15190" spans="1:1" x14ac:dyDescent="0.25">
      <c r="A15190" t="s">
        <v>13949</v>
      </c>
    </row>
    <row r="15191" spans="1:1" x14ac:dyDescent="0.25">
      <c r="A15191" t="s">
        <v>13950</v>
      </c>
    </row>
    <row r="15192" spans="1:1" x14ac:dyDescent="0.25">
      <c r="A15192" t="s">
        <v>13951</v>
      </c>
    </row>
    <row r="15193" spans="1:1" x14ac:dyDescent="0.25">
      <c r="A15193" t="s">
        <v>13952</v>
      </c>
    </row>
    <row r="15194" spans="1:1" x14ac:dyDescent="0.25">
      <c r="A15194" t="s">
        <v>13953</v>
      </c>
    </row>
    <row r="15195" spans="1:1" x14ac:dyDescent="0.25">
      <c r="A15195" t="s">
        <v>13954</v>
      </c>
    </row>
    <row r="15196" spans="1:1" x14ac:dyDescent="0.25">
      <c r="A15196" t="s">
        <v>13955</v>
      </c>
    </row>
    <row r="15197" spans="1:1" x14ac:dyDescent="0.25">
      <c r="A15197" t="s">
        <v>13956</v>
      </c>
    </row>
    <row r="15198" spans="1:1" x14ac:dyDescent="0.25">
      <c r="A15198" t="s">
        <v>13957</v>
      </c>
    </row>
    <row r="15199" spans="1:1" x14ac:dyDescent="0.25">
      <c r="A15199" t="s">
        <v>13958</v>
      </c>
    </row>
    <row r="15200" spans="1:1" x14ac:dyDescent="0.25">
      <c r="A15200" t="s">
        <v>13959</v>
      </c>
    </row>
    <row r="15201" spans="1:1" x14ac:dyDescent="0.25">
      <c r="A15201" t="s">
        <v>13960</v>
      </c>
    </row>
    <row r="15202" spans="1:1" x14ac:dyDescent="0.25">
      <c r="A15202" t="s">
        <v>13961</v>
      </c>
    </row>
    <row r="15203" spans="1:1" x14ac:dyDescent="0.25">
      <c r="A15203" t="s">
        <v>13962</v>
      </c>
    </row>
    <row r="15204" spans="1:1" x14ac:dyDescent="0.25">
      <c r="A15204" t="s">
        <v>13963</v>
      </c>
    </row>
    <row r="15205" spans="1:1" x14ac:dyDescent="0.25">
      <c r="A15205" t="s">
        <v>13964</v>
      </c>
    </row>
    <row r="15206" spans="1:1" x14ac:dyDescent="0.25">
      <c r="A15206" t="s">
        <v>13965</v>
      </c>
    </row>
    <row r="15207" spans="1:1" x14ac:dyDescent="0.25">
      <c r="A15207" t="s">
        <v>13966</v>
      </c>
    </row>
    <row r="15208" spans="1:1" x14ac:dyDescent="0.25">
      <c r="A15208" t="s">
        <v>13967</v>
      </c>
    </row>
    <row r="15209" spans="1:1" x14ac:dyDescent="0.25">
      <c r="A15209" t="s">
        <v>13968</v>
      </c>
    </row>
    <row r="15210" spans="1:1" x14ac:dyDescent="0.25">
      <c r="A15210" t="s">
        <v>13969</v>
      </c>
    </row>
    <row r="15211" spans="1:1" x14ac:dyDescent="0.25">
      <c r="A15211" t="s">
        <v>13970</v>
      </c>
    </row>
    <row r="15212" spans="1:1" x14ac:dyDescent="0.25">
      <c r="A15212" t="s">
        <v>13971</v>
      </c>
    </row>
    <row r="15213" spans="1:1" x14ac:dyDescent="0.25">
      <c r="A15213" t="s">
        <v>13972</v>
      </c>
    </row>
    <row r="15214" spans="1:1" x14ac:dyDescent="0.25">
      <c r="A15214" t="s">
        <v>13973</v>
      </c>
    </row>
    <row r="15215" spans="1:1" x14ac:dyDescent="0.25">
      <c r="A15215" t="s">
        <v>13974</v>
      </c>
    </row>
    <row r="15216" spans="1:1" x14ac:dyDescent="0.25">
      <c r="A15216" t="s">
        <v>13975</v>
      </c>
    </row>
    <row r="15217" spans="1:1" x14ac:dyDescent="0.25">
      <c r="A15217" t="s">
        <v>13976</v>
      </c>
    </row>
    <row r="15218" spans="1:1" x14ac:dyDescent="0.25">
      <c r="A15218" t="s">
        <v>13977</v>
      </c>
    </row>
    <row r="15219" spans="1:1" x14ac:dyDescent="0.25">
      <c r="A15219" t="s">
        <v>13978</v>
      </c>
    </row>
    <row r="15220" spans="1:1" x14ac:dyDescent="0.25">
      <c r="A15220" t="s">
        <v>13979</v>
      </c>
    </row>
    <row r="15221" spans="1:1" x14ac:dyDescent="0.25">
      <c r="A15221" t="s">
        <v>13980</v>
      </c>
    </row>
    <row r="15222" spans="1:1" x14ac:dyDescent="0.25">
      <c r="A15222" t="s">
        <v>13981</v>
      </c>
    </row>
    <row r="15223" spans="1:1" x14ac:dyDescent="0.25">
      <c r="A15223" t="s">
        <v>13982</v>
      </c>
    </row>
    <row r="15224" spans="1:1" x14ac:dyDescent="0.25">
      <c r="A15224" t="s">
        <v>13983</v>
      </c>
    </row>
    <row r="15225" spans="1:1" x14ac:dyDescent="0.25">
      <c r="A15225" t="s">
        <v>13984</v>
      </c>
    </row>
    <row r="15226" spans="1:1" x14ac:dyDescent="0.25">
      <c r="A15226" t="s">
        <v>13985</v>
      </c>
    </row>
    <row r="15227" spans="1:1" x14ac:dyDescent="0.25">
      <c r="A15227" t="s">
        <v>13986</v>
      </c>
    </row>
    <row r="15228" spans="1:1" x14ac:dyDescent="0.25">
      <c r="A15228" t="s">
        <v>13987</v>
      </c>
    </row>
    <row r="15229" spans="1:1" x14ac:dyDescent="0.25">
      <c r="A15229" t="s">
        <v>13988</v>
      </c>
    </row>
    <row r="15230" spans="1:1" x14ac:dyDescent="0.25">
      <c r="A15230" t="s">
        <v>13989</v>
      </c>
    </row>
    <row r="15231" spans="1:1" x14ac:dyDescent="0.25">
      <c r="A15231" t="s">
        <v>13990</v>
      </c>
    </row>
    <row r="15232" spans="1:1" x14ac:dyDescent="0.25">
      <c r="A15232" t="s">
        <v>13991</v>
      </c>
    </row>
    <row r="15233" spans="1:1" x14ac:dyDescent="0.25">
      <c r="A15233" t="s">
        <v>13992</v>
      </c>
    </row>
    <row r="15234" spans="1:1" x14ac:dyDescent="0.25">
      <c r="A15234" t="s">
        <v>13993</v>
      </c>
    </row>
    <row r="15235" spans="1:1" x14ac:dyDescent="0.25">
      <c r="A15235" t="s">
        <v>13994</v>
      </c>
    </row>
    <row r="15236" spans="1:1" x14ac:dyDescent="0.25">
      <c r="A15236" t="s">
        <v>13995</v>
      </c>
    </row>
    <row r="15237" spans="1:1" x14ac:dyDescent="0.25">
      <c r="A15237" t="s">
        <v>13996</v>
      </c>
    </row>
    <row r="15238" spans="1:1" x14ac:dyDescent="0.25">
      <c r="A15238" t="s">
        <v>13997</v>
      </c>
    </row>
    <row r="15239" spans="1:1" x14ac:dyDescent="0.25">
      <c r="A15239" t="s">
        <v>13998</v>
      </c>
    </row>
    <row r="15240" spans="1:1" x14ac:dyDescent="0.25">
      <c r="A15240" t="s">
        <v>13999</v>
      </c>
    </row>
    <row r="15241" spans="1:1" x14ac:dyDescent="0.25">
      <c r="A15241" t="s">
        <v>14000</v>
      </c>
    </row>
    <row r="15242" spans="1:1" x14ac:dyDescent="0.25">
      <c r="A15242" t="s">
        <v>14001</v>
      </c>
    </row>
    <row r="15243" spans="1:1" x14ac:dyDescent="0.25">
      <c r="A15243" t="s">
        <v>13996</v>
      </c>
    </row>
    <row r="15246" spans="1:1" x14ac:dyDescent="0.25">
      <c r="A15246" t="s">
        <v>14002</v>
      </c>
    </row>
    <row r="15247" spans="1:1" x14ac:dyDescent="0.25">
      <c r="A15247" t="s">
        <v>14003</v>
      </c>
    </row>
    <row r="15248" spans="1:1" x14ac:dyDescent="0.25">
      <c r="A15248" t="s">
        <v>14004</v>
      </c>
    </row>
    <row r="15249" spans="1:1" x14ac:dyDescent="0.25">
      <c r="A15249" t="s">
        <v>14005</v>
      </c>
    </row>
    <row r="15250" spans="1:1" x14ac:dyDescent="0.25">
      <c r="A15250" t="s">
        <v>14006</v>
      </c>
    </row>
    <row r="15251" spans="1:1" x14ac:dyDescent="0.25">
      <c r="A15251" t="s">
        <v>14007</v>
      </c>
    </row>
    <row r="15252" spans="1:1" x14ac:dyDescent="0.25">
      <c r="A15252" t="s">
        <v>14008</v>
      </c>
    </row>
    <row r="15253" spans="1:1" x14ac:dyDescent="0.25">
      <c r="A15253" t="s">
        <v>14009</v>
      </c>
    </row>
    <row r="15254" spans="1:1" x14ac:dyDescent="0.25">
      <c r="A15254" t="s">
        <v>14010</v>
      </c>
    </row>
    <row r="15255" spans="1:1" x14ac:dyDescent="0.25">
      <c r="A15255" t="s">
        <v>14011</v>
      </c>
    </row>
    <row r="15256" spans="1:1" x14ac:dyDescent="0.25">
      <c r="A15256" t="s">
        <v>14012</v>
      </c>
    </row>
    <row r="15257" spans="1:1" x14ac:dyDescent="0.25">
      <c r="A15257" t="s">
        <v>14013</v>
      </c>
    </row>
    <row r="15258" spans="1:1" x14ac:dyDescent="0.25">
      <c r="A15258" t="s">
        <v>14014</v>
      </c>
    </row>
    <row r="15259" spans="1:1" x14ac:dyDescent="0.25">
      <c r="A15259" t="s">
        <v>14015</v>
      </c>
    </row>
    <row r="15260" spans="1:1" x14ac:dyDescent="0.25">
      <c r="A15260" t="s">
        <v>14016</v>
      </c>
    </row>
    <row r="15261" spans="1:1" x14ac:dyDescent="0.25">
      <c r="A15261" t="s">
        <v>14017</v>
      </c>
    </row>
    <row r="15262" spans="1:1" x14ac:dyDescent="0.25">
      <c r="A15262" t="s">
        <v>14018</v>
      </c>
    </row>
    <row r="15263" spans="1:1" x14ac:dyDescent="0.25">
      <c r="A15263" t="s">
        <v>14019</v>
      </c>
    </row>
    <row r="15264" spans="1:1" x14ac:dyDescent="0.25">
      <c r="A15264" t="s">
        <v>14020</v>
      </c>
    </row>
    <row r="15265" spans="1:1" x14ac:dyDescent="0.25">
      <c r="A15265" t="s">
        <v>14021</v>
      </c>
    </row>
    <row r="15266" spans="1:1" x14ac:dyDescent="0.25">
      <c r="A15266" t="s">
        <v>14022</v>
      </c>
    </row>
    <row r="15267" spans="1:1" x14ac:dyDescent="0.25">
      <c r="A15267" t="s">
        <v>14023</v>
      </c>
    </row>
    <row r="15268" spans="1:1" x14ac:dyDescent="0.25">
      <c r="A15268" t="s">
        <v>14024</v>
      </c>
    </row>
    <row r="15269" spans="1:1" x14ac:dyDescent="0.25">
      <c r="A15269" t="s">
        <v>14025</v>
      </c>
    </row>
    <row r="15270" spans="1:1" x14ac:dyDescent="0.25">
      <c r="A15270" t="s">
        <v>14026</v>
      </c>
    </row>
    <row r="15271" spans="1:1" x14ac:dyDescent="0.25">
      <c r="A15271" t="s">
        <v>14027</v>
      </c>
    </row>
    <row r="15272" spans="1:1" x14ac:dyDescent="0.25">
      <c r="A15272" t="s">
        <v>14028</v>
      </c>
    </row>
    <row r="15273" spans="1:1" x14ac:dyDescent="0.25">
      <c r="A15273" t="s">
        <v>14029</v>
      </c>
    </row>
    <row r="15274" spans="1:1" x14ac:dyDescent="0.25">
      <c r="A15274" t="s">
        <v>14030</v>
      </c>
    </row>
    <row r="15275" spans="1:1" x14ac:dyDescent="0.25">
      <c r="A15275" t="s">
        <v>14031</v>
      </c>
    </row>
    <row r="15276" spans="1:1" x14ac:dyDescent="0.25">
      <c r="A15276" t="s">
        <v>14032</v>
      </c>
    </row>
    <row r="15277" spans="1:1" x14ac:dyDescent="0.25">
      <c r="A15277" t="s">
        <v>14033</v>
      </c>
    </row>
    <row r="15278" spans="1:1" x14ac:dyDescent="0.25">
      <c r="A15278" t="s">
        <v>14034</v>
      </c>
    </row>
    <row r="15279" spans="1:1" x14ac:dyDescent="0.25">
      <c r="A15279" t="s">
        <v>14035</v>
      </c>
    </row>
    <row r="15280" spans="1:1" x14ac:dyDescent="0.25">
      <c r="A15280" t="s">
        <v>14036</v>
      </c>
    </row>
    <row r="15281" spans="1:1" x14ac:dyDescent="0.25">
      <c r="A15281" t="s">
        <v>14037</v>
      </c>
    </row>
    <row r="15282" spans="1:1" x14ac:dyDescent="0.25">
      <c r="A15282" t="s">
        <v>14038</v>
      </c>
    </row>
    <row r="15283" spans="1:1" x14ac:dyDescent="0.25">
      <c r="A15283" t="s">
        <v>14039</v>
      </c>
    </row>
    <row r="15284" spans="1:1" x14ac:dyDescent="0.25">
      <c r="A15284" t="s">
        <v>14040</v>
      </c>
    </row>
    <row r="15285" spans="1:1" x14ac:dyDescent="0.25">
      <c r="A15285" t="s">
        <v>14041</v>
      </c>
    </row>
    <row r="15287" spans="1:1" x14ac:dyDescent="0.25">
      <c r="A15287" t="s">
        <v>14042</v>
      </c>
    </row>
    <row r="15288" spans="1:1" x14ac:dyDescent="0.25">
      <c r="A15288" t="s">
        <v>14043</v>
      </c>
    </row>
    <row r="15289" spans="1:1" x14ac:dyDescent="0.25">
      <c r="A15289" t="s">
        <v>14044</v>
      </c>
    </row>
    <row r="15290" spans="1:1" x14ac:dyDescent="0.25">
      <c r="A15290" t="s">
        <v>14045</v>
      </c>
    </row>
    <row r="15291" spans="1:1" x14ac:dyDescent="0.25">
      <c r="A15291" t="s">
        <v>14046</v>
      </c>
    </row>
    <row r="15292" spans="1:1" x14ac:dyDescent="0.25">
      <c r="A15292" t="s">
        <v>14047</v>
      </c>
    </row>
    <row r="15293" spans="1:1" x14ac:dyDescent="0.25">
      <c r="A15293" t="s">
        <v>14048</v>
      </c>
    </row>
    <row r="15294" spans="1:1" x14ac:dyDescent="0.25">
      <c r="A15294" t="s">
        <v>14049</v>
      </c>
    </row>
    <row r="15295" spans="1:1" x14ac:dyDescent="0.25">
      <c r="A15295" t="s">
        <v>14050</v>
      </c>
    </row>
    <row r="15296" spans="1:1" x14ac:dyDescent="0.25">
      <c r="A15296" t="s">
        <v>14051</v>
      </c>
    </row>
    <row r="15297" spans="1:1" x14ac:dyDescent="0.25">
      <c r="A15297" t="s">
        <v>14052</v>
      </c>
    </row>
    <row r="15298" spans="1:1" x14ac:dyDescent="0.25">
      <c r="A15298" t="s">
        <v>14053</v>
      </c>
    </row>
    <row r="15299" spans="1:1" x14ac:dyDescent="0.25">
      <c r="A15299" t="s">
        <v>14054</v>
      </c>
    </row>
    <row r="15300" spans="1:1" x14ac:dyDescent="0.25">
      <c r="A15300" t="s">
        <v>14055</v>
      </c>
    </row>
    <row r="15301" spans="1:1" x14ac:dyDescent="0.25">
      <c r="A15301" t="s">
        <v>14056</v>
      </c>
    </row>
    <row r="15302" spans="1:1" x14ac:dyDescent="0.25">
      <c r="A15302" t="s">
        <v>14057</v>
      </c>
    </row>
    <row r="15303" spans="1:1" x14ac:dyDescent="0.25">
      <c r="A15303" t="s">
        <v>14058</v>
      </c>
    </row>
    <row r="15304" spans="1:1" x14ac:dyDescent="0.25">
      <c r="A15304" t="s">
        <v>14059</v>
      </c>
    </row>
    <row r="15305" spans="1:1" x14ac:dyDescent="0.25">
      <c r="A15305" t="s">
        <v>14060</v>
      </c>
    </row>
    <row r="15306" spans="1:1" x14ac:dyDescent="0.25">
      <c r="A15306" t="s">
        <v>14061</v>
      </c>
    </row>
    <row r="15307" spans="1:1" x14ac:dyDescent="0.25">
      <c r="A15307" t="s">
        <v>14062</v>
      </c>
    </row>
    <row r="15308" spans="1:1" x14ac:dyDescent="0.25">
      <c r="A15308" t="s">
        <v>14063</v>
      </c>
    </row>
    <row r="15309" spans="1:1" x14ac:dyDescent="0.25">
      <c r="A15309" t="s">
        <v>14064</v>
      </c>
    </row>
    <row r="15310" spans="1:1" x14ac:dyDescent="0.25">
      <c r="A15310" t="s">
        <v>14065</v>
      </c>
    </row>
    <row r="15311" spans="1:1" x14ac:dyDescent="0.25">
      <c r="A15311" t="s">
        <v>14066</v>
      </c>
    </row>
    <row r="15312" spans="1:1" x14ac:dyDescent="0.25">
      <c r="A15312" t="s">
        <v>14067</v>
      </c>
    </row>
    <row r="15313" spans="1:1" x14ac:dyDescent="0.25">
      <c r="A15313" t="s">
        <v>14068</v>
      </c>
    </row>
    <row r="15314" spans="1:1" x14ac:dyDescent="0.25">
      <c r="A15314" t="s">
        <v>14069</v>
      </c>
    </row>
    <row r="15315" spans="1:1" x14ac:dyDescent="0.25">
      <c r="A15315" t="s">
        <v>14070</v>
      </c>
    </row>
    <row r="15316" spans="1:1" x14ac:dyDescent="0.25">
      <c r="A15316" t="s">
        <v>14071</v>
      </c>
    </row>
    <row r="15317" spans="1:1" x14ac:dyDescent="0.25">
      <c r="A15317" t="s">
        <v>14072</v>
      </c>
    </row>
    <row r="15318" spans="1:1" x14ac:dyDescent="0.25">
      <c r="A15318" t="s">
        <v>14073</v>
      </c>
    </row>
    <row r="15319" spans="1:1" x14ac:dyDescent="0.25">
      <c r="A15319" t="s">
        <v>14074</v>
      </c>
    </row>
    <row r="15320" spans="1:1" x14ac:dyDescent="0.25">
      <c r="A15320" t="s">
        <v>14075</v>
      </c>
    </row>
    <row r="15321" spans="1:1" x14ac:dyDescent="0.25">
      <c r="A15321" t="s">
        <v>14076</v>
      </c>
    </row>
    <row r="15322" spans="1:1" x14ac:dyDescent="0.25">
      <c r="A15322" t="s">
        <v>14077</v>
      </c>
    </row>
    <row r="15323" spans="1:1" x14ac:dyDescent="0.25">
      <c r="A15323" t="s">
        <v>14078</v>
      </c>
    </row>
    <row r="15324" spans="1:1" x14ac:dyDescent="0.25">
      <c r="A15324" t="s">
        <v>14079</v>
      </c>
    </row>
    <row r="15325" spans="1:1" x14ac:dyDescent="0.25">
      <c r="A15325" t="s">
        <v>14080</v>
      </c>
    </row>
    <row r="15326" spans="1:1" x14ac:dyDescent="0.25">
      <c r="A15326" t="s">
        <v>14081</v>
      </c>
    </row>
    <row r="15327" spans="1:1" x14ac:dyDescent="0.25">
      <c r="A15327" t="s">
        <v>14082</v>
      </c>
    </row>
    <row r="15328" spans="1:1" x14ac:dyDescent="0.25">
      <c r="A15328" t="s">
        <v>14083</v>
      </c>
    </row>
    <row r="15329" spans="1:1" x14ac:dyDescent="0.25">
      <c r="A15329" t="s">
        <v>14084</v>
      </c>
    </row>
    <row r="15330" spans="1:1" x14ac:dyDescent="0.25">
      <c r="A15330" t="s">
        <v>14085</v>
      </c>
    </row>
    <row r="15331" spans="1:1" x14ac:dyDescent="0.25">
      <c r="A15331" t="s">
        <v>14086</v>
      </c>
    </row>
    <row r="15332" spans="1:1" x14ac:dyDescent="0.25">
      <c r="A15332" t="s">
        <v>14087</v>
      </c>
    </row>
    <row r="15333" spans="1:1" x14ac:dyDescent="0.25">
      <c r="A15333" t="s">
        <v>14088</v>
      </c>
    </row>
    <row r="15334" spans="1:1" x14ac:dyDescent="0.25">
      <c r="A15334" t="s">
        <v>14089</v>
      </c>
    </row>
    <row r="15335" spans="1:1" x14ac:dyDescent="0.25">
      <c r="A15335" t="s">
        <v>14090</v>
      </c>
    </row>
    <row r="15336" spans="1:1" x14ac:dyDescent="0.25">
      <c r="A15336" t="s">
        <v>14091</v>
      </c>
    </row>
    <row r="15337" spans="1:1" x14ac:dyDescent="0.25">
      <c r="A15337" t="s">
        <v>14092</v>
      </c>
    </row>
    <row r="15338" spans="1:1" x14ac:dyDescent="0.25">
      <c r="A15338" t="s">
        <v>14093</v>
      </c>
    </row>
    <row r="15339" spans="1:1" x14ac:dyDescent="0.25">
      <c r="A15339" t="s">
        <v>14094</v>
      </c>
    </row>
    <row r="15340" spans="1:1" x14ac:dyDescent="0.25">
      <c r="A15340" t="s">
        <v>14095</v>
      </c>
    </row>
    <row r="15341" spans="1:1" x14ac:dyDescent="0.25">
      <c r="A15341" t="s">
        <v>14096</v>
      </c>
    </row>
    <row r="15343" spans="1:1" x14ac:dyDescent="0.25">
      <c r="A15343" t="s">
        <v>14097</v>
      </c>
    </row>
    <row r="15344" spans="1:1" x14ac:dyDescent="0.25">
      <c r="A15344" t="s">
        <v>14098</v>
      </c>
    </row>
    <row r="15345" spans="1:1" x14ac:dyDescent="0.25">
      <c r="A15345" t="s">
        <v>14099</v>
      </c>
    </row>
    <row r="15346" spans="1:1" x14ac:dyDescent="0.25">
      <c r="A15346" t="s">
        <v>14100</v>
      </c>
    </row>
    <row r="15347" spans="1:1" x14ac:dyDescent="0.25">
      <c r="A15347" t="s">
        <v>14101</v>
      </c>
    </row>
    <row r="15348" spans="1:1" x14ac:dyDescent="0.25">
      <c r="A15348" t="s">
        <v>14102</v>
      </c>
    </row>
    <row r="15349" spans="1:1" x14ac:dyDescent="0.25">
      <c r="A15349" t="s">
        <v>14103</v>
      </c>
    </row>
    <row r="15350" spans="1:1" x14ac:dyDescent="0.25">
      <c r="A15350" t="s">
        <v>14104</v>
      </c>
    </row>
    <row r="15351" spans="1:1" x14ac:dyDescent="0.25">
      <c r="A15351" t="s">
        <v>14105</v>
      </c>
    </row>
    <row r="15352" spans="1:1" x14ac:dyDescent="0.25">
      <c r="A15352" t="s">
        <v>14106</v>
      </c>
    </row>
    <row r="15353" spans="1:1" x14ac:dyDescent="0.25">
      <c r="A15353" t="s">
        <v>14107</v>
      </c>
    </row>
    <row r="15354" spans="1:1" x14ac:dyDescent="0.25">
      <c r="A15354" t="s">
        <v>14108</v>
      </c>
    </row>
    <row r="15355" spans="1:1" x14ac:dyDescent="0.25">
      <c r="A15355" t="s">
        <v>14109</v>
      </c>
    </row>
    <row r="15356" spans="1:1" x14ac:dyDescent="0.25">
      <c r="A15356" t="s">
        <v>14110</v>
      </c>
    </row>
    <row r="15357" spans="1:1" x14ac:dyDescent="0.25">
      <c r="A15357" t="s">
        <v>14111</v>
      </c>
    </row>
    <row r="15358" spans="1:1" x14ac:dyDescent="0.25">
      <c r="A15358" t="s">
        <v>14112</v>
      </c>
    </row>
    <row r="15359" spans="1:1" x14ac:dyDescent="0.25">
      <c r="A15359" t="s">
        <v>14113</v>
      </c>
    </row>
    <row r="15360" spans="1:1" x14ac:dyDescent="0.25">
      <c r="A15360" t="s">
        <v>14114</v>
      </c>
    </row>
    <row r="15361" spans="1:1" x14ac:dyDescent="0.25">
      <c r="A15361" t="s">
        <v>14115</v>
      </c>
    </row>
    <row r="15362" spans="1:1" x14ac:dyDescent="0.25">
      <c r="A15362" t="s">
        <v>14116</v>
      </c>
    </row>
    <row r="15363" spans="1:1" x14ac:dyDescent="0.25">
      <c r="A15363" t="s">
        <v>14117</v>
      </c>
    </row>
    <row r="15364" spans="1:1" x14ac:dyDescent="0.25">
      <c r="A15364" t="s">
        <v>14118</v>
      </c>
    </row>
    <row r="15365" spans="1:1" x14ac:dyDescent="0.25">
      <c r="A15365" t="s">
        <v>14119</v>
      </c>
    </row>
    <row r="15366" spans="1:1" x14ac:dyDescent="0.25">
      <c r="A15366" t="s">
        <v>14120</v>
      </c>
    </row>
    <row r="15367" spans="1:1" x14ac:dyDescent="0.25">
      <c r="A15367" t="s">
        <v>14121</v>
      </c>
    </row>
    <row r="15368" spans="1:1" x14ac:dyDescent="0.25">
      <c r="A15368" t="s">
        <v>14122</v>
      </c>
    </row>
    <row r="15369" spans="1:1" x14ac:dyDescent="0.25">
      <c r="A15369" t="s">
        <v>14123</v>
      </c>
    </row>
    <row r="15370" spans="1:1" x14ac:dyDescent="0.25">
      <c r="A15370" t="s">
        <v>14124</v>
      </c>
    </row>
    <row r="15371" spans="1:1" x14ac:dyDescent="0.25">
      <c r="A15371" t="s">
        <v>14125</v>
      </c>
    </row>
    <row r="15372" spans="1:1" x14ac:dyDescent="0.25">
      <c r="A15372" t="s">
        <v>14126</v>
      </c>
    </row>
    <row r="15373" spans="1:1" x14ac:dyDescent="0.25">
      <c r="A15373" t="s">
        <v>14127</v>
      </c>
    </row>
    <row r="15374" spans="1:1" x14ac:dyDescent="0.25">
      <c r="A15374" t="s">
        <v>14128</v>
      </c>
    </row>
    <row r="15375" spans="1:1" x14ac:dyDescent="0.25">
      <c r="A15375" t="s">
        <v>14129</v>
      </c>
    </row>
    <row r="15376" spans="1:1" x14ac:dyDescent="0.25">
      <c r="A15376" t="s">
        <v>14130</v>
      </c>
    </row>
    <row r="15377" spans="1:1" x14ac:dyDescent="0.25">
      <c r="A15377" t="s">
        <v>14131</v>
      </c>
    </row>
    <row r="15378" spans="1:1" x14ac:dyDescent="0.25">
      <c r="A15378" t="s">
        <v>14132</v>
      </c>
    </row>
    <row r="15379" spans="1:1" x14ac:dyDescent="0.25">
      <c r="A15379" t="s">
        <v>14133</v>
      </c>
    </row>
    <row r="15380" spans="1:1" x14ac:dyDescent="0.25">
      <c r="A15380" t="s">
        <v>14134</v>
      </c>
    </row>
    <row r="15381" spans="1:1" x14ac:dyDescent="0.25">
      <c r="A15381" t="s">
        <v>14135</v>
      </c>
    </row>
    <row r="15382" spans="1:1" x14ac:dyDescent="0.25">
      <c r="A15382" t="s">
        <v>14136</v>
      </c>
    </row>
    <row r="15383" spans="1:1" x14ac:dyDescent="0.25">
      <c r="A15383" t="s">
        <v>14137</v>
      </c>
    </row>
    <row r="15384" spans="1:1" x14ac:dyDescent="0.25">
      <c r="A15384" t="s">
        <v>14138</v>
      </c>
    </row>
    <row r="15385" spans="1:1" x14ac:dyDescent="0.25">
      <c r="A15385" t="s">
        <v>14139</v>
      </c>
    </row>
    <row r="15386" spans="1:1" x14ac:dyDescent="0.25">
      <c r="A15386" t="s">
        <v>14140</v>
      </c>
    </row>
    <row r="15387" spans="1:1" x14ac:dyDescent="0.25">
      <c r="A15387" t="s">
        <v>14141</v>
      </c>
    </row>
    <row r="15388" spans="1:1" x14ac:dyDescent="0.25">
      <c r="A15388" t="s">
        <v>14142</v>
      </c>
    </row>
    <row r="15389" spans="1:1" x14ac:dyDescent="0.25">
      <c r="A15389" t="s">
        <v>14143</v>
      </c>
    </row>
    <row r="15390" spans="1:1" x14ac:dyDescent="0.25">
      <c r="A15390" t="s">
        <v>14144</v>
      </c>
    </row>
    <row r="15391" spans="1:1" x14ac:dyDescent="0.25">
      <c r="A15391" t="s">
        <v>14145</v>
      </c>
    </row>
    <row r="15392" spans="1:1" x14ac:dyDescent="0.25">
      <c r="A15392" t="s">
        <v>14146</v>
      </c>
    </row>
    <row r="15393" spans="1:1" x14ac:dyDescent="0.25">
      <c r="A15393" t="s">
        <v>14147</v>
      </c>
    </row>
    <row r="15394" spans="1:1" x14ac:dyDescent="0.25">
      <c r="A15394" t="s">
        <v>14148</v>
      </c>
    </row>
    <row r="15395" spans="1:1" x14ac:dyDescent="0.25">
      <c r="A15395" t="s">
        <v>14149</v>
      </c>
    </row>
    <row r="15396" spans="1:1" x14ac:dyDescent="0.25">
      <c r="A15396" t="s">
        <v>14150</v>
      </c>
    </row>
    <row r="15397" spans="1:1" x14ac:dyDescent="0.25">
      <c r="A15397" t="s">
        <v>14151</v>
      </c>
    </row>
    <row r="15398" spans="1:1" x14ac:dyDescent="0.25">
      <c r="A15398" t="s">
        <v>14152</v>
      </c>
    </row>
    <row r="15399" spans="1:1" x14ac:dyDescent="0.25">
      <c r="A15399" t="s">
        <v>14153</v>
      </c>
    </row>
    <row r="15400" spans="1:1" x14ac:dyDescent="0.25">
      <c r="A15400" t="s">
        <v>14154</v>
      </c>
    </row>
    <row r="15401" spans="1:1" x14ac:dyDescent="0.25">
      <c r="A15401" t="s">
        <v>14155</v>
      </c>
    </row>
    <row r="15402" spans="1:1" x14ac:dyDescent="0.25">
      <c r="A15402" t="s">
        <v>14156</v>
      </c>
    </row>
    <row r="15403" spans="1:1" x14ac:dyDescent="0.25">
      <c r="A15403" t="s">
        <v>14157</v>
      </c>
    </row>
    <row r="15404" spans="1:1" x14ac:dyDescent="0.25">
      <c r="A15404" t="s">
        <v>14158</v>
      </c>
    </row>
    <row r="15405" spans="1:1" x14ac:dyDescent="0.25">
      <c r="A15405" t="s">
        <v>14159</v>
      </c>
    </row>
    <row r="15406" spans="1:1" x14ac:dyDescent="0.25">
      <c r="A15406" t="s">
        <v>14160</v>
      </c>
    </row>
    <row r="15407" spans="1:1" x14ac:dyDescent="0.25">
      <c r="A15407" t="s">
        <v>14161</v>
      </c>
    </row>
    <row r="15408" spans="1:1" x14ac:dyDescent="0.25">
      <c r="A15408" t="s">
        <v>14162</v>
      </c>
    </row>
    <row r="15409" spans="1:1" x14ac:dyDescent="0.25">
      <c r="A15409" t="s">
        <v>14163</v>
      </c>
    </row>
    <row r="15410" spans="1:1" x14ac:dyDescent="0.25">
      <c r="A15410" t="s">
        <v>14164</v>
      </c>
    </row>
    <row r="15411" spans="1:1" x14ac:dyDescent="0.25">
      <c r="A15411" t="s">
        <v>14165</v>
      </c>
    </row>
    <row r="15412" spans="1:1" x14ac:dyDescent="0.25">
      <c r="A15412" t="s">
        <v>14166</v>
      </c>
    </row>
    <row r="15413" spans="1:1" x14ac:dyDescent="0.25">
      <c r="A15413" t="s">
        <v>14167</v>
      </c>
    </row>
    <row r="15414" spans="1:1" x14ac:dyDescent="0.25">
      <c r="A15414" t="s">
        <v>14168</v>
      </c>
    </row>
    <row r="15415" spans="1:1" x14ac:dyDescent="0.25">
      <c r="A15415" t="s">
        <v>14169</v>
      </c>
    </row>
    <row r="15416" spans="1:1" x14ac:dyDescent="0.25">
      <c r="A15416" t="s">
        <v>14170</v>
      </c>
    </row>
    <row r="15417" spans="1:1" x14ac:dyDescent="0.25">
      <c r="A15417" t="s">
        <v>14171</v>
      </c>
    </row>
    <row r="15418" spans="1:1" x14ac:dyDescent="0.25">
      <c r="A15418" t="s">
        <v>14172</v>
      </c>
    </row>
    <row r="15419" spans="1:1" x14ac:dyDescent="0.25">
      <c r="A15419" t="s">
        <v>14173</v>
      </c>
    </row>
    <row r="15420" spans="1:1" x14ac:dyDescent="0.25">
      <c r="A15420" t="s">
        <v>14174</v>
      </c>
    </row>
    <row r="15421" spans="1:1" x14ac:dyDescent="0.25">
      <c r="A15421" t="s">
        <v>14175</v>
      </c>
    </row>
    <row r="15422" spans="1:1" x14ac:dyDescent="0.25">
      <c r="A15422" t="s">
        <v>14176</v>
      </c>
    </row>
    <row r="15423" spans="1:1" x14ac:dyDescent="0.25">
      <c r="A15423" t="s">
        <v>14177</v>
      </c>
    </row>
    <row r="15424" spans="1:1" x14ac:dyDescent="0.25">
      <c r="A15424" t="s">
        <v>14178</v>
      </c>
    </row>
    <row r="15425" spans="1:1" x14ac:dyDescent="0.25">
      <c r="A15425" t="s">
        <v>14179</v>
      </c>
    </row>
    <row r="15426" spans="1:1" x14ac:dyDescent="0.25">
      <c r="A15426" t="s">
        <v>14180</v>
      </c>
    </row>
    <row r="15427" spans="1:1" x14ac:dyDescent="0.25">
      <c r="A15427" t="s">
        <v>14181</v>
      </c>
    </row>
    <row r="15428" spans="1:1" x14ac:dyDescent="0.25">
      <c r="A15428" t="s">
        <v>14182</v>
      </c>
    </row>
    <row r="15429" spans="1:1" x14ac:dyDescent="0.25">
      <c r="A15429" t="s">
        <v>14183</v>
      </c>
    </row>
    <row r="15430" spans="1:1" x14ac:dyDescent="0.25">
      <c r="A15430" t="s">
        <v>14184</v>
      </c>
    </row>
    <row r="15431" spans="1:1" x14ac:dyDescent="0.25">
      <c r="A15431" t="s">
        <v>14185</v>
      </c>
    </row>
    <row r="15432" spans="1:1" x14ac:dyDescent="0.25">
      <c r="A15432" t="s">
        <v>14186</v>
      </c>
    </row>
    <row r="15433" spans="1:1" x14ac:dyDescent="0.25">
      <c r="A15433" t="s">
        <v>14187</v>
      </c>
    </row>
    <row r="15434" spans="1:1" x14ac:dyDescent="0.25">
      <c r="A15434" t="s">
        <v>14188</v>
      </c>
    </row>
    <row r="15435" spans="1:1" x14ac:dyDescent="0.25">
      <c r="A15435" t="s">
        <v>14189</v>
      </c>
    </row>
    <row r="15436" spans="1:1" x14ac:dyDescent="0.25">
      <c r="A15436" t="s">
        <v>14190</v>
      </c>
    </row>
    <row r="15437" spans="1:1" x14ac:dyDescent="0.25">
      <c r="A15437" t="s">
        <v>14191</v>
      </c>
    </row>
    <row r="15438" spans="1:1" x14ac:dyDescent="0.25">
      <c r="A15438" t="s">
        <v>14192</v>
      </c>
    </row>
    <row r="15439" spans="1:1" x14ac:dyDescent="0.25">
      <c r="A15439" t="s">
        <v>14193</v>
      </c>
    </row>
    <row r="15440" spans="1:1" x14ac:dyDescent="0.25">
      <c r="A15440" t="s">
        <v>14194</v>
      </c>
    </row>
    <row r="15441" spans="1:1" x14ac:dyDescent="0.25">
      <c r="A15441" t="s">
        <v>14195</v>
      </c>
    </row>
    <row r="15442" spans="1:1" x14ac:dyDescent="0.25">
      <c r="A15442" t="s">
        <v>14196</v>
      </c>
    </row>
    <row r="15443" spans="1:1" x14ac:dyDescent="0.25">
      <c r="A15443" t="s">
        <v>14197</v>
      </c>
    </row>
    <row r="15444" spans="1:1" x14ac:dyDescent="0.25">
      <c r="A15444" t="s">
        <v>14198</v>
      </c>
    </row>
    <row r="15445" spans="1:1" x14ac:dyDescent="0.25">
      <c r="A15445" t="s">
        <v>14199</v>
      </c>
    </row>
    <row r="15446" spans="1:1" x14ac:dyDescent="0.25">
      <c r="A15446" t="s">
        <v>14200</v>
      </c>
    </row>
    <row r="15447" spans="1:1" x14ac:dyDescent="0.25">
      <c r="A15447" t="s">
        <v>14201</v>
      </c>
    </row>
    <row r="15448" spans="1:1" x14ac:dyDescent="0.25">
      <c r="A15448" t="s">
        <v>14202</v>
      </c>
    </row>
    <row r="15449" spans="1:1" x14ac:dyDescent="0.25">
      <c r="A15449" t="s">
        <v>14203</v>
      </c>
    </row>
    <row r="15450" spans="1:1" x14ac:dyDescent="0.25">
      <c r="A15450" t="s">
        <v>14204</v>
      </c>
    </row>
    <row r="15451" spans="1:1" x14ac:dyDescent="0.25">
      <c r="A15451" t="s">
        <v>14205</v>
      </c>
    </row>
    <row r="15452" spans="1:1" x14ac:dyDescent="0.25">
      <c r="A15452" t="s">
        <v>14206</v>
      </c>
    </row>
    <row r="15453" spans="1:1" x14ac:dyDescent="0.25">
      <c r="A15453" t="s">
        <v>14207</v>
      </c>
    </row>
    <row r="15454" spans="1:1" x14ac:dyDescent="0.25">
      <c r="A15454" t="s">
        <v>14208</v>
      </c>
    </row>
    <row r="15455" spans="1:1" x14ac:dyDescent="0.25">
      <c r="A15455" t="s">
        <v>14209</v>
      </c>
    </row>
    <row r="15456" spans="1:1" x14ac:dyDescent="0.25">
      <c r="A15456" t="s">
        <v>14210</v>
      </c>
    </row>
    <row r="15457" spans="1:1" x14ac:dyDescent="0.25">
      <c r="A15457" t="s">
        <v>14211</v>
      </c>
    </row>
    <row r="15458" spans="1:1" x14ac:dyDescent="0.25">
      <c r="A15458" t="s">
        <v>14212</v>
      </c>
    </row>
    <row r="15459" spans="1:1" x14ac:dyDescent="0.25">
      <c r="A15459" t="s">
        <v>14213</v>
      </c>
    </row>
    <row r="15460" spans="1:1" x14ac:dyDescent="0.25">
      <c r="A15460" t="s">
        <v>14214</v>
      </c>
    </row>
    <row r="15461" spans="1:1" x14ac:dyDescent="0.25">
      <c r="A15461" t="s">
        <v>14215</v>
      </c>
    </row>
    <row r="15462" spans="1:1" x14ac:dyDescent="0.25">
      <c r="A15462" t="s">
        <v>14216</v>
      </c>
    </row>
    <row r="15463" spans="1:1" x14ac:dyDescent="0.25">
      <c r="A15463" t="s">
        <v>14217</v>
      </c>
    </row>
    <row r="15464" spans="1:1" x14ac:dyDescent="0.25">
      <c r="A15464" t="s">
        <v>14218</v>
      </c>
    </row>
    <row r="15465" spans="1:1" x14ac:dyDescent="0.25">
      <c r="A15465" t="s">
        <v>14219</v>
      </c>
    </row>
    <row r="15466" spans="1:1" x14ac:dyDescent="0.25">
      <c r="A15466" t="s">
        <v>14220</v>
      </c>
    </row>
    <row r="15467" spans="1:1" x14ac:dyDescent="0.25">
      <c r="A15467" t="s">
        <v>14221</v>
      </c>
    </row>
    <row r="15468" spans="1:1" x14ac:dyDescent="0.25">
      <c r="A15468" t="s">
        <v>14222</v>
      </c>
    </row>
    <row r="15469" spans="1:1" x14ac:dyDescent="0.25">
      <c r="A15469" t="s">
        <v>14223</v>
      </c>
    </row>
    <row r="15470" spans="1:1" x14ac:dyDescent="0.25">
      <c r="A15470" t="s">
        <v>14224</v>
      </c>
    </row>
    <row r="15471" spans="1:1" x14ac:dyDescent="0.25">
      <c r="A15471" t="s">
        <v>14225</v>
      </c>
    </row>
    <row r="15472" spans="1:1" x14ac:dyDescent="0.25">
      <c r="A15472" t="s">
        <v>14226</v>
      </c>
    </row>
    <row r="15473" spans="1:1" x14ac:dyDescent="0.25">
      <c r="A15473" t="s">
        <v>14227</v>
      </c>
    </row>
    <row r="15474" spans="1:1" x14ac:dyDescent="0.25">
      <c r="A15474" t="s">
        <v>14228</v>
      </c>
    </row>
    <row r="15475" spans="1:1" x14ac:dyDescent="0.25">
      <c r="A15475" t="s">
        <v>14229</v>
      </c>
    </row>
    <row r="15476" spans="1:1" x14ac:dyDescent="0.25">
      <c r="A15476" t="s">
        <v>14230</v>
      </c>
    </row>
    <row r="15477" spans="1:1" x14ac:dyDescent="0.25">
      <c r="A15477" t="s">
        <v>14231</v>
      </c>
    </row>
    <row r="15478" spans="1:1" x14ac:dyDescent="0.25">
      <c r="A15478" t="s">
        <v>14232</v>
      </c>
    </row>
    <row r="15479" spans="1:1" x14ac:dyDescent="0.25">
      <c r="A15479" t="s">
        <v>14233</v>
      </c>
    </row>
    <row r="15480" spans="1:1" x14ac:dyDescent="0.25">
      <c r="A15480" t="s">
        <v>14234</v>
      </c>
    </row>
    <row r="15481" spans="1:1" x14ac:dyDescent="0.25">
      <c r="A15481" t="s">
        <v>14235</v>
      </c>
    </row>
    <row r="15482" spans="1:1" x14ac:dyDescent="0.25">
      <c r="A15482" t="s">
        <v>14236</v>
      </c>
    </row>
    <row r="15483" spans="1:1" x14ac:dyDescent="0.25">
      <c r="A15483" t="s">
        <v>14237</v>
      </c>
    </row>
    <row r="15484" spans="1:1" x14ac:dyDescent="0.25">
      <c r="A15484" t="s">
        <v>14238</v>
      </c>
    </row>
    <row r="15485" spans="1:1" x14ac:dyDescent="0.25">
      <c r="A15485" t="s">
        <v>14239</v>
      </c>
    </row>
    <row r="15486" spans="1:1" x14ac:dyDescent="0.25">
      <c r="A15486" t="s">
        <v>14240</v>
      </c>
    </row>
    <row r="15487" spans="1:1" x14ac:dyDescent="0.25">
      <c r="A15487" t="s">
        <v>14241</v>
      </c>
    </row>
    <row r="15488" spans="1:1" x14ac:dyDescent="0.25">
      <c r="A15488" t="s">
        <v>14242</v>
      </c>
    </row>
    <row r="15489" spans="1:1" x14ac:dyDescent="0.25">
      <c r="A15489" t="s">
        <v>14243</v>
      </c>
    </row>
    <row r="15490" spans="1:1" x14ac:dyDescent="0.25">
      <c r="A15490" t="s">
        <v>14244</v>
      </c>
    </row>
    <row r="15491" spans="1:1" x14ac:dyDescent="0.25">
      <c r="A15491" t="s">
        <v>14245</v>
      </c>
    </row>
    <row r="15492" spans="1:1" x14ac:dyDescent="0.25">
      <c r="A15492" t="s">
        <v>14246</v>
      </c>
    </row>
    <row r="15493" spans="1:1" x14ac:dyDescent="0.25">
      <c r="A15493" t="s">
        <v>14247</v>
      </c>
    </row>
    <row r="15494" spans="1:1" x14ac:dyDescent="0.25">
      <c r="A15494" t="s">
        <v>14248</v>
      </c>
    </row>
    <row r="15495" spans="1:1" x14ac:dyDescent="0.25">
      <c r="A15495" t="s">
        <v>14249</v>
      </c>
    </row>
    <row r="15496" spans="1:1" x14ac:dyDescent="0.25">
      <c r="A15496" t="s">
        <v>14250</v>
      </c>
    </row>
    <row r="15497" spans="1:1" x14ac:dyDescent="0.25">
      <c r="A15497" t="s">
        <v>14251</v>
      </c>
    </row>
    <row r="15498" spans="1:1" x14ac:dyDescent="0.25">
      <c r="A15498" t="s">
        <v>14252</v>
      </c>
    </row>
    <row r="15499" spans="1:1" x14ac:dyDescent="0.25">
      <c r="A15499" t="s">
        <v>14253</v>
      </c>
    </row>
    <row r="15500" spans="1:1" x14ac:dyDescent="0.25">
      <c r="A15500" t="s">
        <v>14254</v>
      </c>
    </row>
    <row r="15501" spans="1:1" x14ac:dyDescent="0.25">
      <c r="A15501" t="s">
        <v>14255</v>
      </c>
    </row>
    <row r="15502" spans="1:1" x14ac:dyDescent="0.25">
      <c r="A15502" t="s">
        <v>14256</v>
      </c>
    </row>
    <row r="15503" spans="1:1" x14ac:dyDescent="0.25">
      <c r="A15503" t="s">
        <v>14257</v>
      </c>
    </row>
    <row r="15504" spans="1:1" x14ac:dyDescent="0.25">
      <c r="A15504" t="s">
        <v>14258</v>
      </c>
    </row>
    <row r="15505" spans="1:1" x14ac:dyDescent="0.25">
      <c r="A15505" t="s">
        <v>14259</v>
      </c>
    </row>
    <row r="15506" spans="1:1" x14ac:dyDescent="0.25">
      <c r="A15506" t="s">
        <v>14260</v>
      </c>
    </row>
    <row r="15507" spans="1:1" x14ac:dyDescent="0.25">
      <c r="A15507" t="s">
        <v>14261</v>
      </c>
    </row>
    <row r="15508" spans="1:1" x14ac:dyDescent="0.25">
      <c r="A15508" t="s">
        <v>14262</v>
      </c>
    </row>
    <row r="15509" spans="1:1" x14ac:dyDescent="0.25">
      <c r="A15509" t="s">
        <v>14263</v>
      </c>
    </row>
    <row r="15510" spans="1:1" x14ac:dyDescent="0.25">
      <c r="A15510" t="s">
        <v>14264</v>
      </c>
    </row>
    <row r="15511" spans="1:1" x14ac:dyDescent="0.25">
      <c r="A15511" t="s">
        <v>14265</v>
      </c>
    </row>
    <row r="15512" spans="1:1" x14ac:dyDescent="0.25">
      <c r="A15512" t="s">
        <v>14266</v>
      </c>
    </row>
    <row r="15513" spans="1:1" x14ac:dyDescent="0.25">
      <c r="A15513" t="s">
        <v>14267</v>
      </c>
    </row>
    <row r="15514" spans="1:1" x14ac:dyDescent="0.25">
      <c r="A15514" t="s">
        <v>14268</v>
      </c>
    </row>
    <row r="15515" spans="1:1" x14ac:dyDescent="0.25">
      <c r="A15515" t="s">
        <v>14269</v>
      </c>
    </row>
    <row r="15516" spans="1:1" x14ac:dyDescent="0.25">
      <c r="A15516" t="s">
        <v>14270</v>
      </c>
    </row>
    <row r="15517" spans="1:1" x14ac:dyDescent="0.25">
      <c r="A15517" t="s">
        <v>14271</v>
      </c>
    </row>
    <row r="15518" spans="1:1" x14ac:dyDescent="0.25">
      <c r="A15518" t="s">
        <v>14272</v>
      </c>
    </row>
    <row r="15519" spans="1:1" x14ac:dyDescent="0.25">
      <c r="A15519" t="s">
        <v>14273</v>
      </c>
    </row>
    <row r="15520" spans="1:1" x14ac:dyDescent="0.25">
      <c r="A15520" t="s">
        <v>14274</v>
      </c>
    </row>
    <row r="15521" spans="1:1" x14ac:dyDescent="0.25">
      <c r="A15521" t="s">
        <v>14275</v>
      </c>
    </row>
    <row r="15522" spans="1:1" x14ac:dyDescent="0.25">
      <c r="A15522" t="s">
        <v>14276</v>
      </c>
    </row>
    <row r="15523" spans="1:1" x14ac:dyDescent="0.25">
      <c r="A15523" t="s">
        <v>14277</v>
      </c>
    </row>
    <row r="15524" spans="1:1" x14ac:dyDescent="0.25">
      <c r="A15524" t="s">
        <v>14278</v>
      </c>
    </row>
    <row r="15525" spans="1:1" x14ac:dyDescent="0.25">
      <c r="A15525" t="s">
        <v>14279</v>
      </c>
    </row>
    <row r="15526" spans="1:1" x14ac:dyDescent="0.25">
      <c r="A15526" t="s">
        <v>14280</v>
      </c>
    </row>
    <row r="15527" spans="1:1" x14ac:dyDescent="0.25">
      <c r="A15527" t="s">
        <v>14281</v>
      </c>
    </row>
    <row r="15528" spans="1:1" x14ac:dyDescent="0.25">
      <c r="A15528" t="s">
        <v>14282</v>
      </c>
    </row>
    <row r="15529" spans="1:1" x14ac:dyDescent="0.25">
      <c r="A15529" t="s">
        <v>14283</v>
      </c>
    </row>
    <row r="15530" spans="1:1" x14ac:dyDescent="0.25">
      <c r="A15530" t="s">
        <v>14284</v>
      </c>
    </row>
    <row r="15531" spans="1:1" x14ac:dyDescent="0.25">
      <c r="A15531" t="s">
        <v>14285</v>
      </c>
    </row>
    <row r="15532" spans="1:1" x14ac:dyDescent="0.25">
      <c r="A15532" t="s">
        <v>14286</v>
      </c>
    </row>
    <row r="15533" spans="1:1" x14ac:dyDescent="0.25">
      <c r="A15533" t="s">
        <v>14287</v>
      </c>
    </row>
    <row r="15534" spans="1:1" x14ac:dyDescent="0.25">
      <c r="A15534" t="s">
        <v>14288</v>
      </c>
    </row>
    <row r="15535" spans="1:1" x14ac:dyDescent="0.25">
      <c r="A15535" t="s">
        <v>14289</v>
      </c>
    </row>
    <row r="15536" spans="1:1" x14ac:dyDescent="0.25">
      <c r="A15536" t="s">
        <v>14290</v>
      </c>
    </row>
    <row r="15537" spans="1:1" x14ac:dyDescent="0.25">
      <c r="A15537" t="s">
        <v>14291</v>
      </c>
    </row>
    <row r="15538" spans="1:1" x14ac:dyDescent="0.25">
      <c r="A15538" t="s">
        <v>14292</v>
      </c>
    </row>
    <row r="15539" spans="1:1" x14ac:dyDescent="0.25">
      <c r="A15539" t="s">
        <v>14293</v>
      </c>
    </row>
    <row r="15540" spans="1:1" x14ac:dyDescent="0.25">
      <c r="A15540" t="s">
        <v>14294</v>
      </c>
    </row>
    <row r="15541" spans="1:1" x14ac:dyDescent="0.25">
      <c r="A15541" t="s">
        <v>14295</v>
      </c>
    </row>
    <row r="15542" spans="1:1" x14ac:dyDescent="0.25">
      <c r="A15542" t="s">
        <v>14296</v>
      </c>
    </row>
    <row r="15543" spans="1:1" x14ac:dyDescent="0.25">
      <c r="A15543" t="s">
        <v>14297</v>
      </c>
    </row>
    <row r="15544" spans="1:1" x14ac:dyDescent="0.25">
      <c r="A15544" t="s">
        <v>14298</v>
      </c>
    </row>
    <row r="15545" spans="1:1" x14ac:dyDescent="0.25">
      <c r="A15545" t="s">
        <v>14299</v>
      </c>
    </row>
    <row r="15546" spans="1:1" x14ac:dyDescent="0.25">
      <c r="A15546" t="s">
        <v>14300</v>
      </c>
    </row>
    <row r="15547" spans="1:1" x14ac:dyDescent="0.25">
      <c r="A15547" t="s">
        <v>14301</v>
      </c>
    </row>
    <row r="15548" spans="1:1" x14ac:dyDescent="0.25">
      <c r="A15548" t="s">
        <v>14302</v>
      </c>
    </row>
    <row r="15549" spans="1:1" x14ac:dyDescent="0.25">
      <c r="A15549" t="s">
        <v>14303</v>
      </c>
    </row>
    <row r="15550" spans="1:1" x14ac:dyDescent="0.25">
      <c r="A15550" t="s">
        <v>14304</v>
      </c>
    </row>
    <row r="15551" spans="1:1" x14ac:dyDescent="0.25">
      <c r="A15551" t="s">
        <v>14305</v>
      </c>
    </row>
    <row r="15552" spans="1:1" x14ac:dyDescent="0.25">
      <c r="A15552" t="s">
        <v>14306</v>
      </c>
    </row>
    <row r="15553" spans="1:1" x14ac:dyDescent="0.25">
      <c r="A15553" t="s">
        <v>14307</v>
      </c>
    </row>
    <row r="15554" spans="1:1" x14ac:dyDescent="0.25">
      <c r="A15554" t="s">
        <v>14308</v>
      </c>
    </row>
    <row r="15555" spans="1:1" x14ac:dyDescent="0.25">
      <c r="A15555" t="s">
        <v>14309</v>
      </c>
    </row>
    <row r="15556" spans="1:1" x14ac:dyDescent="0.25">
      <c r="A15556" t="s">
        <v>14310</v>
      </c>
    </row>
    <row r="15557" spans="1:1" x14ac:dyDescent="0.25">
      <c r="A15557" t="s">
        <v>14311</v>
      </c>
    </row>
    <row r="15558" spans="1:1" x14ac:dyDescent="0.25">
      <c r="A15558" t="s">
        <v>14312</v>
      </c>
    </row>
    <row r="15559" spans="1:1" x14ac:dyDescent="0.25">
      <c r="A15559" t="s">
        <v>14313</v>
      </c>
    </row>
    <row r="15560" spans="1:1" x14ac:dyDescent="0.25">
      <c r="A15560" t="s">
        <v>14314</v>
      </c>
    </row>
    <row r="15561" spans="1:1" x14ac:dyDescent="0.25">
      <c r="A15561" t="s">
        <v>14315</v>
      </c>
    </row>
    <row r="15562" spans="1:1" x14ac:dyDescent="0.25">
      <c r="A15562" t="s">
        <v>14316</v>
      </c>
    </row>
    <row r="15563" spans="1:1" x14ac:dyDescent="0.25">
      <c r="A15563" t="s">
        <v>14317</v>
      </c>
    </row>
    <row r="15564" spans="1:1" x14ac:dyDescent="0.25">
      <c r="A15564" t="s">
        <v>14318</v>
      </c>
    </row>
    <row r="15565" spans="1:1" x14ac:dyDescent="0.25">
      <c r="A15565" t="s">
        <v>14319</v>
      </c>
    </row>
    <row r="15566" spans="1:1" x14ac:dyDescent="0.25">
      <c r="A15566" t="s">
        <v>14320</v>
      </c>
    </row>
    <row r="15567" spans="1:1" x14ac:dyDescent="0.25">
      <c r="A15567" t="s">
        <v>14321</v>
      </c>
    </row>
    <row r="15568" spans="1:1" x14ac:dyDescent="0.25">
      <c r="A15568" t="s">
        <v>14322</v>
      </c>
    </row>
    <row r="15569" spans="1:1" x14ac:dyDescent="0.25">
      <c r="A15569" t="s">
        <v>14323</v>
      </c>
    </row>
    <row r="15570" spans="1:1" x14ac:dyDescent="0.25">
      <c r="A15570" t="s">
        <v>14324</v>
      </c>
    </row>
    <row r="15571" spans="1:1" x14ac:dyDescent="0.25">
      <c r="A15571" t="s">
        <v>14325</v>
      </c>
    </row>
    <row r="15572" spans="1:1" x14ac:dyDescent="0.25">
      <c r="A15572" t="s">
        <v>14326</v>
      </c>
    </row>
    <row r="15573" spans="1:1" x14ac:dyDescent="0.25">
      <c r="A15573" t="s">
        <v>14327</v>
      </c>
    </row>
    <row r="15574" spans="1:1" x14ac:dyDescent="0.25">
      <c r="A15574" t="s">
        <v>14328</v>
      </c>
    </row>
    <row r="15575" spans="1:1" x14ac:dyDescent="0.25">
      <c r="A15575" t="s">
        <v>14329</v>
      </c>
    </row>
    <row r="15576" spans="1:1" x14ac:dyDescent="0.25">
      <c r="A15576" t="s">
        <v>14330</v>
      </c>
    </row>
    <row r="15577" spans="1:1" x14ac:dyDescent="0.25">
      <c r="A15577" t="s">
        <v>14331</v>
      </c>
    </row>
    <row r="15578" spans="1:1" x14ac:dyDescent="0.25">
      <c r="A15578" t="s">
        <v>14332</v>
      </c>
    </row>
    <row r="15579" spans="1:1" x14ac:dyDescent="0.25">
      <c r="A15579" t="s">
        <v>14333</v>
      </c>
    </row>
    <row r="15580" spans="1:1" x14ac:dyDescent="0.25">
      <c r="A15580" t="s">
        <v>14334</v>
      </c>
    </row>
    <row r="15581" spans="1:1" x14ac:dyDescent="0.25">
      <c r="A15581" t="s">
        <v>14335</v>
      </c>
    </row>
    <row r="15582" spans="1:1" x14ac:dyDescent="0.25">
      <c r="A15582" t="s">
        <v>14336</v>
      </c>
    </row>
    <row r="15583" spans="1:1" x14ac:dyDescent="0.25">
      <c r="A15583" t="s">
        <v>14337</v>
      </c>
    </row>
    <row r="15584" spans="1:1" x14ac:dyDescent="0.25">
      <c r="A15584" t="s">
        <v>14338</v>
      </c>
    </row>
    <row r="15585" spans="1:1" x14ac:dyDescent="0.25">
      <c r="A15585" t="s">
        <v>14339</v>
      </c>
    </row>
    <row r="15586" spans="1:1" x14ac:dyDescent="0.25">
      <c r="A15586" t="s">
        <v>14340</v>
      </c>
    </row>
    <row r="15587" spans="1:1" x14ac:dyDescent="0.25">
      <c r="A15587" t="s">
        <v>14341</v>
      </c>
    </row>
    <row r="15588" spans="1:1" x14ac:dyDescent="0.25">
      <c r="A15588" t="s">
        <v>14342</v>
      </c>
    </row>
    <row r="15589" spans="1:1" x14ac:dyDescent="0.25">
      <c r="A15589" t="s">
        <v>14343</v>
      </c>
    </row>
    <row r="15590" spans="1:1" x14ac:dyDescent="0.25">
      <c r="A15590" t="s">
        <v>14344</v>
      </c>
    </row>
    <row r="15591" spans="1:1" x14ac:dyDescent="0.25">
      <c r="A15591" t="s">
        <v>14345</v>
      </c>
    </row>
    <row r="15592" spans="1:1" x14ac:dyDescent="0.25">
      <c r="A15592" t="s">
        <v>14346</v>
      </c>
    </row>
    <row r="15593" spans="1:1" x14ac:dyDescent="0.25">
      <c r="A15593" t="s">
        <v>14347</v>
      </c>
    </row>
    <row r="15594" spans="1:1" x14ac:dyDescent="0.25">
      <c r="A15594" t="s">
        <v>14348</v>
      </c>
    </row>
    <row r="15595" spans="1:1" x14ac:dyDescent="0.25">
      <c r="A15595" t="s">
        <v>14349</v>
      </c>
    </row>
    <row r="15596" spans="1:1" x14ac:dyDescent="0.25">
      <c r="A15596" t="s">
        <v>14350</v>
      </c>
    </row>
    <row r="15597" spans="1:1" x14ac:dyDescent="0.25">
      <c r="A15597" t="s">
        <v>14351</v>
      </c>
    </row>
    <row r="15598" spans="1:1" x14ac:dyDescent="0.25">
      <c r="A15598" t="s">
        <v>14352</v>
      </c>
    </row>
    <row r="15599" spans="1:1" x14ac:dyDescent="0.25">
      <c r="A15599" t="s">
        <v>14353</v>
      </c>
    </row>
    <row r="15600" spans="1:1" x14ac:dyDescent="0.25">
      <c r="A15600" t="s">
        <v>14354</v>
      </c>
    </row>
    <row r="15601" spans="1:1" x14ac:dyDescent="0.25">
      <c r="A15601" t="s">
        <v>14355</v>
      </c>
    </row>
    <row r="15602" spans="1:1" x14ac:dyDescent="0.25">
      <c r="A15602" t="s">
        <v>14356</v>
      </c>
    </row>
    <row r="15603" spans="1:1" x14ac:dyDescent="0.25">
      <c r="A15603" t="s">
        <v>14357</v>
      </c>
    </row>
    <row r="15604" spans="1:1" x14ac:dyDescent="0.25">
      <c r="A15604" t="s">
        <v>14358</v>
      </c>
    </row>
    <row r="15605" spans="1:1" x14ac:dyDescent="0.25">
      <c r="A15605" t="s">
        <v>14359</v>
      </c>
    </row>
    <row r="15606" spans="1:1" x14ac:dyDescent="0.25">
      <c r="A15606" t="s">
        <v>14360</v>
      </c>
    </row>
    <row r="15607" spans="1:1" x14ac:dyDescent="0.25">
      <c r="A15607" t="s">
        <v>14361</v>
      </c>
    </row>
    <row r="15608" spans="1:1" x14ac:dyDescent="0.25">
      <c r="A15608" t="s">
        <v>14362</v>
      </c>
    </row>
    <row r="15609" spans="1:1" x14ac:dyDescent="0.25">
      <c r="A15609" t="s">
        <v>14363</v>
      </c>
    </row>
    <row r="15610" spans="1:1" x14ac:dyDescent="0.25">
      <c r="A15610" t="s">
        <v>14364</v>
      </c>
    </row>
    <row r="15611" spans="1:1" x14ac:dyDescent="0.25">
      <c r="A15611" t="s">
        <v>14365</v>
      </c>
    </row>
    <row r="15612" spans="1:1" x14ac:dyDescent="0.25">
      <c r="A15612" t="s">
        <v>14366</v>
      </c>
    </row>
    <row r="15613" spans="1:1" x14ac:dyDescent="0.25">
      <c r="A15613" t="s">
        <v>14367</v>
      </c>
    </row>
    <row r="15614" spans="1:1" x14ac:dyDescent="0.25">
      <c r="A15614" t="s">
        <v>14368</v>
      </c>
    </row>
    <row r="15615" spans="1:1" x14ac:dyDescent="0.25">
      <c r="A15615" t="s">
        <v>14369</v>
      </c>
    </row>
    <row r="15616" spans="1:1" x14ac:dyDescent="0.25">
      <c r="A15616" t="s">
        <v>14370</v>
      </c>
    </row>
    <row r="15617" spans="1:1" x14ac:dyDescent="0.25">
      <c r="A15617" t="s">
        <v>14371</v>
      </c>
    </row>
    <row r="15618" spans="1:1" x14ac:dyDescent="0.25">
      <c r="A15618" t="s">
        <v>14372</v>
      </c>
    </row>
    <row r="15619" spans="1:1" x14ac:dyDescent="0.25">
      <c r="A15619" t="s">
        <v>14373</v>
      </c>
    </row>
    <row r="15620" spans="1:1" x14ac:dyDescent="0.25">
      <c r="A15620" t="s">
        <v>14374</v>
      </c>
    </row>
    <row r="15622" spans="1:1" x14ac:dyDescent="0.25">
      <c r="A15622" t="s">
        <v>14375</v>
      </c>
    </row>
    <row r="15623" spans="1:1" x14ac:dyDescent="0.25">
      <c r="A15623" t="s">
        <v>14376</v>
      </c>
    </row>
    <row r="15624" spans="1:1" x14ac:dyDescent="0.25">
      <c r="A15624" t="s">
        <v>14377</v>
      </c>
    </row>
    <row r="15625" spans="1:1" x14ac:dyDescent="0.25">
      <c r="A15625" t="s">
        <v>14378</v>
      </c>
    </row>
    <row r="15626" spans="1:1" x14ac:dyDescent="0.25">
      <c r="A15626" t="s">
        <v>14379</v>
      </c>
    </row>
    <row r="15627" spans="1:1" x14ac:dyDescent="0.25">
      <c r="A15627" t="s">
        <v>14380</v>
      </c>
    </row>
    <row r="15628" spans="1:1" x14ac:dyDescent="0.25">
      <c r="A15628" t="s">
        <v>14381</v>
      </c>
    </row>
    <row r="15629" spans="1:1" x14ac:dyDescent="0.25">
      <c r="A15629" t="s">
        <v>14382</v>
      </c>
    </row>
    <row r="15630" spans="1:1" x14ac:dyDescent="0.25">
      <c r="A15630" t="s">
        <v>14383</v>
      </c>
    </row>
    <row r="15631" spans="1:1" x14ac:dyDescent="0.25">
      <c r="A15631" t="s">
        <v>14384</v>
      </c>
    </row>
    <row r="15632" spans="1:1" x14ac:dyDescent="0.25">
      <c r="A15632" t="s">
        <v>14385</v>
      </c>
    </row>
    <row r="15633" spans="1:1" x14ac:dyDescent="0.25">
      <c r="A15633" t="s">
        <v>14386</v>
      </c>
    </row>
    <row r="15634" spans="1:1" x14ac:dyDescent="0.25">
      <c r="A15634" t="s">
        <v>14387</v>
      </c>
    </row>
    <row r="15635" spans="1:1" x14ac:dyDescent="0.25">
      <c r="A15635" t="s">
        <v>14388</v>
      </c>
    </row>
    <row r="15637" spans="1:1" x14ac:dyDescent="0.25">
      <c r="A15637" t="s">
        <v>14389</v>
      </c>
    </row>
    <row r="15638" spans="1:1" x14ac:dyDescent="0.25">
      <c r="A15638" t="s">
        <v>14390</v>
      </c>
    </row>
    <row r="15639" spans="1:1" x14ac:dyDescent="0.25">
      <c r="A15639" t="s">
        <v>14391</v>
      </c>
    </row>
    <row r="15641" spans="1:1" x14ac:dyDescent="0.25">
      <c r="A15641" t="s">
        <v>14392</v>
      </c>
    </row>
    <row r="15642" spans="1:1" x14ac:dyDescent="0.25">
      <c r="A15642" t="s">
        <v>14393</v>
      </c>
    </row>
    <row r="15643" spans="1:1" x14ac:dyDescent="0.25">
      <c r="A15643" t="s">
        <v>14394</v>
      </c>
    </row>
    <row r="15644" spans="1:1" x14ac:dyDescent="0.25">
      <c r="A15644" t="s">
        <v>14395</v>
      </c>
    </row>
    <row r="15645" spans="1:1" x14ac:dyDescent="0.25">
      <c r="A15645" t="s">
        <v>14396</v>
      </c>
    </row>
    <row r="15646" spans="1:1" x14ac:dyDescent="0.25">
      <c r="A15646" t="s">
        <v>14397</v>
      </c>
    </row>
    <row r="15647" spans="1:1" x14ac:dyDescent="0.25">
      <c r="A15647" t="s">
        <v>14398</v>
      </c>
    </row>
    <row r="15648" spans="1:1" x14ac:dyDescent="0.25">
      <c r="A15648" t="s">
        <v>14399</v>
      </c>
    </row>
    <row r="15649" spans="1:1" x14ac:dyDescent="0.25">
      <c r="A15649" t="s">
        <v>14400</v>
      </c>
    </row>
    <row r="15650" spans="1:1" x14ac:dyDescent="0.25">
      <c r="A15650" t="s">
        <v>14401</v>
      </c>
    </row>
    <row r="15651" spans="1:1" x14ac:dyDescent="0.25">
      <c r="A15651" t="s">
        <v>14402</v>
      </c>
    </row>
    <row r="15652" spans="1:1" x14ac:dyDescent="0.25">
      <c r="A15652" t="s">
        <v>14403</v>
      </c>
    </row>
    <row r="15653" spans="1:1" x14ac:dyDescent="0.25">
      <c r="A15653" t="s">
        <v>14404</v>
      </c>
    </row>
    <row r="15654" spans="1:1" x14ac:dyDescent="0.25">
      <c r="A15654" t="s">
        <v>14405</v>
      </c>
    </row>
    <row r="15655" spans="1:1" x14ac:dyDescent="0.25">
      <c r="A15655" t="s">
        <v>14406</v>
      </c>
    </row>
    <row r="15656" spans="1:1" x14ac:dyDescent="0.25">
      <c r="A15656" t="s">
        <v>14407</v>
      </c>
    </row>
    <row r="15657" spans="1:1" x14ac:dyDescent="0.25">
      <c r="A15657" t="s">
        <v>14408</v>
      </c>
    </row>
    <row r="15658" spans="1:1" x14ac:dyDescent="0.25">
      <c r="A15658" t="s">
        <v>14409</v>
      </c>
    </row>
    <row r="15659" spans="1:1" x14ac:dyDescent="0.25">
      <c r="A15659" t="s">
        <v>14410</v>
      </c>
    </row>
    <row r="15660" spans="1:1" x14ac:dyDescent="0.25">
      <c r="A15660" t="s">
        <v>14411</v>
      </c>
    </row>
    <row r="15661" spans="1:1" x14ac:dyDescent="0.25">
      <c r="A15661" t="s">
        <v>14412</v>
      </c>
    </row>
    <row r="15662" spans="1:1" x14ac:dyDescent="0.25">
      <c r="A15662" t="s">
        <v>14413</v>
      </c>
    </row>
    <row r="15663" spans="1:1" x14ac:dyDescent="0.25">
      <c r="A15663" t="s">
        <v>14414</v>
      </c>
    </row>
    <row r="15664" spans="1:1" x14ac:dyDescent="0.25">
      <c r="A15664" t="s">
        <v>14415</v>
      </c>
    </row>
    <row r="15665" spans="1:1" x14ac:dyDescent="0.25">
      <c r="A15665" t="s">
        <v>14416</v>
      </c>
    </row>
    <row r="15666" spans="1:1" x14ac:dyDescent="0.25">
      <c r="A15666" t="s">
        <v>14417</v>
      </c>
    </row>
    <row r="15667" spans="1:1" x14ac:dyDescent="0.25">
      <c r="A15667" t="s">
        <v>14418</v>
      </c>
    </row>
    <row r="15668" spans="1:1" x14ac:dyDescent="0.25">
      <c r="A15668" t="s">
        <v>14419</v>
      </c>
    </row>
    <row r="15669" spans="1:1" x14ac:dyDescent="0.25">
      <c r="A15669" t="s">
        <v>14420</v>
      </c>
    </row>
    <row r="15670" spans="1:1" x14ac:dyDescent="0.25">
      <c r="A15670" t="s">
        <v>14421</v>
      </c>
    </row>
    <row r="15671" spans="1:1" x14ac:dyDescent="0.25">
      <c r="A15671" t="s">
        <v>14422</v>
      </c>
    </row>
    <row r="15672" spans="1:1" x14ac:dyDescent="0.25">
      <c r="A15672" t="s">
        <v>14423</v>
      </c>
    </row>
    <row r="15673" spans="1:1" x14ac:dyDescent="0.25">
      <c r="A15673" t="s">
        <v>14424</v>
      </c>
    </row>
    <row r="15674" spans="1:1" x14ac:dyDescent="0.25">
      <c r="A15674" t="s">
        <v>14425</v>
      </c>
    </row>
    <row r="15675" spans="1:1" x14ac:dyDescent="0.25">
      <c r="A15675" t="s">
        <v>14426</v>
      </c>
    </row>
    <row r="15676" spans="1:1" x14ac:dyDescent="0.25">
      <c r="A15676" t="s">
        <v>14427</v>
      </c>
    </row>
    <row r="15677" spans="1:1" x14ac:dyDescent="0.25">
      <c r="A15677" t="s">
        <v>14428</v>
      </c>
    </row>
    <row r="15678" spans="1:1" x14ac:dyDescent="0.25">
      <c r="A15678" t="s">
        <v>14429</v>
      </c>
    </row>
    <row r="15679" spans="1:1" x14ac:dyDescent="0.25">
      <c r="A15679" t="s">
        <v>14430</v>
      </c>
    </row>
    <row r="15680" spans="1:1" x14ac:dyDescent="0.25">
      <c r="A15680" t="s">
        <v>14431</v>
      </c>
    </row>
    <row r="15681" spans="1:1" x14ac:dyDescent="0.25">
      <c r="A15681" t="s">
        <v>14432</v>
      </c>
    </row>
    <row r="15682" spans="1:1" x14ac:dyDescent="0.25">
      <c r="A15682" t="s">
        <v>14433</v>
      </c>
    </row>
    <row r="15683" spans="1:1" x14ac:dyDescent="0.25">
      <c r="A15683" t="s">
        <v>14434</v>
      </c>
    </row>
    <row r="15684" spans="1:1" x14ac:dyDescent="0.25">
      <c r="A15684" t="s">
        <v>14435</v>
      </c>
    </row>
    <row r="15685" spans="1:1" x14ac:dyDescent="0.25">
      <c r="A15685" t="s">
        <v>14436</v>
      </c>
    </row>
    <row r="15686" spans="1:1" x14ac:dyDescent="0.25">
      <c r="A15686" t="s">
        <v>14437</v>
      </c>
    </row>
    <row r="15687" spans="1:1" x14ac:dyDescent="0.25">
      <c r="A15687" t="s">
        <v>14438</v>
      </c>
    </row>
    <row r="15688" spans="1:1" x14ac:dyDescent="0.25">
      <c r="A15688" t="s">
        <v>14439</v>
      </c>
    </row>
    <row r="15689" spans="1:1" x14ac:dyDescent="0.25">
      <c r="A15689" t="s">
        <v>14440</v>
      </c>
    </row>
    <row r="15690" spans="1:1" x14ac:dyDescent="0.25">
      <c r="A15690" t="s">
        <v>14441</v>
      </c>
    </row>
    <row r="15691" spans="1:1" x14ac:dyDescent="0.25">
      <c r="A15691" t="s">
        <v>14442</v>
      </c>
    </row>
    <row r="15692" spans="1:1" x14ac:dyDescent="0.25">
      <c r="A15692" t="s">
        <v>14443</v>
      </c>
    </row>
    <row r="15693" spans="1:1" x14ac:dyDescent="0.25">
      <c r="A15693" t="s">
        <v>14444</v>
      </c>
    </row>
    <row r="15694" spans="1:1" x14ac:dyDescent="0.25">
      <c r="A15694" t="s">
        <v>14445</v>
      </c>
    </row>
    <row r="15695" spans="1:1" x14ac:dyDescent="0.25">
      <c r="A15695" t="s">
        <v>14446</v>
      </c>
    </row>
    <row r="15696" spans="1:1" x14ac:dyDescent="0.25">
      <c r="A15696" t="s">
        <v>14447</v>
      </c>
    </row>
    <row r="15697" spans="1:1" x14ac:dyDescent="0.25">
      <c r="A15697" t="s">
        <v>14448</v>
      </c>
    </row>
    <row r="15698" spans="1:1" x14ac:dyDescent="0.25">
      <c r="A15698" t="s">
        <v>14449</v>
      </c>
    </row>
    <row r="15699" spans="1:1" x14ac:dyDescent="0.25">
      <c r="A15699" t="s">
        <v>14450</v>
      </c>
    </row>
    <row r="15700" spans="1:1" x14ac:dyDescent="0.25">
      <c r="A15700" t="s">
        <v>14451</v>
      </c>
    </row>
    <row r="15701" spans="1:1" x14ac:dyDescent="0.25">
      <c r="A15701" t="s">
        <v>14452</v>
      </c>
    </row>
    <row r="15702" spans="1:1" x14ac:dyDescent="0.25">
      <c r="A15702" t="s">
        <v>14453</v>
      </c>
    </row>
    <row r="15703" spans="1:1" x14ac:dyDescent="0.25">
      <c r="A15703" t="s">
        <v>14454</v>
      </c>
    </row>
    <row r="15704" spans="1:1" x14ac:dyDescent="0.25">
      <c r="A15704" t="s">
        <v>14455</v>
      </c>
    </row>
    <row r="15705" spans="1:1" x14ac:dyDescent="0.25">
      <c r="A15705" t="s">
        <v>14456</v>
      </c>
    </row>
    <row r="15706" spans="1:1" x14ac:dyDescent="0.25">
      <c r="A15706" t="s">
        <v>14457</v>
      </c>
    </row>
    <row r="15707" spans="1:1" x14ac:dyDescent="0.25">
      <c r="A15707" t="s">
        <v>14458</v>
      </c>
    </row>
    <row r="15708" spans="1:1" x14ac:dyDescent="0.25">
      <c r="A15708" t="s">
        <v>14459</v>
      </c>
    </row>
    <row r="15709" spans="1:1" x14ac:dyDescent="0.25">
      <c r="A15709" t="s">
        <v>14460</v>
      </c>
    </row>
    <row r="15710" spans="1:1" x14ac:dyDescent="0.25">
      <c r="A15710" t="s">
        <v>14461</v>
      </c>
    </row>
    <row r="15711" spans="1:1" x14ac:dyDescent="0.25">
      <c r="A15711" t="s">
        <v>14462</v>
      </c>
    </row>
    <row r="15712" spans="1:1" x14ac:dyDescent="0.25">
      <c r="A15712" t="s">
        <v>14463</v>
      </c>
    </row>
    <row r="15713" spans="1:1" x14ac:dyDescent="0.25">
      <c r="A15713" t="s">
        <v>14464</v>
      </c>
    </row>
    <row r="15714" spans="1:1" x14ac:dyDescent="0.25">
      <c r="A15714" t="s">
        <v>14465</v>
      </c>
    </row>
    <row r="15715" spans="1:1" x14ac:dyDescent="0.25">
      <c r="A15715" t="s">
        <v>14466</v>
      </c>
    </row>
    <row r="15716" spans="1:1" x14ac:dyDescent="0.25">
      <c r="A15716" t="s">
        <v>14467</v>
      </c>
    </row>
    <row r="15717" spans="1:1" x14ac:dyDescent="0.25">
      <c r="A15717" t="s">
        <v>14468</v>
      </c>
    </row>
    <row r="15718" spans="1:1" x14ac:dyDescent="0.25">
      <c r="A15718" t="s">
        <v>14469</v>
      </c>
    </row>
    <row r="15720" spans="1:1" x14ac:dyDescent="0.25">
      <c r="A15720" t="s">
        <v>14470</v>
      </c>
    </row>
    <row r="15721" spans="1:1" x14ac:dyDescent="0.25">
      <c r="A15721" t="s">
        <v>14471</v>
      </c>
    </row>
    <row r="15722" spans="1:1" x14ac:dyDescent="0.25">
      <c r="A15722" t="s">
        <v>14472</v>
      </c>
    </row>
    <row r="15723" spans="1:1" x14ac:dyDescent="0.25">
      <c r="A15723" t="s">
        <v>14473</v>
      </c>
    </row>
    <row r="15724" spans="1:1" x14ac:dyDescent="0.25">
      <c r="A15724" t="s">
        <v>14474</v>
      </c>
    </row>
    <row r="15725" spans="1:1" x14ac:dyDescent="0.25">
      <c r="A15725" t="s">
        <v>14475</v>
      </c>
    </row>
    <row r="15726" spans="1:1" x14ac:dyDescent="0.25">
      <c r="A15726" t="s">
        <v>14476</v>
      </c>
    </row>
    <row r="15727" spans="1:1" x14ac:dyDescent="0.25">
      <c r="A15727" t="s">
        <v>14477</v>
      </c>
    </row>
    <row r="15728" spans="1:1" x14ac:dyDescent="0.25">
      <c r="A15728" t="s">
        <v>14478</v>
      </c>
    </row>
    <row r="15729" spans="1:1" x14ac:dyDescent="0.25">
      <c r="A15729" t="s">
        <v>14479</v>
      </c>
    </row>
    <row r="15730" spans="1:1" x14ac:dyDescent="0.25">
      <c r="A15730" t="s">
        <v>14480</v>
      </c>
    </row>
    <row r="15731" spans="1:1" x14ac:dyDescent="0.25">
      <c r="A15731" t="s">
        <v>14481</v>
      </c>
    </row>
    <row r="15732" spans="1:1" x14ac:dyDescent="0.25">
      <c r="A15732" t="s">
        <v>14482</v>
      </c>
    </row>
    <row r="15733" spans="1:1" x14ac:dyDescent="0.25">
      <c r="A15733" t="s">
        <v>14483</v>
      </c>
    </row>
    <row r="15734" spans="1:1" x14ac:dyDescent="0.25">
      <c r="A15734" t="s">
        <v>14484</v>
      </c>
    </row>
    <row r="15735" spans="1:1" x14ac:dyDescent="0.25">
      <c r="A15735" t="s">
        <v>14485</v>
      </c>
    </row>
    <row r="15736" spans="1:1" x14ac:dyDescent="0.25">
      <c r="A15736" t="s">
        <v>14486</v>
      </c>
    </row>
    <row r="15737" spans="1:1" x14ac:dyDescent="0.25">
      <c r="A15737" t="s">
        <v>14487</v>
      </c>
    </row>
    <row r="15739" spans="1:1" x14ac:dyDescent="0.25">
      <c r="A15739" t="s">
        <v>14488</v>
      </c>
    </row>
    <row r="15740" spans="1:1" x14ac:dyDescent="0.25">
      <c r="A15740" t="s">
        <v>14489</v>
      </c>
    </row>
    <row r="15741" spans="1:1" x14ac:dyDescent="0.25">
      <c r="A15741" t="s">
        <v>14490</v>
      </c>
    </row>
    <row r="15742" spans="1:1" x14ac:dyDescent="0.25">
      <c r="A15742" t="s">
        <v>14491</v>
      </c>
    </row>
    <row r="15743" spans="1:1" x14ac:dyDescent="0.25">
      <c r="A15743" t="s">
        <v>14492</v>
      </c>
    </row>
    <row r="15744" spans="1:1" x14ac:dyDescent="0.25">
      <c r="A15744" t="s">
        <v>14493</v>
      </c>
    </row>
    <row r="15745" spans="1:1" x14ac:dyDescent="0.25">
      <c r="A15745" t="s">
        <v>14494</v>
      </c>
    </row>
    <row r="15747" spans="1:1" x14ac:dyDescent="0.25">
      <c r="A15747" t="s">
        <v>1317</v>
      </c>
    </row>
    <row r="15748" spans="1:1" x14ac:dyDescent="0.25">
      <c r="A15748" t="s">
        <v>14495</v>
      </c>
    </row>
    <row r="15749" spans="1:1" x14ac:dyDescent="0.25">
      <c r="A15749" t="s">
        <v>14496</v>
      </c>
    </row>
    <row r="15750" spans="1:1" x14ac:dyDescent="0.25">
      <c r="A15750" t="s">
        <v>14497</v>
      </c>
    </row>
    <row r="15751" spans="1:1" x14ac:dyDescent="0.25">
      <c r="A15751" t="s">
        <v>14498</v>
      </c>
    </row>
    <row r="15752" spans="1:1" x14ac:dyDescent="0.25">
      <c r="A15752" t="s">
        <v>14499</v>
      </c>
    </row>
    <row r="15753" spans="1:1" x14ac:dyDescent="0.25">
      <c r="A15753" t="s">
        <v>14500</v>
      </c>
    </row>
    <row r="15754" spans="1:1" x14ac:dyDescent="0.25">
      <c r="A15754" t="s">
        <v>14501</v>
      </c>
    </row>
    <row r="15755" spans="1:1" x14ac:dyDescent="0.25">
      <c r="A15755" t="s">
        <v>14502</v>
      </c>
    </row>
    <row r="15756" spans="1:1" x14ac:dyDescent="0.25">
      <c r="A15756" t="s">
        <v>14503</v>
      </c>
    </row>
    <row r="15757" spans="1:1" x14ac:dyDescent="0.25">
      <c r="A15757" t="s">
        <v>14504</v>
      </c>
    </row>
    <row r="15758" spans="1:1" x14ac:dyDescent="0.25">
      <c r="A15758" t="s">
        <v>14505</v>
      </c>
    </row>
    <row r="15759" spans="1:1" x14ac:dyDescent="0.25">
      <c r="A15759" t="s">
        <v>14506</v>
      </c>
    </row>
    <row r="15760" spans="1:1" x14ac:dyDescent="0.25">
      <c r="A15760" t="s">
        <v>14507</v>
      </c>
    </row>
    <row r="15761" spans="1:1" x14ac:dyDescent="0.25">
      <c r="A15761" t="s">
        <v>14508</v>
      </c>
    </row>
    <row r="15762" spans="1:1" x14ac:dyDescent="0.25">
      <c r="A15762" t="s">
        <v>14509</v>
      </c>
    </row>
    <row r="15763" spans="1:1" x14ac:dyDescent="0.25">
      <c r="A15763" t="s">
        <v>14510</v>
      </c>
    </row>
    <row r="15764" spans="1:1" x14ac:dyDescent="0.25">
      <c r="A15764" t="s">
        <v>14511</v>
      </c>
    </row>
    <row r="15765" spans="1:1" x14ac:dyDescent="0.25">
      <c r="A15765" t="s">
        <v>14512</v>
      </c>
    </row>
    <row r="15766" spans="1:1" x14ac:dyDescent="0.25">
      <c r="A15766" t="s">
        <v>14513</v>
      </c>
    </row>
    <row r="15767" spans="1:1" x14ac:dyDescent="0.25">
      <c r="A15767" t="s">
        <v>14514</v>
      </c>
    </row>
    <row r="15768" spans="1:1" x14ac:dyDescent="0.25">
      <c r="A15768" t="s">
        <v>14515</v>
      </c>
    </row>
    <row r="15769" spans="1:1" x14ac:dyDescent="0.25">
      <c r="A15769" t="s">
        <v>14516</v>
      </c>
    </row>
    <row r="15770" spans="1:1" x14ac:dyDescent="0.25">
      <c r="A15770" t="s">
        <v>14517</v>
      </c>
    </row>
    <row r="15771" spans="1:1" x14ac:dyDescent="0.25">
      <c r="A15771" t="s">
        <v>14518</v>
      </c>
    </row>
    <row r="15772" spans="1:1" x14ac:dyDescent="0.25">
      <c r="A15772" t="s">
        <v>14519</v>
      </c>
    </row>
    <row r="15773" spans="1:1" x14ac:dyDescent="0.25">
      <c r="A15773" t="s">
        <v>14520</v>
      </c>
    </row>
    <row r="15774" spans="1:1" x14ac:dyDescent="0.25">
      <c r="A15774" t="s">
        <v>14521</v>
      </c>
    </row>
    <row r="15775" spans="1:1" x14ac:dyDescent="0.25">
      <c r="A15775" t="s">
        <v>14522</v>
      </c>
    </row>
    <row r="15776" spans="1:1" x14ac:dyDescent="0.25">
      <c r="A15776" t="s">
        <v>14523</v>
      </c>
    </row>
    <row r="15777" spans="1:1" x14ac:dyDescent="0.25">
      <c r="A15777" t="s">
        <v>14524</v>
      </c>
    </row>
    <row r="15778" spans="1:1" x14ac:dyDescent="0.25">
      <c r="A15778" t="s">
        <v>14525</v>
      </c>
    </row>
    <row r="15779" spans="1:1" x14ac:dyDescent="0.25">
      <c r="A15779" t="s">
        <v>14526</v>
      </c>
    </row>
    <row r="15780" spans="1:1" x14ac:dyDescent="0.25">
      <c r="A15780" t="s">
        <v>14527</v>
      </c>
    </row>
    <row r="15781" spans="1:1" x14ac:dyDescent="0.25">
      <c r="A15781" t="s">
        <v>14528</v>
      </c>
    </row>
    <row r="15782" spans="1:1" x14ac:dyDescent="0.25">
      <c r="A15782" t="s">
        <v>14529</v>
      </c>
    </row>
    <row r="15783" spans="1:1" x14ac:dyDescent="0.25">
      <c r="A15783" t="s">
        <v>14530</v>
      </c>
    </row>
    <row r="15784" spans="1:1" x14ac:dyDescent="0.25">
      <c r="A15784" t="s">
        <v>14531</v>
      </c>
    </row>
    <row r="15785" spans="1:1" x14ac:dyDescent="0.25">
      <c r="A15785" t="s">
        <v>14532</v>
      </c>
    </row>
    <row r="15786" spans="1:1" x14ac:dyDescent="0.25">
      <c r="A15786" t="s">
        <v>14533</v>
      </c>
    </row>
    <row r="15787" spans="1:1" x14ac:dyDescent="0.25">
      <c r="A15787" t="s">
        <v>14534</v>
      </c>
    </row>
    <row r="15788" spans="1:1" x14ac:dyDescent="0.25">
      <c r="A15788" t="s">
        <v>14535</v>
      </c>
    </row>
    <row r="15789" spans="1:1" x14ac:dyDescent="0.25">
      <c r="A15789" t="s">
        <v>14536</v>
      </c>
    </row>
    <row r="15790" spans="1:1" x14ac:dyDescent="0.25">
      <c r="A15790" t="s">
        <v>14537</v>
      </c>
    </row>
    <row r="15791" spans="1:1" x14ac:dyDescent="0.25">
      <c r="A15791" t="s">
        <v>14538</v>
      </c>
    </row>
    <row r="15792" spans="1:1" x14ac:dyDescent="0.25">
      <c r="A15792" t="s">
        <v>14539</v>
      </c>
    </row>
    <row r="15793" spans="1:1" x14ac:dyDescent="0.25">
      <c r="A15793" t="s">
        <v>14540</v>
      </c>
    </row>
    <row r="15794" spans="1:1" x14ac:dyDescent="0.25">
      <c r="A15794" t="s">
        <v>14541</v>
      </c>
    </row>
    <row r="15795" spans="1:1" x14ac:dyDescent="0.25">
      <c r="A15795" t="s">
        <v>14542</v>
      </c>
    </row>
    <row r="15796" spans="1:1" x14ac:dyDescent="0.25">
      <c r="A15796" t="s">
        <v>14543</v>
      </c>
    </row>
    <row r="15797" spans="1:1" x14ac:dyDescent="0.25">
      <c r="A15797" t="s">
        <v>14544</v>
      </c>
    </row>
    <row r="15798" spans="1:1" x14ac:dyDescent="0.25">
      <c r="A15798" t="s">
        <v>14545</v>
      </c>
    </row>
    <row r="15799" spans="1:1" x14ac:dyDescent="0.25">
      <c r="A15799" t="s">
        <v>14546</v>
      </c>
    </row>
    <row r="15800" spans="1:1" x14ac:dyDescent="0.25">
      <c r="A15800" t="s">
        <v>14547</v>
      </c>
    </row>
    <row r="15801" spans="1:1" x14ac:dyDescent="0.25">
      <c r="A15801" t="s">
        <v>14548</v>
      </c>
    </row>
    <row r="15802" spans="1:1" x14ac:dyDescent="0.25">
      <c r="A15802" t="s">
        <v>14549</v>
      </c>
    </row>
    <row r="15803" spans="1:1" x14ac:dyDescent="0.25">
      <c r="A15803" t="s">
        <v>14550</v>
      </c>
    </row>
    <row r="15804" spans="1:1" x14ac:dyDescent="0.25">
      <c r="A15804" t="s">
        <v>14551</v>
      </c>
    </row>
    <row r="15805" spans="1:1" x14ac:dyDescent="0.25">
      <c r="A15805" t="s">
        <v>14552</v>
      </c>
    </row>
    <row r="15806" spans="1:1" x14ac:dyDescent="0.25">
      <c r="A15806" t="s">
        <v>14553</v>
      </c>
    </row>
    <row r="15807" spans="1:1" x14ac:dyDescent="0.25">
      <c r="A15807" t="s">
        <v>14554</v>
      </c>
    </row>
    <row r="15808" spans="1:1" x14ac:dyDescent="0.25">
      <c r="A15808" t="s">
        <v>14555</v>
      </c>
    </row>
    <row r="15809" spans="1:1" x14ac:dyDescent="0.25">
      <c r="A15809" t="s">
        <v>14556</v>
      </c>
    </row>
    <row r="15810" spans="1:1" x14ac:dyDescent="0.25">
      <c r="A15810" t="s">
        <v>14557</v>
      </c>
    </row>
    <row r="15811" spans="1:1" x14ac:dyDescent="0.25">
      <c r="A15811" t="s">
        <v>14558</v>
      </c>
    </row>
    <row r="15812" spans="1:1" x14ac:dyDescent="0.25">
      <c r="A15812" t="s">
        <v>14559</v>
      </c>
    </row>
    <row r="15813" spans="1:1" x14ac:dyDescent="0.25">
      <c r="A15813" t="s">
        <v>14560</v>
      </c>
    </row>
    <row r="15814" spans="1:1" x14ac:dyDescent="0.25">
      <c r="A15814" t="s">
        <v>14561</v>
      </c>
    </row>
    <row r="15815" spans="1:1" x14ac:dyDescent="0.25">
      <c r="A15815" t="s">
        <v>14562</v>
      </c>
    </row>
    <row r="15816" spans="1:1" x14ac:dyDescent="0.25">
      <c r="A15816" t="s">
        <v>14563</v>
      </c>
    </row>
    <row r="15817" spans="1:1" x14ac:dyDescent="0.25">
      <c r="A15817" t="s">
        <v>14564</v>
      </c>
    </row>
    <row r="15818" spans="1:1" x14ac:dyDescent="0.25">
      <c r="A15818" t="s">
        <v>14565</v>
      </c>
    </row>
    <row r="15819" spans="1:1" x14ac:dyDescent="0.25">
      <c r="A15819" t="s">
        <v>14566</v>
      </c>
    </row>
    <row r="15820" spans="1:1" x14ac:dyDescent="0.25">
      <c r="A15820" t="s">
        <v>14567</v>
      </c>
    </row>
    <row r="15821" spans="1:1" x14ac:dyDescent="0.25">
      <c r="A15821" t="s">
        <v>14568</v>
      </c>
    </row>
    <row r="15822" spans="1:1" x14ac:dyDescent="0.25">
      <c r="A15822" t="s">
        <v>14569</v>
      </c>
    </row>
    <row r="15823" spans="1:1" x14ac:dyDescent="0.25">
      <c r="A15823" t="s">
        <v>14570</v>
      </c>
    </row>
    <row r="15824" spans="1:1" x14ac:dyDescent="0.25">
      <c r="A15824" t="s">
        <v>14571</v>
      </c>
    </row>
    <row r="15825" spans="1:1" x14ac:dyDescent="0.25">
      <c r="A15825" t="s">
        <v>14572</v>
      </c>
    </row>
    <row r="15826" spans="1:1" x14ac:dyDescent="0.25">
      <c r="A15826" t="s">
        <v>14573</v>
      </c>
    </row>
    <row r="15827" spans="1:1" x14ac:dyDescent="0.25">
      <c r="A15827" t="s">
        <v>14574</v>
      </c>
    </row>
    <row r="15828" spans="1:1" x14ac:dyDescent="0.25">
      <c r="A15828" t="s">
        <v>14575</v>
      </c>
    </row>
    <row r="15829" spans="1:1" x14ac:dyDescent="0.25">
      <c r="A15829" t="s">
        <v>14576</v>
      </c>
    </row>
    <row r="15830" spans="1:1" x14ac:dyDescent="0.25">
      <c r="A15830" t="s">
        <v>14577</v>
      </c>
    </row>
    <row r="15831" spans="1:1" x14ac:dyDescent="0.25">
      <c r="A15831" t="s">
        <v>14578</v>
      </c>
    </row>
    <row r="15832" spans="1:1" x14ac:dyDescent="0.25">
      <c r="A15832" t="s">
        <v>14579</v>
      </c>
    </row>
    <row r="15833" spans="1:1" x14ac:dyDescent="0.25">
      <c r="A15833" t="s">
        <v>14580</v>
      </c>
    </row>
    <row r="15834" spans="1:1" x14ac:dyDescent="0.25">
      <c r="A15834" t="s">
        <v>14581</v>
      </c>
    </row>
    <row r="15835" spans="1:1" x14ac:dyDescent="0.25">
      <c r="A15835" t="s">
        <v>14582</v>
      </c>
    </row>
    <row r="15836" spans="1:1" x14ac:dyDescent="0.25">
      <c r="A15836" t="s">
        <v>14583</v>
      </c>
    </row>
    <row r="15837" spans="1:1" x14ac:dyDescent="0.25">
      <c r="A15837" t="s">
        <v>14584</v>
      </c>
    </row>
    <row r="15838" spans="1:1" x14ac:dyDescent="0.25">
      <c r="A15838" t="s">
        <v>14585</v>
      </c>
    </row>
    <row r="15839" spans="1:1" x14ac:dyDescent="0.25">
      <c r="A15839" t="s">
        <v>14586</v>
      </c>
    </row>
    <row r="15840" spans="1:1" x14ac:dyDescent="0.25">
      <c r="A15840" t="s">
        <v>14587</v>
      </c>
    </row>
    <row r="15841" spans="1:1" x14ac:dyDescent="0.25">
      <c r="A15841" t="s">
        <v>14588</v>
      </c>
    </row>
    <row r="15842" spans="1:1" x14ac:dyDescent="0.25">
      <c r="A15842" t="s">
        <v>14589</v>
      </c>
    </row>
    <row r="15843" spans="1:1" x14ac:dyDescent="0.25">
      <c r="A15843" t="s">
        <v>14590</v>
      </c>
    </row>
    <row r="15844" spans="1:1" x14ac:dyDescent="0.25">
      <c r="A15844" t="s">
        <v>14591</v>
      </c>
    </row>
    <row r="15845" spans="1:1" x14ac:dyDescent="0.25">
      <c r="A15845" t="s">
        <v>14592</v>
      </c>
    </row>
    <row r="15846" spans="1:1" x14ac:dyDescent="0.25">
      <c r="A15846" t="s">
        <v>14593</v>
      </c>
    </row>
    <row r="15847" spans="1:1" x14ac:dyDescent="0.25">
      <c r="A15847" t="s">
        <v>14594</v>
      </c>
    </row>
    <row r="15848" spans="1:1" x14ac:dyDescent="0.25">
      <c r="A15848" t="s">
        <v>14595</v>
      </c>
    </row>
    <row r="15849" spans="1:1" x14ac:dyDescent="0.25">
      <c r="A15849" t="s">
        <v>14596</v>
      </c>
    </row>
    <row r="15850" spans="1:1" x14ac:dyDescent="0.25">
      <c r="A15850" t="s">
        <v>14597</v>
      </c>
    </row>
    <row r="15851" spans="1:1" x14ac:dyDescent="0.25">
      <c r="A15851" t="s">
        <v>14598</v>
      </c>
    </row>
    <row r="15852" spans="1:1" x14ac:dyDescent="0.25">
      <c r="A15852" t="s">
        <v>14599</v>
      </c>
    </row>
    <row r="15853" spans="1:1" x14ac:dyDescent="0.25">
      <c r="A15853" t="s">
        <v>14600</v>
      </c>
    </row>
    <row r="15854" spans="1:1" x14ac:dyDescent="0.25">
      <c r="A15854" t="s">
        <v>14601</v>
      </c>
    </row>
    <row r="15855" spans="1:1" x14ac:dyDescent="0.25">
      <c r="A15855" t="s">
        <v>14602</v>
      </c>
    </row>
    <row r="15856" spans="1:1" x14ac:dyDescent="0.25">
      <c r="A15856" t="s">
        <v>14603</v>
      </c>
    </row>
    <row r="15857" spans="1:1" x14ac:dyDescent="0.25">
      <c r="A15857" t="s">
        <v>14604</v>
      </c>
    </row>
    <row r="15858" spans="1:1" x14ac:dyDescent="0.25">
      <c r="A15858" t="s">
        <v>14605</v>
      </c>
    </row>
    <row r="15859" spans="1:1" x14ac:dyDescent="0.25">
      <c r="A15859" t="s">
        <v>14606</v>
      </c>
    </row>
    <row r="15860" spans="1:1" x14ac:dyDescent="0.25">
      <c r="A15860" t="s">
        <v>14607</v>
      </c>
    </row>
    <row r="15861" spans="1:1" x14ac:dyDescent="0.25">
      <c r="A15861" t="s">
        <v>14608</v>
      </c>
    </row>
    <row r="15862" spans="1:1" x14ac:dyDescent="0.25">
      <c r="A15862" t="s">
        <v>14609</v>
      </c>
    </row>
    <row r="15863" spans="1:1" x14ac:dyDescent="0.25">
      <c r="A15863" t="s">
        <v>14610</v>
      </c>
    </row>
    <row r="15864" spans="1:1" x14ac:dyDescent="0.25">
      <c r="A15864" t="s">
        <v>14611</v>
      </c>
    </row>
    <row r="15865" spans="1:1" x14ac:dyDescent="0.25">
      <c r="A15865" t="s">
        <v>14612</v>
      </c>
    </row>
    <row r="15866" spans="1:1" x14ac:dyDescent="0.25">
      <c r="A15866" t="s">
        <v>14613</v>
      </c>
    </row>
    <row r="15867" spans="1:1" x14ac:dyDescent="0.25">
      <c r="A15867" t="s">
        <v>14614</v>
      </c>
    </row>
    <row r="15868" spans="1:1" x14ac:dyDescent="0.25">
      <c r="A15868" t="s">
        <v>14615</v>
      </c>
    </row>
    <row r="15869" spans="1:1" x14ac:dyDescent="0.25">
      <c r="A15869" t="s">
        <v>14616</v>
      </c>
    </row>
    <row r="15870" spans="1:1" x14ac:dyDescent="0.25">
      <c r="A15870" t="s">
        <v>14617</v>
      </c>
    </row>
    <row r="15871" spans="1:1" x14ac:dyDescent="0.25">
      <c r="A15871" t="s">
        <v>14618</v>
      </c>
    </row>
    <row r="15872" spans="1:1" x14ac:dyDescent="0.25">
      <c r="A15872" t="s">
        <v>14619</v>
      </c>
    </row>
    <row r="15873" spans="1:1" x14ac:dyDescent="0.25">
      <c r="A15873" t="s">
        <v>14620</v>
      </c>
    </row>
    <row r="15874" spans="1:1" x14ac:dyDescent="0.25">
      <c r="A15874" t="s">
        <v>14621</v>
      </c>
    </row>
    <row r="15875" spans="1:1" x14ac:dyDescent="0.25">
      <c r="A15875" t="s">
        <v>14622</v>
      </c>
    </row>
    <row r="15876" spans="1:1" x14ac:dyDescent="0.25">
      <c r="A15876" t="s">
        <v>14623</v>
      </c>
    </row>
    <row r="15877" spans="1:1" x14ac:dyDescent="0.25">
      <c r="A15877" t="s">
        <v>14624</v>
      </c>
    </row>
    <row r="15878" spans="1:1" x14ac:dyDescent="0.25">
      <c r="A15878" t="s">
        <v>14625</v>
      </c>
    </row>
    <row r="15879" spans="1:1" x14ac:dyDescent="0.25">
      <c r="A15879" t="s">
        <v>14626</v>
      </c>
    </row>
    <row r="15880" spans="1:1" x14ac:dyDescent="0.25">
      <c r="A15880" t="s">
        <v>14627</v>
      </c>
    </row>
    <row r="15881" spans="1:1" x14ac:dyDescent="0.25">
      <c r="A15881" t="s">
        <v>14628</v>
      </c>
    </row>
    <row r="15882" spans="1:1" x14ac:dyDescent="0.25">
      <c r="A15882" t="s">
        <v>14629</v>
      </c>
    </row>
    <row r="15883" spans="1:1" x14ac:dyDescent="0.25">
      <c r="A15883" t="s">
        <v>14630</v>
      </c>
    </row>
    <row r="15884" spans="1:1" x14ac:dyDescent="0.25">
      <c r="A15884" t="s">
        <v>14631</v>
      </c>
    </row>
    <row r="15885" spans="1:1" x14ac:dyDescent="0.25">
      <c r="A15885" t="s">
        <v>14632</v>
      </c>
    </row>
    <row r="15886" spans="1:1" x14ac:dyDescent="0.25">
      <c r="A15886" t="s">
        <v>14633</v>
      </c>
    </row>
    <row r="15887" spans="1:1" x14ac:dyDescent="0.25">
      <c r="A15887" t="s">
        <v>14634</v>
      </c>
    </row>
    <row r="15888" spans="1:1" x14ac:dyDescent="0.25">
      <c r="A15888" t="s">
        <v>14635</v>
      </c>
    </row>
    <row r="15889" spans="1:1" x14ac:dyDescent="0.25">
      <c r="A15889" t="s">
        <v>14636</v>
      </c>
    </row>
    <row r="15890" spans="1:1" x14ac:dyDescent="0.25">
      <c r="A15890" t="s">
        <v>14637</v>
      </c>
    </row>
    <row r="15891" spans="1:1" x14ac:dyDescent="0.25">
      <c r="A15891" t="s">
        <v>14638</v>
      </c>
    </row>
    <row r="15892" spans="1:1" x14ac:dyDescent="0.25">
      <c r="A15892" t="s">
        <v>14639</v>
      </c>
    </row>
    <row r="15893" spans="1:1" x14ac:dyDescent="0.25">
      <c r="A15893" t="s">
        <v>14640</v>
      </c>
    </row>
    <row r="15894" spans="1:1" x14ac:dyDescent="0.25">
      <c r="A15894" t="s">
        <v>14641</v>
      </c>
    </row>
    <row r="15895" spans="1:1" x14ac:dyDescent="0.25">
      <c r="A15895" t="s">
        <v>14642</v>
      </c>
    </row>
    <row r="15896" spans="1:1" x14ac:dyDescent="0.25">
      <c r="A15896" t="s">
        <v>14643</v>
      </c>
    </row>
    <row r="15897" spans="1:1" x14ac:dyDescent="0.25">
      <c r="A15897" t="s">
        <v>14644</v>
      </c>
    </row>
    <row r="15898" spans="1:1" x14ac:dyDescent="0.25">
      <c r="A15898" t="s">
        <v>14645</v>
      </c>
    </row>
    <row r="15899" spans="1:1" x14ac:dyDescent="0.25">
      <c r="A15899" t="s">
        <v>14646</v>
      </c>
    </row>
    <row r="15900" spans="1:1" x14ac:dyDescent="0.25">
      <c r="A15900" t="s">
        <v>14647</v>
      </c>
    </row>
    <row r="15901" spans="1:1" x14ac:dyDescent="0.25">
      <c r="A15901" t="s">
        <v>14648</v>
      </c>
    </row>
    <row r="15902" spans="1:1" x14ac:dyDescent="0.25">
      <c r="A15902" t="s">
        <v>14649</v>
      </c>
    </row>
    <row r="15903" spans="1:1" x14ac:dyDescent="0.25">
      <c r="A15903" t="s">
        <v>14650</v>
      </c>
    </row>
    <row r="15904" spans="1:1" x14ac:dyDescent="0.25">
      <c r="A15904" t="s">
        <v>14651</v>
      </c>
    </row>
    <row r="15905" spans="1:1" x14ac:dyDescent="0.25">
      <c r="A15905" t="s">
        <v>14652</v>
      </c>
    </row>
    <row r="15906" spans="1:1" x14ac:dyDescent="0.25">
      <c r="A15906" t="s">
        <v>14653</v>
      </c>
    </row>
    <row r="15907" spans="1:1" x14ac:dyDescent="0.25">
      <c r="A15907" t="s">
        <v>14654</v>
      </c>
    </row>
    <row r="15908" spans="1:1" x14ac:dyDescent="0.25">
      <c r="A15908" t="s">
        <v>14655</v>
      </c>
    </row>
    <row r="15909" spans="1:1" x14ac:dyDescent="0.25">
      <c r="A15909" t="s">
        <v>14656</v>
      </c>
    </row>
    <row r="15910" spans="1:1" x14ac:dyDescent="0.25">
      <c r="A15910" t="s">
        <v>14657</v>
      </c>
    </row>
    <row r="15911" spans="1:1" x14ac:dyDescent="0.25">
      <c r="A15911" t="s">
        <v>14658</v>
      </c>
    </row>
    <row r="15912" spans="1:1" x14ac:dyDescent="0.25">
      <c r="A15912" t="s">
        <v>14659</v>
      </c>
    </row>
    <row r="15913" spans="1:1" x14ac:dyDescent="0.25">
      <c r="A15913" t="s">
        <v>14660</v>
      </c>
    </row>
    <row r="15914" spans="1:1" x14ac:dyDescent="0.25">
      <c r="A15914" t="s">
        <v>14661</v>
      </c>
    </row>
    <row r="15916" spans="1:1" x14ac:dyDescent="0.25">
      <c r="A15916" t="s">
        <v>14662</v>
      </c>
    </row>
    <row r="15917" spans="1:1" x14ac:dyDescent="0.25">
      <c r="A15917" t="s">
        <v>14663</v>
      </c>
    </row>
    <row r="15918" spans="1:1" x14ac:dyDescent="0.25">
      <c r="A15918" t="s">
        <v>14664</v>
      </c>
    </row>
    <row r="15919" spans="1:1" x14ac:dyDescent="0.25">
      <c r="A15919" t="s">
        <v>14665</v>
      </c>
    </row>
    <row r="15920" spans="1:1" x14ac:dyDescent="0.25">
      <c r="A15920" t="s">
        <v>14666</v>
      </c>
    </row>
    <row r="15921" spans="1:1" x14ac:dyDescent="0.25">
      <c r="A15921" t="s">
        <v>14667</v>
      </c>
    </row>
    <row r="15922" spans="1:1" x14ac:dyDescent="0.25">
      <c r="A15922" t="s">
        <v>14668</v>
      </c>
    </row>
    <row r="15923" spans="1:1" x14ac:dyDescent="0.25">
      <c r="A15923" t="s">
        <v>14669</v>
      </c>
    </row>
    <row r="15924" spans="1:1" x14ac:dyDescent="0.25">
      <c r="A15924" t="s">
        <v>14670</v>
      </c>
    </row>
    <row r="15925" spans="1:1" x14ac:dyDescent="0.25">
      <c r="A15925" t="s">
        <v>14671</v>
      </c>
    </row>
    <row r="15926" spans="1:1" x14ac:dyDescent="0.25">
      <c r="A15926" t="s">
        <v>14672</v>
      </c>
    </row>
    <row r="15927" spans="1:1" x14ac:dyDescent="0.25">
      <c r="A15927" t="s">
        <v>14673</v>
      </c>
    </row>
    <row r="15928" spans="1:1" x14ac:dyDescent="0.25">
      <c r="A15928" t="s">
        <v>14674</v>
      </c>
    </row>
    <row r="15929" spans="1:1" x14ac:dyDescent="0.25">
      <c r="A15929" t="s">
        <v>14675</v>
      </c>
    </row>
    <row r="15930" spans="1:1" x14ac:dyDescent="0.25">
      <c r="A15930" t="s">
        <v>14676</v>
      </c>
    </row>
    <row r="15931" spans="1:1" x14ac:dyDescent="0.25">
      <c r="A15931" t="s">
        <v>14677</v>
      </c>
    </row>
    <row r="15932" spans="1:1" x14ac:dyDescent="0.25">
      <c r="A15932" t="s">
        <v>14678</v>
      </c>
    </row>
    <row r="15933" spans="1:1" x14ac:dyDescent="0.25">
      <c r="A15933" t="s">
        <v>14679</v>
      </c>
    </row>
    <row r="15934" spans="1:1" x14ac:dyDescent="0.25">
      <c r="A15934" t="s">
        <v>14680</v>
      </c>
    </row>
    <row r="15936" spans="1:1" x14ac:dyDescent="0.25">
      <c r="A15936" t="s">
        <v>14681</v>
      </c>
    </row>
    <row r="15937" spans="1:1" x14ac:dyDescent="0.25">
      <c r="A15937" t="s">
        <v>14682</v>
      </c>
    </row>
    <row r="15938" spans="1:1" x14ac:dyDescent="0.25">
      <c r="A15938" t="s">
        <v>14683</v>
      </c>
    </row>
    <row r="15939" spans="1:1" x14ac:dyDescent="0.25">
      <c r="A15939" t="s">
        <v>14684</v>
      </c>
    </row>
    <row r="15940" spans="1:1" x14ac:dyDescent="0.25">
      <c r="A15940" t="s">
        <v>14685</v>
      </c>
    </row>
    <row r="15941" spans="1:1" x14ac:dyDescent="0.25">
      <c r="A15941" t="s">
        <v>14686</v>
      </c>
    </row>
    <row r="15942" spans="1:1" x14ac:dyDescent="0.25">
      <c r="A15942" t="s">
        <v>14687</v>
      </c>
    </row>
    <row r="15943" spans="1:1" x14ac:dyDescent="0.25">
      <c r="A15943" t="s">
        <v>14688</v>
      </c>
    </row>
    <row r="15944" spans="1:1" x14ac:dyDescent="0.25">
      <c r="A15944" t="s">
        <v>14689</v>
      </c>
    </row>
    <row r="15945" spans="1:1" x14ac:dyDescent="0.25">
      <c r="A15945" t="s">
        <v>14690</v>
      </c>
    </row>
    <row r="15946" spans="1:1" x14ac:dyDescent="0.25">
      <c r="A15946" t="s">
        <v>14691</v>
      </c>
    </row>
    <row r="15947" spans="1:1" x14ac:dyDescent="0.25">
      <c r="A15947" t="s">
        <v>14692</v>
      </c>
    </row>
    <row r="15948" spans="1:1" x14ac:dyDescent="0.25">
      <c r="A15948" t="s">
        <v>14693</v>
      </c>
    </row>
    <row r="15949" spans="1:1" x14ac:dyDescent="0.25">
      <c r="A15949" t="s">
        <v>14694</v>
      </c>
    </row>
    <row r="15950" spans="1:1" x14ac:dyDescent="0.25">
      <c r="A15950" t="s">
        <v>14695</v>
      </c>
    </row>
    <row r="15951" spans="1:1" x14ac:dyDescent="0.25">
      <c r="A15951" t="s">
        <v>14696</v>
      </c>
    </row>
    <row r="15952" spans="1:1" x14ac:dyDescent="0.25">
      <c r="A15952" t="s">
        <v>14697</v>
      </c>
    </row>
    <row r="15953" spans="1:1" x14ac:dyDescent="0.25">
      <c r="A15953" t="s">
        <v>14698</v>
      </c>
    </row>
    <row r="15954" spans="1:1" x14ac:dyDescent="0.25">
      <c r="A15954" t="s">
        <v>14699</v>
      </c>
    </row>
    <row r="15955" spans="1:1" x14ac:dyDescent="0.25">
      <c r="A15955" t="s">
        <v>14700</v>
      </c>
    </row>
    <row r="15956" spans="1:1" x14ac:dyDescent="0.25">
      <c r="A15956" t="s">
        <v>14701</v>
      </c>
    </row>
    <row r="15957" spans="1:1" x14ac:dyDescent="0.25">
      <c r="A15957" t="s">
        <v>14702</v>
      </c>
    </row>
    <row r="15958" spans="1:1" x14ac:dyDescent="0.25">
      <c r="A15958" t="s">
        <v>14703</v>
      </c>
    </row>
    <row r="15959" spans="1:1" x14ac:dyDescent="0.25">
      <c r="A15959" t="s">
        <v>14704</v>
      </c>
    </row>
    <row r="15960" spans="1:1" x14ac:dyDescent="0.25">
      <c r="A15960" t="s">
        <v>14705</v>
      </c>
    </row>
    <row r="15961" spans="1:1" x14ac:dyDescent="0.25">
      <c r="A15961" t="s">
        <v>14706</v>
      </c>
    </row>
    <row r="15962" spans="1:1" x14ac:dyDescent="0.25">
      <c r="A15962" t="s">
        <v>14707</v>
      </c>
    </row>
    <row r="15963" spans="1:1" x14ac:dyDescent="0.25">
      <c r="A15963" t="s">
        <v>14708</v>
      </c>
    </row>
    <row r="15964" spans="1:1" x14ac:dyDescent="0.25">
      <c r="A15964" t="s">
        <v>14709</v>
      </c>
    </row>
    <row r="15965" spans="1:1" x14ac:dyDescent="0.25">
      <c r="A15965" t="s">
        <v>14710</v>
      </c>
    </row>
    <row r="15966" spans="1:1" x14ac:dyDescent="0.25">
      <c r="A15966" t="s">
        <v>14711</v>
      </c>
    </row>
    <row r="15967" spans="1:1" x14ac:dyDescent="0.25">
      <c r="A15967" t="s">
        <v>14712</v>
      </c>
    </row>
    <row r="15968" spans="1:1" x14ac:dyDescent="0.25">
      <c r="A15968" t="s">
        <v>14713</v>
      </c>
    </row>
    <row r="15969" spans="1:1" x14ac:dyDescent="0.25">
      <c r="A15969" t="s">
        <v>14714</v>
      </c>
    </row>
    <row r="15970" spans="1:1" x14ac:dyDescent="0.25">
      <c r="A15970" t="s">
        <v>14715</v>
      </c>
    </row>
    <row r="15971" spans="1:1" x14ac:dyDescent="0.25">
      <c r="A15971" t="s">
        <v>14716</v>
      </c>
    </row>
    <row r="15972" spans="1:1" x14ac:dyDescent="0.25">
      <c r="A15972" t="s">
        <v>14717</v>
      </c>
    </row>
    <row r="15973" spans="1:1" x14ac:dyDescent="0.25">
      <c r="A15973" t="s">
        <v>14718</v>
      </c>
    </row>
    <row r="15974" spans="1:1" x14ac:dyDescent="0.25">
      <c r="A15974" t="s">
        <v>14719</v>
      </c>
    </row>
    <row r="15975" spans="1:1" x14ac:dyDescent="0.25">
      <c r="A15975" t="s">
        <v>14720</v>
      </c>
    </row>
    <row r="15976" spans="1:1" x14ac:dyDescent="0.25">
      <c r="A15976" t="s">
        <v>14721</v>
      </c>
    </row>
    <row r="15977" spans="1:1" x14ac:dyDescent="0.25">
      <c r="A15977" t="s">
        <v>14722</v>
      </c>
    </row>
    <row r="15978" spans="1:1" x14ac:dyDescent="0.25">
      <c r="A15978" t="s">
        <v>14723</v>
      </c>
    </row>
    <row r="15979" spans="1:1" x14ac:dyDescent="0.25">
      <c r="A15979" t="s">
        <v>14724</v>
      </c>
    </row>
    <row r="15980" spans="1:1" x14ac:dyDescent="0.25">
      <c r="A15980" t="s">
        <v>14725</v>
      </c>
    </row>
    <row r="15981" spans="1:1" x14ac:dyDescent="0.25">
      <c r="A15981" t="s">
        <v>14726</v>
      </c>
    </row>
    <row r="15982" spans="1:1" x14ac:dyDescent="0.25">
      <c r="A15982" t="s">
        <v>14727</v>
      </c>
    </row>
    <row r="15983" spans="1:1" x14ac:dyDescent="0.25">
      <c r="A15983" t="s">
        <v>14728</v>
      </c>
    </row>
    <row r="15984" spans="1:1" x14ac:dyDescent="0.25">
      <c r="A15984" t="s">
        <v>14729</v>
      </c>
    </row>
    <row r="15985" spans="1:1" x14ac:dyDescent="0.25">
      <c r="A15985" t="s">
        <v>14730</v>
      </c>
    </row>
    <row r="15986" spans="1:1" x14ac:dyDescent="0.25">
      <c r="A15986" t="s">
        <v>14731</v>
      </c>
    </row>
    <row r="15987" spans="1:1" x14ac:dyDescent="0.25">
      <c r="A15987" t="s">
        <v>14732</v>
      </c>
    </row>
    <row r="15988" spans="1:1" x14ac:dyDescent="0.25">
      <c r="A15988" t="s">
        <v>14733</v>
      </c>
    </row>
    <row r="15989" spans="1:1" x14ac:dyDescent="0.25">
      <c r="A15989" t="s">
        <v>14734</v>
      </c>
    </row>
    <row r="15990" spans="1:1" x14ac:dyDescent="0.25">
      <c r="A15990" t="s">
        <v>14735</v>
      </c>
    </row>
    <row r="15991" spans="1:1" x14ac:dyDescent="0.25">
      <c r="A15991" t="s">
        <v>14736</v>
      </c>
    </row>
    <row r="15992" spans="1:1" x14ac:dyDescent="0.25">
      <c r="A15992" t="s">
        <v>14737</v>
      </c>
    </row>
    <row r="15993" spans="1:1" x14ac:dyDescent="0.25">
      <c r="A15993" t="s">
        <v>14738</v>
      </c>
    </row>
    <row r="15994" spans="1:1" x14ac:dyDescent="0.25">
      <c r="A15994" t="s">
        <v>14739</v>
      </c>
    </row>
    <row r="15995" spans="1:1" x14ac:dyDescent="0.25">
      <c r="A15995" t="s">
        <v>14740</v>
      </c>
    </row>
    <row r="15996" spans="1:1" x14ac:dyDescent="0.25">
      <c r="A15996" t="s">
        <v>14741</v>
      </c>
    </row>
    <row r="15997" spans="1:1" x14ac:dyDescent="0.25">
      <c r="A15997" t="s">
        <v>14742</v>
      </c>
    </row>
    <row r="15998" spans="1:1" x14ac:dyDescent="0.25">
      <c r="A15998" t="s">
        <v>14743</v>
      </c>
    </row>
    <row r="15999" spans="1:1" x14ac:dyDescent="0.25">
      <c r="A15999" t="s">
        <v>14744</v>
      </c>
    </row>
    <row r="16000" spans="1:1" x14ac:dyDescent="0.25">
      <c r="A16000" t="s">
        <v>14745</v>
      </c>
    </row>
    <row r="16001" spans="1:1" x14ac:dyDescent="0.25">
      <c r="A16001" t="s">
        <v>14746</v>
      </c>
    </row>
    <row r="16002" spans="1:1" x14ac:dyDescent="0.25">
      <c r="A16002" t="s">
        <v>14747</v>
      </c>
    </row>
    <row r="16003" spans="1:1" x14ac:dyDescent="0.25">
      <c r="A16003" t="s">
        <v>14748</v>
      </c>
    </row>
    <row r="16004" spans="1:1" x14ac:dyDescent="0.25">
      <c r="A16004" t="s">
        <v>14749</v>
      </c>
    </row>
    <row r="16005" spans="1:1" x14ac:dyDescent="0.25">
      <c r="A16005" t="s">
        <v>14750</v>
      </c>
    </row>
    <row r="16006" spans="1:1" x14ac:dyDescent="0.25">
      <c r="A16006" t="s">
        <v>14751</v>
      </c>
    </row>
    <row r="16007" spans="1:1" x14ac:dyDescent="0.25">
      <c r="A16007" t="s">
        <v>14752</v>
      </c>
    </row>
    <row r="16008" spans="1:1" x14ac:dyDescent="0.25">
      <c r="A16008" t="s">
        <v>14753</v>
      </c>
    </row>
    <row r="16009" spans="1:1" x14ac:dyDescent="0.25">
      <c r="A16009" t="s">
        <v>14754</v>
      </c>
    </row>
    <row r="16010" spans="1:1" x14ac:dyDescent="0.25">
      <c r="A16010" t="s">
        <v>14755</v>
      </c>
    </row>
    <row r="16011" spans="1:1" x14ac:dyDescent="0.25">
      <c r="A16011" t="s">
        <v>14756</v>
      </c>
    </row>
    <row r="16012" spans="1:1" x14ac:dyDescent="0.25">
      <c r="A16012" t="s">
        <v>14757</v>
      </c>
    </row>
    <row r="16013" spans="1:1" x14ac:dyDescent="0.25">
      <c r="A16013" t="s">
        <v>14758</v>
      </c>
    </row>
    <row r="16014" spans="1:1" x14ac:dyDescent="0.25">
      <c r="A16014" t="s">
        <v>14759</v>
      </c>
    </row>
    <row r="16015" spans="1:1" x14ac:dyDescent="0.25">
      <c r="A16015" t="s">
        <v>14760</v>
      </c>
    </row>
    <row r="16016" spans="1:1" x14ac:dyDescent="0.25">
      <c r="A16016" t="s">
        <v>14761</v>
      </c>
    </row>
    <row r="16017" spans="1:1" x14ac:dyDescent="0.25">
      <c r="A16017" t="s">
        <v>14762</v>
      </c>
    </row>
    <row r="16018" spans="1:1" x14ac:dyDescent="0.25">
      <c r="A16018" t="s">
        <v>14763</v>
      </c>
    </row>
    <row r="16019" spans="1:1" x14ac:dyDescent="0.25">
      <c r="A16019" t="s">
        <v>14764</v>
      </c>
    </row>
    <row r="16020" spans="1:1" x14ac:dyDescent="0.25">
      <c r="A16020" t="s">
        <v>14765</v>
      </c>
    </row>
    <row r="16021" spans="1:1" x14ac:dyDescent="0.25">
      <c r="A16021" t="s">
        <v>14766</v>
      </c>
    </row>
    <row r="16022" spans="1:1" x14ac:dyDescent="0.25">
      <c r="A16022" t="s">
        <v>14767</v>
      </c>
    </row>
    <row r="16023" spans="1:1" x14ac:dyDescent="0.25">
      <c r="A16023" t="s">
        <v>14768</v>
      </c>
    </row>
    <row r="16024" spans="1:1" x14ac:dyDescent="0.25">
      <c r="A16024" t="s">
        <v>14769</v>
      </c>
    </row>
    <row r="16025" spans="1:1" x14ac:dyDescent="0.25">
      <c r="A16025" t="s">
        <v>14770</v>
      </c>
    </row>
    <row r="16026" spans="1:1" x14ac:dyDescent="0.25">
      <c r="A16026" t="s">
        <v>14771</v>
      </c>
    </row>
    <row r="16027" spans="1:1" x14ac:dyDescent="0.25">
      <c r="A16027" t="s">
        <v>14772</v>
      </c>
    </row>
    <row r="16028" spans="1:1" x14ac:dyDescent="0.25">
      <c r="A16028" t="s">
        <v>14773</v>
      </c>
    </row>
    <row r="16029" spans="1:1" x14ac:dyDescent="0.25">
      <c r="A16029" t="s">
        <v>14774</v>
      </c>
    </row>
    <row r="16030" spans="1:1" x14ac:dyDescent="0.25">
      <c r="A16030" t="s">
        <v>14775</v>
      </c>
    </row>
    <row r="16031" spans="1:1" x14ac:dyDescent="0.25">
      <c r="A16031" t="s">
        <v>14776</v>
      </c>
    </row>
    <row r="16032" spans="1:1" x14ac:dyDescent="0.25">
      <c r="A16032" t="s">
        <v>14777</v>
      </c>
    </row>
    <row r="16033" spans="1:1" x14ac:dyDescent="0.25">
      <c r="A16033" t="s">
        <v>14778</v>
      </c>
    </row>
    <row r="16034" spans="1:1" x14ac:dyDescent="0.25">
      <c r="A16034" t="s">
        <v>14779</v>
      </c>
    </row>
    <row r="16035" spans="1:1" x14ac:dyDescent="0.25">
      <c r="A16035" t="s">
        <v>14780</v>
      </c>
    </row>
    <row r="16036" spans="1:1" x14ac:dyDescent="0.25">
      <c r="A16036" t="s">
        <v>14781</v>
      </c>
    </row>
    <row r="16037" spans="1:1" x14ac:dyDescent="0.25">
      <c r="A16037" t="s">
        <v>14782</v>
      </c>
    </row>
    <row r="16038" spans="1:1" x14ac:dyDescent="0.25">
      <c r="A16038" t="s">
        <v>14783</v>
      </c>
    </row>
    <row r="16039" spans="1:1" x14ac:dyDescent="0.25">
      <c r="A16039" t="s">
        <v>14784</v>
      </c>
    </row>
    <row r="16040" spans="1:1" x14ac:dyDescent="0.25">
      <c r="A16040" t="s">
        <v>14785</v>
      </c>
    </row>
    <row r="16041" spans="1:1" x14ac:dyDescent="0.25">
      <c r="A16041" t="s">
        <v>14786</v>
      </c>
    </row>
    <row r="16042" spans="1:1" x14ac:dyDescent="0.25">
      <c r="A16042" t="s">
        <v>14787</v>
      </c>
    </row>
    <row r="16043" spans="1:1" x14ac:dyDescent="0.25">
      <c r="A16043" t="s">
        <v>14788</v>
      </c>
    </row>
    <row r="16044" spans="1:1" x14ac:dyDescent="0.25">
      <c r="A16044" t="s">
        <v>14789</v>
      </c>
    </row>
    <row r="16045" spans="1:1" x14ac:dyDescent="0.25">
      <c r="A16045" t="s">
        <v>14790</v>
      </c>
    </row>
    <row r="16046" spans="1:1" x14ac:dyDescent="0.25">
      <c r="A16046" t="s">
        <v>14791</v>
      </c>
    </row>
    <row r="16047" spans="1:1" x14ac:dyDescent="0.25">
      <c r="A16047" t="s">
        <v>14792</v>
      </c>
    </row>
    <row r="16048" spans="1:1" x14ac:dyDescent="0.25">
      <c r="A16048" t="s">
        <v>14793</v>
      </c>
    </row>
    <row r="16049" spans="1:1" x14ac:dyDescent="0.25">
      <c r="A16049" t="s">
        <v>14794</v>
      </c>
    </row>
    <row r="16050" spans="1:1" x14ac:dyDescent="0.25">
      <c r="A16050" t="s">
        <v>14795</v>
      </c>
    </row>
    <row r="16051" spans="1:1" x14ac:dyDescent="0.25">
      <c r="A16051" t="s">
        <v>14796</v>
      </c>
    </row>
    <row r="16052" spans="1:1" x14ac:dyDescent="0.25">
      <c r="A16052" t="s">
        <v>14797</v>
      </c>
    </row>
    <row r="16053" spans="1:1" x14ac:dyDescent="0.25">
      <c r="A16053" t="s">
        <v>14798</v>
      </c>
    </row>
    <row r="16054" spans="1:1" x14ac:dyDescent="0.25">
      <c r="A16054" t="s">
        <v>14799</v>
      </c>
    </row>
    <row r="16055" spans="1:1" x14ac:dyDescent="0.25">
      <c r="A16055" t="s">
        <v>14800</v>
      </c>
    </row>
    <row r="16056" spans="1:1" x14ac:dyDescent="0.25">
      <c r="A16056" t="s">
        <v>14801</v>
      </c>
    </row>
    <row r="16057" spans="1:1" x14ac:dyDescent="0.25">
      <c r="A16057" t="s">
        <v>14802</v>
      </c>
    </row>
    <row r="16058" spans="1:1" x14ac:dyDescent="0.25">
      <c r="A16058" t="s">
        <v>14803</v>
      </c>
    </row>
    <row r="16059" spans="1:1" x14ac:dyDescent="0.25">
      <c r="A16059" t="s">
        <v>14804</v>
      </c>
    </row>
    <row r="16060" spans="1:1" x14ac:dyDescent="0.25">
      <c r="A16060" t="s">
        <v>14805</v>
      </c>
    </row>
    <row r="16061" spans="1:1" x14ac:dyDescent="0.25">
      <c r="A16061" t="s">
        <v>14806</v>
      </c>
    </row>
    <row r="16062" spans="1:1" x14ac:dyDescent="0.25">
      <c r="A16062" t="s">
        <v>14807</v>
      </c>
    </row>
    <row r="16063" spans="1:1" x14ac:dyDescent="0.25">
      <c r="A16063" t="s">
        <v>14808</v>
      </c>
    </row>
    <row r="16064" spans="1:1" x14ac:dyDescent="0.25">
      <c r="A16064" t="s">
        <v>14809</v>
      </c>
    </row>
    <row r="16065" spans="1:1" x14ac:dyDescent="0.25">
      <c r="A16065" t="s">
        <v>14810</v>
      </c>
    </row>
    <row r="16066" spans="1:1" x14ac:dyDescent="0.25">
      <c r="A16066" t="s">
        <v>14811</v>
      </c>
    </row>
    <row r="16067" spans="1:1" x14ac:dyDescent="0.25">
      <c r="A16067" t="s">
        <v>14812</v>
      </c>
    </row>
    <row r="16068" spans="1:1" x14ac:dyDescent="0.25">
      <c r="A16068" t="s">
        <v>14813</v>
      </c>
    </row>
    <row r="16069" spans="1:1" x14ac:dyDescent="0.25">
      <c r="A16069" t="s">
        <v>14814</v>
      </c>
    </row>
    <row r="16070" spans="1:1" x14ac:dyDescent="0.25">
      <c r="A16070" t="s">
        <v>14815</v>
      </c>
    </row>
    <row r="16071" spans="1:1" x14ac:dyDescent="0.25">
      <c r="A16071" t="s">
        <v>14816</v>
      </c>
    </row>
    <row r="16072" spans="1:1" x14ac:dyDescent="0.25">
      <c r="A16072" t="s">
        <v>14817</v>
      </c>
    </row>
    <row r="16073" spans="1:1" x14ac:dyDescent="0.25">
      <c r="A16073" t="s">
        <v>14818</v>
      </c>
    </row>
    <row r="16074" spans="1:1" x14ac:dyDescent="0.25">
      <c r="A16074" t="s">
        <v>14819</v>
      </c>
    </row>
    <row r="16075" spans="1:1" x14ac:dyDescent="0.25">
      <c r="A16075" t="s">
        <v>14820</v>
      </c>
    </row>
    <row r="16076" spans="1:1" x14ac:dyDescent="0.25">
      <c r="A16076" t="s">
        <v>14821</v>
      </c>
    </row>
    <row r="16077" spans="1:1" x14ac:dyDescent="0.25">
      <c r="A16077" t="s">
        <v>14822</v>
      </c>
    </row>
    <row r="16078" spans="1:1" x14ac:dyDescent="0.25">
      <c r="A16078" t="s">
        <v>14823</v>
      </c>
    </row>
    <row r="16079" spans="1:1" x14ac:dyDescent="0.25">
      <c r="A16079" t="s">
        <v>14824</v>
      </c>
    </row>
    <row r="16080" spans="1:1" x14ac:dyDescent="0.25">
      <c r="A16080" t="s">
        <v>14825</v>
      </c>
    </row>
    <row r="16081" spans="1:1" x14ac:dyDescent="0.25">
      <c r="A16081" t="s">
        <v>14826</v>
      </c>
    </row>
    <row r="16082" spans="1:1" x14ac:dyDescent="0.25">
      <c r="A16082" t="s">
        <v>14827</v>
      </c>
    </row>
    <row r="16083" spans="1:1" x14ac:dyDescent="0.25">
      <c r="A16083" t="s">
        <v>14828</v>
      </c>
    </row>
    <row r="16084" spans="1:1" x14ac:dyDescent="0.25">
      <c r="A16084" t="s">
        <v>14829</v>
      </c>
    </row>
    <row r="16085" spans="1:1" x14ac:dyDescent="0.25">
      <c r="A16085" t="s">
        <v>14830</v>
      </c>
    </row>
    <row r="16086" spans="1:1" x14ac:dyDescent="0.25">
      <c r="A16086" t="s">
        <v>14831</v>
      </c>
    </row>
    <row r="16087" spans="1:1" x14ac:dyDescent="0.25">
      <c r="A16087" t="s">
        <v>14832</v>
      </c>
    </row>
    <row r="16088" spans="1:1" x14ac:dyDescent="0.25">
      <c r="A16088" t="s">
        <v>14833</v>
      </c>
    </row>
    <row r="16089" spans="1:1" x14ac:dyDescent="0.25">
      <c r="A16089" t="s">
        <v>14834</v>
      </c>
    </row>
    <row r="16090" spans="1:1" x14ac:dyDescent="0.25">
      <c r="A16090" t="s">
        <v>14835</v>
      </c>
    </row>
    <row r="16091" spans="1:1" x14ac:dyDescent="0.25">
      <c r="A16091" t="s">
        <v>14836</v>
      </c>
    </row>
    <row r="16092" spans="1:1" x14ac:dyDescent="0.25">
      <c r="A16092" t="s">
        <v>14837</v>
      </c>
    </row>
    <row r="16093" spans="1:1" x14ac:dyDescent="0.25">
      <c r="A16093" t="s">
        <v>14838</v>
      </c>
    </row>
    <row r="16094" spans="1:1" x14ac:dyDescent="0.25">
      <c r="A16094" t="s">
        <v>14839</v>
      </c>
    </row>
    <row r="16095" spans="1:1" x14ac:dyDescent="0.25">
      <c r="A16095" t="s">
        <v>14840</v>
      </c>
    </row>
    <row r="16096" spans="1:1" x14ac:dyDescent="0.25">
      <c r="A16096" t="s">
        <v>14841</v>
      </c>
    </row>
    <row r="16097" spans="1:1" x14ac:dyDescent="0.25">
      <c r="A16097" t="s">
        <v>14842</v>
      </c>
    </row>
    <row r="16098" spans="1:1" x14ac:dyDescent="0.25">
      <c r="A16098" t="s">
        <v>14843</v>
      </c>
    </row>
    <row r="16099" spans="1:1" x14ac:dyDescent="0.25">
      <c r="A16099" t="s">
        <v>14844</v>
      </c>
    </row>
    <row r="16100" spans="1:1" x14ac:dyDescent="0.25">
      <c r="A16100" t="s">
        <v>14845</v>
      </c>
    </row>
    <row r="16101" spans="1:1" x14ac:dyDescent="0.25">
      <c r="A16101" t="s">
        <v>14846</v>
      </c>
    </row>
    <row r="16102" spans="1:1" x14ac:dyDescent="0.25">
      <c r="A16102" t="s">
        <v>14847</v>
      </c>
    </row>
    <row r="16103" spans="1:1" x14ac:dyDescent="0.25">
      <c r="A16103" t="s">
        <v>14848</v>
      </c>
    </row>
    <row r="16104" spans="1:1" x14ac:dyDescent="0.25">
      <c r="A16104" t="s">
        <v>14849</v>
      </c>
    </row>
    <row r="16105" spans="1:1" x14ac:dyDescent="0.25">
      <c r="A16105" t="s">
        <v>14850</v>
      </c>
    </row>
    <row r="16106" spans="1:1" x14ac:dyDescent="0.25">
      <c r="A16106" t="s">
        <v>14851</v>
      </c>
    </row>
    <row r="16107" spans="1:1" x14ac:dyDescent="0.25">
      <c r="A16107" t="s">
        <v>14852</v>
      </c>
    </row>
    <row r="16108" spans="1:1" x14ac:dyDescent="0.25">
      <c r="A16108" t="s">
        <v>14853</v>
      </c>
    </row>
    <row r="16109" spans="1:1" x14ac:dyDescent="0.25">
      <c r="A16109" t="s">
        <v>14854</v>
      </c>
    </row>
    <row r="16110" spans="1:1" x14ac:dyDescent="0.25">
      <c r="A16110" t="s">
        <v>14855</v>
      </c>
    </row>
    <row r="16111" spans="1:1" x14ac:dyDescent="0.25">
      <c r="A16111" t="s">
        <v>14856</v>
      </c>
    </row>
    <row r="16112" spans="1:1" x14ac:dyDescent="0.25">
      <c r="A16112" t="s">
        <v>14857</v>
      </c>
    </row>
    <row r="16113" spans="1:1" x14ac:dyDescent="0.25">
      <c r="A16113" t="s">
        <v>14858</v>
      </c>
    </row>
    <row r="16114" spans="1:1" x14ac:dyDescent="0.25">
      <c r="A16114" t="s">
        <v>14859</v>
      </c>
    </row>
    <row r="16115" spans="1:1" x14ac:dyDescent="0.25">
      <c r="A16115" t="s">
        <v>14860</v>
      </c>
    </row>
    <row r="16116" spans="1:1" x14ac:dyDescent="0.25">
      <c r="A16116" t="s">
        <v>14861</v>
      </c>
    </row>
    <row r="16117" spans="1:1" x14ac:dyDescent="0.25">
      <c r="A16117" t="s">
        <v>14862</v>
      </c>
    </row>
    <row r="16118" spans="1:1" x14ac:dyDescent="0.25">
      <c r="A16118" t="s">
        <v>14863</v>
      </c>
    </row>
    <row r="16119" spans="1:1" x14ac:dyDescent="0.25">
      <c r="A16119" t="s">
        <v>14864</v>
      </c>
    </row>
    <row r="16120" spans="1:1" x14ac:dyDescent="0.25">
      <c r="A16120" t="s">
        <v>14865</v>
      </c>
    </row>
    <row r="16121" spans="1:1" x14ac:dyDescent="0.25">
      <c r="A16121" t="s">
        <v>14866</v>
      </c>
    </row>
    <row r="16122" spans="1:1" x14ac:dyDescent="0.25">
      <c r="A16122" t="s">
        <v>14867</v>
      </c>
    </row>
    <row r="16123" spans="1:1" x14ac:dyDescent="0.25">
      <c r="A16123" t="s">
        <v>14868</v>
      </c>
    </row>
    <row r="16124" spans="1:1" x14ac:dyDescent="0.25">
      <c r="A16124" t="s">
        <v>14869</v>
      </c>
    </row>
    <row r="16125" spans="1:1" x14ac:dyDescent="0.25">
      <c r="A16125" t="s">
        <v>14870</v>
      </c>
    </row>
    <row r="16126" spans="1:1" x14ac:dyDescent="0.25">
      <c r="A16126" t="s">
        <v>14871</v>
      </c>
    </row>
    <row r="16127" spans="1:1" x14ac:dyDescent="0.25">
      <c r="A16127" t="s">
        <v>14872</v>
      </c>
    </row>
    <row r="16128" spans="1:1" x14ac:dyDescent="0.25">
      <c r="A16128" t="s">
        <v>14873</v>
      </c>
    </row>
    <row r="16129" spans="1:1" x14ac:dyDescent="0.25">
      <c r="A16129" t="s">
        <v>14874</v>
      </c>
    </row>
    <row r="16130" spans="1:1" x14ac:dyDescent="0.25">
      <c r="A16130" t="s">
        <v>14875</v>
      </c>
    </row>
    <row r="16131" spans="1:1" x14ac:dyDescent="0.25">
      <c r="A16131" t="s">
        <v>14876</v>
      </c>
    </row>
    <row r="16132" spans="1:1" x14ac:dyDescent="0.25">
      <c r="A16132" t="s">
        <v>14877</v>
      </c>
    </row>
    <row r="16133" spans="1:1" x14ac:dyDescent="0.25">
      <c r="A16133" t="s">
        <v>14878</v>
      </c>
    </row>
    <row r="16134" spans="1:1" x14ac:dyDescent="0.25">
      <c r="A16134" t="s">
        <v>14879</v>
      </c>
    </row>
    <row r="16135" spans="1:1" x14ac:dyDescent="0.25">
      <c r="A16135" t="s">
        <v>14880</v>
      </c>
    </row>
    <row r="16136" spans="1:1" x14ac:dyDescent="0.25">
      <c r="A16136" t="s">
        <v>14881</v>
      </c>
    </row>
    <row r="16137" spans="1:1" x14ac:dyDescent="0.25">
      <c r="A16137" t="s">
        <v>14882</v>
      </c>
    </row>
    <row r="16138" spans="1:1" x14ac:dyDescent="0.25">
      <c r="A16138" t="s">
        <v>14883</v>
      </c>
    </row>
    <row r="16139" spans="1:1" x14ac:dyDescent="0.25">
      <c r="A16139" t="s">
        <v>14884</v>
      </c>
    </row>
    <row r="16140" spans="1:1" x14ac:dyDescent="0.25">
      <c r="A16140" t="s">
        <v>14885</v>
      </c>
    </row>
    <row r="16141" spans="1:1" x14ac:dyDescent="0.25">
      <c r="A16141" t="s">
        <v>14886</v>
      </c>
    </row>
    <row r="16142" spans="1:1" x14ac:dyDescent="0.25">
      <c r="A16142" t="s">
        <v>14887</v>
      </c>
    </row>
    <row r="16143" spans="1:1" x14ac:dyDescent="0.25">
      <c r="A16143" t="s">
        <v>14888</v>
      </c>
    </row>
    <row r="16144" spans="1:1" x14ac:dyDescent="0.25">
      <c r="A16144" t="s">
        <v>14889</v>
      </c>
    </row>
    <row r="16145" spans="1:1" x14ac:dyDescent="0.25">
      <c r="A16145" t="s">
        <v>14890</v>
      </c>
    </row>
    <row r="16146" spans="1:1" x14ac:dyDescent="0.25">
      <c r="A16146" t="s">
        <v>14891</v>
      </c>
    </row>
    <row r="16147" spans="1:1" x14ac:dyDescent="0.25">
      <c r="A16147" t="s">
        <v>14892</v>
      </c>
    </row>
    <row r="16148" spans="1:1" x14ac:dyDescent="0.25">
      <c r="A16148" t="s">
        <v>14893</v>
      </c>
    </row>
    <row r="16149" spans="1:1" x14ac:dyDescent="0.25">
      <c r="A16149" t="s">
        <v>14894</v>
      </c>
    </row>
    <row r="16150" spans="1:1" x14ac:dyDescent="0.25">
      <c r="A16150" t="s">
        <v>14895</v>
      </c>
    </row>
    <row r="16151" spans="1:1" x14ac:dyDescent="0.25">
      <c r="A16151" t="s">
        <v>14896</v>
      </c>
    </row>
    <row r="16152" spans="1:1" x14ac:dyDescent="0.25">
      <c r="A16152" t="s">
        <v>14897</v>
      </c>
    </row>
    <row r="16153" spans="1:1" x14ac:dyDescent="0.25">
      <c r="A16153" t="s">
        <v>14898</v>
      </c>
    </row>
    <row r="16154" spans="1:1" x14ac:dyDescent="0.25">
      <c r="A16154" t="s">
        <v>14899</v>
      </c>
    </row>
    <row r="16156" spans="1:1" x14ac:dyDescent="0.25">
      <c r="A16156" t="s">
        <v>14900</v>
      </c>
    </row>
    <row r="16157" spans="1:1" x14ac:dyDescent="0.25">
      <c r="A16157" t="s">
        <v>14901</v>
      </c>
    </row>
    <row r="16158" spans="1:1" x14ac:dyDescent="0.25">
      <c r="A16158" t="s">
        <v>14902</v>
      </c>
    </row>
    <row r="16159" spans="1:1" x14ac:dyDescent="0.25">
      <c r="A16159" t="s">
        <v>14903</v>
      </c>
    </row>
    <row r="16160" spans="1:1" x14ac:dyDescent="0.25">
      <c r="A16160" t="s">
        <v>14904</v>
      </c>
    </row>
    <row r="16161" spans="1:1" x14ac:dyDescent="0.25">
      <c r="A16161" t="s">
        <v>14905</v>
      </c>
    </row>
    <row r="16162" spans="1:1" x14ac:dyDescent="0.25">
      <c r="A16162" t="s">
        <v>14906</v>
      </c>
    </row>
    <row r="16163" spans="1:1" x14ac:dyDescent="0.25">
      <c r="A16163" t="s">
        <v>14907</v>
      </c>
    </row>
    <row r="16164" spans="1:1" x14ac:dyDescent="0.25">
      <c r="A16164" t="s">
        <v>14908</v>
      </c>
    </row>
    <row r="16165" spans="1:1" x14ac:dyDescent="0.25">
      <c r="A16165" t="s">
        <v>14909</v>
      </c>
    </row>
    <row r="16166" spans="1:1" x14ac:dyDescent="0.25">
      <c r="A16166" t="s">
        <v>14910</v>
      </c>
    </row>
    <row r="16167" spans="1:1" x14ac:dyDescent="0.25">
      <c r="A16167" t="s">
        <v>14911</v>
      </c>
    </row>
    <row r="16168" spans="1:1" x14ac:dyDescent="0.25">
      <c r="A16168" t="s">
        <v>14912</v>
      </c>
    </row>
    <row r="16169" spans="1:1" x14ac:dyDescent="0.25">
      <c r="A16169" t="s">
        <v>14913</v>
      </c>
    </row>
    <row r="16170" spans="1:1" x14ac:dyDescent="0.25">
      <c r="A16170" t="s">
        <v>14914</v>
      </c>
    </row>
    <row r="16171" spans="1:1" x14ac:dyDescent="0.25">
      <c r="A16171" t="s">
        <v>14915</v>
      </c>
    </row>
    <row r="16172" spans="1:1" x14ac:dyDescent="0.25">
      <c r="A16172" t="s">
        <v>14916</v>
      </c>
    </row>
    <row r="16173" spans="1:1" x14ac:dyDescent="0.25">
      <c r="A16173" t="s">
        <v>14917</v>
      </c>
    </row>
    <row r="16174" spans="1:1" x14ac:dyDescent="0.25">
      <c r="A16174" t="s">
        <v>14918</v>
      </c>
    </row>
    <row r="16175" spans="1:1" x14ac:dyDescent="0.25">
      <c r="A16175" t="s">
        <v>14919</v>
      </c>
    </row>
    <row r="16176" spans="1:1" x14ac:dyDescent="0.25">
      <c r="A16176" t="s">
        <v>14920</v>
      </c>
    </row>
    <row r="16177" spans="1:1" x14ac:dyDescent="0.25">
      <c r="A16177" t="s">
        <v>14921</v>
      </c>
    </row>
    <row r="16178" spans="1:1" x14ac:dyDescent="0.25">
      <c r="A16178" t="s">
        <v>14922</v>
      </c>
    </row>
    <row r="16179" spans="1:1" x14ac:dyDescent="0.25">
      <c r="A16179" t="s">
        <v>14923</v>
      </c>
    </row>
    <row r="16180" spans="1:1" x14ac:dyDescent="0.25">
      <c r="A16180" t="s">
        <v>14924</v>
      </c>
    </row>
    <row r="16181" spans="1:1" x14ac:dyDescent="0.25">
      <c r="A16181" t="s">
        <v>14925</v>
      </c>
    </row>
    <row r="16182" spans="1:1" x14ac:dyDescent="0.25">
      <c r="A16182" t="s">
        <v>14926</v>
      </c>
    </row>
    <row r="16183" spans="1:1" x14ac:dyDescent="0.25">
      <c r="A16183" t="s">
        <v>14927</v>
      </c>
    </row>
    <row r="16184" spans="1:1" x14ac:dyDescent="0.25">
      <c r="A16184" t="s">
        <v>14928</v>
      </c>
    </row>
    <row r="16185" spans="1:1" x14ac:dyDescent="0.25">
      <c r="A16185" t="s">
        <v>14929</v>
      </c>
    </row>
    <row r="16186" spans="1:1" x14ac:dyDescent="0.25">
      <c r="A16186" t="s">
        <v>14930</v>
      </c>
    </row>
    <row r="16187" spans="1:1" x14ac:dyDescent="0.25">
      <c r="A16187" t="s">
        <v>14931</v>
      </c>
    </row>
    <row r="16188" spans="1:1" x14ac:dyDescent="0.25">
      <c r="A16188" t="s">
        <v>14932</v>
      </c>
    </row>
    <row r="16189" spans="1:1" x14ac:dyDescent="0.25">
      <c r="A16189" t="s">
        <v>14933</v>
      </c>
    </row>
    <row r="16190" spans="1:1" x14ac:dyDescent="0.25">
      <c r="A16190" t="s">
        <v>14934</v>
      </c>
    </row>
    <row r="16191" spans="1:1" x14ac:dyDescent="0.25">
      <c r="A16191" t="s">
        <v>14935</v>
      </c>
    </row>
    <row r="16192" spans="1:1" x14ac:dyDescent="0.25">
      <c r="A16192" t="s">
        <v>14936</v>
      </c>
    </row>
    <row r="16193" spans="1:1" x14ac:dyDescent="0.25">
      <c r="A16193" t="s">
        <v>14937</v>
      </c>
    </row>
    <row r="16194" spans="1:1" x14ac:dyDescent="0.25">
      <c r="A16194" t="s">
        <v>14938</v>
      </c>
    </row>
    <row r="16195" spans="1:1" x14ac:dyDescent="0.25">
      <c r="A16195" t="s">
        <v>14939</v>
      </c>
    </row>
    <row r="16196" spans="1:1" x14ac:dyDescent="0.25">
      <c r="A16196" t="s">
        <v>14940</v>
      </c>
    </row>
    <row r="16197" spans="1:1" x14ac:dyDescent="0.25">
      <c r="A16197" t="s">
        <v>14941</v>
      </c>
    </row>
    <row r="16198" spans="1:1" x14ac:dyDescent="0.25">
      <c r="A16198" t="s">
        <v>14942</v>
      </c>
    </row>
    <row r="16199" spans="1:1" x14ac:dyDescent="0.25">
      <c r="A16199" t="s">
        <v>14943</v>
      </c>
    </row>
    <row r="16200" spans="1:1" x14ac:dyDescent="0.25">
      <c r="A16200" t="s">
        <v>14944</v>
      </c>
    </row>
    <row r="16201" spans="1:1" x14ac:dyDescent="0.25">
      <c r="A16201" t="s">
        <v>14945</v>
      </c>
    </row>
    <row r="16202" spans="1:1" x14ac:dyDescent="0.25">
      <c r="A16202" t="s">
        <v>14946</v>
      </c>
    </row>
    <row r="16203" spans="1:1" x14ac:dyDescent="0.25">
      <c r="A16203" t="s">
        <v>14947</v>
      </c>
    </row>
    <row r="16204" spans="1:1" x14ac:dyDescent="0.25">
      <c r="A16204" t="s">
        <v>14948</v>
      </c>
    </row>
    <row r="16205" spans="1:1" x14ac:dyDescent="0.25">
      <c r="A16205" t="s">
        <v>14949</v>
      </c>
    </row>
    <row r="16206" spans="1:1" x14ac:dyDescent="0.25">
      <c r="A16206" t="s">
        <v>14950</v>
      </c>
    </row>
    <row r="16207" spans="1:1" x14ac:dyDescent="0.25">
      <c r="A16207" t="s">
        <v>14951</v>
      </c>
    </row>
    <row r="16208" spans="1:1" x14ac:dyDescent="0.25">
      <c r="A16208" t="s">
        <v>14952</v>
      </c>
    </row>
    <row r="16209" spans="1:1" x14ac:dyDescent="0.25">
      <c r="A16209" t="s">
        <v>14953</v>
      </c>
    </row>
    <row r="16210" spans="1:1" x14ac:dyDescent="0.25">
      <c r="A16210" t="s">
        <v>14954</v>
      </c>
    </row>
    <row r="16211" spans="1:1" x14ac:dyDescent="0.25">
      <c r="A16211" t="s">
        <v>14955</v>
      </c>
    </row>
    <row r="16212" spans="1:1" x14ac:dyDescent="0.25">
      <c r="A16212" t="s">
        <v>14956</v>
      </c>
    </row>
    <row r="16213" spans="1:1" x14ac:dyDescent="0.25">
      <c r="A16213" t="s">
        <v>14957</v>
      </c>
    </row>
    <row r="16214" spans="1:1" x14ac:dyDescent="0.25">
      <c r="A16214" t="s">
        <v>14958</v>
      </c>
    </row>
    <row r="16215" spans="1:1" x14ac:dyDescent="0.25">
      <c r="A16215" t="s">
        <v>14959</v>
      </c>
    </row>
    <row r="16216" spans="1:1" x14ac:dyDescent="0.25">
      <c r="A16216" t="s">
        <v>14960</v>
      </c>
    </row>
    <row r="16217" spans="1:1" x14ac:dyDescent="0.25">
      <c r="A16217" t="s">
        <v>14961</v>
      </c>
    </row>
    <row r="16218" spans="1:1" x14ac:dyDescent="0.25">
      <c r="A16218" t="s">
        <v>14962</v>
      </c>
    </row>
    <row r="16219" spans="1:1" x14ac:dyDescent="0.25">
      <c r="A16219" t="s">
        <v>14963</v>
      </c>
    </row>
    <row r="16220" spans="1:1" x14ac:dyDescent="0.25">
      <c r="A16220" t="s">
        <v>14964</v>
      </c>
    </row>
    <row r="16221" spans="1:1" x14ac:dyDescent="0.25">
      <c r="A16221" t="s">
        <v>14965</v>
      </c>
    </row>
    <row r="16222" spans="1:1" x14ac:dyDescent="0.25">
      <c r="A16222" t="s">
        <v>14966</v>
      </c>
    </row>
    <row r="16223" spans="1:1" x14ac:dyDescent="0.25">
      <c r="A16223" t="s">
        <v>14967</v>
      </c>
    </row>
    <row r="16224" spans="1:1" x14ac:dyDescent="0.25">
      <c r="A16224" t="s">
        <v>14968</v>
      </c>
    </row>
    <row r="16225" spans="1:1" x14ac:dyDescent="0.25">
      <c r="A16225" t="s">
        <v>14969</v>
      </c>
    </row>
    <row r="16226" spans="1:1" x14ac:dyDescent="0.25">
      <c r="A16226" t="s">
        <v>14970</v>
      </c>
    </row>
    <row r="16227" spans="1:1" x14ac:dyDescent="0.25">
      <c r="A16227" t="s">
        <v>14971</v>
      </c>
    </row>
    <row r="16228" spans="1:1" x14ac:dyDescent="0.25">
      <c r="A16228" t="s">
        <v>14972</v>
      </c>
    </row>
    <row r="16229" spans="1:1" x14ac:dyDescent="0.25">
      <c r="A16229" t="s">
        <v>14973</v>
      </c>
    </row>
    <row r="16230" spans="1:1" x14ac:dyDescent="0.25">
      <c r="A16230" t="s">
        <v>14974</v>
      </c>
    </row>
    <row r="16231" spans="1:1" x14ac:dyDescent="0.25">
      <c r="A16231" t="s">
        <v>14975</v>
      </c>
    </row>
    <row r="16232" spans="1:1" x14ac:dyDescent="0.25">
      <c r="A16232" t="s">
        <v>14976</v>
      </c>
    </row>
    <row r="16233" spans="1:1" x14ac:dyDescent="0.25">
      <c r="A16233" t="s">
        <v>14977</v>
      </c>
    </row>
    <row r="16234" spans="1:1" x14ac:dyDescent="0.25">
      <c r="A16234" t="s">
        <v>14978</v>
      </c>
    </row>
    <row r="16235" spans="1:1" x14ac:dyDescent="0.25">
      <c r="A16235" t="s">
        <v>14979</v>
      </c>
    </row>
    <row r="16236" spans="1:1" x14ac:dyDescent="0.25">
      <c r="A16236" t="s">
        <v>14980</v>
      </c>
    </row>
    <row r="16237" spans="1:1" x14ac:dyDescent="0.25">
      <c r="A16237" t="s">
        <v>14981</v>
      </c>
    </row>
    <row r="16238" spans="1:1" x14ac:dyDescent="0.25">
      <c r="A16238" t="s">
        <v>14982</v>
      </c>
    </row>
    <row r="16239" spans="1:1" x14ac:dyDescent="0.25">
      <c r="A16239" t="s">
        <v>14983</v>
      </c>
    </row>
    <row r="16240" spans="1:1" x14ac:dyDescent="0.25">
      <c r="A16240" t="s">
        <v>14984</v>
      </c>
    </row>
    <row r="16241" spans="1:1" x14ac:dyDescent="0.25">
      <c r="A16241" t="s">
        <v>14985</v>
      </c>
    </row>
    <row r="16242" spans="1:1" x14ac:dyDescent="0.25">
      <c r="A16242" t="s">
        <v>14986</v>
      </c>
    </row>
    <row r="16243" spans="1:1" x14ac:dyDescent="0.25">
      <c r="A16243" t="s">
        <v>14987</v>
      </c>
    </row>
    <row r="16244" spans="1:1" x14ac:dyDescent="0.25">
      <c r="A16244" t="s">
        <v>14988</v>
      </c>
    </row>
    <row r="16245" spans="1:1" x14ac:dyDescent="0.25">
      <c r="A16245" t="s">
        <v>14989</v>
      </c>
    </row>
    <row r="16246" spans="1:1" x14ac:dyDescent="0.25">
      <c r="A16246" t="s">
        <v>14990</v>
      </c>
    </row>
    <row r="16247" spans="1:1" x14ac:dyDescent="0.25">
      <c r="A16247" t="s">
        <v>14991</v>
      </c>
    </row>
    <row r="16248" spans="1:1" x14ac:dyDescent="0.25">
      <c r="A16248" t="s">
        <v>14992</v>
      </c>
    </row>
    <row r="16249" spans="1:1" x14ac:dyDescent="0.25">
      <c r="A16249" t="s">
        <v>14993</v>
      </c>
    </row>
    <row r="16250" spans="1:1" x14ac:dyDescent="0.25">
      <c r="A16250" t="s">
        <v>14994</v>
      </c>
    </row>
    <row r="16251" spans="1:1" x14ac:dyDescent="0.25">
      <c r="A16251" t="s">
        <v>14995</v>
      </c>
    </row>
    <row r="16252" spans="1:1" x14ac:dyDescent="0.25">
      <c r="A16252" t="s">
        <v>14996</v>
      </c>
    </row>
    <row r="16253" spans="1:1" x14ac:dyDescent="0.25">
      <c r="A16253" t="s">
        <v>14997</v>
      </c>
    </row>
    <row r="16254" spans="1:1" x14ac:dyDescent="0.25">
      <c r="A16254" t="s">
        <v>14998</v>
      </c>
    </row>
    <row r="16255" spans="1:1" x14ac:dyDescent="0.25">
      <c r="A16255" t="s">
        <v>14999</v>
      </c>
    </row>
    <row r="16256" spans="1:1" x14ac:dyDescent="0.25">
      <c r="A16256" t="s">
        <v>15000</v>
      </c>
    </row>
    <row r="16257" spans="1:1" x14ac:dyDescent="0.25">
      <c r="A16257" t="s">
        <v>15001</v>
      </c>
    </row>
    <row r="16258" spans="1:1" x14ac:dyDescent="0.25">
      <c r="A16258" t="s">
        <v>15002</v>
      </c>
    </row>
    <row r="16259" spans="1:1" x14ac:dyDescent="0.25">
      <c r="A16259" t="s">
        <v>15003</v>
      </c>
    </row>
    <row r="16260" spans="1:1" x14ac:dyDescent="0.25">
      <c r="A16260" t="s">
        <v>15004</v>
      </c>
    </row>
    <row r="16261" spans="1:1" x14ac:dyDescent="0.25">
      <c r="A16261" t="s">
        <v>15005</v>
      </c>
    </row>
    <row r="16262" spans="1:1" x14ac:dyDescent="0.25">
      <c r="A16262" t="s">
        <v>15006</v>
      </c>
    </row>
    <row r="16263" spans="1:1" x14ac:dyDescent="0.25">
      <c r="A16263" t="s">
        <v>15007</v>
      </c>
    </row>
    <row r="16264" spans="1:1" x14ac:dyDescent="0.25">
      <c r="A16264" t="s">
        <v>15008</v>
      </c>
    </row>
    <row r="16265" spans="1:1" x14ac:dyDescent="0.25">
      <c r="A16265" t="s">
        <v>15009</v>
      </c>
    </row>
    <row r="16266" spans="1:1" x14ac:dyDescent="0.25">
      <c r="A16266" t="s">
        <v>15010</v>
      </c>
    </row>
    <row r="16267" spans="1:1" x14ac:dyDescent="0.25">
      <c r="A16267" t="s">
        <v>15011</v>
      </c>
    </row>
    <row r="16268" spans="1:1" x14ac:dyDescent="0.25">
      <c r="A16268" t="s">
        <v>15012</v>
      </c>
    </row>
    <row r="16269" spans="1:1" x14ac:dyDescent="0.25">
      <c r="A16269" t="s">
        <v>15013</v>
      </c>
    </row>
    <row r="16270" spans="1:1" x14ac:dyDescent="0.25">
      <c r="A16270" t="s">
        <v>15014</v>
      </c>
    </row>
    <row r="16271" spans="1:1" x14ac:dyDescent="0.25">
      <c r="A16271" t="s">
        <v>15015</v>
      </c>
    </row>
    <row r="16272" spans="1:1" x14ac:dyDescent="0.25">
      <c r="A16272" t="s">
        <v>15016</v>
      </c>
    </row>
    <row r="16273" spans="1:1" x14ac:dyDescent="0.25">
      <c r="A16273" t="s">
        <v>15017</v>
      </c>
    </row>
    <row r="16274" spans="1:1" x14ac:dyDescent="0.25">
      <c r="A16274" t="s">
        <v>15018</v>
      </c>
    </row>
    <row r="16275" spans="1:1" x14ac:dyDescent="0.25">
      <c r="A16275" t="s">
        <v>15019</v>
      </c>
    </row>
    <row r="16276" spans="1:1" x14ac:dyDescent="0.25">
      <c r="A16276" t="s">
        <v>15020</v>
      </c>
    </row>
    <row r="16277" spans="1:1" x14ac:dyDescent="0.25">
      <c r="A16277" t="s">
        <v>15021</v>
      </c>
    </row>
    <row r="16278" spans="1:1" x14ac:dyDescent="0.25">
      <c r="A16278" t="s">
        <v>15022</v>
      </c>
    </row>
    <row r="16279" spans="1:1" x14ac:dyDescent="0.25">
      <c r="A16279" t="s">
        <v>15023</v>
      </c>
    </row>
    <row r="16280" spans="1:1" x14ac:dyDescent="0.25">
      <c r="A16280" t="s">
        <v>15024</v>
      </c>
    </row>
    <row r="16281" spans="1:1" x14ac:dyDescent="0.25">
      <c r="A16281" t="s">
        <v>15025</v>
      </c>
    </row>
    <row r="16282" spans="1:1" x14ac:dyDescent="0.25">
      <c r="A16282" t="s">
        <v>15026</v>
      </c>
    </row>
    <row r="16283" spans="1:1" x14ac:dyDescent="0.25">
      <c r="A16283" t="s">
        <v>15027</v>
      </c>
    </row>
    <row r="16284" spans="1:1" x14ac:dyDescent="0.25">
      <c r="A16284" t="s">
        <v>15028</v>
      </c>
    </row>
    <row r="16285" spans="1:1" x14ac:dyDescent="0.25">
      <c r="A16285" t="s">
        <v>15029</v>
      </c>
    </row>
    <row r="16286" spans="1:1" x14ac:dyDescent="0.25">
      <c r="A16286" t="s">
        <v>15030</v>
      </c>
    </row>
    <row r="16287" spans="1:1" x14ac:dyDescent="0.25">
      <c r="A16287" t="s">
        <v>15031</v>
      </c>
    </row>
    <row r="16288" spans="1:1" x14ac:dyDescent="0.25">
      <c r="A16288" t="s">
        <v>15032</v>
      </c>
    </row>
    <row r="16289" spans="1:1" x14ac:dyDescent="0.25">
      <c r="A16289" t="s">
        <v>15033</v>
      </c>
    </row>
    <row r="16290" spans="1:1" x14ac:dyDescent="0.25">
      <c r="A16290" t="s">
        <v>15034</v>
      </c>
    </row>
    <row r="16291" spans="1:1" x14ac:dyDescent="0.25">
      <c r="A16291" t="s">
        <v>15035</v>
      </c>
    </row>
    <row r="16292" spans="1:1" x14ac:dyDescent="0.25">
      <c r="A16292" t="s">
        <v>15036</v>
      </c>
    </row>
    <row r="16293" spans="1:1" x14ac:dyDescent="0.25">
      <c r="A16293" t="s">
        <v>15037</v>
      </c>
    </row>
    <row r="16294" spans="1:1" x14ac:dyDescent="0.25">
      <c r="A16294" t="s">
        <v>15038</v>
      </c>
    </row>
    <row r="16295" spans="1:1" x14ac:dyDescent="0.25">
      <c r="A16295" t="s">
        <v>15039</v>
      </c>
    </row>
    <row r="16296" spans="1:1" x14ac:dyDescent="0.25">
      <c r="A16296" t="s">
        <v>15040</v>
      </c>
    </row>
    <row r="16297" spans="1:1" x14ac:dyDescent="0.25">
      <c r="A16297" t="s">
        <v>15041</v>
      </c>
    </row>
    <row r="16298" spans="1:1" x14ac:dyDescent="0.25">
      <c r="A16298" t="s">
        <v>15042</v>
      </c>
    </row>
    <row r="16299" spans="1:1" x14ac:dyDescent="0.25">
      <c r="A16299" t="s">
        <v>15043</v>
      </c>
    </row>
    <row r="16300" spans="1:1" x14ac:dyDescent="0.25">
      <c r="A16300" t="s">
        <v>15044</v>
      </c>
    </row>
    <row r="16301" spans="1:1" x14ac:dyDescent="0.25">
      <c r="A16301" t="s">
        <v>15045</v>
      </c>
    </row>
    <row r="16302" spans="1:1" x14ac:dyDescent="0.25">
      <c r="A16302" t="s">
        <v>15046</v>
      </c>
    </row>
    <row r="16303" spans="1:1" x14ac:dyDescent="0.25">
      <c r="A16303" t="s">
        <v>15047</v>
      </c>
    </row>
    <row r="16304" spans="1:1" x14ac:dyDescent="0.25">
      <c r="A16304" t="s">
        <v>15048</v>
      </c>
    </row>
    <row r="16305" spans="1:1" x14ac:dyDescent="0.25">
      <c r="A16305" t="s">
        <v>15049</v>
      </c>
    </row>
    <row r="16306" spans="1:1" x14ac:dyDescent="0.25">
      <c r="A16306" t="s">
        <v>15050</v>
      </c>
    </row>
    <row r="16307" spans="1:1" x14ac:dyDescent="0.25">
      <c r="A16307" t="s">
        <v>15051</v>
      </c>
    </row>
    <row r="16308" spans="1:1" x14ac:dyDescent="0.25">
      <c r="A16308" t="s">
        <v>15052</v>
      </c>
    </row>
    <row r="16309" spans="1:1" x14ac:dyDescent="0.25">
      <c r="A16309" t="s">
        <v>15053</v>
      </c>
    </row>
    <row r="16310" spans="1:1" x14ac:dyDescent="0.25">
      <c r="A16310" t="s">
        <v>15054</v>
      </c>
    </row>
    <row r="16311" spans="1:1" x14ac:dyDescent="0.25">
      <c r="A16311" t="s">
        <v>15055</v>
      </c>
    </row>
    <row r="16312" spans="1:1" x14ac:dyDescent="0.25">
      <c r="A16312" t="s">
        <v>15056</v>
      </c>
    </row>
    <row r="16313" spans="1:1" x14ac:dyDescent="0.25">
      <c r="A16313" t="s">
        <v>15057</v>
      </c>
    </row>
    <row r="16314" spans="1:1" x14ac:dyDescent="0.25">
      <c r="A16314" t="s">
        <v>15058</v>
      </c>
    </row>
    <row r="16315" spans="1:1" x14ac:dyDescent="0.25">
      <c r="A16315" t="s">
        <v>15059</v>
      </c>
    </row>
    <row r="16316" spans="1:1" x14ac:dyDescent="0.25">
      <c r="A16316" t="s">
        <v>15060</v>
      </c>
    </row>
    <row r="16317" spans="1:1" x14ac:dyDescent="0.25">
      <c r="A16317" t="s">
        <v>15061</v>
      </c>
    </row>
    <row r="16318" spans="1:1" x14ac:dyDescent="0.25">
      <c r="A16318" t="s">
        <v>15062</v>
      </c>
    </row>
    <row r="16319" spans="1:1" x14ac:dyDescent="0.25">
      <c r="A16319" t="s">
        <v>15063</v>
      </c>
    </row>
    <row r="16320" spans="1:1" x14ac:dyDescent="0.25">
      <c r="A16320" t="s">
        <v>15064</v>
      </c>
    </row>
    <row r="16321" spans="1:1" x14ac:dyDescent="0.25">
      <c r="A16321" t="s">
        <v>15065</v>
      </c>
    </row>
    <row r="16323" spans="1:1" x14ac:dyDescent="0.25">
      <c r="A16323" t="s">
        <v>15066</v>
      </c>
    </row>
    <row r="16325" spans="1:1" x14ac:dyDescent="0.25">
      <c r="A16325" t="s">
        <v>15067</v>
      </c>
    </row>
    <row r="16326" spans="1:1" x14ac:dyDescent="0.25">
      <c r="A16326" t="s">
        <v>15068</v>
      </c>
    </row>
    <row r="16327" spans="1:1" x14ac:dyDescent="0.25">
      <c r="A16327" t="s">
        <v>15069</v>
      </c>
    </row>
    <row r="16328" spans="1:1" x14ac:dyDescent="0.25">
      <c r="A16328" t="s">
        <v>15070</v>
      </c>
    </row>
    <row r="16329" spans="1:1" x14ac:dyDescent="0.25">
      <c r="A16329" t="s">
        <v>15071</v>
      </c>
    </row>
    <row r="16330" spans="1:1" x14ac:dyDescent="0.25">
      <c r="A16330" t="s">
        <v>15072</v>
      </c>
    </row>
    <row r="16331" spans="1:1" x14ac:dyDescent="0.25">
      <c r="A16331" t="s">
        <v>15073</v>
      </c>
    </row>
    <row r="16332" spans="1:1" x14ac:dyDescent="0.25">
      <c r="A16332" t="s">
        <v>15074</v>
      </c>
    </row>
    <row r="16333" spans="1:1" x14ac:dyDescent="0.25">
      <c r="A16333" t="s">
        <v>15075</v>
      </c>
    </row>
    <row r="16334" spans="1:1" x14ac:dyDescent="0.25">
      <c r="A16334" t="s">
        <v>15076</v>
      </c>
    </row>
    <row r="16335" spans="1:1" x14ac:dyDescent="0.25">
      <c r="A16335" t="s">
        <v>15077</v>
      </c>
    </row>
    <row r="16336" spans="1:1" x14ac:dyDescent="0.25">
      <c r="A16336" t="s">
        <v>15078</v>
      </c>
    </row>
    <row r="16337" spans="1:1" x14ac:dyDescent="0.25">
      <c r="A16337" t="s">
        <v>15079</v>
      </c>
    </row>
    <row r="16338" spans="1:1" x14ac:dyDescent="0.25">
      <c r="A16338" t="s">
        <v>15080</v>
      </c>
    </row>
    <row r="16339" spans="1:1" x14ac:dyDescent="0.25">
      <c r="A16339" t="s">
        <v>15081</v>
      </c>
    </row>
    <row r="16340" spans="1:1" x14ac:dyDescent="0.25">
      <c r="A16340" t="s">
        <v>15082</v>
      </c>
    </row>
    <row r="16341" spans="1:1" x14ac:dyDescent="0.25">
      <c r="A16341" t="s">
        <v>15083</v>
      </c>
    </row>
    <row r="16342" spans="1:1" x14ac:dyDescent="0.25">
      <c r="A16342" t="s">
        <v>15084</v>
      </c>
    </row>
    <row r="16343" spans="1:1" x14ac:dyDescent="0.25">
      <c r="A16343" t="s">
        <v>15085</v>
      </c>
    </row>
    <row r="16344" spans="1:1" x14ac:dyDescent="0.25">
      <c r="A16344" t="s">
        <v>15086</v>
      </c>
    </row>
    <row r="16345" spans="1:1" x14ac:dyDescent="0.25">
      <c r="A16345" t="s">
        <v>15087</v>
      </c>
    </row>
    <row r="16347" spans="1:1" x14ac:dyDescent="0.25">
      <c r="A16347" t="s">
        <v>15088</v>
      </c>
    </row>
    <row r="16348" spans="1:1" x14ac:dyDescent="0.25">
      <c r="A16348" t="s">
        <v>15089</v>
      </c>
    </row>
    <row r="16349" spans="1:1" x14ac:dyDescent="0.25">
      <c r="A16349" t="s">
        <v>15090</v>
      </c>
    </row>
    <row r="16350" spans="1:1" x14ac:dyDescent="0.25">
      <c r="A16350" t="s">
        <v>15091</v>
      </c>
    </row>
    <row r="16352" spans="1:1" x14ac:dyDescent="0.25">
      <c r="A16352" t="s">
        <v>15092</v>
      </c>
    </row>
    <row r="16353" spans="1:1" x14ac:dyDescent="0.25">
      <c r="A16353" t="s">
        <v>15093</v>
      </c>
    </row>
    <row r="16354" spans="1:1" x14ac:dyDescent="0.25">
      <c r="A16354" t="s">
        <v>15094</v>
      </c>
    </row>
    <row r="16355" spans="1:1" x14ac:dyDescent="0.25">
      <c r="A16355" t="s">
        <v>15095</v>
      </c>
    </row>
    <row r="16356" spans="1:1" x14ac:dyDescent="0.25">
      <c r="A16356" t="s">
        <v>15096</v>
      </c>
    </row>
    <row r="16357" spans="1:1" x14ac:dyDescent="0.25">
      <c r="A16357" t="s">
        <v>15097</v>
      </c>
    </row>
    <row r="16358" spans="1:1" x14ac:dyDescent="0.25">
      <c r="A16358" t="s">
        <v>15098</v>
      </c>
    </row>
    <row r="16359" spans="1:1" x14ac:dyDescent="0.25">
      <c r="A16359" t="s">
        <v>15099</v>
      </c>
    </row>
    <row r="16360" spans="1:1" x14ac:dyDescent="0.25">
      <c r="A16360" t="s">
        <v>15100</v>
      </c>
    </row>
    <row r="16361" spans="1:1" x14ac:dyDescent="0.25">
      <c r="A16361" t="s">
        <v>15101</v>
      </c>
    </row>
    <row r="16362" spans="1:1" x14ac:dyDescent="0.25">
      <c r="A16362" t="s">
        <v>15102</v>
      </c>
    </row>
    <row r="16363" spans="1:1" x14ac:dyDescent="0.25">
      <c r="A16363" t="s">
        <v>15103</v>
      </c>
    </row>
    <row r="16364" spans="1:1" x14ac:dyDescent="0.25">
      <c r="A16364" t="s">
        <v>15104</v>
      </c>
    </row>
    <row r="16365" spans="1:1" x14ac:dyDescent="0.25">
      <c r="A16365" t="s">
        <v>15105</v>
      </c>
    </row>
    <row r="16366" spans="1:1" x14ac:dyDescent="0.25">
      <c r="A16366" t="s">
        <v>15106</v>
      </c>
    </row>
    <row r="16367" spans="1:1" x14ac:dyDescent="0.25">
      <c r="A16367" t="s">
        <v>15107</v>
      </c>
    </row>
    <row r="16368" spans="1:1" x14ac:dyDescent="0.25">
      <c r="A16368" t="s">
        <v>15108</v>
      </c>
    </row>
    <row r="16369" spans="1:1" x14ac:dyDescent="0.25">
      <c r="A16369" t="s">
        <v>15109</v>
      </c>
    </row>
    <row r="16370" spans="1:1" x14ac:dyDescent="0.25">
      <c r="A16370" t="s">
        <v>15110</v>
      </c>
    </row>
    <row r="16371" spans="1:1" x14ac:dyDescent="0.25">
      <c r="A16371" t="s">
        <v>15111</v>
      </c>
    </row>
    <row r="16372" spans="1:1" x14ac:dyDescent="0.25">
      <c r="A16372" t="s">
        <v>15112</v>
      </c>
    </row>
    <row r="16373" spans="1:1" x14ac:dyDescent="0.25">
      <c r="A16373" t="s">
        <v>15113</v>
      </c>
    </row>
    <row r="16375" spans="1:1" x14ac:dyDescent="0.25">
      <c r="A16375" t="s">
        <v>15114</v>
      </c>
    </row>
    <row r="16376" spans="1:1" x14ac:dyDescent="0.25">
      <c r="A16376" t="s">
        <v>15115</v>
      </c>
    </row>
    <row r="16377" spans="1:1" x14ac:dyDescent="0.25">
      <c r="A16377" t="s">
        <v>15116</v>
      </c>
    </row>
    <row r="16378" spans="1:1" x14ac:dyDescent="0.25">
      <c r="A16378" t="s">
        <v>15117</v>
      </c>
    </row>
    <row r="16379" spans="1:1" x14ac:dyDescent="0.25">
      <c r="A16379" t="s">
        <v>15118</v>
      </c>
    </row>
    <row r="16380" spans="1:1" x14ac:dyDescent="0.25">
      <c r="A16380" t="s">
        <v>15119</v>
      </c>
    </row>
    <row r="16381" spans="1:1" x14ac:dyDescent="0.25">
      <c r="A16381" t="s">
        <v>15120</v>
      </c>
    </row>
    <row r="16382" spans="1:1" x14ac:dyDescent="0.25">
      <c r="A16382" t="s">
        <v>15121</v>
      </c>
    </row>
    <row r="16383" spans="1:1" x14ac:dyDescent="0.25">
      <c r="A16383" t="s">
        <v>15122</v>
      </c>
    </row>
    <row r="16384" spans="1:1" x14ac:dyDescent="0.25">
      <c r="A16384" t="s">
        <v>15123</v>
      </c>
    </row>
    <row r="16385" spans="1:1" x14ac:dyDescent="0.25">
      <c r="A16385" t="s">
        <v>15124</v>
      </c>
    </row>
    <row r="16386" spans="1:1" x14ac:dyDescent="0.25">
      <c r="A16386" t="s">
        <v>15125</v>
      </c>
    </row>
    <row r="16387" spans="1:1" x14ac:dyDescent="0.25">
      <c r="A16387" t="s">
        <v>15126</v>
      </c>
    </row>
    <row r="16388" spans="1:1" x14ac:dyDescent="0.25">
      <c r="A16388" t="s">
        <v>15127</v>
      </c>
    </row>
    <row r="16389" spans="1:1" x14ac:dyDescent="0.25">
      <c r="A16389" t="s">
        <v>15128</v>
      </c>
    </row>
    <row r="16390" spans="1:1" x14ac:dyDescent="0.25">
      <c r="A16390" t="s">
        <v>15129</v>
      </c>
    </row>
    <row r="16391" spans="1:1" x14ac:dyDescent="0.25">
      <c r="A16391" t="s">
        <v>15130</v>
      </c>
    </row>
    <row r="16392" spans="1:1" x14ac:dyDescent="0.25">
      <c r="A16392" t="s">
        <v>15131</v>
      </c>
    </row>
    <row r="16393" spans="1:1" x14ac:dyDescent="0.25">
      <c r="A16393" t="s">
        <v>15132</v>
      </c>
    </row>
    <row r="16394" spans="1:1" x14ac:dyDescent="0.25">
      <c r="A16394" t="s">
        <v>15133</v>
      </c>
    </row>
    <row r="16395" spans="1:1" x14ac:dyDescent="0.25">
      <c r="A16395" t="s">
        <v>15134</v>
      </c>
    </row>
    <row r="16396" spans="1:1" x14ac:dyDescent="0.25">
      <c r="A16396" t="s">
        <v>15135</v>
      </c>
    </row>
    <row r="16397" spans="1:1" x14ac:dyDescent="0.25">
      <c r="A16397" t="s">
        <v>15136</v>
      </c>
    </row>
    <row r="16398" spans="1:1" x14ac:dyDescent="0.25">
      <c r="A16398" t="s">
        <v>15137</v>
      </c>
    </row>
    <row r="16399" spans="1:1" x14ac:dyDescent="0.25">
      <c r="A16399" t="s">
        <v>15138</v>
      </c>
    </row>
    <row r="16400" spans="1:1" x14ac:dyDescent="0.25">
      <c r="A16400" t="s">
        <v>15139</v>
      </c>
    </row>
    <row r="16401" spans="1:1" x14ac:dyDescent="0.25">
      <c r="A16401" t="s">
        <v>15140</v>
      </c>
    </row>
    <row r="16402" spans="1:1" x14ac:dyDescent="0.25">
      <c r="A16402" t="s">
        <v>15141</v>
      </c>
    </row>
    <row r="16403" spans="1:1" x14ac:dyDescent="0.25">
      <c r="A16403" t="s">
        <v>15142</v>
      </c>
    </row>
    <row r="16404" spans="1:1" x14ac:dyDescent="0.25">
      <c r="A16404" t="s">
        <v>15143</v>
      </c>
    </row>
    <row r="16405" spans="1:1" x14ac:dyDescent="0.25">
      <c r="A16405" t="s">
        <v>15144</v>
      </c>
    </row>
    <row r="16406" spans="1:1" x14ac:dyDescent="0.25">
      <c r="A16406" t="s">
        <v>15145</v>
      </c>
    </row>
    <row r="16407" spans="1:1" x14ac:dyDescent="0.25">
      <c r="A16407" t="s">
        <v>15146</v>
      </c>
    </row>
    <row r="16408" spans="1:1" x14ac:dyDescent="0.25">
      <c r="A16408" t="s">
        <v>15147</v>
      </c>
    </row>
    <row r="16409" spans="1:1" x14ac:dyDescent="0.25">
      <c r="A16409" t="s">
        <v>15148</v>
      </c>
    </row>
    <row r="16410" spans="1:1" x14ac:dyDescent="0.25">
      <c r="A16410" t="s">
        <v>15149</v>
      </c>
    </row>
    <row r="16411" spans="1:1" x14ac:dyDescent="0.25">
      <c r="A16411" t="s">
        <v>15150</v>
      </c>
    </row>
    <row r="16412" spans="1:1" x14ac:dyDescent="0.25">
      <c r="A16412" t="s">
        <v>15151</v>
      </c>
    </row>
    <row r="16413" spans="1:1" x14ac:dyDescent="0.25">
      <c r="A16413" t="s">
        <v>15152</v>
      </c>
    </row>
    <row r="16414" spans="1:1" x14ac:dyDescent="0.25">
      <c r="A16414" t="s">
        <v>15153</v>
      </c>
    </row>
    <row r="16415" spans="1:1" x14ac:dyDescent="0.25">
      <c r="A16415" t="s">
        <v>15154</v>
      </c>
    </row>
    <row r="16416" spans="1:1" x14ac:dyDescent="0.25">
      <c r="A16416" t="s">
        <v>15155</v>
      </c>
    </row>
    <row r="16417" spans="1:1" x14ac:dyDescent="0.25">
      <c r="A16417" t="s">
        <v>15156</v>
      </c>
    </row>
    <row r="16418" spans="1:1" x14ac:dyDescent="0.25">
      <c r="A16418" t="s">
        <v>15157</v>
      </c>
    </row>
    <row r="16419" spans="1:1" x14ac:dyDescent="0.25">
      <c r="A16419" t="s">
        <v>15158</v>
      </c>
    </row>
    <row r="16420" spans="1:1" x14ac:dyDescent="0.25">
      <c r="A16420" t="s">
        <v>15159</v>
      </c>
    </row>
    <row r="16421" spans="1:1" x14ac:dyDescent="0.25">
      <c r="A16421" t="s">
        <v>15160</v>
      </c>
    </row>
    <row r="16422" spans="1:1" x14ac:dyDescent="0.25">
      <c r="A16422" t="s">
        <v>15161</v>
      </c>
    </row>
    <row r="16423" spans="1:1" x14ac:dyDescent="0.25">
      <c r="A16423" t="s">
        <v>15162</v>
      </c>
    </row>
    <row r="16424" spans="1:1" x14ac:dyDescent="0.25">
      <c r="A16424" t="s">
        <v>15163</v>
      </c>
    </row>
    <row r="16425" spans="1:1" x14ac:dyDescent="0.25">
      <c r="A16425" t="s">
        <v>15164</v>
      </c>
    </row>
    <row r="16426" spans="1:1" x14ac:dyDescent="0.25">
      <c r="A16426" t="s">
        <v>15165</v>
      </c>
    </row>
    <row r="16427" spans="1:1" x14ac:dyDescent="0.25">
      <c r="A16427" t="s">
        <v>15166</v>
      </c>
    </row>
    <row r="16428" spans="1:1" x14ac:dyDescent="0.25">
      <c r="A16428" t="s">
        <v>15167</v>
      </c>
    </row>
    <row r="16429" spans="1:1" x14ac:dyDescent="0.25">
      <c r="A16429" t="s">
        <v>15168</v>
      </c>
    </row>
    <row r="16430" spans="1:1" x14ac:dyDescent="0.25">
      <c r="A16430" t="s">
        <v>15169</v>
      </c>
    </row>
    <row r="16431" spans="1:1" x14ac:dyDescent="0.25">
      <c r="A16431" t="s">
        <v>15170</v>
      </c>
    </row>
    <row r="16432" spans="1:1" x14ac:dyDescent="0.25">
      <c r="A16432" t="s">
        <v>15171</v>
      </c>
    </row>
    <row r="16433" spans="1:1" x14ac:dyDescent="0.25">
      <c r="A16433" t="s">
        <v>15172</v>
      </c>
    </row>
    <row r="16434" spans="1:1" x14ac:dyDescent="0.25">
      <c r="A16434" t="s">
        <v>15173</v>
      </c>
    </row>
    <row r="16435" spans="1:1" x14ac:dyDescent="0.25">
      <c r="A16435" t="s">
        <v>15174</v>
      </c>
    </row>
    <row r="16436" spans="1:1" x14ac:dyDescent="0.25">
      <c r="A16436" t="s">
        <v>15175</v>
      </c>
    </row>
    <row r="16437" spans="1:1" x14ac:dyDescent="0.25">
      <c r="A16437" t="s">
        <v>15176</v>
      </c>
    </row>
    <row r="16438" spans="1:1" x14ac:dyDescent="0.25">
      <c r="A16438" t="s">
        <v>15177</v>
      </c>
    </row>
    <row r="16439" spans="1:1" x14ac:dyDescent="0.25">
      <c r="A16439" t="s">
        <v>15178</v>
      </c>
    </row>
    <row r="16440" spans="1:1" x14ac:dyDescent="0.25">
      <c r="A16440" t="s">
        <v>15179</v>
      </c>
    </row>
    <row r="16441" spans="1:1" x14ac:dyDescent="0.25">
      <c r="A16441" t="s">
        <v>15180</v>
      </c>
    </row>
    <row r="16442" spans="1:1" x14ac:dyDescent="0.25">
      <c r="A16442" t="s">
        <v>15181</v>
      </c>
    </row>
    <row r="16443" spans="1:1" x14ac:dyDescent="0.25">
      <c r="A16443" t="s">
        <v>15182</v>
      </c>
    </row>
    <row r="16444" spans="1:1" x14ac:dyDescent="0.25">
      <c r="A16444" t="s">
        <v>15183</v>
      </c>
    </row>
    <row r="16445" spans="1:1" x14ac:dyDescent="0.25">
      <c r="A16445" t="s">
        <v>15184</v>
      </c>
    </row>
    <row r="16446" spans="1:1" x14ac:dyDescent="0.25">
      <c r="A16446" t="s">
        <v>15185</v>
      </c>
    </row>
    <row r="16447" spans="1:1" x14ac:dyDescent="0.25">
      <c r="A16447" t="s">
        <v>15186</v>
      </c>
    </row>
    <row r="16448" spans="1:1" x14ac:dyDescent="0.25">
      <c r="A16448" t="s">
        <v>15187</v>
      </c>
    </row>
    <row r="16449" spans="1:1" x14ac:dyDescent="0.25">
      <c r="A16449" t="s">
        <v>15188</v>
      </c>
    </row>
    <row r="16450" spans="1:1" x14ac:dyDescent="0.25">
      <c r="A16450" t="s">
        <v>15189</v>
      </c>
    </row>
    <row r="16451" spans="1:1" x14ac:dyDescent="0.25">
      <c r="A16451" t="s">
        <v>15190</v>
      </c>
    </row>
    <row r="16452" spans="1:1" x14ac:dyDescent="0.25">
      <c r="A16452" t="s">
        <v>15191</v>
      </c>
    </row>
    <row r="16453" spans="1:1" x14ac:dyDescent="0.25">
      <c r="A16453" t="s">
        <v>15192</v>
      </c>
    </row>
    <row r="16454" spans="1:1" x14ac:dyDescent="0.25">
      <c r="A16454" t="s">
        <v>15193</v>
      </c>
    </row>
    <row r="16455" spans="1:1" x14ac:dyDescent="0.25">
      <c r="A16455" t="s">
        <v>15194</v>
      </c>
    </row>
    <row r="16456" spans="1:1" x14ac:dyDescent="0.25">
      <c r="A16456" t="s">
        <v>15195</v>
      </c>
    </row>
    <row r="16457" spans="1:1" x14ac:dyDescent="0.25">
      <c r="A16457" t="s">
        <v>15196</v>
      </c>
    </row>
    <row r="16458" spans="1:1" x14ac:dyDescent="0.25">
      <c r="A16458" t="s">
        <v>15197</v>
      </c>
    </row>
    <row r="16459" spans="1:1" x14ac:dyDescent="0.25">
      <c r="A16459" t="s">
        <v>15198</v>
      </c>
    </row>
    <row r="16460" spans="1:1" x14ac:dyDescent="0.25">
      <c r="A16460" t="s">
        <v>15199</v>
      </c>
    </row>
    <row r="16461" spans="1:1" x14ac:dyDescent="0.25">
      <c r="A16461" t="s">
        <v>15200</v>
      </c>
    </row>
    <row r="16462" spans="1:1" x14ac:dyDescent="0.25">
      <c r="A16462" t="s">
        <v>15201</v>
      </c>
    </row>
    <row r="16463" spans="1:1" x14ac:dyDescent="0.25">
      <c r="A16463" t="s">
        <v>15202</v>
      </c>
    </row>
    <row r="16464" spans="1:1" x14ac:dyDescent="0.25">
      <c r="A16464" t="s">
        <v>15203</v>
      </c>
    </row>
    <row r="16465" spans="1:1" x14ac:dyDescent="0.25">
      <c r="A16465" t="s">
        <v>15204</v>
      </c>
    </row>
    <row r="16466" spans="1:1" x14ac:dyDescent="0.25">
      <c r="A16466" t="s">
        <v>15205</v>
      </c>
    </row>
    <row r="16467" spans="1:1" x14ac:dyDescent="0.25">
      <c r="A16467" t="s">
        <v>15206</v>
      </c>
    </row>
    <row r="16468" spans="1:1" x14ac:dyDescent="0.25">
      <c r="A16468" t="s">
        <v>15207</v>
      </c>
    </row>
    <row r="16469" spans="1:1" x14ac:dyDescent="0.25">
      <c r="A16469" t="s">
        <v>15208</v>
      </c>
    </row>
    <row r="16470" spans="1:1" x14ac:dyDescent="0.25">
      <c r="A16470" t="s">
        <v>15209</v>
      </c>
    </row>
    <row r="16471" spans="1:1" x14ac:dyDescent="0.25">
      <c r="A16471" t="s">
        <v>15210</v>
      </c>
    </row>
    <row r="16472" spans="1:1" x14ac:dyDescent="0.25">
      <c r="A16472" t="s">
        <v>15211</v>
      </c>
    </row>
    <row r="16473" spans="1:1" x14ac:dyDescent="0.25">
      <c r="A16473" t="s">
        <v>15212</v>
      </c>
    </row>
    <row r="16474" spans="1:1" x14ac:dyDescent="0.25">
      <c r="A16474" t="s">
        <v>15213</v>
      </c>
    </row>
    <row r="16475" spans="1:1" x14ac:dyDescent="0.25">
      <c r="A16475" t="s">
        <v>15214</v>
      </c>
    </row>
    <row r="16476" spans="1:1" x14ac:dyDescent="0.25">
      <c r="A16476" t="s">
        <v>15215</v>
      </c>
    </row>
    <row r="16477" spans="1:1" x14ac:dyDescent="0.25">
      <c r="A16477" t="s">
        <v>15216</v>
      </c>
    </row>
    <row r="16478" spans="1:1" x14ac:dyDescent="0.25">
      <c r="A16478" t="s">
        <v>15217</v>
      </c>
    </row>
    <row r="16479" spans="1:1" x14ac:dyDescent="0.25">
      <c r="A16479" t="s">
        <v>15218</v>
      </c>
    </row>
    <row r="16480" spans="1:1" x14ac:dyDescent="0.25">
      <c r="A16480" t="s">
        <v>15219</v>
      </c>
    </row>
    <row r="16481" spans="1:1" x14ac:dyDescent="0.25">
      <c r="A16481" t="s">
        <v>15220</v>
      </c>
    </row>
    <row r="16482" spans="1:1" x14ac:dyDescent="0.25">
      <c r="A16482" t="s">
        <v>15221</v>
      </c>
    </row>
    <row r="16483" spans="1:1" x14ac:dyDescent="0.25">
      <c r="A16483" t="s">
        <v>15222</v>
      </c>
    </row>
    <row r="16484" spans="1:1" x14ac:dyDescent="0.25">
      <c r="A16484" t="s">
        <v>15223</v>
      </c>
    </row>
    <row r="16485" spans="1:1" x14ac:dyDescent="0.25">
      <c r="A16485" t="s">
        <v>15224</v>
      </c>
    </row>
    <row r="16486" spans="1:1" x14ac:dyDescent="0.25">
      <c r="A16486" t="s">
        <v>15225</v>
      </c>
    </row>
    <row r="16487" spans="1:1" x14ac:dyDescent="0.25">
      <c r="A16487" t="s">
        <v>15226</v>
      </c>
    </row>
    <row r="16488" spans="1:1" x14ac:dyDescent="0.25">
      <c r="A16488" t="s">
        <v>15227</v>
      </c>
    </row>
    <row r="16489" spans="1:1" x14ac:dyDescent="0.25">
      <c r="A16489" t="s">
        <v>15228</v>
      </c>
    </row>
    <row r="16490" spans="1:1" x14ac:dyDescent="0.25">
      <c r="A16490" t="s">
        <v>15229</v>
      </c>
    </row>
    <row r="16491" spans="1:1" x14ac:dyDescent="0.25">
      <c r="A16491" t="s">
        <v>15230</v>
      </c>
    </row>
    <row r="16492" spans="1:1" x14ac:dyDescent="0.25">
      <c r="A16492" t="s">
        <v>15231</v>
      </c>
    </row>
    <row r="16493" spans="1:1" x14ac:dyDescent="0.25">
      <c r="A16493" t="s">
        <v>15232</v>
      </c>
    </row>
    <row r="16494" spans="1:1" x14ac:dyDescent="0.25">
      <c r="A16494" t="s">
        <v>15233</v>
      </c>
    </row>
    <row r="16495" spans="1:1" x14ac:dyDescent="0.25">
      <c r="A16495" t="s">
        <v>15234</v>
      </c>
    </row>
    <row r="16496" spans="1:1" x14ac:dyDescent="0.25">
      <c r="A16496" t="s">
        <v>15235</v>
      </c>
    </row>
    <row r="16497" spans="1:1" x14ac:dyDescent="0.25">
      <c r="A16497" t="s">
        <v>15236</v>
      </c>
    </row>
    <row r="16498" spans="1:1" x14ac:dyDescent="0.25">
      <c r="A16498" t="s">
        <v>15237</v>
      </c>
    </row>
    <row r="16499" spans="1:1" x14ac:dyDescent="0.25">
      <c r="A16499" t="s">
        <v>15238</v>
      </c>
    </row>
    <row r="16500" spans="1:1" x14ac:dyDescent="0.25">
      <c r="A16500" t="s">
        <v>15239</v>
      </c>
    </row>
    <row r="16501" spans="1:1" x14ac:dyDescent="0.25">
      <c r="A16501" t="s">
        <v>15240</v>
      </c>
    </row>
    <row r="16502" spans="1:1" x14ac:dyDescent="0.25">
      <c r="A16502" t="s">
        <v>15241</v>
      </c>
    </row>
    <row r="16503" spans="1:1" x14ac:dyDescent="0.25">
      <c r="A16503" t="s">
        <v>15242</v>
      </c>
    </row>
    <row r="16504" spans="1:1" x14ac:dyDescent="0.25">
      <c r="A16504" t="s">
        <v>15243</v>
      </c>
    </row>
    <row r="16505" spans="1:1" x14ac:dyDescent="0.25">
      <c r="A16505" t="s">
        <v>15244</v>
      </c>
    </row>
    <row r="16506" spans="1:1" x14ac:dyDescent="0.25">
      <c r="A16506" t="s">
        <v>15245</v>
      </c>
    </row>
    <row r="16507" spans="1:1" x14ac:dyDescent="0.25">
      <c r="A16507" t="s">
        <v>15246</v>
      </c>
    </row>
    <row r="16508" spans="1:1" x14ac:dyDescent="0.25">
      <c r="A16508" t="s">
        <v>15247</v>
      </c>
    </row>
    <row r="16509" spans="1:1" x14ac:dyDescent="0.25">
      <c r="A16509" t="s">
        <v>15248</v>
      </c>
    </row>
    <row r="16510" spans="1:1" x14ac:dyDescent="0.25">
      <c r="A16510" t="s">
        <v>15249</v>
      </c>
    </row>
    <row r="16511" spans="1:1" x14ac:dyDescent="0.25">
      <c r="A16511" t="s">
        <v>15250</v>
      </c>
    </row>
    <row r="16512" spans="1:1" x14ac:dyDescent="0.25">
      <c r="A16512" t="s">
        <v>15251</v>
      </c>
    </row>
    <row r="16513" spans="1:1" x14ac:dyDescent="0.25">
      <c r="A16513" t="s">
        <v>15252</v>
      </c>
    </row>
    <row r="16514" spans="1:1" x14ac:dyDescent="0.25">
      <c r="A16514" t="s">
        <v>15253</v>
      </c>
    </row>
    <row r="16515" spans="1:1" x14ac:dyDescent="0.25">
      <c r="A16515" t="s">
        <v>15254</v>
      </c>
    </row>
    <row r="16516" spans="1:1" x14ac:dyDescent="0.25">
      <c r="A16516" t="s">
        <v>15255</v>
      </c>
    </row>
    <row r="16517" spans="1:1" x14ac:dyDescent="0.25">
      <c r="A16517" t="s">
        <v>15256</v>
      </c>
    </row>
    <row r="16518" spans="1:1" x14ac:dyDescent="0.25">
      <c r="A16518" t="s">
        <v>15257</v>
      </c>
    </row>
    <row r="16519" spans="1:1" x14ac:dyDescent="0.25">
      <c r="A16519" t="s">
        <v>15258</v>
      </c>
    </row>
    <row r="16520" spans="1:1" x14ac:dyDescent="0.25">
      <c r="A16520" t="s">
        <v>15259</v>
      </c>
    </row>
    <row r="16521" spans="1:1" x14ac:dyDescent="0.25">
      <c r="A16521" t="s">
        <v>15260</v>
      </c>
    </row>
    <row r="16522" spans="1:1" x14ac:dyDescent="0.25">
      <c r="A16522" t="s">
        <v>15261</v>
      </c>
    </row>
    <row r="16523" spans="1:1" x14ac:dyDescent="0.25">
      <c r="A16523" t="s">
        <v>15262</v>
      </c>
    </row>
    <row r="16524" spans="1:1" x14ac:dyDescent="0.25">
      <c r="A16524" t="s">
        <v>15263</v>
      </c>
    </row>
    <row r="16525" spans="1:1" x14ac:dyDescent="0.25">
      <c r="A16525" t="s">
        <v>15264</v>
      </c>
    </row>
    <row r="16526" spans="1:1" x14ac:dyDescent="0.25">
      <c r="A16526" t="s">
        <v>15265</v>
      </c>
    </row>
    <row r="16527" spans="1:1" x14ac:dyDescent="0.25">
      <c r="A16527" t="s">
        <v>15266</v>
      </c>
    </row>
    <row r="16528" spans="1:1" x14ac:dyDescent="0.25">
      <c r="A16528" t="s">
        <v>15267</v>
      </c>
    </row>
    <row r="16529" spans="1:1" x14ac:dyDescent="0.25">
      <c r="A16529" t="s">
        <v>15268</v>
      </c>
    </row>
    <row r="16530" spans="1:1" x14ac:dyDescent="0.25">
      <c r="A16530" t="s">
        <v>15269</v>
      </c>
    </row>
    <row r="16531" spans="1:1" x14ac:dyDescent="0.25">
      <c r="A16531" t="s">
        <v>15270</v>
      </c>
    </row>
    <row r="16532" spans="1:1" x14ac:dyDescent="0.25">
      <c r="A16532" t="s">
        <v>15271</v>
      </c>
    </row>
    <row r="16533" spans="1:1" x14ac:dyDescent="0.25">
      <c r="A16533" t="s">
        <v>15272</v>
      </c>
    </row>
    <row r="16534" spans="1:1" x14ac:dyDescent="0.25">
      <c r="A16534" t="s">
        <v>15273</v>
      </c>
    </row>
    <row r="16535" spans="1:1" x14ac:dyDescent="0.25">
      <c r="A16535" t="s">
        <v>15274</v>
      </c>
    </row>
    <row r="16536" spans="1:1" x14ac:dyDescent="0.25">
      <c r="A16536" t="s">
        <v>15275</v>
      </c>
    </row>
    <row r="16537" spans="1:1" x14ac:dyDescent="0.25">
      <c r="A16537" t="s">
        <v>15276</v>
      </c>
    </row>
    <row r="16538" spans="1:1" x14ac:dyDescent="0.25">
      <c r="A16538" t="s">
        <v>15277</v>
      </c>
    </row>
    <row r="16539" spans="1:1" x14ac:dyDescent="0.25">
      <c r="A16539" t="s">
        <v>15278</v>
      </c>
    </row>
    <row r="16540" spans="1:1" x14ac:dyDescent="0.25">
      <c r="A16540" t="s">
        <v>15279</v>
      </c>
    </row>
    <row r="16541" spans="1:1" x14ac:dyDescent="0.25">
      <c r="A16541" t="s">
        <v>15280</v>
      </c>
    </row>
    <row r="16542" spans="1:1" x14ac:dyDescent="0.25">
      <c r="A16542" t="s">
        <v>15281</v>
      </c>
    </row>
    <row r="16543" spans="1:1" x14ac:dyDescent="0.25">
      <c r="A16543" t="s">
        <v>15282</v>
      </c>
    </row>
    <row r="16544" spans="1:1" x14ac:dyDescent="0.25">
      <c r="A16544" t="s">
        <v>15283</v>
      </c>
    </row>
    <row r="16545" spans="1:1" x14ac:dyDescent="0.25">
      <c r="A16545" t="s">
        <v>15284</v>
      </c>
    </row>
    <row r="16546" spans="1:1" x14ac:dyDescent="0.25">
      <c r="A16546" t="s">
        <v>15285</v>
      </c>
    </row>
    <row r="16547" spans="1:1" x14ac:dyDescent="0.25">
      <c r="A16547" t="s">
        <v>15286</v>
      </c>
    </row>
    <row r="16548" spans="1:1" x14ac:dyDescent="0.25">
      <c r="A16548" t="s">
        <v>15287</v>
      </c>
    </row>
    <row r="16549" spans="1:1" x14ac:dyDescent="0.25">
      <c r="A16549" t="s">
        <v>15288</v>
      </c>
    </row>
    <row r="16550" spans="1:1" x14ac:dyDescent="0.25">
      <c r="A16550" t="e" cm="1">
        <f t="array" ref="A16550">-CLIENTE RENUENTE</f>
        <v>#NAME?</v>
      </c>
    </row>
    <row r="16551" spans="1:1" x14ac:dyDescent="0.25">
      <c r="A16551" t="e" cm="1">
        <f t="array" ref="A16551">-tiene INTENCION DE PAGO.</f>
        <v>#NAME?</v>
      </c>
    </row>
    <row r="16552" spans="1:1" x14ac:dyDescent="0.25">
      <c r="A16552" t="s">
        <v>15289</v>
      </c>
    </row>
    <row r="16553" spans="1:1" x14ac:dyDescent="0.25">
      <c r="A16553" t="s">
        <v>15290</v>
      </c>
    </row>
    <row r="16554" spans="1:1" x14ac:dyDescent="0.25">
      <c r="A16554" t="s">
        <v>15291</v>
      </c>
    </row>
    <row r="16555" spans="1:1" x14ac:dyDescent="0.25">
      <c r="A16555" t="s">
        <v>15292</v>
      </c>
    </row>
    <row r="16556" spans="1:1" x14ac:dyDescent="0.25">
      <c r="A16556" t="s">
        <v>15293</v>
      </c>
    </row>
    <row r="16557" spans="1:1" x14ac:dyDescent="0.25">
      <c r="A16557" t="s">
        <v>15294</v>
      </c>
    </row>
    <row r="16558" spans="1:1" x14ac:dyDescent="0.25">
      <c r="A16558" t="s">
        <v>15295</v>
      </c>
    </row>
    <row r="16559" spans="1:1" x14ac:dyDescent="0.25">
      <c r="A16559" t="s">
        <v>15296</v>
      </c>
    </row>
    <row r="16560" spans="1:1" x14ac:dyDescent="0.25">
      <c r="A16560" t="s">
        <v>15297</v>
      </c>
    </row>
    <row r="16561" spans="1:1" x14ac:dyDescent="0.25">
      <c r="A16561" t="s">
        <v>15298</v>
      </c>
    </row>
    <row r="16562" spans="1:1" x14ac:dyDescent="0.25">
      <c r="A16562" t="s">
        <v>15299</v>
      </c>
    </row>
    <row r="16563" spans="1:1" x14ac:dyDescent="0.25">
      <c r="A16563" t="s">
        <v>15300</v>
      </c>
    </row>
    <row r="16564" spans="1:1" x14ac:dyDescent="0.25">
      <c r="A16564" t="s">
        <v>15301</v>
      </c>
    </row>
    <row r="16565" spans="1:1" x14ac:dyDescent="0.25">
      <c r="A16565" t="s">
        <v>15302</v>
      </c>
    </row>
    <row r="16566" spans="1:1" x14ac:dyDescent="0.25">
      <c r="A16566" t="s">
        <v>15303</v>
      </c>
    </row>
    <row r="16567" spans="1:1" x14ac:dyDescent="0.25">
      <c r="A16567" t="s">
        <v>15304</v>
      </c>
    </row>
    <row r="16568" spans="1:1" x14ac:dyDescent="0.25">
      <c r="A16568" t="s">
        <v>15305</v>
      </c>
    </row>
    <row r="16569" spans="1:1" x14ac:dyDescent="0.25">
      <c r="A16569" t="s">
        <v>15306</v>
      </c>
    </row>
    <row r="16570" spans="1:1" x14ac:dyDescent="0.25">
      <c r="A16570" t="s">
        <v>15307</v>
      </c>
    </row>
    <row r="16571" spans="1:1" x14ac:dyDescent="0.25">
      <c r="A16571" t="s">
        <v>15308</v>
      </c>
    </row>
    <row r="16572" spans="1:1" x14ac:dyDescent="0.25">
      <c r="A16572" t="s">
        <v>15309</v>
      </c>
    </row>
    <row r="16573" spans="1:1" x14ac:dyDescent="0.25">
      <c r="A16573" t="s">
        <v>15310</v>
      </c>
    </row>
    <row r="16574" spans="1:1" x14ac:dyDescent="0.25">
      <c r="A16574" t="s">
        <v>15311</v>
      </c>
    </row>
    <row r="16575" spans="1:1" x14ac:dyDescent="0.25">
      <c r="A16575" t="s">
        <v>15312</v>
      </c>
    </row>
    <row r="16576" spans="1:1" x14ac:dyDescent="0.25">
      <c r="A16576" t="s">
        <v>15313</v>
      </c>
    </row>
    <row r="16577" spans="1:2" x14ac:dyDescent="0.25">
      <c r="A16577" t="s">
        <v>15314</v>
      </c>
    </row>
    <row r="16578" spans="1:2" x14ac:dyDescent="0.25">
      <c r="A16578" t="s">
        <v>15315</v>
      </c>
    </row>
    <row r="16579" spans="1:2" x14ac:dyDescent="0.25">
      <c r="A16579" t="s">
        <v>15316</v>
      </c>
    </row>
    <row r="16580" spans="1:2" x14ac:dyDescent="0.25">
      <c r="A16580" t="s">
        <v>15317</v>
      </c>
    </row>
    <row r="16581" spans="1:2" x14ac:dyDescent="0.25">
      <c r="A16581" t="s">
        <v>15318</v>
      </c>
      <c r="B16581" t="s">
        <v>15319</v>
      </c>
    </row>
    <row r="16582" spans="1:2" x14ac:dyDescent="0.25">
      <c r="A16582" t="s">
        <v>15320</v>
      </c>
    </row>
    <row r="16583" spans="1:2" x14ac:dyDescent="0.25">
      <c r="A16583" t="s">
        <v>15321</v>
      </c>
    </row>
    <row r="16584" spans="1:2" x14ac:dyDescent="0.25">
      <c r="A16584" t="s">
        <v>15322</v>
      </c>
    </row>
    <row r="16585" spans="1:2" x14ac:dyDescent="0.25">
      <c r="A16585" t="s">
        <v>15323</v>
      </c>
    </row>
    <row r="16586" spans="1:2" x14ac:dyDescent="0.25">
      <c r="A16586" t="s">
        <v>15324</v>
      </c>
    </row>
    <row r="16587" spans="1:2" x14ac:dyDescent="0.25">
      <c r="A16587" t="s">
        <v>15325</v>
      </c>
    </row>
    <row r="16588" spans="1:2" x14ac:dyDescent="0.25">
      <c r="A16588" t="s">
        <v>15326</v>
      </c>
    </row>
    <row r="16589" spans="1:2" x14ac:dyDescent="0.25">
      <c r="A16589" t="s">
        <v>15327</v>
      </c>
    </row>
    <row r="16590" spans="1:2" x14ac:dyDescent="0.25">
      <c r="A16590" t="s">
        <v>15328</v>
      </c>
    </row>
    <row r="16591" spans="1:2" x14ac:dyDescent="0.25">
      <c r="A16591" t="s">
        <v>15329</v>
      </c>
    </row>
    <row r="16592" spans="1:2" x14ac:dyDescent="0.25">
      <c r="A16592" t="s">
        <v>15330</v>
      </c>
    </row>
    <row r="16593" spans="1:1" x14ac:dyDescent="0.25">
      <c r="A16593" t="s">
        <v>15331</v>
      </c>
    </row>
    <row r="16594" spans="1:1" x14ac:dyDescent="0.25">
      <c r="A16594" t="s">
        <v>15332</v>
      </c>
    </row>
    <row r="16595" spans="1:1" x14ac:dyDescent="0.25">
      <c r="A16595" t="s">
        <v>15333</v>
      </c>
    </row>
    <row r="16596" spans="1:1" x14ac:dyDescent="0.25">
      <c r="A16596" t="s">
        <v>15334</v>
      </c>
    </row>
    <row r="16597" spans="1:1" x14ac:dyDescent="0.25">
      <c r="A16597" t="s">
        <v>15335</v>
      </c>
    </row>
    <row r="16598" spans="1:1" x14ac:dyDescent="0.25">
      <c r="A16598" t="s">
        <v>15336</v>
      </c>
    </row>
    <row r="16599" spans="1:1" x14ac:dyDescent="0.25">
      <c r="A16599" t="s">
        <v>15337</v>
      </c>
    </row>
    <row r="16600" spans="1:1" x14ac:dyDescent="0.25">
      <c r="A16600" t="s">
        <v>15338</v>
      </c>
    </row>
    <row r="16601" spans="1:1" x14ac:dyDescent="0.25">
      <c r="A16601" t="s">
        <v>15339</v>
      </c>
    </row>
    <row r="16603" spans="1:1" x14ac:dyDescent="0.25">
      <c r="A16603" t="s">
        <v>15340</v>
      </c>
    </row>
    <row r="16605" spans="1:1" x14ac:dyDescent="0.25">
      <c r="A16605" t="s">
        <v>15341</v>
      </c>
    </row>
    <row r="16607" spans="1:1" x14ac:dyDescent="0.25">
      <c r="A16607" t="s">
        <v>15342</v>
      </c>
    </row>
    <row r="16608" spans="1:1" x14ac:dyDescent="0.25">
      <c r="A16608" t="s">
        <v>15343</v>
      </c>
    </row>
    <row r="16609" spans="1:1" x14ac:dyDescent="0.25">
      <c r="A16609" t="s">
        <v>15344</v>
      </c>
    </row>
    <row r="16610" spans="1:1" x14ac:dyDescent="0.25">
      <c r="A16610" t="s">
        <v>15345</v>
      </c>
    </row>
    <row r="16611" spans="1:1" x14ac:dyDescent="0.25">
      <c r="A16611" t="s">
        <v>15346</v>
      </c>
    </row>
    <row r="16612" spans="1:1" x14ac:dyDescent="0.25">
      <c r="A16612" t="s">
        <v>15347</v>
      </c>
    </row>
    <row r="16613" spans="1:1" x14ac:dyDescent="0.25">
      <c r="A16613" t="s">
        <v>15348</v>
      </c>
    </row>
    <row r="16614" spans="1:1" x14ac:dyDescent="0.25">
      <c r="A16614" t="s">
        <v>15349</v>
      </c>
    </row>
    <row r="16615" spans="1:1" x14ac:dyDescent="0.25">
      <c r="A16615" t="s">
        <v>15350</v>
      </c>
    </row>
    <row r="16616" spans="1:1" x14ac:dyDescent="0.25">
      <c r="A16616" t="s">
        <v>15351</v>
      </c>
    </row>
    <row r="16617" spans="1:1" x14ac:dyDescent="0.25">
      <c r="A16617" t="s">
        <v>15352</v>
      </c>
    </row>
    <row r="16618" spans="1:1" x14ac:dyDescent="0.25">
      <c r="A16618" t="s">
        <v>15353</v>
      </c>
    </row>
    <row r="16619" spans="1:1" x14ac:dyDescent="0.25">
      <c r="A16619" t="s">
        <v>15354</v>
      </c>
    </row>
    <row r="16620" spans="1:1" x14ac:dyDescent="0.25">
      <c r="A16620" t="s">
        <v>15355</v>
      </c>
    </row>
    <row r="16621" spans="1:1" x14ac:dyDescent="0.25">
      <c r="A16621" t="s">
        <v>15356</v>
      </c>
    </row>
    <row r="16622" spans="1:1" x14ac:dyDescent="0.25">
      <c r="A16622" t="s">
        <v>15357</v>
      </c>
    </row>
    <row r="16623" spans="1:1" x14ac:dyDescent="0.25">
      <c r="A16623" t="s">
        <v>15358</v>
      </c>
    </row>
    <row r="16624" spans="1:1" x14ac:dyDescent="0.25">
      <c r="A16624" t="s">
        <v>15359</v>
      </c>
    </row>
    <row r="16625" spans="1:1" x14ac:dyDescent="0.25">
      <c r="A16625" t="s">
        <v>15360</v>
      </c>
    </row>
    <row r="16626" spans="1:1" x14ac:dyDescent="0.25">
      <c r="A16626" t="s">
        <v>15361</v>
      </c>
    </row>
    <row r="16627" spans="1:1" x14ac:dyDescent="0.25">
      <c r="A16627" t="s">
        <v>15362</v>
      </c>
    </row>
    <row r="16628" spans="1:1" x14ac:dyDescent="0.25">
      <c r="A16628" t="s">
        <v>15363</v>
      </c>
    </row>
    <row r="16629" spans="1:1" x14ac:dyDescent="0.25">
      <c r="A16629" t="s">
        <v>15364</v>
      </c>
    </row>
    <row r="16630" spans="1:1" x14ac:dyDescent="0.25">
      <c r="A16630" t="s">
        <v>15365</v>
      </c>
    </row>
    <row r="16631" spans="1:1" x14ac:dyDescent="0.25">
      <c r="A16631" t="s">
        <v>15366</v>
      </c>
    </row>
    <row r="16632" spans="1:1" x14ac:dyDescent="0.25">
      <c r="A16632" t="s">
        <v>15367</v>
      </c>
    </row>
    <row r="16633" spans="1:1" x14ac:dyDescent="0.25">
      <c r="A16633" t="s">
        <v>15368</v>
      </c>
    </row>
    <row r="16634" spans="1:1" x14ac:dyDescent="0.25">
      <c r="A16634" t="s">
        <v>15369</v>
      </c>
    </row>
    <row r="16635" spans="1:1" x14ac:dyDescent="0.25">
      <c r="A16635" t="s">
        <v>15370</v>
      </c>
    </row>
    <row r="16636" spans="1:1" x14ac:dyDescent="0.25">
      <c r="A16636" t="s">
        <v>15371</v>
      </c>
    </row>
    <row r="16637" spans="1:1" x14ac:dyDescent="0.25">
      <c r="A16637" t="s">
        <v>15372</v>
      </c>
    </row>
    <row r="16638" spans="1:1" x14ac:dyDescent="0.25">
      <c r="A16638" t="s">
        <v>15373</v>
      </c>
    </row>
    <row r="16639" spans="1:1" x14ac:dyDescent="0.25">
      <c r="A16639" t="s">
        <v>15374</v>
      </c>
    </row>
    <row r="16640" spans="1:1" x14ac:dyDescent="0.25">
      <c r="A16640" t="s">
        <v>15375</v>
      </c>
    </row>
    <row r="16641" spans="1:1" x14ac:dyDescent="0.25">
      <c r="A16641" t="s">
        <v>15376</v>
      </c>
    </row>
    <row r="16642" spans="1:1" x14ac:dyDescent="0.25">
      <c r="A16642" t="s">
        <v>15377</v>
      </c>
    </row>
    <row r="16643" spans="1:1" x14ac:dyDescent="0.25">
      <c r="A16643" t="s">
        <v>15378</v>
      </c>
    </row>
    <row r="16644" spans="1:1" x14ac:dyDescent="0.25">
      <c r="A16644" t="s">
        <v>15379</v>
      </c>
    </row>
    <row r="16645" spans="1:1" x14ac:dyDescent="0.25">
      <c r="A16645" t="s">
        <v>15380</v>
      </c>
    </row>
    <row r="16646" spans="1:1" x14ac:dyDescent="0.25">
      <c r="A16646" t="s">
        <v>15381</v>
      </c>
    </row>
    <row r="16647" spans="1:1" x14ac:dyDescent="0.25">
      <c r="A16647" t="s">
        <v>15382</v>
      </c>
    </row>
    <row r="16648" spans="1:1" x14ac:dyDescent="0.25">
      <c r="A16648" t="s">
        <v>15383</v>
      </c>
    </row>
    <row r="16649" spans="1:1" x14ac:dyDescent="0.25">
      <c r="A16649" t="s">
        <v>15384</v>
      </c>
    </row>
    <row r="16650" spans="1:1" x14ac:dyDescent="0.25">
      <c r="A16650" t="s">
        <v>15385</v>
      </c>
    </row>
    <row r="16651" spans="1:1" x14ac:dyDescent="0.25">
      <c r="A16651" t="s">
        <v>15386</v>
      </c>
    </row>
    <row r="16652" spans="1:1" x14ac:dyDescent="0.25">
      <c r="A16652" t="s">
        <v>15387</v>
      </c>
    </row>
    <row r="16653" spans="1:1" x14ac:dyDescent="0.25">
      <c r="A16653" t="s">
        <v>15388</v>
      </c>
    </row>
    <row r="16654" spans="1:1" x14ac:dyDescent="0.25">
      <c r="A16654" t="s">
        <v>15389</v>
      </c>
    </row>
    <row r="16655" spans="1:1" x14ac:dyDescent="0.25">
      <c r="A16655" t="s">
        <v>15390</v>
      </c>
    </row>
    <row r="16656" spans="1:1" x14ac:dyDescent="0.25">
      <c r="A16656" t="s">
        <v>15391</v>
      </c>
    </row>
    <row r="16657" spans="1:1" x14ac:dyDescent="0.25">
      <c r="A16657" t="s">
        <v>15392</v>
      </c>
    </row>
    <row r="16658" spans="1:1" x14ac:dyDescent="0.25">
      <c r="A16658" t="s">
        <v>15393</v>
      </c>
    </row>
    <row r="16659" spans="1:1" x14ac:dyDescent="0.25">
      <c r="A16659" t="s">
        <v>15394</v>
      </c>
    </row>
    <row r="16660" spans="1:1" x14ac:dyDescent="0.25">
      <c r="A16660" t="s">
        <v>15395</v>
      </c>
    </row>
    <row r="16661" spans="1:1" x14ac:dyDescent="0.25">
      <c r="A16661" t="s">
        <v>15396</v>
      </c>
    </row>
    <row r="16662" spans="1:1" x14ac:dyDescent="0.25">
      <c r="A16662" t="s">
        <v>15397</v>
      </c>
    </row>
    <row r="16663" spans="1:1" x14ac:dyDescent="0.25">
      <c r="A16663" t="s">
        <v>15398</v>
      </c>
    </row>
    <row r="16664" spans="1:1" x14ac:dyDescent="0.25">
      <c r="A16664" t="s">
        <v>15399</v>
      </c>
    </row>
    <row r="16665" spans="1:1" x14ac:dyDescent="0.25">
      <c r="A16665" t="s">
        <v>15400</v>
      </c>
    </row>
    <row r="16666" spans="1:1" x14ac:dyDescent="0.25">
      <c r="A16666" t="s">
        <v>15401</v>
      </c>
    </row>
    <row r="16667" spans="1:1" x14ac:dyDescent="0.25">
      <c r="A16667" t="s">
        <v>15402</v>
      </c>
    </row>
    <row r="16668" spans="1:1" x14ac:dyDescent="0.25">
      <c r="A16668" t="s">
        <v>15403</v>
      </c>
    </row>
    <row r="16669" spans="1:1" x14ac:dyDescent="0.25">
      <c r="A16669" t="s">
        <v>15404</v>
      </c>
    </row>
    <row r="16670" spans="1:1" x14ac:dyDescent="0.25">
      <c r="A16670" t="s">
        <v>15405</v>
      </c>
    </row>
    <row r="16671" spans="1:1" x14ac:dyDescent="0.25">
      <c r="A16671" t="s">
        <v>15406</v>
      </c>
    </row>
    <row r="16672" spans="1:1" x14ac:dyDescent="0.25">
      <c r="A16672" t="s">
        <v>15407</v>
      </c>
    </row>
    <row r="16673" spans="1:1" x14ac:dyDescent="0.25">
      <c r="A16673" t="s">
        <v>15408</v>
      </c>
    </row>
    <row r="16674" spans="1:1" x14ac:dyDescent="0.25">
      <c r="A16674" t="s">
        <v>15409</v>
      </c>
    </row>
    <row r="16675" spans="1:1" x14ac:dyDescent="0.25">
      <c r="A16675" t="s">
        <v>15410</v>
      </c>
    </row>
    <row r="16676" spans="1:1" x14ac:dyDescent="0.25">
      <c r="A16676" t="s">
        <v>15411</v>
      </c>
    </row>
    <row r="16677" spans="1:1" x14ac:dyDescent="0.25">
      <c r="A16677" t="s">
        <v>15412</v>
      </c>
    </row>
    <row r="16678" spans="1:1" x14ac:dyDescent="0.25">
      <c r="A16678" t="s">
        <v>15413</v>
      </c>
    </row>
    <row r="16680" spans="1:1" x14ac:dyDescent="0.25">
      <c r="A16680" t="s">
        <v>15414</v>
      </c>
    </row>
    <row r="16681" spans="1:1" x14ac:dyDescent="0.25">
      <c r="A16681" t="s">
        <v>15415</v>
      </c>
    </row>
    <row r="16682" spans="1:1" x14ac:dyDescent="0.25">
      <c r="A16682" t="s">
        <v>15416</v>
      </c>
    </row>
    <row r="16683" spans="1:1" x14ac:dyDescent="0.25">
      <c r="A16683" t="s">
        <v>15417</v>
      </c>
    </row>
    <row r="16684" spans="1:1" x14ac:dyDescent="0.25">
      <c r="A16684" t="s">
        <v>15418</v>
      </c>
    </row>
    <row r="16685" spans="1:1" x14ac:dyDescent="0.25">
      <c r="A16685" t="s">
        <v>15419</v>
      </c>
    </row>
    <row r="16686" spans="1:1" x14ac:dyDescent="0.25">
      <c r="A16686" t="s">
        <v>15420</v>
      </c>
    </row>
    <row r="16687" spans="1:1" x14ac:dyDescent="0.25">
      <c r="A16687" t="s">
        <v>15421</v>
      </c>
    </row>
    <row r="16688" spans="1:1" x14ac:dyDescent="0.25">
      <c r="A16688" t="s">
        <v>15422</v>
      </c>
    </row>
    <row r="16689" spans="1:1" x14ac:dyDescent="0.25">
      <c r="A16689" t="s">
        <v>15423</v>
      </c>
    </row>
    <row r="16690" spans="1:1" x14ac:dyDescent="0.25">
      <c r="A16690" t="s">
        <v>15424</v>
      </c>
    </row>
    <row r="16692" spans="1:1" x14ac:dyDescent="0.25">
      <c r="A16692" t="s">
        <v>15425</v>
      </c>
    </row>
    <row r="16693" spans="1:1" x14ac:dyDescent="0.25">
      <c r="A16693" t="s">
        <v>15426</v>
      </c>
    </row>
    <row r="16695" spans="1:1" x14ac:dyDescent="0.25">
      <c r="A16695" t="s">
        <v>15427</v>
      </c>
    </row>
    <row r="16696" spans="1:1" x14ac:dyDescent="0.25">
      <c r="A16696" t="s">
        <v>15428</v>
      </c>
    </row>
    <row r="16697" spans="1:1" x14ac:dyDescent="0.25">
      <c r="A16697" t="s">
        <v>15429</v>
      </c>
    </row>
    <row r="16698" spans="1:1" x14ac:dyDescent="0.25">
      <c r="A16698" t="s">
        <v>15430</v>
      </c>
    </row>
    <row r="16699" spans="1:1" x14ac:dyDescent="0.25">
      <c r="A16699" t="s">
        <v>15431</v>
      </c>
    </row>
    <row r="16700" spans="1:1" x14ac:dyDescent="0.25">
      <c r="A16700" t="s">
        <v>15432</v>
      </c>
    </row>
    <row r="16701" spans="1:1" x14ac:dyDescent="0.25">
      <c r="A16701" t="s">
        <v>15433</v>
      </c>
    </row>
    <row r="16702" spans="1:1" x14ac:dyDescent="0.25">
      <c r="A16702" t="s">
        <v>15434</v>
      </c>
    </row>
    <row r="16703" spans="1:1" x14ac:dyDescent="0.25">
      <c r="A16703" t="s">
        <v>15435</v>
      </c>
    </row>
    <row r="16704" spans="1:1" x14ac:dyDescent="0.25">
      <c r="A16704" t="s">
        <v>15436</v>
      </c>
    </row>
    <row r="16705" spans="1:1" x14ac:dyDescent="0.25">
      <c r="A16705" t="s">
        <v>15437</v>
      </c>
    </row>
    <row r="16706" spans="1:1" x14ac:dyDescent="0.25">
      <c r="A16706" t="s">
        <v>15438</v>
      </c>
    </row>
    <row r="16707" spans="1:1" x14ac:dyDescent="0.25">
      <c r="A16707" t="s">
        <v>15439</v>
      </c>
    </row>
    <row r="16708" spans="1:1" x14ac:dyDescent="0.25">
      <c r="A16708" t="s">
        <v>15440</v>
      </c>
    </row>
    <row r="16709" spans="1:1" x14ac:dyDescent="0.25">
      <c r="A16709" t="s">
        <v>15441</v>
      </c>
    </row>
    <row r="16710" spans="1:1" x14ac:dyDescent="0.25">
      <c r="A16710" t="s">
        <v>15421</v>
      </c>
    </row>
    <row r="16711" spans="1:1" x14ac:dyDescent="0.25">
      <c r="A16711" t="s">
        <v>15442</v>
      </c>
    </row>
    <row r="16712" spans="1:1" x14ac:dyDescent="0.25">
      <c r="A16712" t="s">
        <v>15443</v>
      </c>
    </row>
    <row r="16713" spans="1:1" x14ac:dyDescent="0.25">
      <c r="A16713" t="s">
        <v>15444</v>
      </c>
    </row>
    <row r="16714" spans="1:1" x14ac:dyDescent="0.25">
      <c r="A16714" t="s">
        <v>15445</v>
      </c>
    </row>
    <row r="16715" spans="1:1" x14ac:dyDescent="0.25">
      <c r="A16715" t="s">
        <v>15446</v>
      </c>
    </row>
    <row r="16717" spans="1:1" x14ac:dyDescent="0.25">
      <c r="A16717" t="s">
        <v>15421</v>
      </c>
    </row>
    <row r="16718" spans="1:1" x14ac:dyDescent="0.25">
      <c r="A16718" t="s">
        <v>15447</v>
      </c>
    </row>
    <row r="16719" spans="1:1" x14ac:dyDescent="0.25">
      <c r="A16719" t="s">
        <v>15448</v>
      </c>
    </row>
    <row r="16720" spans="1:1" x14ac:dyDescent="0.25">
      <c r="A16720" t="s">
        <v>15449</v>
      </c>
    </row>
    <row r="16721" spans="1:1" x14ac:dyDescent="0.25">
      <c r="A16721" t="s">
        <v>15450</v>
      </c>
    </row>
    <row r="16722" spans="1:1" x14ac:dyDescent="0.25">
      <c r="A16722" t="s">
        <v>15451</v>
      </c>
    </row>
    <row r="16723" spans="1:1" x14ac:dyDescent="0.25">
      <c r="A16723" t="s">
        <v>15452</v>
      </c>
    </row>
    <row r="16724" spans="1:1" x14ac:dyDescent="0.25">
      <c r="A16724" t="s">
        <v>15453</v>
      </c>
    </row>
    <row r="16725" spans="1:1" x14ac:dyDescent="0.25">
      <c r="A16725" t="s">
        <v>15454</v>
      </c>
    </row>
    <row r="16726" spans="1:1" x14ac:dyDescent="0.25">
      <c r="A16726" t="s">
        <v>15455</v>
      </c>
    </row>
    <row r="16727" spans="1:1" x14ac:dyDescent="0.25">
      <c r="A16727" t="s">
        <v>15456</v>
      </c>
    </row>
    <row r="16728" spans="1:1" x14ac:dyDescent="0.25">
      <c r="A16728" t="s">
        <v>15457</v>
      </c>
    </row>
    <row r="16729" spans="1:1" x14ac:dyDescent="0.25">
      <c r="A16729" t="s">
        <v>15458</v>
      </c>
    </row>
    <row r="16730" spans="1:1" x14ac:dyDescent="0.25">
      <c r="A16730" t="s">
        <v>15459</v>
      </c>
    </row>
    <row r="16731" spans="1:1" x14ac:dyDescent="0.25">
      <c r="A16731" t="s">
        <v>15460</v>
      </c>
    </row>
    <row r="16732" spans="1:1" x14ac:dyDescent="0.25">
      <c r="A16732" t="s">
        <v>15461</v>
      </c>
    </row>
    <row r="16733" spans="1:1" x14ac:dyDescent="0.25">
      <c r="A16733" t="s">
        <v>15462</v>
      </c>
    </row>
    <row r="16734" spans="1:1" x14ac:dyDescent="0.25">
      <c r="A16734" t="s">
        <v>15463</v>
      </c>
    </row>
    <row r="16735" spans="1:1" x14ac:dyDescent="0.25">
      <c r="A16735" t="s">
        <v>15464</v>
      </c>
    </row>
    <row r="16736" spans="1:1" x14ac:dyDescent="0.25">
      <c r="A16736" t="s">
        <v>15465</v>
      </c>
    </row>
    <row r="16737" spans="1:1" x14ac:dyDescent="0.25">
      <c r="A16737" t="s">
        <v>15466</v>
      </c>
    </row>
    <row r="16739" spans="1:1" x14ac:dyDescent="0.25">
      <c r="A16739" t="s">
        <v>15467</v>
      </c>
    </row>
    <row r="16740" spans="1:1" x14ac:dyDescent="0.25">
      <c r="A16740" t="s">
        <v>15468</v>
      </c>
    </row>
    <row r="16742" spans="1:1" x14ac:dyDescent="0.25">
      <c r="A16742" t="s">
        <v>15469</v>
      </c>
    </row>
    <row r="16743" spans="1:1" x14ac:dyDescent="0.25">
      <c r="A16743" t="s">
        <v>15470</v>
      </c>
    </row>
    <row r="16744" spans="1:1" x14ac:dyDescent="0.25">
      <c r="A16744" t="s">
        <v>15471</v>
      </c>
    </row>
    <row r="16745" spans="1:1" x14ac:dyDescent="0.25">
      <c r="A16745" t="s">
        <v>15472</v>
      </c>
    </row>
    <row r="16746" spans="1:1" x14ac:dyDescent="0.25">
      <c r="A16746" t="s">
        <v>15473</v>
      </c>
    </row>
    <row r="16747" spans="1:1" x14ac:dyDescent="0.25">
      <c r="A16747" t="s">
        <v>15474</v>
      </c>
    </row>
    <row r="16748" spans="1:1" x14ac:dyDescent="0.25">
      <c r="A16748" t="s">
        <v>15475</v>
      </c>
    </row>
    <row r="16749" spans="1:1" x14ac:dyDescent="0.25">
      <c r="A16749" t="s">
        <v>15476</v>
      </c>
    </row>
    <row r="16750" spans="1:1" x14ac:dyDescent="0.25">
      <c r="A16750" t="s">
        <v>15477</v>
      </c>
    </row>
    <row r="16751" spans="1:1" x14ac:dyDescent="0.25">
      <c r="A16751" t="s">
        <v>15478</v>
      </c>
    </row>
    <row r="16752" spans="1:1" x14ac:dyDescent="0.25">
      <c r="A16752" t="s">
        <v>15479</v>
      </c>
    </row>
    <row r="16753" spans="1:1" x14ac:dyDescent="0.25">
      <c r="A16753" t="s">
        <v>15480</v>
      </c>
    </row>
    <row r="16754" spans="1:1" x14ac:dyDescent="0.25">
      <c r="A16754" t="s">
        <v>15481</v>
      </c>
    </row>
    <row r="16755" spans="1:1" x14ac:dyDescent="0.25">
      <c r="A16755" t="s">
        <v>15482</v>
      </c>
    </row>
    <row r="16756" spans="1:1" x14ac:dyDescent="0.25">
      <c r="A16756" t="s">
        <v>15483</v>
      </c>
    </row>
    <row r="16757" spans="1:1" x14ac:dyDescent="0.25">
      <c r="A16757" t="s">
        <v>15484</v>
      </c>
    </row>
    <row r="16758" spans="1:1" x14ac:dyDescent="0.25">
      <c r="A16758" t="s">
        <v>15485</v>
      </c>
    </row>
    <row r="16759" spans="1:1" x14ac:dyDescent="0.25">
      <c r="A16759" t="s">
        <v>15486</v>
      </c>
    </row>
    <row r="16760" spans="1:1" x14ac:dyDescent="0.25">
      <c r="A16760" t="s">
        <v>15487</v>
      </c>
    </row>
    <row r="16761" spans="1:1" x14ac:dyDescent="0.25">
      <c r="A16761" t="s">
        <v>15488</v>
      </c>
    </row>
    <row r="16762" spans="1:1" x14ac:dyDescent="0.25">
      <c r="A16762" t="s">
        <v>15489</v>
      </c>
    </row>
    <row r="16763" spans="1:1" x14ac:dyDescent="0.25">
      <c r="A16763" t="s">
        <v>15490</v>
      </c>
    </row>
    <row r="16764" spans="1:1" x14ac:dyDescent="0.25">
      <c r="A16764" t="s">
        <v>15491</v>
      </c>
    </row>
    <row r="16765" spans="1:1" x14ac:dyDescent="0.25">
      <c r="A16765" t="s">
        <v>15492</v>
      </c>
    </row>
    <row r="16766" spans="1:1" x14ac:dyDescent="0.25">
      <c r="A16766" t="s">
        <v>15493</v>
      </c>
    </row>
    <row r="16767" spans="1:1" x14ac:dyDescent="0.25">
      <c r="A16767" t="s">
        <v>15494</v>
      </c>
    </row>
    <row r="16768" spans="1:1" x14ac:dyDescent="0.25">
      <c r="A16768" t="s">
        <v>15495</v>
      </c>
    </row>
    <row r="16769" spans="1:1" x14ac:dyDescent="0.25">
      <c r="A16769" t="s">
        <v>15496</v>
      </c>
    </row>
    <row r="16770" spans="1:1" x14ac:dyDescent="0.25">
      <c r="A16770" t="s">
        <v>15497</v>
      </c>
    </row>
    <row r="16771" spans="1:1" x14ac:dyDescent="0.25">
      <c r="A16771" t="s">
        <v>15498</v>
      </c>
    </row>
    <row r="16772" spans="1:1" x14ac:dyDescent="0.25">
      <c r="A16772" t="s">
        <v>15499</v>
      </c>
    </row>
    <row r="16773" spans="1:1" x14ac:dyDescent="0.25">
      <c r="A16773" t="s">
        <v>15500</v>
      </c>
    </row>
    <row r="16774" spans="1:1" x14ac:dyDescent="0.25">
      <c r="A16774" t="s">
        <v>15501</v>
      </c>
    </row>
    <row r="16775" spans="1:1" x14ac:dyDescent="0.25">
      <c r="A16775" t="s">
        <v>15502</v>
      </c>
    </row>
    <row r="16776" spans="1:1" x14ac:dyDescent="0.25">
      <c r="A16776" t="s">
        <v>15503</v>
      </c>
    </row>
    <row r="16777" spans="1:1" x14ac:dyDescent="0.25">
      <c r="A16777" t="s">
        <v>15504</v>
      </c>
    </row>
    <row r="16779" spans="1:1" x14ac:dyDescent="0.25">
      <c r="A16779" t="s">
        <v>15505</v>
      </c>
    </row>
    <row r="16780" spans="1:1" x14ac:dyDescent="0.25">
      <c r="A16780" t="s">
        <v>15506</v>
      </c>
    </row>
    <row r="16781" spans="1:1" x14ac:dyDescent="0.25">
      <c r="A16781" t="s">
        <v>15507</v>
      </c>
    </row>
    <row r="16782" spans="1:1" x14ac:dyDescent="0.25">
      <c r="A16782" t="s">
        <v>15508</v>
      </c>
    </row>
    <row r="16783" spans="1:1" x14ac:dyDescent="0.25">
      <c r="A16783" t="s">
        <v>15509</v>
      </c>
    </row>
    <row r="16784" spans="1:1" x14ac:dyDescent="0.25">
      <c r="A16784" t="s">
        <v>15510</v>
      </c>
    </row>
    <row r="16785" spans="1:1" x14ac:dyDescent="0.25">
      <c r="A16785" t="s">
        <v>15511</v>
      </c>
    </row>
    <row r="16786" spans="1:1" x14ac:dyDescent="0.25">
      <c r="A16786" t="s">
        <v>15512</v>
      </c>
    </row>
    <row r="16787" spans="1:1" x14ac:dyDescent="0.25">
      <c r="A16787" t="s">
        <v>15513</v>
      </c>
    </row>
    <row r="16788" spans="1:1" x14ac:dyDescent="0.25">
      <c r="A16788" t="s">
        <v>15514</v>
      </c>
    </row>
    <row r="16789" spans="1:1" x14ac:dyDescent="0.25">
      <c r="A16789" t="s">
        <v>15515</v>
      </c>
    </row>
    <row r="16790" spans="1:1" x14ac:dyDescent="0.25">
      <c r="A16790" t="s">
        <v>15516</v>
      </c>
    </row>
    <row r="16791" spans="1:1" x14ac:dyDescent="0.25">
      <c r="A16791" t="s">
        <v>15517</v>
      </c>
    </row>
    <row r="16792" spans="1:1" x14ac:dyDescent="0.25">
      <c r="A16792" t="s">
        <v>15518</v>
      </c>
    </row>
    <row r="16793" spans="1:1" x14ac:dyDescent="0.25">
      <c r="A16793" t="s">
        <v>15519</v>
      </c>
    </row>
    <row r="16794" spans="1:1" x14ac:dyDescent="0.25">
      <c r="A16794" t="s">
        <v>15520</v>
      </c>
    </row>
    <row r="16795" spans="1:1" x14ac:dyDescent="0.25">
      <c r="A16795" t="s">
        <v>15521</v>
      </c>
    </row>
    <row r="16796" spans="1:1" x14ac:dyDescent="0.25">
      <c r="A16796" t="s">
        <v>15522</v>
      </c>
    </row>
    <row r="16797" spans="1:1" x14ac:dyDescent="0.25">
      <c r="A16797" t="s">
        <v>15523</v>
      </c>
    </row>
    <row r="16798" spans="1:1" x14ac:dyDescent="0.25">
      <c r="A16798" t="s">
        <v>15524</v>
      </c>
    </row>
    <row r="16799" spans="1:1" x14ac:dyDescent="0.25">
      <c r="A16799" t="s">
        <v>15525</v>
      </c>
    </row>
    <row r="16800" spans="1:1" x14ac:dyDescent="0.25">
      <c r="A16800" t="s">
        <v>15526</v>
      </c>
    </row>
    <row r="16801" spans="1:1" x14ac:dyDescent="0.25">
      <c r="A16801" t="s">
        <v>15527</v>
      </c>
    </row>
    <row r="16802" spans="1:1" x14ac:dyDescent="0.25">
      <c r="A16802" t="s">
        <v>15528</v>
      </c>
    </row>
    <row r="16803" spans="1:1" x14ac:dyDescent="0.25">
      <c r="A16803" t="s">
        <v>15529</v>
      </c>
    </row>
    <row r="16804" spans="1:1" x14ac:dyDescent="0.25">
      <c r="A16804" t="s">
        <v>15530</v>
      </c>
    </row>
    <row r="16805" spans="1:1" x14ac:dyDescent="0.25">
      <c r="A16805" t="s">
        <v>15531</v>
      </c>
    </row>
    <row r="16806" spans="1:1" x14ac:dyDescent="0.25">
      <c r="A16806" t="s">
        <v>15532</v>
      </c>
    </row>
    <row r="16807" spans="1:1" x14ac:dyDescent="0.25">
      <c r="A16807" t="s">
        <v>15533</v>
      </c>
    </row>
    <row r="16808" spans="1:1" x14ac:dyDescent="0.25">
      <c r="A16808" t="s">
        <v>15534</v>
      </c>
    </row>
    <row r="16809" spans="1:1" x14ac:dyDescent="0.25">
      <c r="A16809" t="s">
        <v>15535</v>
      </c>
    </row>
    <row r="16810" spans="1:1" x14ac:dyDescent="0.25">
      <c r="A16810" t="s">
        <v>15536</v>
      </c>
    </row>
    <row r="16811" spans="1:1" x14ac:dyDescent="0.25">
      <c r="A16811" t="s">
        <v>15537</v>
      </c>
    </row>
    <row r="16812" spans="1:1" x14ac:dyDescent="0.25">
      <c r="A16812" t="s">
        <v>15538</v>
      </c>
    </row>
    <row r="16813" spans="1:1" x14ac:dyDescent="0.25">
      <c r="A16813" t="s">
        <v>15539</v>
      </c>
    </row>
    <row r="16814" spans="1:1" x14ac:dyDescent="0.25">
      <c r="A16814" t="s">
        <v>15540</v>
      </c>
    </row>
    <row r="16815" spans="1:1" x14ac:dyDescent="0.25">
      <c r="A16815" t="s">
        <v>15541</v>
      </c>
    </row>
    <row r="16816" spans="1:1" x14ac:dyDescent="0.25">
      <c r="A16816" t="s">
        <v>15542</v>
      </c>
    </row>
    <row r="16817" spans="1:1" x14ac:dyDescent="0.25">
      <c r="A16817" t="s">
        <v>15543</v>
      </c>
    </row>
    <row r="16818" spans="1:1" x14ac:dyDescent="0.25">
      <c r="A16818" t="s">
        <v>15544</v>
      </c>
    </row>
    <row r="16819" spans="1:1" x14ac:dyDescent="0.25">
      <c r="A16819" t="s">
        <v>15545</v>
      </c>
    </row>
    <row r="16820" spans="1:1" x14ac:dyDescent="0.25">
      <c r="A16820" t="s">
        <v>15546</v>
      </c>
    </row>
    <row r="16821" spans="1:1" x14ac:dyDescent="0.25">
      <c r="A16821" t="s">
        <v>15547</v>
      </c>
    </row>
    <row r="16822" spans="1:1" x14ac:dyDescent="0.25">
      <c r="A16822" t="s">
        <v>15548</v>
      </c>
    </row>
    <row r="16823" spans="1:1" x14ac:dyDescent="0.25">
      <c r="A16823" t="s">
        <v>15549</v>
      </c>
    </row>
    <row r="16824" spans="1:1" x14ac:dyDescent="0.25">
      <c r="A16824" t="s">
        <v>15550</v>
      </c>
    </row>
    <row r="16825" spans="1:1" x14ac:dyDescent="0.25">
      <c r="A16825" t="s">
        <v>15551</v>
      </c>
    </row>
    <row r="16826" spans="1:1" x14ac:dyDescent="0.25">
      <c r="A16826" t="s">
        <v>15552</v>
      </c>
    </row>
    <row r="16827" spans="1:1" x14ac:dyDescent="0.25">
      <c r="A16827" t="s">
        <v>15553</v>
      </c>
    </row>
    <row r="16828" spans="1:1" x14ac:dyDescent="0.25">
      <c r="A16828" t="s">
        <v>15554</v>
      </c>
    </row>
    <row r="16829" spans="1:1" x14ac:dyDescent="0.25">
      <c r="A16829" t="s">
        <v>15555</v>
      </c>
    </row>
    <row r="16830" spans="1:1" x14ac:dyDescent="0.25">
      <c r="A16830" t="s">
        <v>15556</v>
      </c>
    </row>
    <row r="16831" spans="1:1" x14ac:dyDescent="0.25">
      <c r="A16831" t="s">
        <v>15557</v>
      </c>
    </row>
    <row r="16832" spans="1:1" x14ac:dyDescent="0.25">
      <c r="A16832" t="s">
        <v>15558</v>
      </c>
    </row>
    <row r="16833" spans="1:1" x14ac:dyDescent="0.25">
      <c r="A16833" t="s">
        <v>15559</v>
      </c>
    </row>
    <row r="16834" spans="1:1" x14ac:dyDescent="0.25">
      <c r="A16834" t="s">
        <v>15560</v>
      </c>
    </row>
    <row r="16835" spans="1:1" x14ac:dyDescent="0.25">
      <c r="A16835" t="s">
        <v>15561</v>
      </c>
    </row>
    <row r="16836" spans="1:1" x14ac:dyDescent="0.25">
      <c r="A16836" t="s">
        <v>15562</v>
      </c>
    </row>
    <row r="16837" spans="1:1" x14ac:dyDescent="0.25">
      <c r="A16837" t="s">
        <v>15563</v>
      </c>
    </row>
    <row r="16838" spans="1:1" x14ac:dyDescent="0.25">
      <c r="A16838" t="s">
        <v>15564</v>
      </c>
    </row>
    <row r="16839" spans="1:1" x14ac:dyDescent="0.25">
      <c r="A16839" t="s">
        <v>15565</v>
      </c>
    </row>
    <row r="16840" spans="1:1" x14ac:dyDescent="0.25">
      <c r="A16840" t="s">
        <v>15566</v>
      </c>
    </row>
    <row r="16841" spans="1:1" x14ac:dyDescent="0.25">
      <c r="A16841" t="s">
        <v>15567</v>
      </c>
    </row>
    <row r="16842" spans="1:1" x14ac:dyDescent="0.25">
      <c r="A16842" t="s">
        <v>15568</v>
      </c>
    </row>
    <row r="16843" spans="1:1" x14ac:dyDescent="0.25">
      <c r="A16843" t="s">
        <v>15569</v>
      </c>
    </row>
    <row r="16844" spans="1:1" x14ac:dyDescent="0.25">
      <c r="A16844" t="s">
        <v>15570</v>
      </c>
    </row>
    <row r="16845" spans="1:1" x14ac:dyDescent="0.25">
      <c r="A16845" t="s">
        <v>15571</v>
      </c>
    </row>
    <row r="16846" spans="1:1" x14ac:dyDescent="0.25">
      <c r="A16846" t="s">
        <v>15572</v>
      </c>
    </row>
    <row r="16847" spans="1:1" x14ac:dyDescent="0.25">
      <c r="A16847" t="s">
        <v>15573</v>
      </c>
    </row>
    <row r="16848" spans="1:1" x14ac:dyDescent="0.25">
      <c r="A16848" t="s">
        <v>15574</v>
      </c>
    </row>
    <row r="16849" spans="1:1" x14ac:dyDescent="0.25">
      <c r="A16849" t="s">
        <v>15575</v>
      </c>
    </row>
    <row r="16850" spans="1:1" x14ac:dyDescent="0.25">
      <c r="A16850" t="s">
        <v>15576</v>
      </c>
    </row>
    <row r="16851" spans="1:1" x14ac:dyDescent="0.25">
      <c r="A16851" t="s">
        <v>15577</v>
      </c>
    </row>
    <row r="16852" spans="1:1" x14ac:dyDescent="0.25">
      <c r="A16852" t="s">
        <v>15578</v>
      </c>
    </row>
    <row r="16853" spans="1:1" x14ac:dyDescent="0.25">
      <c r="A16853" t="s">
        <v>15579</v>
      </c>
    </row>
    <row r="16854" spans="1:1" x14ac:dyDescent="0.25">
      <c r="A16854" t="s">
        <v>15580</v>
      </c>
    </row>
    <row r="16855" spans="1:1" x14ac:dyDescent="0.25">
      <c r="A16855" t="s">
        <v>15581</v>
      </c>
    </row>
    <row r="16856" spans="1:1" x14ac:dyDescent="0.25">
      <c r="A16856" t="s">
        <v>15582</v>
      </c>
    </row>
    <row r="16857" spans="1:1" x14ac:dyDescent="0.25">
      <c r="A16857" t="s">
        <v>15583</v>
      </c>
    </row>
    <row r="16858" spans="1:1" x14ac:dyDescent="0.25">
      <c r="A16858" t="s">
        <v>15584</v>
      </c>
    </row>
    <row r="16859" spans="1:1" x14ac:dyDescent="0.25">
      <c r="A16859" t="s">
        <v>15585</v>
      </c>
    </row>
    <row r="16860" spans="1:1" x14ac:dyDescent="0.25">
      <c r="A16860" t="s">
        <v>15586</v>
      </c>
    </row>
    <row r="16861" spans="1:1" x14ac:dyDescent="0.25">
      <c r="A16861" t="s">
        <v>15587</v>
      </c>
    </row>
    <row r="16862" spans="1:1" x14ac:dyDescent="0.25">
      <c r="A16862" t="s">
        <v>15588</v>
      </c>
    </row>
    <row r="16863" spans="1:1" x14ac:dyDescent="0.25">
      <c r="A16863" t="s">
        <v>15589</v>
      </c>
    </row>
    <row r="16864" spans="1:1" x14ac:dyDescent="0.25">
      <c r="A16864" t="s">
        <v>15590</v>
      </c>
    </row>
    <row r="16865" spans="1:1" x14ac:dyDescent="0.25">
      <c r="A16865" t="s">
        <v>15591</v>
      </c>
    </row>
    <row r="16866" spans="1:1" x14ac:dyDescent="0.25">
      <c r="A16866" t="s">
        <v>15592</v>
      </c>
    </row>
    <row r="16867" spans="1:1" x14ac:dyDescent="0.25">
      <c r="A16867" t="s">
        <v>15593</v>
      </c>
    </row>
    <row r="16868" spans="1:1" x14ac:dyDescent="0.25">
      <c r="A16868" t="s">
        <v>15594</v>
      </c>
    </row>
    <row r="16869" spans="1:1" x14ac:dyDescent="0.25">
      <c r="A16869" t="s">
        <v>15595</v>
      </c>
    </row>
    <row r="16870" spans="1:1" x14ac:dyDescent="0.25">
      <c r="A16870" t="s">
        <v>15596</v>
      </c>
    </row>
    <row r="16871" spans="1:1" x14ac:dyDescent="0.25">
      <c r="A16871" t="s">
        <v>15597</v>
      </c>
    </row>
    <row r="16872" spans="1:1" x14ac:dyDescent="0.25">
      <c r="A16872" t="s">
        <v>15598</v>
      </c>
    </row>
    <row r="16873" spans="1:1" x14ac:dyDescent="0.25">
      <c r="A16873" t="s">
        <v>15599</v>
      </c>
    </row>
    <row r="16874" spans="1:1" x14ac:dyDescent="0.25">
      <c r="A16874" t="s">
        <v>15600</v>
      </c>
    </row>
    <row r="16875" spans="1:1" x14ac:dyDescent="0.25">
      <c r="A16875" t="s">
        <v>15601</v>
      </c>
    </row>
    <row r="16876" spans="1:1" x14ac:dyDescent="0.25">
      <c r="A16876" t="s">
        <v>15602</v>
      </c>
    </row>
    <row r="16877" spans="1:1" x14ac:dyDescent="0.25">
      <c r="A16877" t="s">
        <v>15603</v>
      </c>
    </row>
    <row r="16878" spans="1:1" x14ac:dyDescent="0.25">
      <c r="A16878" t="s">
        <v>15604</v>
      </c>
    </row>
    <row r="16879" spans="1:1" x14ac:dyDescent="0.25">
      <c r="A16879" t="s">
        <v>15605</v>
      </c>
    </row>
    <row r="16880" spans="1:1" x14ac:dyDescent="0.25">
      <c r="A16880" t="s">
        <v>15606</v>
      </c>
    </row>
    <row r="16881" spans="1:1" x14ac:dyDescent="0.25">
      <c r="A16881" t="s">
        <v>15607</v>
      </c>
    </row>
    <row r="16882" spans="1:1" x14ac:dyDescent="0.25">
      <c r="A16882" t="s">
        <v>15608</v>
      </c>
    </row>
    <row r="16883" spans="1:1" x14ac:dyDescent="0.25">
      <c r="A16883" t="s">
        <v>15609</v>
      </c>
    </row>
    <row r="16884" spans="1:1" x14ac:dyDescent="0.25">
      <c r="A16884" t="s">
        <v>15610</v>
      </c>
    </row>
    <row r="16885" spans="1:1" x14ac:dyDescent="0.25">
      <c r="A16885" t="s">
        <v>15611</v>
      </c>
    </row>
    <row r="16886" spans="1:1" x14ac:dyDescent="0.25">
      <c r="A16886" t="s">
        <v>15612</v>
      </c>
    </row>
    <row r="16887" spans="1:1" x14ac:dyDescent="0.25">
      <c r="A16887" t="s">
        <v>15613</v>
      </c>
    </row>
    <row r="16888" spans="1:1" x14ac:dyDescent="0.25">
      <c r="A16888" t="s">
        <v>15614</v>
      </c>
    </row>
    <row r="16889" spans="1:1" x14ac:dyDescent="0.25">
      <c r="A16889" t="s">
        <v>15615</v>
      </c>
    </row>
    <row r="16890" spans="1:1" x14ac:dyDescent="0.25">
      <c r="A16890" t="s">
        <v>15616</v>
      </c>
    </row>
    <row r="16891" spans="1:1" x14ac:dyDescent="0.25">
      <c r="A16891" t="s">
        <v>15617</v>
      </c>
    </row>
    <row r="16892" spans="1:1" x14ac:dyDescent="0.25">
      <c r="A16892" t="s">
        <v>15618</v>
      </c>
    </row>
    <row r="16893" spans="1:1" x14ac:dyDescent="0.25">
      <c r="A16893" t="s">
        <v>15619</v>
      </c>
    </row>
    <row r="16894" spans="1:1" x14ac:dyDescent="0.25">
      <c r="A16894" t="s">
        <v>15620</v>
      </c>
    </row>
    <row r="16895" spans="1:1" x14ac:dyDescent="0.25">
      <c r="A16895" t="s">
        <v>15621</v>
      </c>
    </row>
    <row r="16896" spans="1:1" x14ac:dyDescent="0.25">
      <c r="A16896" t="s">
        <v>15622</v>
      </c>
    </row>
    <row r="16897" spans="1:1" x14ac:dyDescent="0.25">
      <c r="A16897" t="s">
        <v>15623</v>
      </c>
    </row>
    <row r="16898" spans="1:1" x14ac:dyDescent="0.25">
      <c r="A16898" t="s">
        <v>15624</v>
      </c>
    </row>
    <row r="16899" spans="1:1" x14ac:dyDescent="0.25">
      <c r="A16899" t="s">
        <v>15625</v>
      </c>
    </row>
    <row r="16900" spans="1:1" x14ac:dyDescent="0.25">
      <c r="A16900" t="s">
        <v>15626</v>
      </c>
    </row>
    <row r="16901" spans="1:1" x14ac:dyDescent="0.25">
      <c r="A16901" t="s">
        <v>15627</v>
      </c>
    </row>
    <row r="16902" spans="1:1" x14ac:dyDescent="0.25">
      <c r="A16902" t="s">
        <v>15628</v>
      </c>
    </row>
    <row r="16903" spans="1:1" x14ac:dyDescent="0.25">
      <c r="A16903" t="s">
        <v>15629</v>
      </c>
    </row>
    <row r="16904" spans="1:1" x14ac:dyDescent="0.25">
      <c r="A16904" t="s">
        <v>15630</v>
      </c>
    </row>
    <row r="16905" spans="1:1" x14ac:dyDescent="0.25">
      <c r="A16905" t="s">
        <v>15631</v>
      </c>
    </row>
    <row r="16906" spans="1:1" x14ac:dyDescent="0.25">
      <c r="A16906" t="s">
        <v>15632</v>
      </c>
    </row>
    <row r="16907" spans="1:1" x14ac:dyDescent="0.25">
      <c r="A16907" t="s">
        <v>15633</v>
      </c>
    </row>
    <row r="16908" spans="1:1" x14ac:dyDescent="0.25">
      <c r="A16908" t="s">
        <v>15634</v>
      </c>
    </row>
    <row r="16909" spans="1:1" x14ac:dyDescent="0.25">
      <c r="A16909" t="s">
        <v>15635</v>
      </c>
    </row>
    <row r="16910" spans="1:1" x14ac:dyDescent="0.25">
      <c r="A16910" t="s">
        <v>15636</v>
      </c>
    </row>
    <row r="16911" spans="1:1" x14ac:dyDescent="0.25">
      <c r="A16911" t="s">
        <v>15637</v>
      </c>
    </row>
    <row r="16912" spans="1:1" x14ac:dyDescent="0.25">
      <c r="A16912" t="s">
        <v>15638</v>
      </c>
    </row>
    <row r="16913" spans="1:1" x14ac:dyDescent="0.25">
      <c r="A16913" t="s">
        <v>15639</v>
      </c>
    </row>
    <row r="16914" spans="1:1" x14ac:dyDescent="0.25">
      <c r="A16914" t="s">
        <v>15640</v>
      </c>
    </row>
    <row r="16915" spans="1:1" x14ac:dyDescent="0.25">
      <c r="A16915" t="s">
        <v>15641</v>
      </c>
    </row>
    <row r="16916" spans="1:1" x14ac:dyDescent="0.25">
      <c r="A16916" t="s">
        <v>15642</v>
      </c>
    </row>
    <row r="16917" spans="1:1" x14ac:dyDescent="0.25">
      <c r="A16917" t="s">
        <v>15643</v>
      </c>
    </row>
    <row r="16918" spans="1:1" x14ac:dyDescent="0.25">
      <c r="A16918" t="s">
        <v>15644</v>
      </c>
    </row>
    <row r="16919" spans="1:1" x14ac:dyDescent="0.25">
      <c r="A16919" t="s">
        <v>15645</v>
      </c>
    </row>
    <row r="16920" spans="1:1" x14ac:dyDescent="0.25">
      <c r="A16920" t="s">
        <v>15646</v>
      </c>
    </row>
    <row r="16921" spans="1:1" x14ac:dyDescent="0.25">
      <c r="A16921" t="s">
        <v>15647</v>
      </c>
    </row>
    <row r="16922" spans="1:1" x14ac:dyDescent="0.25">
      <c r="A16922" t="s">
        <v>15648</v>
      </c>
    </row>
    <row r="16923" spans="1:1" x14ac:dyDescent="0.25">
      <c r="A16923" t="s">
        <v>15649</v>
      </c>
    </row>
    <row r="16924" spans="1:1" x14ac:dyDescent="0.25">
      <c r="A16924" t="s">
        <v>15650</v>
      </c>
    </row>
    <row r="16926" spans="1:1" x14ac:dyDescent="0.25">
      <c r="A16926" t="s">
        <v>15651</v>
      </c>
    </row>
    <row r="16927" spans="1:1" x14ac:dyDescent="0.25">
      <c r="A16927" t="s">
        <v>15652</v>
      </c>
    </row>
    <row r="16928" spans="1:1" x14ac:dyDescent="0.25">
      <c r="A16928" t="s">
        <v>15653</v>
      </c>
    </row>
    <row r="16929" spans="1:1" x14ac:dyDescent="0.25">
      <c r="A16929" t="s">
        <v>15654</v>
      </c>
    </row>
    <row r="16930" spans="1:1" x14ac:dyDescent="0.25">
      <c r="A16930" t="s">
        <v>15655</v>
      </c>
    </row>
    <row r="16931" spans="1:1" x14ac:dyDescent="0.25">
      <c r="A16931" t="s">
        <v>15656</v>
      </c>
    </row>
    <row r="16932" spans="1:1" x14ac:dyDescent="0.25">
      <c r="A16932" t="s">
        <v>15657</v>
      </c>
    </row>
    <row r="16933" spans="1:1" x14ac:dyDescent="0.25">
      <c r="A16933" t="s">
        <v>15658</v>
      </c>
    </row>
    <row r="16934" spans="1:1" x14ac:dyDescent="0.25">
      <c r="A16934" t="s">
        <v>15659</v>
      </c>
    </row>
    <row r="16935" spans="1:1" x14ac:dyDescent="0.25">
      <c r="A16935" t="s">
        <v>15660</v>
      </c>
    </row>
    <row r="16936" spans="1:1" x14ac:dyDescent="0.25">
      <c r="A16936" t="s">
        <v>15661</v>
      </c>
    </row>
    <row r="16937" spans="1:1" x14ac:dyDescent="0.25">
      <c r="A16937" t="s">
        <v>15662</v>
      </c>
    </row>
    <row r="16938" spans="1:1" x14ac:dyDescent="0.25">
      <c r="A16938" t="s">
        <v>15663</v>
      </c>
    </row>
    <row r="16939" spans="1:1" x14ac:dyDescent="0.25">
      <c r="A16939" t="s">
        <v>15664</v>
      </c>
    </row>
    <row r="16940" spans="1:1" x14ac:dyDescent="0.25">
      <c r="A16940" t="s">
        <v>15665</v>
      </c>
    </row>
    <row r="16941" spans="1:1" x14ac:dyDescent="0.25">
      <c r="A16941" t="s">
        <v>15666</v>
      </c>
    </row>
    <row r="16942" spans="1:1" x14ac:dyDescent="0.25">
      <c r="A16942" t="s">
        <v>15667</v>
      </c>
    </row>
    <row r="16943" spans="1:1" x14ac:dyDescent="0.25">
      <c r="A16943" t="s">
        <v>15668</v>
      </c>
    </row>
    <row r="16944" spans="1:1" x14ac:dyDescent="0.25">
      <c r="A16944" t="s">
        <v>15669</v>
      </c>
    </row>
    <row r="16945" spans="1:1" x14ac:dyDescent="0.25">
      <c r="A16945" t="s">
        <v>15670</v>
      </c>
    </row>
    <row r="16946" spans="1:1" x14ac:dyDescent="0.25">
      <c r="A16946" t="s">
        <v>15671</v>
      </c>
    </row>
    <row r="16947" spans="1:1" x14ac:dyDescent="0.25">
      <c r="A16947" t="s">
        <v>15672</v>
      </c>
    </row>
    <row r="16948" spans="1:1" x14ac:dyDescent="0.25">
      <c r="A16948" t="s">
        <v>15673</v>
      </c>
    </row>
    <row r="16949" spans="1:1" x14ac:dyDescent="0.25">
      <c r="A16949" t="s">
        <v>15674</v>
      </c>
    </row>
    <row r="16950" spans="1:1" x14ac:dyDescent="0.25">
      <c r="A16950" t="s">
        <v>15675</v>
      </c>
    </row>
    <row r="16951" spans="1:1" x14ac:dyDescent="0.25">
      <c r="A16951" t="s">
        <v>15676</v>
      </c>
    </row>
    <row r="16952" spans="1:1" x14ac:dyDescent="0.25">
      <c r="A16952" t="s">
        <v>15677</v>
      </c>
    </row>
    <row r="16953" spans="1:1" x14ac:dyDescent="0.25">
      <c r="A16953" t="s">
        <v>15678</v>
      </c>
    </row>
    <row r="16954" spans="1:1" x14ac:dyDescent="0.25">
      <c r="A16954" t="s">
        <v>15679</v>
      </c>
    </row>
    <row r="16955" spans="1:1" x14ac:dyDescent="0.25">
      <c r="A16955" t="s">
        <v>15680</v>
      </c>
    </row>
    <row r="16956" spans="1:1" x14ac:dyDescent="0.25">
      <c r="A16956" t="s">
        <v>15681</v>
      </c>
    </row>
    <row r="16957" spans="1:1" x14ac:dyDescent="0.25">
      <c r="A16957" t="s">
        <v>15682</v>
      </c>
    </row>
    <row r="16958" spans="1:1" x14ac:dyDescent="0.25">
      <c r="A16958" t="s">
        <v>15683</v>
      </c>
    </row>
    <row r="16959" spans="1:1" x14ac:dyDescent="0.25">
      <c r="A16959" t="s">
        <v>15684</v>
      </c>
    </row>
    <row r="16960" spans="1:1" x14ac:dyDescent="0.25">
      <c r="A16960" t="s">
        <v>15685</v>
      </c>
    </row>
    <row r="16961" spans="1:1" x14ac:dyDescent="0.25">
      <c r="A16961" t="s">
        <v>15686</v>
      </c>
    </row>
    <row r="16962" spans="1:1" x14ac:dyDescent="0.25">
      <c r="A16962" t="s">
        <v>15687</v>
      </c>
    </row>
    <row r="16963" spans="1:1" x14ac:dyDescent="0.25">
      <c r="A16963" t="s">
        <v>15688</v>
      </c>
    </row>
    <row r="16964" spans="1:1" x14ac:dyDescent="0.25">
      <c r="A16964" t="s">
        <v>15689</v>
      </c>
    </row>
    <row r="16965" spans="1:1" x14ac:dyDescent="0.25">
      <c r="A16965" t="s">
        <v>15690</v>
      </c>
    </row>
    <row r="16966" spans="1:1" x14ac:dyDescent="0.25">
      <c r="A16966" t="s">
        <v>15691</v>
      </c>
    </row>
    <row r="16967" spans="1:1" x14ac:dyDescent="0.25">
      <c r="A16967" t="s">
        <v>15692</v>
      </c>
    </row>
    <row r="16968" spans="1:1" x14ac:dyDescent="0.25">
      <c r="A16968" t="s">
        <v>15693</v>
      </c>
    </row>
    <row r="16969" spans="1:1" x14ac:dyDescent="0.25">
      <c r="A16969" t="s">
        <v>15694</v>
      </c>
    </row>
    <row r="16970" spans="1:1" x14ac:dyDescent="0.25">
      <c r="A16970" t="s">
        <v>15695</v>
      </c>
    </row>
    <row r="16971" spans="1:1" x14ac:dyDescent="0.25">
      <c r="A16971" t="s">
        <v>15696</v>
      </c>
    </row>
    <row r="16972" spans="1:1" x14ac:dyDescent="0.25">
      <c r="A16972" t="s">
        <v>15697</v>
      </c>
    </row>
    <row r="16973" spans="1:1" x14ac:dyDescent="0.25">
      <c r="A16973" t="s">
        <v>15698</v>
      </c>
    </row>
    <row r="16974" spans="1:1" x14ac:dyDescent="0.25">
      <c r="A16974" t="s">
        <v>15699</v>
      </c>
    </row>
    <row r="16975" spans="1:1" x14ac:dyDescent="0.25">
      <c r="A16975" t="s">
        <v>15700</v>
      </c>
    </row>
    <row r="16976" spans="1:1" x14ac:dyDescent="0.25">
      <c r="A16976" t="s">
        <v>15701</v>
      </c>
    </row>
    <row r="16977" spans="1:1" x14ac:dyDescent="0.25">
      <c r="A16977" t="s">
        <v>15702</v>
      </c>
    </row>
    <row r="16978" spans="1:1" x14ac:dyDescent="0.25">
      <c r="A16978" t="s">
        <v>15703</v>
      </c>
    </row>
    <row r="16979" spans="1:1" x14ac:dyDescent="0.25">
      <c r="A16979" t="s">
        <v>15704</v>
      </c>
    </row>
    <row r="16980" spans="1:1" x14ac:dyDescent="0.25">
      <c r="A16980" t="s">
        <v>15705</v>
      </c>
    </row>
    <row r="16981" spans="1:1" x14ac:dyDescent="0.25">
      <c r="A16981" t="s">
        <v>15706</v>
      </c>
    </row>
    <row r="16982" spans="1:1" x14ac:dyDescent="0.25">
      <c r="A16982" t="s">
        <v>15707</v>
      </c>
    </row>
    <row r="16983" spans="1:1" x14ac:dyDescent="0.25">
      <c r="A16983" t="s">
        <v>15708</v>
      </c>
    </row>
    <row r="16984" spans="1:1" x14ac:dyDescent="0.25">
      <c r="A16984" t="s">
        <v>15709</v>
      </c>
    </row>
    <row r="16985" spans="1:1" x14ac:dyDescent="0.25">
      <c r="A16985" t="s">
        <v>15710</v>
      </c>
    </row>
    <row r="16986" spans="1:1" x14ac:dyDescent="0.25">
      <c r="A16986" t="s">
        <v>15711</v>
      </c>
    </row>
    <row r="16987" spans="1:1" x14ac:dyDescent="0.25">
      <c r="A16987" t="s">
        <v>15712</v>
      </c>
    </row>
    <row r="16988" spans="1:1" x14ac:dyDescent="0.25">
      <c r="A16988" t="s">
        <v>15713</v>
      </c>
    </row>
    <row r="16989" spans="1:1" x14ac:dyDescent="0.25">
      <c r="A16989" t="s">
        <v>15714</v>
      </c>
    </row>
    <row r="16990" spans="1:1" x14ac:dyDescent="0.25">
      <c r="A16990" t="s">
        <v>15715</v>
      </c>
    </row>
    <row r="16991" spans="1:1" x14ac:dyDescent="0.25">
      <c r="A16991" t="s">
        <v>15716</v>
      </c>
    </row>
    <row r="16992" spans="1:1" x14ac:dyDescent="0.25">
      <c r="A16992" t="s">
        <v>15717</v>
      </c>
    </row>
    <row r="16993" spans="1:1" x14ac:dyDescent="0.25">
      <c r="A16993" t="s">
        <v>15718</v>
      </c>
    </row>
    <row r="16994" spans="1:1" x14ac:dyDescent="0.25">
      <c r="A16994" t="s">
        <v>15719</v>
      </c>
    </row>
    <row r="16995" spans="1:1" x14ac:dyDescent="0.25">
      <c r="A16995" t="s">
        <v>15720</v>
      </c>
    </row>
    <row r="16996" spans="1:1" x14ac:dyDescent="0.25">
      <c r="A16996" t="s">
        <v>15721</v>
      </c>
    </row>
    <row r="16997" spans="1:1" x14ac:dyDescent="0.25">
      <c r="A16997" t="s">
        <v>15722</v>
      </c>
    </row>
    <row r="16998" spans="1:1" x14ac:dyDescent="0.25">
      <c r="A16998" t="s">
        <v>15723</v>
      </c>
    </row>
    <row r="16999" spans="1:1" x14ac:dyDescent="0.25">
      <c r="A16999" t="s">
        <v>15724</v>
      </c>
    </row>
    <row r="17000" spans="1:1" x14ac:dyDescent="0.25">
      <c r="A17000" t="s">
        <v>15725</v>
      </c>
    </row>
    <row r="17001" spans="1:1" x14ac:dyDescent="0.25">
      <c r="A17001" t="s">
        <v>15726</v>
      </c>
    </row>
    <row r="17002" spans="1:1" x14ac:dyDescent="0.25">
      <c r="A17002" t="s">
        <v>15727</v>
      </c>
    </row>
    <row r="17003" spans="1:1" x14ac:dyDescent="0.25">
      <c r="A17003" t="s">
        <v>15728</v>
      </c>
    </row>
    <row r="17004" spans="1:1" x14ac:dyDescent="0.25">
      <c r="A17004" t="s">
        <v>15729</v>
      </c>
    </row>
    <row r="17005" spans="1:1" x14ac:dyDescent="0.25">
      <c r="A17005" t="s">
        <v>15730</v>
      </c>
    </row>
    <row r="17006" spans="1:1" x14ac:dyDescent="0.25">
      <c r="A17006" t="s">
        <v>15731</v>
      </c>
    </row>
    <row r="17007" spans="1:1" x14ac:dyDescent="0.25">
      <c r="A17007" t="s">
        <v>15732</v>
      </c>
    </row>
    <row r="17008" spans="1:1" x14ac:dyDescent="0.25">
      <c r="A17008" t="s">
        <v>15733</v>
      </c>
    </row>
    <row r="17009" spans="1:1" x14ac:dyDescent="0.25">
      <c r="A17009" t="s">
        <v>15734</v>
      </c>
    </row>
    <row r="17010" spans="1:1" x14ac:dyDescent="0.25">
      <c r="A17010" t="s">
        <v>15735</v>
      </c>
    </row>
    <row r="17011" spans="1:1" x14ac:dyDescent="0.25">
      <c r="A17011" t="s">
        <v>15736</v>
      </c>
    </row>
    <row r="17012" spans="1:1" x14ac:dyDescent="0.25">
      <c r="A17012" t="s">
        <v>15737</v>
      </c>
    </row>
    <row r="17013" spans="1:1" x14ac:dyDescent="0.25">
      <c r="A17013" t="s">
        <v>15738</v>
      </c>
    </row>
    <row r="17014" spans="1:1" x14ac:dyDescent="0.25">
      <c r="A17014" t="s">
        <v>15739</v>
      </c>
    </row>
    <row r="17015" spans="1:1" x14ac:dyDescent="0.25">
      <c r="A17015" t="s">
        <v>15740</v>
      </c>
    </row>
    <row r="17016" spans="1:1" x14ac:dyDescent="0.25">
      <c r="A17016" t="s">
        <v>15741</v>
      </c>
    </row>
    <row r="17017" spans="1:1" x14ac:dyDescent="0.25">
      <c r="A17017" t="s">
        <v>15742</v>
      </c>
    </row>
    <row r="17018" spans="1:1" x14ac:dyDescent="0.25">
      <c r="A17018" t="s">
        <v>15743</v>
      </c>
    </row>
    <row r="17019" spans="1:1" x14ac:dyDescent="0.25">
      <c r="A17019" t="s">
        <v>15744</v>
      </c>
    </row>
    <row r="17020" spans="1:1" x14ac:dyDescent="0.25">
      <c r="A17020" t="s">
        <v>15745</v>
      </c>
    </row>
    <row r="17021" spans="1:1" x14ac:dyDescent="0.25">
      <c r="A17021" t="s">
        <v>15746</v>
      </c>
    </row>
    <row r="17022" spans="1:1" x14ac:dyDescent="0.25">
      <c r="A17022" t="s">
        <v>15747</v>
      </c>
    </row>
    <row r="17023" spans="1:1" x14ac:dyDescent="0.25">
      <c r="A17023" t="s">
        <v>15748</v>
      </c>
    </row>
    <row r="17024" spans="1:1" x14ac:dyDescent="0.25">
      <c r="A17024" t="s">
        <v>15749</v>
      </c>
    </row>
    <row r="17025" spans="1:1" x14ac:dyDescent="0.25">
      <c r="A17025" t="s">
        <v>15750</v>
      </c>
    </row>
    <row r="17026" spans="1:1" x14ac:dyDescent="0.25">
      <c r="A17026" t="s">
        <v>15751</v>
      </c>
    </row>
    <row r="17027" spans="1:1" x14ac:dyDescent="0.25">
      <c r="A17027" t="s">
        <v>15752</v>
      </c>
    </row>
    <row r="17028" spans="1:1" x14ac:dyDescent="0.25">
      <c r="A17028" t="s">
        <v>15753</v>
      </c>
    </row>
    <row r="17029" spans="1:1" x14ac:dyDescent="0.25">
      <c r="A17029" t="s">
        <v>15754</v>
      </c>
    </row>
    <row r="17031" spans="1:1" x14ac:dyDescent="0.25">
      <c r="A17031" t="s">
        <v>15755</v>
      </c>
    </row>
    <row r="17032" spans="1:1" x14ac:dyDescent="0.25">
      <c r="A17032" t="s">
        <v>15756</v>
      </c>
    </row>
    <row r="17033" spans="1:1" x14ac:dyDescent="0.25">
      <c r="A17033" t="s">
        <v>15757</v>
      </c>
    </row>
    <row r="17034" spans="1:1" x14ac:dyDescent="0.25">
      <c r="A17034" t="s">
        <v>15758</v>
      </c>
    </row>
    <row r="17035" spans="1:1" x14ac:dyDescent="0.25">
      <c r="A17035" t="s">
        <v>15759</v>
      </c>
    </row>
    <row r="17036" spans="1:1" x14ac:dyDescent="0.25">
      <c r="A17036" t="s">
        <v>15760</v>
      </c>
    </row>
    <row r="17037" spans="1:1" x14ac:dyDescent="0.25">
      <c r="A17037" t="s">
        <v>15761</v>
      </c>
    </row>
    <row r="17038" spans="1:1" x14ac:dyDescent="0.25">
      <c r="A17038" t="s">
        <v>15762</v>
      </c>
    </row>
    <row r="17039" spans="1:1" x14ac:dyDescent="0.25">
      <c r="A17039" t="s">
        <v>15763</v>
      </c>
    </row>
    <row r="17040" spans="1:1" x14ac:dyDescent="0.25">
      <c r="A17040" t="s">
        <v>15764</v>
      </c>
    </row>
    <row r="17041" spans="1:1" x14ac:dyDescent="0.25">
      <c r="A17041" t="s">
        <v>15765</v>
      </c>
    </row>
    <row r="17042" spans="1:1" x14ac:dyDescent="0.25">
      <c r="A17042" t="s">
        <v>15766</v>
      </c>
    </row>
    <row r="17043" spans="1:1" x14ac:dyDescent="0.25">
      <c r="A17043" t="s">
        <v>15767</v>
      </c>
    </row>
    <row r="17044" spans="1:1" x14ac:dyDescent="0.25">
      <c r="A17044" t="s">
        <v>15768</v>
      </c>
    </row>
    <row r="17045" spans="1:1" x14ac:dyDescent="0.25">
      <c r="A17045" t="s">
        <v>15769</v>
      </c>
    </row>
    <row r="17046" spans="1:1" x14ac:dyDescent="0.25">
      <c r="A17046" t="s">
        <v>15770</v>
      </c>
    </row>
    <row r="17047" spans="1:1" x14ac:dyDescent="0.25">
      <c r="A17047" t="s">
        <v>15771</v>
      </c>
    </row>
    <row r="17048" spans="1:1" x14ac:dyDescent="0.25">
      <c r="A17048" t="s">
        <v>15772</v>
      </c>
    </row>
    <row r="17049" spans="1:1" x14ac:dyDescent="0.25">
      <c r="A17049" t="s">
        <v>15773</v>
      </c>
    </row>
    <row r="17050" spans="1:1" x14ac:dyDescent="0.25">
      <c r="A17050" t="s">
        <v>15774</v>
      </c>
    </row>
    <row r="17051" spans="1:1" x14ac:dyDescent="0.25">
      <c r="A17051" t="s">
        <v>15775</v>
      </c>
    </row>
    <row r="17052" spans="1:1" x14ac:dyDescent="0.25">
      <c r="A17052" t="s">
        <v>15776</v>
      </c>
    </row>
    <row r="17053" spans="1:1" x14ac:dyDescent="0.25">
      <c r="A17053" t="s">
        <v>15777</v>
      </c>
    </row>
    <row r="17055" spans="1:1" x14ac:dyDescent="0.25">
      <c r="A17055" t="s">
        <v>15778</v>
      </c>
    </row>
    <row r="17056" spans="1:1" x14ac:dyDescent="0.25">
      <c r="A17056" t="s">
        <v>15779</v>
      </c>
    </row>
    <row r="17057" spans="1:1" x14ac:dyDescent="0.25">
      <c r="A17057" t="s">
        <v>15780</v>
      </c>
    </row>
    <row r="17058" spans="1:1" x14ac:dyDescent="0.25">
      <c r="A17058" t="s">
        <v>15781</v>
      </c>
    </row>
    <row r="17059" spans="1:1" x14ac:dyDescent="0.25">
      <c r="A17059" t="s">
        <v>15782</v>
      </c>
    </row>
    <row r="17060" spans="1:1" x14ac:dyDescent="0.25">
      <c r="A17060" t="s">
        <v>15783</v>
      </c>
    </row>
    <row r="17061" spans="1:1" x14ac:dyDescent="0.25">
      <c r="A17061" t="s">
        <v>15784</v>
      </c>
    </row>
    <row r="17062" spans="1:1" x14ac:dyDescent="0.25">
      <c r="A17062" t="s">
        <v>15757</v>
      </c>
    </row>
    <row r="17063" spans="1:1" x14ac:dyDescent="0.25">
      <c r="A17063" t="s">
        <v>15785</v>
      </c>
    </row>
    <row r="17064" spans="1:1" x14ac:dyDescent="0.25">
      <c r="A17064" t="s">
        <v>15786</v>
      </c>
    </row>
    <row r="17065" spans="1:1" x14ac:dyDescent="0.25">
      <c r="A17065" t="s">
        <v>15787</v>
      </c>
    </row>
    <row r="17066" spans="1:1" x14ac:dyDescent="0.25">
      <c r="A17066" t="s">
        <v>15788</v>
      </c>
    </row>
    <row r="17067" spans="1:1" x14ac:dyDescent="0.25">
      <c r="A17067" t="s">
        <v>15789</v>
      </c>
    </row>
    <row r="17068" spans="1:1" x14ac:dyDescent="0.25">
      <c r="A17068" t="s">
        <v>15790</v>
      </c>
    </row>
    <row r="17069" spans="1:1" x14ac:dyDescent="0.25">
      <c r="A17069" t="s">
        <v>15791</v>
      </c>
    </row>
    <row r="17070" spans="1:1" x14ac:dyDescent="0.25">
      <c r="A17070" t="s">
        <v>15792</v>
      </c>
    </row>
    <row r="17071" spans="1:1" x14ac:dyDescent="0.25">
      <c r="A17071" t="s">
        <v>15793</v>
      </c>
    </row>
    <row r="17072" spans="1:1" x14ac:dyDescent="0.25">
      <c r="A17072" t="s">
        <v>15183</v>
      </c>
    </row>
    <row r="17073" spans="1:1" x14ac:dyDescent="0.25">
      <c r="A17073" t="s">
        <v>15195</v>
      </c>
    </row>
    <row r="17074" spans="1:1" x14ac:dyDescent="0.25">
      <c r="A17074" t="s">
        <v>15794</v>
      </c>
    </row>
    <row r="17075" spans="1:1" x14ac:dyDescent="0.25">
      <c r="A17075" t="s">
        <v>15795</v>
      </c>
    </row>
    <row r="17076" spans="1:1" x14ac:dyDescent="0.25">
      <c r="A17076" t="s">
        <v>15796</v>
      </c>
    </row>
    <row r="17077" spans="1:1" x14ac:dyDescent="0.25">
      <c r="A17077" t="s">
        <v>15183</v>
      </c>
    </row>
    <row r="17078" spans="1:1" x14ac:dyDescent="0.25">
      <c r="A17078" t="s">
        <v>15797</v>
      </c>
    </row>
    <row r="17079" spans="1:1" x14ac:dyDescent="0.25">
      <c r="A17079" t="s">
        <v>15798</v>
      </c>
    </row>
    <row r="17080" spans="1:1" x14ac:dyDescent="0.25">
      <c r="A17080" t="s">
        <v>15799</v>
      </c>
    </row>
    <row r="17081" spans="1:1" x14ac:dyDescent="0.25">
      <c r="A17081" t="s">
        <v>15800</v>
      </c>
    </row>
    <row r="17082" spans="1:1" x14ac:dyDescent="0.25">
      <c r="A17082" t="s">
        <v>15801</v>
      </c>
    </row>
    <row r="17083" spans="1:1" x14ac:dyDescent="0.25">
      <c r="A17083" t="s">
        <v>15802</v>
      </c>
    </row>
    <row r="17084" spans="1:1" x14ac:dyDescent="0.25">
      <c r="A17084" t="s">
        <v>15803</v>
      </c>
    </row>
    <row r="17085" spans="1:1" x14ac:dyDescent="0.25">
      <c r="A17085" t="s">
        <v>15804</v>
      </c>
    </row>
    <row r="17086" spans="1:1" x14ac:dyDescent="0.25">
      <c r="A17086" t="s">
        <v>15805</v>
      </c>
    </row>
    <row r="17087" spans="1:1" x14ac:dyDescent="0.25">
      <c r="A17087" t="s">
        <v>15806</v>
      </c>
    </row>
    <row r="17088" spans="1:1" x14ac:dyDescent="0.25">
      <c r="A17088" t="s">
        <v>15807</v>
      </c>
    </row>
    <row r="17089" spans="1:1" x14ac:dyDescent="0.25">
      <c r="A17089" t="s">
        <v>15808</v>
      </c>
    </row>
    <row r="17090" spans="1:1" x14ac:dyDescent="0.25">
      <c r="A17090" t="s">
        <v>15809</v>
      </c>
    </row>
    <row r="17091" spans="1:1" x14ac:dyDescent="0.25">
      <c r="A17091" t="s">
        <v>15810</v>
      </c>
    </row>
    <row r="17092" spans="1:1" x14ac:dyDescent="0.25">
      <c r="A17092" t="s">
        <v>15811</v>
      </c>
    </row>
    <row r="17093" spans="1:1" x14ac:dyDescent="0.25">
      <c r="A17093" t="s">
        <v>15812</v>
      </c>
    </row>
    <row r="17094" spans="1:1" x14ac:dyDescent="0.25">
      <c r="A17094" t="s">
        <v>15813</v>
      </c>
    </row>
    <row r="17095" spans="1:1" x14ac:dyDescent="0.25">
      <c r="A17095" t="s">
        <v>15814</v>
      </c>
    </row>
    <row r="17096" spans="1:1" x14ac:dyDescent="0.25">
      <c r="A17096" t="s">
        <v>15815</v>
      </c>
    </row>
    <row r="17097" spans="1:1" x14ac:dyDescent="0.25">
      <c r="A17097" t="s">
        <v>15816</v>
      </c>
    </row>
    <row r="17098" spans="1:1" x14ac:dyDescent="0.25">
      <c r="A17098" t="s">
        <v>15817</v>
      </c>
    </row>
    <row r="17099" spans="1:1" x14ac:dyDescent="0.25">
      <c r="A17099" t="s">
        <v>15818</v>
      </c>
    </row>
    <row r="17100" spans="1:1" x14ac:dyDescent="0.25">
      <c r="A17100" t="s">
        <v>15819</v>
      </c>
    </row>
    <row r="17101" spans="1:1" x14ac:dyDescent="0.25">
      <c r="A17101" t="s">
        <v>15820</v>
      </c>
    </row>
    <row r="17102" spans="1:1" x14ac:dyDescent="0.25">
      <c r="A17102" t="s">
        <v>15821</v>
      </c>
    </row>
    <row r="17103" spans="1:1" x14ac:dyDescent="0.25">
      <c r="A17103" t="s">
        <v>15822</v>
      </c>
    </row>
    <row r="17104" spans="1:1" x14ac:dyDescent="0.25">
      <c r="A17104" t="s">
        <v>15823</v>
      </c>
    </row>
    <row r="17105" spans="1:1" x14ac:dyDescent="0.25">
      <c r="A17105" t="s">
        <v>15824</v>
      </c>
    </row>
    <row r="17106" spans="1:1" x14ac:dyDescent="0.25">
      <c r="A17106" t="s">
        <v>15825</v>
      </c>
    </row>
    <row r="17107" spans="1:1" x14ac:dyDescent="0.25">
      <c r="A17107" t="s">
        <v>15826</v>
      </c>
    </row>
    <row r="17108" spans="1:1" x14ac:dyDescent="0.25">
      <c r="A17108" t="s">
        <v>15827</v>
      </c>
    </row>
    <row r="17109" spans="1:1" x14ac:dyDescent="0.25">
      <c r="A17109" t="s">
        <v>15828</v>
      </c>
    </row>
    <row r="17110" spans="1:1" x14ac:dyDescent="0.25">
      <c r="A17110" t="s">
        <v>15829</v>
      </c>
    </row>
    <row r="17111" spans="1:1" x14ac:dyDescent="0.25">
      <c r="A17111" t="s">
        <v>15830</v>
      </c>
    </row>
    <row r="17112" spans="1:1" x14ac:dyDescent="0.25">
      <c r="A17112" t="s">
        <v>15831</v>
      </c>
    </row>
    <row r="17113" spans="1:1" x14ac:dyDescent="0.25">
      <c r="A17113" t="s">
        <v>15832</v>
      </c>
    </row>
    <row r="17114" spans="1:1" x14ac:dyDescent="0.25">
      <c r="A17114" t="s">
        <v>15833</v>
      </c>
    </row>
    <row r="17115" spans="1:1" x14ac:dyDescent="0.25">
      <c r="A17115" t="s">
        <v>15834</v>
      </c>
    </row>
    <row r="17116" spans="1:1" x14ac:dyDescent="0.25">
      <c r="A17116" t="s">
        <v>15835</v>
      </c>
    </row>
    <row r="17117" spans="1:1" x14ac:dyDescent="0.25">
      <c r="A17117" t="s">
        <v>15836</v>
      </c>
    </row>
    <row r="17118" spans="1:1" x14ac:dyDescent="0.25">
      <c r="A17118" t="s">
        <v>15837</v>
      </c>
    </row>
    <row r="17119" spans="1:1" x14ac:dyDescent="0.25">
      <c r="A17119" t="s">
        <v>15838</v>
      </c>
    </row>
    <row r="17120" spans="1:1" x14ac:dyDescent="0.25">
      <c r="A17120" t="s">
        <v>15839</v>
      </c>
    </row>
    <row r="17121" spans="1:1" x14ac:dyDescent="0.25">
      <c r="A17121" t="s">
        <v>15840</v>
      </c>
    </row>
    <row r="17122" spans="1:1" x14ac:dyDescent="0.25">
      <c r="A17122" t="s">
        <v>15841</v>
      </c>
    </row>
    <row r="17123" spans="1:1" x14ac:dyDescent="0.25">
      <c r="A17123" t="s">
        <v>15842</v>
      </c>
    </row>
    <row r="17124" spans="1:1" x14ac:dyDescent="0.25">
      <c r="A17124" t="s">
        <v>15843</v>
      </c>
    </row>
    <row r="17125" spans="1:1" x14ac:dyDescent="0.25">
      <c r="A17125" t="s">
        <v>15844</v>
      </c>
    </row>
    <row r="17126" spans="1:1" x14ac:dyDescent="0.25">
      <c r="A17126" t="s">
        <v>15845</v>
      </c>
    </row>
    <row r="17127" spans="1:1" x14ac:dyDescent="0.25">
      <c r="A17127" t="s">
        <v>15846</v>
      </c>
    </row>
    <row r="17128" spans="1:1" x14ac:dyDescent="0.25">
      <c r="A17128" t="s">
        <v>15847</v>
      </c>
    </row>
    <row r="17129" spans="1:1" x14ac:dyDescent="0.25">
      <c r="A17129" t="s">
        <v>15848</v>
      </c>
    </row>
    <row r="17130" spans="1:1" x14ac:dyDescent="0.25">
      <c r="A17130" t="s">
        <v>15849</v>
      </c>
    </row>
    <row r="17131" spans="1:1" x14ac:dyDescent="0.25">
      <c r="A17131" t="s">
        <v>15850</v>
      </c>
    </row>
    <row r="17132" spans="1:1" x14ac:dyDescent="0.25">
      <c r="A17132" t="s">
        <v>15851</v>
      </c>
    </row>
    <row r="17133" spans="1:1" x14ac:dyDescent="0.25">
      <c r="A17133" t="s">
        <v>15852</v>
      </c>
    </row>
    <row r="17134" spans="1:1" x14ac:dyDescent="0.25">
      <c r="A17134" t="s">
        <v>15853</v>
      </c>
    </row>
    <row r="17135" spans="1:1" x14ac:dyDescent="0.25">
      <c r="A17135" t="s">
        <v>15854</v>
      </c>
    </row>
    <row r="17136" spans="1:1" x14ac:dyDescent="0.25">
      <c r="A17136" t="s">
        <v>15855</v>
      </c>
    </row>
    <row r="17137" spans="1:1" x14ac:dyDescent="0.25">
      <c r="A17137" t="s">
        <v>15856</v>
      </c>
    </row>
    <row r="17138" spans="1:1" x14ac:dyDescent="0.25">
      <c r="A17138" t="s">
        <v>15857</v>
      </c>
    </row>
    <row r="17139" spans="1:1" x14ac:dyDescent="0.25">
      <c r="A17139" t="s">
        <v>15858</v>
      </c>
    </row>
    <row r="17140" spans="1:1" x14ac:dyDescent="0.25">
      <c r="A17140" t="s">
        <v>15859</v>
      </c>
    </row>
    <row r="17141" spans="1:1" x14ac:dyDescent="0.25">
      <c r="A17141" t="s">
        <v>15860</v>
      </c>
    </row>
    <row r="17142" spans="1:1" x14ac:dyDescent="0.25">
      <c r="A17142" t="s">
        <v>15861</v>
      </c>
    </row>
    <row r="17143" spans="1:1" x14ac:dyDescent="0.25">
      <c r="A17143" t="s">
        <v>15862</v>
      </c>
    </row>
    <row r="17144" spans="1:1" x14ac:dyDescent="0.25">
      <c r="A17144" t="s">
        <v>15863</v>
      </c>
    </row>
    <row r="17145" spans="1:1" x14ac:dyDescent="0.25">
      <c r="A17145" t="s">
        <v>15864</v>
      </c>
    </row>
    <row r="17146" spans="1:1" x14ac:dyDescent="0.25">
      <c r="A17146" t="s">
        <v>15865</v>
      </c>
    </row>
    <row r="17147" spans="1:1" x14ac:dyDescent="0.25">
      <c r="A17147" t="s">
        <v>15866</v>
      </c>
    </row>
    <row r="17148" spans="1:1" x14ac:dyDescent="0.25">
      <c r="A17148" t="s">
        <v>15867</v>
      </c>
    </row>
    <row r="17149" spans="1:1" x14ac:dyDescent="0.25">
      <c r="A17149" t="s">
        <v>15868</v>
      </c>
    </row>
    <row r="17150" spans="1:1" x14ac:dyDescent="0.25">
      <c r="A17150" t="s">
        <v>15869</v>
      </c>
    </row>
    <row r="17151" spans="1:1" x14ac:dyDescent="0.25">
      <c r="A17151" t="s">
        <v>15870</v>
      </c>
    </row>
    <row r="17152" spans="1:1" x14ac:dyDescent="0.25">
      <c r="A17152" t="s">
        <v>15871</v>
      </c>
    </row>
    <row r="17153" spans="1:1" x14ac:dyDescent="0.25">
      <c r="A17153" t="s">
        <v>15872</v>
      </c>
    </row>
    <row r="17154" spans="1:1" x14ac:dyDescent="0.25">
      <c r="A17154" t="s">
        <v>15873</v>
      </c>
    </row>
    <row r="17155" spans="1:1" x14ac:dyDescent="0.25">
      <c r="A17155" t="s">
        <v>15874</v>
      </c>
    </row>
    <row r="17156" spans="1:1" x14ac:dyDescent="0.25">
      <c r="A17156" t="s">
        <v>15875</v>
      </c>
    </row>
    <row r="17157" spans="1:1" x14ac:dyDescent="0.25">
      <c r="A17157" t="s">
        <v>15876</v>
      </c>
    </row>
    <row r="17158" spans="1:1" x14ac:dyDescent="0.25">
      <c r="A17158" t="s">
        <v>15877</v>
      </c>
    </row>
    <row r="17159" spans="1:1" x14ac:dyDescent="0.25">
      <c r="A17159" t="s">
        <v>15878</v>
      </c>
    </row>
    <row r="17160" spans="1:1" x14ac:dyDescent="0.25">
      <c r="A17160" t="s">
        <v>15879</v>
      </c>
    </row>
    <row r="17161" spans="1:1" x14ac:dyDescent="0.25">
      <c r="A17161" t="s">
        <v>15880</v>
      </c>
    </row>
    <row r="17162" spans="1:1" x14ac:dyDescent="0.25">
      <c r="A17162" t="s">
        <v>15881</v>
      </c>
    </row>
    <row r="17163" spans="1:1" x14ac:dyDescent="0.25">
      <c r="A17163" t="s">
        <v>15882</v>
      </c>
    </row>
    <row r="17164" spans="1:1" x14ac:dyDescent="0.25">
      <c r="A17164" t="s">
        <v>15883</v>
      </c>
    </row>
    <row r="17165" spans="1:1" x14ac:dyDescent="0.25">
      <c r="A17165" t="s">
        <v>15884</v>
      </c>
    </row>
    <row r="17166" spans="1:1" x14ac:dyDescent="0.25">
      <c r="A17166" t="s">
        <v>15885</v>
      </c>
    </row>
    <row r="17167" spans="1:1" x14ac:dyDescent="0.25">
      <c r="A17167" t="s">
        <v>15886</v>
      </c>
    </row>
    <row r="17168" spans="1:1" x14ac:dyDescent="0.25">
      <c r="A17168" t="s">
        <v>15887</v>
      </c>
    </row>
    <row r="17169" spans="1:1" x14ac:dyDescent="0.25">
      <c r="A17169" t="s">
        <v>15888</v>
      </c>
    </row>
    <row r="17170" spans="1:1" x14ac:dyDescent="0.25">
      <c r="A17170" t="s">
        <v>15889</v>
      </c>
    </row>
    <row r="17171" spans="1:1" x14ac:dyDescent="0.25">
      <c r="A17171" t="s">
        <v>15890</v>
      </c>
    </row>
    <row r="17172" spans="1:1" x14ac:dyDescent="0.25">
      <c r="A17172" t="s">
        <v>15891</v>
      </c>
    </row>
    <row r="17173" spans="1:1" x14ac:dyDescent="0.25">
      <c r="A17173" t="s">
        <v>15892</v>
      </c>
    </row>
    <row r="17174" spans="1:1" x14ac:dyDescent="0.25">
      <c r="A17174" t="s">
        <v>15893</v>
      </c>
    </row>
    <row r="17175" spans="1:1" x14ac:dyDescent="0.25">
      <c r="A17175" t="s">
        <v>15894</v>
      </c>
    </row>
    <row r="17176" spans="1:1" x14ac:dyDescent="0.25">
      <c r="A17176" t="s">
        <v>15895</v>
      </c>
    </row>
    <row r="17177" spans="1:1" x14ac:dyDescent="0.25">
      <c r="A17177" t="s">
        <v>15896</v>
      </c>
    </row>
    <row r="17178" spans="1:1" x14ac:dyDescent="0.25">
      <c r="A17178" t="s">
        <v>15897</v>
      </c>
    </row>
    <row r="17179" spans="1:1" x14ac:dyDescent="0.25">
      <c r="A17179" t="s">
        <v>15898</v>
      </c>
    </row>
    <row r="17180" spans="1:1" x14ac:dyDescent="0.25">
      <c r="A17180" t="s">
        <v>15899</v>
      </c>
    </row>
    <row r="17181" spans="1:1" x14ac:dyDescent="0.25">
      <c r="A17181" t="s">
        <v>15900</v>
      </c>
    </row>
    <row r="17182" spans="1:1" x14ac:dyDescent="0.25">
      <c r="A17182" t="s">
        <v>15901</v>
      </c>
    </row>
    <row r="17183" spans="1:1" x14ac:dyDescent="0.25">
      <c r="A17183" t="s">
        <v>15902</v>
      </c>
    </row>
    <row r="17184" spans="1:1" x14ac:dyDescent="0.25">
      <c r="A17184" t="s">
        <v>15903</v>
      </c>
    </row>
    <row r="17185" spans="1:1" x14ac:dyDescent="0.25">
      <c r="A17185" t="s">
        <v>15904</v>
      </c>
    </row>
    <row r="17186" spans="1:1" x14ac:dyDescent="0.25">
      <c r="A17186" t="s">
        <v>15905</v>
      </c>
    </row>
    <row r="17187" spans="1:1" x14ac:dyDescent="0.25">
      <c r="A17187" t="s">
        <v>15906</v>
      </c>
    </row>
    <row r="17188" spans="1:1" x14ac:dyDescent="0.25">
      <c r="A17188" t="s">
        <v>15907</v>
      </c>
    </row>
    <row r="17189" spans="1:1" x14ac:dyDescent="0.25">
      <c r="A17189" t="s">
        <v>15908</v>
      </c>
    </row>
    <row r="17190" spans="1:1" x14ac:dyDescent="0.25">
      <c r="A17190" t="s">
        <v>15909</v>
      </c>
    </row>
    <row r="17191" spans="1:1" x14ac:dyDescent="0.25">
      <c r="A17191" t="s">
        <v>15910</v>
      </c>
    </row>
    <row r="17192" spans="1:1" x14ac:dyDescent="0.25">
      <c r="A17192" t="s">
        <v>15911</v>
      </c>
    </row>
    <row r="17193" spans="1:1" x14ac:dyDescent="0.25">
      <c r="A17193" t="s">
        <v>15912</v>
      </c>
    </row>
    <row r="17194" spans="1:1" x14ac:dyDescent="0.25">
      <c r="A17194" t="s">
        <v>15913</v>
      </c>
    </row>
    <row r="17195" spans="1:1" x14ac:dyDescent="0.25">
      <c r="A17195" t="s">
        <v>15914</v>
      </c>
    </row>
    <row r="17196" spans="1:1" x14ac:dyDescent="0.25">
      <c r="A17196" t="s">
        <v>15915</v>
      </c>
    </row>
    <row r="17197" spans="1:1" x14ac:dyDescent="0.25">
      <c r="A17197" t="s">
        <v>15916</v>
      </c>
    </row>
    <row r="17198" spans="1:1" x14ac:dyDescent="0.25">
      <c r="A17198" t="s">
        <v>15917</v>
      </c>
    </row>
    <row r="17199" spans="1:1" x14ac:dyDescent="0.25">
      <c r="A17199" t="s">
        <v>15918</v>
      </c>
    </row>
    <row r="17200" spans="1:1" x14ac:dyDescent="0.25">
      <c r="A17200" t="s">
        <v>15919</v>
      </c>
    </row>
    <row r="17202" spans="1:1" x14ac:dyDescent="0.25">
      <c r="A17202" t="s">
        <v>15920</v>
      </c>
    </row>
    <row r="17203" spans="1:1" x14ac:dyDescent="0.25">
      <c r="A17203" t="s">
        <v>15921</v>
      </c>
    </row>
    <row r="17204" spans="1:1" x14ac:dyDescent="0.25">
      <c r="A17204" t="s">
        <v>15922</v>
      </c>
    </row>
    <row r="17205" spans="1:1" x14ac:dyDescent="0.25">
      <c r="A17205" t="s">
        <v>15923</v>
      </c>
    </row>
    <row r="17206" spans="1:1" x14ac:dyDescent="0.25">
      <c r="A17206" t="s">
        <v>15924</v>
      </c>
    </row>
    <row r="17207" spans="1:1" x14ac:dyDescent="0.25">
      <c r="A17207" t="s">
        <v>15925</v>
      </c>
    </row>
    <row r="17208" spans="1:1" x14ac:dyDescent="0.25">
      <c r="A17208" t="s">
        <v>15926</v>
      </c>
    </row>
    <row r="17209" spans="1:1" x14ac:dyDescent="0.25">
      <c r="A17209" t="s">
        <v>15927</v>
      </c>
    </row>
    <row r="17210" spans="1:1" x14ac:dyDescent="0.25">
      <c r="A17210" t="s">
        <v>15928</v>
      </c>
    </row>
    <row r="17211" spans="1:1" x14ac:dyDescent="0.25">
      <c r="A17211" t="s">
        <v>15929</v>
      </c>
    </row>
    <row r="17212" spans="1:1" x14ac:dyDescent="0.25">
      <c r="A17212" t="s">
        <v>15930</v>
      </c>
    </row>
    <row r="17213" spans="1:1" x14ac:dyDescent="0.25">
      <c r="A17213" t="s">
        <v>15931</v>
      </c>
    </row>
    <row r="17214" spans="1:1" x14ac:dyDescent="0.25">
      <c r="A17214" t="s">
        <v>15932</v>
      </c>
    </row>
    <row r="17215" spans="1:1" x14ac:dyDescent="0.25">
      <c r="A17215" t="s">
        <v>15933</v>
      </c>
    </row>
    <row r="17216" spans="1:1" x14ac:dyDescent="0.25">
      <c r="A17216" t="s">
        <v>15934</v>
      </c>
    </row>
    <row r="17217" spans="1:1" x14ac:dyDescent="0.25">
      <c r="A17217" t="s">
        <v>15935</v>
      </c>
    </row>
    <row r="17218" spans="1:1" x14ac:dyDescent="0.25">
      <c r="A17218" t="s">
        <v>15936</v>
      </c>
    </row>
    <row r="17219" spans="1:1" x14ac:dyDescent="0.25">
      <c r="A17219" t="s">
        <v>15937</v>
      </c>
    </row>
    <row r="17220" spans="1:1" x14ac:dyDescent="0.25">
      <c r="A17220" t="s">
        <v>15938</v>
      </c>
    </row>
    <row r="17221" spans="1:1" x14ac:dyDescent="0.25">
      <c r="A17221" t="s">
        <v>15939</v>
      </c>
    </row>
    <row r="17222" spans="1:1" x14ac:dyDescent="0.25">
      <c r="A17222" t="s">
        <v>15940</v>
      </c>
    </row>
    <row r="17223" spans="1:1" x14ac:dyDescent="0.25">
      <c r="A17223" t="s">
        <v>15941</v>
      </c>
    </row>
    <row r="17224" spans="1:1" x14ac:dyDescent="0.25">
      <c r="A17224" t="s">
        <v>15942</v>
      </c>
    </row>
    <row r="17225" spans="1:1" x14ac:dyDescent="0.25">
      <c r="A17225" t="s">
        <v>15943</v>
      </c>
    </row>
    <row r="17226" spans="1:1" x14ac:dyDescent="0.25">
      <c r="A17226" t="s">
        <v>15944</v>
      </c>
    </row>
    <row r="17227" spans="1:1" x14ac:dyDescent="0.25">
      <c r="A17227" t="s">
        <v>15945</v>
      </c>
    </row>
    <row r="17228" spans="1:1" x14ac:dyDescent="0.25">
      <c r="A17228" t="s">
        <v>15946</v>
      </c>
    </row>
    <row r="17229" spans="1:1" x14ac:dyDescent="0.25">
      <c r="A17229" t="s">
        <v>15947</v>
      </c>
    </row>
    <row r="17230" spans="1:1" x14ac:dyDescent="0.25">
      <c r="A17230" t="s">
        <v>15948</v>
      </c>
    </row>
    <row r="17231" spans="1:1" x14ac:dyDescent="0.25">
      <c r="A17231" t="s">
        <v>15949</v>
      </c>
    </row>
    <row r="17232" spans="1:1" x14ac:dyDescent="0.25">
      <c r="A17232" t="s">
        <v>15950</v>
      </c>
    </row>
    <row r="17233" spans="1:1" x14ac:dyDescent="0.25">
      <c r="A17233" t="s">
        <v>15951</v>
      </c>
    </row>
    <row r="17234" spans="1:1" x14ac:dyDescent="0.25">
      <c r="A17234" t="s">
        <v>15952</v>
      </c>
    </row>
    <row r="17235" spans="1:1" x14ac:dyDescent="0.25">
      <c r="A17235" t="s">
        <v>15953</v>
      </c>
    </row>
    <row r="17236" spans="1:1" x14ac:dyDescent="0.25">
      <c r="A17236" t="s">
        <v>15954</v>
      </c>
    </row>
    <row r="17237" spans="1:1" x14ac:dyDescent="0.25">
      <c r="A17237" t="s">
        <v>15955</v>
      </c>
    </row>
    <row r="17238" spans="1:1" x14ac:dyDescent="0.25">
      <c r="A17238" t="s">
        <v>15956</v>
      </c>
    </row>
    <row r="17239" spans="1:1" x14ac:dyDescent="0.25">
      <c r="A17239" t="s">
        <v>15957</v>
      </c>
    </row>
    <row r="17240" spans="1:1" x14ac:dyDescent="0.25">
      <c r="A17240" t="s">
        <v>15958</v>
      </c>
    </row>
    <row r="17241" spans="1:1" x14ac:dyDescent="0.25">
      <c r="A17241" t="s">
        <v>15959</v>
      </c>
    </row>
    <row r="17242" spans="1:1" x14ac:dyDescent="0.25">
      <c r="A17242" t="s">
        <v>15960</v>
      </c>
    </row>
    <row r="17243" spans="1:1" x14ac:dyDescent="0.25">
      <c r="A17243" t="s">
        <v>15961</v>
      </c>
    </row>
    <row r="17244" spans="1:1" x14ac:dyDescent="0.25">
      <c r="A17244" t="s">
        <v>15962</v>
      </c>
    </row>
    <row r="17245" spans="1:1" x14ac:dyDescent="0.25">
      <c r="A17245" t="s">
        <v>15963</v>
      </c>
    </row>
    <row r="17246" spans="1:1" x14ac:dyDescent="0.25">
      <c r="A17246" t="s">
        <v>15964</v>
      </c>
    </row>
    <row r="17247" spans="1:1" x14ac:dyDescent="0.25">
      <c r="A17247" t="s">
        <v>15965</v>
      </c>
    </row>
    <row r="17248" spans="1:1" x14ac:dyDescent="0.25">
      <c r="A17248" t="s">
        <v>15966</v>
      </c>
    </row>
    <row r="17249" spans="1:1" x14ac:dyDescent="0.25">
      <c r="A17249" t="s">
        <v>15967</v>
      </c>
    </row>
    <row r="17250" spans="1:1" x14ac:dyDescent="0.25">
      <c r="A17250" t="s">
        <v>15968</v>
      </c>
    </row>
    <row r="17251" spans="1:1" x14ac:dyDescent="0.25">
      <c r="A17251" t="s">
        <v>15969</v>
      </c>
    </row>
    <row r="17252" spans="1:1" x14ac:dyDescent="0.25">
      <c r="A17252" t="s">
        <v>15970</v>
      </c>
    </row>
    <row r="17253" spans="1:1" x14ac:dyDescent="0.25">
      <c r="A17253" t="s">
        <v>15971</v>
      </c>
    </row>
    <row r="17254" spans="1:1" x14ac:dyDescent="0.25">
      <c r="A17254" t="s">
        <v>15972</v>
      </c>
    </row>
    <row r="17255" spans="1:1" x14ac:dyDescent="0.25">
      <c r="A17255" t="s">
        <v>15973</v>
      </c>
    </row>
    <row r="17256" spans="1:1" x14ac:dyDescent="0.25">
      <c r="A17256" t="s">
        <v>15974</v>
      </c>
    </row>
    <row r="17257" spans="1:1" x14ac:dyDescent="0.25">
      <c r="A17257" t="s">
        <v>15975</v>
      </c>
    </row>
    <row r="17258" spans="1:1" x14ac:dyDescent="0.25">
      <c r="A17258" t="s">
        <v>15976</v>
      </c>
    </row>
    <row r="17259" spans="1:1" x14ac:dyDescent="0.25">
      <c r="A17259" t="s">
        <v>15977</v>
      </c>
    </row>
    <row r="17260" spans="1:1" x14ac:dyDescent="0.25">
      <c r="A17260" t="s">
        <v>15978</v>
      </c>
    </row>
    <row r="17261" spans="1:1" x14ac:dyDescent="0.25">
      <c r="A17261" t="s">
        <v>15979</v>
      </c>
    </row>
    <row r="17262" spans="1:1" x14ac:dyDescent="0.25">
      <c r="A17262" t="s">
        <v>15980</v>
      </c>
    </row>
    <row r="17263" spans="1:1" x14ac:dyDescent="0.25">
      <c r="A17263" t="s">
        <v>15981</v>
      </c>
    </row>
    <row r="17264" spans="1:1" x14ac:dyDescent="0.25">
      <c r="A17264" t="s">
        <v>15982</v>
      </c>
    </row>
    <row r="17265" spans="1:1" x14ac:dyDescent="0.25">
      <c r="A17265" t="s">
        <v>15983</v>
      </c>
    </row>
    <row r="17266" spans="1:1" x14ac:dyDescent="0.25">
      <c r="A17266" t="s">
        <v>15984</v>
      </c>
    </row>
    <row r="17267" spans="1:1" x14ac:dyDescent="0.25">
      <c r="A17267" t="s">
        <v>15985</v>
      </c>
    </row>
    <row r="17268" spans="1:1" x14ac:dyDescent="0.25">
      <c r="A17268" t="s">
        <v>15986</v>
      </c>
    </row>
    <row r="17269" spans="1:1" x14ac:dyDescent="0.25">
      <c r="A17269" t="s">
        <v>15987</v>
      </c>
    </row>
    <row r="17270" spans="1:1" x14ac:dyDescent="0.25">
      <c r="A17270" t="s">
        <v>15988</v>
      </c>
    </row>
    <row r="17271" spans="1:1" x14ac:dyDescent="0.25">
      <c r="A17271" t="s">
        <v>15989</v>
      </c>
    </row>
    <row r="17272" spans="1:1" x14ac:dyDescent="0.25">
      <c r="A17272" t="s">
        <v>15990</v>
      </c>
    </row>
    <row r="17273" spans="1:1" x14ac:dyDescent="0.25">
      <c r="A17273" t="s">
        <v>15991</v>
      </c>
    </row>
    <row r="17274" spans="1:1" x14ac:dyDescent="0.25">
      <c r="A17274" t="s">
        <v>15992</v>
      </c>
    </row>
    <row r="17275" spans="1:1" x14ac:dyDescent="0.25">
      <c r="A17275" t="s">
        <v>15993</v>
      </c>
    </row>
    <row r="17276" spans="1:1" x14ac:dyDescent="0.25">
      <c r="A17276" t="s">
        <v>15994</v>
      </c>
    </row>
    <row r="17277" spans="1:1" x14ac:dyDescent="0.25">
      <c r="A17277" t="s">
        <v>15995</v>
      </c>
    </row>
    <row r="17278" spans="1:1" x14ac:dyDescent="0.25">
      <c r="A17278" t="s">
        <v>15996</v>
      </c>
    </row>
    <row r="17279" spans="1:1" x14ac:dyDescent="0.25">
      <c r="A17279" t="s">
        <v>15997</v>
      </c>
    </row>
    <row r="17280" spans="1:1" x14ac:dyDescent="0.25">
      <c r="A17280" t="s">
        <v>15998</v>
      </c>
    </row>
    <row r="17281" spans="1:1" x14ac:dyDescent="0.25">
      <c r="A17281" t="s">
        <v>15999</v>
      </c>
    </row>
    <row r="17282" spans="1:1" x14ac:dyDescent="0.25">
      <c r="A17282" t="s">
        <v>16000</v>
      </c>
    </row>
    <row r="17283" spans="1:1" x14ac:dyDescent="0.25">
      <c r="A17283" t="s">
        <v>16001</v>
      </c>
    </row>
    <row r="17284" spans="1:1" x14ac:dyDescent="0.25">
      <c r="A17284" t="s">
        <v>16002</v>
      </c>
    </row>
    <row r="17285" spans="1:1" x14ac:dyDescent="0.25">
      <c r="A17285" t="s">
        <v>16003</v>
      </c>
    </row>
    <row r="17286" spans="1:1" x14ac:dyDescent="0.25">
      <c r="A17286" t="s">
        <v>16004</v>
      </c>
    </row>
    <row r="17287" spans="1:1" x14ac:dyDescent="0.25">
      <c r="A17287" t="s">
        <v>16005</v>
      </c>
    </row>
    <row r="17288" spans="1:1" x14ac:dyDescent="0.25">
      <c r="A17288" t="s">
        <v>16006</v>
      </c>
    </row>
    <row r="17289" spans="1:1" x14ac:dyDescent="0.25">
      <c r="A17289" t="s">
        <v>16007</v>
      </c>
    </row>
    <row r="17290" spans="1:1" x14ac:dyDescent="0.25">
      <c r="A17290" t="s">
        <v>16008</v>
      </c>
    </row>
    <row r="17291" spans="1:1" x14ac:dyDescent="0.25">
      <c r="A17291" t="s">
        <v>16009</v>
      </c>
    </row>
    <row r="17292" spans="1:1" x14ac:dyDescent="0.25">
      <c r="A17292" t="s">
        <v>16010</v>
      </c>
    </row>
    <row r="17293" spans="1:1" x14ac:dyDescent="0.25">
      <c r="A17293" t="s">
        <v>16011</v>
      </c>
    </row>
    <row r="17294" spans="1:1" x14ac:dyDescent="0.25">
      <c r="A17294" t="s">
        <v>16012</v>
      </c>
    </row>
    <row r="17295" spans="1:1" x14ac:dyDescent="0.25">
      <c r="A17295" t="s">
        <v>16013</v>
      </c>
    </row>
    <row r="17296" spans="1:1" x14ac:dyDescent="0.25">
      <c r="A17296" t="s">
        <v>16014</v>
      </c>
    </row>
    <row r="17297" spans="1:1" x14ac:dyDescent="0.25">
      <c r="A17297" t="s">
        <v>16015</v>
      </c>
    </row>
    <row r="17298" spans="1:1" x14ac:dyDescent="0.25">
      <c r="A17298" t="s">
        <v>16016</v>
      </c>
    </row>
    <row r="17299" spans="1:1" x14ac:dyDescent="0.25">
      <c r="A17299" t="s">
        <v>16017</v>
      </c>
    </row>
    <row r="17300" spans="1:1" x14ac:dyDescent="0.25">
      <c r="A17300" t="s">
        <v>16018</v>
      </c>
    </row>
    <row r="17301" spans="1:1" x14ac:dyDescent="0.25">
      <c r="A17301" t="s">
        <v>16019</v>
      </c>
    </row>
    <row r="17302" spans="1:1" x14ac:dyDescent="0.25">
      <c r="A17302" t="s">
        <v>16020</v>
      </c>
    </row>
    <row r="17303" spans="1:1" x14ac:dyDescent="0.25">
      <c r="A17303" t="s">
        <v>16021</v>
      </c>
    </row>
    <row r="17304" spans="1:1" x14ac:dyDescent="0.25">
      <c r="A17304" t="s">
        <v>16022</v>
      </c>
    </row>
    <row r="17305" spans="1:1" x14ac:dyDescent="0.25">
      <c r="A17305" t="s">
        <v>16023</v>
      </c>
    </row>
    <row r="17306" spans="1:1" x14ac:dyDescent="0.25">
      <c r="A17306" t="s">
        <v>16024</v>
      </c>
    </row>
    <row r="17307" spans="1:1" x14ac:dyDescent="0.25">
      <c r="A17307" t="s">
        <v>16025</v>
      </c>
    </row>
    <row r="17308" spans="1:1" x14ac:dyDescent="0.25">
      <c r="A17308" t="s">
        <v>16026</v>
      </c>
    </row>
    <row r="17309" spans="1:1" x14ac:dyDescent="0.25">
      <c r="A17309" t="s">
        <v>16027</v>
      </c>
    </row>
    <row r="17310" spans="1:1" x14ac:dyDescent="0.25">
      <c r="A17310" t="s">
        <v>16028</v>
      </c>
    </row>
    <row r="17311" spans="1:1" x14ac:dyDescent="0.25">
      <c r="A17311" t="s">
        <v>16029</v>
      </c>
    </row>
    <row r="17312" spans="1:1" x14ac:dyDescent="0.25">
      <c r="A17312" t="s">
        <v>16030</v>
      </c>
    </row>
    <row r="17313" spans="1:1" x14ac:dyDescent="0.25">
      <c r="A17313" t="s">
        <v>16031</v>
      </c>
    </row>
    <row r="17314" spans="1:1" x14ac:dyDescent="0.25">
      <c r="A17314" t="s">
        <v>16032</v>
      </c>
    </row>
    <row r="17315" spans="1:1" x14ac:dyDescent="0.25">
      <c r="A17315" t="s">
        <v>16033</v>
      </c>
    </row>
    <row r="17316" spans="1:1" x14ac:dyDescent="0.25">
      <c r="A17316" t="s">
        <v>16034</v>
      </c>
    </row>
    <row r="17317" spans="1:1" x14ac:dyDescent="0.25">
      <c r="A17317" t="s">
        <v>16035</v>
      </c>
    </row>
    <row r="17318" spans="1:1" x14ac:dyDescent="0.25">
      <c r="A17318" t="s">
        <v>16036</v>
      </c>
    </row>
    <row r="17319" spans="1:1" x14ac:dyDescent="0.25">
      <c r="A17319" t="s">
        <v>16037</v>
      </c>
    </row>
    <row r="17320" spans="1:1" x14ac:dyDescent="0.25">
      <c r="A17320" t="s">
        <v>16038</v>
      </c>
    </row>
    <row r="17321" spans="1:1" x14ac:dyDescent="0.25">
      <c r="A17321" t="s">
        <v>16039</v>
      </c>
    </row>
    <row r="17322" spans="1:1" x14ac:dyDescent="0.25">
      <c r="A17322" t="s">
        <v>16040</v>
      </c>
    </row>
    <row r="17323" spans="1:1" x14ac:dyDescent="0.25">
      <c r="A17323" t="s">
        <v>16041</v>
      </c>
    </row>
    <row r="17324" spans="1:1" x14ac:dyDescent="0.25">
      <c r="A17324" t="s">
        <v>16042</v>
      </c>
    </row>
    <row r="17325" spans="1:1" x14ac:dyDescent="0.25">
      <c r="A17325" t="s">
        <v>16043</v>
      </c>
    </row>
    <row r="17326" spans="1:1" x14ac:dyDescent="0.25">
      <c r="A17326" t="s">
        <v>16044</v>
      </c>
    </row>
    <row r="17327" spans="1:1" x14ac:dyDescent="0.25">
      <c r="A17327" t="s">
        <v>16045</v>
      </c>
    </row>
    <row r="17328" spans="1:1" x14ac:dyDescent="0.25">
      <c r="A17328" t="s">
        <v>16046</v>
      </c>
    </row>
    <row r="17329" spans="1:1" x14ac:dyDescent="0.25">
      <c r="A17329" t="s">
        <v>16047</v>
      </c>
    </row>
    <row r="17330" spans="1:1" x14ac:dyDescent="0.25">
      <c r="A17330" t="s">
        <v>16048</v>
      </c>
    </row>
    <row r="17331" spans="1:1" x14ac:dyDescent="0.25">
      <c r="A17331" t="s">
        <v>16049</v>
      </c>
    </row>
    <row r="17332" spans="1:1" x14ac:dyDescent="0.25">
      <c r="A17332" t="s">
        <v>16050</v>
      </c>
    </row>
    <row r="17333" spans="1:1" x14ac:dyDescent="0.25">
      <c r="A17333" t="s">
        <v>16051</v>
      </c>
    </row>
    <row r="17334" spans="1:1" x14ac:dyDescent="0.25">
      <c r="A17334" t="s">
        <v>16052</v>
      </c>
    </row>
    <row r="17335" spans="1:1" x14ac:dyDescent="0.25">
      <c r="A17335" t="s">
        <v>16053</v>
      </c>
    </row>
    <row r="17336" spans="1:1" x14ac:dyDescent="0.25">
      <c r="A17336" t="s">
        <v>16054</v>
      </c>
    </row>
    <row r="17337" spans="1:1" x14ac:dyDescent="0.25">
      <c r="A17337" t="s">
        <v>16055</v>
      </c>
    </row>
    <row r="17338" spans="1:1" x14ac:dyDescent="0.25">
      <c r="A17338" t="s">
        <v>16056</v>
      </c>
    </row>
    <row r="17339" spans="1:1" x14ac:dyDescent="0.25">
      <c r="A17339" t="s">
        <v>16057</v>
      </c>
    </row>
    <row r="17340" spans="1:1" x14ac:dyDescent="0.25">
      <c r="A17340" t="s">
        <v>16058</v>
      </c>
    </row>
    <row r="17341" spans="1:1" x14ac:dyDescent="0.25">
      <c r="A17341" t="s">
        <v>16059</v>
      </c>
    </row>
    <row r="17342" spans="1:1" x14ac:dyDescent="0.25">
      <c r="A17342" t="s">
        <v>16060</v>
      </c>
    </row>
    <row r="17343" spans="1:1" x14ac:dyDescent="0.25">
      <c r="A17343" t="s">
        <v>16061</v>
      </c>
    </row>
    <row r="17344" spans="1:1" x14ac:dyDescent="0.25">
      <c r="A17344" t="s">
        <v>16062</v>
      </c>
    </row>
    <row r="17345" spans="1:1" x14ac:dyDescent="0.25">
      <c r="A17345" t="s">
        <v>16063</v>
      </c>
    </row>
    <row r="17346" spans="1:1" x14ac:dyDescent="0.25">
      <c r="A17346" t="s">
        <v>16064</v>
      </c>
    </row>
    <row r="17347" spans="1:1" x14ac:dyDescent="0.25">
      <c r="A17347" t="s">
        <v>16065</v>
      </c>
    </row>
    <row r="17348" spans="1:1" x14ac:dyDescent="0.25">
      <c r="A17348" t="s">
        <v>16066</v>
      </c>
    </row>
    <row r="17349" spans="1:1" x14ac:dyDescent="0.25">
      <c r="A17349" t="s">
        <v>16067</v>
      </c>
    </row>
    <row r="17350" spans="1:1" x14ac:dyDescent="0.25">
      <c r="A17350" t="s">
        <v>16068</v>
      </c>
    </row>
    <row r="17351" spans="1:1" x14ac:dyDescent="0.25">
      <c r="A17351" t="s">
        <v>16069</v>
      </c>
    </row>
    <row r="17352" spans="1:1" x14ac:dyDescent="0.25">
      <c r="A17352" t="s">
        <v>16070</v>
      </c>
    </row>
    <row r="17353" spans="1:1" x14ac:dyDescent="0.25">
      <c r="A17353" t="s">
        <v>16071</v>
      </c>
    </row>
    <row r="17354" spans="1:1" x14ac:dyDescent="0.25">
      <c r="A17354" t="s">
        <v>16072</v>
      </c>
    </row>
    <row r="17355" spans="1:1" x14ac:dyDescent="0.25">
      <c r="A17355" t="s">
        <v>16073</v>
      </c>
    </row>
    <row r="17356" spans="1:1" x14ac:dyDescent="0.25">
      <c r="A17356" t="s">
        <v>16074</v>
      </c>
    </row>
    <row r="17357" spans="1:1" x14ac:dyDescent="0.25">
      <c r="A17357" t="s">
        <v>16075</v>
      </c>
    </row>
    <row r="17358" spans="1:1" x14ac:dyDescent="0.25">
      <c r="A17358" t="s">
        <v>16076</v>
      </c>
    </row>
    <row r="17359" spans="1:1" x14ac:dyDescent="0.25">
      <c r="A17359" t="s">
        <v>16077</v>
      </c>
    </row>
    <row r="17360" spans="1:1" x14ac:dyDescent="0.25">
      <c r="A17360" t="s">
        <v>16078</v>
      </c>
    </row>
    <row r="17361" spans="1:1" x14ac:dyDescent="0.25">
      <c r="A17361" t="s">
        <v>16079</v>
      </c>
    </row>
    <row r="17362" spans="1:1" x14ac:dyDescent="0.25">
      <c r="A17362" t="s">
        <v>16080</v>
      </c>
    </row>
    <row r="17363" spans="1:1" x14ac:dyDescent="0.25">
      <c r="A17363" t="s">
        <v>16081</v>
      </c>
    </row>
    <row r="17364" spans="1:1" x14ac:dyDescent="0.25">
      <c r="A17364" t="s">
        <v>16082</v>
      </c>
    </row>
    <row r="17365" spans="1:1" x14ac:dyDescent="0.25">
      <c r="A17365" t="s">
        <v>16083</v>
      </c>
    </row>
    <row r="17366" spans="1:1" x14ac:dyDescent="0.25">
      <c r="A17366" t="s">
        <v>16084</v>
      </c>
    </row>
    <row r="17367" spans="1:1" x14ac:dyDescent="0.25">
      <c r="A17367" t="s">
        <v>16085</v>
      </c>
    </row>
    <row r="17368" spans="1:1" x14ac:dyDescent="0.25">
      <c r="A17368" t="s">
        <v>16086</v>
      </c>
    </row>
    <row r="17369" spans="1:1" x14ac:dyDescent="0.25">
      <c r="A17369" t="s">
        <v>16087</v>
      </c>
    </row>
    <row r="17370" spans="1:1" x14ac:dyDescent="0.25">
      <c r="A17370" t="s">
        <v>16088</v>
      </c>
    </row>
    <row r="17371" spans="1:1" x14ac:dyDescent="0.25">
      <c r="A17371" t="s">
        <v>16089</v>
      </c>
    </row>
    <row r="17372" spans="1:1" x14ac:dyDescent="0.25">
      <c r="A17372" t="s">
        <v>16090</v>
      </c>
    </row>
    <row r="17373" spans="1:1" x14ac:dyDescent="0.25">
      <c r="A17373" t="s">
        <v>16091</v>
      </c>
    </row>
    <row r="17374" spans="1:1" x14ac:dyDescent="0.25">
      <c r="A17374" t="s">
        <v>16092</v>
      </c>
    </row>
    <row r="17375" spans="1:1" x14ac:dyDescent="0.25">
      <c r="A17375" t="s">
        <v>16093</v>
      </c>
    </row>
    <row r="17376" spans="1:1" x14ac:dyDescent="0.25">
      <c r="A17376" t="s">
        <v>16094</v>
      </c>
    </row>
    <row r="17377" spans="1:1" x14ac:dyDescent="0.25">
      <c r="A17377" t="s">
        <v>16095</v>
      </c>
    </row>
    <row r="17378" spans="1:1" x14ac:dyDescent="0.25">
      <c r="A17378" t="s">
        <v>16096</v>
      </c>
    </row>
    <row r="17379" spans="1:1" x14ac:dyDescent="0.25">
      <c r="A17379" t="s">
        <v>16097</v>
      </c>
    </row>
    <row r="17380" spans="1:1" x14ac:dyDescent="0.25">
      <c r="A17380" t="s">
        <v>16098</v>
      </c>
    </row>
    <row r="17381" spans="1:1" x14ac:dyDescent="0.25">
      <c r="A17381" t="s">
        <v>16099</v>
      </c>
    </row>
    <row r="17382" spans="1:1" x14ac:dyDescent="0.25">
      <c r="A17382" t="s">
        <v>16100</v>
      </c>
    </row>
    <row r="17383" spans="1:1" x14ac:dyDescent="0.25">
      <c r="A17383" t="s">
        <v>16101</v>
      </c>
    </row>
    <row r="17384" spans="1:1" x14ac:dyDescent="0.25">
      <c r="A17384" t="s">
        <v>16102</v>
      </c>
    </row>
    <row r="17385" spans="1:1" x14ac:dyDescent="0.25">
      <c r="A17385" t="s">
        <v>16103</v>
      </c>
    </row>
    <row r="17386" spans="1:1" x14ac:dyDescent="0.25">
      <c r="A17386" t="s">
        <v>16104</v>
      </c>
    </row>
    <row r="17387" spans="1:1" x14ac:dyDescent="0.25">
      <c r="A17387" t="s">
        <v>16105</v>
      </c>
    </row>
    <row r="17388" spans="1:1" x14ac:dyDescent="0.25">
      <c r="A17388" t="s">
        <v>16106</v>
      </c>
    </row>
    <row r="17389" spans="1:1" x14ac:dyDescent="0.25">
      <c r="A17389" t="s">
        <v>16107</v>
      </c>
    </row>
    <row r="17390" spans="1:1" x14ac:dyDescent="0.25">
      <c r="A17390" t="s">
        <v>16108</v>
      </c>
    </row>
    <row r="17391" spans="1:1" x14ac:dyDescent="0.25">
      <c r="A17391" t="s">
        <v>16109</v>
      </c>
    </row>
    <row r="17392" spans="1:1" x14ac:dyDescent="0.25">
      <c r="A17392" t="s">
        <v>16110</v>
      </c>
    </row>
    <row r="17393" spans="1:1" x14ac:dyDescent="0.25">
      <c r="A17393" t="s">
        <v>16111</v>
      </c>
    </row>
    <row r="17394" spans="1:1" x14ac:dyDescent="0.25">
      <c r="A17394" t="s">
        <v>16112</v>
      </c>
    </row>
    <row r="17396" spans="1:1" x14ac:dyDescent="0.25">
      <c r="A17396" t="s">
        <v>16113</v>
      </c>
    </row>
    <row r="17398" spans="1:1" x14ac:dyDescent="0.25">
      <c r="A17398" t="s">
        <v>16114</v>
      </c>
    </row>
    <row r="17399" spans="1:1" x14ac:dyDescent="0.25">
      <c r="A17399" t="s">
        <v>16115</v>
      </c>
    </row>
    <row r="17401" spans="1:1" x14ac:dyDescent="0.25">
      <c r="A17401" t="s">
        <v>16116</v>
      </c>
    </row>
    <row r="17403" spans="1:1" x14ac:dyDescent="0.25">
      <c r="A17403" t="s">
        <v>16117</v>
      </c>
    </row>
    <row r="17404" spans="1:1" x14ac:dyDescent="0.25">
      <c r="A17404" t="s">
        <v>16118</v>
      </c>
    </row>
    <row r="17405" spans="1:1" x14ac:dyDescent="0.25">
      <c r="A17405" t="s">
        <v>16119</v>
      </c>
    </row>
    <row r="17406" spans="1:1" x14ac:dyDescent="0.25">
      <c r="A17406" t="s">
        <v>16120</v>
      </c>
    </row>
    <row r="17407" spans="1:1" x14ac:dyDescent="0.25">
      <c r="A17407" t="s">
        <v>16121</v>
      </c>
    </row>
    <row r="17408" spans="1:1" x14ac:dyDescent="0.25">
      <c r="A17408" t="s">
        <v>16122</v>
      </c>
    </row>
    <row r="17409" spans="1:1" x14ac:dyDescent="0.25">
      <c r="A17409" t="s">
        <v>16123</v>
      </c>
    </row>
    <row r="17410" spans="1:1" x14ac:dyDescent="0.25">
      <c r="A17410" t="s">
        <v>16124</v>
      </c>
    </row>
    <row r="17411" spans="1:1" x14ac:dyDescent="0.25">
      <c r="A17411" t="s">
        <v>16125</v>
      </c>
    </row>
    <row r="17412" spans="1:1" x14ac:dyDescent="0.25">
      <c r="A17412" t="s">
        <v>16126</v>
      </c>
    </row>
    <row r="17413" spans="1:1" x14ac:dyDescent="0.25">
      <c r="A17413" t="s">
        <v>16127</v>
      </c>
    </row>
    <row r="17414" spans="1:1" x14ac:dyDescent="0.25">
      <c r="A17414" t="s">
        <v>16128</v>
      </c>
    </row>
    <row r="17415" spans="1:1" x14ac:dyDescent="0.25">
      <c r="A17415" t="s">
        <v>16129</v>
      </c>
    </row>
    <row r="17416" spans="1:1" x14ac:dyDescent="0.25">
      <c r="A17416" t="s">
        <v>16130</v>
      </c>
    </row>
    <row r="17417" spans="1:1" x14ac:dyDescent="0.25">
      <c r="A17417" t="s">
        <v>16131</v>
      </c>
    </row>
    <row r="17418" spans="1:1" x14ac:dyDescent="0.25">
      <c r="A17418" t="s">
        <v>16132</v>
      </c>
    </row>
    <row r="17419" spans="1:1" x14ac:dyDescent="0.25">
      <c r="A17419" t="s">
        <v>16133</v>
      </c>
    </row>
    <row r="17420" spans="1:1" x14ac:dyDescent="0.25">
      <c r="A17420" t="s">
        <v>16134</v>
      </c>
    </row>
    <row r="17421" spans="1:1" x14ac:dyDescent="0.25">
      <c r="A17421" t="s">
        <v>16135</v>
      </c>
    </row>
    <row r="17422" spans="1:1" x14ac:dyDescent="0.25">
      <c r="A17422" t="s">
        <v>16136</v>
      </c>
    </row>
    <row r="17423" spans="1:1" x14ac:dyDescent="0.25">
      <c r="A17423" t="s">
        <v>16137</v>
      </c>
    </row>
    <row r="17424" spans="1:1" x14ac:dyDescent="0.25">
      <c r="A17424" t="s">
        <v>16138</v>
      </c>
    </row>
    <row r="17425" spans="1:1" x14ac:dyDescent="0.25">
      <c r="A17425" t="s">
        <v>16139</v>
      </c>
    </row>
    <row r="17426" spans="1:1" x14ac:dyDescent="0.25">
      <c r="A17426" t="s">
        <v>16140</v>
      </c>
    </row>
    <row r="17427" spans="1:1" x14ac:dyDescent="0.25">
      <c r="A17427" t="s">
        <v>16141</v>
      </c>
    </row>
    <row r="17428" spans="1:1" x14ac:dyDescent="0.25">
      <c r="A17428" t="s">
        <v>16142</v>
      </c>
    </row>
    <row r="17429" spans="1:1" x14ac:dyDescent="0.25">
      <c r="A17429" t="s">
        <v>16143</v>
      </c>
    </row>
    <row r="17430" spans="1:1" x14ac:dyDescent="0.25">
      <c r="A17430" t="s">
        <v>16144</v>
      </c>
    </row>
    <row r="17431" spans="1:1" x14ac:dyDescent="0.25">
      <c r="A17431" t="s">
        <v>16145</v>
      </c>
    </row>
    <row r="17432" spans="1:1" x14ac:dyDescent="0.25">
      <c r="A17432" t="s">
        <v>16146</v>
      </c>
    </row>
    <row r="17433" spans="1:1" x14ac:dyDescent="0.25">
      <c r="A17433" t="s">
        <v>16147</v>
      </c>
    </row>
    <row r="17434" spans="1:1" x14ac:dyDescent="0.25">
      <c r="A17434" t="s">
        <v>16148</v>
      </c>
    </row>
    <row r="17435" spans="1:1" x14ac:dyDescent="0.25">
      <c r="A17435" t="s">
        <v>16149</v>
      </c>
    </row>
    <row r="17436" spans="1:1" x14ac:dyDescent="0.25">
      <c r="A17436" t="s">
        <v>16150</v>
      </c>
    </row>
    <row r="17437" spans="1:1" x14ac:dyDescent="0.25">
      <c r="A17437" t="s">
        <v>16151</v>
      </c>
    </row>
    <row r="17438" spans="1:1" x14ac:dyDescent="0.25">
      <c r="A17438" t="s">
        <v>16152</v>
      </c>
    </row>
    <row r="17439" spans="1:1" x14ac:dyDescent="0.25">
      <c r="A17439" t="s">
        <v>16153</v>
      </c>
    </row>
    <row r="17440" spans="1:1" x14ac:dyDescent="0.25">
      <c r="A17440" t="s">
        <v>16154</v>
      </c>
    </row>
    <row r="17441" spans="1:1" x14ac:dyDescent="0.25">
      <c r="A17441" t="s">
        <v>16155</v>
      </c>
    </row>
    <row r="17442" spans="1:1" x14ac:dyDescent="0.25">
      <c r="A17442" t="s">
        <v>16156</v>
      </c>
    </row>
    <row r="17443" spans="1:1" x14ac:dyDescent="0.25">
      <c r="A17443" t="s">
        <v>16157</v>
      </c>
    </row>
    <row r="17444" spans="1:1" x14ac:dyDescent="0.25">
      <c r="A17444" t="s">
        <v>16158</v>
      </c>
    </row>
    <row r="17445" spans="1:1" x14ac:dyDescent="0.25">
      <c r="A17445" t="s">
        <v>16159</v>
      </c>
    </row>
    <row r="17446" spans="1:1" x14ac:dyDescent="0.25">
      <c r="A17446" t="s">
        <v>16160</v>
      </c>
    </row>
    <row r="17447" spans="1:1" x14ac:dyDescent="0.25">
      <c r="A17447" t="s">
        <v>16161</v>
      </c>
    </row>
    <row r="17448" spans="1:1" x14ac:dyDescent="0.25">
      <c r="A17448" t="s">
        <v>16162</v>
      </c>
    </row>
    <row r="17449" spans="1:1" x14ac:dyDescent="0.25">
      <c r="A17449" t="s">
        <v>16163</v>
      </c>
    </row>
    <row r="17450" spans="1:1" x14ac:dyDescent="0.25">
      <c r="A17450" t="s">
        <v>16164</v>
      </c>
    </row>
    <row r="17451" spans="1:1" x14ac:dyDescent="0.25">
      <c r="A17451" t="s">
        <v>16165</v>
      </c>
    </row>
    <row r="17452" spans="1:1" x14ac:dyDescent="0.25">
      <c r="A17452" t="s">
        <v>16166</v>
      </c>
    </row>
    <row r="17453" spans="1:1" x14ac:dyDescent="0.25">
      <c r="A17453" t="s">
        <v>16167</v>
      </c>
    </row>
    <row r="17454" spans="1:1" x14ac:dyDescent="0.25">
      <c r="A17454" t="s">
        <v>16168</v>
      </c>
    </row>
    <row r="17455" spans="1:1" x14ac:dyDescent="0.25">
      <c r="A17455" t="s">
        <v>16169</v>
      </c>
    </row>
    <row r="17456" spans="1:1" x14ac:dyDescent="0.25">
      <c r="A17456" t="s">
        <v>16170</v>
      </c>
    </row>
    <row r="17457" spans="1:1" x14ac:dyDescent="0.25">
      <c r="A17457" t="s">
        <v>16171</v>
      </c>
    </row>
    <row r="17458" spans="1:1" x14ac:dyDescent="0.25">
      <c r="A17458" t="s">
        <v>16172</v>
      </c>
    </row>
    <row r="17459" spans="1:1" x14ac:dyDescent="0.25">
      <c r="A17459" t="s">
        <v>16173</v>
      </c>
    </row>
    <row r="17460" spans="1:1" x14ac:dyDescent="0.25">
      <c r="A17460" t="s">
        <v>16174</v>
      </c>
    </row>
    <row r="17461" spans="1:1" x14ac:dyDescent="0.25">
      <c r="A17461" t="s">
        <v>16175</v>
      </c>
    </row>
    <row r="17462" spans="1:1" x14ac:dyDescent="0.25">
      <c r="A17462" t="s">
        <v>16176</v>
      </c>
    </row>
    <row r="17463" spans="1:1" x14ac:dyDescent="0.25">
      <c r="A17463" t="s">
        <v>16177</v>
      </c>
    </row>
    <row r="17464" spans="1:1" x14ac:dyDescent="0.25">
      <c r="A17464" t="s">
        <v>16178</v>
      </c>
    </row>
    <row r="17465" spans="1:1" x14ac:dyDescent="0.25">
      <c r="A17465" t="s">
        <v>16179</v>
      </c>
    </row>
    <row r="17466" spans="1:1" x14ac:dyDescent="0.25">
      <c r="A17466" t="s">
        <v>16180</v>
      </c>
    </row>
    <row r="17467" spans="1:1" x14ac:dyDescent="0.25">
      <c r="A17467" t="s">
        <v>16181</v>
      </c>
    </row>
    <row r="17468" spans="1:1" x14ac:dyDescent="0.25">
      <c r="A17468" t="s">
        <v>16182</v>
      </c>
    </row>
    <row r="17469" spans="1:1" x14ac:dyDescent="0.25">
      <c r="A17469" t="s">
        <v>16183</v>
      </c>
    </row>
    <row r="17470" spans="1:1" x14ac:dyDescent="0.25">
      <c r="A17470" t="s">
        <v>16184</v>
      </c>
    </row>
    <row r="17471" spans="1:1" x14ac:dyDescent="0.25">
      <c r="A17471" t="s">
        <v>16185</v>
      </c>
    </row>
    <row r="17472" spans="1:1" x14ac:dyDescent="0.25">
      <c r="A17472" t="s">
        <v>16186</v>
      </c>
    </row>
    <row r="17473" spans="1:1" x14ac:dyDescent="0.25">
      <c r="A17473" t="s">
        <v>16187</v>
      </c>
    </row>
    <row r="17474" spans="1:1" x14ac:dyDescent="0.25">
      <c r="A17474" t="s">
        <v>16188</v>
      </c>
    </row>
    <row r="17475" spans="1:1" x14ac:dyDescent="0.25">
      <c r="A17475" t="s">
        <v>16189</v>
      </c>
    </row>
    <row r="17476" spans="1:1" x14ac:dyDescent="0.25">
      <c r="A17476" t="s">
        <v>16190</v>
      </c>
    </row>
    <row r="17477" spans="1:1" x14ac:dyDescent="0.25">
      <c r="A17477" t="s">
        <v>16191</v>
      </c>
    </row>
    <row r="17478" spans="1:1" x14ac:dyDescent="0.25">
      <c r="A17478" t="s">
        <v>16192</v>
      </c>
    </row>
    <row r="17479" spans="1:1" x14ac:dyDescent="0.25">
      <c r="A17479" t="s">
        <v>16193</v>
      </c>
    </row>
    <row r="17480" spans="1:1" x14ac:dyDescent="0.25">
      <c r="A17480" t="s">
        <v>16194</v>
      </c>
    </row>
    <row r="17481" spans="1:1" x14ac:dyDescent="0.25">
      <c r="A17481" t="s">
        <v>16195</v>
      </c>
    </row>
    <row r="17482" spans="1:1" x14ac:dyDescent="0.25">
      <c r="A17482" t="s">
        <v>16196</v>
      </c>
    </row>
    <row r="17483" spans="1:1" x14ac:dyDescent="0.25">
      <c r="A17483" t="s">
        <v>16197</v>
      </c>
    </row>
    <row r="17484" spans="1:1" x14ac:dyDescent="0.25">
      <c r="A17484" t="s">
        <v>16198</v>
      </c>
    </row>
    <row r="17485" spans="1:1" x14ac:dyDescent="0.25">
      <c r="A17485" t="s">
        <v>16199</v>
      </c>
    </row>
    <row r="17486" spans="1:1" x14ac:dyDescent="0.25">
      <c r="A17486" t="s">
        <v>16200</v>
      </c>
    </row>
    <row r="17487" spans="1:1" x14ac:dyDescent="0.25">
      <c r="A17487" t="s">
        <v>16201</v>
      </c>
    </row>
    <row r="17488" spans="1:1" x14ac:dyDescent="0.25">
      <c r="A17488" t="s">
        <v>16202</v>
      </c>
    </row>
    <row r="17489" spans="1:1" x14ac:dyDescent="0.25">
      <c r="A17489" t="s">
        <v>16203</v>
      </c>
    </row>
    <row r="17490" spans="1:1" x14ac:dyDescent="0.25">
      <c r="A17490" t="s">
        <v>16204</v>
      </c>
    </row>
    <row r="17491" spans="1:1" x14ac:dyDescent="0.25">
      <c r="A17491" t="s">
        <v>16205</v>
      </c>
    </row>
    <row r="17492" spans="1:1" x14ac:dyDescent="0.25">
      <c r="A17492" t="s">
        <v>16206</v>
      </c>
    </row>
    <row r="17493" spans="1:1" x14ac:dyDescent="0.25">
      <c r="A17493" t="s">
        <v>16207</v>
      </c>
    </row>
    <row r="17494" spans="1:1" x14ac:dyDescent="0.25">
      <c r="A17494" t="s">
        <v>16208</v>
      </c>
    </row>
    <row r="17495" spans="1:1" x14ac:dyDescent="0.25">
      <c r="A17495" t="s">
        <v>16209</v>
      </c>
    </row>
    <row r="17496" spans="1:1" x14ac:dyDescent="0.25">
      <c r="A17496" t="s">
        <v>16210</v>
      </c>
    </row>
    <row r="17497" spans="1:1" x14ac:dyDescent="0.25">
      <c r="A17497" t="s">
        <v>16211</v>
      </c>
    </row>
    <row r="17498" spans="1:1" x14ac:dyDescent="0.25">
      <c r="A17498" t="s">
        <v>16212</v>
      </c>
    </row>
    <row r="17499" spans="1:1" x14ac:dyDescent="0.25">
      <c r="A17499" t="s">
        <v>16213</v>
      </c>
    </row>
    <row r="17500" spans="1:1" x14ac:dyDescent="0.25">
      <c r="A17500" t="s">
        <v>16214</v>
      </c>
    </row>
    <row r="17501" spans="1:1" x14ac:dyDescent="0.25">
      <c r="A17501" t="s">
        <v>16215</v>
      </c>
    </row>
    <row r="17502" spans="1:1" x14ac:dyDescent="0.25">
      <c r="A17502" t="s">
        <v>16216</v>
      </c>
    </row>
    <row r="17503" spans="1:1" x14ac:dyDescent="0.25">
      <c r="A17503" t="s">
        <v>16217</v>
      </c>
    </row>
    <row r="17504" spans="1:1" x14ac:dyDescent="0.25">
      <c r="A17504" t="s">
        <v>16218</v>
      </c>
    </row>
    <row r="17505" spans="1:1" x14ac:dyDescent="0.25">
      <c r="A17505" t="s">
        <v>16219</v>
      </c>
    </row>
    <row r="17506" spans="1:1" x14ac:dyDescent="0.25">
      <c r="A17506" t="s">
        <v>16220</v>
      </c>
    </row>
    <row r="17507" spans="1:1" x14ac:dyDescent="0.25">
      <c r="A17507" t="s">
        <v>16221</v>
      </c>
    </row>
    <row r="17508" spans="1:1" x14ac:dyDescent="0.25">
      <c r="A17508" t="s">
        <v>16222</v>
      </c>
    </row>
    <row r="17509" spans="1:1" x14ac:dyDescent="0.25">
      <c r="A17509" t="s">
        <v>16223</v>
      </c>
    </row>
    <row r="17510" spans="1:1" x14ac:dyDescent="0.25">
      <c r="A17510" t="s">
        <v>16224</v>
      </c>
    </row>
    <row r="17511" spans="1:1" x14ac:dyDescent="0.25">
      <c r="A17511" t="s">
        <v>16225</v>
      </c>
    </row>
    <row r="17512" spans="1:1" x14ac:dyDescent="0.25">
      <c r="A17512" t="s">
        <v>16226</v>
      </c>
    </row>
    <row r="17513" spans="1:1" x14ac:dyDescent="0.25">
      <c r="A17513" t="s">
        <v>16227</v>
      </c>
    </row>
    <row r="17514" spans="1:1" x14ac:dyDescent="0.25">
      <c r="A17514" t="s">
        <v>16228</v>
      </c>
    </row>
    <row r="17515" spans="1:1" x14ac:dyDescent="0.25">
      <c r="A17515" t="s">
        <v>16229</v>
      </c>
    </row>
    <row r="17516" spans="1:1" x14ac:dyDescent="0.25">
      <c r="A17516" t="s">
        <v>16230</v>
      </c>
    </row>
    <row r="17517" spans="1:1" x14ac:dyDescent="0.25">
      <c r="A17517" t="s">
        <v>16231</v>
      </c>
    </row>
    <row r="17518" spans="1:1" x14ac:dyDescent="0.25">
      <c r="A17518" t="s">
        <v>16232</v>
      </c>
    </row>
    <row r="17519" spans="1:1" x14ac:dyDescent="0.25">
      <c r="A17519" t="s">
        <v>16233</v>
      </c>
    </row>
    <row r="17520" spans="1:1" x14ac:dyDescent="0.25">
      <c r="A17520" t="s">
        <v>16234</v>
      </c>
    </row>
    <row r="17521" spans="1:1" x14ac:dyDescent="0.25">
      <c r="A17521" t="s">
        <v>16235</v>
      </c>
    </row>
    <row r="17522" spans="1:1" x14ac:dyDescent="0.25">
      <c r="A17522" t="s">
        <v>16236</v>
      </c>
    </row>
    <row r="17523" spans="1:1" x14ac:dyDescent="0.25">
      <c r="A17523" t="s">
        <v>16237</v>
      </c>
    </row>
    <row r="17524" spans="1:1" x14ac:dyDescent="0.25">
      <c r="A17524" t="s">
        <v>16238</v>
      </c>
    </row>
    <row r="17525" spans="1:1" x14ac:dyDescent="0.25">
      <c r="A17525" t="s">
        <v>16239</v>
      </c>
    </row>
    <row r="17526" spans="1:1" x14ac:dyDescent="0.25">
      <c r="A17526" t="s">
        <v>16240</v>
      </c>
    </row>
    <row r="17527" spans="1:1" x14ac:dyDescent="0.25">
      <c r="A17527" t="s">
        <v>16241</v>
      </c>
    </row>
    <row r="17528" spans="1:1" x14ac:dyDescent="0.25">
      <c r="A17528" t="s">
        <v>16242</v>
      </c>
    </row>
    <row r="17529" spans="1:1" x14ac:dyDescent="0.25">
      <c r="A17529" t="s">
        <v>16243</v>
      </c>
    </row>
    <row r="17530" spans="1:1" x14ac:dyDescent="0.25">
      <c r="A17530" t="s">
        <v>16244</v>
      </c>
    </row>
    <row r="17531" spans="1:1" x14ac:dyDescent="0.25">
      <c r="A17531" t="s">
        <v>16245</v>
      </c>
    </row>
    <row r="17532" spans="1:1" x14ac:dyDescent="0.25">
      <c r="A17532" t="s">
        <v>16246</v>
      </c>
    </row>
    <row r="17533" spans="1:1" x14ac:dyDescent="0.25">
      <c r="A17533" t="s">
        <v>16247</v>
      </c>
    </row>
    <row r="17534" spans="1:1" x14ac:dyDescent="0.25">
      <c r="A17534" t="s">
        <v>16248</v>
      </c>
    </row>
    <row r="17535" spans="1:1" x14ac:dyDescent="0.25">
      <c r="A17535" t="s">
        <v>16249</v>
      </c>
    </row>
    <row r="17536" spans="1:1" x14ac:dyDescent="0.25">
      <c r="A17536" t="s">
        <v>16250</v>
      </c>
    </row>
    <row r="17537" spans="1:1" x14ac:dyDescent="0.25">
      <c r="A17537" t="s">
        <v>16251</v>
      </c>
    </row>
    <row r="17538" spans="1:1" x14ac:dyDescent="0.25">
      <c r="A17538" t="s">
        <v>16252</v>
      </c>
    </row>
    <row r="17539" spans="1:1" x14ac:dyDescent="0.25">
      <c r="A17539" t="s">
        <v>16253</v>
      </c>
    </row>
    <row r="17540" spans="1:1" x14ac:dyDescent="0.25">
      <c r="A17540" t="s">
        <v>16254</v>
      </c>
    </row>
    <row r="17541" spans="1:1" x14ac:dyDescent="0.25">
      <c r="A17541" t="s">
        <v>16255</v>
      </c>
    </row>
    <row r="17542" spans="1:1" x14ac:dyDescent="0.25">
      <c r="A17542" t="s">
        <v>16256</v>
      </c>
    </row>
    <row r="17543" spans="1:1" x14ac:dyDescent="0.25">
      <c r="A17543" t="s">
        <v>16257</v>
      </c>
    </row>
    <row r="17544" spans="1:1" x14ac:dyDescent="0.25">
      <c r="A17544" t="s">
        <v>16258</v>
      </c>
    </row>
    <row r="17545" spans="1:1" x14ac:dyDescent="0.25">
      <c r="A17545" t="s">
        <v>16259</v>
      </c>
    </row>
    <row r="17546" spans="1:1" x14ac:dyDescent="0.25">
      <c r="A17546" t="s">
        <v>16260</v>
      </c>
    </row>
    <row r="17547" spans="1:1" x14ac:dyDescent="0.25">
      <c r="A17547" t="s">
        <v>16261</v>
      </c>
    </row>
    <row r="17548" spans="1:1" x14ac:dyDescent="0.25">
      <c r="A17548" t="s">
        <v>16262</v>
      </c>
    </row>
    <row r="17549" spans="1:1" x14ac:dyDescent="0.25">
      <c r="A17549" t="s">
        <v>16263</v>
      </c>
    </row>
    <row r="17550" spans="1:1" x14ac:dyDescent="0.25">
      <c r="A17550" t="s">
        <v>16264</v>
      </c>
    </row>
    <row r="17551" spans="1:1" x14ac:dyDescent="0.25">
      <c r="A17551" t="s">
        <v>16265</v>
      </c>
    </row>
    <row r="17552" spans="1:1" x14ac:dyDescent="0.25">
      <c r="A17552" t="s">
        <v>16266</v>
      </c>
    </row>
    <row r="17553" spans="1:1" x14ac:dyDescent="0.25">
      <c r="A17553" t="s">
        <v>16267</v>
      </c>
    </row>
    <row r="17554" spans="1:1" x14ac:dyDescent="0.25">
      <c r="A17554" t="s">
        <v>16268</v>
      </c>
    </row>
    <row r="17555" spans="1:1" x14ac:dyDescent="0.25">
      <c r="A17555" t="s">
        <v>16269</v>
      </c>
    </row>
    <row r="17556" spans="1:1" x14ac:dyDescent="0.25">
      <c r="A17556" t="s">
        <v>16270</v>
      </c>
    </row>
    <row r="17557" spans="1:1" x14ac:dyDescent="0.25">
      <c r="A17557" t="s">
        <v>16271</v>
      </c>
    </row>
    <row r="17558" spans="1:1" x14ac:dyDescent="0.25">
      <c r="A17558" t="s">
        <v>16272</v>
      </c>
    </row>
    <row r="17559" spans="1:1" x14ac:dyDescent="0.25">
      <c r="A17559" t="s">
        <v>16273</v>
      </c>
    </row>
    <row r="17560" spans="1:1" x14ac:dyDescent="0.25">
      <c r="A17560" t="s">
        <v>16274</v>
      </c>
    </row>
    <row r="17561" spans="1:1" x14ac:dyDescent="0.25">
      <c r="A17561" t="s">
        <v>16275</v>
      </c>
    </row>
    <row r="17562" spans="1:1" x14ac:dyDescent="0.25">
      <c r="A17562" t="s">
        <v>16276</v>
      </c>
    </row>
    <row r="17563" spans="1:1" x14ac:dyDescent="0.25">
      <c r="A17563" t="s">
        <v>16277</v>
      </c>
    </row>
    <row r="17564" spans="1:1" x14ac:dyDescent="0.25">
      <c r="A17564" t="s">
        <v>16278</v>
      </c>
    </row>
    <row r="17565" spans="1:1" x14ac:dyDescent="0.25">
      <c r="A17565" t="s">
        <v>16279</v>
      </c>
    </row>
    <row r="17566" spans="1:1" x14ac:dyDescent="0.25">
      <c r="A17566" t="s">
        <v>16280</v>
      </c>
    </row>
    <row r="17567" spans="1:1" x14ac:dyDescent="0.25">
      <c r="A17567" t="s">
        <v>16281</v>
      </c>
    </row>
    <row r="17568" spans="1:1" x14ac:dyDescent="0.25">
      <c r="A17568" t="s">
        <v>16282</v>
      </c>
    </row>
    <row r="17569" spans="1:1" x14ac:dyDescent="0.25">
      <c r="A17569" t="s">
        <v>16283</v>
      </c>
    </row>
    <row r="17570" spans="1:1" x14ac:dyDescent="0.25">
      <c r="A17570" t="s">
        <v>16284</v>
      </c>
    </row>
    <row r="17571" spans="1:1" x14ac:dyDescent="0.25">
      <c r="A17571" t="s">
        <v>16285</v>
      </c>
    </row>
    <row r="17572" spans="1:1" x14ac:dyDescent="0.25">
      <c r="A17572" t="s">
        <v>16286</v>
      </c>
    </row>
    <row r="17573" spans="1:1" x14ac:dyDescent="0.25">
      <c r="A17573" t="s">
        <v>16287</v>
      </c>
    </row>
    <row r="17574" spans="1:1" x14ac:dyDescent="0.25">
      <c r="A17574" t="s">
        <v>16288</v>
      </c>
    </row>
    <row r="17575" spans="1:1" x14ac:dyDescent="0.25">
      <c r="A17575" t="s">
        <v>16289</v>
      </c>
    </row>
    <row r="17576" spans="1:1" x14ac:dyDescent="0.25">
      <c r="A17576" t="s">
        <v>16290</v>
      </c>
    </row>
    <row r="17577" spans="1:1" x14ac:dyDescent="0.25">
      <c r="A17577" t="s">
        <v>16291</v>
      </c>
    </row>
    <row r="17578" spans="1:1" x14ac:dyDescent="0.25">
      <c r="A17578" t="s">
        <v>16292</v>
      </c>
    </row>
    <row r="17580" spans="1:1" x14ac:dyDescent="0.25">
      <c r="A17580" t="s">
        <v>16293</v>
      </c>
    </row>
    <row r="17581" spans="1:1" x14ac:dyDescent="0.25">
      <c r="A17581" t="s">
        <v>16294</v>
      </c>
    </row>
    <row r="17582" spans="1:1" x14ac:dyDescent="0.25">
      <c r="A17582" t="s">
        <v>16295</v>
      </c>
    </row>
    <row r="17583" spans="1:1" x14ac:dyDescent="0.25">
      <c r="A17583" t="s">
        <v>16296</v>
      </c>
    </row>
    <row r="17584" spans="1:1" x14ac:dyDescent="0.25">
      <c r="A17584" t="s">
        <v>16297</v>
      </c>
    </row>
    <row r="17585" spans="1:1" x14ac:dyDescent="0.25">
      <c r="A17585" t="s">
        <v>16298</v>
      </c>
    </row>
    <row r="17586" spans="1:1" x14ac:dyDescent="0.25">
      <c r="A17586" t="s">
        <v>16299</v>
      </c>
    </row>
    <row r="17587" spans="1:1" x14ac:dyDescent="0.25">
      <c r="A17587" t="s">
        <v>16300</v>
      </c>
    </row>
    <row r="17588" spans="1:1" x14ac:dyDescent="0.25">
      <c r="A17588" t="s">
        <v>16301</v>
      </c>
    </row>
    <row r="17589" spans="1:1" x14ac:dyDescent="0.25">
      <c r="A17589" t="s">
        <v>16302</v>
      </c>
    </row>
    <row r="17590" spans="1:1" x14ac:dyDescent="0.25">
      <c r="A17590" t="s">
        <v>16303</v>
      </c>
    </row>
    <row r="17591" spans="1:1" x14ac:dyDescent="0.25">
      <c r="A17591" t="s">
        <v>16304</v>
      </c>
    </row>
    <row r="17593" spans="1:1" x14ac:dyDescent="0.25">
      <c r="A17593" t="s">
        <v>16305</v>
      </c>
    </row>
    <row r="17594" spans="1:1" x14ac:dyDescent="0.25">
      <c r="A17594" t="s">
        <v>16306</v>
      </c>
    </row>
    <row r="17595" spans="1:1" x14ac:dyDescent="0.25">
      <c r="A17595" t="s">
        <v>16307</v>
      </c>
    </row>
    <row r="17596" spans="1:1" x14ac:dyDescent="0.25">
      <c r="A17596" t="s">
        <v>16308</v>
      </c>
    </row>
    <row r="17597" spans="1:1" x14ac:dyDescent="0.25">
      <c r="A17597" t="s">
        <v>16309</v>
      </c>
    </row>
    <row r="17598" spans="1:1" x14ac:dyDescent="0.25">
      <c r="A17598" t="s">
        <v>16310</v>
      </c>
    </row>
    <row r="17599" spans="1:1" x14ac:dyDescent="0.25">
      <c r="A17599" t="s">
        <v>16311</v>
      </c>
    </row>
    <row r="17600" spans="1:1" x14ac:dyDescent="0.25">
      <c r="A17600" t="s">
        <v>16312</v>
      </c>
    </row>
    <row r="17601" spans="1:1" x14ac:dyDescent="0.25">
      <c r="A17601" t="s">
        <v>16313</v>
      </c>
    </row>
    <row r="17602" spans="1:1" x14ac:dyDescent="0.25">
      <c r="A17602" t="s">
        <v>16314</v>
      </c>
    </row>
    <row r="17603" spans="1:1" x14ac:dyDescent="0.25">
      <c r="A17603" t="s">
        <v>16315</v>
      </c>
    </row>
    <row r="17604" spans="1:1" x14ac:dyDescent="0.25">
      <c r="A17604" t="s">
        <v>16316</v>
      </c>
    </row>
    <row r="17607" spans="1:1" x14ac:dyDescent="0.25">
      <c r="A17607" t="s">
        <v>16317</v>
      </c>
    </row>
    <row r="17609" spans="1:1" x14ac:dyDescent="0.25">
      <c r="A17609" t="s">
        <v>16318</v>
      </c>
    </row>
    <row r="17610" spans="1:1" x14ac:dyDescent="0.25">
      <c r="A17610" t="s">
        <v>16319</v>
      </c>
    </row>
    <row r="17611" spans="1:1" x14ac:dyDescent="0.25">
      <c r="A17611" t="s">
        <v>16320</v>
      </c>
    </row>
    <row r="17612" spans="1:1" x14ac:dyDescent="0.25">
      <c r="A17612" t="s">
        <v>16321</v>
      </c>
    </row>
    <row r="17614" spans="1:1" x14ac:dyDescent="0.25">
      <c r="A17614" t="s">
        <v>16322</v>
      </c>
    </row>
    <row r="17615" spans="1:1" x14ac:dyDescent="0.25">
      <c r="A17615" t="s">
        <v>16323</v>
      </c>
    </row>
    <row r="17616" spans="1:1" x14ac:dyDescent="0.25">
      <c r="A17616" t="s">
        <v>16324</v>
      </c>
    </row>
    <row r="17617" spans="1:1" x14ac:dyDescent="0.25">
      <c r="A17617" t="s">
        <v>16325</v>
      </c>
    </row>
    <row r="17618" spans="1:1" x14ac:dyDescent="0.25">
      <c r="A17618" t="s">
        <v>16326</v>
      </c>
    </row>
    <row r="17619" spans="1:1" x14ac:dyDescent="0.25">
      <c r="A17619" t="s">
        <v>16327</v>
      </c>
    </row>
    <row r="17620" spans="1:1" x14ac:dyDescent="0.25">
      <c r="A17620" t="s">
        <v>16328</v>
      </c>
    </row>
    <row r="17621" spans="1:1" x14ac:dyDescent="0.25">
      <c r="A17621" t="s">
        <v>16329</v>
      </c>
    </row>
    <row r="17622" spans="1:1" x14ac:dyDescent="0.25">
      <c r="A17622" t="s">
        <v>16330</v>
      </c>
    </row>
    <row r="17623" spans="1:1" x14ac:dyDescent="0.25">
      <c r="A17623" t="s">
        <v>16331</v>
      </c>
    </row>
    <row r="17624" spans="1:1" x14ac:dyDescent="0.25">
      <c r="A17624" t="s">
        <v>16332</v>
      </c>
    </row>
    <row r="17625" spans="1:1" x14ac:dyDescent="0.25">
      <c r="A17625" t="s">
        <v>16333</v>
      </c>
    </row>
    <row r="17626" spans="1:1" x14ac:dyDescent="0.25">
      <c r="A17626" t="s">
        <v>16334</v>
      </c>
    </row>
    <row r="17627" spans="1:1" x14ac:dyDescent="0.25">
      <c r="A17627" t="s">
        <v>16335</v>
      </c>
    </row>
    <row r="17628" spans="1:1" x14ac:dyDescent="0.25">
      <c r="A17628" t="s">
        <v>16336</v>
      </c>
    </row>
    <row r="17629" spans="1:1" x14ac:dyDescent="0.25">
      <c r="A17629" t="s">
        <v>16337</v>
      </c>
    </row>
    <row r="17630" spans="1:1" x14ac:dyDescent="0.25">
      <c r="A17630" t="s">
        <v>16338</v>
      </c>
    </row>
    <row r="17631" spans="1:1" x14ac:dyDescent="0.25">
      <c r="A17631" t="s">
        <v>16339</v>
      </c>
    </row>
    <row r="17632" spans="1:1" x14ac:dyDescent="0.25">
      <c r="A17632" t="s">
        <v>16340</v>
      </c>
    </row>
    <row r="17633" spans="1:1" x14ac:dyDescent="0.25">
      <c r="A17633" t="s">
        <v>16341</v>
      </c>
    </row>
    <row r="17634" spans="1:1" x14ac:dyDescent="0.25">
      <c r="A17634" t="s">
        <v>16342</v>
      </c>
    </row>
    <row r="17635" spans="1:1" x14ac:dyDescent="0.25">
      <c r="A17635" t="s">
        <v>16343</v>
      </c>
    </row>
    <row r="17636" spans="1:1" x14ac:dyDescent="0.25">
      <c r="A17636" t="s">
        <v>16344</v>
      </c>
    </row>
    <row r="17637" spans="1:1" x14ac:dyDescent="0.25">
      <c r="A17637" t="s">
        <v>16345</v>
      </c>
    </row>
    <row r="17638" spans="1:1" x14ac:dyDescent="0.25">
      <c r="A17638" t="s">
        <v>16346</v>
      </c>
    </row>
    <row r="17639" spans="1:1" x14ac:dyDescent="0.25">
      <c r="A17639" t="s">
        <v>16347</v>
      </c>
    </row>
    <row r="17640" spans="1:1" x14ac:dyDescent="0.25">
      <c r="A17640" t="s">
        <v>16348</v>
      </c>
    </row>
    <row r="17641" spans="1:1" x14ac:dyDescent="0.25">
      <c r="A17641" t="s">
        <v>16349</v>
      </c>
    </row>
    <row r="17642" spans="1:1" x14ac:dyDescent="0.25">
      <c r="A17642" t="s">
        <v>16350</v>
      </c>
    </row>
    <row r="17643" spans="1:1" x14ac:dyDescent="0.25">
      <c r="A17643" t="s">
        <v>16351</v>
      </c>
    </row>
    <row r="17644" spans="1:1" x14ac:dyDescent="0.25">
      <c r="A17644" t="s">
        <v>16352</v>
      </c>
    </row>
    <row r="17645" spans="1:1" x14ac:dyDescent="0.25">
      <c r="A17645" t="s">
        <v>16353</v>
      </c>
    </row>
    <row r="17646" spans="1:1" x14ac:dyDescent="0.25">
      <c r="A17646" t="s">
        <v>16354</v>
      </c>
    </row>
    <row r="17647" spans="1:1" x14ac:dyDescent="0.25">
      <c r="A17647" t="s">
        <v>16355</v>
      </c>
    </row>
    <row r="17648" spans="1:1" x14ac:dyDescent="0.25">
      <c r="A17648" t="s">
        <v>16356</v>
      </c>
    </row>
    <row r="17649" spans="1:1" x14ac:dyDescent="0.25">
      <c r="A17649" t="s">
        <v>16357</v>
      </c>
    </row>
    <row r="17650" spans="1:1" x14ac:dyDescent="0.25">
      <c r="A17650" t="s">
        <v>16358</v>
      </c>
    </row>
    <row r="17651" spans="1:1" x14ac:dyDescent="0.25">
      <c r="A17651" t="s">
        <v>16359</v>
      </c>
    </row>
    <row r="17652" spans="1:1" x14ac:dyDescent="0.25">
      <c r="A17652" t="s">
        <v>16360</v>
      </c>
    </row>
    <row r="17653" spans="1:1" x14ac:dyDescent="0.25">
      <c r="A17653" t="s">
        <v>16361</v>
      </c>
    </row>
    <row r="17654" spans="1:1" x14ac:dyDescent="0.25">
      <c r="A17654" t="s">
        <v>16362</v>
      </c>
    </row>
    <row r="17655" spans="1:1" x14ac:dyDescent="0.25">
      <c r="A17655" t="s">
        <v>16363</v>
      </c>
    </row>
    <row r="17656" spans="1:1" x14ac:dyDescent="0.25">
      <c r="A17656" t="s">
        <v>16364</v>
      </c>
    </row>
    <row r="17657" spans="1:1" x14ac:dyDescent="0.25">
      <c r="A17657" t="s">
        <v>16365</v>
      </c>
    </row>
    <row r="17658" spans="1:1" x14ac:dyDescent="0.25">
      <c r="A17658" t="s">
        <v>16366</v>
      </c>
    </row>
    <row r="17659" spans="1:1" x14ac:dyDescent="0.25">
      <c r="A17659" t="s">
        <v>16367</v>
      </c>
    </row>
    <row r="17660" spans="1:1" x14ac:dyDescent="0.25">
      <c r="A17660" t="s">
        <v>16368</v>
      </c>
    </row>
    <row r="17661" spans="1:1" x14ac:dyDescent="0.25">
      <c r="A17661" t="s">
        <v>16369</v>
      </c>
    </row>
    <row r="17662" spans="1:1" x14ac:dyDescent="0.25">
      <c r="A17662" t="s">
        <v>16370</v>
      </c>
    </row>
    <row r="17663" spans="1:1" x14ac:dyDescent="0.25">
      <c r="A17663" t="s">
        <v>16371</v>
      </c>
    </row>
    <row r="17664" spans="1:1" x14ac:dyDescent="0.25">
      <c r="A17664" t="s">
        <v>16372</v>
      </c>
    </row>
    <row r="17665" spans="1:1" x14ac:dyDescent="0.25">
      <c r="A17665" t="s">
        <v>16373</v>
      </c>
    </row>
    <row r="17666" spans="1:1" x14ac:dyDescent="0.25">
      <c r="A17666" t="s">
        <v>16374</v>
      </c>
    </row>
    <row r="17667" spans="1:1" x14ac:dyDescent="0.25">
      <c r="A17667" t="s">
        <v>16375</v>
      </c>
    </row>
    <row r="17668" spans="1:1" x14ac:dyDescent="0.25">
      <c r="A17668" t="s">
        <v>16376</v>
      </c>
    </row>
    <row r="17669" spans="1:1" x14ac:dyDescent="0.25">
      <c r="A17669" t="s">
        <v>16377</v>
      </c>
    </row>
    <row r="17670" spans="1:1" x14ac:dyDescent="0.25">
      <c r="A17670" t="s">
        <v>16378</v>
      </c>
    </row>
    <row r="17671" spans="1:1" x14ac:dyDescent="0.25">
      <c r="A17671" t="s">
        <v>16379</v>
      </c>
    </row>
    <row r="17672" spans="1:1" x14ac:dyDescent="0.25">
      <c r="A17672" t="s">
        <v>16380</v>
      </c>
    </row>
    <row r="17673" spans="1:1" x14ac:dyDescent="0.25">
      <c r="A17673" t="s">
        <v>16381</v>
      </c>
    </row>
    <row r="17674" spans="1:1" x14ac:dyDescent="0.25">
      <c r="A17674" t="s">
        <v>16382</v>
      </c>
    </row>
    <row r="17675" spans="1:1" x14ac:dyDescent="0.25">
      <c r="A17675" t="s">
        <v>16383</v>
      </c>
    </row>
    <row r="17676" spans="1:1" x14ac:dyDescent="0.25">
      <c r="A17676" t="s">
        <v>16384</v>
      </c>
    </row>
    <row r="17677" spans="1:1" x14ac:dyDescent="0.25">
      <c r="A17677" t="s">
        <v>16385</v>
      </c>
    </row>
    <row r="17678" spans="1:1" x14ac:dyDescent="0.25">
      <c r="A17678" t="s">
        <v>16386</v>
      </c>
    </row>
    <row r="17679" spans="1:1" x14ac:dyDescent="0.25">
      <c r="A17679" t="s">
        <v>16387</v>
      </c>
    </row>
    <row r="17680" spans="1:1" x14ac:dyDescent="0.25">
      <c r="A17680" t="s">
        <v>16388</v>
      </c>
    </row>
    <row r="17681" spans="1:1" x14ac:dyDescent="0.25">
      <c r="A17681" t="s">
        <v>16389</v>
      </c>
    </row>
    <row r="17682" spans="1:1" x14ac:dyDescent="0.25">
      <c r="A17682" t="s">
        <v>16390</v>
      </c>
    </row>
    <row r="17683" spans="1:1" x14ac:dyDescent="0.25">
      <c r="A17683" t="s">
        <v>16391</v>
      </c>
    </row>
    <row r="17684" spans="1:1" x14ac:dyDescent="0.25">
      <c r="A17684" t="s">
        <v>16392</v>
      </c>
    </row>
    <row r="17685" spans="1:1" x14ac:dyDescent="0.25">
      <c r="A17685" t="s">
        <v>16393</v>
      </c>
    </row>
    <row r="17686" spans="1:1" x14ac:dyDescent="0.25">
      <c r="A17686" t="s">
        <v>16394</v>
      </c>
    </row>
    <row r="17687" spans="1:1" x14ac:dyDescent="0.25">
      <c r="A17687" t="s">
        <v>16395</v>
      </c>
    </row>
    <row r="17688" spans="1:1" x14ac:dyDescent="0.25">
      <c r="A17688" t="s">
        <v>16396</v>
      </c>
    </row>
    <row r="17689" spans="1:1" x14ac:dyDescent="0.25">
      <c r="A17689" t="s">
        <v>16397</v>
      </c>
    </row>
    <row r="17690" spans="1:1" x14ac:dyDescent="0.25">
      <c r="A17690" t="s">
        <v>16398</v>
      </c>
    </row>
    <row r="17691" spans="1:1" x14ac:dyDescent="0.25">
      <c r="A17691" t="s">
        <v>16399</v>
      </c>
    </row>
    <row r="17692" spans="1:1" x14ac:dyDescent="0.25">
      <c r="A17692" t="s">
        <v>16400</v>
      </c>
    </row>
    <row r="17693" spans="1:1" x14ac:dyDescent="0.25">
      <c r="A17693" t="s">
        <v>16401</v>
      </c>
    </row>
    <row r="17694" spans="1:1" x14ac:dyDescent="0.25">
      <c r="A17694" t="s">
        <v>16402</v>
      </c>
    </row>
    <row r="17695" spans="1:1" x14ac:dyDescent="0.25">
      <c r="A17695" t="s">
        <v>16403</v>
      </c>
    </row>
    <row r="17696" spans="1:1" x14ac:dyDescent="0.25">
      <c r="A17696" t="s">
        <v>16404</v>
      </c>
    </row>
    <row r="17697" spans="1:1" x14ac:dyDescent="0.25">
      <c r="A17697" t="s">
        <v>16405</v>
      </c>
    </row>
    <row r="17698" spans="1:1" x14ac:dyDescent="0.25">
      <c r="A17698" t="s">
        <v>16406</v>
      </c>
    </row>
    <row r="17699" spans="1:1" x14ac:dyDescent="0.25">
      <c r="A17699" t="s">
        <v>16407</v>
      </c>
    </row>
    <row r="17700" spans="1:1" x14ac:dyDescent="0.25">
      <c r="A17700" t="s">
        <v>16408</v>
      </c>
    </row>
    <row r="17701" spans="1:1" x14ac:dyDescent="0.25">
      <c r="A17701" t="s">
        <v>16409</v>
      </c>
    </row>
    <row r="17702" spans="1:1" x14ac:dyDescent="0.25">
      <c r="A17702" t="s">
        <v>16410</v>
      </c>
    </row>
    <row r="17704" spans="1:1" x14ac:dyDescent="0.25">
      <c r="A17704" t="s">
        <v>16411</v>
      </c>
    </row>
    <row r="17705" spans="1:1" x14ac:dyDescent="0.25">
      <c r="A17705" t="s">
        <v>16412</v>
      </c>
    </row>
    <row r="17706" spans="1:1" x14ac:dyDescent="0.25">
      <c r="A17706" t="s">
        <v>16413</v>
      </c>
    </row>
    <row r="17707" spans="1:1" x14ac:dyDescent="0.25">
      <c r="A17707" t="s">
        <v>16414</v>
      </c>
    </row>
    <row r="17708" spans="1:1" x14ac:dyDescent="0.25">
      <c r="A17708" t="s">
        <v>16415</v>
      </c>
    </row>
    <row r="17709" spans="1:1" x14ac:dyDescent="0.25">
      <c r="A17709" t="s">
        <v>16416</v>
      </c>
    </row>
    <row r="17710" spans="1:1" x14ac:dyDescent="0.25">
      <c r="A17710" t="s">
        <v>16417</v>
      </c>
    </row>
    <row r="17711" spans="1:1" x14ac:dyDescent="0.25">
      <c r="A17711" t="s">
        <v>16418</v>
      </c>
    </row>
    <row r="17712" spans="1:1" x14ac:dyDescent="0.25">
      <c r="A17712" t="s">
        <v>16419</v>
      </c>
    </row>
    <row r="17713" spans="1:1" x14ac:dyDescent="0.25">
      <c r="A17713" t="s">
        <v>16420</v>
      </c>
    </row>
    <row r="17714" spans="1:1" x14ac:dyDescent="0.25">
      <c r="A17714" t="s">
        <v>16421</v>
      </c>
    </row>
    <row r="17715" spans="1:1" x14ac:dyDescent="0.25">
      <c r="A17715" t="s">
        <v>16422</v>
      </c>
    </row>
    <row r="17716" spans="1:1" x14ac:dyDescent="0.25">
      <c r="A17716" t="s">
        <v>16423</v>
      </c>
    </row>
    <row r="17717" spans="1:1" x14ac:dyDescent="0.25">
      <c r="A17717" t="s">
        <v>16424</v>
      </c>
    </row>
    <row r="17718" spans="1:1" x14ac:dyDescent="0.25">
      <c r="A17718" t="s">
        <v>16425</v>
      </c>
    </row>
    <row r="17719" spans="1:1" x14ac:dyDescent="0.25">
      <c r="A17719" t="s">
        <v>16426</v>
      </c>
    </row>
    <row r="17720" spans="1:1" x14ac:dyDescent="0.25">
      <c r="A17720" t="s">
        <v>16427</v>
      </c>
    </row>
    <row r="17721" spans="1:1" x14ac:dyDescent="0.25">
      <c r="A17721" t="s">
        <v>16428</v>
      </c>
    </row>
    <row r="17722" spans="1:1" x14ac:dyDescent="0.25">
      <c r="A17722" t="s">
        <v>16429</v>
      </c>
    </row>
    <row r="17723" spans="1:1" x14ac:dyDescent="0.25">
      <c r="A17723" t="s">
        <v>16430</v>
      </c>
    </row>
    <row r="17724" spans="1:1" x14ac:dyDescent="0.25">
      <c r="A17724" t="s">
        <v>16431</v>
      </c>
    </row>
    <row r="17725" spans="1:1" x14ac:dyDescent="0.25">
      <c r="A17725" t="s">
        <v>16432</v>
      </c>
    </row>
    <row r="17726" spans="1:1" x14ac:dyDescent="0.25">
      <c r="A17726" t="s">
        <v>16433</v>
      </c>
    </row>
    <row r="17727" spans="1:1" x14ac:dyDescent="0.25">
      <c r="A17727" t="s">
        <v>16434</v>
      </c>
    </row>
    <row r="17728" spans="1:1" x14ac:dyDescent="0.25">
      <c r="A17728" t="s">
        <v>16435</v>
      </c>
    </row>
    <row r="17729" spans="1:1" x14ac:dyDescent="0.25">
      <c r="A17729" t="s">
        <v>16436</v>
      </c>
    </row>
    <row r="17730" spans="1:1" x14ac:dyDescent="0.25">
      <c r="A17730" t="s">
        <v>16437</v>
      </c>
    </row>
    <row r="17731" spans="1:1" x14ac:dyDescent="0.25">
      <c r="A17731" t="s">
        <v>16438</v>
      </c>
    </row>
    <row r="17732" spans="1:1" x14ac:dyDescent="0.25">
      <c r="A17732" t="s">
        <v>16439</v>
      </c>
    </row>
    <row r="17733" spans="1:1" x14ac:dyDescent="0.25">
      <c r="A17733" t="s">
        <v>16440</v>
      </c>
    </row>
    <row r="17734" spans="1:1" x14ac:dyDescent="0.25">
      <c r="A17734" t="s">
        <v>16441</v>
      </c>
    </row>
    <row r="17735" spans="1:1" x14ac:dyDescent="0.25">
      <c r="A17735" t="s">
        <v>16442</v>
      </c>
    </row>
    <row r="17736" spans="1:1" x14ac:dyDescent="0.25">
      <c r="A17736" t="s">
        <v>16443</v>
      </c>
    </row>
    <row r="17737" spans="1:1" x14ac:dyDescent="0.25">
      <c r="A17737" t="s">
        <v>16444</v>
      </c>
    </row>
    <row r="17738" spans="1:1" x14ac:dyDescent="0.25">
      <c r="A17738" t="s">
        <v>16445</v>
      </c>
    </row>
    <row r="17739" spans="1:1" x14ac:dyDescent="0.25">
      <c r="A17739" t="s">
        <v>16446</v>
      </c>
    </row>
    <row r="17740" spans="1:1" x14ac:dyDescent="0.25">
      <c r="A17740" t="s">
        <v>16447</v>
      </c>
    </row>
    <row r="17741" spans="1:1" x14ac:dyDescent="0.25">
      <c r="A17741" t="s">
        <v>16448</v>
      </c>
    </row>
    <row r="17742" spans="1:1" x14ac:dyDescent="0.25">
      <c r="A17742" t="s">
        <v>16449</v>
      </c>
    </row>
    <row r="17743" spans="1:1" x14ac:dyDescent="0.25">
      <c r="A17743" t="s">
        <v>16450</v>
      </c>
    </row>
    <row r="17744" spans="1:1" x14ac:dyDescent="0.25">
      <c r="A17744" t="s">
        <v>16451</v>
      </c>
    </row>
    <row r="17745" spans="1:1" x14ac:dyDescent="0.25">
      <c r="A17745" t="s">
        <v>16452</v>
      </c>
    </row>
    <row r="17746" spans="1:1" x14ac:dyDescent="0.25">
      <c r="A17746" t="s">
        <v>16453</v>
      </c>
    </row>
    <row r="17747" spans="1:1" x14ac:dyDescent="0.25">
      <c r="A17747" t="s">
        <v>16454</v>
      </c>
    </row>
    <row r="17748" spans="1:1" x14ac:dyDescent="0.25">
      <c r="A17748" t="s">
        <v>16455</v>
      </c>
    </row>
    <row r="17749" spans="1:1" x14ac:dyDescent="0.25">
      <c r="A17749" t="s">
        <v>16456</v>
      </c>
    </row>
    <row r="17750" spans="1:1" x14ac:dyDescent="0.25">
      <c r="A17750" t="s">
        <v>16457</v>
      </c>
    </row>
    <row r="17751" spans="1:1" x14ac:dyDescent="0.25">
      <c r="A17751" t="s">
        <v>16458</v>
      </c>
    </row>
    <row r="17752" spans="1:1" x14ac:dyDescent="0.25">
      <c r="A17752" t="s">
        <v>16459</v>
      </c>
    </row>
    <row r="17753" spans="1:1" x14ac:dyDescent="0.25">
      <c r="A17753" t="s">
        <v>16460</v>
      </c>
    </row>
    <row r="17754" spans="1:1" x14ac:dyDescent="0.25">
      <c r="A17754" t="s">
        <v>16461</v>
      </c>
    </row>
    <row r="17755" spans="1:1" x14ac:dyDescent="0.25">
      <c r="A17755" t="s">
        <v>16462</v>
      </c>
    </row>
    <row r="17756" spans="1:1" x14ac:dyDescent="0.25">
      <c r="A17756" t="s">
        <v>16463</v>
      </c>
    </row>
    <row r="17757" spans="1:1" x14ac:dyDescent="0.25">
      <c r="A17757" t="s">
        <v>16464</v>
      </c>
    </row>
    <row r="17758" spans="1:1" x14ac:dyDescent="0.25">
      <c r="A17758" t="s">
        <v>16465</v>
      </c>
    </row>
    <row r="17759" spans="1:1" x14ac:dyDescent="0.25">
      <c r="A17759" t="s">
        <v>16466</v>
      </c>
    </row>
    <row r="17760" spans="1:1" x14ac:dyDescent="0.25">
      <c r="A17760" t="s">
        <v>16467</v>
      </c>
    </row>
    <row r="17761" spans="1:1" x14ac:dyDescent="0.25">
      <c r="A17761" t="s">
        <v>16468</v>
      </c>
    </row>
    <row r="17762" spans="1:1" x14ac:dyDescent="0.25">
      <c r="A17762" t="s">
        <v>16469</v>
      </c>
    </row>
    <row r="17763" spans="1:1" x14ac:dyDescent="0.25">
      <c r="A17763" t="s">
        <v>16470</v>
      </c>
    </row>
    <row r="17764" spans="1:1" x14ac:dyDescent="0.25">
      <c r="A17764" t="s">
        <v>16471</v>
      </c>
    </row>
    <row r="17765" spans="1:1" x14ac:dyDescent="0.25">
      <c r="A17765" t="s">
        <v>16472</v>
      </c>
    </row>
    <row r="17766" spans="1:1" x14ac:dyDescent="0.25">
      <c r="A17766" t="s">
        <v>16473</v>
      </c>
    </row>
    <row r="17767" spans="1:1" x14ac:dyDescent="0.25">
      <c r="A17767" t="s">
        <v>16474</v>
      </c>
    </row>
    <row r="17768" spans="1:1" x14ac:dyDescent="0.25">
      <c r="A17768" t="s">
        <v>16475</v>
      </c>
    </row>
    <row r="17769" spans="1:1" x14ac:dyDescent="0.25">
      <c r="A17769" t="s">
        <v>16476</v>
      </c>
    </row>
    <row r="17770" spans="1:1" x14ac:dyDescent="0.25">
      <c r="A17770" t="s">
        <v>16477</v>
      </c>
    </row>
    <row r="17771" spans="1:1" x14ac:dyDescent="0.25">
      <c r="A17771" t="s">
        <v>16478</v>
      </c>
    </row>
    <row r="17772" spans="1:1" x14ac:dyDescent="0.25">
      <c r="A17772" t="s">
        <v>16479</v>
      </c>
    </row>
    <row r="17773" spans="1:1" x14ac:dyDescent="0.25">
      <c r="A17773" t="s">
        <v>16480</v>
      </c>
    </row>
    <row r="17774" spans="1:1" x14ac:dyDescent="0.25">
      <c r="A17774" t="s">
        <v>16481</v>
      </c>
    </row>
    <row r="17775" spans="1:1" x14ac:dyDescent="0.25">
      <c r="A17775" t="s">
        <v>16482</v>
      </c>
    </row>
    <row r="17776" spans="1:1" x14ac:dyDescent="0.25">
      <c r="A17776" t="s">
        <v>16483</v>
      </c>
    </row>
    <row r="17777" spans="1:1" x14ac:dyDescent="0.25">
      <c r="A17777" t="s">
        <v>16484</v>
      </c>
    </row>
    <row r="17778" spans="1:1" x14ac:dyDescent="0.25">
      <c r="A17778" t="s">
        <v>16485</v>
      </c>
    </row>
    <row r="17779" spans="1:1" x14ac:dyDescent="0.25">
      <c r="A17779" t="s">
        <v>16486</v>
      </c>
    </row>
    <row r="17780" spans="1:1" x14ac:dyDescent="0.25">
      <c r="A17780" t="s">
        <v>16487</v>
      </c>
    </row>
    <row r="17781" spans="1:1" x14ac:dyDescent="0.25">
      <c r="A17781" t="s">
        <v>16488</v>
      </c>
    </row>
    <row r="17782" spans="1:1" x14ac:dyDescent="0.25">
      <c r="A17782" t="s">
        <v>16489</v>
      </c>
    </row>
    <row r="17783" spans="1:1" x14ac:dyDescent="0.25">
      <c r="A17783" t="s">
        <v>16490</v>
      </c>
    </row>
    <row r="17784" spans="1:1" x14ac:dyDescent="0.25">
      <c r="A17784" t="s">
        <v>16491</v>
      </c>
    </row>
    <row r="17785" spans="1:1" x14ac:dyDescent="0.25">
      <c r="A17785" t="s">
        <v>16492</v>
      </c>
    </row>
    <row r="17786" spans="1:1" x14ac:dyDescent="0.25">
      <c r="A17786" t="s">
        <v>16493</v>
      </c>
    </row>
    <row r="17787" spans="1:1" x14ac:dyDescent="0.25">
      <c r="A17787" t="s">
        <v>16494</v>
      </c>
    </row>
    <row r="17788" spans="1:1" x14ac:dyDescent="0.25">
      <c r="A17788" t="s">
        <v>16495</v>
      </c>
    </row>
    <row r="17789" spans="1:1" x14ac:dyDescent="0.25">
      <c r="A17789" t="s">
        <v>16496</v>
      </c>
    </row>
    <row r="17790" spans="1:1" x14ac:dyDescent="0.25">
      <c r="A17790" t="s">
        <v>16497</v>
      </c>
    </row>
    <row r="17791" spans="1:1" x14ac:dyDescent="0.25">
      <c r="A17791" t="s">
        <v>16498</v>
      </c>
    </row>
    <row r="17792" spans="1:1" x14ac:dyDescent="0.25">
      <c r="A17792" t="s">
        <v>16499</v>
      </c>
    </row>
    <row r="17793" spans="1:1" x14ac:dyDescent="0.25">
      <c r="A17793" t="s">
        <v>16500</v>
      </c>
    </row>
    <row r="17794" spans="1:1" x14ac:dyDescent="0.25">
      <c r="A17794" t="s">
        <v>16501</v>
      </c>
    </row>
    <row r="17795" spans="1:1" x14ac:dyDescent="0.25">
      <c r="A17795" t="s">
        <v>16502</v>
      </c>
    </row>
    <row r="17796" spans="1:1" x14ac:dyDescent="0.25">
      <c r="A17796" t="s">
        <v>16503</v>
      </c>
    </row>
    <row r="17797" spans="1:1" x14ac:dyDescent="0.25">
      <c r="A17797" t="s">
        <v>16504</v>
      </c>
    </row>
    <row r="17798" spans="1:1" x14ac:dyDescent="0.25">
      <c r="A17798" t="s">
        <v>16505</v>
      </c>
    </row>
    <row r="17799" spans="1:1" x14ac:dyDescent="0.25">
      <c r="A17799" t="s">
        <v>16506</v>
      </c>
    </row>
    <row r="17800" spans="1:1" x14ac:dyDescent="0.25">
      <c r="A17800" t="s">
        <v>16507</v>
      </c>
    </row>
    <row r="17801" spans="1:1" x14ac:dyDescent="0.25">
      <c r="A17801" t="s">
        <v>16508</v>
      </c>
    </row>
    <row r="17802" spans="1:1" x14ac:dyDescent="0.25">
      <c r="A17802" t="s">
        <v>16509</v>
      </c>
    </row>
    <row r="17803" spans="1:1" x14ac:dyDescent="0.25">
      <c r="A17803" t="s">
        <v>16510</v>
      </c>
    </row>
    <row r="17804" spans="1:1" x14ac:dyDescent="0.25">
      <c r="A17804" t="s">
        <v>16511</v>
      </c>
    </row>
    <row r="17805" spans="1:1" x14ac:dyDescent="0.25">
      <c r="A17805" t="s">
        <v>16512</v>
      </c>
    </row>
    <row r="17806" spans="1:1" x14ac:dyDescent="0.25">
      <c r="A17806" t="s">
        <v>16513</v>
      </c>
    </row>
    <row r="17807" spans="1:1" x14ac:dyDescent="0.25">
      <c r="A17807" t="s">
        <v>16514</v>
      </c>
    </row>
    <row r="17808" spans="1:1" x14ac:dyDescent="0.25">
      <c r="A17808" t="s">
        <v>16515</v>
      </c>
    </row>
    <row r="17809" spans="1:1" x14ac:dyDescent="0.25">
      <c r="A17809" t="s">
        <v>16516</v>
      </c>
    </row>
    <row r="17810" spans="1:1" x14ac:dyDescent="0.25">
      <c r="A17810" t="s">
        <v>16517</v>
      </c>
    </row>
    <row r="17811" spans="1:1" x14ac:dyDescent="0.25">
      <c r="A17811" t="s">
        <v>16518</v>
      </c>
    </row>
    <row r="17812" spans="1:1" x14ac:dyDescent="0.25">
      <c r="A17812" t="s">
        <v>16519</v>
      </c>
    </row>
    <row r="17813" spans="1:1" x14ac:dyDescent="0.25">
      <c r="A17813" t="s">
        <v>16520</v>
      </c>
    </row>
    <row r="17814" spans="1:1" x14ac:dyDescent="0.25">
      <c r="A17814" t="s">
        <v>16521</v>
      </c>
    </row>
    <row r="17815" spans="1:1" x14ac:dyDescent="0.25">
      <c r="A17815" t="s">
        <v>16522</v>
      </c>
    </row>
    <row r="17816" spans="1:1" x14ac:dyDescent="0.25">
      <c r="A17816" t="s">
        <v>16523</v>
      </c>
    </row>
    <row r="17817" spans="1:1" x14ac:dyDescent="0.25">
      <c r="A17817" t="s">
        <v>16524</v>
      </c>
    </row>
    <row r="17818" spans="1:1" x14ac:dyDescent="0.25">
      <c r="A17818" t="s">
        <v>16525</v>
      </c>
    </row>
    <row r="17819" spans="1:1" x14ac:dyDescent="0.25">
      <c r="A17819" t="s">
        <v>16526</v>
      </c>
    </row>
    <row r="17820" spans="1:1" x14ac:dyDescent="0.25">
      <c r="A17820" t="s">
        <v>16527</v>
      </c>
    </row>
    <row r="17821" spans="1:1" x14ac:dyDescent="0.25">
      <c r="A17821" t="s">
        <v>16528</v>
      </c>
    </row>
    <row r="17822" spans="1:1" x14ac:dyDescent="0.25">
      <c r="A17822" t="s">
        <v>16529</v>
      </c>
    </row>
    <row r="17823" spans="1:1" x14ac:dyDescent="0.25">
      <c r="A17823" t="s">
        <v>16530</v>
      </c>
    </row>
    <row r="17824" spans="1:1" x14ac:dyDescent="0.25">
      <c r="A17824" t="s">
        <v>16531</v>
      </c>
    </row>
    <row r="17825" spans="1:1" x14ac:dyDescent="0.25">
      <c r="A17825" t="s">
        <v>16532</v>
      </c>
    </row>
    <row r="17826" spans="1:1" x14ac:dyDescent="0.25">
      <c r="A17826" t="s">
        <v>16533</v>
      </c>
    </row>
    <row r="17827" spans="1:1" x14ac:dyDescent="0.25">
      <c r="A17827" t="s">
        <v>16534</v>
      </c>
    </row>
    <row r="17828" spans="1:1" x14ac:dyDescent="0.25">
      <c r="A17828" t="s">
        <v>16535</v>
      </c>
    </row>
    <row r="17829" spans="1:1" x14ac:dyDescent="0.25">
      <c r="A17829" t="s">
        <v>16536</v>
      </c>
    </row>
    <row r="17830" spans="1:1" x14ac:dyDescent="0.25">
      <c r="A17830" t="s">
        <v>16537</v>
      </c>
    </row>
    <row r="17831" spans="1:1" x14ac:dyDescent="0.25">
      <c r="A17831" t="s">
        <v>16538</v>
      </c>
    </row>
    <row r="17832" spans="1:1" x14ac:dyDescent="0.25">
      <c r="A17832" t="s">
        <v>16539</v>
      </c>
    </row>
    <row r="17833" spans="1:1" x14ac:dyDescent="0.25">
      <c r="A17833" t="s">
        <v>16540</v>
      </c>
    </row>
    <row r="17834" spans="1:1" x14ac:dyDescent="0.25">
      <c r="A17834" t="s">
        <v>16541</v>
      </c>
    </row>
    <row r="17835" spans="1:1" x14ac:dyDescent="0.25">
      <c r="A17835" t="s">
        <v>16542</v>
      </c>
    </row>
    <row r="17836" spans="1:1" x14ac:dyDescent="0.25">
      <c r="A17836" t="s">
        <v>16543</v>
      </c>
    </row>
    <row r="17837" spans="1:1" x14ac:dyDescent="0.25">
      <c r="A17837" t="s">
        <v>16544</v>
      </c>
    </row>
    <row r="17838" spans="1:1" x14ac:dyDescent="0.25">
      <c r="A17838" t="s">
        <v>16545</v>
      </c>
    </row>
    <row r="17839" spans="1:1" x14ac:dyDescent="0.25">
      <c r="A17839" t="s">
        <v>16546</v>
      </c>
    </row>
    <row r="17840" spans="1:1" x14ac:dyDescent="0.25">
      <c r="A17840" t="s">
        <v>16547</v>
      </c>
    </row>
    <row r="17841" spans="1:1" x14ac:dyDescent="0.25">
      <c r="A17841" t="s">
        <v>16548</v>
      </c>
    </row>
    <row r="17842" spans="1:1" x14ac:dyDescent="0.25">
      <c r="A17842" t="s">
        <v>16549</v>
      </c>
    </row>
    <row r="17843" spans="1:1" x14ac:dyDescent="0.25">
      <c r="A17843" t="s">
        <v>16550</v>
      </c>
    </row>
    <row r="17844" spans="1:1" x14ac:dyDescent="0.25">
      <c r="A17844" t="s">
        <v>16551</v>
      </c>
    </row>
    <row r="17845" spans="1:1" x14ac:dyDescent="0.25">
      <c r="A17845" t="s">
        <v>16552</v>
      </c>
    </row>
    <row r="17846" spans="1:1" x14ac:dyDescent="0.25">
      <c r="A17846" t="s">
        <v>16553</v>
      </c>
    </row>
    <row r="17847" spans="1:1" x14ac:dyDescent="0.25">
      <c r="A17847" t="s">
        <v>16554</v>
      </c>
    </row>
    <row r="17848" spans="1:1" x14ac:dyDescent="0.25">
      <c r="A17848" t="s">
        <v>16555</v>
      </c>
    </row>
    <row r="17849" spans="1:1" x14ac:dyDescent="0.25">
      <c r="A17849" t="s">
        <v>16556</v>
      </c>
    </row>
    <row r="17850" spans="1:1" x14ac:dyDescent="0.25">
      <c r="A17850" t="s">
        <v>16557</v>
      </c>
    </row>
    <row r="17851" spans="1:1" x14ac:dyDescent="0.25">
      <c r="A17851" t="s">
        <v>16558</v>
      </c>
    </row>
    <row r="17852" spans="1:1" x14ac:dyDescent="0.25">
      <c r="A17852" t="s">
        <v>16559</v>
      </c>
    </row>
    <row r="17853" spans="1:1" x14ac:dyDescent="0.25">
      <c r="A17853" t="s">
        <v>16560</v>
      </c>
    </row>
    <row r="17854" spans="1:1" x14ac:dyDescent="0.25">
      <c r="A17854" t="s">
        <v>16561</v>
      </c>
    </row>
    <row r="17855" spans="1:1" x14ac:dyDescent="0.25">
      <c r="A17855" t="s">
        <v>16562</v>
      </c>
    </row>
    <row r="17856" spans="1:1" x14ac:dyDescent="0.25">
      <c r="A17856" t="s">
        <v>16563</v>
      </c>
    </row>
    <row r="17857" spans="1:1" x14ac:dyDescent="0.25">
      <c r="A17857" t="s">
        <v>16564</v>
      </c>
    </row>
    <row r="17858" spans="1:1" x14ac:dyDescent="0.25">
      <c r="A17858" t="s">
        <v>16565</v>
      </c>
    </row>
    <row r="17859" spans="1:1" x14ac:dyDescent="0.25">
      <c r="A17859" t="s">
        <v>16566</v>
      </c>
    </row>
    <row r="17860" spans="1:1" x14ac:dyDescent="0.25">
      <c r="A17860" t="s">
        <v>16567</v>
      </c>
    </row>
    <row r="17861" spans="1:1" x14ac:dyDescent="0.25">
      <c r="A17861" t="s">
        <v>16568</v>
      </c>
    </row>
    <row r="17862" spans="1:1" x14ac:dyDescent="0.25">
      <c r="A17862" t="s">
        <v>16569</v>
      </c>
    </row>
    <row r="17863" spans="1:1" x14ac:dyDescent="0.25">
      <c r="A17863" t="s">
        <v>16570</v>
      </c>
    </row>
    <row r="17864" spans="1:1" x14ac:dyDescent="0.25">
      <c r="A17864" t="s">
        <v>16571</v>
      </c>
    </row>
    <row r="17865" spans="1:1" x14ac:dyDescent="0.25">
      <c r="A17865" t="s">
        <v>16572</v>
      </c>
    </row>
    <row r="17866" spans="1:1" x14ac:dyDescent="0.25">
      <c r="A17866" t="s">
        <v>16573</v>
      </c>
    </row>
    <row r="17867" spans="1:1" x14ac:dyDescent="0.25">
      <c r="A17867" t="s">
        <v>16574</v>
      </c>
    </row>
    <row r="17868" spans="1:1" x14ac:dyDescent="0.25">
      <c r="A17868" t="s">
        <v>16575</v>
      </c>
    </row>
    <row r="17869" spans="1:1" x14ac:dyDescent="0.25">
      <c r="A17869" t="s">
        <v>16576</v>
      </c>
    </row>
    <row r="17870" spans="1:1" x14ac:dyDescent="0.25">
      <c r="A17870" t="s">
        <v>16577</v>
      </c>
    </row>
    <row r="17871" spans="1:1" x14ac:dyDescent="0.25">
      <c r="A17871" t="s">
        <v>16578</v>
      </c>
    </row>
    <row r="17872" spans="1:1" x14ac:dyDescent="0.25">
      <c r="A17872" t="s">
        <v>16579</v>
      </c>
    </row>
    <row r="17873" spans="1:1" x14ac:dyDescent="0.25">
      <c r="A17873" t="s">
        <v>16580</v>
      </c>
    </row>
    <row r="17874" spans="1:1" x14ac:dyDescent="0.25">
      <c r="A17874" t="s">
        <v>16581</v>
      </c>
    </row>
    <row r="17875" spans="1:1" x14ac:dyDescent="0.25">
      <c r="A17875" t="s">
        <v>16582</v>
      </c>
    </row>
    <row r="17876" spans="1:1" x14ac:dyDescent="0.25">
      <c r="A17876" t="s">
        <v>16583</v>
      </c>
    </row>
    <row r="17877" spans="1:1" x14ac:dyDescent="0.25">
      <c r="A17877" t="s">
        <v>16584</v>
      </c>
    </row>
    <row r="17878" spans="1:1" x14ac:dyDescent="0.25">
      <c r="A17878" t="s">
        <v>16585</v>
      </c>
    </row>
    <row r="17879" spans="1:1" x14ac:dyDescent="0.25">
      <c r="A17879" t="s">
        <v>16586</v>
      </c>
    </row>
    <row r="17880" spans="1:1" x14ac:dyDescent="0.25">
      <c r="A17880" t="s">
        <v>16587</v>
      </c>
    </row>
    <row r="17881" spans="1:1" x14ac:dyDescent="0.25">
      <c r="A17881" t="s">
        <v>16588</v>
      </c>
    </row>
    <row r="17882" spans="1:1" x14ac:dyDescent="0.25">
      <c r="A17882" t="s">
        <v>16589</v>
      </c>
    </row>
    <row r="17883" spans="1:1" x14ac:dyDescent="0.25">
      <c r="A17883" t="s">
        <v>16590</v>
      </c>
    </row>
    <row r="17884" spans="1:1" x14ac:dyDescent="0.25">
      <c r="A17884" t="s">
        <v>16591</v>
      </c>
    </row>
    <row r="17885" spans="1:1" x14ac:dyDescent="0.25">
      <c r="A17885" t="s">
        <v>16592</v>
      </c>
    </row>
    <row r="17886" spans="1:1" x14ac:dyDescent="0.25">
      <c r="A17886" t="s">
        <v>16593</v>
      </c>
    </row>
    <row r="17887" spans="1:1" x14ac:dyDescent="0.25">
      <c r="A17887" t="s">
        <v>16594</v>
      </c>
    </row>
    <row r="17888" spans="1:1" x14ac:dyDescent="0.25">
      <c r="A17888" t="s">
        <v>16595</v>
      </c>
    </row>
    <row r="17889" spans="1:1" x14ac:dyDescent="0.25">
      <c r="A17889" t="s">
        <v>16596</v>
      </c>
    </row>
    <row r="17890" spans="1:1" x14ac:dyDescent="0.25">
      <c r="A17890" t="s">
        <v>16597</v>
      </c>
    </row>
    <row r="17891" spans="1:1" x14ac:dyDescent="0.25">
      <c r="A17891" t="s">
        <v>16598</v>
      </c>
    </row>
    <row r="17892" spans="1:1" x14ac:dyDescent="0.25">
      <c r="A17892" t="s">
        <v>16599</v>
      </c>
    </row>
    <row r="17893" spans="1:1" x14ac:dyDescent="0.25">
      <c r="A17893" t="s">
        <v>16600</v>
      </c>
    </row>
    <row r="17894" spans="1:1" x14ac:dyDescent="0.25">
      <c r="A17894" t="s">
        <v>16601</v>
      </c>
    </row>
    <row r="17895" spans="1:1" x14ac:dyDescent="0.25">
      <c r="A17895" t="s">
        <v>16602</v>
      </c>
    </row>
    <row r="17896" spans="1:1" x14ac:dyDescent="0.25">
      <c r="A17896" t="s">
        <v>16603</v>
      </c>
    </row>
    <row r="17897" spans="1:1" x14ac:dyDescent="0.25">
      <c r="A17897" t="s">
        <v>16604</v>
      </c>
    </row>
    <row r="17898" spans="1:1" x14ac:dyDescent="0.25">
      <c r="A17898" t="s">
        <v>16605</v>
      </c>
    </row>
    <row r="17899" spans="1:1" x14ac:dyDescent="0.25">
      <c r="A17899" t="s">
        <v>16606</v>
      </c>
    </row>
    <row r="17900" spans="1:1" x14ac:dyDescent="0.25">
      <c r="A17900" t="s">
        <v>16607</v>
      </c>
    </row>
    <row r="17901" spans="1:1" x14ac:dyDescent="0.25">
      <c r="A17901" t="s">
        <v>16608</v>
      </c>
    </row>
    <row r="17902" spans="1:1" x14ac:dyDescent="0.25">
      <c r="A17902" t="s">
        <v>16609</v>
      </c>
    </row>
    <row r="17903" spans="1:1" x14ac:dyDescent="0.25">
      <c r="A17903" t="s">
        <v>16610</v>
      </c>
    </row>
    <row r="17904" spans="1:1" x14ac:dyDescent="0.25">
      <c r="A17904" t="s">
        <v>16611</v>
      </c>
    </row>
    <row r="17905" spans="1:1" x14ac:dyDescent="0.25">
      <c r="A17905" t="s">
        <v>16612</v>
      </c>
    </row>
    <row r="17906" spans="1:1" x14ac:dyDescent="0.25">
      <c r="A17906" t="s">
        <v>16613</v>
      </c>
    </row>
    <row r="17907" spans="1:1" x14ac:dyDescent="0.25">
      <c r="A17907" t="s">
        <v>16614</v>
      </c>
    </row>
    <row r="17908" spans="1:1" x14ac:dyDescent="0.25">
      <c r="A17908" t="s">
        <v>16615</v>
      </c>
    </row>
    <row r="17909" spans="1:1" x14ac:dyDescent="0.25">
      <c r="A17909" t="s">
        <v>16616</v>
      </c>
    </row>
    <row r="17910" spans="1:1" x14ac:dyDescent="0.25">
      <c r="A17910" t="s">
        <v>16617</v>
      </c>
    </row>
    <row r="17911" spans="1:1" x14ac:dyDescent="0.25">
      <c r="A17911" t="s">
        <v>16618</v>
      </c>
    </row>
    <row r="17912" spans="1:1" x14ac:dyDescent="0.25">
      <c r="A17912" t="s">
        <v>16619</v>
      </c>
    </row>
    <row r="17913" spans="1:1" x14ac:dyDescent="0.25">
      <c r="A17913" t="s">
        <v>16620</v>
      </c>
    </row>
    <row r="17914" spans="1:1" x14ac:dyDescent="0.25">
      <c r="A17914" t="s">
        <v>16621</v>
      </c>
    </row>
    <row r="17915" spans="1:1" x14ac:dyDescent="0.25">
      <c r="A17915" t="s">
        <v>16622</v>
      </c>
    </row>
    <row r="17916" spans="1:1" x14ac:dyDescent="0.25">
      <c r="A17916" t="s">
        <v>16623</v>
      </c>
    </row>
    <row r="17917" spans="1:1" x14ac:dyDescent="0.25">
      <c r="A17917" t="s">
        <v>16624</v>
      </c>
    </row>
    <row r="17918" spans="1:1" x14ac:dyDescent="0.25">
      <c r="A17918" t="s">
        <v>16625</v>
      </c>
    </row>
    <row r="17919" spans="1:1" x14ac:dyDescent="0.25">
      <c r="A17919" t="s">
        <v>16626</v>
      </c>
    </row>
    <row r="17920" spans="1:1" x14ac:dyDescent="0.25">
      <c r="A17920" t="s">
        <v>16627</v>
      </c>
    </row>
    <row r="17921" spans="1:1" x14ac:dyDescent="0.25">
      <c r="A17921" t="s">
        <v>16628</v>
      </c>
    </row>
    <row r="17922" spans="1:1" x14ac:dyDescent="0.25">
      <c r="A17922" t="s">
        <v>16629</v>
      </c>
    </row>
    <row r="17923" spans="1:1" x14ac:dyDescent="0.25">
      <c r="A17923" t="s">
        <v>16630</v>
      </c>
    </row>
    <row r="17924" spans="1:1" x14ac:dyDescent="0.25">
      <c r="A17924" t="s">
        <v>16631</v>
      </c>
    </row>
    <row r="17925" spans="1:1" x14ac:dyDescent="0.25">
      <c r="A17925" t="s">
        <v>16632</v>
      </c>
    </row>
    <row r="17926" spans="1:1" x14ac:dyDescent="0.25">
      <c r="A17926" t="s">
        <v>16633</v>
      </c>
    </row>
    <row r="17927" spans="1:1" x14ac:dyDescent="0.25">
      <c r="A17927" t="s">
        <v>16634</v>
      </c>
    </row>
    <row r="17928" spans="1:1" x14ac:dyDescent="0.25">
      <c r="A17928" t="s">
        <v>16635</v>
      </c>
    </row>
    <row r="17929" spans="1:1" x14ac:dyDescent="0.25">
      <c r="A17929" t="s">
        <v>16636</v>
      </c>
    </row>
    <row r="17930" spans="1:1" x14ac:dyDescent="0.25">
      <c r="A17930" t="s">
        <v>16637</v>
      </c>
    </row>
    <row r="17931" spans="1:1" x14ac:dyDescent="0.25">
      <c r="A17931" t="s">
        <v>16638</v>
      </c>
    </row>
    <row r="17932" spans="1:1" x14ac:dyDescent="0.25">
      <c r="A17932" t="s">
        <v>16639</v>
      </c>
    </row>
    <row r="17933" spans="1:1" x14ac:dyDescent="0.25">
      <c r="A17933" t="s">
        <v>16640</v>
      </c>
    </row>
    <row r="17934" spans="1:1" x14ac:dyDescent="0.25">
      <c r="A17934" t="s">
        <v>16641</v>
      </c>
    </row>
    <row r="17935" spans="1:1" x14ac:dyDescent="0.25">
      <c r="A17935" t="s">
        <v>16642</v>
      </c>
    </row>
    <row r="17936" spans="1:1" x14ac:dyDescent="0.25">
      <c r="A17936" t="s">
        <v>16643</v>
      </c>
    </row>
    <row r="17937" spans="1:1" x14ac:dyDescent="0.25">
      <c r="A17937" t="s">
        <v>16644</v>
      </c>
    </row>
    <row r="17938" spans="1:1" x14ac:dyDescent="0.25">
      <c r="A17938" t="s">
        <v>16645</v>
      </c>
    </row>
    <row r="17939" spans="1:1" x14ac:dyDescent="0.25">
      <c r="A17939" t="s">
        <v>16646</v>
      </c>
    </row>
    <row r="17940" spans="1:1" x14ac:dyDescent="0.25">
      <c r="A17940" t="s">
        <v>16647</v>
      </c>
    </row>
    <row r="17941" spans="1:1" x14ac:dyDescent="0.25">
      <c r="A17941" t="s">
        <v>16648</v>
      </c>
    </row>
    <row r="17942" spans="1:1" x14ac:dyDescent="0.25">
      <c r="A17942" t="s">
        <v>16649</v>
      </c>
    </row>
    <row r="17943" spans="1:1" x14ac:dyDescent="0.25">
      <c r="A17943" t="s">
        <v>16650</v>
      </c>
    </row>
    <row r="17944" spans="1:1" x14ac:dyDescent="0.25">
      <c r="A17944" t="s">
        <v>16651</v>
      </c>
    </row>
    <row r="17945" spans="1:1" x14ac:dyDescent="0.25">
      <c r="A17945" t="s">
        <v>16652</v>
      </c>
    </row>
    <row r="17946" spans="1:1" x14ac:dyDescent="0.25">
      <c r="A17946" t="s">
        <v>16653</v>
      </c>
    </row>
    <row r="17947" spans="1:1" x14ac:dyDescent="0.25">
      <c r="A17947" t="s">
        <v>16654</v>
      </c>
    </row>
    <row r="17948" spans="1:1" x14ac:dyDescent="0.25">
      <c r="A17948" t="s">
        <v>16655</v>
      </c>
    </row>
    <row r="17949" spans="1:1" x14ac:dyDescent="0.25">
      <c r="A17949" t="s">
        <v>16656</v>
      </c>
    </row>
    <row r="17950" spans="1:1" x14ac:dyDescent="0.25">
      <c r="A17950" t="s">
        <v>16657</v>
      </c>
    </row>
    <row r="17951" spans="1:1" x14ac:dyDescent="0.25">
      <c r="A17951" t="s">
        <v>16658</v>
      </c>
    </row>
    <row r="17952" spans="1:1" x14ac:dyDescent="0.25">
      <c r="A17952" t="s">
        <v>16659</v>
      </c>
    </row>
    <row r="17953" spans="1:1" x14ac:dyDescent="0.25">
      <c r="A17953" t="s">
        <v>16660</v>
      </c>
    </row>
    <row r="17954" spans="1:1" x14ac:dyDescent="0.25">
      <c r="A17954" t="s">
        <v>16661</v>
      </c>
    </row>
    <row r="17955" spans="1:1" x14ac:dyDescent="0.25">
      <c r="A17955" t="s">
        <v>16662</v>
      </c>
    </row>
    <row r="17956" spans="1:1" x14ac:dyDescent="0.25">
      <c r="A17956" t="s">
        <v>16663</v>
      </c>
    </row>
    <row r="17957" spans="1:1" x14ac:dyDescent="0.25">
      <c r="A17957" t="s">
        <v>16664</v>
      </c>
    </row>
    <row r="17958" spans="1:1" x14ac:dyDescent="0.25">
      <c r="A17958" t="s">
        <v>16665</v>
      </c>
    </row>
    <row r="17959" spans="1:1" x14ac:dyDescent="0.25">
      <c r="A17959" t="s">
        <v>16666</v>
      </c>
    </row>
    <row r="17960" spans="1:1" x14ac:dyDescent="0.25">
      <c r="A17960" t="s">
        <v>16667</v>
      </c>
    </row>
    <row r="17961" spans="1:1" x14ac:dyDescent="0.25">
      <c r="A17961" t="s">
        <v>16668</v>
      </c>
    </row>
    <row r="17962" spans="1:1" x14ac:dyDescent="0.25">
      <c r="A17962" t="s">
        <v>16669</v>
      </c>
    </row>
    <row r="17963" spans="1:1" x14ac:dyDescent="0.25">
      <c r="A17963" t="s">
        <v>16670</v>
      </c>
    </row>
    <row r="17964" spans="1:1" x14ac:dyDescent="0.25">
      <c r="A17964" t="s">
        <v>16671</v>
      </c>
    </row>
    <row r="17965" spans="1:1" x14ac:dyDescent="0.25">
      <c r="A17965" t="s">
        <v>16672</v>
      </c>
    </row>
    <row r="17966" spans="1:1" x14ac:dyDescent="0.25">
      <c r="A17966" t="s">
        <v>16673</v>
      </c>
    </row>
    <row r="17967" spans="1:1" x14ac:dyDescent="0.25">
      <c r="A17967" t="s">
        <v>16674</v>
      </c>
    </row>
    <row r="17968" spans="1:1" x14ac:dyDescent="0.25">
      <c r="A17968" t="s">
        <v>16675</v>
      </c>
    </row>
    <row r="17969" spans="1:1" x14ac:dyDescent="0.25">
      <c r="A17969" t="s">
        <v>16676</v>
      </c>
    </row>
    <row r="17970" spans="1:1" x14ac:dyDescent="0.25">
      <c r="A17970" t="s">
        <v>16677</v>
      </c>
    </row>
    <row r="17971" spans="1:1" x14ac:dyDescent="0.25">
      <c r="A17971" t="s">
        <v>16678</v>
      </c>
    </row>
    <row r="17972" spans="1:1" x14ac:dyDescent="0.25">
      <c r="A17972" t="s">
        <v>16679</v>
      </c>
    </row>
    <row r="17973" spans="1:1" x14ac:dyDescent="0.25">
      <c r="A17973" t="s">
        <v>16680</v>
      </c>
    </row>
    <row r="17974" spans="1:1" x14ac:dyDescent="0.25">
      <c r="A17974" t="s">
        <v>16681</v>
      </c>
    </row>
    <row r="17975" spans="1:1" x14ac:dyDescent="0.25">
      <c r="A17975" t="s">
        <v>16682</v>
      </c>
    </row>
    <row r="17976" spans="1:1" x14ac:dyDescent="0.25">
      <c r="A17976" t="s">
        <v>16683</v>
      </c>
    </row>
    <row r="17977" spans="1:1" x14ac:dyDescent="0.25">
      <c r="A17977" t="s">
        <v>16684</v>
      </c>
    </row>
    <row r="17978" spans="1:1" x14ac:dyDescent="0.25">
      <c r="A17978" t="s">
        <v>16685</v>
      </c>
    </row>
    <row r="17979" spans="1:1" x14ac:dyDescent="0.25">
      <c r="A17979" t="s">
        <v>16686</v>
      </c>
    </row>
    <row r="17980" spans="1:1" x14ac:dyDescent="0.25">
      <c r="A17980" t="s">
        <v>16687</v>
      </c>
    </row>
    <row r="17981" spans="1:1" x14ac:dyDescent="0.25">
      <c r="A17981" t="s">
        <v>16688</v>
      </c>
    </row>
    <row r="17982" spans="1:1" x14ac:dyDescent="0.25">
      <c r="A17982" t="s">
        <v>16689</v>
      </c>
    </row>
    <row r="17983" spans="1:1" x14ac:dyDescent="0.25">
      <c r="A17983" t="s">
        <v>16690</v>
      </c>
    </row>
    <row r="17984" spans="1:1" x14ac:dyDescent="0.25">
      <c r="A17984" t="s">
        <v>16691</v>
      </c>
    </row>
    <row r="17985" spans="1:1" x14ac:dyDescent="0.25">
      <c r="A17985" t="s">
        <v>16692</v>
      </c>
    </row>
    <row r="17986" spans="1:1" x14ac:dyDescent="0.25">
      <c r="A17986" t="s">
        <v>16693</v>
      </c>
    </row>
    <row r="17987" spans="1:1" x14ac:dyDescent="0.25">
      <c r="A17987" t="s">
        <v>16694</v>
      </c>
    </row>
    <row r="17988" spans="1:1" x14ac:dyDescent="0.25">
      <c r="A17988" t="s">
        <v>16695</v>
      </c>
    </row>
    <row r="17989" spans="1:1" x14ac:dyDescent="0.25">
      <c r="A17989" t="s">
        <v>16696</v>
      </c>
    </row>
    <row r="17990" spans="1:1" x14ac:dyDescent="0.25">
      <c r="A17990" t="s">
        <v>16697</v>
      </c>
    </row>
    <row r="17992" spans="1:1" x14ac:dyDescent="0.25">
      <c r="A17992" t="s">
        <v>16698</v>
      </c>
    </row>
    <row r="17993" spans="1:1" x14ac:dyDescent="0.25">
      <c r="A17993" t="s">
        <v>16699</v>
      </c>
    </row>
    <row r="17994" spans="1:1" x14ac:dyDescent="0.25">
      <c r="A17994" t="s">
        <v>16700</v>
      </c>
    </row>
    <row r="17995" spans="1:1" x14ac:dyDescent="0.25">
      <c r="A17995" t="s">
        <v>16701</v>
      </c>
    </row>
    <row r="17996" spans="1:1" x14ac:dyDescent="0.25">
      <c r="A17996" t="s">
        <v>16702</v>
      </c>
    </row>
    <row r="17997" spans="1:1" x14ac:dyDescent="0.25">
      <c r="A17997" t="s">
        <v>16703</v>
      </c>
    </row>
    <row r="17998" spans="1:1" x14ac:dyDescent="0.25">
      <c r="A17998" t="s">
        <v>16704</v>
      </c>
    </row>
    <row r="17999" spans="1:1" x14ac:dyDescent="0.25">
      <c r="A17999" t="s">
        <v>16705</v>
      </c>
    </row>
    <row r="18000" spans="1:1" x14ac:dyDescent="0.25">
      <c r="A18000" t="s">
        <v>16706</v>
      </c>
    </row>
    <row r="18001" spans="1:1" x14ac:dyDescent="0.25">
      <c r="A18001" t="s">
        <v>16707</v>
      </c>
    </row>
    <row r="18002" spans="1:1" x14ac:dyDescent="0.25">
      <c r="A18002" t="s">
        <v>16708</v>
      </c>
    </row>
    <row r="18003" spans="1:1" x14ac:dyDescent="0.25">
      <c r="A18003" t="s">
        <v>16709</v>
      </c>
    </row>
    <row r="18004" spans="1:1" x14ac:dyDescent="0.25">
      <c r="A18004" t="s">
        <v>16710</v>
      </c>
    </row>
    <row r="18005" spans="1:1" x14ac:dyDescent="0.25">
      <c r="A18005" t="s">
        <v>16711</v>
      </c>
    </row>
    <row r="18006" spans="1:1" x14ac:dyDescent="0.25">
      <c r="A18006" t="s">
        <v>16712</v>
      </c>
    </row>
    <row r="18007" spans="1:1" x14ac:dyDescent="0.25">
      <c r="A18007" t="s">
        <v>16713</v>
      </c>
    </row>
    <row r="18008" spans="1:1" x14ac:dyDescent="0.25">
      <c r="A18008" t="s">
        <v>16714</v>
      </c>
    </row>
    <row r="18009" spans="1:1" x14ac:dyDescent="0.25">
      <c r="A18009" t="s">
        <v>16715</v>
      </c>
    </row>
    <row r="18010" spans="1:1" x14ac:dyDescent="0.25">
      <c r="A18010" t="s">
        <v>16716</v>
      </c>
    </row>
    <row r="18011" spans="1:1" x14ac:dyDescent="0.25">
      <c r="A18011" t="s">
        <v>16717</v>
      </c>
    </row>
    <row r="18012" spans="1:1" x14ac:dyDescent="0.25">
      <c r="A18012" t="s">
        <v>16718</v>
      </c>
    </row>
    <row r="18013" spans="1:1" x14ac:dyDescent="0.25">
      <c r="A18013" t="s">
        <v>16719</v>
      </c>
    </row>
    <row r="18014" spans="1:1" x14ac:dyDescent="0.25">
      <c r="A18014" t="s">
        <v>16720</v>
      </c>
    </row>
    <row r="18015" spans="1:1" x14ac:dyDescent="0.25">
      <c r="A18015" t="s">
        <v>16721</v>
      </c>
    </row>
    <row r="18016" spans="1:1" x14ac:dyDescent="0.25">
      <c r="A18016" t="s">
        <v>16722</v>
      </c>
    </row>
    <row r="18017" spans="1:1" x14ac:dyDescent="0.25">
      <c r="A18017" t="s">
        <v>16723</v>
      </c>
    </row>
    <row r="18018" spans="1:1" x14ac:dyDescent="0.25">
      <c r="A18018" t="s">
        <v>16724</v>
      </c>
    </row>
    <row r="18019" spans="1:1" x14ac:dyDescent="0.25">
      <c r="A18019" t="s">
        <v>16725</v>
      </c>
    </row>
    <row r="18020" spans="1:1" x14ac:dyDescent="0.25">
      <c r="A18020" t="s">
        <v>16726</v>
      </c>
    </row>
    <row r="18021" spans="1:1" x14ac:dyDescent="0.25">
      <c r="A18021" t="s">
        <v>16727</v>
      </c>
    </row>
    <row r="18022" spans="1:1" x14ac:dyDescent="0.25">
      <c r="A18022" t="s">
        <v>16728</v>
      </c>
    </row>
    <row r="18023" spans="1:1" x14ac:dyDescent="0.25">
      <c r="A18023" t="s">
        <v>16729</v>
      </c>
    </row>
    <row r="18024" spans="1:1" x14ac:dyDescent="0.25">
      <c r="A18024" t="s">
        <v>16730</v>
      </c>
    </row>
    <row r="18025" spans="1:1" x14ac:dyDescent="0.25">
      <c r="A18025" t="s">
        <v>16731</v>
      </c>
    </row>
    <row r="18026" spans="1:1" x14ac:dyDescent="0.25">
      <c r="A18026" t="s">
        <v>16732</v>
      </c>
    </row>
    <row r="18027" spans="1:1" x14ac:dyDescent="0.25">
      <c r="A18027" t="s">
        <v>16733</v>
      </c>
    </row>
    <row r="18028" spans="1:1" x14ac:dyDescent="0.25">
      <c r="A18028" t="s">
        <v>16734</v>
      </c>
    </row>
    <row r="18029" spans="1:1" x14ac:dyDescent="0.25">
      <c r="A18029" t="s">
        <v>16735</v>
      </c>
    </row>
    <row r="18030" spans="1:1" x14ac:dyDescent="0.25">
      <c r="A18030" t="s">
        <v>16736</v>
      </c>
    </row>
    <row r="18031" spans="1:1" x14ac:dyDescent="0.25">
      <c r="A18031" t="s">
        <v>16737</v>
      </c>
    </row>
    <row r="18032" spans="1:1" x14ac:dyDescent="0.25">
      <c r="A18032" t="s">
        <v>16738</v>
      </c>
    </row>
    <row r="18033" spans="1:1" x14ac:dyDescent="0.25">
      <c r="A18033" t="s">
        <v>16739</v>
      </c>
    </row>
    <row r="18034" spans="1:1" x14ac:dyDescent="0.25">
      <c r="A18034" t="s">
        <v>16740</v>
      </c>
    </row>
    <row r="18035" spans="1:1" x14ac:dyDescent="0.25">
      <c r="A18035" t="s">
        <v>16741</v>
      </c>
    </row>
    <row r="18036" spans="1:1" x14ac:dyDescent="0.25">
      <c r="A18036" t="s">
        <v>16742</v>
      </c>
    </row>
    <row r="18037" spans="1:1" x14ac:dyDescent="0.25">
      <c r="A18037" t="s">
        <v>16743</v>
      </c>
    </row>
    <row r="18038" spans="1:1" x14ac:dyDescent="0.25">
      <c r="A18038" t="s">
        <v>16744</v>
      </c>
    </row>
    <row r="18039" spans="1:1" x14ac:dyDescent="0.25">
      <c r="A18039" t="s">
        <v>16745</v>
      </c>
    </row>
    <row r="18040" spans="1:1" x14ac:dyDescent="0.25">
      <c r="A18040" t="s">
        <v>16746</v>
      </c>
    </row>
    <row r="18041" spans="1:1" x14ac:dyDescent="0.25">
      <c r="A18041" t="s">
        <v>16747</v>
      </c>
    </row>
    <row r="18042" spans="1:1" x14ac:dyDescent="0.25">
      <c r="A18042" t="s">
        <v>16748</v>
      </c>
    </row>
    <row r="18043" spans="1:1" x14ac:dyDescent="0.25">
      <c r="A18043" t="s">
        <v>16749</v>
      </c>
    </row>
    <row r="18044" spans="1:1" x14ac:dyDescent="0.25">
      <c r="A18044" t="s">
        <v>16750</v>
      </c>
    </row>
    <row r="18045" spans="1:1" x14ac:dyDescent="0.25">
      <c r="A18045" t="s">
        <v>16751</v>
      </c>
    </row>
    <row r="18046" spans="1:1" x14ac:dyDescent="0.25">
      <c r="A18046" t="s">
        <v>16752</v>
      </c>
    </row>
    <row r="18047" spans="1:1" x14ac:dyDescent="0.25">
      <c r="A18047" t="s">
        <v>16753</v>
      </c>
    </row>
    <row r="18048" spans="1:1" x14ac:dyDescent="0.25">
      <c r="A18048" t="s">
        <v>16754</v>
      </c>
    </row>
    <row r="18049" spans="1:1" x14ac:dyDescent="0.25">
      <c r="A18049" t="s">
        <v>16755</v>
      </c>
    </row>
    <row r="18050" spans="1:1" x14ac:dyDescent="0.25">
      <c r="A18050" t="s">
        <v>16756</v>
      </c>
    </row>
    <row r="18051" spans="1:1" x14ac:dyDescent="0.25">
      <c r="A18051" t="s">
        <v>16757</v>
      </c>
    </row>
    <row r="18052" spans="1:1" x14ac:dyDescent="0.25">
      <c r="A18052" t="s">
        <v>16758</v>
      </c>
    </row>
    <row r="18053" spans="1:1" x14ac:dyDescent="0.25">
      <c r="A18053" t="s">
        <v>16759</v>
      </c>
    </row>
    <row r="18054" spans="1:1" x14ac:dyDescent="0.25">
      <c r="A18054" t="s">
        <v>16760</v>
      </c>
    </row>
    <row r="18055" spans="1:1" x14ac:dyDescent="0.25">
      <c r="A18055" t="s">
        <v>16761</v>
      </c>
    </row>
    <row r="18056" spans="1:1" x14ac:dyDescent="0.25">
      <c r="A18056" t="s">
        <v>16762</v>
      </c>
    </row>
    <row r="18057" spans="1:1" x14ac:dyDescent="0.25">
      <c r="A18057" t="s">
        <v>16763</v>
      </c>
    </row>
    <row r="18058" spans="1:1" x14ac:dyDescent="0.25">
      <c r="A18058" t="s">
        <v>16764</v>
      </c>
    </row>
    <row r="18059" spans="1:1" x14ac:dyDescent="0.25">
      <c r="A18059" t="s">
        <v>16765</v>
      </c>
    </row>
    <row r="18060" spans="1:1" x14ac:dyDescent="0.25">
      <c r="A18060" t="s">
        <v>16766</v>
      </c>
    </row>
    <row r="18061" spans="1:1" x14ac:dyDescent="0.25">
      <c r="A18061" t="s">
        <v>16767</v>
      </c>
    </row>
    <row r="18063" spans="1:1" x14ac:dyDescent="0.25">
      <c r="A18063" t="s">
        <v>16768</v>
      </c>
    </row>
    <row r="18064" spans="1:1" x14ac:dyDescent="0.25">
      <c r="A18064" t="s">
        <v>16769</v>
      </c>
    </row>
    <row r="18065" spans="1:1" x14ac:dyDescent="0.25">
      <c r="A18065" t="s">
        <v>16770</v>
      </c>
    </row>
    <row r="18066" spans="1:1" x14ac:dyDescent="0.25">
      <c r="A18066" t="s">
        <v>16771</v>
      </c>
    </row>
    <row r="18067" spans="1:1" x14ac:dyDescent="0.25">
      <c r="A18067" t="s">
        <v>16772</v>
      </c>
    </row>
    <row r="18068" spans="1:1" x14ac:dyDescent="0.25">
      <c r="A18068" t="s">
        <v>16773</v>
      </c>
    </row>
    <row r="18069" spans="1:1" x14ac:dyDescent="0.25">
      <c r="A18069" t="s">
        <v>16774</v>
      </c>
    </row>
    <row r="18070" spans="1:1" x14ac:dyDescent="0.25">
      <c r="A18070" t="s">
        <v>16775</v>
      </c>
    </row>
    <row r="18071" spans="1:1" x14ac:dyDescent="0.25">
      <c r="A18071" t="s">
        <v>16776</v>
      </c>
    </row>
    <row r="18072" spans="1:1" x14ac:dyDescent="0.25">
      <c r="A18072" t="s">
        <v>16777</v>
      </c>
    </row>
    <row r="18073" spans="1:1" x14ac:dyDescent="0.25">
      <c r="A18073" t="s">
        <v>16778</v>
      </c>
    </row>
    <row r="18074" spans="1:1" x14ac:dyDescent="0.25">
      <c r="A18074" t="s">
        <v>16779</v>
      </c>
    </row>
    <row r="18075" spans="1:1" x14ac:dyDescent="0.25">
      <c r="A18075" t="s">
        <v>16780</v>
      </c>
    </row>
    <row r="18076" spans="1:1" x14ac:dyDescent="0.25">
      <c r="A18076" t="s">
        <v>16781</v>
      </c>
    </row>
    <row r="18077" spans="1:1" x14ac:dyDescent="0.25">
      <c r="A18077" t="s">
        <v>16782</v>
      </c>
    </row>
    <row r="18078" spans="1:1" x14ac:dyDescent="0.25">
      <c r="A18078" t="s">
        <v>16783</v>
      </c>
    </row>
    <row r="18079" spans="1:1" x14ac:dyDescent="0.25">
      <c r="A18079" t="s">
        <v>16784</v>
      </c>
    </row>
    <row r="18080" spans="1:1" x14ac:dyDescent="0.25">
      <c r="A18080" t="s">
        <v>16785</v>
      </c>
    </row>
    <row r="18081" spans="1:1" x14ac:dyDescent="0.25">
      <c r="A18081" t="s">
        <v>16786</v>
      </c>
    </row>
    <row r="18082" spans="1:1" x14ac:dyDescent="0.25">
      <c r="A18082" t="s">
        <v>16787</v>
      </c>
    </row>
    <row r="18083" spans="1:1" x14ac:dyDescent="0.25">
      <c r="A18083" t="s">
        <v>16788</v>
      </c>
    </row>
    <row r="18084" spans="1:1" x14ac:dyDescent="0.25">
      <c r="A18084" t="s">
        <v>16789</v>
      </c>
    </row>
    <row r="18085" spans="1:1" x14ac:dyDescent="0.25">
      <c r="A18085" t="s">
        <v>16790</v>
      </c>
    </row>
    <row r="18086" spans="1:1" x14ac:dyDescent="0.25">
      <c r="A18086" t="s">
        <v>16791</v>
      </c>
    </row>
    <row r="18087" spans="1:1" x14ac:dyDescent="0.25">
      <c r="A18087" t="s">
        <v>16792</v>
      </c>
    </row>
    <row r="18088" spans="1:1" x14ac:dyDescent="0.25">
      <c r="A18088" t="s">
        <v>16793</v>
      </c>
    </row>
    <row r="18089" spans="1:1" x14ac:dyDescent="0.25">
      <c r="A18089" t="s">
        <v>16794</v>
      </c>
    </row>
    <row r="18090" spans="1:1" x14ac:dyDescent="0.25">
      <c r="A18090" t="s">
        <v>16795</v>
      </c>
    </row>
    <row r="18091" spans="1:1" x14ac:dyDescent="0.25">
      <c r="A18091" t="s">
        <v>16796</v>
      </c>
    </row>
    <row r="18092" spans="1:1" x14ac:dyDescent="0.25">
      <c r="A18092" t="s">
        <v>16797</v>
      </c>
    </row>
    <row r="18093" spans="1:1" x14ac:dyDescent="0.25">
      <c r="A18093" t="s">
        <v>16798</v>
      </c>
    </row>
    <row r="18094" spans="1:1" x14ac:dyDescent="0.25">
      <c r="A18094" t="s">
        <v>16799</v>
      </c>
    </row>
    <row r="18095" spans="1:1" x14ac:dyDescent="0.25">
      <c r="A18095" t="s">
        <v>16800</v>
      </c>
    </row>
    <row r="18096" spans="1:1" x14ac:dyDescent="0.25">
      <c r="A18096" t="s">
        <v>16801</v>
      </c>
    </row>
    <row r="18097" spans="1:1" x14ac:dyDescent="0.25">
      <c r="A18097" t="s">
        <v>16802</v>
      </c>
    </row>
    <row r="18098" spans="1:1" x14ac:dyDescent="0.25">
      <c r="A18098" t="s">
        <v>16803</v>
      </c>
    </row>
    <row r="18099" spans="1:1" x14ac:dyDescent="0.25">
      <c r="A18099" t="s">
        <v>16804</v>
      </c>
    </row>
    <row r="18100" spans="1:1" x14ac:dyDescent="0.25">
      <c r="A18100" t="s">
        <v>16805</v>
      </c>
    </row>
    <row r="18101" spans="1:1" x14ac:dyDescent="0.25">
      <c r="A18101" t="s">
        <v>16806</v>
      </c>
    </row>
    <row r="18102" spans="1:1" x14ac:dyDescent="0.25">
      <c r="A18102" t="s">
        <v>16807</v>
      </c>
    </row>
    <row r="18103" spans="1:1" x14ac:dyDescent="0.25">
      <c r="A18103" t="s">
        <v>16808</v>
      </c>
    </row>
    <row r="18104" spans="1:1" x14ac:dyDescent="0.25">
      <c r="A18104" t="s">
        <v>16809</v>
      </c>
    </row>
    <row r="18105" spans="1:1" x14ac:dyDescent="0.25">
      <c r="A18105" t="s">
        <v>16810</v>
      </c>
    </row>
    <row r="18106" spans="1:1" x14ac:dyDescent="0.25">
      <c r="A18106" t="s">
        <v>16811</v>
      </c>
    </row>
    <row r="18107" spans="1:1" x14ac:dyDescent="0.25">
      <c r="A18107" t="s">
        <v>16812</v>
      </c>
    </row>
    <row r="18108" spans="1:1" x14ac:dyDescent="0.25">
      <c r="A18108" t="s">
        <v>16813</v>
      </c>
    </row>
    <row r="18109" spans="1:1" x14ac:dyDescent="0.25">
      <c r="A18109" t="s">
        <v>16814</v>
      </c>
    </row>
    <row r="18110" spans="1:1" x14ac:dyDescent="0.25">
      <c r="A18110" t="s">
        <v>16815</v>
      </c>
    </row>
    <row r="18111" spans="1:1" x14ac:dyDescent="0.25">
      <c r="A18111" t="s">
        <v>16816</v>
      </c>
    </row>
    <row r="18112" spans="1:1" x14ac:dyDescent="0.25">
      <c r="A18112" t="s">
        <v>16817</v>
      </c>
    </row>
    <row r="18113" spans="1:1" x14ac:dyDescent="0.25">
      <c r="A18113" t="s">
        <v>16818</v>
      </c>
    </row>
    <row r="18114" spans="1:1" x14ac:dyDescent="0.25">
      <c r="A18114" t="s">
        <v>16819</v>
      </c>
    </row>
    <row r="18115" spans="1:1" x14ac:dyDescent="0.25">
      <c r="A18115" t="s">
        <v>16820</v>
      </c>
    </row>
    <row r="18116" spans="1:1" x14ac:dyDescent="0.25">
      <c r="A18116" t="s">
        <v>16821</v>
      </c>
    </row>
    <row r="18117" spans="1:1" x14ac:dyDescent="0.25">
      <c r="A18117" t="s">
        <v>16822</v>
      </c>
    </row>
    <row r="18118" spans="1:1" x14ac:dyDescent="0.25">
      <c r="A18118" t="s">
        <v>16823</v>
      </c>
    </row>
    <row r="18119" spans="1:1" x14ac:dyDescent="0.25">
      <c r="A18119" t="s">
        <v>16824</v>
      </c>
    </row>
    <row r="18120" spans="1:1" x14ac:dyDescent="0.25">
      <c r="A18120" t="s">
        <v>16825</v>
      </c>
    </row>
    <row r="18121" spans="1:1" x14ac:dyDescent="0.25">
      <c r="A18121" t="s">
        <v>16826</v>
      </c>
    </row>
    <row r="18122" spans="1:1" x14ac:dyDescent="0.25">
      <c r="A18122" t="s">
        <v>16827</v>
      </c>
    </row>
    <row r="18123" spans="1:1" x14ac:dyDescent="0.25">
      <c r="A18123" t="s">
        <v>16828</v>
      </c>
    </row>
    <row r="18124" spans="1:1" x14ac:dyDescent="0.25">
      <c r="A18124" t="s">
        <v>16829</v>
      </c>
    </row>
    <row r="18125" spans="1:1" x14ac:dyDescent="0.25">
      <c r="A18125" t="s">
        <v>16830</v>
      </c>
    </row>
    <row r="18126" spans="1:1" x14ac:dyDescent="0.25">
      <c r="A18126" t="s">
        <v>16831</v>
      </c>
    </row>
    <row r="18127" spans="1:1" x14ac:dyDescent="0.25">
      <c r="A18127" t="s">
        <v>16832</v>
      </c>
    </row>
    <row r="18128" spans="1:1" x14ac:dyDescent="0.25">
      <c r="A18128" t="s">
        <v>16833</v>
      </c>
    </row>
    <row r="18129" spans="1:1" x14ac:dyDescent="0.25">
      <c r="A18129" t="s">
        <v>16834</v>
      </c>
    </row>
    <row r="18130" spans="1:1" x14ac:dyDescent="0.25">
      <c r="A18130" t="s">
        <v>16835</v>
      </c>
    </row>
    <row r="18131" spans="1:1" x14ac:dyDescent="0.25">
      <c r="A18131" t="s">
        <v>16836</v>
      </c>
    </row>
    <row r="18132" spans="1:1" x14ac:dyDescent="0.25">
      <c r="A18132" t="s">
        <v>16837</v>
      </c>
    </row>
    <row r="18133" spans="1:1" x14ac:dyDescent="0.25">
      <c r="A18133" t="s">
        <v>16838</v>
      </c>
    </row>
    <row r="18134" spans="1:1" x14ac:dyDescent="0.25">
      <c r="A18134" t="s">
        <v>16839</v>
      </c>
    </row>
    <row r="18135" spans="1:1" x14ac:dyDescent="0.25">
      <c r="A18135" t="s">
        <v>16840</v>
      </c>
    </row>
    <row r="18136" spans="1:1" x14ac:dyDescent="0.25">
      <c r="A18136" t="s">
        <v>16841</v>
      </c>
    </row>
    <row r="18137" spans="1:1" x14ac:dyDescent="0.25">
      <c r="A18137" t="s">
        <v>16842</v>
      </c>
    </row>
    <row r="18138" spans="1:1" x14ac:dyDescent="0.25">
      <c r="A18138" t="s">
        <v>16843</v>
      </c>
    </row>
    <row r="18139" spans="1:1" x14ac:dyDescent="0.25">
      <c r="A18139" t="s">
        <v>16844</v>
      </c>
    </row>
    <row r="18140" spans="1:1" x14ac:dyDescent="0.25">
      <c r="A18140" t="s">
        <v>16845</v>
      </c>
    </row>
    <row r="18141" spans="1:1" x14ac:dyDescent="0.25">
      <c r="A18141" t="s">
        <v>16846</v>
      </c>
    </row>
    <row r="18142" spans="1:1" x14ac:dyDescent="0.25">
      <c r="A18142" t="s">
        <v>16847</v>
      </c>
    </row>
    <row r="18143" spans="1:1" x14ac:dyDescent="0.25">
      <c r="A18143" t="s">
        <v>16848</v>
      </c>
    </row>
    <row r="18144" spans="1:1" x14ac:dyDescent="0.25">
      <c r="A18144" t="s">
        <v>16849</v>
      </c>
    </row>
    <row r="18145" spans="1:1" x14ac:dyDescent="0.25">
      <c r="A18145" t="s">
        <v>16850</v>
      </c>
    </row>
    <row r="18146" spans="1:1" x14ac:dyDescent="0.25">
      <c r="A18146" t="s">
        <v>16851</v>
      </c>
    </row>
    <row r="18147" spans="1:1" x14ac:dyDescent="0.25">
      <c r="A18147" t="s">
        <v>16852</v>
      </c>
    </row>
    <row r="18148" spans="1:1" x14ac:dyDescent="0.25">
      <c r="A18148" t="s">
        <v>16853</v>
      </c>
    </row>
    <row r="18149" spans="1:1" x14ac:dyDescent="0.25">
      <c r="A18149" t="s">
        <v>16854</v>
      </c>
    </row>
    <row r="18150" spans="1:1" x14ac:dyDescent="0.25">
      <c r="A18150" t="s">
        <v>16855</v>
      </c>
    </row>
    <row r="18151" spans="1:1" x14ac:dyDescent="0.25">
      <c r="A18151" t="s">
        <v>16856</v>
      </c>
    </row>
    <row r="18152" spans="1:1" x14ac:dyDescent="0.25">
      <c r="A18152" t="s">
        <v>16857</v>
      </c>
    </row>
    <row r="18153" spans="1:1" x14ac:dyDescent="0.25">
      <c r="A18153" t="s">
        <v>16858</v>
      </c>
    </row>
    <row r="18154" spans="1:1" x14ac:dyDescent="0.25">
      <c r="A18154" t="s">
        <v>16859</v>
      </c>
    </row>
    <row r="18156" spans="1:1" x14ac:dyDescent="0.25">
      <c r="A18156" t="s">
        <v>16860</v>
      </c>
    </row>
    <row r="18157" spans="1:1" x14ac:dyDescent="0.25">
      <c r="A18157" t="s">
        <v>16861</v>
      </c>
    </row>
    <row r="18158" spans="1:1" x14ac:dyDescent="0.25">
      <c r="A18158" t="s">
        <v>16862</v>
      </c>
    </row>
    <row r="18159" spans="1:1" x14ac:dyDescent="0.25">
      <c r="A18159" t="s">
        <v>16863</v>
      </c>
    </row>
    <row r="18160" spans="1:1" x14ac:dyDescent="0.25">
      <c r="A18160" t="s">
        <v>16864</v>
      </c>
    </row>
    <row r="18161" spans="1:1" x14ac:dyDescent="0.25">
      <c r="A18161" t="s">
        <v>16865</v>
      </c>
    </row>
    <row r="18162" spans="1:1" x14ac:dyDescent="0.25">
      <c r="A18162" t="s">
        <v>16866</v>
      </c>
    </row>
    <row r="18163" spans="1:1" x14ac:dyDescent="0.25">
      <c r="A18163" t="s">
        <v>16867</v>
      </c>
    </row>
    <row r="18164" spans="1:1" x14ac:dyDescent="0.25">
      <c r="A18164" t="s">
        <v>16868</v>
      </c>
    </row>
    <row r="18165" spans="1:1" x14ac:dyDescent="0.25">
      <c r="A18165" t="s">
        <v>16869</v>
      </c>
    </row>
    <row r="18166" spans="1:1" x14ac:dyDescent="0.25">
      <c r="A18166" t="s">
        <v>16870</v>
      </c>
    </row>
    <row r="18167" spans="1:1" x14ac:dyDescent="0.25">
      <c r="A18167" t="s">
        <v>16871</v>
      </c>
    </row>
    <row r="18168" spans="1:1" x14ac:dyDescent="0.25">
      <c r="A18168" t="s">
        <v>16872</v>
      </c>
    </row>
    <row r="18169" spans="1:1" x14ac:dyDescent="0.25">
      <c r="A18169" t="s">
        <v>16873</v>
      </c>
    </row>
    <row r="18170" spans="1:1" x14ac:dyDescent="0.25">
      <c r="A18170" t="s">
        <v>16874</v>
      </c>
    </row>
    <row r="18171" spans="1:1" x14ac:dyDescent="0.25">
      <c r="A18171" t="s">
        <v>16875</v>
      </c>
    </row>
    <row r="18172" spans="1:1" x14ac:dyDescent="0.25">
      <c r="A18172" t="s">
        <v>16876</v>
      </c>
    </row>
    <row r="18173" spans="1:1" x14ac:dyDescent="0.25">
      <c r="A18173" t="s">
        <v>16877</v>
      </c>
    </row>
    <row r="18174" spans="1:1" x14ac:dyDescent="0.25">
      <c r="A18174" t="s">
        <v>16878</v>
      </c>
    </row>
    <row r="18175" spans="1:1" x14ac:dyDescent="0.25">
      <c r="A18175" t="s">
        <v>16879</v>
      </c>
    </row>
    <row r="18176" spans="1:1" x14ac:dyDescent="0.25">
      <c r="A18176" t="s">
        <v>16880</v>
      </c>
    </row>
    <row r="18177" spans="1:1" x14ac:dyDescent="0.25">
      <c r="A18177" t="s">
        <v>16881</v>
      </c>
    </row>
    <row r="18178" spans="1:1" x14ac:dyDescent="0.25">
      <c r="A18178" t="s">
        <v>16882</v>
      </c>
    </row>
    <row r="18179" spans="1:1" x14ac:dyDescent="0.25">
      <c r="A18179" t="s">
        <v>16883</v>
      </c>
    </row>
    <row r="18180" spans="1:1" x14ac:dyDescent="0.25">
      <c r="A18180" t="s">
        <v>16884</v>
      </c>
    </row>
    <row r="18181" spans="1:1" x14ac:dyDescent="0.25">
      <c r="A18181" t="s">
        <v>16885</v>
      </c>
    </row>
    <row r="18182" spans="1:1" x14ac:dyDescent="0.25">
      <c r="A18182" t="s">
        <v>16886</v>
      </c>
    </row>
    <row r="18183" spans="1:1" x14ac:dyDescent="0.25">
      <c r="A18183" t="s">
        <v>16887</v>
      </c>
    </row>
    <row r="18184" spans="1:1" x14ac:dyDescent="0.25">
      <c r="A18184" t="s">
        <v>16888</v>
      </c>
    </row>
    <row r="18185" spans="1:1" x14ac:dyDescent="0.25">
      <c r="A18185" t="s">
        <v>16889</v>
      </c>
    </row>
    <row r="18186" spans="1:1" x14ac:dyDescent="0.25">
      <c r="A18186" t="s">
        <v>16890</v>
      </c>
    </row>
    <row r="18187" spans="1:1" x14ac:dyDescent="0.25">
      <c r="A18187" t="s">
        <v>16891</v>
      </c>
    </row>
    <row r="18188" spans="1:1" x14ac:dyDescent="0.25">
      <c r="A18188" t="s">
        <v>16892</v>
      </c>
    </row>
    <row r="18189" spans="1:1" x14ac:dyDescent="0.25">
      <c r="A18189" t="s">
        <v>16893</v>
      </c>
    </row>
    <row r="18190" spans="1:1" x14ac:dyDescent="0.25">
      <c r="A18190" t="s">
        <v>16894</v>
      </c>
    </row>
    <row r="18191" spans="1:1" x14ac:dyDescent="0.25">
      <c r="A18191" t="s">
        <v>16895</v>
      </c>
    </row>
    <row r="18192" spans="1:1" x14ac:dyDescent="0.25">
      <c r="A18192" t="s">
        <v>16896</v>
      </c>
    </row>
    <row r="18193" spans="1:1" x14ac:dyDescent="0.25">
      <c r="A18193" t="s">
        <v>16897</v>
      </c>
    </row>
    <row r="18194" spans="1:1" x14ac:dyDescent="0.25">
      <c r="A18194" t="s">
        <v>16898</v>
      </c>
    </row>
    <row r="18195" spans="1:1" x14ac:dyDescent="0.25">
      <c r="A18195" t="s">
        <v>16899</v>
      </c>
    </row>
    <row r="18196" spans="1:1" x14ac:dyDescent="0.25">
      <c r="A18196" t="s">
        <v>16900</v>
      </c>
    </row>
    <row r="18197" spans="1:1" x14ac:dyDescent="0.25">
      <c r="A18197" t="s">
        <v>16901</v>
      </c>
    </row>
    <row r="18198" spans="1:1" x14ac:dyDescent="0.25">
      <c r="A18198" t="s">
        <v>16902</v>
      </c>
    </row>
    <row r="18199" spans="1:1" x14ac:dyDescent="0.25">
      <c r="A18199" t="s">
        <v>16903</v>
      </c>
    </row>
    <row r="18200" spans="1:1" x14ac:dyDescent="0.25">
      <c r="A18200" t="s">
        <v>16904</v>
      </c>
    </row>
    <row r="18201" spans="1:1" x14ac:dyDescent="0.25">
      <c r="A18201" t="s">
        <v>16905</v>
      </c>
    </row>
    <row r="18202" spans="1:1" x14ac:dyDescent="0.25">
      <c r="A18202" t="s">
        <v>16906</v>
      </c>
    </row>
    <row r="18203" spans="1:1" x14ac:dyDescent="0.25">
      <c r="A18203" t="s">
        <v>16907</v>
      </c>
    </row>
    <row r="18204" spans="1:1" x14ac:dyDescent="0.25">
      <c r="A18204" t="s">
        <v>16908</v>
      </c>
    </row>
    <row r="18205" spans="1:1" x14ac:dyDescent="0.25">
      <c r="A18205" t="s">
        <v>16909</v>
      </c>
    </row>
    <row r="18206" spans="1:1" x14ac:dyDescent="0.25">
      <c r="A18206" t="s">
        <v>16910</v>
      </c>
    </row>
    <row r="18207" spans="1:1" x14ac:dyDescent="0.25">
      <c r="A18207" t="s">
        <v>16911</v>
      </c>
    </row>
    <row r="18208" spans="1:1" x14ac:dyDescent="0.25">
      <c r="A18208" t="s">
        <v>16912</v>
      </c>
    </row>
    <row r="18209" spans="1:1" x14ac:dyDescent="0.25">
      <c r="A18209" t="s">
        <v>16913</v>
      </c>
    </row>
    <row r="18210" spans="1:1" x14ac:dyDescent="0.25">
      <c r="A18210" t="s">
        <v>16914</v>
      </c>
    </row>
    <row r="18211" spans="1:1" x14ac:dyDescent="0.25">
      <c r="A18211" t="s">
        <v>16915</v>
      </c>
    </row>
    <row r="18212" spans="1:1" x14ac:dyDescent="0.25">
      <c r="A18212" t="s">
        <v>16916</v>
      </c>
    </row>
    <row r="18213" spans="1:1" x14ac:dyDescent="0.25">
      <c r="A18213" t="s">
        <v>16917</v>
      </c>
    </row>
    <row r="18214" spans="1:1" x14ac:dyDescent="0.25">
      <c r="A18214" t="s">
        <v>16918</v>
      </c>
    </row>
    <row r="18215" spans="1:1" x14ac:dyDescent="0.25">
      <c r="A18215" t="s">
        <v>16919</v>
      </c>
    </row>
    <row r="18216" spans="1:1" x14ac:dyDescent="0.25">
      <c r="A18216" t="s">
        <v>16920</v>
      </c>
    </row>
    <row r="18217" spans="1:1" x14ac:dyDescent="0.25">
      <c r="A18217" t="s">
        <v>16921</v>
      </c>
    </row>
    <row r="18218" spans="1:1" x14ac:dyDescent="0.25">
      <c r="A18218" t="s">
        <v>16922</v>
      </c>
    </row>
    <row r="18219" spans="1:1" x14ac:dyDescent="0.25">
      <c r="A18219" t="s">
        <v>16923</v>
      </c>
    </row>
    <row r="18220" spans="1:1" x14ac:dyDescent="0.25">
      <c r="A18220" t="s">
        <v>16924</v>
      </c>
    </row>
    <row r="18221" spans="1:1" x14ac:dyDescent="0.25">
      <c r="A18221" t="s">
        <v>16925</v>
      </c>
    </row>
    <row r="18222" spans="1:1" x14ac:dyDescent="0.25">
      <c r="A18222" t="s">
        <v>16926</v>
      </c>
    </row>
    <row r="18223" spans="1:1" x14ac:dyDescent="0.25">
      <c r="A18223" t="s">
        <v>16927</v>
      </c>
    </row>
    <row r="18224" spans="1:1" x14ac:dyDescent="0.25">
      <c r="A18224" t="s">
        <v>16928</v>
      </c>
    </row>
    <row r="18225" spans="1:1" x14ac:dyDescent="0.25">
      <c r="A18225" t="s">
        <v>16929</v>
      </c>
    </row>
    <row r="18226" spans="1:1" x14ac:dyDescent="0.25">
      <c r="A18226" t="s">
        <v>16930</v>
      </c>
    </row>
    <row r="18227" spans="1:1" x14ac:dyDescent="0.25">
      <c r="A18227" t="s">
        <v>16931</v>
      </c>
    </row>
    <row r="18228" spans="1:1" x14ac:dyDescent="0.25">
      <c r="A18228" t="s">
        <v>16932</v>
      </c>
    </row>
    <row r="18229" spans="1:1" x14ac:dyDescent="0.25">
      <c r="A18229" t="s">
        <v>16933</v>
      </c>
    </row>
    <row r="18230" spans="1:1" x14ac:dyDescent="0.25">
      <c r="A18230" t="s">
        <v>16934</v>
      </c>
    </row>
    <row r="18231" spans="1:1" x14ac:dyDescent="0.25">
      <c r="A18231" t="s">
        <v>16935</v>
      </c>
    </row>
    <row r="18232" spans="1:1" x14ac:dyDescent="0.25">
      <c r="A18232" t="s">
        <v>16936</v>
      </c>
    </row>
    <row r="18233" spans="1:1" x14ac:dyDescent="0.25">
      <c r="A18233" t="s">
        <v>16937</v>
      </c>
    </row>
    <row r="18234" spans="1:1" x14ac:dyDescent="0.25">
      <c r="A18234" t="s">
        <v>16938</v>
      </c>
    </row>
    <row r="18235" spans="1:1" x14ac:dyDescent="0.25">
      <c r="A18235" t="s">
        <v>16939</v>
      </c>
    </row>
    <row r="18236" spans="1:1" x14ac:dyDescent="0.25">
      <c r="A18236" t="s">
        <v>16940</v>
      </c>
    </row>
    <row r="18237" spans="1:1" x14ac:dyDescent="0.25">
      <c r="A18237" t="s">
        <v>16941</v>
      </c>
    </row>
    <row r="18238" spans="1:1" x14ac:dyDescent="0.25">
      <c r="A18238" t="s">
        <v>16942</v>
      </c>
    </row>
    <row r="18239" spans="1:1" x14ac:dyDescent="0.25">
      <c r="A18239" t="s">
        <v>16943</v>
      </c>
    </row>
    <row r="18240" spans="1:1" x14ac:dyDescent="0.25">
      <c r="A18240" t="s">
        <v>16944</v>
      </c>
    </row>
    <row r="18241" spans="1:1" x14ac:dyDescent="0.25">
      <c r="A18241" t="s">
        <v>16945</v>
      </c>
    </row>
    <row r="18242" spans="1:1" x14ac:dyDescent="0.25">
      <c r="A18242" t="s">
        <v>16946</v>
      </c>
    </row>
    <row r="18243" spans="1:1" x14ac:dyDescent="0.25">
      <c r="A18243" t="s">
        <v>16947</v>
      </c>
    </row>
    <row r="18244" spans="1:1" x14ac:dyDescent="0.25">
      <c r="A18244" t="s">
        <v>16948</v>
      </c>
    </row>
    <row r="18245" spans="1:1" x14ac:dyDescent="0.25">
      <c r="A18245" t="s">
        <v>16949</v>
      </c>
    </row>
    <row r="18246" spans="1:1" x14ac:dyDescent="0.25">
      <c r="A18246" t="s">
        <v>16950</v>
      </c>
    </row>
    <row r="18247" spans="1:1" x14ac:dyDescent="0.25">
      <c r="A18247" t="s">
        <v>16951</v>
      </c>
    </row>
    <row r="18248" spans="1:1" x14ac:dyDescent="0.25">
      <c r="A18248" t="s">
        <v>16952</v>
      </c>
    </row>
    <row r="18249" spans="1:1" x14ac:dyDescent="0.25">
      <c r="A18249" t="s">
        <v>16953</v>
      </c>
    </row>
    <row r="18250" spans="1:1" x14ac:dyDescent="0.25">
      <c r="A18250" t="s">
        <v>16954</v>
      </c>
    </row>
    <row r="18251" spans="1:1" x14ac:dyDescent="0.25">
      <c r="A18251" t="s">
        <v>16955</v>
      </c>
    </row>
    <row r="18252" spans="1:1" x14ac:dyDescent="0.25">
      <c r="A18252" t="s">
        <v>16956</v>
      </c>
    </row>
    <row r="18253" spans="1:1" x14ac:dyDescent="0.25">
      <c r="A18253" t="s">
        <v>16957</v>
      </c>
    </row>
    <row r="18254" spans="1:1" x14ac:dyDescent="0.25">
      <c r="A18254" t="s">
        <v>16958</v>
      </c>
    </row>
    <row r="18255" spans="1:1" x14ac:dyDescent="0.25">
      <c r="A18255" t="s">
        <v>16959</v>
      </c>
    </row>
    <row r="18256" spans="1:1" x14ac:dyDescent="0.25">
      <c r="A18256" t="s">
        <v>16960</v>
      </c>
    </row>
    <row r="18257" spans="1:1" x14ac:dyDescent="0.25">
      <c r="A18257" t="s">
        <v>16961</v>
      </c>
    </row>
    <row r="18258" spans="1:1" x14ac:dyDescent="0.25">
      <c r="A18258" t="s">
        <v>16962</v>
      </c>
    </row>
    <row r="18259" spans="1:1" x14ac:dyDescent="0.25">
      <c r="A18259" t="s">
        <v>16963</v>
      </c>
    </row>
    <row r="18260" spans="1:1" x14ac:dyDescent="0.25">
      <c r="A18260" t="s">
        <v>16964</v>
      </c>
    </row>
    <row r="18261" spans="1:1" x14ac:dyDescent="0.25">
      <c r="A18261" t="s">
        <v>16965</v>
      </c>
    </row>
    <row r="18262" spans="1:1" x14ac:dyDescent="0.25">
      <c r="A18262" t="s">
        <v>16966</v>
      </c>
    </row>
    <row r="18263" spans="1:1" x14ac:dyDescent="0.25">
      <c r="A18263" t="s">
        <v>16967</v>
      </c>
    </row>
    <row r="18264" spans="1:1" x14ac:dyDescent="0.25">
      <c r="A18264" t="s">
        <v>16968</v>
      </c>
    </row>
    <row r="18265" spans="1:1" x14ac:dyDescent="0.25">
      <c r="A18265" t="s">
        <v>16969</v>
      </c>
    </row>
    <row r="18266" spans="1:1" x14ac:dyDescent="0.25">
      <c r="A18266" t="s">
        <v>16970</v>
      </c>
    </row>
    <row r="18267" spans="1:1" x14ac:dyDescent="0.25">
      <c r="A18267" t="s">
        <v>16971</v>
      </c>
    </row>
    <row r="18268" spans="1:1" x14ac:dyDescent="0.25">
      <c r="A18268" t="s">
        <v>16972</v>
      </c>
    </row>
    <row r="18269" spans="1:1" x14ac:dyDescent="0.25">
      <c r="A18269" t="s">
        <v>16973</v>
      </c>
    </row>
    <row r="18270" spans="1:1" x14ac:dyDescent="0.25">
      <c r="A18270" t="s">
        <v>16974</v>
      </c>
    </row>
    <row r="18271" spans="1:1" x14ac:dyDescent="0.25">
      <c r="A18271" t="s">
        <v>16975</v>
      </c>
    </row>
    <row r="18272" spans="1:1" x14ac:dyDescent="0.25">
      <c r="A18272" t="s">
        <v>16976</v>
      </c>
    </row>
    <row r="18273" spans="1:1" x14ac:dyDescent="0.25">
      <c r="A18273" t="s">
        <v>16977</v>
      </c>
    </row>
    <row r="18274" spans="1:1" x14ac:dyDescent="0.25">
      <c r="A18274" t="s">
        <v>16978</v>
      </c>
    </row>
    <row r="18275" spans="1:1" x14ac:dyDescent="0.25">
      <c r="A18275" t="s">
        <v>16979</v>
      </c>
    </row>
    <row r="18276" spans="1:1" x14ac:dyDescent="0.25">
      <c r="A18276" t="s">
        <v>16980</v>
      </c>
    </row>
    <row r="18277" spans="1:1" x14ac:dyDescent="0.25">
      <c r="A18277" t="s">
        <v>16981</v>
      </c>
    </row>
    <row r="18278" spans="1:1" x14ac:dyDescent="0.25">
      <c r="A18278" t="s">
        <v>16982</v>
      </c>
    </row>
    <row r="18279" spans="1:1" x14ac:dyDescent="0.25">
      <c r="A18279" t="s">
        <v>16983</v>
      </c>
    </row>
    <row r="18280" spans="1:1" x14ac:dyDescent="0.25">
      <c r="A18280" t="s">
        <v>16984</v>
      </c>
    </row>
    <row r="18281" spans="1:1" x14ac:dyDescent="0.25">
      <c r="A18281" t="s">
        <v>16985</v>
      </c>
    </row>
    <row r="18282" spans="1:1" x14ac:dyDescent="0.25">
      <c r="A18282" t="s">
        <v>16986</v>
      </c>
    </row>
    <row r="18283" spans="1:1" x14ac:dyDescent="0.25">
      <c r="A18283" t="s">
        <v>16987</v>
      </c>
    </row>
    <row r="18284" spans="1:1" x14ac:dyDescent="0.25">
      <c r="A18284" t="s">
        <v>16988</v>
      </c>
    </row>
    <row r="18285" spans="1:1" x14ac:dyDescent="0.25">
      <c r="A18285" t="s">
        <v>16989</v>
      </c>
    </row>
    <row r="18286" spans="1:1" x14ac:dyDescent="0.25">
      <c r="A18286" t="s">
        <v>16990</v>
      </c>
    </row>
    <row r="18287" spans="1:1" x14ac:dyDescent="0.25">
      <c r="A18287" t="s">
        <v>16991</v>
      </c>
    </row>
    <row r="18288" spans="1:1" x14ac:dyDescent="0.25">
      <c r="A18288" t="s">
        <v>16992</v>
      </c>
    </row>
    <row r="18289" spans="1:1" x14ac:dyDescent="0.25">
      <c r="A18289" t="s">
        <v>16993</v>
      </c>
    </row>
    <row r="18290" spans="1:1" x14ac:dyDescent="0.25">
      <c r="A18290" t="s">
        <v>16994</v>
      </c>
    </row>
    <row r="18291" spans="1:1" x14ac:dyDescent="0.25">
      <c r="A18291" t="s">
        <v>16995</v>
      </c>
    </row>
    <row r="18292" spans="1:1" x14ac:dyDescent="0.25">
      <c r="A18292" t="s">
        <v>16996</v>
      </c>
    </row>
    <row r="18293" spans="1:1" x14ac:dyDescent="0.25">
      <c r="A18293" t="s">
        <v>16997</v>
      </c>
    </row>
    <row r="18294" spans="1:1" x14ac:dyDescent="0.25">
      <c r="A18294" t="s">
        <v>16998</v>
      </c>
    </row>
    <row r="18295" spans="1:1" x14ac:dyDescent="0.25">
      <c r="A18295" t="s">
        <v>16999</v>
      </c>
    </row>
    <row r="18296" spans="1:1" x14ac:dyDescent="0.25">
      <c r="A18296" t="s">
        <v>17000</v>
      </c>
    </row>
    <row r="18297" spans="1:1" x14ac:dyDescent="0.25">
      <c r="A18297" t="s">
        <v>17001</v>
      </c>
    </row>
    <row r="18298" spans="1:1" x14ac:dyDescent="0.25">
      <c r="A18298" t="s">
        <v>17002</v>
      </c>
    </row>
    <row r="18299" spans="1:1" x14ac:dyDescent="0.25">
      <c r="A18299" t="s">
        <v>17003</v>
      </c>
    </row>
    <row r="18300" spans="1:1" x14ac:dyDescent="0.25">
      <c r="A18300" t="s">
        <v>17004</v>
      </c>
    </row>
    <row r="18301" spans="1:1" x14ac:dyDescent="0.25">
      <c r="A18301" t="s">
        <v>17005</v>
      </c>
    </row>
    <row r="18302" spans="1:1" x14ac:dyDescent="0.25">
      <c r="A18302" t="s">
        <v>17006</v>
      </c>
    </row>
    <row r="18303" spans="1:1" x14ac:dyDescent="0.25">
      <c r="A18303" t="s">
        <v>17007</v>
      </c>
    </row>
    <row r="18304" spans="1:1" x14ac:dyDescent="0.25">
      <c r="A18304" t="s">
        <v>17008</v>
      </c>
    </row>
    <row r="18305" spans="1:1" x14ac:dyDescent="0.25">
      <c r="A18305" t="s">
        <v>17009</v>
      </c>
    </row>
    <row r="18306" spans="1:1" x14ac:dyDescent="0.25">
      <c r="A18306" t="s">
        <v>17010</v>
      </c>
    </row>
    <row r="18307" spans="1:1" x14ac:dyDescent="0.25">
      <c r="A18307" t="s">
        <v>17011</v>
      </c>
    </row>
    <row r="18308" spans="1:1" x14ac:dyDescent="0.25">
      <c r="A18308" t="s">
        <v>17012</v>
      </c>
    </row>
    <row r="18309" spans="1:1" x14ac:dyDescent="0.25">
      <c r="A18309" t="s">
        <v>17013</v>
      </c>
    </row>
    <row r="18310" spans="1:1" x14ac:dyDescent="0.25">
      <c r="A18310" t="s">
        <v>17014</v>
      </c>
    </row>
    <row r="18311" spans="1:1" x14ac:dyDescent="0.25">
      <c r="A18311" t="s">
        <v>17015</v>
      </c>
    </row>
    <row r="18312" spans="1:1" x14ac:dyDescent="0.25">
      <c r="A18312" t="s">
        <v>17016</v>
      </c>
    </row>
    <row r="18313" spans="1:1" x14ac:dyDescent="0.25">
      <c r="A18313" t="s">
        <v>17017</v>
      </c>
    </row>
    <row r="18314" spans="1:1" x14ac:dyDescent="0.25">
      <c r="A18314" t="s">
        <v>17018</v>
      </c>
    </row>
    <row r="18315" spans="1:1" x14ac:dyDescent="0.25">
      <c r="A18315" t="s">
        <v>17019</v>
      </c>
    </row>
    <row r="18316" spans="1:1" x14ac:dyDescent="0.25">
      <c r="A18316" t="s">
        <v>17020</v>
      </c>
    </row>
    <row r="18317" spans="1:1" x14ac:dyDescent="0.25">
      <c r="A18317" t="s">
        <v>17021</v>
      </c>
    </row>
    <row r="18318" spans="1:1" x14ac:dyDescent="0.25">
      <c r="A18318" t="s">
        <v>17022</v>
      </c>
    </row>
    <row r="18319" spans="1:1" x14ac:dyDescent="0.25">
      <c r="A18319" t="s">
        <v>17023</v>
      </c>
    </row>
    <row r="18320" spans="1:1" x14ac:dyDescent="0.25">
      <c r="A18320" t="s">
        <v>17024</v>
      </c>
    </row>
    <row r="18321" spans="1:1" x14ac:dyDescent="0.25">
      <c r="A18321" t="s">
        <v>17025</v>
      </c>
    </row>
    <row r="18322" spans="1:1" x14ac:dyDescent="0.25">
      <c r="A18322" t="s">
        <v>17026</v>
      </c>
    </row>
    <row r="18323" spans="1:1" x14ac:dyDescent="0.25">
      <c r="A18323" t="s">
        <v>17027</v>
      </c>
    </row>
    <row r="18324" spans="1:1" x14ac:dyDescent="0.25">
      <c r="A18324" t="s">
        <v>17028</v>
      </c>
    </row>
    <row r="18325" spans="1:1" x14ac:dyDescent="0.25">
      <c r="A18325" t="s">
        <v>17029</v>
      </c>
    </row>
    <row r="18326" spans="1:1" x14ac:dyDescent="0.25">
      <c r="A18326" t="s">
        <v>17030</v>
      </c>
    </row>
    <row r="18327" spans="1:1" x14ac:dyDescent="0.25">
      <c r="A18327" t="s">
        <v>17031</v>
      </c>
    </row>
    <row r="18328" spans="1:1" x14ac:dyDescent="0.25">
      <c r="A18328" t="s">
        <v>17032</v>
      </c>
    </row>
    <row r="18329" spans="1:1" x14ac:dyDescent="0.25">
      <c r="A18329" t="s">
        <v>17033</v>
      </c>
    </row>
    <row r="18330" spans="1:1" x14ac:dyDescent="0.25">
      <c r="A18330" t="s">
        <v>17034</v>
      </c>
    </row>
    <row r="18331" spans="1:1" x14ac:dyDescent="0.25">
      <c r="A18331" t="s">
        <v>17035</v>
      </c>
    </row>
    <row r="18332" spans="1:1" x14ac:dyDescent="0.25">
      <c r="A18332" t="s">
        <v>17036</v>
      </c>
    </row>
    <row r="18333" spans="1:1" x14ac:dyDescent="0.25">
      <c r="A18333" t="s">
        <v>17037</v>
      </c>
    </row>
    <row r="18334" spans="1:1" x14ac:dyDescent="0.25">
      <c r="A18334" t="s">
        <v>17038</v>
      </c>
    </row>
    <row r="18335" spans="1:1" x14ac:dyDescent="0.25">
      <c r="A18335" t="s">
        <v>17039</v>
      </c>
    </row>
    <row r="18336" spans="1:1" x14ac:dyDescent="0.25">
      <c r="A18336" t="s">
        <v>17040</v>
      </c>
    </row>
    <row r="18337" spans="1:1" x14ac:dyDescent="0.25">
      <c r="A18337" t="s">
        <v>17041</v>
      </c>
    </row>
    <row r="18338" spans="1:1" x14ac:dyDescent="0.25">
      <c r="A18338" t="s">
        <v>17042</v>
      </c>
    </row>
    <row r="18339" spans="1:1" x14ac:dyDescent="0.25">
      <c r="A18339" t="s">
        <v>17043</v>
      </c>
    </row>
    <row r="18340" spans="1:1" x14ac:dyDescent="0.25">
      <c r="A18340" t="s">
        <v>17044</v>
      </c>
    </row>
    <row r="18341" spans="1:1" x14ac:dyDescent="0.25">
      <c r="A18341" t="s">
        <v>17045</v>
      </c>
    </row>
    <row r="18342" spans="1:1" x14ac:dyDescent="0.25">
      <c r="A18342" t="s">
        <v>17046</v>
      </c>
    </row>
    <row r="18343" spans="1:1" x14ac:dyDescent="0.25">
      <c r="A18343" t="s">
        <v>17047</v>
      </c>
    </row>
    <row r="18344" spans="1:1" x14ac:dyDescent="0.25">
      <c r="A18344" t="s">
        <v>17048</v>
      </c>
    </row>
    <row r="18345" spans="1:1" x14ac:dyDescent="0.25">
      <c r="A18345" t="s">
        <v>17049</v>
      </c>
    </row>
    <row r="18346" spans="1:1" x14ac:dyDescent="0.25">
      <c r="A18346" t="s">
        <v>17050</v>
      </c>
    </row>
    <row r="18347" spans="1:1" x14ac:dyDescent="0.25">
      <c r="A18347" t="s">
        <v>17051</v>
      </c>
    </row>
    <row r="18348" spans="1:1" x14ac:dyDescent="0.25">
      <c r="A18348" t="s">
        <v>17052</v>
      </c>
    </row>
    <row r="18349" spans="1:1" x14ac:dyDescent="0.25">
      <c r="A18349" t="s">
        <v>17053</v>
      </c>
    </row>
    <row r="18350" spans="1:1" x14ac:dyDescent="0.25">
      <c r="A18350" t="s">
        <v>17054</v>
      </c>
    </row>
    <row r="18351" spans="1:1" x14ac:dyDescent="0.25">
      <c r="A18351" t="s">
        <v>17055</v>
      </c>
    </row>
    <row r="18352" spans="1:1" x14ac:dyDescent="0.25">
      <c r="A18352" t="s">
        <v>17056</v>
      </c>
    </row>
    <row r="18353" spans="1:1" x14ac:dyDescent="0.25">
      <c r="A18353" t="s">
        <v>17057</v>
      </c>
    </row>
    <row r="18354" spans="1:1" x14ac:dyDescent="0.25">
      <c r="A18354" t="s">
        <v>17058</v>
      </c>
    </row>
    <row r="18355" spans="1:1" x14ac:dyDescent="0.25">
      <c r="A18355" t="s">
        <v>17059</v>
      </c>
    </row>
    <row r="18356" spans="1:1" x14ac:dyDescent="0.25">
      <c r="A18356" t="s">
        <v>17060</v>
      </c>
    </row>
    <row r="18357" spans="1:1" x14ac:dyDescent="0.25">
      <c r="A18357" t="s">
        <v>17061</v>
      </c>
    </row>
    <row r="18358" spans="1:1" x14ac:dyDescent="0.25">
      <c r="A18358" t="s">
        <v>17062</v>
      </c>
    </row>
    <row r="18359" spans="1:1" x14ac:dyDescent="0.25">
      <c r="A18359" t="s">
        <v>17063</v>
      </c>
    </row>
    <row r="18360" spans="1:1" x14ac:dyDescent="0.25">
      <c r="A18360" t="s">
        <v>17064</v>
      </c>
    </row>
    <row r="18361" spans="1:1" x14ac:dyDescent="0.25">
      <c r="A18361" t="s">
        <v>17065</v>
      </c>
    </row>
    <row r="18362" spans="1:1" x14ac:dyDescent="0.25">
      <c r="A18362" t="s">
        <v>17066</v>
      </c>
    </row>
    <row r="18363" spans="1:1" x14ac:dyDescent="0.25">
      <c r="A18363" t="s">
        <v>17067</v>
      </c>
    </row>
    <row r="18364" spans="1:1" x14ac:dyDescent="0.25">
      <c r="A18364" t="s">
        <v>17068</v>
      </c>
    </row>
    <row r="18365" spans="1:1" x14ac:dyDescent="0.25">
      <c r="A18365" t="s">
        <v>17069</v>
      </c>
    </row>
    <row r="18366" spans="1:1" x14ac:dyDescent="0.25">
      <c r="A18366" t="s">
        <v>17070</v>
      </c>
    </row>
    <row r="18367" spans="1:1" x14ac:dyDescent="0.25">
      <c r="A18367" t="s">
        <v>17071</v>
      </c>
    </row>
    <row r="18368" spans="1:1" x14ac:dyDescent="0.25">
      <c r="A18368" t="s">
        <v>17072</v>
      </c>
    </row>
    <row r="18369" spans="1:1" x14ac:dyDescent="0.25">
      <c r="A18369" t="s">
        <v>17073</v>
      </c>
    </row>
    <row r="18370" spans="1:1" x14ac:dyDescent="0.25">
      <c r="A18370" t="s">
        <v>17074</v>
      </c>
    </row>
    <row r="18371" spans="1:1" x14ac:dyDescent="0.25">
      <c r="A18371" t="s">
        <v>17075</v>
      </c>
    </row>
    <row r="18372" spans="1:1" x14ac:dyDescent="0.25">
      <c r="A18372" t="s">
        <v>17076</v>
      </c>
    </row>
    <row r="18373" spans="1:1" x14ac:dyDescent="0.25">
      <c r="A18373" t="s">
        <v>17077</v>
      </c>
    </row>
    <row r="18374" spans="1:1" x14ac:dyDescent="0.25">
      <c r="A18374" t="s">
        <v>17078</v>
      </c>
    </row>
    <row r="18375" spans="1:1" x14ac:dyDescent="0.25">
      <c r="A18375" t="s">
        <v>17079</v>
      </c>
    </row>
    <row r="18376" spans="1:1" x14ac:dyDescent="0.25">
      <c r="A18376" t="s">
        <v>17080</v>
      </c>
    </row>
    <row r="18377" spans="1:1" x14ac:dyDescent="0.25">
      <c r="A18377" t="s">
        <v>17081</v>
      </c>
    </row>
    <row r="18378" spans="1:1" x14ac:dyDescent="0.25">
      <c r="A18378" t="s">
        <v>17082</v>
      </c>
    </row>
    <row r="18379" spans="1:1" x14ac:dyDescent="0.25">
      <c r="A18379" t="s">
        <v>17083</v>
      </c>
    </row>
    <row r="18380" spans="1:1" x14ac:dyDescent="0.25">
      <c r="A18380" t="s">
        <v>17084</v>
      </c>
    </row>
    <row r="18381" spans="1:1" x14ac:dyDescent="0.25">
      <c r="A18381" t="s">
        <v>17085</v>
      </c>
    </row>
    <row r="18382" spans="1:1" x14ac:dyDescent="0.25">
      <c r="A18382" t="s">
        <v>17086</v>
      </c>
    </row>
    <row r="18383" spans="1:1" x14ac:dyDescent="0.25">
      <c r="A18383" t="s">
        <v>17087</v>
      </c>
    </row>
    <row r="18384" spans="1:1" x14ac:dyDescent="0.25">
      <c r="A18384" t="s">
        <v>17088</v>
      </c>
    </row>
    <row r="18385" spans="1:1" x14ac:dyDescent="0.25">
      <c r="A18385" t="s">
        <v>17089</v>
      </c>
    </row>
    <row r="18386" spans="1:1" x14ac:dyDescent="0.25">
      <c r="A18386" t="s">
        <v>17090</v>
      </c>
    </row>
    <row r="18387" spans="1:1" x14ac:dyDescent="0.25">
      <c r="A18387" t="s">
        <v>17091</v>
      </c>
    </row>
    <row r="18388" spans="1:1" x14ac:dyDescent="0.25">
      <c r="A18388" t="s">
        <v>17092</v>
      </c>
    </row>
    <row r="18389" spans="1:1" x14ac:dyDescent="0.25">
      <c r="A18389" t="s">
        <v>17093</v>
      </c>
    </row>
    <row r="18390" spans="1:1" x14ac:dyDescent="0.25">
      <c r="A18390" t="s">
        <v>17094</v>
      </c>
    </row>
    <row r="18391" spans="1:1" x14ac:dyDescent="0.25">
      <c r="A18391" t="s">
        <v>17095</v>
      </c>
    </row>
    <row r="18392" spans="1:1" x14ac:dyDescent="0.25">
      <c r="A18392" t="s">
        <v>17096</v>
      </c>
    </row>
    <row r="18393" spans="1:1" x14ac:dyDescent="0.25">
      <c r="A18393" t="s">
        <v>17097</v>
      </c>
    </row>
    <row r="18394" spans="1:1" x14ac:dyDescent="0.25">
      <c r="A18394" t="s">
        <v>17098</v>
      </c>
    </row>
    <row r="18395" spans="1:1" x14ac:dyDescent="0.25">
      <c r="A18395" t="s">
        <v>17099</v>
      </c>
    </row>
    <row r="18396" spans="1:1" x14ac:dyDescent="0.25">
      <c r="A18396" t="s">
        <v>17100</v>
      </c>
    </row>
    <row r="18397" spans="1:1" x14ac:dyDescent="0.25">
      <c r="A18397" t="s">
        <v>17101</v>
      </c>
    </row>
    <row r="18398" spans="1:1" x14ac:dyDescent="0.25">
      <c r="A18398" t="s">
        <v>17102</v>
      </c>
    </row>
    <row r="18399" spans="1:1" x14ac:dyDescent="0.25">
      <c r="A18399" t="s">
        <v>17103</v>
      </c>
    </row>
    <row r="18400" spans="1:1" x14ac:dyDescent="0.25">
      <c r="A18400" t="s">
        <v>17104</v>
      </c>
    </row>
    <row r="18401" spans="1:1" x14ac:dyDescent="0.25">
      <c r="A18401" t="s">
        <v>17105</v>
      </c>
    </row>
    <row r="18402" spans="1:1" x14ac:dyDescent="0.25">
      <c r="A18402" t="s">
        <v>17106</v>
      </c>
    </row>
    <row r="18403" spans="1:1" x14ac:dyDescent="0.25">
      <c r="A18403" t="s">
        <v>17107</v>
      </c>
    </row>
    <row r="18404" spans="1:1" x14ac:dyDescent="0.25">
      <c r="A18404" t="s">
        <v>17108</v>
      </c>
    </row>
    <row r="18405" spans="1:1" x14ac:dyDescent="0.25">
      <c r="A18405" t="s">
        <v>17109</v>
      </c>
    </row>
    <row r="18406" spans="1:1" x14ac:dyDescent="0.25">
      <c r="A18406" t="s">
        <v>17110</v>
      </c>
    </row>
    <row r="18407" spans="1:1" x14ac:dyDescent="0.25">
      <c r="A18407" t="s">
        <v>17111</v>
      </c>
    </row>
    <row r="18408" spans="1:1" x14ac:dyDescent="0.25">
      <c r="A18408" t="s">
        <v>17112</v>
      </c>
    </row>
    <row r="18409" spans="1:1" x14ac:dyDescent="0.25">
      <c r="A18409" t="s">
        <v>17113</v>
      </c>
    </row>
    <row r="18410" spans="1:1" x14ac:dyDescent="0.25">
      <c r="A18410" t="s">
        <v>17114</v>
      </c>
    </row>
    <row r="18411" spans="1:1" x14ac:dyDescent="0.25">
      <c r="A18411" t="s">
        <v>17115</v>
      </c>
    </row>
    <row r="18412" spans="1:1" x14ac:dyDescent="0.25">
      <c r="A18412" t="s">
        <v>17116</v>
      </c>
    </row>
    <row r="18413" spans="1:1" x14ac:dyDescent="0.25">
      <c r="A18413" t="s">
        <v>17117</v>
      </c>
    </row>
    <row r="18414" spans="1:1" x14ac:dyDescent="0.25">
      <c r="A18414" t="s">
        <v>17118</v>
      </c>
    </row>
    <row r="18415" spans="1:1" x14ac:dyDescent="0.25">
      <c r="A18415" t="s">
        <v>17119</v>
      </c>
    </row>
    <row r="18416" spans="1:1" x14ac:dyDescent="0.25">
      <c r="A18416" t="s">
        <v>17120</v>
      </c>
    </row>
    <row r="18417" spans="1:1" x14ac:dyDescent="0.25">
      <c r="A18417" t="s">
        <v>17121</v>
      </c>
    </row>
    <row r="18418" spans="1:1" x14ac:dyDescent="0.25">
      <c r="A18418" t="s">
        <v>17122</v>
      </c>
    </row>
    <row r="18419" spans="1:1" x14ac:dyDescent="0.25">
      <c r="A18419" t="s">
        <v>17123</v>
      </c>
    </row>
    <row r="18420" spans="1:1" x14ac:dyDescent="0.25">
      <c r="A18420" t="s">
        <v>17124</v>
      </c>
    </row>
    <row r="18421" spans="1:1" x14ac:dyDescent="0.25">
      <c r="A18421" t="s">
        <v>17125</v>
      </c>
    </row>
    <row r="18422" spans="1:1" x14ac:dyDescent="0.25">
      <c r="A18422" t="s">
        <v>17126</v>
      </c>
    </row>
    <row r="18423" spans="1:1" x14ac:dyDescent="0.25">
      <c r="A18423" t="s">
        <v>17127</v>
      </c>
    </row>
    <row r="18424" spans="1:1" x14ac:dyDescent="0.25">
      <c r="A18424" t="s">
        <v>17128</v>
      </c>
    </row>
    <row r="18425" spans="1:1" x14ac:dyDescent="0.25">
      <c r="A18425" t="s">
        <v>17129</v>
      </c>
    </row>
    <row r="18426" spans="1:1" x14ac:dyDescent="0.25">
      <c r="A18426" t="s">
        <v>17130</v>
      </c>
    </row>
    <row r="18427" spans="1:1" x14ac:dyDescent="0.25">
      <c r="A18427" t="s">
        <v>17131</v>
      </c>
    </row>
    <row r="18428" spans="1:1" x14ac:dyDescent="0.25">
      <c r="A18428" t="s">
        <v>17132</v>
      </c>
    </row>
    <row r="18429" spans="1:1" x14ac:dyDescent="0.25">
      <c r="A18429" t="s">
        <v>17133</v>
      </c>
    </row>
    <row r="18430" spans="1:1" x14ac:dyDescent="0.25">
      <c r="A18430" t="s">
        <v>17134</v>
      </c>
    </row>
    <row r="18431" spans="1:1" x14ac:dyDescent="0.25">
      <c r="A18431" t="s">
        <v>17135</v>
      </c>
    </row>
    <row r="18432" spans="1:1" x14ac:dyDescent="0.25">
      <c r="A18432" t="s">
        <v>17136</v>
      </c>
    </row>
    <row r="18433" spans="1:1" x14ac:dyDescent="0.25">
      <c r="A18433" t="s">
        <v>17137</v>
      </c>
    </row>
    <row r="18434" spans="1:1" x14ac:dyDescent="0.25">
      <c r="A18434" t="s">
        <v>17138</v>
      </c>
    </row>
    <row r="18435" spans="1:1" x14ac:dyDescent="0.25">
      <c r="A18435" t="s">
        <v>17139</v>
      </c>
    </row>
    <row r="18436" spans="1:1" x14ac:dyDescent="0.25">
      <c r="A18436" t="s">
        <v>17140</v>
      </c>
    </row>
    <row r="18437" spans="1:1" x14ac:dyDescent="0.25">
      <c r="A18437" t="s">
        <v>17141</v>
      </c>
    </row>
    <row r="18438" spans="1:1" x14ac:dyDescent="0.25">
      <c r="A18438" t="s">
        <v>17142</v>
      </c>
    </row>
    <row r="18439" spans="1:1" x14ac:dyDescent="0.25">
      <c r="A18439" t="s">
        <v>17143</v>
      </c>
    </row>
    <row r="18440" spans="1:1" x14ac:dyDescent="0.25">
      <c r="A18440" t="s">
        <v>17144</v>
      </c>
    </row>
    <row r="18441" spans="1:1" x14ac:dyDescent="0.25">
      <c r="A18441" t="s">
        <v>17145</v>
      </c>
    </row>
    <row r="18442" spans="1:1" x14ac:dyDescent="0.25">
      <c r="A18442" t="s">
        <v>17146</v>
      </c>
    </row>
    <row r="18443" spans="1:1" x14ac:dyDescent="0.25">
      <c r="A18443" t="s">
        <v>17147</v>
      </c>
    </row>
    <row r="18444" spans="1:1" x14ac:dyDescent="0.25">
      <c r="A18444" t="s">
        <v>17148</v>
      </c>
    </row>
    <row r="18445" spans="1:1" x14ac:dyDescent="0.25">
      <c r="A18445" t="s">
        <v>17149</v>
      </c>
    </row>
    <row r="18446" spans="1:1" x14ac:dyDescent="0.25">
      <c r="A18446" t="s">
        <v>17150</v>
      </c>
    </row>
    <row r="18447" spans="1:1" x14ac:dyDescent="0.25">
      <c r="A18447" t="s">
        <v>17151</v>
      </c>
    </row>
    <row r="18448" spans="1:1" x14ac:dyDescent="0.25">
      <c r="A18448" t="s">
        <v>17152</v>
      </c>
    </row>
    <row r="18449" spans="1:1" x14ac:dyDescent="0.25">
      <c r="A18449" t="s">
        <v>17153</v>
      </c>
    </row>
    <row r="18450" spans="1:1" x14ac:dyDescent="0.25">
      <c r="A18450" t="s">
        <v>17154</v>
      </c>
    </row>
    <row r="18451" spans="1:1" x14ac:dyDescent="0.25">
      <c r="A18451" t="s">
        <v>17155</v>
      </c>
    </row>
    <row r="18452" spans="1:1" x14ac:dyDescent="0.25">
      <c r="A18452" t="s">
        <v>17156</v>
      </c>
    </row>
    <row r="18453" spans="1:1" x14ac:dyDescent="0.25">
      <c r="A18453" t="s">
        <v>17157</v>
      </c>
    </row>
    <row r="18454" spans="1:1" x14ac:dyDescent="0.25">
      <c r="A18454" t="s">
        <v>17158</v>
      </c>
    </row>
    <row r="18455" spans="1:1" x14ac:dyDescent="0.25">
      <c r="A18455" t="s">
        <v>17159</v>
      </c>
    </row>
    <row r="18456" spans="1:1" x14ac:dyDescent="0.25">
      <c r="A18456" t="s">
        <v>17160</v>
      </c>
    </row>
    <row r="18457" spans="1:1" x14ac:dyDescent="0.25">
      <c r="A18457" t="s">
        <v>17161</v>
      </c>
    </row>
    <row r="18458" spans="1:1" x14ac:dyDescent="0.25">
      <c r="A18458" t="s">
        <v>17162</v>
      </c>
    </row>
    <row r="18459" spans="1:1" x14ac:dyDescent="0.25">
      <c r="A18459" t="s">
        <v>17163</v>
      </c>
    </row>
    <row r="18460" spans="1:1" x14ac:dyDescent="0.25">
      <c r="A18460" t="s">
        <v>17164</v>
      </c>
    </row>
    <row r="18461" spans="1:1" x14ac:dyDescent="0.25">
      <c r="A18461" t="s">
        <v>17165</v>
      </c>
    </row>
    <row r="18462" spans="1:1" x14ac:dyDescent="0.25">
      <c r="A18462" t="s">
        <v>17166</v>
      </c>
    </row>
    <row r="18463" spans="1:1" x14ac:dyDescent="0.25">
      <c r="A18463" t="s">
        <v>17167</v>
      </c>
    </row>
    <row r="18464" spans="1:1" x14ac:dyDescent="0.25">
      <c r="A18464" t="s">
        <v>17168</v>
      </c>
    </row>
    <row r="18465" spans="1:1" x14ac:dyDescent="0.25">
      <c r="A18465" t="s">
        <v>17169</v>
      </c>
    </row>
    <row r="18466" spans="1:1" x14ac:dyDescent="0.25">
      <c r="A18466" t="s">
        <v>17170</v>
      </c>
    </row>
    <row r="18467" spans="1:1" x14ac:dyDescent="0.25">
      <c r="A18467" t="s">
        <v>17171</v>
      </c>
    </row>
    <row r="18468" spans="1:1" x14ac:dyDescent="0.25">
      <c r="A18468" t="s">
        <v>17172</v>
      </c>
    </row>
    <row r="18469" spans="1:1" x14ac:dyDescent="0.25">
      <c r="A18469" t="s">
        <v>17173</v>
      </c>
    </row>
    <row r="18470" spans="1:1" x14ac:dyDescent="0.25">
      <c r="A18470" t="s">
        <v>17174</v>
      </c>
    </row>
    <row r="18471" spans="1:1" x14ac:dyDescent="0.25">
      <c r="A18471" t="s">
        <v>17175</v>
      </c>
    </row>
    <row r="18472" spans="1:1" x14ac:dyDescent="0.25">
      <c r="A18472" t="s">
        <v>17176</v>
      </c>
    </row>
    <row r="18473" spans="1:1" x14ac:dyDescent="0.25">
      <c r="A18473" t="s">
        <v>17177</v>
      </c>
    </row>
    <row r="18474" spans="1:1" x14ac:dyDescent="0.25">
      <c r="A18474" t="s">
        <v>17178</v>
      </c>
    </row>
    <row r="18475" spans="1:1" x14ac:dyDescent="0.25">
      <c r="A18475" t="s">
        <v>17179</v>
      </c>
    </row>
    <row r="18476" spans="1:1" x14ac:dyDescent="0.25">
      <c r="A18476" t="s">
        <v>17180</v>
      </c>
    </row>
    <row r="18477" spans="1:1" x14ac:dyDescent="0.25">
      <c r="A18477" t="s">
        <v>17181</v>
      </c>
    </row>
    <row r="18478" spans="1:1" x14ac:dyDescent="0.25">
      <c r="A18478" t="s">
        <v>17182</v>
      </c>
    </row>
    <row r="18479" spans="1:1" x14ac:dyDescent="0.25">
      <c r="A18479" t="s">
        <v>17183</v>
      </c>
    </row>
    <row r="18480" spans="1:1" x14ac:dyDescent="0.25">
      <c r="A18480" t="s">
        <v>17184</v>
      </c>
    </row>
    <row r="18481" spans="1:1" x14ac:dyDescent="0.25">
      <c r="A18481" t="s">
        <v>17185</v>
      </c>
    </row>
    <row r="18482" spans="1:1" x14ac:dyDescent="0.25">
      <c r="A18482" t="s">
        <v>17186</v>
      </c>
    </row>
    <row r="18483" spans="1:1" x14ac:dyDescent="0.25">
      <c r="A18483" t="s">
        <v>17187</v>
      </c>
    </row>
    <row r="18484" spans="1:1" x14ac:dyDescent="0.25">
      <c r="A18484" t="s">
        <v>17188</v>
      </c>
    </row>
    <row r="18485" spans="1:1" x14ac:dyDescent="0.25">
      <c r="A18485" t="s">
        <v>17189</v>
      </c>
    </row>
    <row r="18486" spans="1:1" x14ac:dyDescent="0.25">
      <c r="A18486" t="s">
        <v>17190</v>
      </c>
    </row>
    <row r="18487" spans="1:1" x14ac:dyDescent="0.25">
      <c r="A18487" t="s">
        <v>17191</v>
      </c>
    </row>
    <row r="18488" spans="1:1" x14ac:dyDescent="0.25">
      <c r="A18488" t="s">
        <v>17192</v>
      </c>
    </row>
    <row r="18489" spans="1:1" x14ac:dyDescent="0.25">
      <c r="A18489" t="s">
        <v>17193</v>
      </c>
    </row>
    <row r="18490" spans="1:1" x14ac:dyDescent="0.25">
      <c r="A18490" t="s">
        <v>17194</v>
      </c>
    </row>
    <row r="18491" spans="1:1" x14ac:dyDescent="0.25">
      <c r="A18491" t="s">
        <v>17195</v>
      </c>
    </row>
    <row r="18492" spans="1:1" x14ac:dyDescent="0.25">
      <c r="A18492" t="s">
        <v>17196</v>
      </c>
    </row>
    <row r="18493" spans="1:1" x14ac:dyDescent="0.25">
      <c r="A18493" t="s">
        <v>17197</v>
      </c>
    </row>
    <row r="18494" spans="1:1" x14ac:dyDescent="0.25">
      <c r="A18494" t="s">
        <v>17198</v>
      </c>
    </row>
    <row r="18495" spans="1:1" x14ac:dyDescent="0.25">
      <c r="A18495" t="s">
        <v>17199</v>
      </c>
    </row>
    <row r="18496" spans="1:1" x14ac:dyDescent="0.25">
      <c r="A18496" t="s">
        <v>17200</v>
      </c>
    </row>
    <row r="18497" spans="1:1" x14ac:dyDescent="0.25">
      <c r="A18497" t="s">
        <v>17201</v>
      </c>
    </row>
    <row r="18498" spans="1:1" x14ac:dyDescent="0.25">
      <c r="A18498" t="s">
        <v>17202</v>
      </c>
    </row>
    <row r="18499" spans="1:1" x14ac:dyDescent="0.25">
      <c r="A18499" t="s">
        <v>17203</v>
      </c>
    </row>
    <row r="18500" spans="1:1" x14ac:dyDescent="0.25">
      <c r="A18500" t="s">
        <v>17204</v>
      </c>
    </row>
    <row r="18501" spans="1:1" x14ac:dyDescent="0.25">
      <c r="A18501" t="s">
        <v>17205</v>
      </c>
    </row>
    <row r="18502" spans="1:1" x14ac:dyDescent="0.25">
      <c r="A18502" t="s">
        <v>17206</v>
      </c>
    </row>
    <row r="18503" spans="1:1" x14ac:dyDescent="0.25">
      <c r="A18503" t="s">
        <v>17207</v>
      </c>
    </row>
    <row r="18504" spans="1:1" x14ac:dyDescent="0.25">
      <c r="A18504" t="s">
        <v>17208</v>
      </c>
    </row>
    <row r="18505" spans="1:1" x14ac:dyDescent="0.25">
      <c r="A18505" t="s">
        <v>17209</v>
      </c>
    </row>
    <row r="18506" spans="1:1" x14ac:dyDescent="0.25">
      <c r="A18506" t="s">
        <v>17210</v>
      </c>
    </row>
    <row r="18507" spans="1:1" x14ac:dyDescent="0.25">
      <c r="A18507" t="s">
        <v>17211</v>
      </c>
    </row>
    <row r="18508" spans="1:1" x14ac:dyDescent="0.25">
      <c r="A18508" t="s">
        <v>17212</v>
      </c>
    </row>
    <row r="18509" spans="1:1" x14ac:dyDescent="0.25">
      <c r="A18509" t="s">
        <v>17213</v>
      </c>
    </row>
    <row r="18510" spans="1:1" x14ac:dyDescent="0.25">
      <c r="A18510" t="s">
        <v>17214</v>
      </c>
    </row>
    <row r="18511" spans="1:1" x14ac:dyDescent="0.25">
      <c r="A18511" t="s">
        <v>17215</v>
      </c>
    </row>
    <row r="18512" spans="1:1" x14ac:dyDescent="0.25">
      <c r="A18512" t="s">
        <v>17216</v>
      </c>
    </row>
    <row r="18513" spans="1:1" x14ac:dyDescent="0.25">
      <c r="A18513" t="s">
        <v>17217</v>
      </c>
    </row>
    <row r="18514" spans="1:1" x14ac:dyDescent="0.25">
      <c r="A18514" t="s">
        <v>17218</v>
      </c>
    </row>
    <row r="18515" spans="1:1" x14ac:dyDescent="0.25">
      <c r="A18515" t="s">
        <v>17219</v>
      </c>
    </row>
    <row r="18516" spans="1:1" x14ac:dyDescent="0.25">
      <c r="A18516" t="s">
        <v>17220</v>
      </c>
    </row>
    <row r="18517" spans="1:1" x14ac:dyDescent="0.25">
      <c r="A18517" t="s">
        <v>17221</v>
      </c>
    </row>
    <row r="18518" spans="1:1" x14ac:dyDescent="0.25">
      <c r="A18518" t="s">
        <v>17222</v>
      </c>
    </row>
    <row r="18519" spans="1:1" x14ac:dyDescent="0.25">
      <c r="A18519" t="s">
        <v>17223</v>
      </c>
    </row>
    <row r="18520" spans="1:1" x14ac:dyDescent="0.25">
      <c r="A18520" t="s">
        <v>17224</v>
      </c>
    </row>
    <row r="18521" spans="1:1" x14ac:dyDescent="0.25">
      <c r="A18521" t="s">
        <v>17225</v>
      </c>
    </row>
    <row r="18522" spans="1:1" x14ac:dyDescent="0.25">
      <c r="A18522" t="s">
        <v>17226</v>
      </c>
    </row>
    <row r="18523" spans="1:1" x14ac:dyDescent="0.25">
      <c r="A18523" t="s">
        <v>17227</v>
      </c>
    </row>
    <row r="18524" spans="1:1" x14ac:dyDescent="0.25">
      <c r="A18524" t="s">
        <v>17228</v>
      </c>
    </row>
    <row r="18525" spans="1:1" x14ac:dyDescent="0.25">
      <c r="A18525" t="s">
        <v>17229</v>
      </c>
    </row>
    <row r="18526" spans="1:1" x14ac:dyDescent="0.25">
      <c r="A18526" t="s">
        <v>17230</v>
      </c>
    </row>
    <row r="18527" spans="1:1" x14ac:dyDescent="0.25">
      <c r="A18527" t="s">
        <v>17231</v>
      </c>
    </row>
    <row r="18528" spans="1:1" x14ac:dyDescent="0.25">
      <c r="A18528" t="s">
        <v>17232</v>
      </c>
    </row>
    <row r="18529" spans="1:1" x14ac:dyDescent="0.25">
      <c r="A18529" t="s">
        <v>17233</v>
      </c>
    </row>
    <row r="18530" spans="1:1" x14ac:dyDescent="0.25">
      <c r="A18530" t="s">
        <v>17234</v>
      </c>
    </row>
    <row r="18531" spans="1:1" x14ac:dyDescent="0.25">
      <c r="A18531" t="s">
        <v>17235</v>
      </c>
    </row>
    <row r="18532" spans="1:1" x14ac:dyDescent="0.25">
      <c r="A18532" t="s">
        <v>17236</v>
      </c>
    </row>
    <row r="18533" spans="1:1" x14ac:dyDescent="0.25">
      <c r="A18533" t="s">
        <v>17237</v>
      </c>
    </row>
    <row r="18534" spans="1:1" x14ac:dyDescent="0.25">
      <c r="A18534" t="s">
        <v>17238</v>
      </c>
    </row>
    <row r="18535" spans="1:1" x14ac:dyDescent="0.25">
      <c r="A18535" t="s">
        <v>17239</v>
      </c>
    </row>
    <row r="18536" spans="1:1" x14ac:dyDescent="0.25">
      <c r="A18536" t="s">
        <v>17240</v>
      </c>
    </row>
    <row r="18537" spans="1:1" x14ac:dyDescent="0.25">
      <c r="A18537" t="s">
        <v>17241</v>
      </c>
    </row>
    <row r="18538" spans="1:1" x14ac:dyDescent="0.25">
      <c r="A18538" t="s">
        <v>17242</v>
      </c>
    </row>
    <row r="18539" spans="1:1" x14ac:dyDescent="0.25">
      <c r="A18539" t="s">
        <v>17243</v>
      </c>
    </row>
    <row r="18540" spans="1:1" x14ac:dyDescent="0.25">
      <c r="A18540" t="s">
        <v>17244</v>
      </c>
    </row>
    <row r="18541" spans="1:1" x14ac:dyDescent="0.25">
      <c r="A18541" t="s">
        <v>17245</v>
      </c>
    </row>
    <row r="18542" spans="1:1" x14ac:dyDescent="0.25">
      <c r="A18542" t="s">
        <v>17246</v>
      </c>
    </row>
    <row r="18543" spans="1:1" x14ac:dyDescent="0.25">
      <c r="A18543" t="s">
        <v>17247</v>
      </c>
    </row>
    <row r="18544" spans="1:1" x14ac:dyDescent="0.25">
      <c r="A18544" t="s">
        <v>17248</v>
      </c>
    </row>
    <row r="18545" spans="1:1" x14ac:dyDescent="0.25">
      <c r="A18545" t="s">
        <v>17249</v>
      </c>
    </row>
    <row r="18546" spans="1:1" x14ac:dyDescent="0.25">
      <c r="A18546" t="s">
        <v>17250</v>
      </c>
    </row>
    <row r="18547" spans="1:1" x14ac:dyDescent="0.25">
      <c r="A18547" t="s">
        <v>17251</v>
      </c>
    </row>
    <row r="18548" spans="1:1" x14ac:dyDescent="0.25">
      <c r="A18548" t="s">
        <v>17252</v>
      </c>
    </row>
    <row r="18549" spans="1:1" x14ac:dyDescent="0.25">
      <c r="A18549" t="s">
        <v>17253</v>
      </c>
    </row>
    <row r="18550" spans="1:1" x14ac:dyDescent="0.25">
      <c r="A18550" t="s">
        <v>17254</v>
      </c>
    </row>
    <row r="18551" spans="1:1" x14ac:dyDescent="0.25">
      <c r="A18551" t="s">
        <v>17255</v>
      </c>
    </row>
    <row r="18552" spans="1:1" x14ac:dyDescent="0.25">
      <c r="A18552" t="s">
        <v>17256</v>
      </c>
    </row>
    <row r="18553" spans="1:1" x14ac:dyDescent="0.25">
      <c r="A18553" t="s">
        <v>17257</v>
      </c>
    </row>
    <row r="18554" spans="1:1" x14ac:dyDescent="0.25">
      <c r="A18554" t="s">
        <v>17258</v>
      </c>
    </row>
    <row r="18555" spans="1:1" x14ac:dyDescent="0.25">
      <c r="A18555" t="s">
        <v>17259</v>
      </c>
    </row>
    <row r="18556" spans="1:1" x14ac:dyDescent="0.25">
      <c r="A18556" t="s">
        <v>17260</v>
      </c>
    </row>
    <row r="18557" spans="1:1" x14ac:dyDescent="0.25">
      <c r="A18557" t="s">
        <v>17261</v>
      </c>
    </row>
    <row r="18558" spans="1:1" x14ac:dyDescent="0.25">
      <c r="A18558" t="s">
        <v>17262</v>
      </c>
    </row>
    <row r="18559" spans="1:1" x14ac:dyDescent="0.25">
      <c r="A18559" t="s">
        <v>17263</v>
      </c>
    </row>
    <row r="18560" spans="1:1" x14ac:dyDescent="0.25">
      <c r="A18560" t="s">
        <v>17264</v>
      </c>
    </row>
    <row r="18561" spans="1:1" x14ac:dyDescent="0.25">
      <c r="A18561" t="s">
        <v>17265</v>
      </c>
    </row>
    <row r="18562" spans="1:1" x14ac:dyDescent="0.25">
      <c r="A18562" t="s">
        <v>17266</v>
      </c>
    </row>
    <row r="18563" spans="1:1" x14ac:dyDescent="0.25">
      <c r="A18563" t="s">
        <v>17267</v>
      </c>
    </row>
    <row r="18564" spans="1:1" x14ac:dyDescent="0.25">
      <c r="A18564" t="s">
        <v>17268</v>
      </c>
    </row>
    <row r="18565" spans="1:1" x14ac:dyDescent="0.25">
      <c r="A18565" t="s">
        <v>17269</v>
      </c>
    </row>
    <row r="18566" spans="1:1" x14ac:dyDescent="0.25">
      <c r="A18566" t="s">
        <v>17270</v>
      </c>
    </row>
    <row r="18567" spans="1:1" x14ac:dyDescent="0.25">
      <c r="A18567" t="s">
        <v>17271</v>
      </c>
    </row>
    <row r="18568" spans="1:1" x14ac:dyDescent="0.25">
      <c r="A18568" t="s">
        <v>17272</v>
      </c>
    </row>
    <row r="18569" spans="1:1" x14ac:dyDescent="0.25">
      <c r="A18569" t="s">
        <v>17273</v>
      </c>
    </row>
    <row r="18570" spans="1:1" x14ac:dyDescent="0.25">
      <c r="A18570" t="s">
        <v>17274</v>
      </c>
    </row>
    <row r="18571" spans="1:1" x14ac:dyDescent="0.25">
      <c r="A18571" t="s">
        <v>17275</v>
      </c>
    </row>
    <row r="18572" spans="1:1" x14ac:dyDescent="0.25">
      <c r="A18572" t="s">
        <v>17276</v>
      </c>
    </row>
    <row r="18573" spans="1:1" x14ac:dyDescent="0.25">
      <c r="A18573" t="s">
        <v>17277</v>
      </c>
    </row>
    <row r="18574" spans="1:1" x14ac:dyDescent="0.25">
      <c r="A18574" t="s">
        <v>17278</v>
      </c>
    </row>
    <row r="18575" spans="1:1" x14ac:dyDescent="0.25">
      <c r="A18575" t="s">
        <v>17279</v>
      </c>
    </row>
    <row r="18576" spans="1:1" x14ac:dyDescent="0.25">
      <c r="A18576" t="s">
        <v>17280</v>
      </c>
    </row>
    <row r="18577" spans="1:1" x14ac:dyDescent="0.25">
      <c r="A18577" t="s">
        <v>17281</v>
      </c>
    </row>
    <row r="18578" spans="1:1" x14ac:dyDescent="0.25">
      <c r="A18578" t="s">
        <v>17282</v>
      </c>
    </row>
    <row r="18579" spans="1:1" x14ac:dyDescent="0.25">
      <c r="A18579" t="s">
        <v>17283</v>
      </c>
    </row>
    <row r="18580" spans="1:1" x14ac:dyDescent="0.25">
      <c r="A18580" t="s">
        <v>17284</v>
      </c>
    </row>
    <row r="18581" spans="1:1" x14ac:dyDescent="0.25">
      <c r="A18581" t="s">
        <v>17285</v>
      </c>
    </row>
    <row r="18582" spans="1:1" x14ac:dyDescent="0.25">
      <c r="A18582" t="s">
        <v>17286</v>
      </c>
    </row>
    <row r="18583" spans="1:1" x14ac:dyDescent="0.25">
      <c r="A18583" t="s">
        <v>17287</v>
      </c>
    </row>
    <row r="18584" spans="1:1" x14ac:dyDescent="0.25">
      <c r="A18584" t="s">
        <v>17288</v>
      </c>
    </row>
    <row r="18585" spans="1:1" x14ac:dyDescent="0.25">
      <c r="A18585" t="s">
        <v>17289</v>
      </c>
    </row>
    <row r="18586" spans="1:1" x14ac:dyDescent="0.25">
      <c r="A18586" t="s">
        <v>17290</v>
      </c>
    </row>
    <row r="18587" spans="1:1" x14ac:dyDescent="0.25">
      <c r="A18587" t="s">
        <v>17291</v>
      </c>
    </row>
    <row r="18588" spans="1:1" x14ac:dyDescent="0.25">
      <c r="A18588" t="s">
        <v>17292</v>
      </c>
    </row>
    <row r="18589" spans="1:1" x14ac:dyDescent="0.25">
      <c r="A18589" t="s">
        <v>17293</v>
      </c>
    </row>
    <row r="18590" spans="1:1" x14ac:dyDescent="0.25">
      <c r="A18590" t="s">
        <v>17294</v>
      </c>
    </row>
    <row r="18591" spans="1:1" x14ac:dyDescent="0.25">
      <c r="A18591" t="s">
        <v>17295</v>
      </c>
    </row>
    <row r="18592" spans="1:1" x14ac:dyDescent="0.25">
      <c r="A18592" t="s">
        <v>17296</v>
      </c>
    </row>
    <row r="18593" spans="1:1" x14ac:dyDescent="0.25">
      <c r="A18593" t="s">
        <v>17297</v>
      </c>
    </row>
    <row r="18594" spans="1:1" x14ac:dyDescent="0.25">
      <c r="A18594" t="s">
        <v>17298</v>
      </c>
    </row>
    <row r="18595" spans="1:1" x14ac:dyDescent="0.25">
      <c r="A18595" t="s">
        <v>17299</v>
      </c>
    </row>
    <row r="18596" spans="1:1" x14ac:dyDescent="0.25">
      <c r="A18596" t="s">
        <v>17300</v>
      </c>
    </row>
    <row r="18597" spans="1:1" x14ac:dyDescent="0.25">
      <c r="A18597" t="s">
        <v>17301</v>
      </c>
    </row>
    <row r="18598" spans="1:1" x14ac:dyDescent="0.25">
      <c r="A18598" t="s">
        <v>17302</v>
      </c>
    </row>
    <row r="18599" spans="1:1" x14ac:dyDescent="0.25">
      <c r="A18599" t="s">
        <v>17303</v>
      </c>
    </row>
    <row r="18600" spans="1:1" x14ac:dyDescent="0.25">
      <c r="A18600" t="s">
        <v>17304</v>
      </c>
    </row>
    <row r="18601" spans="1:1" x14ac:dyDescent="0.25">
      <c r="A18601" t="s">
        <v>17305</v>
      </c>
    </row>
    <row r="18602" spans="1:1" x14ac:dyDescent="0.25">
      <c r="A18602" t="s">
        <v>17306</v>
      </c>
    </row>
    <row r="18603" spans="1:1" x14ac:dyDescent="0.25">
      <c r="A18603" t="s">
        <v>17307</v>
      </c>
    </row>
    <row r="18604" spans="1:1" x14ac:dyDescent="0.25">
      <c r="A18604" t="s">
        <v>17308</v>
      </c>
    </row>
    <row r="18605" spans="1:1" x14ac:dyDescent="0.25">
      <c r="A18605" t="s">
        <v>17309</v>
      </c>
    </row>
    <row r="18606" spans="1:1" x14ac:dyDescent="0.25">
      <c r="A18606" t="s">
        <v>17310</v>
      </c>
    </row>
    <row r="18607" spans="1:1" x14ac:dyDescent="0.25">
      <c r="A18607" t="s">
        <v>17311</v>
      </c>
    </row>
    <row r="18608" spans="1:1" x14ac:dyDescent="0.25">
      <c r="A18608" t="s">
        <v>17312</v>
      </c>
    </row>
    <row r="18609" spans="1:1" x14ac:dyDescent="0.25">
      <c r="A18609" t="s">
        <v>17313</v>
      </c>
    </row>
    <row r="18610" spans="1:1" x14ac:dyDescent="0.25">
      <c r="A18610" t="s">
        <v>17314</v>
      </c>
    </row>
    <row r="18611" spans="1:1" x14ac:dyDescent="0.25">
      <c r="A18611" t="s">
        <v>17315</v>
      </c>
    </row>
    <row r="18612" spans="1:1" x14ac:dyDescent="0.25">
      <c r="A18612" t="s">
        <v>17316</v>
      </c>
    </row>
    <row r="18613" spans="1:1" x14ac:dyDescent="0.25">
      <c r="A18613" t="s">
        <v>17317</v>
      </c>
    </row>
    <row r="18614" spans="1:1" x14ac:dyDescent="0.25">
      <c r="A18614" t="s">
        <v>17318</v>
      </c>
    </row>
    <row r="18615" spans="1:1" x14ac:dyDescent="0.25">
      <c r="A18615" t="s">
        <v>17319</v>
      </c>
    </row>
    <row r="18616" spans="1:1" x14ac:dyDescent="0.25">
      <c r="A18616" t="s">
        <v>17320</v>
      </c>
    </row>
    <row r="18617" spans="1:1" x14ac:dyDescent="0.25">
      <c r="A18617" t="s">
        <v>17321</v>
      </c>
    </row>
    <row r="18618" spans="1:1" x14ac:dyDescent="0.25">
      <c r="A18618" t="s">
        <v>17322</v>
      </c>
    </row>
    <row r="18619" spans="1:1" x14ac:dyDescent="0.25">
      <c r="A18619" t="s">
        <v>17323</v>
      </c>
    </row>
    <row r="18620" spans="1:1" x14ac:dyDescent="0.25">
      <c r="A18620" t="s">
        <v>17324</v>
      </c>
    </row>
    <row r="18621" spans="1:1" x14ac:dyDescent="0.25">
      <c r="A18621" t="s">
        <v>17325</v>
      </c>
    </row>
    <row r="18622" spans="1:1" x14ac:dyDescent="0.25">
      <c r="A18622" t="s">
        <v>17326</v>
      </c>
    </row>
    <row r="18623" spans="1:1" x14ac:dyDescent="0.25">
      <c r="A18623" t="s">
        <v>17327</v>
      </c>
    </row>
    <row r="18624" spans="1:1" x14ac:dyDescent="0.25">
      <c r="A18624" t="s">
        <v>17328</v>
      </c>
    </row>
    <row r="18625" spans="1:1" x14ac:dyDescent="0.25">
      <c r="A18625" t="s">
        <v>17329</v>
      </c>
    </row>
    <row r="18626" spans="1:1" x14ac:dyDescent="0.25">
      <c r="A18626" t="s">
        <v>17330</v>
      </c>
    </row>
    <row r="18627" spans="1:1" x14ac:dyDescent="0.25">
      <c r="A18627" t="s">
        <v>17331</v>
      </c>
    </row>
    <row r="18628" spans="1:1" x14ac:dyDescent="0.25">
      <c r="A18628" t="s">
        <v>17332</v>
      </c>
    </row>
    <row r="18629" spans="1:1" x14ac:dyDescent="0.25">
      <c r="A18629" t="s">
        <v>17333</v>
      </c>
    </row>
    <row r="18630" spans="1:1" x14ac:dyDescent="0.25">
      <c r="A18630" t="s">
        <v>17334</v>
      </c>
    </row>
    <row r="18631" spans="1:1" x14ac:dyDescent="0.25">
      <c r="A18631" t="s">
        <v>17335</v>
      </c>
    </row>
    <row r="18632" spans="1:1" x14ac:dyDescent="0.25">
      <c r="A18632" t="s">
        <v>17336</v>
      </c>
    </row>
    <row r="18633" spans="1:1" x14ac:dyDescent="0.25">
      <c r="A18633" t="s">
        <v>17337</v>
      </c>
    </row>
    <row r="18634" spans="1:1" x14ac:dyDescent="0.25">
      <c r="A18634" t="s">
        <v>17338</v>
      </c>
    </row>
    <row r="18635" spans="1:1" x14ac:dyDescent="0.25">
      <c r="A18635" t="s">
        <v>17339</v>
      </c>
    </row>
    <row r="18636" spans="1:1" x14ac:dyDescent="0.25">
      <c r="A18636" t="s">
        <v>17340</v>
      </c>
    </row>
    <row r="18637" spans="1:1" x14ac:dyDescent="0.25">
      <c r="A18637" t="s">
        <v>17341</v>
      </c>
    </row>
    <row r="18638" spans="1:1" x14ac:dyDescent="0.25">
      <c r="A18638" t="s">
        <v>17342</v>
      </c>
    </row>
    <row r="18639" spans="1:1" x14ac:dyDescent="0.25">
      <c r="A18639" t="s">
        <v>17343</v>
      </c>
    </row>
    <row r="18640" spans="1:1" x14ac:dyDescent="0.25">
      <c r="A18640" t="s">
        <v>17344</v>
      </c>
    </row>
    <row r="18641" spans="1:1" x14ac:dyDescent="0.25">
      <c r="A18641" t="s">
        <v>17345</v>
      </c>
    </row>
    <row r="18642" spans="1:1" x14ac:dyDescent="0.25">
      <c r="A18642" t="s">
        <v>17346</v>
      </c>
    </row>
    <row r="18643" spans="1:1" x14ac:dyDescent="0.25">
      <c r="A18643" t="s">
        <v>17347</v>
      </c>
    </row>
    <row r="18644" spans="1:1" x14ac:dyDescent="0.25">
      <c r="A18644" t="s">
        <v>17348</v>
      </c>
    </row>
    <row r="18645" spans="1:1" x14ac:dyDescent="0.25">
      <c r="A18645" t="s">
        <v>17349</v>
      </c>
    </row>
    <row r="18646" spans="1:1" x14ac:dyDescent="0.25">
      <c r="A18646" t="s">
        <v>17350</v>
      </c>
    </row>
    <row r="18647" spans="1:1" x14ac:dyDescent="0.25">
      <c r="A18647" t="s">
        <v>17351</v>
      </c>
    </row>
    <row r="18648" spans="1:1" x14ac:dyDescent="0.25">
      <c r="A18648" t="s">
        <v>17352</v>
      </c>
    </row>
    <row r="18649" spans="1:1" x14ac:dyDescent="0.25">
      <c r="A18649" t="s">
        <v>17353</v>
      </c>
    </row>
    <row r="18650" spans="1:1" x14ac:dyDescent="0.25">
      <c r="A18650" t="s">
        <v>17354</v>
      </c>
    </row>
    <row r="18651" spans="1:1" x14ac:dyDescent="0.25">
      <c r="A18651" t="s">
        <v>17355</v>
      </c>
    </row>
    <row r="18652" spans="1:1" x14ac:dyDescent="0.25">
      <c r="A18652" t="s">
        <v>17356</v>
      </c>
    </row>
    <row r="18653" spans="1:1" x14ac:dyDescent="0.25">
      <c r="A18653" t="s">
        <v>17357</v>
      </c>
    </row>
    <row r="18654" spans="1:1" x14ac:dyDescent="0.25">
      <c r="A18654" t="s">
        <v>17358</v>
      </c>
    </row>
    <row r="18655" spans="1:1" x14ac:dyDescent="0.25">
      <c r="A18655" t="s">
        <v>17359</v>
      </c>
    </row>
    <row r="18656" spans="1:1" x14ac:dyDescent="0.25">
      <c r="A18656" t="s">
        <v>17360</v>
      </c>
    </row>
    <row r="18657" spans="1:1" x14ac:dyDescent="0.25">
      <c r="A18657" t="s">
        <v>17361</v>
      </c>
    </row>
    <row r="18658" spans="1:1" x14ac:dyDescent="0.25">
      <c r="A18658" t="s">
        <v>17362</v>
      </c>
    </row>
    <row r="18659" spans="1:1" x14ac:dyDescent="0.25">
      <c r="A18659" t="s">
        <v>17363</v>
      </c>
    </row>
    <row r="18660" spans="1:1" x14ac:dyDescent="0.25">
      <c r="A18660" t="s">
        <v>17364</v>
      </c>
    </row>
    <row r="18661" spans="1:1" x14ac:dyDescent="0.25">
      <c r="A18661" t="s">
        <v>17365</v>
      </c>
    </row>
    <row r="18662" spans="1:1" x14ac:dyDescent="0.25">
      <c r="A18662" t="s">
        <v>17366</v>
      </c>
    </row>
    <row r="18663" spans="1:1" x14ac:dyDescent="0.25">
      <c r="A18663" t="s">
        <v>17367</v>
      </c>
    </row>
    <row r="18664" spans="1:1" x14ac:dyDescent="0.25">
      <c r="A18664" t="s">
        <v>17368</v>
      </c>
    </row>
    <row r="18665" spans="1:1" x14ac:dyDescent="0.25">
      <c r="A18665" t="s">
        <v>17369</v>
      </c>
    </row>
    <row r="18666" spans="1:1" x14ac:dyDescent="0.25">
      <c r="A18666" t="s">
        <v>17370</v>
      </c>
    </row>
    <row r="18667" spans="1:1" x14ac:dyDescent="0.25">
      <c r="A18667" t="s">
        <v>17371</v>
      </c>
    </row>
    <row r="18668" spans="1:1" x14ac:dyDescent="0.25">
      <c r="A18668" t="s">
        <v>17372</v>
      </c>
    </row>
    <row r="18669" spans="1:1" x14ac:dyDescent="0.25">
      <c r="A18669" t="s">
        <v>17373</v>
      </c>
    </row>
    <row r="18670" spans="1:1" x14ac:dyDescent="0.25">
      <c r="A18670" t="s">
        <v>17374</v>
      </c>
    </row>
    <row r="18671" spans="1:1" x14ac:dyDescent="0.25">
      <c r="A18671" t="s">
        <v>17375</v>
      </c>
    </row>
    <row r="18672" spans="1:1" x14ac:dyDescent="0.25">
      <c r="A18672" t="s">
        <v>17376</v>
      </c>
    </row>
    <row r="18673" spans="1:1" x14ac:dyDescent="0.25">
      <c r="A18673" t="s">
        <v>17377</v>
      </c>
    </row>
    <row r="18674" spans="1:1" x14ac:dyDescent="0.25">
      <c r="A18674" t="s">
        <v>17378</v>
      </c>
    </row>
    <row r="18675" spans="1:1" x14ac:dyDescent="0.25">
      <c r="A18675" t="s">
        <v>17379</v>
      </c>
    </row>
    <row r="18676" spans="1:1" x14ac:dyDescent="0.25">
      <c r="A18676" t="s">
        <v>17380</v>
      </c>
    </row>
    <row r="18677" spans="1:1" x14ac:dyDescent="0.25">
      <c r="A18677" t="s">
        <v>17381</v>
      </c>
    </row>
    <row r="18678" spans="1:1" x14ac:dyDescent="0.25">
      <c r="A18678" t="s">
        <v>17382</v>
      </c>
    </row>
    <row r="18679" spans="1:1" x14ac:dyDescent="0.25">
      <c r="A18679" t="s">
        <v>17383</v>
      </c>
    </row>
    <row r="18680" spans="1:1" x14ac:dyDescent="0.25">
      <c r="A18680" t="s">
        <v>17384</v>
      </c>
    </row>
    <row r="18681" spans="1:1" x14ac:dyDescent="0.25">
      <c r="A18681" t="s">
        <v>17385</v>
      </c>
    </row>
    <row r="18682" spans="1:1" x14ac:dyDescent="0.25">
      <c r="A18682" t="s">
        <v>17386</v>
      </c>
    </row>
    <row r="18683" spans="1:1" x14ac:dyDescent="0.25">
      <c r="A18683" t="s">
        <v>17387</v>
      </c>
    </row>
    <row r="18684" spans="1:1" x14ac:dyDescent="0.25">
      <c r="A18684" t="s">
        <v>17388</v>
      </c>
    </row>
    <row r="18685" spans="1:1" x14ac:dyDescent="0.25">
      <c r="A18685" t="s">
        <v>17389</v>
      </c>
    </row>
    <row r="18686" spans="1:1" x14ac:dyDescent="0.25">
      <c r="A18686" t="s">
        <v>17390</v>
      </c>
    </row>
    <row r="18687" spans="1:1" x14ac:dyDescent="0.25">
      <c r="A18687" t="s">
        <v>17391</v>
      </c>
    </row>
    <row r="18688" spans="1:1" x14ac:dyDescent="0.25">
      <c r="A18688" t="s">
        <v>17392</v>
      </c>
    </row>
    <row r="18689" spans="1:1" x14ac:dyDescent="0.25">
      <c r="A18689" t="s">
        <v>17393</v>
      </c>
    </row>
    <row r="18690" spans="1:1" x14ac:dyDescent="0.25">
      <c r="A18690" t="s">
        <v>17394</v>
      </c>
    </row>
    <row r="18691" spans="1:1" x14ac:dyDescent="0.25">
      <c r="A18691" t="s">
        <v>17395</v>
      </c>
    </row>
    <row r="18692" spans="1:1" x14ac:dyDescent="0.25">
      <c r="A18692" t="s">
        <v>17396</v>
      </c>
    </row>
    <row r="18693" spans="1:1" x14ac:dyDescent="0.25">
      <c r="A18693" t="s">
        <v>17397</v>
      </c>
    </row>
    <row r="18694" spans="1:1" x14ac:dyDescent="0.25">
      <c r="A18694" t="s">
        <v>17398</v>
      </c>
    </row>
    <row r="18695" spans="1:1" x14ac:dyDescent="0.25">
      <c r="A18695" t="s">
        <v>17399</v>
      </c>
    </row>
    <row r="18696" spans="1:1" x14ac:dyDescent="0.25">
      <c r="A18696" t="s">
        <v>17400</v>
      </c>
    </row>
    <row r="18697" spans="1:1" x14ac:dyDescent="0.25">
      <c r="A18697" t="s">
        <v>17401</v>
      </c>
    </row>
    <row r="18698" spans="1:1" x14ac:dyDescent="0.25">
      <c r="A18698" t="s">
        <v>17402</v>
      </c>
    </row>
    <row r="18699" spans="1:1" x14ac:dyDescent="0.25">
      <c r="A18699" t="s">
        <v>17403</v>
      </c>
    </row>
    <row r="18700" spans="1:1" x14ac:dyDescent="0.25">
      <c r="A18700" t="s">
        <v>17404</v>
      </c>
    </row>
    <row r="18701" spans="1:1" x14ac:dyDescent="0.25">
      <c r="A18701" t="s">
        <v>17405</v>
      </c>
    </row>
    <row r="18702" spans="1:1" x14ac:dyDescent="0.25">
      <c r="A18702" t="s">
        <v>17406</v>
      </c>
    </row>
    <row r="18703" spans="1:1" x14ac:dyDescent="0.25">
      <c r="A18703" t="s">
        <v>17407</v>
      </c>
    </row>
    <row r="18704" spans="1:1" x14ac:dyDescent="0.25">
      <c r="A18704" t="s">
        <v>17408</v>
      </c>
    </row>
    <row r="18705" spans="1:1" x14ac:dyDescent="0.25">
      <c r="A18705" t="s">
        <v>17409</v>
      </c>
    </row>
    <row r="18706" spans="1:1" x14ac:dyDescent="0.25">
      <c r="A18706" t="s">
        <v>17410</v>
      </c>
    </row>
    <row r="18707" spans="1:1" x14ac:dyDescent="0.25">
      <c r="A18707" t="s">
        <v>17411</v>
      </c>
    </row>
    <row r="18708" spans="1:1" x14ac:dyDescent="0.25">
      <c r="A18708" t="s">
        <v>17412</v>
      </c>
    </row>
    <row r="18709" spans="1:1" x14ac:dyDescent="0.25">
      <c r="A18709" t="s">
        <v>17413</v>
      </c>
    </row>
    <row r="18710" spans="1:1" x14ac:dyDescent="0.25">
      <c r="A18710" t="s">
        <v>17414</v>
      </c>
    </row>
    <row r="18711" spans="1:1" x14ac:dyDescent="0.25">
      <c r="A18711" t="s">
        <v>17415</v>
      </c>
    </row>
    <row r="18712" spans="1:1" x14ac:dyDescent="0.25">
      <c r="A18712" t="s">
        <v>17416</v>
      </c>
    </row>
    <row r="18713" spans="1:1" x14ac:dyDescent="0.25">
      <c r="A18713" t="s">
        <v>17417</v>
      </c>
    </row>
    <row r="18714" spans="1:1" x14ac:dyDescent="0.25">
      <c r="A18714" t="s">
        <v>17418</v>
      </c>
    </row>
    <row r="18715" spans="1:1" x14ac:dyDescent="0.25">
      <c r="A18715" t="s">
        <v>17419</v>
      </c>
    </row>
    <row r="18716" spans="1:1" x14ac:dyDescent="0.25">
      <c r="A18716" t="s">
        <v>17420</v>
      </c>
    </row>
    <row r="18717" spans="1:1" x14ac:dyDescent="0.25">
      <c r="A18717" t="s">
        <v>17421</v>
      </c>
    </row>
    <row r="18718" spans="1:1" x14ac:dyDescent="0.25">
      <c r="A18718" t="s">
        <v>17422</v>
      </c>
    </row>
    <row r="18719" spans="1:1" x14ac:dyDescent="0.25">
      <c r="A18719" t="s">
        <v>17423</v>
      </c>
    </row>
    <row r="18720" spans="1:1" x14ac:dyDescent="0.25">
      <c r="A18720" t="s">
        <v>17424</v>
      </c>
    </row>
    <row r="18721" spans="1:1" x14ac:dyDescent="0.25">
      <c r="A18721" t="s">
        <v>17425</v>
      </c>
    </row>
    <row r="18722" spans="1:1" x14ac:dyDescent="0.25">
      <c r="A18722" t="s">
        <v>17426</v>
      </c>
    </row>
    <row r="18723" spans="1:1" x14ac:dyDescent="0.25">
      <c r="A18723" t="s">
        <v>17427</v>
      </c>
    </row>
    <row r="18724" spans="1:1" x14ac:dyDescent="0.25">
      <c r="A18724" t="s">
        <v>17428</v>
      </c>
    </row>
    <row r="18725" spans="1:1" x14ac:dyDescent="0.25">
      <c r="A18725" t="s">
        <v>17429</v>
      </c>
    </row>
    <row r="18726" spans="1:1" x14ac:dyDescent="0.25">
      <c r="A18726" t="s">
        <v>17430</v>
      </c>
    </row>
    <row r="18727" spans="1:1" x14ac:dyDescent="0.25">
      <c r="A18727" t="s">
        <v>17431</v>
      </c>
    </row>
    <row r="18728" spans="1:1" x14ac:dyDescent="0.25">
      <c r="A18728" t="s">
        <v>17432</v>
      </c>
    </row>
    <row r="18729" spans="1:1" x14ac:dyDescent="0.25">
      <c r="A18729" t="s">
        <v>17433</v>
      </c>
    </row>
    <row r="18730" spans="1:1" x14ac:dyDescent="0.25">
      <c r="A18730" t="s">
        <v>17434</v>
      </c>
    </row>
    <row r="18731" spans="1:1" x14ac:dyDescent="0.25">
      <c r="A18731" t="s">
        <v>17435</v>
      </c>
    </row>
    <row r="18732" spans="1:1" x14ac:dyDescent="0.25">
      <c r="A18732" t="s">
        <v>17436</v>
      </c>
    </row>
    <row r="18733" spans="1:1" x14ac:dyDescent="0.25">
      <c r="A18733" t="s">
        <v>17437</v>
      </c>
    </row>
    <row r="18734" spans="1:1" x14ac:dyDescent="0.25">
      <c r="A18734" t="s">
        <v>17438</v>
      </c>
    </row>
    <row r="18735" spans="1:1" x14ac:dyDescent="0.25">
      <c r="A18735" t="s">
        <v>17439</v>
      </c>
    </row>
    <row r="18736" spans="1:1" x14ac:dyDescent="0.25">
      <c r="A18736" t="s">
        <v>17440</v>
      </c>
    </row>
    <row r="18737" spans="1:1" x14ac:dyDescent="0.25">
      <c r="A18737" t="s">
        <v>17441</v>
      </c>
    </row>
    <row r="18738" spans="1:1" x14ac:dyDescent="0.25">
      <c r="A18738" t="s">
        <v>17442</v>
      </c>
    </row>
    <row r="18739" spans="1:1" x14ac:dyDescent="0.25">
      <c r="A18739" t="s">
        <v>17443</v>
      </c>
    </row>
    <row r="18740" spans="1:1" x14ac:dyDescent="0.25">
      <c r="A18740" t="s">
        <v>17444</v>
      </c>
    </row>
    <row r="18741" spans="1:1" x14ac:dyDescent="0.25">
      <c r="A18741" t="s">
        <v>17445</v>
      </c>
    </row>
    <row r="18742" spans="1:1" x14ac:dyDescent="0.25">
      <c r="A18742" t="s">
        <v>17446</v>
      </c>
    </row>
    <row r="18743" spans="1:1" x14ac:dyDescent="0.25">
      <c r="A18743" t="s">
        <v>17447</v>
      </c>
    </row>
    <row r="18744" spans="1:1" x14ac:dyDescent="0.25">
      <c r="A18744" t="s">
        <v>17448</v>
      </c>
    </row>
    <row r="18745" spans="1:1" x14ac:dyDescent="0.25">
      <c r="A18745" t="s">
        <v>17449</v>
      </c>
    </row>
    <row r="18746" spans="1:1" x14ac:dyDescent="0.25">
      <c r="A18746" t="s">
        <v>17450</v>
      </c>
    </row>
    <row r="18747" spans="1:1" x14ac:dyDescent="0.25">
      <c r="A18747" t="s">
        <v>17451</v>
      </c>
    </row>
    <row r="18748" spans="1:1" x14ac:dyDescent="0.25">
      <c r="A18748" t="s">
        <v>17452</v>
      </c>
    </row>
    <row r="18749" spans="1:1" x14ac:dyDescent="0.25">
      <c r="A18749" t="s">
        <v>17453</v>
      </c>
    </row>
    <row r="18750" spans="1:1" x14ac:dyDescent="0.25">
      <c r="A18750" t="s">
        <v>17454</v>
      </c>
    </row>
    <row r="18751" spans="1:1" x14ac:dyDescent="0.25">
      <c r="A18751" t="s">
        <v>17455</v>
      </c>
    </row>
    <row r="18752" spans="1:1" x14ac:dyDescent="0.25">
      <c r="A18752" t="s">
        <v>17456</v>
      </c>
    </row>
    <row r="18753" spans="1:1" x14ac:dyDescent="0.25">
      <c r="A18753" t="s">
        <v>17457</v>
      </c>
    </row>
    <row r="18754" spans="1:1" x14ac:dyDescent="0.25">
      <c r="A18754" t="s">
        <v>17458</v>
      </c>
    </row>
    <row r="18755" spans="1:1" x14ac:dyDescent="0.25">
      <c r="A18755" t="s">
        <v>17459</v>
      </c>
    </row>
    <row r="18756" spans="1:1" x14ac:dyDescent="0.25">
      <c r="A18756" t="s">
        <v>17460</v>
      </c>
    </row>
    <row r="18757" spans="1:1" x14ac:dyDescent="0.25">
      <c r="A18757" t="s">
        <v>17461</v>
      </c>
    </row>
    <row r="18758" spans="1:1" x14ac:dyDescent="0.25">
      <c r="A18758" t="s">
        <v>17462</v>
      </c>
    </row>
    <row r="18759" spans="1:1" x14ac:dyDescent="0.25">
      <c r="A18759" t="s">
        <v>17463</v>
      </c>
    </row>
    <row r="18760" spans="1:1" x14ac:dyDescent="0.25">
      <c r="A18760" t="s">
        <v>17464</v>
      </c>
    </row>
    <row r="18761" spans="1:1" x14ac:dyDescent="0.25">
      <c r="A18761" t="s">
        <v>17465</v>
      </c>
    </row>
    <row r="18762" spans="1:1" x14ac:dyDescent="0.25">
      <c r="A18762" t="s">
        <v>17466</v>
      </c>
    </row>
    <row r="18763" spans="1:1" x14ac:dyDescent="0.25">
      <c r="A18763" t="s">
        <v>17467</v>
      </c>
    </row>
    <row r="18764" spans="1:1" x14ac:dyDescent="0.25">
      <c r="A18764" t="s">
        <v>17468</v>
      </c>
    </row>
    <row r="18765" spans="1:1" x14ac:dyDescent="0.25">
      <c r="A18765" t="s">
        <v>17469</v>
      </c>
    </row>
    <row r="18766" spans="1:1" x14ac:dyDescent="0.25">
      <c r="A18766" t="s">
        <v>17470</v>
      </c>
    </row>
    <row r="18767" spans="1:1" x14ac:dyDescent="0.25">
      <c r="A18767" t="s">
        <v>17471</v>
      </c>
    </row>
    <row r="18768" spans="1:1" x14ac:dyDescent="0.25">
      <c r="A18768" t="s">
        <v>17472</v>
      </c>
    </row>
    <row r="18769" spans="1:1" x14ac:dyDescent="0.25">
      <c r="A18769" t="s">
        <v>17473</v>
      </c>
    </row>
    <row r="18770" spans="1:1" x14ac:dyDescent="0.25">
      <c r="A18770" t="s">
        <v>17474</v>
      </c>
    </row>
    <row r="18771" spans="1:1" x14ac:dyDescent="0.25">
      <c r="A18771" t="s">
        <v>17475</v>
      </c>
    </row>
    <row r="18772" spans="1:1" x14ac:dyDescent="0.25">
      <c r="A18772" t="s">
        <v>17476</v>
      </c>
    </row>
    <row r="18773" spans="1:1" x14ac:dyDescent="0.25">
      <c r="A18773" t="s">
        <v>17477</v>
      </c>
    </row>
    <row r="18774" spans="1:1" x14ac:dyDescent="0.25">
      <c r="A18774" t="s">
        <v>17478</v>
      </c>
    </row>
    <row r="18775" spans="1:1" x14ac:dyDescent="0.25">
      <c r="A18775" t="s">
        <v>17479</v>
      </c>
    </row>
    <row r="18776" spans="1:1" x14ac:dyDescent="0.25">
      <c r="A18776" t="s">
        <v>17480</v>
      </c>
    </row>
    <row r="18777" spans="1:1" x14ac:dyDescent="0.25">
      <c r="A18777" t="s">
        <v>17481</v>
      </c>
    </row>
    <row r="18778" spans="1:1" x14ac:dyDescent="0.25">
      <c r="A18778" t="s">
        <v>17482</v>
      </c>
    </row>
    <row r="18779" spans="1:1" x14ac:dyDescent="0.25">
      <c r="A18779" t="s">
        <v>17483</v>
      </c>
    </row>
    <row r="18780" spans="1:1" x14ac:dyDescent="0.25">
      <c r="A18780" t="s">
        <v>17484</v>
      </c>
    </row>
    <row r="18781" spans="1:1" x14ac:dyDescent="0.25">
      <c r="A18781" t="s">
        <v>17485</v>
      </c>
    </row>
    <row r="18782" spans="1:1" x14ac:dyDescent="0.25">
      <c r="A18782" t="s">
        <v>17486</v>
      </c>
    </row>
    <row r="18783" spans="1:1" x14ac:dyDescent="0.25">
      <c r="A18783" t="s">
        <v>17487</v>
      </c>
    </row>
    <row r="18784" spans="1:1" x14ac:dyDescent="0.25">
      <c r="A18784" t="s">
        <v>17488</v>
      </c>
    </row>
    <row r="18785" spans="1:1" x14ac:dyDescent="0.25">
      <c r="A18785" t="s">
        <v>17489</v>
      </c>
    </row>
    <row r="18786" spans="1:1" x14ac:dyDescent="0.25">
      <c r="A18786" t="s">
        <v>17490</v>
      </c>
    </row>
    <row r="18787" spans="1:1" x14ac:dyDescent="0.25">
      <c r="A18787" t="s">
        <v>17491</v>
      </c>
    </row>
    <row r="18788" spans="1:1" x14ac:dyDescent="0.25">
      <c r="A18788" t="s">
        <v>17492</v>
      </c>
    </row>
    <row r="18789" spans="1:1" x14ac:dyDescent="0.25">
      <c r="A18789" t="s">
        <v>17493</v>
      </c>
    </row>
    <row r="18790" spans="1:1" x14ac:dyDescent="0.25">
      <c r="A18790" t="s">
        <v>17494</v>
      </c>
    </row>
    <row r="18791" spans="1:1" x14ac:dyDescent="0.25">
      <c r="A18791" t="s">
        <v>17495</v>
      </c>
    </row>
    <row r="18792" spans="1:1" x14ac:dyDescent="0.25">
      <c r="A18792" t="s">
        <v>17496</v>
      </c>
    </row>
    <row r="18793" spans="1:1" x14ac:dyDescent="0.25">
      <c r="A18793" t="s">
        <v>17497</v>
      </c>
    </row>
    <row r="18794" spans="1:1" x14ac:dyDescent="0.25">
      <c r="A18794" t="s">
        <v>17498</v>
      </c>
    </row>
    <row r="18795" spans="1:1" x14ac:dyDescent="0.25">
      <c r="A18795" t="s">
        <v>17499</v>
      </c>
    </row>
    <row r="18796" spans="1:1" x14ac:dyDescent="0.25">
      <c r="A18796" t="s">
        <v>17500</v>
      </c>
    </row>
    <row r="18797" spans="1:1" x14ac:dyDescent="0.25">
      <c r="A18797" t="s">
        <v>17501</v>
      </c>
    </row>
    <row r="18798" spans="1:1" x14ac:dyDescent="0.25">
      <c r="A18798" t="s">
        <v>17502</v>
      </c>
    </row>
    <row r="18799" spans="1:1" x14ac:dyDescent="0.25">
      <c r="A18799" t="s">
        <v>17503</v>
      </c>
    </row>
    <row r="18800" spans="1:1" x14ac:dyDescent="0.25">
      <c r="A18800" t="s">
        <v>17504</v>
      </c>
    </row>
    <row r="18801" spans="1:1" x14ac:dyDescent="0.25">
      <c r="A18801" t="s">
        <v>17505</v>
      </c>
    </row>
    <row r="18802" spans="1:1" x14ac:dyDescent="0.25">
      <c r="A18802" t="s">
        <v>17506</v>
      </c>
    </row>
    <row r="18803" spans="1:1" x14ac:dyDescent="0.25">
      <c r="A18803" t="s">
        <v>17507</v>
      </c>
    </row>
    <row r="18804" spans="1:1" x14ac:dyDescent="0.25">
      <c r="A18804" t="s">
        <v>17508</v>
      </c>
    </row>
    <row r="18805" spans="1:1" x14ac:dyDescent="0.25">
      <c r="A18805" t="s">
        <v>17509</v>
      </c>
    </row>
    <row r="18806" spans="1:1" x14ac:dyDescent="0.25">
      <c r="A18806" t="s">
        <v>17510</v>
      </c>
    </row>
    <row r="18807" spans="1:1" x14ac:dyDescent="0.25">
      <c r="A18807" t="s">
        <v>17511</v>
      </c>
    </row>
    <row r="18808" spans="1:1" x14ac:dyDescent="0.25">
      <c r="A18808" t="s">
        <v>17512</v>
      </c>
    </row>
    <row r="18809" spans="1:1" x14ac:dyDescent="0.25">
      <c r="A18809" t="s">
        <v>17513</v>
      </c>
    </row>
    <row r="18810" spans="1:1" x14ac:dyDescent="0.25">
      <c r="A18810" t="s">
        <v>17514</v>
      </c>
    </row>
    <row r="18811" spans="1:1" x14ac:dyDescent="0.25">
      <c r="A18811" t="s">
        <v>17515</v>
      </c>
    </row>
    <row r="18812" spans="1:1" x14ac:dyDescent="0.25">
      <c r="A18812" t="s">
        <v>17516</v>
      </c>
    </row>
    <row r="18813" spans="1:1" x14ac:dyDescent="0.25">
      <c r="A18813" t="s">
        <v>17517</v>
      </c>
    </row>
    <row r="18814" spans="1:1" x14ac:dyDescent="0.25">
      <c r="A18814" t="s">
        <v>17518</v>
      </c>
    </row>
    <row r="18815" spans="1:1" x14ac:dyDescent="0.25">
      <c r="A18815" t="s">
        <v>17519</v>
      </c>
    </row>
    <row r="18816" spans="1:1" x14ac:dyDescent="0.25">
      <c r="A18816" t="s">
        <v>17520</v>
      </c>
    </row>
    <row r="18817" spans="1:1" x14ac:dyDescent="0.25">
      <c r="A18817" t="s">
        <v>17521</v>
      </c>
    </row>
    <row r="18818" spans="1:1" x14ac:dyDescent="0.25">
      <c r="A18818" t="s">
        <v>17522</v>
      </c>
    </row>
    <row r="18819" spans="1:1" x14ac:dyDescent="0.25">
      <c r="A18819" t="s">
        <v>17523</v>
      </c>
    </row>
    <row r="18820" spans="1:1" x14ac:dyDescent="0.25">
      <c r="A18820" t="s">
        <v>17524</v>
      </c>
    </row>
    <row r="18821" spans="1:1" x14ac:dyDescent="0.25">
      <c r="A18821" t="s">
        <v>17525</v>
      </c>
    </row>
    <row r="18822" spans="1:1" x14ac:dyDescent="0.25">
      <c r="A18822" t="s">
        <v>17526</v>
      </c>
    </row>
    <row r="18823" spans="1:1" x14ac:dyDescent="0.25">
      <c r="A18823" t="s">
        <v>17527</v>
      </c>
    </row>
    <row r="18824" spans="1:1" x14ac:dyDescent="0.25">
      <c r="A18824" t="s">
        <v>17528</v>
      </c>
    </row>
    <row r="18825" spans="1:1" x14ac:dyDescent="0.25">
      <c r="A18825" t="s">
        <v>17529</v>
      </c>
    </row>
    <row r="18826" spans="1:1" x14ac:dyDescent="0.25">
      <c r="A18826" t="s">
        <v>17530</v>
      </c>
    </row>
    <row r="18827" spans="1:1" x14ac:dyDescent="0.25">
      <c r="A18827" t="s">
        <v>17531</v>
      </c>
    </row>
    <row r="18828" spans="1:1" x14ac:dyDescent="0.25">
      <c r="A18828" t="s">
        <v>17532</v>
      </c>
    </row>
    <row r="18829" spans="1:1" x14ac:dyDescent="0.25">
      <c r="A18829" t="s">
        <v>17533</v>
      </c>
    </row>
    <row r="18830" spans="1:1" x14ac:dyDescent="0.25">
      <c r="A18830" t="s">
        <v>17534</v>
      </c>
    </row>
    <row r="18831" spans="1:1" x14ac:dyDescent="0.25">
      <c r="A18831" t="s">
        <v>17535</v>
      </c>
    </row>
    <row r="18832" spans="1:1" x14ac:dyDescent="0.25">
      <c r="A18832" t="s">
        <v>17536</v>
      </c>
    </row>
    <row r="18833" spans="1:1" x14ac:dyDescent="0.25">
      <c r="A18833" t="s">
        <v>17537</v>
      </c>
    </row>
    <row r="18834" spans="1:1" x14ac:dyDescent="0.25">
      <c r="A18834" t="s">
        <v>17538</v>
      </c>
    </row>
    <row r="18835" spans="1:1" x14ac:dyDescent="0.25">
      <c r="A18835" t="s">
        <v>17539</v>
      </c>
    </row>
    <row r="18836" spans="1:1" x14ac:dyDescent="0.25">
      <c r="A18836" t="s">
        <v>17540</v>
      </c>
    </row>
    <row r="18837" spans="1:1" x14ac:dyDescent="0.25">
      <c r="A18837" t="s">
        <v>17541</v>
      </c>
    </row>
    <row r="18838" spans="1:1" x14ac:dyDescent="0.25">
      <c r="A18838" t="s">
        <v>17542</v>
      </c>
    </row>
    <row r="18839" spans="1:1" x14ac:dyDescent="0.25">
      <c r="A18839" t="s">
        <v>17543</v>
      </c>
    </row>
    <row r="18840" spans="1:1" x14ac:dyDescent="0.25">
      <c r="A18840" t="s">
        <v>17544</v>
      </c>
    </row>
    <row r="18841" spans="1:1" x14ac:dyDescent="0.25">
      <c r="A18841" t="s">
        <v>17545</v>
      </c>
    </row>
    <row r="18842" spans="1:1" x14ac:dyDescent="0.25">
      <c r="A18842" t="s">
        <v>17546</v>
      </c>
    </row>
    <row r="18843" spans="1:1" x14ac:dyDescent="0.25">
      <c r="A18843" t="s">
        <v>17547</v>
      </c>
    </row>
    <row r="18844" spans="1:1" x14ac:dyDescent="0.25">
      <c r="A18844" t="s">
        <v>17548</v>
      </c>
    </row>
    <row r="18845" spans="1:1" x14ac:dyDescent="0.25">
      <c r="A18845" t="s">
        <v>17549</v>
      </c>
    </row>
    <row r="18846" spans="1:1" x14ac:dyDescent="0.25">
      <c r="A18846" t="s">
        <v>17550</v>
      </c>
    </row>
    <row r="18847" spans="1:1" x14ac:dyDescent="0.25">
      <c r="A18847" t="s">
        <v>17551</v>
      </c>
    </row>
    <row r="18848" spans="1:1" x14ac:dyDescent="0.25">
      <c r="A18848" t="s">
        <v>17552</v>
      </c>
    </row>
    <row r="18849" spans="1:1" x14ac:dyDescent="0.25">
      <c r="A18849" t="s">
        <v>17553</v>
      </c>
    </row>
    <row r="18850" spans="1:1" x14ac:dyDescent="0.25">
      <c r="A18850" t="s">
        <v>17554</v>
      </c>
    </row>
    <row r="18851" spans="1:1" x14ac:dyDescent="0.25">
      <c r="A18851" t="s">
        <v>17555</v>
      </c>
    </row>
    <row r="18852" spans="1:1" x14ac:dyDescent="0.25">
      <c r="A18852" t="s">
        <v>17556</v>
      </c>
    </row>
    <row r="18853" spans="1:1" x14ac:dyDescent="0.25">
      <c r="A18853" t="s">
        <v>17557</v>
      </c>
    </row>
    <row r="18854" spans="1:1" x14ac:dyDescent="0.25">
      <c r="A18854" t="s">
        <v>17558</v>
      </c>
    </row>
    <row r="18855" spans="1:1" x14ac:dyDescent="0.25">
      <c r="A18855" t="s">
        <v>17559</v>
      </c>
    </row>
    <row r="18856" spans="1:1" x14ac:dyDescent="0.25">
      <c r="A18856" t="s">
        <v>17560</v>
      </c>
    </row>
    <row r="18857" spans="1:1" x14ac:dyDescent="0.25">
      <c r="A18857" t="s">
        <v>17561</v>
      </c>
    </row>
    <row r="18858" spans="1:1" x14ac:dyDescent="0.25">
      <c r="A18858" t="s">
        <v>17562</v>
      </c>
    </row>
    <row r="18859" spans="1:1" x14ac:dyDescent="0.25">
      <c r="A18859" t="s">
        <v>17563</v>
      </c>
    </row>
    <row r="18860" spans="1:1" x14ac:dyDescent="0.25">
      <c r="A18860" t="s">
        <v>17564</v>
      </c>
    </row>
    <row r="18861" spans="1:1" x14ac:dyDescent="0.25">
      <c r="A18861" t="s">
        <v>17565</v>
      </c>
    </row>
    <row r="18862" spans="1:1" x14ac:dyDescent="0.25">
      <c r="A18862" t="s">
        <v>17566</v>
      </c>
    </row>
    <row r="18863" spans="1:1" x14ac:dyDescent="0.25">
      <c r="A18863" t="s">
        <v>17567</v>
      </c>
    </row>
    <row r="18864" spans="1:1" x14ac:dyDescent="0.25">
      <c r="A18864" t="s">
        <v>17568</v>
      </c>
    </row>
    <row r="18865" spans="1:1" x14ac:dyDescent="0.25">
      <c r="A18865" t="s">
        <v>17569</v>
      </c>
    </row>
    <row r="18866" spans="1:1" x14ac:dyDescent="0.25">
      <c r="A18866" t="s">
        <v>17570</v>
      </c>
    </row>
    <row r="18867" spans="1:1" x14ac:dyDescent="0.25">
      <c r="A18867" t="s">
        <v>17571</v>
      </c>
    </row>
    <row r="18868" spans="1:1" x14ac:dyDescent="0.25">
      <c r="A18868" t="s">
        <v>17572</v>
      </c>
    </row>
    <row r="18869" spans="1:1" x14ac:dyDescent="0.25">
      <c r="A18869" t="s">
        <v>17573</v>
      </c>
    </row>
    <row r="18870" spans="1:1" x14ac:dyDescent="0.25">
      <c r="A18870" t="s">
        <v>17574</v>
      </c>
    </row>
    <row r="18871" spans="1:1" x14ac:dyDescent="0.25">
      <c r="A18871" t="s">
        <v>17575</v>
      </c>
    </row>
    <row r="18872" spans="1:1" x14ac:dyDescent="0.25">
      <c r="A18872" t="s">
        <v>17576</v>
      </c>
    </row>
    <row r="18873" spans="1:1" x14ac:dyDescent="0.25">
      <c r="A18873" t="s">
        <v>17577</v>
      </c>
    </row>
    <row r="18874" spans="1:1" x14ac:dyDescent="0.25">
      <c r="A18874" t="s">
        <v>17578</v>
      </c>
    </row>
    <row r="18875" spans="1:1" x14ac:dyDescent="0.25">
      <c r="A18875" t="s">
        <v>17579</v>
      </c>
    </row>
    <row r="18876" spans="1:1" x14ac:dyDescent="0.25">
      <c r="A18876" t="s">
        <v>17580</v>
      </c>
    </row>
    <row r="18877" spans="1:1" x14ac:dyDescent="0.25">
      <c r="A18877" t="s">
        <v>17581</v>
      </c>
    </row>
    <row r="18878" spans="1:1" x14ac:dyDescent="0.25">
      <c r="A18878" t="s">
        <v>17582</v>
      </c>
    </row>
    <row r="18879" spans="1:1" x14ac:dyDescent="0.25">
      <c r="A18879" t="s">
        <v>17583</v>
      </c>
    </row>
    <row r="18880" spans="1:1" x14ac:dyDescent="0.25">
      <c r="A18880" t="s">
        <v>17584</v>
      </c>
    </row>
    <row r="18881" spans="1:1" x14ac:dyDescent="0.25">
      <c r="A18881" t="s">
        <v>17585</v>
      </c>
    </row>
    <row r="18882" spans="1:1" x14ac:dyDescent="0.25">
      <c r="A18882" t="s">
        <v>17586</v>
      </c>
    </row>
    <row r="18883" spans="1:1" x14ac:dyDescent="0.25">
      <c r="A18883" t="s">
        <v>17587</v>
      </c>
    </row>
    <row r="18884" spans="1:1" x14ac:dyDescent="0.25">
      <c r="A18884" t="s">
        <v>17588</v>
      </c>
    </row>
    <row r="18885" spans="1:1" x14ac:dyDescent="0.25">
      <c r="A18885" t="s">
        <v>17589</v>
      </c>
    </row>
    <row r="18886" spans="1:1" x14ac:dyDescent="0.25">
      <c r="A18886" t="s">
        <v>17590</v>
      </c>
    </row>
    <row r="18887" spans="1:1" x14ac:dyDescent="0.25">
      <c r="A18887" t="s">
        <v>17591</v>
      </c>
    </row>
    <row r="18888" spans="1:1" x14ac:dyDescent="0.25">
      <c r="A18888" t="s">
        <v>17592</v>
      </c>
    </row>
    <row r="18889" spans="1:1" x14ac:dyDescent="0.25">
      <c r="A18889" t="s">
        <v>17593</v>
      </c>
    </row>
    <row r="18890" spans="1:1" x14ac:dyDescent="0.25">
      <c r="A18890" t="s">
        <v>17594</v>
      </c>
    </row>
    <row r="18891" spans="1:1" x14ac:dyDescent="0.25">
      <c r="A18891" t="s">
        <v>17595</v>
      </c>
    </row>
    <row r="18892" spans="1:1" x14ac:dyDescent="0.25">
      <c r="A18892" t="s">
        <v>17596</v>
      </c>
    </row>
    <row r="18893" spans="1:1" x14ac:dyDescent="0.25">
      <c r="A18893" t="s">
        <v>17597</v>
      </c>
    </row>
    <row r="18894" spans="1:1" x14ac:dyDescent="0.25">
      <c r="A18894" t="s">
        <v>17598</v>
      </c>
    </row>
    <row r="18895" spans="1:1" x14ac:dyDescent="0.25">
      <c r="A18895" t="s">
        <v>17599</v>
      </c>
    </row>
    <row r="18896" spans="1:1" x14ac:dyDescent="0.25">
      <c r="A18896" t="s">
        <v>17600</v>
      </c>
    </row>
    <row r="18897" spans="1:1" x14ac:dyDescent="0.25">
      <c r="A18897" t="s">
        <v>17601</v>
      </c>
    </row>
    <row r="18898" spans="1:1" x14ac:dyDescent="0.25">
      <c r="A18898" t="s">
        <v>17602</v>
      </c>
    </row>
    <row r="18899" spans="1:1" x14ac:dyDescent="0.25">
      <c r="A18899" t="s">
        <v>17603</v>
      </c>
    </row>
    <row r="18900" spans="1:1" x14ac:dyDescent="0.25">
      <c r="A18900" t="s">
        <v>17604</v>
      </c>
    </row>
    <row r="18901" spans="1:1" x14ac:dyDescent="0.25">
      <c r="A18901" t="s">
        <v>17605</v>
      </c>
    </row>
    <row r="18902" spans="1:1" x14ac:dyDescent="0.25">
      <c r="A18902" t="s">
        <v>17606</v>
      </c>
    </row>
    <row r="18903" spans="1:1" x14ac:dyDescent="0.25">
      <c r="A18903" t="s">
        <v>17607</v>
      </c>
    </row>
    <row r="18904" spans="1:1" x14ac:dyDescent="0.25">
      <c r="A18904" t="s">
        <v>17608</v>
      </c>
    </row>
    <row r="18905" spans="1:1" x14ac:dyDescent="0.25">
      <c r="A18905" t="s">
        <v>17609</v>
      </c>
    </row>
    <row r="18906" spans="1:1" x14ac:dyDescent="0.25">
      <c r="A18906" t="s">
        <v>17610</v>
      </c>
    </row>
    <row r="18907" spans="1:1" x14ac:dyDescent="0.25">
      <c r="A18907" t="s">
        <v>17611</v>
      </c>
    </row>
    <row r="18908" spans="1:1" x14ac:dyDescent="0.25">
      <c r="A18908" t="s">
        <v>17612</v>
      </c>
    </row>
    <row r="18909" spans="1:1" x14ac:dyDescent="0.25">
      <c r="A18909" t="s">
        <v>17613</v>
      </c>
    </row>
    <row r="18910" spans="1:1" x14ac:dyDescent="0.25">
      <c r="A18910" t="s">
        <v>17614</v>
      </c>
    </row>
    <row r="18911" spans="1:1" x14ac:dyDescent="0.25">
      <c r="A18911" t="s">
        <v>17615</v>
      </c>
    </row>
    <row r="18912" spans="1:1" x14ac:dyDescent="0.25">
      <c r="A18912" t="s">
        <v>17616</v>
      </c>
    </row>
    <row r="18913" spans="1:1" x14ac:dyDescent="0.25">
      <c r="A18913" t="s">
        <v>17617</v>
      </c>
    </row>
    <row r="18914" spans="1:1" x14ac:dyDescent="0.25">
      <c r="A18914" t="s">
        <v>17618</v>
      </c>
    </row>
    <row r="18915" spans="1:1" x14ac:dyDescent="0.25">
      <c r="A18915" t="s">
        <v>17619</v>
      </c>
    </row>
    <row r="18916" spans="1:1" x14ac:dyDescent="0.25">
      <c r="A18916" t="s">
        <v>17620</v>
      </c>
    </row>
    <row r="18917" spans="1:1" x14ac:dyDescent="0.25">
      <c r="A18917" t="s">
        <v>17621</v>
      </c>
    </row>
    <row r="18918" spans="1:1" x14ac:dyDescent="0.25">
      <c r="A18918" t="s">
        <v>17622</v>
      </c>
    </row>
    <row r="18919" spans="1:1" x14ac:dyDescent="0.25">
      <c r="A18919" t="s">
        <v>17623</v>
      </c>
    </row>
    <row r="18920" spans="1:1" x14ac:dyDescent="0.25">
      <c r="A18920" t="s">
        <v>17624</v>
      </c>
    </row>
    <row r="18921" spans="1:1" x14ac:dyDescent="0.25">
      <c r="A18921" t="s">
        <v>17625</v>
      </c>
    </row>
    <row r="18922" spans="1:1" x14ac:dyDescent="0.25">
      <c r="A18922" t="s">
        <v>17626</v>
      </c>
    </row>
    <row r="18923" spans="1:1" x14ac:dyDescent="0.25">
      <c r="A18923" t="s">
        <v>17627</v>
      </c>
    </row>
    <row r="18924" spans="1:1" x14ac:dyDescent="0.25">
      <c r="A18924" t="s">
        <v>17628</v>
      </c>
    </row>
    <row r="18925" spans="1:1" x14ac:dyDescent="0.25">
      <c r="A18925" t="s">
        <v>17629</v>
      </c>
    </row>
    <row r="18926" spans="1:1" x14ac:dyDescent="0.25">
      <c r="A18926" t="s">
        <v>17630</v>
      </c>
    </row>
    <row r="18927" spans="1:1" x14ac:dyDescent="0.25">
      <c r="A18927" t="s">
        <v>17631</v>
      </c>
    </row>
    <row r="18928" spans="1:1" x14ac:dyDescent="0.25">
      <c r="A18928" t="s">
        <v>17632</v>
      </c>
    </row>
    <row r="18929" spans="1:1" x14ac:dyDescent="0.25">
      <c r="A18929" t="s">
        <v>17633</v>
      </c>
    </row>
    <row r="18930" spans="1:1" x14ac:dyDescent="0.25">
      <c r="A18930" t="s">
        <v>17634</v>
      </c>
    </row>
    <row r="18931" spans="1:1" x14ac:dyDescent="0.25">
      <c r="A18931" t="s">
        <v>17635</v>
      </c>
    </row>
    <row r="18932" spans="1:1" x14ac:dyDescent="0.25">
      <c r="A18932" t="s">
        <v>17636</v>
      </c>
    </row>
    <row r="18933" spans="1:1" x14ac:dyDescent="0.25">
      <c r="A18933" t="s">
        <v>17637</v>
      </c>
    </row>
    <row r="18934" spans="1:1" x14ac:dyDescent="0.25">
      <c r="A18934" t="s">
        <v>17638</v>
      </c>
    </row>
    <row r="18935" spans="1:1" x14ac:dyDescent="0.25">
      <c r="A18935" t="s">
        <v>17639</v>
      </c>
    </row>
    <row r="18936" spans="1:1" x14ac:dyDescent="0.25">
      <c r="A18936" t="s">
        <v>17640</v>
      </c>
    </row>
    <row r="18937" spans="1:1" x14ac:dyDescent="0.25">
      <c r="A18937" t="s">
        <v>17641</v>
      </c>
    </row>
    <row r="18938" spans="1:1" x14ac:dyDescent="0.25">
      <c r="A18938" t="s">
        <v>17642</v>
      </c>
    </row>
    <row r="18939" spans="1:1" x14ac:dyDescent="0.25">
      <c r="A18939" t="s">
        <v>17643</v>
      </c>
    </row>
    <row r="18940" spans="1:1" x14ac:dyDescent="0.25">
      <c r="A18940" t="s">
        <v>17644</v>
      </c>
    </row>
    <row r="18941" spans="1:1" x14ac:dyDescent="0.25">
      <c r="A18941" t="s">
        <v>17645</v>
      </c>
    </row>
    <row r="18942" spans="1:1" x14ac:dyDescent="0.25">
      <c r="A18942" t="s">
        <v>17646</v>
      </c>
    </row>
    <row r="18943" spans="1:1" x14ac:dyDescent="0.25">
      <c r="A18943" t="s">
        <v>17647</v>
      </c>
    </row>
    <row r="18944" spans="1:1" x14ac:dyDescent="0.25">
      <c r="A18944" t="s">
        <v>17648</v>
      </c>
    </row>
    <row r="18945" spans="1:1" x14ac:dyDescent="0.25">
      <c r="A18945" t="s">
        <v>17649</v>
      </c>
    </row>
    <row r="18946" spans="1:1" x14ac:dyDescent="0.25">
      <c r="A18946" t="s">
        <v>17650</v>
      </c>
    </row>
    <row r="18947" spans="1:1" x14ac:dyDescent="0.25">
      <c r="A18947" t="s">
        <v>17651</v>
      </c>
    </row>
    <row r="18948" spans="1:1" x14ac:dyDescent="0.25">
      <c r="A18948" t="s">
        <v>17652</v>
      </c>
    </row>
    <row r="18949" spans="1:1" x14ac:dyDescent="0.25">
      <c r="A18949" t="s">
        <v>17653</v>
      </c>
    </row>
    <row r="18950" spans="1:1" x14ac:dyDescent="0.25">
      <c r="A18950" t="s">
        <v>17654</v>
      </c>
    </row>
    <row r="18951" spans="1:1" x14ac:dyDescent="0.25">
      <c r="A18951" t="s">
        <v>17655</v>
      </c>
    </row>
    <row r="18952" spans="1:1" x14ac:dyDescent="0.25">
      <c r="A18952" t="s">
        <v>17656</v>
      </c>
    </row>
    <row r="18953" spans="1:1" x14ac:dyDescent="0.25">
      <c r="A18953" t="s">
        <v>17657</v>
      </c>
    </row>
    <row r="18954" spans="1:1" x14ac:dyDescent="0.25">
      <c r="A18954" t="s">
        <v>17658</v>
      </c>
    </row>
    <row r="18955" spans="1:1" x14ac:dyDescent="0.25">
      <c r="A18955" t="s">
        <v>17659</v>
      </c>
    </row>
    <row r="18956" spans="1:1" x14ac:dyDescent="0.25">
      <c r="A18956" t="s">
        <v>17660</v>
      </c>
    </row>
    <row r="18957" spans="1:1" x14ac:dyDescent="0.25">
      <c r="A18957" t="s">
        <v>17661</v>
      </c>
    </row>
    <row r="18958" spans="1:1" x14ac:dyDescent="0.25">
      <c r="A18958" t="s">
        <v>17662</v>
      </c>
    </row>
    <row r="18959" spans="1:1" x14ac:dyDescent="0.25">
      <c r="A18959" t="s">
        <v>17663</v>
      </c>
    </row>
    <row r="18960" spans="1:1" x14ac:dyDescent="0.25">
      <c r="A18960" t="s">
        <v>17664</v>
      </c>
    </row>
    <row r="18961" spans="1:1" x14ac:dyDescent="0.25">
      <c r="A18961" t="s">
        <v>17665</v>
      </c>
    </row>
    <row r="18962" spans="1:1" x14ac:dyDescent="0.25">
      <c r="A18962" t="s">
        <v>17666</v>
      </c>
    </row>
    <row r="18963" spans="1:1" x14ac:dyDescent="0.25">
      <c r="A18963" t="s">
        <v>17667</v>
      </c>
    </row>
    <row r="18964" spans="1:1" x14ac:dyDescent="0.25">
      <c r="A18964" t="s">
        <v>17668</v>
      </c>
    </row>
    <row r="18965" spans="1:1" x14ac:dyDescent="0.25">
      <c r="A18965" t="s">
        <v>17669</v>
      </c>
    </row>
    <row r="18966" spans="1:1" x14ac:dyDescent="0.25">
      <c r="A18966" t="s">
        <v>17670</v>
      </c>
    </row>
    <row r="18967" spans="1:1" x14ac:dyDescent="0.25">
      <c r="A18967" t="s">
        <v>17671</v>
      </c>
    </row>
    <row r="18968" spans="1:1" x14ac:dyDescent="0.25">
      <c r="A18968" t="s">
        <v>17672</v>
      </c>
    </row>
    <row r="18969" spans="1:1" x14ac:dyDescent="0.25">
      <c r="A18969" t="s">
        <v>17673</v>
      </c>
    </row>
    <row r="18970" spans="1:1" x14ac:dyDescent="0.25">
      <c r="A18970" t="s">
        <v>17674</v>
      </c>
    </row>
    <row r="18971" spans="1:1" x14ac:dyDescent="0.25">
      <c r="A18971" t="s">
        <v>17675</v>
      </c>
    </row>
    <row r="18972" spans="1:1" x14ac:dyDescent="0.25">
      <c r="A18972" t="s">
        <v>17676</v>
      </c>
    </row>
    <row r="18973" spans="1:1" x14ac:dyDescent="0.25">
      <c r="A18973" t="s">
        <v>17677</v>
      </c>
    </row>
    <row r="18974" spans="1:1" x14ac:dyDescent="0.25">
      <c r="A18974" t="s">
        <v>17678</v>
      </c>
    </row>
    <row r="18975" spans="1:1" x14ac:dyDescent="0.25">
      <c r="A18975" t="s">
        <v>17679</v>
      </c>
    </row>
    <row r="18976" spans="1:1" x14ac:dyDescent="0.25">
      <c r="A18976" t="s">
        <v>17680</v>
      </c>
    </row>
    <row r="18977" spans="1:1" x14ac:dyDescent="0.25">
      <c r="A18977" t="s">
        <v>17681</v>
      </c>
    </row>
    <row r="18978" spans="1:1" x14ac:dyDescent="0.25">
      <c r="A18978" t="s">
        <v>17682</v>
      </c>
    </row>
    <row r="18979" spans="1:1" x14ac:dyDescent="0.25">
      <c r="A18979" t="s">
        <v>17683</v>
      </c>
    </row>
    <row r="18980" spans="1:1" x14ac:dyDescent="0.25">
      <c r="A18980" t="s">
        <v>17684</v>
      </c>
    </row>
    <row r="18981" spans="1:1" x14ac:dyDescent="0.25">
      <c r="A18981" t="s">
        <v>17685</v>
      </c>
    </row>
    <row r="18982" spans="1:1" x14ac:dyDescent="0.25">
      <c r="A18982" t="s">
        <v>17686</v>
      </c>
    </row>
    <row r="18983" spans="1:1" x14ac:dyDescent="0.25">
      <c r="A18983" t="s">
        <v>17687</v>
      </c>
    </row>
    <row r="18984" spans="1:1" x14ac:dyDescent="0.25">
      <c r="A18984" t="s">
        <v>17688</v>
      </c>
    </row>
    <row r="18985" spans="1:1" x14ac:dyDescent="0.25">
      <c r="A18985" t="s">
        <v>17689</v>
      </c>
    </row>
    <row r="18986" spans="1:1" x14ac:dyDescent="0.25">
      <c r="A18986" t="s">
        <v>17690</v>
      </c>
    </row>
    <row r="18987" spans="1:1" x14ac:dyDescent="0.25">
      <c r="A18987" t="s">
        <v>17691</v>
      </c>
    </row>
    <row r="18988" spans="1:1" x14ac:dyDescent="0.25">
      <c r="A18988" t="s">
        <v>17692</v>
      </c>
    </row>
    <row r="18989" spans="1:1" x14ac:dyDescent="0.25">
      <c r="A18989" t="s">
        <v>17693</v>
      </c>
    </row>
    <row r="18990" spans="1:1" x14ac:dyDescent="0.25">
      <c r="A18990" t="s">
        <v>17694</v>
      </c>
    </row>
    <row r="18991" spans="1:1" x14ac:dyDescent="0.25">
      <c r="A18991" t="s">
        <v>17695</v>
      </c>
    </row>
    <row r="18992" spans="1:1" x14ac:dyDescent="0.25">
      <c r="A18992" t="s">
        <v>17696</v>
      </c>
    </row>
    <row r="18993" spans="1:1" x14ac:dyDescent="0.25">
      <c r="A18993" t="s">
        <v>17697</v>
      </c>
    </row>
    <row r="18994" spans="1:1" x14ac:dyDescent="0.25">
      <c r="A18994" t="s">
        <v>17698</v>
      </c>
    </row>
    <row r="18995" spans="1:1" x14ac:dyDescent="0.25">
      <c r="A18995" t="s">
        <v>17699</v>
      </c>
    </row>
    <row r="18996" spans="1:1" x14ac:dyDescent="0.25">
      <c r="A18996" t="s">
        <v>17700</v>
      </c>
    </row>
    <row r="18997" spans="1:1" x14ac:dyDescent="0.25">
      <c r="A18997" t="s">
        <v>17701</v>
      </c>
    </row>
    <row r="18998" spans="1:1" x14ac:dyDescent="0.25">
      <c r="A18998" t="s">
        <v>17702</v>
      </c>
    </row>
    <row r="18999" spans="1:1" x14ac:dyDescent="0.25">
      <c r="A18999" t="s">
        <v>17703</v>
      </c>
    </row>
    <row r="19000" spans="1:1" x14ac:dyDescent="0.25">
      <c r="A19000" t="s">
        <v>17704</v>
      </c>
    </row>
    <row r="19001" spans="1:1" x14ac:dyDescent="0.25">
      <c r="A19001" t="s">
        <v>17705</v>
      </c>
    </row>
    <row r="19002" spans="1:1" x14ac:dyDescent="0.25">
      <c r="A19002" t="s">
        <v>17706</v>
      </c>
    </row>
    <row r="19003" spans="1:1" x14ac:dyDescent="0.25">
      <c r="A19003" t="s">
        <v>17707</v>
      </c>
    </row>
    <row r="19004" spans="1:1" x14ac:dyDescent="0.25">
      <c r="A19004" t="s">
        <v>17708</v>
      </c>
    </row>
    <row r="19005" spans="1:1" x14ac:dyDescent="0.25">
      <c r="A19005" t="s">
        <v>17709</v>
      </c>
    </row>
    <row r="19006" spans="1:1" x14ac:dyDescent="0.25">
      <c r="A19006" t="s">
        <v>17710</v>
      </c>
    </row>
    <row r="19007" spans="1:1" x14ac:dyDescent="0.25">
      <c r="A19007" t="s">
        <v>17711</v>
      </c>
    </row>
    <row r="19008" spans="1:1" x14ac:dyDescent="0.25">
      <c r="A19008" t="s">
        <v>17712</v>
      </c>
    </row>
    <row r="19009" spans="1:1" x14ac:dyDescent="0.25">
      <c r="A19009" t="s">
        <v>17713</v>
      </c>
    </row>
    <row r="19010" spans="1:1" x14ac:dyDescent="0.25">
      <c r="A19010" t="s">
        <v>17714</v>
      </c>
    </row>
    <row r="19011" spans="1:1" x14ac:dyDescent="0.25">
      <c r="A19011" t="s">
        <v>17715</v>
      </c>
    </row>
    <row r="19012" spans="1:1" x14ac:dyDescent="0.25">
      <c r="A19012" t="s">
        <v>17716</v>
      </c>
    </row>
    <row r="19013" spans="1:1" x14ac:dyDescent="0.25">
      <c r="A19013" t="s">
        <v>17717</v>
      </c>
    </row>
    <row r="19014" spans="1:1" x14ac:dyDescent="0.25">
      <c r="A19014" t="s">
        <v>17718</v>
      </c>
    </row>
    <row r="19015" spans="1:1" x14ac:dyDescent="0.25">
      <c r="A19015" t="s">
        <v>17719</v>
      </c>
    </row>
    <row r="19016" spans="1:1" x14ac:dyDescent="0.25">
      <c r="A19016" t="s">
        <v>17720</v>
      </c>
    </row>
    <row r="19017" spans="1:1" x14ac:dyDescent="0.25">
      <c r="A19017" t="s">
        <v>17721</v>
      </c>
    </row>
    <row r="19018" spans="1:1" x14ac:dyDescent="0.25">
      <c r="A19018" t="s">
        <v>17722</v>
      </c>
    </row>
    <row r="19019" spans="1:1" x14ac:dyDescent="0.25">
      <c r="A19019" t="s">
        <v>17723</v>
      </c>
    </row>
    <row r="19020" spans="1:1" x14ac:dyDescent="0.25">
      <c r="A19020" t="s">
        <v>17724</v>
      </c>
    </row>
    <row r="19021" spans="1:1" x14ac:dyDescent="0.25">
      <c r="A19021" t="s">
        <v>17725</v>
      </c>
    </row>
    <row r="19022" spans="1:1" x14ac:dyDescent="0.25">
      <c r="A19022" t="s">
        <v>17726</v>
      </c>
    </row>
    <row r="19023" spans="1:1" x14ac:dyDescent="0.25">
      <c r="A19023" t="s">
        <v>17727</v>
      </c>
    </row>
    <row r="19024" spans="1:1" x14ac:dyDescent="0.25">
      <c r="A19024" t="s">
        <v>17728</v>
      </c>
    </row>
    <row r="19025" spans="1:1" x14ac:dyDescent="0.25">
      <c r="A19025" t="s">
        <v>17729</v>
      </c>
    </row>
    <row r="19026" spans="1:1" x14ac:dyDescent="0.25">
      <c r="A19026" t="s">
        <v>17730</v>
      </c>
    </row>
    <row r="19027" spans="1:1" x14ac:dyDescent="0.25">
      <c r="A19027" t="s">
        <v>17731</v>
      </c>
    </row>
    <row r="19028" spans="1:1" x14ac:dyDescent="0.25">
      <c r="A19028" t="s">
        <v>17732</v>
      </c>
    </row>
    <row r="19029" spans="1:1" x14ac:dyDescent="0.25">
      <c r="A19029" t="s">
        <v>17733</v>
      </c>
    </row>
    <row r="19030" spans="1:1" x14ac:dyDescent="0.25">
      <c r="A19030" t="s">
        <v>17734</v>
      </c>
    </row>
    <row r="19031" spans="1:1" x14ac:dyDescent="0.25">
      <c r="A19031" t="s">
        <v>17735</v>
      </c>
    </row>
    <row r="19032" spans="1:1" x14ac:dyDescent="0.25">
      <c r="A19032" t="s">
        <v>17736</v>
      </c>
    </row>
    <row r="19033" spans="1:1" x14ac:dyDescent="0.25">
      <c r="A19033" t="s">
        <v>17737</v>
      </c>
    </row>
    <row r="19034" spans="1:1" x14ac:dyDescent="0.25">
      <c r="A19034" t="s">
        <v>17738</v>
      </c>
    </row>
    <row r="19035" spans="1:1" x14ac:dyDescent="0.25">
      <c r="A19035" t="s">
        <v>17739</v>
      </c>
    </row>
    <row r="19036" spans="1:1" x14ac:dyDescent="0.25">
      <c r="A19036" t="s">
        <v>17740</v>
      </c>
    </row>
    <row r="19037" spans="1:1" x14ac:dyDescent="0.25">
      <c r="A19037" t="s">
        <v>17741</v>
      </c>
    </row>
    <row r="19038" spans="1:1" x14ac:dyDescent="0.25">
      <c r="A19038" t="s">
        <v>17742</v>
      </c>
    </row>
    <row r="19039" spans="1:1" x14ac:dyDescent="0.25">
      <c r="A19039" t="s">
        <v>17743</v>
      </c>
    </row>
    <row r="19040" spans="1:1" x14ac:dyDescent="0.25">
      <c r="A19040" t="s">
        <v>17744</v>
      </c>
    </row>
    <row r="19041" spans="1:1" x14ac:dyDescent="0.25">
      <c r="A19041" t="s">
        <v>17745</v>
      </c>
    </row>
    <row r="19042" spans="1:1" x14ac:dyDescent="0.25">
      <c r="A19042" t="s">
        <v>17746</v>
      </c>
    </row>
    <row r="19043" spans="1:1" x14ac:dyDescent="0.25">
      <c r="A19043" t="s">
        <v>17747</v>
      </c>
    </row>
    <row r="19044" spans="1:1" x14ac:dyDescent="0.25">
      <c r="A19044" t="s">
        <v>17748</v>
      </c>
    </row>
    <row r="19045" spans="1:1" x14ac:dyDescent="0.25">
      <c r="A19045" t="s">
        <v>17749</v>
      </c>
    </row>
    <row r="19046" spans="1:1" x14ac:dyDescent="0.25">
      <c r="A19046" t="s">
        <v>17750</v>
      </c>
    </row>
    <row r="19047" spans="1:1" x14ac:dyDescent="0.25">
      <c r="A19047" t="s">
        <v>17751</v>
      </c>
    </row>
    <row r="19048" spans="1:1" x14ac:dyDescent="0.25">
      <c r="A19048" t="s">
        <v>17752</v>
      </c>
    </row>
    <row r="19049" spans="1:1" x14ac:dyDescent="0.25">
      <c r="A19049" t="s">
        <v>17753</v>
      </c>
    </row>
    <row r="19050" spans="1:1" x14ac:dyDescent="0.25">
      <c r="A19050" t="s">
        <v>17754</v>
      </c>
    </row>
    <row r="19051" spans="1:1" x14ac:dyDescent="0.25">
      <c r="A19051" t="s">
        <v>17755</v>
      </c>
    </row>
    <row r="19052" spans="1:1" x14ac:dyDescent="0.25">
      <c r="A19052" t="s">
        <v>17756</v>
      </c>
    </row>
    <row r="19053" spans="1:1" x14ac:dyDescent="0.25">
      <c r="A19053" t="s">
        <v>17757</v>
      </c>
    </row>
    <row r="19054" spans="1:1" x14ac:dyDescent="0.25">
      <c r="A19054" t="s">
        <v>17758</v>
      </c>
    </row>
    <row r="19055" spans="1:1" x14ac:dyDescent="0.25">
      <c r="A19055" t="s">
        <v>17759</v>
      </c>
    </row>
    <row r="19056" spans="1:1" x14ac:dyDescent="0.25">
      <c r="A19056" t="s">
        <v>17760</v>
      </c>
    </row>
    <row r="19057" spans="1:1" x14ac:dyDescent="0.25">
      <c r="A19057" t="s">
        <v>17761</v>
      </c>
    </row>
    <row r="19058" spans="1:1" x14ac:dyDescent="0.25">
      <c r="A19058" t="s">
        <v>17762</v>
      </c>
    </row>
    <row r="19059" spans="1:1" x14ac:dyDescent="0.25">
      <c r="A19059" t="s">
        <v>17763</v>
      </c>
    </row>
    <row r="19060" spans="1:1" x14ac:dyDescent="0.25">
      <c r="A19060" t="s">
        <v>17764</v>
      </c>
    </row>
    <row r="19061" spans="1:1" x14ac:dyDescent="0.25">
      <c r="A19061" t="s">
        <v>17765</v>
      </c>
    </row>
    <row r="19062" spans="1:1" x14ac:dyDescent="0.25">
      <c r="A19062" t="s">
        <v>17766</v>
      </c>
    </row>
    <row r="19063" spans="1:1" x14ac:dyDescent="0.25">
      <c r="A19063" t="s">
        <v>17767</v>
      </c>
    </row>
    <row r="19064" spans="1:1" x14ac:dyDescent="0.25">
      <c r="A19064" t="s">
        <v>17768</v>
      </c>
    </row>
    <row r="19065" spans="1:1" x14ac:dyDescent="0.25">
      <c r="A19065" t="s">
        <v>17769</v>
      </c>
    </row>
    <row r="19066" spans="1:1" x14ac:dyDescent="0.25">
      <c r="A19066" t="s">
        <v>17770</v>
      </c>
    </row>
    <row r="19067" spans="1:1" x14ac:dyDescent="0.25">
      <c r="A19067" t="s">
        <v>17771</v>
      </c>
    </row>
    <row r="19068" spans="1:1" x14ac:dyDescent="0.25">
      <c r="A19068" t="s">
        <v>17772</v>
      </c>
    </row>
    <row r="19069" spans="1:1" x14ac:dyDescent="0.25">
      <c r="A19069" t="s">
        <v>17773</v>
      </c>
    </row>
    <row r="19070" spans="1:1" x14ac:dyDescent="0.25">
      <c r="A19070" t="s">
        <v>17774</v>
      </c>
    </row>
    <row r="19071" spans="1:1" x14ac:dyDescent="0.25">
      <c r="A19071" t="s">
        <v>17775</v>
      </c>
    </row>
    <row r="19072" spans="1:1" x14ac:dyDescent="0.25">
      <c r="A19072" t="s">
        <v>17776</v>
      </c>
    </row>
    <row r="19073" spans="1:1" x14ac:dyDescent="0.25">
      <c r="A19073" t="s">
        <v>17777</v>
      </c>
    </row>
    <row r="19074" spans="1:1" x14ac:dyDescent="0.25">
      <c r="A19074" t="s">
        <v>17778</v>
      </c>
    </row>
    <row r="19075" spans="1:1" x14ac:dyDescent="0.25">
      <c r="A19075" t="s">
        <v>17779</v>
      </c>
    </row>
    <row r="19076" spans="1:1" x14ac:dyDescent="0.25">
      <c r="A19076" t="s">
        <v>17780</v>
      </c>
    </row>
    <row r="19077" spans="1:1" x14ac:dyDescent="0.25">
      <c r="A19077" t="s">
        <v>17781</v>
      </c>
    </row>
    <row r="19078" spans="1:1" x14ac:dyDescent="0.25">
      <c r="A19078" t="s">
        <v>17782</v>
      </c>
    </row>
    <row r="19079" spans="1:1" x14ac:dyDescent="0.25">
      <c r="A19079" t="s">
        <v>17783</v>
      </c>
    </row>
    <row r="19080" spans="1:1" x14ac:dyDescent="0.25">
      <c r="A19080" t="s">
        <v>17784</v>
      </c>
    </row>
    <row r="19081" spans="1:1" x14ac:dyDescent="0.25">
      <c r="A19081" t="s">
        <v>17785</v>
      </c>
    </row>
    <row r="19082" spans="1:1" x14ac:dyDescent="0.25">
      <c r="A19082" t="s">
        <v>17786</v>
      </c>
    </row>
    <row r="19083" spans="1:1" x14ac:dyDescent="0.25">
      <c r="A19083" t="s">
        <v>17787</v>
      </c>
    </row>
    <row r="19084" spans="1:1" x14ac:dyDescent="0.25">
      <c r="A19084" t="s">
        <v>17788</v>
      </c>
    </row>
    <row r="19085" spans="1:1" x14ac:dyDescent="0.25">
      <c r="A19085" t="s">
        <v>17789</v>
      </c>
    </row>
    <row r="19086" spans="1:1" x14ac:dyDescent="0.25">
      <c r="A19086" t="s">
        <v>17790</v>
      </c>
    </row>
    <row r="19087" spans="1:1" x14ac:dyDescent="0.25">
      <c r="A19087" t="s">
        <v>17791</v>
      </c>
    </row>
    <row r="19088" spans="1:1" x14ac:dyDescent="0.25">
      <c r="A19088" t="s">
        <v>17792</v>
      </c>
    </row>
    <row r="19089" spans="1:1" x14ac:dyDescent="0.25">
      <c r="A19089" t="s">
        <v>17793</v>
      </c>
    </row>
    <row r="19090" spans="1:1" x14ac:dyDescent="0.25">
      <c r="A19090" t="s">
        <v>17794</v>
      </c>
    </row>
    <row r="19091" spans="1:1" x14ac:dyDescent="0.25">
      <c r="A19091" t="s">
        <v>17795</v>
      </c>
    </row>
    <row r="19092" spans="1:1" x14ac:dyDescent="0.25">
      <c r="A19092" t="s">
        <v>17796</v>
      </c>
    </row>
    <row r="19093" spans="1:1" x14ac:dyDescent="0.25">
      <c r="A19093" t="s">
        <v>17797</v>
      </c>
    </row>
    <row r="19094" spans="1:1" x14ac:dyDescent="0.25">
      <c r="A19094" t="s">
        <v>17798</v>
      </c>
    </row>
    <row r="19095" spans="1:1" x14ac:dyDescent="0.25">
      <c r="A19095" t="s">
        <v>17799</v>
      </c>
    </row>
    <row r="19096" spans="1:1" x14ac:dyDescent="0.25">
      <c r="A19096" t="s">
        <v>17800</v>
      </c>
    </row>
    <row r="19097" spans="1:1" x14ac:dyDescent="0.25">
      <c r="A19097" t="s">
        <v>17801</v>
      </c>
    </row>
    <row r="19098" spans="1:1" x14ac:dyDescent="0.25">
      <c r="A19098" t="s">
        <v>17802</v>
      </c>
    </row>
    <row r="19099" spans="1:1" x14ac:dyDescent="0.25">
      <c r="A19099" t="s">
        <v>17803</v>
      </c>
    </row>
    <row r="19100" spans="1:1" x14ac:dyDescent="0.25">
      <c r="A19100" t="s">
        <v>17804</v>
      </c>
    </row>
    <row r="19101" spans="1:1" x14ac:dyDescent="0.25">
      <c r="A19101" t="s">
        <v>17805</v>
      </c>
    </row>
    <row r="19102" spans="1:1" x14ac:dyDescent="0.25">
      <c r="A19102" t="s">
        <v>17806</v>
      </c>
    </row>
    <row r="19103" spans="1:1" x14ac:dyDescent="0.25">
      <c r="A19103" t="s">
        <v>17807</v>
      </c>
    </row>
    <row r="19104" spans="1:1" x14ac:dyDescent="0.25">
      <c r="A19104" t="s">
        <v>17808</v>
      </c>
    </row>
    <row r="19105" spans="1:1" x14ac:dyDescent="0.25">
      <c r="A19105" t="s">
        <v>17809</v>
      </c>
    </row>
    <row r="19106" spans="1:1" x14ac:dyDescent="0.25">
      <c r="A19106" t="s">
        <v>17810</v>
      </c>
    </row>
    <row r="19107" spans="1:1" x14ac:dyDescent="0.25">
      <c r="A19107" t="s">
        <v>17811</v>
      </c>
    </row>
    <row r="19108" spans="1:1" x14ac:dyDescent="0.25">
      <c r="A19108" t="s">
        <v>17812</v>
      </c>
    </row>
    <row r="19109" spans="1:1" x14ac:dyDescent="0.25">
      <c r="A19109" t="s">
        <v>17813</v>
      </c>
    </row>
    <row r="19110" spans="1:1" x14ac:dyDescent="0.25">
      <c r="A19110" t="s">
        <v>17814</v>
      </c>
    </row>
    <row r="19111" spans="1:1" x14ac:dyDescent="0.25">
      <c r="A19111" t="s">
        <v>17815</v>
      </c>
    </row>
    <row r="19112" spans="1:1" x14ac:dyDescent="0.25">
      <c r="A19112" t="s">
        <v>17816</v>
      </c>
    </row>
    <row r="19113" spans="1:1" x14ac:dyDescent="0.25">
      <c r="A19113" t="s">
        <v>17817</v>
      </c>
    </row>
    <row r="19114" spans="1:1" x14ac:dyDescent="0.25">
      <c r="A19114" t="s">
        <v>17818</v>
      </c>
    </row>
    <row r="19115" spans="1:1" x14ac:dyDescent="0.25">
      <c r="A19115" t="s">
        <v>17819</v>
      </c>
    </row>
    <row r="19116" spans="1:1" x14ac:dyDescent="0.25">
      <c r="A19116" t="s">
        <v>17820</v>
      </c>
    </row>
    <row r="19117" spans="1:1" x14ac:dyDescent="0.25">
      <c r="A19117" t="s">
        <v>17821</v>
      </c>
    </row>
    <row r="19118" spans="1:1" x14ac:dyDescent="0.25">
      <c r="A19118" t="s">
        <v>17822</v>
      </c>
    </row>
    <row r="19119" spans="1:1" x14ac:dyDescent="0.25">
      <c r="A19119" t="s">
        <v>17823</v>
      </c>
    </row>
    <row r="19120" spans="1:1" x14ac:dyDescent="0.25">
      <c r="A19120" t="s">
        <v>17824</v>
      </c>
    </row>
    <row r="19121" spans="1:1" x14ac:dyDescent="0.25">
      <c r="A19121" t="s">
        <v>17825</v>
      </c>
    </row>
    <row r="19122" spans="1:1" x14ac:dyDescent="0.25">
      <c r="A19122" t="s">
        <v>17826</v>
      </c>
    </row>
    <row r="19123" spans="1:1" x14ac:dyDescent="0.25">
      <c r="A19123" t="s">
        <v>17827</v>
      </c>
    </row>
    <row r="19124" spans="1:1" x14ac:dyDescent="0.25">
      <c r="A19124" t="s">
        <v>17828</v>
      </c>
    </row>
    <row r="19125" spans="1:1" x14ac:dyDescent="0.25">
      <c r="A19125" t="s">
        <v>17829</v>
      </c>
    </row>
    <row r="19126" spans="1:1" x14ac:dyDescent="0.25">
      <c r="A19126" t="s">
        <v>17830</v>
      </c>
    </row>
    <row r="19127" spans="1:1" x14ac:dyDescent="0.25">
      <c r="A19127" t="s">
        <v>17831</v>
      </c>
    </row>
    <row r="19128" spans="1:1" x14ac:dyDescent="0.25">
      <c r="A19128" t="s">
        <v>17832</v>
      </c>
    </row>
    <row r="19129" spans="1:1" x14ac:dyDescent="0.25">
      <c r="A19129" t="s">
        <v>17833</v>
      </c>
    </row>
    <row r="19130" spans="1:1" x14ac:dyDescent="0.25">
      <c r="A19130" t="s">
        <v>17834</v>
      </c>
    </row>
    <row r="19131" spans="1:1" x14ac:dyDescent="0.25">
      <c r="A19131" t="s">
        <v>17835</v>
      </c>
    </row>
    <row r="19132" spans="1:1" x14ac:dyDescent="0.25">
      <c r="A19132" t="s">
        <v>17836</v>
      </c>
    </row>
    <row r="19133" spans="1:1" x14ac:dyDescent="0.25">
      <c r="A19133" t="s">
        <v>17837</v>
      </c>
    </row>
    <row r="19134" spans="1:1" x14ac:dyDescent="0.25">
      <c r="A19134" t="s">
        <v>17838</v>
      </c>
    </row>
    <row r="19135" spans="1:1" x14ac:dyDescent="0.25">
      <c r="A19135" t="s">
        <v>17839</v>
      </c>
    </row>
    <row r="19136" spans="1:1" x14ac:dyDescent="0.25">
      <c r="A19136" t="s">
        <v>17840</v>
      </c>
    </row>
    <row r="19137" spans="1:1" x14ac:dyDescent="0.25">
      <c r="A19137" t="s">
        <v>17841</v>
      </c>
    </row>
    <row r="19138" spans="1:1" x14ac:dyDescent="0.25">
      <c r="A19138" t="s">
        <v>17842</v>
      </c>
    </row>
    <row r="19139" spans="1:1" x14ac:dyDescent="0.25">
      <c r="A19139" t="s">
        <v>17843</v>
      </c>
    </row>
    <row r="19140" spans="1:1" x14ac:dyDescent="0.25">
      <c r="A19140" t="s">
        <v>17844</v>
      </c>
    </row>
    <row r="19141" spans="1:1" x14ac:dyDescent="0.25">
      <c r="A19141" t="s">
        <v>17845</v>
      </c>
    </row>
    <row r="19142" spans="1:1" x14ac:dyDescent="0.25">
      <c r="A19142" t="s">
        <v>17846</v>
      </c>
    </row>
    <row r="19143" spans="1:1" x14ac:dyDescent="0.25">
      <c r="A19143" t="s">
        <v>17847</v>
      </c>
    </row>
    <row r="19144" spans="1:1" x14ac:dyDescent="0.25">
      <c r="A19144" t="s">
        <v>17848</v>
      </c>
    </row>
    <row r="19145" spans="1:1" x14ac:dyDescent="0.25">
      <c r="A19145" t="s">
        <v>17849</v>
      </c>
    </row>
    <row r="19146" spans="1:1" x14ac:dyDescent="0.25">
      <c r="A19146" t="s">
        <v>17850</v>
      </c>
    </row>
    <row r="19147" spans="1:1" x14ac:dyDescent="0.25">
      <c r="A19147" t="s">
        <v>17851</v>
      </c>
    </row>
    <row r="19148" spans="1:1" x14ac:dyDescent="0.25">
      <c r="A19148" t="s">
        <v>17852</v>
      </c>
    </row>
    <row r="19149" spans="1:1" x14ac:dyDescent="0.25">
      <c r="A19149" t="s">
        <v>17853</v>
      </c>
    </row>
    <row r="19150" spans="1:1" x14ac:dyDescent="0.25">
      <c r="A19150" t="s">
        <v>17854</v>
      </c>
    </row>
    <row r="19151" spans="1:1" x14ac:dyDescent="0.25">
      <c r="A19151" t="s">
        <v>17855</v>
      </c>
    </row>
    <row r="19152" spans="1:1" x14ac:dyDescent="0.25">
      <c r="A19152" t="s">
        <v>17856</v>
      </c>
    </row>
    <row r="19153" spans="1:1" x14ac:dyDescent="0.25">
      <c r="A19153" t="s">
        <v>17857</v>
      </c>
    </row>
    <row r="19154" spans="1:1" x14ac:dyDescent="0.25">
      <c r="A19154" t="s">
        <v>17858</v>
      </c>
    </row>
    <row r="19155" spans="1:1" x14ac:dyDescent="0.25">
      <c r="A19155" t="s">
        <v>17859</v>
      </c>
    </row>
    <row r="19156" spans="1:1" x14ac:dyDescent="0.25">
      <c r="A19156" t="s">
        <v>17860</v>
      </c>
    </row>
    <row r="19157" spans="1:1" x14ac:dyDescent="0.25">
      <c r="A19157" t="s">
        <v>17861</v>
      </c>
    </row>
    <row r="19158" spans="1:1" x14ac:dyDescent="0.25">
      <c r="A19158" t="s">
        <v>17862</v>
      </c>
    </row>
    <row r="19159" spans="1:1" x14ac:dyDescent="0.25">
      <c r="A19159" t="s">
        <v>17863</v>
      </c>
    </row>
    <row r="19160" spans="1:1" x14ac:dyDescent="0.25">
      <c r="A19160" t="s">
        <v>17864</v>
      </c>
    </row>
    <row r="19161" spans="1:1" x14ac:dyDescent="0.25">
      <c r="A19161" t="s">
        <v>17865</v>
      </c>
    </row>
    <row r="19162" spans="1:1" x14ac:dyDescent="0.25">
      <c r="A19162" t="s">
        <v>17866</v>
      </c>
    </row>
    <row r="19163" spans="1:1" x14ac:dyDescent="0.25">
      <c r="A19163" t="s">
        <v>17867</v>
      </c>
    </row>
    <row r="19164" spans="1:1" x14ac:dyDescent="0.25">
      <c r="A19164" t="s">
        <v>17868</v>
      </c>
    </row>
    <row r="19165" spans="1:1" x14ac:dyDescent="0.25">
      <c r="A19165" t="s">
        <v>17869</v>
      </c>
    </row>
    <row r="19166" spans="1:1" x14ac:dyDescent="0.25">
      <c r="A19166" t="s">
        <v>17870</v>
      </c>
    </row>
    <row r="19167" spans="1:1" x14ac:dyDescent="0.25">
      <c r="A19167" t="s">
        <v>17871</v>
      </c>
    </row>
    <row r="19168" spans="1:1" x14ac:dyDescent="0.25">
      <c r="A19168" t="s">
        <v>17872</v>
      </c>
    </row>
    <row r="19169" spans="1:1" x14ac:dyDescent="0.25">
      <c r="A19169" t="s">
        <v>17873</v>
      </c>
    </row>
    <row r="19170" spans="1:1" x14ac:dyDescent="0.25">
      <c r="A19170" t="s">
        <v>17874</v>
      </c>
    </row>
    <row r="19171" spans="1:1" x14ac:dyDescent="0.25">
      <c r="A19171" t="s">
        <v>17875</v>
      </c>
    </row>
    <row r="19172" spans="1:1" x14ac:dyDescent="0.25">
      <c r="A19172" t="s">
        <v>17876</v>
      </c>
    </row>
    <row r="19173" spans="1:1" x14ac:dyDescent="0.25">
      <c r="A19173" t="s">
        <v>17877</v>
      </c>
    </row>
    <row r="19174" spans="1:1" x14ac:dyDescent="0.25">
      <c r="A19174" t="s">
        <v>17878</v>
      </c>
    </row>
    <row r="19175" spans="1:1" x14ac:dyDescent="0.25">
      <c r="A19175" t="s">
        <v>17879</v>
      </c>
    </row>
    <row r="19176" spans="1:1" x14ac:dyDescent="0.25">
      <c r="A19176" t="s">
        <v>17880</v>
      </c>
    </row>
    <row r="19177" spans="1:1" x14ac:dyDescent="0.25">
      <c r="A19177" t="s">
        <v>17881</v>
      </c>
    </row>
    <row r="19178" spans="1:1" x14ac:dyDescent="0.25">
      <c r="A19178" t="s">
        <v>17882</v>
      </c>
    </row>
    <row r="19179" spans="1:1" x14ac:dyDescent="0.25">
      <c r="A19179" t="s">
        <v>17883</v>
      </c>
    </row>
    <row r="19180" spans="1:1" x14ac:dyDescent="0.25">
      <c r="A19180" t="s">
        <v>17884</v>
      </c>
    </row>
    <row r="19181" spans="1:1" x14ac:dyDescent="0.25">
      <c r="A19181" t="s">
        <v>17885</v>
      </c>
    </row>
    <row r="19182" spans="1:1" x14ac:dyDescent="0.25">
      <c r="A19182" t="s">
        <v>17886</v>
      </c>
    </row>
    <row r="19183" spans="1:1" x14ac:dyDescent="0.25">
      <c r="A19183" t="s">
        <v>17887</v>
      </c>
    </row>
    <row r="19184" spans="1:1" x14ac:dyDescent="0.25">
      <c r="A19184" t="s">
        <v>17888</v>
      </c>
    </row>
    <row r="19185" spans="1:1" x14ac:dyDescent="0.25">
      <c r="A19185" t="s">
        <v>17889</v>
      </c>
    </row>
    <row r="19186" spans="1:1" x14ac:dyDescent="0.25">
      <c r="A19186" t="s">
        <v>17890</v>
      </c>
    </row>
    <row r="19187" spans="1:1" x14ac:dyDescent="0.25">
      <c r="A19187" t="s">
        <v>17891</v>
      </c>
    </row>
    <row r="19188" spans="1:1" x14ac:dyDescent="0.25">
      <c r="A19188" t="s">
        <v>17892</v>
      </c>
    </row>
    <row r="19189" spans="1:1" x14ac:dyDescent="0.25">
      <c r="A19189" t="s">
        <v>17893</v>
      </c>
    </row>
    <row r="19190" spans="1:1" x14ac:dyDescent="0.25">
      <c r="A19190" t="s">
        <v>17894</v>
      </c>
    </row>
    <row r="19191" spans="1:1" x14ac:dyDescent="0.25">
      <c r="A19191" t="s">
        <v>17895</v>
      </c>
    </row>
    <row r="19192" spans="1:1" x14ac:dyDescent="0.25">
      <c r="A19192" t="s">
        <v>17896</v>
      </c>
    </row>
    <row r="19193" spans="1:1" x14ac:dyDescent="0.25">
      <c r="A19193" t="s">
        <v>17897</v>
      </c>
    </row>
    <row r="19194" spans="1:1" x14ac:dyDescent="0.25">
      <c r="A19194" t="s">
        <v>17898</v>
      </c>
    </row>
    <row r="19195" spans="1:1" x14ac:dyDescent="0.25">
      <c r="A19195" t="s">
        <v>17899</v>
      </c>
    </row>
    <row r="19196" spans="1:1" x14ac:dyDescent="0.25">
      <c r="A19196" t="s">
        <v>17900</v>
      </c>
    </row>
    <row r="19197" spans="1:1" x14ac:dyDescent="0.25">
      <c r="A19197" t="s">
        <v>17901</v>
      </c>
    </row>
    <row r="19198" spans="1:1" x14ac:dyDescent="0.25">
      <c r="A19198" t="s">
        <v>17902</v>
      </c>
    </row>
    <row r="19199" spans="1:1" x14ac:dyDescent="0.25">
      <c r="A19199" t="s">
        <v>17903</v>
      </c>
    </row>
    <row r="19200" spans="1:1" x14ac:dyDescent="0.25">
      <c r="A19200" t="s">
        <v>17904</v>
      </c>
    </row>
    <row r="19201" spans="1:1" x14ac:dyDescent="0.25">
      <c r="A19201" t="s">
        <v>17905</v>
      </c>
    </row>
    <row r="19202" spans="1:1" x14ac:dyDescent="0.25">
      <c r="A19202" t="s">
        <v>17906</v>
      </c>
    </row>
    <row r="19203" spans="1:1" x14ac:dyDescent="0.25">
      <c r="A19203" t="s">
        <v>17907</v>
      </c>
    </row>
    <row r="19204" spans="1:1" x14ac:dyDescent="0.25">
      <c r="A19204" t="s">
        <v>17908</v>
      </c>
    </row>
    <row r="19205" spans="1:1" x14ac:dyDescent="0.25">
      <c r="A19205" t="s">
        <v>17909</v>
      </c>
    </row>
    <row r="19206" spans="1:1" x14ac:dyDescent="0.25">
      <c r="A19206" t="s">
        <v>17910</v>
      </c>
    </row>
    <row r="19207" spans="1:1" x14ac:dyDescent="0.25">
      <c r="A19207" t="s">
        <v>17911</v>
      </c>
    </row>
    <row r="19208" spans="1:1" x14ac:dyDescent="0.25">
      <c r="A19208" t="s">
        <v>17912</v>
      </c>
    </row>
    <row r="19209" spans="1:1" x14ac:dyDescent="0.25">
      <c r="A19209" t="s">
        <v>17913</v>
      </c>
    </row>
    <row r="19210" spans="1:1" x14ac:dyDescent="0.25">
      <c r="A19210" t="s">
        <v>17914</v>
      </c>
    </row>
    <row r="19211" spans="1:1" x14ac:dyDescent="0.25">
      <c r="A19211" t="s">
        <v>17915</v>
      </c>
    </row>
    <row r="19212" spans="1:1" x14ac:dyDescent="0.25">
      <c r="A19212" t="s">
        <v>17916</v>
      </c>
    </row>
    <row r="19213" spans="1:1" x14ac:dyDescent="0.25">
      <c r="A19213" t="s">
        <v>17917</v>
      </c>
    </row>
    <row r="19214" spans="1:1" x14ac:dyDescent="0.25">
      <c r="A19214" t="s">
        <v>17918</v>
      </c>
    </row>
    <row r="19215" spans="1:1" x14ac:dyDescent="0.25">
      <c r="A19215" t="s">
        <v>17919</v>
      </c>
    </row>
    <row r="19216" spans="1:1" x14ac:dyDescent="0.25">
      <c r="A19216" t="s">
        <v>17920</v>
      </c>
    </row>
    <row r="19217" spans="1:1" x14ac:dyDescent="0.25">
      <c r="A19217" t="s">
        <v>17921</v>
      </c>
    </row>
    <row r="19218" spans="1:1" x14ac:dyDescent="0.25">
      <c r="A19218" t="s">
        <v>17922</v>
      </c>
    </row>
    <row r="19219" spans="1:1" x14ac:dyDescent="0.25">
      <c r="A19219" t="s">
        <v>17923</v>
      </c>
    </row>
    <row r="19220" spans="1:1" x14ac:dyDescent="0.25">
      <c r="A19220" t="s">
        <v>17924</v>
      </c>
    </row>
    <row r="19221" spans="1:1" x14ac:dyDescent="0.25">
      <c r="A19221" t="s">
        <v>17925</v>
      </c>
    </row>
    <row r="19222" spans="1:1" x14ac:dyDescent="0.25">
      <c r="A19222" t="s">
        <v>17926</v>
      </c>
    </row>
    <row r="19223" spans="1:1" x14ac:dyDescent="0.25">
      <c r="A19223" t="s">
        <v>17927</v>
      </c>
    </row>
    <row r="19224" spans="1:1" x14ac:dyDescent="0.25">
      <c r="A19224" t="s">
        <v>17928</v>
      </c>
    </row>
    <row r="19225" spans="1:1" x14ac:dyDescent="0.25">
      <c r="A19225" t="s">
        <v>17929</v>
      </c>
    </row>
    <row r="19226" spans="1:1" x14ac:dyDescent="0.25">
      <c r="A19226" t="s">
        <v>17930</v>
      </c>
    </row>
    <row r="19227" spans="1:1" x14ac:dyDescent="0.25">
      <c r="A19227" t="s">
        <v>17931</v>
      </c>
    </row>
    <row r="19228" spans="1:1" x14ac:dyDescent="0.25">
      <c r="A19228" t="s">
        <v>17932</v>
      </c>
    </row>
    <row r="19229" spans="1:1" x14ac:dyDescent="0.25">
      <c r="A19229" t="s">
        <v>17933</v>
      </c>
    </row>
    <row r="19230" spans="1:1" x14ac:dyDescent="0.25">
      <c r="A19230" t="s">
        <v>17934</v>
      </c>
    </row>
    <row r="19231" spans="1:1" x14ac:dyDescent="0.25">
      <c r="A19231" t="s">
        <v>17935</v>
      </c>
    </row>
    <row r="19232" spans="1:1" x14ac:dyDescent="0.25">
      <c r="A19232" t="s">
        <v>17936</v>
      </c>
    </row>
    <row r="19233" spans="1:1" x14ac:dyDescent="0.25">
      <c r="A19233" t="s">
        <v>17937</v>
      </c>
    </row>
    <row r="19234" spans="1:1" x14ac:dyDescent="0.25">
      <c r="A19234" t="s">
        <v>17938</v>
      </c>
    </row>
    <row r="19235" spans="1:1" x14ac:dyDescent="0.25">
      <c r="A19235" t="s">
        <v>17939</v>
      </c>
    </row>
    <row r="19236" spans="1:1" x14ac:dyDescent="0.25">
      <c r="A19236" t="s">
        <v>17940</v>
      </c>
    </row>
    <row r="19237" spans="1:1" x14ac:dyDescent="0.25">
      <c r="A19237" t="s">
        <v>17941</v>
      </c>
    </row>
    <row r="19238" spans="1:1" x14ac:dyDescent="0.25">
      <c r="A19238" t="s">
        <v>17942</v>
      </c>
    </row>
    <row r="19239" spans="1:1" x14ac:dyDescent="0.25">
      <c r="A19239" t="s">
        <v>17943</v>
      </c>
    </row>
    <row r="19240" spans="1:1" x14ac:dyDescent="0.25">
      <c r="A19240" t="s">
        <v>17944</v>
      </c>
    </row>
    <row r="19241" spans="1:1" x14ac:dyDescent="0.25">
      <c r="A19241" t="s">
        <v>17945</v>
      </c>
    </row>
    <row r="19242" spans="1:1" x14ac:dyDescent="0.25">
      <c r="A19242" t="s">
        <v>17946</v>
      </c>
    </row>
    <row r="19243" spans="1:1" x14ac:dyDescent="0.25">
      <c r="A19243" t="s">
        <v>17947</v>
      </c>
    </row>
    <row r="19244" spans="1:1" x14ac:dyDescent="0.25">
      <c r="A19244" t="s">
        <v>17948</v>
      </c>
    </row>
    <row r="19245" spans="1:1" x14ac:dyDescent="0.25">
      <c r="A19245" t="s">
        <v>17949</v>
      </c>
    </row>
    <row r="19246" spans="1:1" x14ac:dyDescent="0.25">
      <c r="A19246" t="s">
        <v>17950</v>
      </c>
    </row>
    <row r="19247" spans="1:1" x14ac:dyDescent="0.25">
      <c r="A19247" t="s">
        <v>17951</v>
      </c>
    </row>
    <row r="19248" spans="1:1" x14ac:dyDescent="0.25">
      <c r="A19248" t="s">
        <v>17952</v>
      </c>
    </row>
    <row r="19249" spans="1:1" x14ac:dyDescent="0.25">
      <c r="A19249" t="s">
        <v>17953</v>
      </c>
    </row>
    <row r="19250" spans="1:1" x14ac:dyDescent="0.25">
      <c r="A19250" t="s">
        <v>17954</v>
      </c>
    </row>
    <row r="19251" spans="1:1" x14ac:dyDescent="0.25">
      <c r="A19251" t="s">
        <v>17955</v>
      </c>
    </row>
    <row r="19252" spans="1:1" x14ac:dyDescent="0.25">
      <c r="A19252" t="s">
        <v>17956</v>
      </c>
    </row>
    <row r="19253" spans="1:1" x14ac:dyDescent="0.25">
      <c r="A19253" t="s">
        <v>17957</v>
      </c>
    </row>
    <row r="19254" spans="1:1" x14ac:dyDescent="0.25">
      <c r="A19254" t="s">
        <v>17958</v>
      </c>
    </row>
    <row r="19255" spans="1:1" x14ac:dyDescent="0.25">
      <c r="A19255" t="s">
        <v>17959</v>
      </c>
    </row>
    <row r="19256" spans="1:1" x14ac:dyDescent="0.25">
      <c r="A19256" t="s">
        <v>17960</v>
      </c>
    </row>
    <row r="19257" spans="1:1" x14ac:dyDescent="0.25">
      <c r="A19257" t="s">
        <v>17961</v>
      </c>
    </row>
    <row r="19258" spans="1:1" x14ac:dyDescent="0.25">
      <c r="A19258" t="s">
        <v>17962</v>
      </c>
    </row>
    <row r="19259" spans="1:1" x14ac:dyDescent="0.25">
      <c r="A19259" t="s">
        <v>17963</v>
      </c>
    </row>
    <row r="19260" spans="1:1" x14ac:dyDescent="0.25">
      <c r="A19260" t="s">
        <v>17964</v>
      </c>
    </row>
    <row r="19261" spans="1:1" x14ac:dyDescent="0.25">
      <c r="A19261" t="s">
        <v>17965</v>
      </c>
    </row>
    <row r="19262" spans="1:1" x14ac:dyDescent="0.25">
      <c r="A19262" t="s">
        <v>17966</v>
      </c>
    </row>
    <row r="19263" spans="1:1" x14ac:dyDescent="0.25">
      <c r="A19263" t="s">
        <v>17967</v>
      </c>
    </row>
    <row r="19264" spans="1:1" x14ac:dyDescent="0.25">
      <c r="A19264" t="s">
        <v>17968</v>
      </c>
    </row>
    <row r="19265" spans="1:1" x14ac:dyDescent="0.25">
      <c r="A19265" t="s">
        <v>17969</v>
      </c>
    </row>
    <row r="19266" spans="1:1" x14ac:dyDescent="0.25">
      <c r="A19266" t="s">
        <v>17970</v>
      </c>
    </row>
    <row r="19267" spans="1:1" x14ac:dyDescent="0.25">
      <c r="A19267" t="s">
        <v>17971</v>
      </c>
    </row>
    <row r="19268" spans="1:1" x14ac:dyDescent="0.25">
      <c r="A19268" t="s">
        <v>17972</v>
      </c>
    </row>
    <row r="19269" spans="1:1" x14ac:dyDescent="0.25">
      <c r="A19269" t="s">
        <v>17973</v>
      </c>
    </row>
    <row r="19270" spans="1:1" x14ac:dyDescent="0.25">
      <c r="A19270" t="s">
        <v>17974</v>
      </c>
    </row>
    <row r="19271" spans="1:1" x14ac:dyDescent="0.25">
      <c r="A19271" t="s">
        <v>17975</v>
      </c>
    </row>
    <row r="19272" spans="1:1" x14ac:dyDescent="0.25">
      <c r="A19272" t="s">
        <v>17976</v>
      </c>
    </row>
    <row r="19273" spans="1:1" x14ac:dyDescent="0.25">
      <c r="A19273" t="s">
        <v>17977</v>
      </c>
    </row>
    <row r="19274" spans="1:1" x14ac:dyDescent="0.25">
      <c r="A19274" t="s">
        <v>17978</v>
      </c>
    </row>
    <row r="19275" spans="1:1" x14ac:dyDescent="0.25">
      <c r="A19275" t="s">
        <v>17979</v>
      </c>
    </row>
    <row r="19276" spans="1:1" x14ac:dyDescent="0.25">
      <c r="A19276" t="s">
        <v>17980</v>
      </c>
    </row>
    <row r="19277" spans="1:1" x14ac:dyDescent="0.25">
      <c r="A19277" t="s">
        <v>17981</v>
      </c>
    </row>
    <row r="19278" spans="1:1" x14ac:dyDescent="0.25">
      <c r="A19278" t="s">
        <v>17982</v>
      </c>
    </row>
    <row r="19279" spans="1:1" x14ac:dyDescent="0.25">
      <c r="A19279" t="s">
        <v>17983</v>
      </c>
    </row>
    <row r="19280" spans="1:1" x14ac:dyDescent="0.25">
      <c r="A19280" t="s">
        <v>17984</v>
      </c>
    </row>
    <row r="19281" spans="1:1" x14ac:dyDescent="0.25">
      <c r="A19281" t="s">
        <v>17985</v>
      </c>
    </row>
    <row r="19282" spans="1:1" x14ac:dyDescent="0.25">
      <c r="A19282" t="s">
        <v>17986</v>
      </c>
    </row>
    <row r="19283" spans="1:1" x14ac:dyDescent="0.25">
      <c r="A19283" t="s">
        <v>17987</v>
      </c>
    </row>
    <row r="19284" spans="1:1" x14ac:dyDescent="0.25">
      <c r="A19284" t="s">
        <v>17988</v>
      </c>
    </row>
    <row r="19285" spans="1:1" x14ac:dyDescent="0.25">
      <c r="A19285" t="s">
        <v>17989</v>
      </c>
    </row>
    <row r="19286" spans="1:1" x14ac:dyDescent="0.25">
      <c r="A19286" t="s">
        <v>17990</v>
      </c>
    </row>
    <row r="19287" spans="1:1" x14ac:dyDescent="0.25">
      <c r="A19287" t="s">
        <v>17991</v>
      </c>
    </row>
    <row r="19288" spans="1:1" x14ac:dyDescent="0.25">
      <c r="A19288" t="s">
        <v>17992</v>
      </c>
    </row>
    <row r="19289" spans="1:1" x14ac:dyDescent="0.25">
      <c r="A19289" t="s">
        <v>17993</v>
      </c>
    </row>
    <row r="19290" spans="1:1" x14ac:dyDescent="0.25">
      <c r="A19290" t="s">
        <v>17994</v>
      </c>
    </row>
    <row r="19291" spans="1:1" x14ac:dyDescent="0.25">
      <c r="A19291" t="s">
        <v>17995</v>
      </c>
    </row>
    <row r="19292" spans="1:1" x14ac:dyDescent="0.25">
      <c r="A19292" t="s">
        <v>17996</v>
      </c>
    </row>
    <row r="19293" spans="1:1" x14ac:dyDescent="0.25">
      <c r="A19293" t="s">
        <v>17997</v>
      </c>
    </row>
    <row r="19294" spans="1:1" x14ac:dyDescent="0.25">
      <c r="A19294" t="s">
        <v>17998</v>
      </c>
    </row>
    <row r="19295" spans="1:1" x14ac:dyDescent="0.25">
      <c r="A19295" t="s">
        <v>17999</v>
      </c>
    </row>
    <row r="19296" spans="1:1" x14ac:dyDescent="0.25">
      <c r="A19296" t="s">
        <v>18000</v>
      </c>
    </row>
    <row r="19297" spans="1:1" x14ac:dyDescent="0.25">
      <c r="A19297" t="s">
        <v>18001</v>
      </c>
    </row>
    <row r="19298" spans="1:1" x14ac:dyDescent="0.25">
      <c r="A19298" t="s">
        <v>18002</v>
      </c>
    </row>
    <row r="19299" spans="1:1" x14ac:dyDescent="0.25">
      <c r="A19299" t="s">
        <v>18003</v>
      </c>
    </row>
    <row r="19300" spans="1:1" x14ac:dyDescent="0.25">
      <c r="A19300" t="s">
        <v>18004</v>
      </c>
    </row>
    <row r="19301" spans="1:1" x14ac:dyDescent="0.25">
      <c r="A19301" t="s">
        <v>18005</v>
      </c>
    </row>
    <row r="19302" spans="1:1" x14ac:dyDescent="0.25">
      <c r="A19302" t="s">
        <v>18006</v>
      </c>
    </row>
    <row r="19303" spans="1:1" x14ac:dyDescent="0.25">
      <c r="A19303" t="s">
        <v>18007</v>
      </c>
    </row>
    <row r="19304" spans="1:1" x14ac:dyDescent="0.25">
      <c r="A19304" t="s">
        <v>18008</v>
      </c>
    </row>
    <row r="19305" spans="1:1" x14ac:dyDescent="0.25">
      <c r="A19305" t="s">
        <v>18009</v>
      </c>
    </row>
    <row r="19306" spans="1:1" x14ac:dyDescent="0.25">
      <c r="A19306" t="s">
        <v>18010</v>
      </c>
    </row>
    <row r="19307" spans="1:1" x14ac:dyDescent="0.25">
      <c r="A19307" t="s">
        <v>18011</v>
      </c>
    </row>
    <row r="19308" spans="1:1" x14ac:dyDescent="0.25">
      <c r="A19308" t="s">
        <v>18012</v>
      </c>
    </row>
    <row r="19309" spans="1:1" x14ac:dyDescent="0.25">
      <c r="A19309" t="s">
        <v>18013</v>
      </c>
    </row>
    <row r="19310" spans="1:1" x14ac:dyDescent="0.25">
      <c r="A19310" t="s">
        <v>18014</v>
      </c>
    </row>
    <row r="19311" spans="1:1" x14ac:dyDescent="0.25">
      <c r="A19311" t="s">
        <v>18015</v>
      </c>
    </row>
    <row r="19312" spans="1:1" x14ac:dyDescent="0.25">
      <c r="A19312" t="s">
        <v>18016</v>
      </c>
    </row>
    <row r="19313" spans="1:1" x14ac:dyDescent="0.25">
      <c r="A19313" t="s">
        <v>18017</v>
      </c>
    </row>
    <row r="19314" spans="1:1" x14ac:dyDescent="0.25">
      <c r="A19314" t="s">
        <v>18018</v>
      </c>
    </row>
    <row r="19315" spans="1:1" x14ac:dyDescent="0.25">
      <c r="A19315" t="s">
        <v>18019</v>
      </c>
    </row>
    <row r="19316" spans="1:1" x14ac:dyDescent="0.25">
      <c r="A19316" t="s">
        <v>18020</v>
      </c>
    </row>
    <row r="19317" spans="1:1" x14ac:dyDescent="0.25">
      <c r="A19317" t="s">
        <v>18021</v>
      </c>
    </row>
    <row r="19318" spans="1:1" x14ac:dyDescent="0.25">
      <c r="A19318" t="s">
        <v>18022</v>
      </c>
    </row>
    <row r="19319" spans="1:1" x14ac:dyDescent="0.25">
      <c r="A19319" t="s">
        <v>18023</v>
      </c>
    </row>
    <row r="19320" spans="1:1" x14ac:dyDescent="0.25">
      <c r="A19320" t="s">
        <v>18024</v>
      </c>
    </row>
    <row r="19321" spans="1:1" x14ac:dyDescent="0.25">
      <c r="A19321" t="s">
        <v>18025</v>
      </c>
    </row>
    <row r="19322" spans="1:1" x14ac:dyDescent="0.25">
      <c r="A19322" t="s">
        <v>18026</v>
      </c>
    </row>
    <row r="19323" spans="1:1" x14ac:dyDescent="0.25">
      <c r="A19323" t="s">
        <v>18027</v>
      </c>
    </row>
    <row r="19324" spans="1:1" x14ac:dyDescent="0.25">
      <c r="A19324" t="s">
        <v>18028</v>
      </c>
    </row>
    <row r="19325" spans="1:1" x14ac:dyDescent="0.25">
      <c r="A19325" t="s">
        <v>18029</v>
      </c>
    </row>
    <row r="19326" spans="1:1" x14ac:dyDescent="0.25">
      <c r="A19326" t="s">
        <v>18030</v>
      </c>
    </row>
    <row r="19327" spans="1:1" x14ac:dyDescent="0.25">
      <c r="A19327" t="s">
        <v>18031</v>
      </c>
    </row>
    <row r="19328" spans="1:1" x14ac:dyDescent="0.25">
      <c r="A19328" t="s">
        <v>18032</v>
      </c>
    </row>
    <row r="19329" spans="1:1" x14ac:dyDescent="0.25">
      <c r="A19329" t="s">
        <v>18033</v>
      </c>
    </row>
    <row r="19330" spans="1:1" x14ac:dyDescent="0.25">
      <c r="A19330" t="s">
        <v>18034</v>
      </c>
    </row>
    <row r="19331" spans="1:1" x14ac:dyDescent="0.25">
      <c r="A19331" t="s">
        <v>18035</v>
      </c>
    </row>
    <row r="19332" spans="1:1" x14ac:dyDescent="0.25">
      <c r="A19332" t="s">
        <v>18036</v>
      </c>
    </row>
    <row r="19333" spans="1:1" x14ac:dyDescent="0.25">
      <c r="A19333" t="s">
        <v>18037</v>
      </c>
    </row>
    <row r="19334" spans="1:1" x14ac:dyDescent="0.25">
      <c r="A19334" t="s">
        <v>18038</v>
      </c>
    </row>
    <row r="19335" spans="1:1" x14ac:dyDescent="0.25">
      <c r="A19335" t="s">
        <v>18039</v>
      </c>
    </row>
    <row r="19336" spans="1:1" x14ac:dyDescent="0.25">
      <c r="A19336" t="s">
        <v>18040</v>
      </c>
    </row>
    <row r="19337" spans="1:1" x14ac:dyDescent="0.25">
      <c r="A19337" t="s">
        <v>18041</v>
      </c>
    </row>
    <row r="19338" spans="1:1" x14ac:dyDescent="0.25">
      <c r="A19338" t="s">
        <v>18042</v>
      </c>
    </row>
    <row r="19339" spans="1:1" x14ac:dyDescent="0.25">
      <c r="A19339" t="s">
        <v>18043</v>
      </c>
    </row>
    <row r="19340" spans="1:1" x14ac:dyDescent="0.25">
      <c r="A19340" t="s">
        <v>18044</v>
      </c>
    </row>
    <row r="19341" spans="1:1" x14ac:dyDescent="0.25">
      <c r="A19341" t="s">
        <v>18045</v>
      </c>
    </row>
    <row r="19342" spans="1:1" x14ac:dyDescent="0.25">
      <c r="A19342" t="s">
        <v>18046</v>
      </c>
    </row>
    <row r="19343" spans="1:1" x14ac:dyDescent="0.25">
      <c r="A19343" t="s">
        <v>18047</v>
      </c>
    </row>
    <row r="19344" spans="1:1" x14ac:dyDescent="0.25">
      <c r="A19344" t="s">
        <v>18048</v>
      </c>
    </row>
    <row r="19345" spans="1:1" x14ac:dyDescent="0.25">
      <c r="A19345" t="s">
        <v>18049</v>
      </c>
    </row>
    <row r="19346" spans="1:1" x14ac:dyDescent="0.25">
      <c r="A19346" t="s">
        <v>18050</v>
      </c>
    </row>
    <row r="19347" spans="1:1" x14ac:dyDescent="0.25">
      <c r="A19347" t="s">
        <v>18051</v>
      </c>
    </row>
    <row r="19348" spans="1:1" x14ac:dyDescent="0.25">
      <c r="A19348" t="s">
        <v>18052</v>
      </c>
    </row>
    <row r="19349" spans="1:1" x14ac:dyDescent="0.25">
      <c r="A19349" t="s">
        <v>18053</v>
      </c>
    </row>
    <row r="19350" spans="1:1" x14ac:dyDescent="0.25">
      <c r="A19350" t="s">
        <v>18054</v>
      </c>
    </row>
    <row r="19351" spans="1:1" x14ac:dyDescent="0.25">
      <c r="A19351" t="s">
        <v>18055</v>
      </c>
    </row>
    <row r="19352" spans="1:1" x14ac:dyDescent="0.25">
      <c r="A19352" t="s">
        <v>18056</v>
      </c>
    </row>
    <row r="19353" spans="1:1" x14ac:dyDescent="0.25">
      <c r="A19353" t="s">
        <v>18057</v>
      </c>
    </row>
    <row r="19354" spans="1:1" x14ac:dyDescent="0.25">
      <c r="A19354" t="s">
        <v>18058</v>
      </c>
    </row>
    <row r="19355" spans="1:1" x14ac:dyDescent="0.25">
      <c r="A19355" t="s">
        <v>18059</v>
      </c>
    </row>
    <row r="19356" spans="1:1" x14ac:dyDescent="0.25">
      <c r="A19356" t="s">
        <v>18060</v>
      </c>
    </row>
    <row r="19357" spans="1:1" x14ac:dyDescent="0.25">
      <c r="A19357" t="s">
        <v>18061</v>
      </c>
    </row>
    <row r="19358" spans="1:1" x14ac:dyDescent="0.25">
      <c r="A19358" t="s">
        <v>18062</v>
      </c>
    </row>
    <row r="19359" spans="1:1" x14ac:dyDescent="0.25">
      <c r="A19359" t="s">
        <v>18063</v>
      </c>
    </row>
    <row r="19360" spans="1:1" x14ac:dyDescent="0.25">
      <c r="A19360" t="s">
        <v>18064</v>
      </c>
    </row>
    <row r="19361" spans="1:1" x14ac:dyDescent="0.25">
      <c r="A19361" t="s">
        <v>18065</v>
      </c>
    </row>
    <row r="19362" spans="1:1" x14ac:dyDescent="0.25">
      <c r="A19362" t="s">
        <v>18066</v>
      </c>
    </row>
    <row r="19363" spans="1:1" x14ac:dyDescent="0.25">
      <c r="A19363" t="s">
        <v>18067</v>
      </c>
    </row>
    <row r="19364" spans="1:1" x14ac:dyDescent="0.25">
      <c r="A19364" t="s">
        <v>18068</v>
      </c>
    </row>
    <row r="19365" spans="1:1" x14ac:dyDescent="0.25">
      <c r="A19365" t="s">
        <v>18069</v>
      </c>
    </row>
    <row r="19366" spans="1:1" x14ac:dyDescent="0.25">
      <c r="A19366" t="s">
        <v>18070</v>
      </c>
    </row>
    <row r="19367" spans="1:1" x14ac:dyDescent="0.25">
      <c r="A19367" t="s">
        <v>18071</v>
      </c>
    </row>
    <row r="19368" spans="1:1" x14ac:dyDescent="0.25">
      <c r="A19368" t="s">
        <v>18072</v>
      </c>
    </row>
    <row r="19369" spans="1:1" x14ac:dyDescent="0.25">
      <c r="A19369" t="s">
        <v>18073</v>
      </c>
    </row>
    <row r="19370" spans="1:1" x14ac:dyDescent="0.25">
      <c r="A19370" t="s">
        <v>18074</v>
      </c>
    </row>
    <row r="19371" spans="1:1" x14ac:dyDescent="0.25">
      <c r="A19371" t="s">
        <v>18075</v>
      </c>
    </row>
    <row r="19372" spans="1:1" x14ac:dyDescent="0.25">
      <c r="A19372" t="s">
        <v>18076</v>
      </c>
    </row>
    <row r="19373" spans="1:1" x14ac:dyDescent="0.25">
      <c r="A19373" t="s">
        <v>18077</v>
      </c>
    </row>
    <row r="19374" spans="1:1" x14ac:dyDescent="0.25">
      <c r="A19374" t="s">
        <v>18078</v>
      </c>
    </row>
    <row r="19375" spans="1:1" x14ac:dyDescent="0.25">
      <c r="A19375" t="s">
        <v>18079</v>
      </c>
    </row>
    <row r="19376" spans="1:1" x14ac:dyDescent="0.25">
      <c r="A19376" t="s">
        <v>18080</v>
      </c>
    </row>
    <row r="19377" spans="1:1" x14ac:dyDescent="0.25">
      <c r="A19377" t="s">
        <v>18081</v>
      </c>
    </row>
    <row r="19378" spans="1:1" x14ac:dyDescent="0.25">
      <c r="A19378" t="s">
        <v>18082</v>
      </c>
    </row>
    <row r="19379" spans="1:1" x14ac:dyDescent="0.25">
      <c r="A19379" t="s">
        <v>18083</v>
      </c>
    </row>
    <row r="19380" spans="1:1" x14ac:dyDescent="0.25">
      <c r="A19380" t="s">
        <v>18084</v>
      </c>
    </row>
    <row r="19381" spans="1:1" x14ac:dyDescent="0.25">
      <c r="A19381" t="s">
        <v>18085</v>
      </c>
    </row>
    <row r="19382" spans="1:1" x14ac:dyDescent="0.25">
      <c r="A19382" t="s">
        <v>18086</v>
      </c>
    </row>
    <row r="19383" spans="1:1" x14ac:dyDescent="0.25">
      <c r="A19383" t="s">
        <v>18087</v>
      </c>
    </row>
    <row r="19384" spans="1:1" x14ac:dyDescent="0.25">
      <c r="A19384" t="s">
        <v>18088</v>
      </c>
    </row>
    <row r="19385" spans="1:1" x14ac:dyDescent="0.25">
      <c r="A19385" t="s">
        <v>18089</v>
      </c>
    </row>
    <row r="19386" spans="1:1" x14ac:dyDescent="0.25">
      <c r="A19386" t="s">
        <v>18090</v>
      </c>
    </row>
    <row r="19387" spans="1:1" x14ac:dyDescent="0.25">
      <c r="A19387" t="s">
        <v>18091</v>
      </c>
    </row>
    <row r="19388" spans="1:1" x14ac:dyDescent="0.25">
      <c r="A19388" t="s">
        <v>18092</v>
      </c>
    </row>
    <row r="19389" spans="1:1" x14ac:dyDescent="0.25">
      <c r="A19389" t="s">
        <v>18093</v>
      </c>
    </row>
    <row r="19390" spans="1:1" x14ac:dyDescent="0.25">
      <c r="A19390" t="s">
        <v>18094</v>
      </c>
    </row>
    <row r="19391" spans="1:1" x14ac:dyDescent="0.25">
      <c r="A19391" t="s">
        <v>18095</v>
      </c>
    </row>
    <row r="19392" spans="1:1" x14ac:dyDescent="0.25">
      <c r="A19392" t="s">
        <v>18096</v>
      </c>
    </row>
    <row r="19393" spans="1:1" x14ac:dyDescent="0.25">
      <c r="A19393" t="s">
        <v>18097</v>
      </c>
    </row>
    <row r="19394" spans="1:1" x14ac:dyDescent="0.25">
      <c r="A19394" t="s">
        <v>18098</v>
      </c>
    </row>
    <row r="19395" spans="1:1" x14ac:dyDescent="0.25">
      <c r="A19395" t="s">
        <v>18099</v>
      </c>
    </row>
    <row r="19396" spans="1:1" x14ac:dyDescent="0.25">
      <c r="A19396" t="s">
        <v>18100</v>
      </c>
    </row>
    <row r="19397" spans="1:1" x14ac:dyDescent="0.25">
      <c r="A19397" t="s">
        <v>18101</v>
      </c>
    </row>
    <row r="19398" spans="1:1" x14ac:dyDescent="0.25">
      <c r="A19398" t="s">
        <v>18102</v>
      </c>
    </row>
    <row r="19399" spans="1:1" x14ac:dyDescent="0.25">
      <c r="A19399" t="s">
        <v>18103</v>
      </c>
    </row>
    <row r="19400" spans="1:1" x14ac:dyDescent="0.25">
      <c r="A19400" t="s">
        <v>18104</v>
      </c>
    </row>
    <row r="19401" spans="1:1" x14ac:dyDescent="0.25">
      <c r="A19401" t="s">
        <v>18105</v>
      </c>
    </row>
    <row r="19402" spans="1:1" x14ac:dyDescent="0.25">
      <c r="A19402" t="s">
        <v>18106</v>
      </c>
    </row>
    <row r="19403" spans="1:1" x14ac:dyDescent="0.25">
      <c r="A19403" t="s">
        <v>18107</v>
      </c>
    </row>
    <row r="19404" spans="1:1" x14ac:dyDescent="0.25">
      <c r="A19404" t="s">
        <v>18108</v>
      </c>
    </row>
    <row r="19405" spans="1:1" x14ac:dyDescent="0.25">
      <c r="A19405" t="s">
        <v>18109</v>
      </c>
    </row>
    <row r="19406" spans="1:1" x14ac:dyDescent="0.25">
      <c r="A19406" t="s">
        <v>18110</v>
      </c>
    </row>
    <row r="19407" spans="1:1" x14ac:dyDescent="0.25">
      <c r="A19407" t="s">
        <v>18111</v>
      </c>
    </row>
    <row r="19408" spans="1:1" x14ac:dyDescent="0.25">
      <c r="A19408" t="s">
        <v>18112</v>
      </c>
    </row>
    <row r="19409" spans="1:1" x14ac:dyDescent="0.25">
      <c r="A19409" t="s">
        <v>18113</v>
      </c>
    </row>
    <row r="19410" spans="1:1" x14ac:dyDescent="0.25">
      <c r="A19410" t="s">
        <v>18114</v>
      </c>
    </row>
    <row r="19411" spans="1:1" x14ac:dyDescent="0.25">
      <c r="A19411" t="s">
        <v>18115</v>
      </c>
    </row>
    <row r="19412" spans="1:1" x14ac:dyDescent="0.25">
      <c r="A19412" t="s">
        <v>18116</v>
      </c>
    </row>
    <row r="19413" spans="1:1" x14ac:dyDescent="0.25">
      <c r="A19413" t="s">
        <v>18117</v>
      </c>
    </row>
    <row r="19414" spans="1:1" x14ac:dyDescent="0.25">
      <c r="A19414" t="s">
        <v>18118</v>
      </c>
    </row>
    <row r="19415" spans="1:1" x14ac:dyDescent="0.25">
      <c r="A19415" t="s">
        <v>18119</v>
      </c>
    </row>
    <row r="19416" spans="1:1" x14ac:dyDescent="0.25">
      <c r="A19416" t="s">
        <v>18120</v>
      </c>
    </row>
    <row r="19417" spans="1:1" x14ac:dyDescent="0.25">
      <c r="A19417" t="s">
        <v>18121</v>
      </c>
    </row>
    <row r="19418" spans="1:1" x14ac:dyDescent="0.25">
      <c r="A19418" t="s">
        <v>18122</v>
      </c>
    </row>
    <row r="19419" spans="1:1" x14ac:dyDescent="0.25">
      <c r="A19419" t="s">
        <v>18123</v>
      </c>
    </row>
    <row r="19420" spans="1:1" x14ac:dyDescent="0.25">
      <c r="A19420" t="s">
        <v>18124</v>
      </c>
    </row>
    <row r="19421" spans="1:1" x14ac:dyDescent="0.25">
      <c r="A19421" t="s">
        <v>18125</v>
      </c>
    </row>
    <row r="19422" spans="1:1" x14ac:dyDescent="0.25">
      <c r="A19422" t="s">
        <v>18126</v>
      </c>
    </row>
    <row r="19423" spans="1:1" x14ac:dyDescent="0.25">
      <c r="A19423" t="s">
        <v>18127</v>
      </c>
    </row>
    <row r="19424" spans="1:1" x14ac:dyDescent="0.25">
      <c r="A19424" t="s">
        <v>18128</v>
      </c>
    </row>
    <row r="19425" spans="1:1" x14ac:dyDescent="0.25">
      <c r="A19425" t="s">
        <v>18129</v>
      </c>
    </row>
    <row r="19426" spans="1:1" x14ac:dyDescent="0.25">
      <c r="A19426" t="s">
        <v>18130</v>
      </c>
    </row>
    <row r="19427" spans="1:1" x14ac:dyDescent="0.25">
      <c r="A19427" t="s">
        <v>18131</v>
      </c>
    </row>
    <row r="19428" spans="1:1" x14ac:dyDescent="0.25">
      <c r="A19428" t="s">
        <v>18132</v>
      </c>
    </row>
    <row r="19429" spans="1:1" x14ac:dyDescent="0.25">
      <c r="A19429" t="s">
        <v>18133</v>
      </c>
    </row>
    <row r="19430" spans="1:1" x14ac:dyDescent="0.25">
      <c r="A19430" t="s">
        <v>18134</v>
      </c>
    </row>
    <row r="19431" spans="1:1" x14ac:dyDescent="0.25">
      <c r="A19431" t="s">
        <v>18135</v>
      </c>
    </row>
    <row r="19432" spans="1:1" x14ac:dyDescent="0.25">
      <c r="A19432" t="s">
        <v>18136</v>
      </c>
    </row>
    <row r="19433" spans="1:1" x14ac:dyDescent="0.25">
      <c r="A19433" t="s">
        <v>18137</v>
      </c>
    </row>
    <row r="19434" spans="1:1" x14ac:dyDescent="0.25">
      <c r="A19434" t="s">
        <v>18138</v>
      </c>
    </row>
    <row r="19435" spans="1:1" x14ac:dyDescent="0.25">
      <c r="A19435" t="s">
        <v>18139</v>
      </c>
    </row>
    <row r="19436" spans="1:1" x14ac:dyDescent="0.25">
      <c r="A19436" t="s">
        <v>18140</v>
      </c>
    </row>
    <row r="19437" spans="1:1" x14ac:dyDescent="0.25">
      <c r="A19437" t="s">
        <v>18141</v>
      </c>
    </row>
    <row r="19438" spans="1:1" x14ac:dyDescent="0.25">
      <c r="A19438" t="s">
        <v>18142</v>
      </c>
    </row>
    <row r="19439" spans="1:1" x14ac:dyDescent="0.25">
      <c r="A19439" t="s">
        <v>18143</v>
      </c>
    </row>
    <row r="19440" spans="1:1" x14ac:dyDescent="0.25">
      <c r="A19440" t="s">
        <v>18144</v>
      </c>
    </row>
    <row r="19441" spans="1:1" x14ac:dyDescent="0.25">
      <c r="A19441" t="s">
        <v>18145</v>
      </c>
    </row>
    <row r="19442" spans="1:1" x14ac:dyDescent="0.25">
      <c r="A19442" t="s">
        <v>18146</v>
      </c>
    </row>
    <row r="19443" spans="1:1" x14ac:dyDescent="0.25">
      <c r="A19443" t="s">
        <v>18147</v>
      </c>
    </row>
    <row r="19444" spans="1:1" x14ac:dyDescent="0.25">
      <c r="A19444" t="s">
        <v>18148</v>
      </c>
    </row>
    <row r="19445" spans="1:1" x14ac:dyDescent="0.25">
      <c r="A19445" t="s">
        <v>18149</v>
      </c>
    </row>
    <row r="19446" spans="1:1" x14ac:dyDescent="0.25">
      <c r="A19446" t="s">
        <v>18150</v>
      </c>
    </row>
    <row r="19447" spans="1:1" x14ac:dyDescent="0.25">
      <c r="A19447" t="s">
        <v>18151</v>
      </c>
    </row>
    <row r="19448" spans="1:1" x14ac:dyDescent="0.25">
      <c r="A19448" t="s">
        <v>18152</v>
      </c>
    </row>
    <row r="19449" spans="1:1" x14ac:dyDescent="0.25">
      <c r="A19449" t="s">
        <v>18153</v>
      </c>
    </row>
    <row r="19450" spans="1:1" x14ac:dyDescent="0.25">
      <c r="A19450" t="s">
        <v>18154</v>
      </c>
    </row>
    <row r="19451" spans="1:1" x14ac:dyDescent="0.25">
      <c r="A19451" t="s">
        <v>18155</v>
      </c>
    </row>
    <row r="19452" spans="1:1" x14ac:dyDescent="0.25">
      <c r="A19452" t="s">
        <v>18156</v>
      </c>
    </row>
    <row r="19453" spans="1:1" x14ac:dyDescent="0.25">
      <c r="A19453" t="s">
        <v>18157</v>
      </c>
    </row>
    <row r="19454" spans="1:1" x14ac:dyDescent="0.25">
      <c r="A19454" t="s">
        <v>18158</v>
      </c>
    </row>
    <row r="19455" spans="1:1" x14ac:dyDescent="0.25">
      <c r="A19455" t="s">
        <v>18159</v>
      </c>
    </row>
    <row r="19456" spans="1:1" x14ac:dyDescent="0.25">
      <c r="A19456" t="s">
        <v>18160</v>
      </c>
    </row>
    <row r="19457" spans="1:1" x14ac:dyDescent="0.25">
      <c r="A19457" t="s">
        <v>18161</v>
      </c>
    </row>
    <row r="19458" spans="1:1" x14ac:dyDescent="0.25">
      <c r="A19458" t="s">
        <v>18162</v>
      </c>
    </row>
    <row r="19459" spans="1:1" x14ac:dyDescent="0.25">
      <c r="A19459" t="s">
        <v>18163</v>
      </c>
    </row>
    <row r="19460" spans="1:1" x14ac:dyDescent="0.25">
      <c r="A19460" t="s">
        <v>18164</v>
      </c>
    </row>
    <row r="19461" spans="1:1" x14ac:dyDescent="0.25">
      <c r="A19461" t="s">
        <v>18165</v>
      </c>
    </row>
    <row r="19462" spans="1:1" x14ac:dyDescent="0.25">
      <c r="A19462" t="s">
        <v>18166</v>
      </c>
    </row>
    <row r="19463" spans="1:1" x14ac:dyDescent="0.25">
      <c r="A19463" t="s">
        <v>18167</v>
      </c>
    </row>
    <row r="19464" spans="1:1" x14ac:dyDescent="0.25">
      <c r="A19464" t="s">
        <v>18168</v>
      </c>
    </row>
    <row r="19465" spans="1:1" x14ac:dyDescent="0.25">
      <c r="A19465" t="s">
        <v>18169</v>
      </c>
    </row>
    <row r="19466" spans="1:1" x14ac:dyDescent="0.25">
      <c r="A19466" t="s">
        <v>18170</v>
      </c>
    </row>
    <row r="19467" spans="1:1" x14ac:dyDescent="0.25">
      <c r="A19467" t="s">
        <v>18171</v>
      </c>
    </row>
    <row r="19468" spans="1:1" x14ac:dyDescent="0.25">
      <c r="A19468" t="s">
        <v>18172</v>
      </c>
    </row>
    <row r="19469" spans="1:1" x14ac:dyDescent="0.25">
      <c r="A19469" t="s">
        <v>18173</v>
      </c>
    </row>
    <row r="19470" spans="1:1" x14ac:dyDescent="0.25">
      <c r="A19470" t="s">
        <v>18174</v>
      </c>
    </row>
    <row r="19471" spans="1:1" x14ac:dyDescent="0.25">
      <c r="A19471" t="s">
        <v>18175</v>
      </c>
    </row>
    <row r="19472" spans="1:1" x14ac:dyDescent="0.25">
      <c r="A19472" t="s">
        <v>18176</v>
      </c>
    </row>
    <row r="19473" spans="1:1" x14ac:dyDescent="0.25">
      <c r="A19473" t="s">
        <v>18177</v>
      </c>
    </row>
    <row r="19474" spans="1:1" x14ac:dyDescent="0.25">
      <c r="A19474" t="s">
        <v>18178</v>
      </c>
    </row>
    <row r="19475" spans="1:1" x14ac:dyDescent="0.25">
      <c r="A19475" t="s">
        <v>18179</v>
      </c>
    </row>
    <row r="19476" spans="1:1" x14ac:dyDescent="0.25">
      <c r="A19476" t="s">
        <v>18180</v>
      </c>
    </row>
    <row r="19477" spans="1:1" x14ac:dyDescent="0.25">
      <c r="A19477" t="s">
        <v>18181</v>
      </c>
    </row>
    <row r="19478" spans="1:1" x14ac:dyDescent="0.25">
      <c r="A19478" t="s">
        <v>18182</v>
      </c>
    </row>
    <row r="19479" spans="1:1" x14ac:dyDescent="0.25">
      <c r="A19479" t="s">
        <v>18183</v>
      </c>
    </row>
    <row r="19480" spans="1:1" x14ac:dyDescent="0.25">
      <c r="A19480" t="s">
        <v>18184</v>
      </c>
    </row>
    <row r="19481" spans="1:1" x14ac:dyDescent="0.25">
      <c r="A19481" t="s">
        <v>18185</v>
      </c>
    </row>
    <row r="19482" spans="1:1" x14ac:dyDescent="0.25">
      <c r="A19482" t="s">
        <v>18186</v>
      </c>
    </row>
    <row r="19483" spans="1:1" x14ac:dyDescent="0.25">
      <c r="A19483" t="s">
        <v>18187</v>
      </c>
    </row>
    <row r="19484" spans="1:1" x14ac:dyDescent="0.25">
      <c r="A19484" t="s">
        <v>18188</v>
      </c>
    </row>
    <row r="19485" spans="1:1" x14ac:dyDescent="0.25">
      <c r="A19485" t="s">
        <v>18189</v>
      </c>
    </row>
    <row r="19486" spans="1:1" x14ac:dyDescent="0.25">
      <c r="A19486" t="s">
        <v>18190</v>
      </c>
    </row>
    <row r="19487" spans="1:1" x14ac:dyDescent="0.25">
      <c r="A19487" t="s">
        <v>18191</v>
      </c>
    </row>
    <row r="19488" spans="1:1" x14ac:dyDescent="0.25">
      <c r="A19488" t="s">
        <v>18192</v>
      </c>
    </row>
    <row r="19489" spans="1:1" x14ac:dyDescent="0.25">
      <c r="A19489" t="s">
        <v>18193</v>
      </c>
    </row>
    <row r="19490" spans="1:1" x14ac:dyDescent="0.25">
      <c r="A19490" t="s">
        <v>18194</v>
      </c>
    </row>
    <row r="19491" spans="1:1" x14ac:dyDescent="0.25">
      <c r="A19491" t="s">
        <v>18195</v>
      </c>
    </row>
    <row r="19492" spans="1:1" x14ac:dyDescent="0.25">
      <c r="A19492" t="s">
        <v>18196</v>
      </c>
    </row>
    <row r="19493" spans="1:1" x14ac:dyDescent="0.25">
      <c r="A19493" t="s">
        <v>18197</v>
      </c>
    </row>
    <row r="19494" spans="1:1" x14ac:dyDescent="0.25">
      <c r="A19494" t="s">
        <v>18198</v>
      </c>
    </row>
    <row r="19495" spans="1:1" x14ac:dyDescent="0.25">
      <c r="A19495" t="s">
        <v>18199</v>
      </c>
    </row>
    <row r="19496" spans="1:1" x14ac:dyDescent="0.25">
      <c r="A19496" t="s">
        <v>18200</v>
      </c>
    </row>
    <row r="19497" spans="1:1" x14ac:dyDescent="0.25">
      <c r="A19497" t="s">
        <v>18201</v>
      </c>
    </row>
    <row r="19498" spans="1:1" x14ac:dyDescent="0.25">
      <c r="A19498" t="s">
        <v>18202</v>
      </c>
    </row>
    <row r="19499" spans="1:1" x14ac:dyDescent="0.25">
      <c r="A19499" t="s">
        <v>18203</v>
      </c>
    </row>
    <row r="19500" spans="1:1" x14ac:dyDescent="0.25">
      <c r="A19500" t="s">
        <v>18204</v>
      </c>
    </row>
    <row r="19501" spans="1:1" x14ac:dyDescent="0.25">
      <c r="A19501" t="s">
        <v>18205</v>
      </c>
    </row>
    <row r="19502" spans="1:1" x14ac:dyDescent="0.25">
      <c r="A19502" t="s">
        <v>18206</v>
      </c>
    </row>
    <row r="19503" spans="1:1" x14ac:dyDescent="0.25">
      <c r="A19503" t="s">
        <v>18207</v>
      </c>
    </row>
    <row r="19504" spans="1:1" x14ac:dyDescent="0.25">
      <c r="A19504" t="s">
        <v>18208</v>
      </c>
    </row>
    <row r="19505" spans="1:1" x14ac:dyDescent="0.25">
      <c r="A19505" t="s">
        <v>18209</v>
      </c>
    </row>
    <row r="19506" spans="1:1" x14ac:dyDescent="0.25">
      <c r="A19506" t="s">
        <v>18210</v>
      </c>
    </row>
    <row r="19507" spans="1:1" x14ac:dyDescent="0.25">
      <c r="A19507" t="s">
        <v>18211</v>
      </c>
    </row>
    <row r="19508" spans="1:1" x14ac:dyDescent="0.25">
      <c r="A19508" t="s">
        <v>18212</v>
      </c>
    </row>
    <row r="19509" spans="1:1" x14ac:dyDescent="0.25">
      <c r="A19509" t="s">
        <v>18213</v>
      </c>
    </row>
    <row r="19510" spans="1:1" x14ac:dyDescent="0.25">
      <c r="A19510" t="s">
        <v>18214</v>
      </c>
    </row>
    <row r="19511" spans="1:1" x14ac:dyDescent="0.25">
      <c r="A19511" t="s">
        <v>18215</v>
      </c>
    </row>
    <row r="19512" spans="1:1" x14ac:dyDescent="0.25">
      <c r="A19512" t="s">
        <v>18216</v>
      </c>
    </row>
    <row r="19513" spans="1:1" x14ac:dyDescent="0.25">
      <c r="A19513" t="s">
        <v>18217</v>
      </c>
    </row>
    <row r="19514" spans="1:1" x14ac:dyDescent="0.25">
      <c r="A19514" t="s">
        <v>18218</v>
      </c>
    </row>
    <row r="19515" spans="1:1" x14ac:dyDescent="0.25">
      <c r="A19515" t="s">
        <v>18219</v>
      </c>
    </row>
    <row r="19516" spans="1:1" x14ac:dyDescent="0.25">
      <c r="A19516" t="s">
        <v>18220</v>
      </c>
    </row>
    <row r="19517" spans="1:1" x14ac:dyDescent="0.25">
      <c r="A19517" t="s">
        <v>18221</v>
      </c>
    </row>
    <row r="19518" spans="1:1" x14ac:dyDescent="0.25">
      <c r="A19518" t="s">
        <v>18222</v>
      </c>
    </row>
    <row r="19519" spans="1:1" x14ac:dyDescent="0.25">
      <c r="A19519" t="s">
        <v>18223</v>
      </c>
    </row>
    <row r="19520" spans="1:1" x14ac:dyDescent="0.25">
      <c r="A19520" t="s">
        <v>18224</v>
      </c>
    </row>
    <row r="19521" spans="1:1" x14ac:dyDescent="0.25">
      <c r="A19521" t="s">
        <v>18225</v>
      </c>
    </row>
    <row r="19522" spans="1:1" x14ac:dyDescent="0.25">
      <c r="A19522" t="s">
        <v>18226</v>
      </c>
    </row>
    <row r="19523" spans="1:1" x14ac:dyDescent="0.25">
      <c r="A19523" t="s">
        <v>18227</v>
      </c>
    </row>
    <row r="19524" spans="1:1" x14ac:dyDescent="0.25">
      <c r="A19524" t="s">
        <v>18228</v>
      </c>
    </row>
    <row r="19525" spans="1:1" x14ac:dyDescent="0.25">
      <c r="A19525" t="s">
        <v>18229</v>
      </c>
    </row>
    <row r="19526" spans="1:1" x14ac:dyDescent="0.25">
      <c r="A19526" t="s">
        <v>18230</v>
      </c>
    </row>
    <row r="19527" spans="1:1" x14ac:dyDescent="0.25">
      <c r="A19527" t="s">
        <v>18231</v>
      </c>
    </row>
    <row r="19528" spans="1:1" x14ac:dyDescent="0.25">
      <c r="A19528" t="s">
        <v>18232</v>
      </c>
    </row>
    <row r="19529" spans="1:1" x14ac:dyDescent="0.25">
      <c r="A19529" t="s">
        <v>18233</v>
      </c>
    </row>
    <row r="19530" spans="1:1" x14ac:dyDescent="0.25">
      <c r="A19530" t="s">
        <v>18234</v>
      </c>
    </row>
    <row r="19531" spans="1:1" x14ac:dyDescent="0.25">
      <c r="A19531" t="s">
        <v>18235</v>
      </c>
    </row>
    <row r="19532" spans="1:1" x14ac:dyDescent="0.25">
      <c r="A19532" t="s">
        <v>18236</v>
      </c>
    </row>
    <row r="19533" spans="1:1" x14ac:dyDescent="0.25">
      <c r="A19533" t="s">
        <v>18237</v>
      </c>
    </row>
    <row r="19534" spans="1:1" x14ac:dyDescent="0.25">
      <c r="A19534" t="s">
        <v>18238</v>
      </c>
    </row>
    <row r="19535" spans="1:1" x14ac:dyDescent="0.25">
      <c r="A19535" t="s">
        <v>18239</v>
      </c>
    </row>
    <row r="19536" spans="1:1" x14ac:dyDescent="0.25">
      <c r="A19536" t="s">
        <v>18240</v>
      </c>
    </row>
    <row r="19537" spans="1:1" x14ac:dyDescent="0.25">
      <c r="A19537" t="s">
        <v>18241</v>
      </c>
    </row>
    <row r="19538" spans="1:1" x14ac:dyDescent="0.25">
      <c r="A19538" t="s">
        <v>18242</v>
      </c>
    </row>
    <row r="19539" spans="1:1" x14ac:dyDescent="0.25">
      <c r="A19539" t="s">
        <v>18243</v>
      </c>
    </row>
    <row r="19540" spans="1:1" x14ac:dyDescent="0.25">
      <c r="A19540" t="s">
        <v>18244</v>
      </c>
    </row>
    <row r="19541" spans="1:1" x14ac:dyDescent="0.25">
      <c r="A19541" t="s">
        <v>18245</v>
      </c>
    </row>
    <row r="19542" spans="1:1" x14ac:dyDescent="0.25">
      <c r="A19542" t="s">
        <v>18246</v>
      </c>
    </row>
    <row r="19543" spans="1:1" x14ac:dyDescent="0.25">
      <c r="A19543" t="s">
        <v>18247</v>
      </c>
    </row>
    <row r="19544" spans="1:1" x14ac:dyDescent="0.25">
      <c r="A19544" t="s">
        <v>18248</v>
      </c>
    </row>
    <row r="19545" spans="1:1" x14ac:dyDescent="0.25">
      <c r="A19545" t="s">
        <v>18249</v>
      </c>
    </row>
    <row r="19546" spans="1:1" x14ac:dyDescent="0.25">
      <c r="A19546" t="s">
        <v>18250</v>
      </c>
    </row>
    <row r="19547" spans="1:1" x14ac:dyDescent="0.25">
      <c r="A19547" t="s">
        <v>18251</v>
      </c>
    </row>
    <row r="19548" spans="1:1" x14ac:dyDescent="0.25">
      <c r="A19548" t="s">
        <v>18252</v>
      </c>
    </row>
    <row r="19549" spans="1:1" x14ac:dyDescent="0.25">
      <c r="A19549" t="s">
        <v>18253</v>
      </c>
    </row>
    <row r="19550" spans="1:1" x14ac:dyDescent="0.25">
      <c r="A19550" t="s">
        <v>18254</v>
      </c>
    </row>
    <row r="19551" spans="1:1" x14ac:dyDescent="0.25">
      <c r="A19551" t="s">
        <v>18255</v>
      </c>
    </row>
    <row r="19552" spans="1:1" x14ac:dyDescent="0.25">
      <c r="A19552" t="s">
        <v>18256</v>
      </c>
    </row>
    <row r="19553" spans="1:1" x14ac:dyDescent="0.25">
      <c r="A19553" t="s">
        <v>18257</v>
      </c>
    </row>
    <row r="19554" spans="1:1" x14ac:dyDescent="0.25">
      <c r="A19554" t="s">
        <v>18258</v>
      </c>
    </row>
    <row r="19555" spans="1:1" x14ac:dyDescent="0.25">
      <c r="A19555" t="s">
        <v>18259</v>
      </c>
    </row>
    <row r="19556" spans="1:1" x14ac:dyDescent="0.25">
      <c r="A19556" t="s">
        <v>18260</v>
      </c>
    </row>
    <row r="19557" spans="1:1" x14ac:dyDescent="0.25">
      <c r="A19557" t="s">
        <v>18261</v>
      </c>
    </row>
    <row r="19558" spans="1:1" x14ac:dyDescent="0.25">
      <c r="A19558" t="s">
        <v>18262</v>
      </c>
    </row>
    <row r="19559" spans="1:1" x14ac:dyDescent="0.25">
      <c r="A19559" t="s">
        <v>18263</v>
      </c>
    </row>
    <row r="19560" spans="1:1" x14ac:dyDescent="0.25">
      <c r="A19560" t="s">
        <v>18264</v>
      </c>
    </row>
    <row r="19561" spans="1:1" x14ac:dyDescent="0.25">
      <c r="A19561" t="s">
        <v>18265</v>
      </c>
    </row>
    <row r="19562" spans="1:1" x14ac:dyDescent="0.25">
      <c r="A19562" t="s">
        <v>18266</v>
      </c>
    </row>
    <row r="19563" spans="1:1" x14ac:dyDescent="0.25">
      <c r="A19563" t="s">
        <v>18267</v>
      </c>
    </row>
    <row r="19564" spans="1:1" x14ac:dyDescent="0.25">
      <c r="A19564" t="s">
        <v>18268</v>
      </c>
    </row>
    <row r="19565" spans="1:1" x14ac:dyDescent="0.25">
      <c r="A19565" t="s">
        <v>18269</v>
      </c>
    </row>
    <row r="19566" spans="1:1" x14ac:dyDescent="0.25">
      <c r="A19566" t="s">
        <v>18270</v>
      </c>
    </row>
    <row r="19567" spans="1:1" x14ac:dyDescent="0.25">
      <c r="A19567" t="s">
        <v>18271</v>
      </c>
    </row>
    <row r="19568" spans="1:1" x14ac:dyDescent="0.25">
      <c r="A19568" t="s">
        <v>18272</v>
      </c>
    </row>
    <row r="19569" spans="1:1" x14ac:dyDescent="0.25">
      <c r="A19569" t="s">
        <v>18273</v>
      </c>
    </row>
    <row r="19570" spans="1:1" x14ac:dyDescent="0.25">
      <c r="A19570" t="s">
        <v>18274</v>
      </c>
    </row>
    <row r="19571" spans="1:1" x14ac:dyDescent="0.25">
      <c r="A19571" t="s">
        <v>18275</v>
      </c>
    </row>
    <row r="19572" spans="1:1" x14ac:dyDescent="0.25">
      <c r="A19572" t="s">
        <v>18276</v>
      </c>
    </row>
    <row r="19573" spans="1:1" x14ac:dyDescent="0.25">
      <c r="A19573" t="s">
        <v>18277</v>
      </c>
    </row>
    <row r="19574" spans="1:1" x14ac:dyDescent="0.25">
      <c r="A19574" t="s">
        <v>18278</v>
      </c>
    </row>
    <row r="19575" spans="1:1" x14ac:dyDescent="0.25">
      <c r="A19575" t="s">
        <v>18279</v>
      </c>
    </row>
    <row r="19576" spans="1:1" x14ac:dyDescent="0.25">
      <c r="A19576" t="s">
        <v>18280</v>
      </c>
    </row>
    <row r="19577" spans="1:1" x14ac:dyDescent="0.25">
      <c r="A19577" t="s">
        <v>18281</v>
      </c>
    </row>
    <row r="19578" spans="1:1" x14ac:dyDescent="0.25">
      <c r="A19578" t="s">
        <v>18282</v>
      </c>
    </row>
    <row r="19579" spans="1:1" x14ac:dyDescent="0.25">
      <c r="A19579" t="s">
        <v>18283</v>
      </c>
    </row>
    <row r="19580" spans="1:1" x14ac:dyDescent="0.25">
      <c r="A19580" t="s">
        <v>18284</v>
      </c>
    </row>
    <row r="19581" spans="1:1" x14ac:dyDescent="0.25">
      <c r="A19581" t="s">
        <v>18285</v>
      </c>
    </row>
    <row r="19582" spans="1:1" x14ac:dyDescent="0.25">
      <c r="A19582" t="s">
        <v>18286</v>
      </c>
    </row>
    <row r="19583" spans="1:1" x14ac:dyDescent="0.25">
      <c r="A19583" t="s">
        <v>18287</v>
      </c>
    </row>
    <row r="19584" spans="1:1" x14ac:dyDescent="0.25">
      <c r="A19584" t="s">
        <v>18288</v>
      </c>
    </row>
    <row r="19585" spans="1:1" x14ac:dyDescent="0.25">
      <c r="A19585" t="s">
        <v>18289</v>
      </c>
    </row>
    <row r="19586" spans="1:1" x14ac:dyDescent="0.25">
      <c r="A19586" t="s">
        <v>18290</v>
      </c>
    </row>
    <row r="19587" spans="1:1" x14ac:dyDescent="0.25">
      <c r="A19587" t="s">
        <v>18291</v>
      </c>
    </row>
    <row r="19588" spans="1:1" x14ac:dyDescent="0.25">
      <c r="A19588" t="s">
        <v>18292</v>
      </c>
    </row>
    <row r="19589" spans="1:1" x14ac:dyDescent="0.25">
      <c r="A19589" t="s">
        <v>18293</v>
      </c>
    </row>
    <row r="19590" spans="1:1" x14ac:dyDescent="0.25">
      <c r="A19590" t="s">
        <v>18294</v>
      </c>
    </row>
    <row r="19591" spans="1:1" x14ac:dyDescent="0.25">
      <c r="A19591" t="s">
        <v>18295</v>
      </c>
    </row>
    <row r="19592" spans="1:1" x14ac:dyDescent="0.25">
      <c r="A19592" t="s">
        <v>18296</v>
      </c>
    </row>
    <row r="19593" spans="1:1" x14ac:dyDescent="0.25">
      <c r="A19593" t="s">
        <v>18297</v>
      </c>
    </row>
    <row r="19594" spans="1:1" x14ac:dyDescent="0.25">
      <c r="A19594" t="s">
        <v>18298</v>
      </c>
    </row>
    <row r="19595" spans="1:1" x14ac:dyDescent="0.25">
      <c r="A19595" t="s">
        <v>18299</v>
      </c>
    </row>
    <row r="19596" spans="1:1" x14ac:dyDescent="0.25">
      <c r="A19596" t="s">
        <v>18300</v>
      </c>
    </row>
    <row r="19597" spans="1:1" x14ac:dyDescent="0.25">
      <c r="A19597" t="s">
        <v>18301</v>
      </c>
    </row>
    <row r="19598" spans="1:1" x14ac:dyDescent="0.25">
      <c r="A19598" t="s">
        <v>18302</v>
      </c>
    </row>
    <row r="19599" spans="1:1" x14ac:dyDescent="0.25">
      <c r="A19599" t="s">
        <v>18303</v>
      </c>
    </row>
    <row r="19600" spans="1:1" x14ac:dyDescent="0.25">
      <c r="A19600" t="s">
        <v>18304</v>
      </c>
    </row>
    <row r="19601" spans="1:1" x14ac:dyDescent="0.25">
      <c r="A19601" t="s">
        <v>18305</v>
      </c>
    </row>
    <row r="19602" spans="1:1" x14ac:dyDescent="0.25">
      <c r="A19602" t="s">
        <v>18306</v>
      </c>
    </row>
    <row r="19603" spans="1:1" x14ac:dyDescent="0.25">
      <c r="A19603" t="s">
        <v>18307</v>
      </c>
    </row>
    <row r="19604" spans="1:1" x14ac:dyDescent="0.25">
      <c r="A19604" t="s">
        <v>18308</v>
      </c>
    </row>
    <row r="19605" spans="1:1" x14ac:dyDescent="0.25">
      <c r="A19605" t="s">
        <v>18309</v>
      </c>
    </row>
    <row r="19606" spans="1:1" x14ac:dyDescent="0.25">
      <c r="A19606" t="s">
        <v>18310</v>
      </c>
    </row>
    <row r="19607" spans="1:1" x14ac:dyDescent="0.25">
      <c r="A19607" t="s">
        <v>18311</v>
      </c>
    </row>
    <row r="19608" spans="1:1" x14ac:dyDescent="0.25">
      <c r="A19608" t="s">
        <v>18312</v>
      </c>
    </row>
    <row r="19609" spans="1:1" x14ac:dyDescent="0.25">
      <c r="A19609" t="s">
        <v>18313</v>
      </c>
    </row>
    <row r="19610" spans="1:1" x14ac:dyDescent="0.25">
      <c r="A19610" t="s">
        <v>18314</v>
      </c>
    </row>
    <row r="19611" spans="1:1" x14ac:dyDescent="0.25">
      <c r="A19611" t="s">
        <v>18315</v>
      </c>
    </row>
    <row r="19612" spans="1:1" x14ac:dyDescent="0.25">
      <c r="A19612" t="s">
        <v>18316</v>
      </c>
    </row>
    <row r="19613" spans="1:1" x14ac:dyDescent="0.25">
      <c r="A19613" t="s">
        <v>18317</v>
      </c>
    </row>
    <row r="19614" spans="1:1" x14ac:dyDescent="0.25">
      <c r="A19614" t="s">
        <v>18318</v>
      </c>
    </row>
    <row r="19615" spans="1:1" x14ac:dyDescent="0.25">
      <c r="A19615" t="s">
        <v>18319</v>
      </c>
    </row>
    <row r="19616" spans="1:1" x14ac:dyDescent="0.25">
      <c r="A19616" t="s">
        <v>18320</v>
      </c>
    </row>
    <row r="19617" spans="1:1" x14ac:dyDescent="0.25">
      <c r="A19617" t="s">
        <v>18321</v>
      </c>
    </row>
    <row r="19618" spans="1:1" x14ac:dyDescent="0.25">
      <c r="A19618" t="s">
        <v>18322</v>
      </c>
    </row>
    <row r="19619" spans="1:1" x14ac:dyDescent="0.25">
      <c r="A19619" t="s">
        <v>18323</v>
      </c>
    </row>
    <row r="19620" spans="1:1" x14ac:dyDescent="0.25">
      <c r="A19620" t="s">
        <v>18324</v>
      </c>
    </row>
    <row r="19621" spans="1:1" x14ac:dyDescent="0.25">
      <c r="A19621" t="s">
        <v>18325</v>
      </c>
    </row>
    <row r="19622" spans="1:1" x14ac:dyDescent="0.25">
      <c r="A19622" t="s">
        <v>18326</v>
      </c>
    </row>
    <row r="19623" spans="1:1" x14ac:dyDescent="0.25">
      <c r="A19623" t="s">
        <v>18327</v>
      </c>
    </row>
    <row r="19624" spans="1:1" x14ac:dyDescent="0.25">
      <c r="A19624" t="s">
        <v>18328</v>
      </c>
    </row>
    <row r="19625" spans="1:1" x14ac:dyDescent="0.25">
      <c r="A19625" t="s">
        <v>18329</v>
      </c>
    </row>
    <row r="19626" spans="1:1" x14ac:dyDescent="0.25">
      <c r="A19626" t="s">
        <v>18330</v>
      </c>
    </row>
    <row r="19627" spans="1:1" x14ac:dyDescent="0.25">
      <c r="A19627" t="s">
        <v>18331</v>
      </c>
    </row>
    <row r="19628" spans="1:1" x14ac:dyDescent="0.25">
      <c r="A19628" t="s">
        <v>18332</v>
      </c>
    </row>
    <row r="19629" spans="1:1" x14ac:dyDescent="0.25">
      <c r="A19629" t="s">
        <v>18333</v>
      </c>
    </row>
    <row r="19630" spans="1:1" x14ac:dyDescent="0.25">
      <c r="A19630" t="s">
        <v>18334</v>
      </c>
    </row>
    <row r="19631" spans="1:1" x14ac:dyDescent="0.25">
      <c r="A19631" t="s">
        <v>18335</v>
      </c>
    </row>
    <row r="19632" spans="1:1" x14ac:dyDescent="0.25">
      <c r="A19632" t="s">
        <v>18336</v>
      </c>
    </row>
    <row r="19633" spans="1:1" x14ac:dyDescent="0.25">
      <c r="A19633" t="s">
        <v>18337</v>
      </c>
    </row>
    <row r="19634" spans="1:1" x14ac:dyDescent="0.25">
      <c r="A19634" t="s">
        <v>18338</v>
      </c>
    </row>
    <row r="19635" spans="1:1" x14ac:dyDescent="0.25">
      <c r="A19635" t="s">
        <v>18339</v>
      </c>
    </row>
    <row r="19636" spans="1:1" x14ac:dyDescent="0.25">
      <c r="A19636" t="s">
        <v>18340</v>
      </c>
    </row>
    <row r="19637" spans="1:1" x14ac:dyDescent="0.25">
      <c r="A19637" t="s">
        <v>18341</v>
      </c>
    </row>
    <row r="19638" spans="1:1" x14ac:dyDescent="0.25">
      <c r="A19638" t="s">
        <v>18342</v>
      </c>
    </row>
    <row r="19639" spans="1:1" x14ac:dyDescent="0.25">
      <c r="A19639" t="s">
        <v>18343</v>
      </c>
    </row>
    <row r="19640" spans="1:1" x14ac:dyDescent="0.25">
      <c r="A19640" t="s">
        <v>18344</v>
      </c>
    </row>
    <row r="19641" spans="1:1" x14ac:dyDescent="0.25">
      <c r="A19641" t="s">
        <v>18345</v>
      </c>
    </row>
    <row r="19642" spans="1:1" x14ac:dyDescent="0.25">
      <c r="A19642" t="s">
        <v>18346</v>
      </c>
    </row>
    <row r="19643" spans="1:1" x14ac:dyDescent="0.25">
      <c r="A19643" t="s">
        <v>18347</v>
      </c>
    </row>
    <row r="19644" spans="1:1" x14ac:dyDescent="0.25">
      <c r="A19644" t="s">
        <v>18348</v>
      </c>
    </row>
    <row r="19645" spans="1:1" x14ac:dyDescent="0.25">
      <c r="A19645" t="s">
        <v>18349</v>
      </c>
    </row>
    <row r="19646" spans="1:1" x14ac:dyDescent="0.25">
      <c r="A19646" t="s">
        <v>18350</v>
      </c>
    </row>
    <row r="19647" spans="1:1" x14ac:dyDescent="0.25">
      <c r="A19647" t="s">
        <v>18351</v>
      </c>
    </row>
    <row r="19648" spans="1:1" x14ac:dyDescent="0.25">
      <c r="A19648" t="s">
        <v>18352</v>
      </c>
    </row>
    <row r="19649" spans="1:1" x14ac:dyDescent="0.25">
      <c r="A19649" t="s">
        <v>18353</v>
      </c>
    </row>
    <row r="19650" spans="1:1" x14ac:dyDescent="0.25">
      <c r="A19650" t="s">
        <v>18354</v>
      </c>
    </row>
    <row r="19651" spans="1:1" x14ac:dyDescent="0.25">
      <c r="A19651" t="s">
        <v>18355</v>
      </c>
    </row>
    <row r="19652" spans="1:1" x14ac:dyDescent="0.25">
      <c r="A19652" t="s">
        <v>18356</v>
      </c>
    </row>
    <row r="19653" spans="1:1" x14ac:dyDescent="0.25">
      <c r="A19653" t="s">
        <v>18357</v>
      </c>
    </row>
    <row r="19654" spans="1:1" x14ac:dyDescent="0.25">
      <c r="A19654" t="s">
        <v>18358</v>
      </c>
    </row>
    <row r="19655" spans="1:1" x14ac:dyDescent="0.25">
      <c r="A19655" t="s">
        <v>18359</v>
      </c>
    </row>
    <row r="19656" spans="1:1" x14ac:dyDescent="0.25">
      <c r="A19656" t="s">
        <v>18360</v>
      </c>
    </row>
    <row r="19657" spans="1:1" x14ac:dyDescent="0.25">
      <c r="A19657" t="s">
        <v>18361</v>
      </c>
    </row>
    <row r="19658" spans="1:1" x14ac:dyDescent="0.25">
      <c r="A19658" t="s">
        <v>18362</v>
      </c>
    </row>
    <row r="19659" spans="1:1" x14ac:dyDescent="0.25">
      <c r="A19659" t="s">
        <v>18363</v>
      </c>
    </row>
    <row r="19660" spans="1:1" x14ac:dyDescent="0.25">
      <c r="A19660" t="s">
        <v>18364</v>
      </c>
    </row>
    <row r="19661" spans="1:1" x14ac:dyDescent="0.25">
      <c r="A19661" t="s">
        <v>18365</v>
      </c>
    </row>
    <row r="19662" spans="1:1" x14ac:dyDescent="0.25">
      <c r="A19662" t="s">
        <v>18366</v>
      </c>
    </row>
    <row r="19663" spans="1:1" x14ac:dyDescent="0.25">
      <c r="A19663" t="s">
        <v>18367</v>
      </c>
    </row>
    <row r="19664" spans="1:1" x14ac:dyDescent="0.25">
      <c r="A19664" t="s">
        <v>18368</v>
      </c>
    </row>
    <row r="19665" spans="1:1" x14ac:dyDescent="0.25">
      <c r="A19665" t="s">
        <v>18369</v>
      </c>
    </row>
    <row r="19666" spans="1:1" x14ac:dyDescent="0.25">
      <c r="A19666" t="s">
        <v>18370</v>
      </c>
    </row>
    <row r="19667" spans="1:1" x14ac:dyDescent="0.25">
      <c r="A19667" t="s">
        <v>18371</v>
      </c>
    </row>
    <row r="19668" spans="1:1" x14ac:dyDescent="0.25">
      <c r="A19668" t="s">
        <v>18372</v>
      </c>
    </row>
    <row r="19669" spans="1:1" x14ac:dyDescent="0.25">
      <c r="A19669" t="s">
        <v>18373</v>
      </c>
    </row>
    <row r="19670" spans="1:1" x14ac:dyDescent="0.25">
      <c r="A19670" t="s">
        <v>18374</v>
      </c>
    </row>
    <row r="19671" spans="1:1" x14ac:dyDescent="0.25">
      <c r="A19671" t="s">
        <v>18375</v>
      </c>
    </row>
    <row r="19672" spans="1:1" x14ac:dyDescent="0.25">
      <c r="A19672" t="s">
        <v>18376</v>
      </c>
    </row>
    <row r="19673" spans="1:1" x14ac:dyDescent="0.25">
      <c r="A19673" t="s">
        <v>18377</v>
      </c>
    </row>
    <row r="19674" spans="1:1" x14ac:dyDescent="0.25">
      <c r="A19674" t="s">
        <v>18378</v>
      </c>
    </row>
    <row r="19675" spans="1:1" x14ac:dyDescent="0.25">
      <c r="A19675" t="s">
        <v>18379</v>
      </c>
    </row>
    <row r="19676" spans="1:1" x14ac:dyDescent="0.25">
      <c r="A19676" t="s">
        <v>18380</v>
      </c>
    </row>
    <row r="19677" spans="1:1" x14ac:dyDescent="0.25">
      <c r="A19677" t="s">
        <v>18381</v>
      </c>
    </row>
    <row r="19678" spans="1:1" x14ac:dyDescent="0.25">
      <c r="A19678" t="s">
        <v>18382</v>
      </c>
    </row>
    <row r="19679" spans="1:1" x14ac:dyDescent="0.25">
      <c r="A19679" t="s">
        <v>18383</v>
      </c>
    </row>
    <row r="19680" spans="1:1" x14ac:dyDescent="0.25">
      <c r="A19680" t="s">
        <v>18384</v>
      </c>
    </row>
    <row r="19681" spans="1:1" x14ac:dyDescent="0.25">
      <c r="A19681" t="s">
        <v>18385</v>
      </c>
    </row>
    <row r="19682" spans="1:1" x14ac:dyDescent="0.25">
      <c r="A19682" t="s">
        <v>18386</v>
      </c>
    </row>
    <row r="19683" spans="1:1" x14ac:dyDescent="0.25">
      <c r="A19683" t="s">
        <v>18387</v>
      </c>
    </row>
    <row r="19684" spans="1:1" x14ac:dyDescent="0.25">
      <c r="A19684" t="s">
        <v>18388</v>
      </c>
    </row>
    <row r="19685" spans="1:1" x14ac:dyDescent="0.25">
      <c r="A19685" t="s">
        <v>18389</v>
      </c>
    </row>
    <row r="19686" spans="1:1" x14ac:dyDescent="0.25">
      <c r="A19686" t="s">
        <v>18390</v>
      </c>
    </row>
    <row r="19687" spans="1:1" x14ac:dyDescent="0.25">
      <c r="A19687" t="s">
        <v>18391</v>
      </c>
    </row>
    <row r="19688" spans="1:1" x14ac:dyDescent="0.25">
      <c r="A19688" t="s">
        <v>18392</v>
      </c>
    </row>
    <row r="19689" spans="1:1" x14ac:dyDescent="0.25">
      <c r="A19689" t="s">
        <v>18393</v>
      </c>
    </row>
    <row r="19690" spans="1:1" x14ac:dyDescent="0.25">
      <c r="A19690" t="s">
        <v>18394</v>
      </c>
    </row>
    <row r="19691" spans="1:1" x14ac:dyDescent="0.25">
      <c r="A19691" t="s">
        <v>18395</v>
      </c>
    </row>
    <row r="19692" spans="1:1" x14ac:dyDescent="0.25">
      <c r="A19692" t="s">
        <v>18396</v>
      </c>
    </row>
    <row r="19693" spans="1:1" x14ac:dyDescent="0.25">
      <c r="A19693" t="s">
        <v>18397</v>
      </c>
    </row>
    <row r="19694" spans="1:1" x14ac:dyDescent="0.25">
      <c r="A19694" t="s">
        <v>18398</v>
      </c>
    </row>
    <row r="19695" spans="1:1" x14ac:dyDescent="0.25">
      <c r="A19695" t="s">
        <v>18399</v>
      </c>
    </row>
    <row r="19696" spans="1:1" x14ac:dyDescent="0.25">
      <c r="A19696" t="s">
        <v>18400</v>
      </c>
    </row>
    <row r="19697" spans="1:1" x14ac:dyDescent="0.25">
      <c r="A19697" t="s">
        <v>18401</v>
      </c>
    </row>
    <row r="19698" spans="1:1" x14ac:dyDescent="0.25">
      <c r="A19698" t="s">
        <v>18402</v>
      </c>
    </row>
    <row r="19699" spans="1:1" x14ac:dyDescent="0.25">
      <c r="A19699" t="s">
        <v>18403</v>
      </c>
    </row>
    <row r="19700" spans="1:1" x14ac:dyDescent="0.25">
      <c r="A19700" t="s">
        <v>18404</v>
      </c>
    </row>
    <row r="19701" spans="1:1" x14ac:dyDescent="0.25">
      <c r="A19701" t="s">
        <v>18405</v>
      </c>
    </row>
    <row r="19702" spans="1:1" x14ac:dyDescent="0.25">
      <c r="A19702" t="s">
        <v>18406</v>
      </c>
    </row>
    <row r="19703" spans="1:1" x14ac:dyDescent="0.25">
      <c r="A19703" t="s">
        <v>18407</v>
      </c>
    </row>
    <row r="19704" spans="1:1" x14ac:dyDescent="0.25">
      <c r="A19704" t="s">
        <v>18408</v>
      </c>
    </row>
    <row r="19705" spans="1:1" x14ac:dyDescent="0.25">
      <c r="A19705" t="s">
        <v>18409</v>
      </c>
    </row>
    <row r="19706" spans="1:1" x14ac:dyDescent="0.25">
      <c r="A19706" t="s">
        <v>18410</v>
      </c>
    </row>
    <row r="19707" spans="1:1" x14ac:dyDescent="0.25">
      <c r="A19707" t="s">
        <v>18411</v>
      </c>
    </row>
    <row r="19708" spans="1:1" x14ac:dyDescent="0.25">
      <c r="A19708" t="s">
        <v>18412</v>
      </c>
    </row>
    <row r="19709" spans="1:1" x14ac:dyDescent="0.25">
      <c r="A19709" t="s">
        <v>18413</v>
      </c>
    </row>
    <row r="19710" spans="1:1" x14ac:dyDescent="0.25">
      <c r="A19710" t="s">
        <v>18414</v>
      </c>
    </row>
    <row r="19711" spans="1:1" x14ac:dyDescent="0.25">
      <c r="A19711" t="s">
        <v>18415</v>
      </c>
    </row>
    <row r="19712" spans="1:1" x14ac:dyDescent="0.25">
      <c r="A19712" t="s">
        <v>18416</v>
      </c>
    </row>
    <row r="19713" spans="1:1" x14ac:dyDescent="0.25">
      <c r="A19713" t="s">
        <v>18417</v>
      </c>
    </row>
    <row r="19714" spans="1:1" x14ac:dyDescent="0.25">
      <c r="A19714" t="s">
        <v>18418</v>
      </c>
    </row>
    <row r="19715" spans="1:1" x14ac:dyDescent="0.25">
      <c r="A19715" t="s">
        <v>18419</v>
      </c>
    </row>
    <row r="19716" spans="1:1" x14ac:dyDescent="0.25">
      <c r="A19716" t="s">
        <v>18420</v>
      </c>
    </row>
    <row r="19717" spans="1:1" x14ac:dyDescent="0.25">
      <c r="A19717" t="s">
        <v>18421</v>
      </c>
    </row>
    <row r="19718" spans="1:1" x14ac:dyDescent="0.25">
      <c r="A19718" t="s">
        <v>18422</v>
      </c>
    </row>
    <row r="19719" spans="1:1" x14ac:dyDescent="0.25">
      <c r="A19719" t="s">
        <v>18423</v>
      </c>
    </row>
    <row r="19720" spans="1:1" x14ac:dyDescent="0.25">
      <c r="A19720" t="s">
        <v>18424</v>
      </c>
    </row>
    <row r="19721" spans="1:1" x14ac:dyDescent="0.25">
      <c r="A19721" t="s">
        <v>18425</v>
      </c>
    </row>
    <row r="19722" spans="1:1" x14ac:dyDescent="0.25">
      <c r="A19722" t="s">
        <v>18426</v>
      </c>
    </row>
    <row r="19723" spans="1:1" x14ac:dyDescent="0.25">
      <c r="A19723" t="s">
        <v>18427</v>
      </c>
    </row>
    <row r="19724" spans="1:1" x14ac:dyDescent="0.25">
      <c r="A19724" t="s">
        <v>18428</v>
      </c>
    </row>
    <row r="19725" spans="1:1" x14ac:dyDescent="0.25">
      <c r="A19725" t="s">
        <v>18429</v>
      </c>
    </row>
    <row r="19726" spans="1:1" x14ac:dyDescent="0.25">
      <c r="A19726" t="s">
        <v>18430</v>
      </c>
    </row>
    <row r="19727" spans="1:1" x14ac:dyDescent="0.25">
      <c r="A19727" t="s">
        <v>18431</v>
      </c>
    </row>
    <row r="19728" spans="1:1" x14ac:dyDescent="0.25">
      <c r="A19728" t="s">
        <v>18432</v>
      </c>
    </row>
    <row r="19729" spans="1:1" x14ac:dyDescent="0.25">
      <c r="A19729" t="s">
        <v>18433</v>
      </c>
    </row>
    <row r="19730" spans="1:1" x14ac:dyDescent="0.25">
      <c r="A19730" t="s">
        <v>18434</v>
      </c>
    </row>
    <row r="19731" spans="1:1" x14ac:dyDescent="0.25">
      <c r="A19731" t="s">
        <v>18435</v>
      </c>
    </row>
    <row r="19732" spans="1:1" x14ac:dyDescent="0.25">
      <c r="A19732" t="s">
        <v>18436</v>
      </c>
    </row>
    <row r="19733" spans="1:1" x14ac:dyDescent="0.25">
      <c r="A19733" t="s">
        <v>18437</v>
      </c>
    </row>
    <row r="19734" spans="1:1" x14ac:dyDescent="0.25">
      <c r="A19734" t="s">
        <v>18438</v>
      </c>
    </row>
    <row r="19735" spans="1:1" x14ac:dyDescent="0.25">
      <c r="A19735" t="s">
        <v>18439</v>
      </c>
    </row>
    <row r="19736" spans="1:1" x14ac:dyDescent="0.25">
      <c r="A19736" t="s">
        <v>18440</v>
      </c>
    </row>
    <row r="19737" spans="1:1" x14ac:dyDescent="0.25">
      <c r="A19737" t="s">
        <v>18441</v>
      </c>
    </row>
    <row r="19738" spans="1:1" x14ac:dyDescent="0.25">
      <c r="A19738" t="s">
        <v>18442</v>
      </c>
    </row>
    <row r="19739" spans="1:1" x14ac:dyDescent="0.25">
      <c r="A19739" t="s">
        <v>18443</v>
      </c>
    </row>
    <row r="19740" spans="1:1" x14ac:dyDescent="0.25">
      <c r="A19740" t="s">
        <v>18444</v>
      </c>
    </row>
    <row r="19741" spans="1:1" x14ac:dyDescent="0.25">
      <c r="A19741" t="s">
        <v>18445</v>
      </c>
    </row>
    <row r="19742" spans="1:1" x14ac:dyDescent="0.25">
      <c r="A19742" t="s">
        <v>18446</v>
      </c>
    </row>
    <row r="19743" spans="1:1" x14ac:dyDescent="0.25">
      <c r="A19743" t="s">
        <v>18447</v>
      </c>
    </row>
    <row r="19744" spans="1:1" x14ac:dyDescent="0.25">
      <c r="A19744" t="s">
        <v>18448</v>
      </c>
    </row>
    <row r="19745" spans="1:1" x14ac:dyDescent="0.25">
      <c r="A19745" t="s">
        <v>18449</v>
      </c>
    </row>
    <row r="19746" spans="1:1" x14ac:dyDescent="0.25">
      <c r="A19746" t="s">
        <v>18450</v>
      </c>
    </row>
    <row r="19747" spans="1:1" x14ac:dyDescent="0.25">
      <c r="A19747" t="s">
        <v>18451</v>
      </c>
    </row>
    <row r="19748" spans="1:1" x14ac:dyDescent="0.25">
      <c r="A19748" t="s">
        <v>18452</v>
      </c>
    </row>
    <row r="19749" spans="1:1" x14ac:dyDescent="0.25">
      <c r="A19749" t="s">
        <v>18453</v>
      </c>
    </row>
    <row r="19750" spans="1:1" x14ac:dyDescent="0.25">
      <c r="A19750" t="s">
        <v>18454</v>
      </c>
    </row>
    <row r="19751" spans="1:1" x14ac:dyDescent="0.25">
      <c r="A19751" t="s">
        <v>18455</v>
      </c>
    </row>
    <row r="19752" spans="1:1" x14ac:dyDescent="0.25">
      <c r="A19752" t="s">
        <v>18456</v>
      </c>
    </row>
    <row r="19753" spans="1:1" x14ac:dyDescent="0.25">
      <c r="A19753" t="s">
        <v>18457</v>
      </c>
    </row>
    <row r="19754" spans="1:1" x14ac:dyDescent="0.25">
      <c r="A19754" t="s">
        <v>18458</v>
      </c>
    </row>
    <row r="19755" spans="1:1" x14ac:dyDescent="0.25">
      <c r="A19755" t="s">
        <v>18459</v>
      </c>
    </row>
    <row r="19756" spans="1:1" x14ac:dyDescent="0.25">
      <c r="A19756" t="s">
        <v>18460</v>
      </c>
    </row>
    <row r="19757" spans="1:1" x14ac:dyDescent="0.25">
      <c r="A19757" t="s">
        <v>18461</v>
      </c>
    </row>
    <row r="19758" spans="1:1" x14ac:dyDescent="0.25">
      <c r="A19758" t="s">
        <v>18462</v>
      </c>
    </row>
    <row r="19759" spans="1:1" x14ac:dyDescent="0.25">
      <c r="A19759" t="s">
        <v>18463</v>
      </c>
    </row>
    <row r="19760" spans="1:1" x14ac:dyDescent="0.25">
      <c r="A19760" t="s">
        <v>18464</v>
      </c>
    </row>
    <row r="19761" spans="1:1" x14ac:dyDescent="0.25">
      <c r="A19761" t="s">
        <v>18465</v>
      </c>
    </row>
    <row r="19762" spans="1:1" x14ac:dyDescent="0.25">
      <c r="A19762" t="s">
        <v>18466</v>
      </c>
    </row>
    <row r="19763" spans="1:1" x14ac:dyDescent="0.25">
      <c r="A19763" t="s">
        <v>18467</v>
      </c>
    </row>
    <row r="19764" spans="1:1" x14ac:dyDescent="0.25">
      <c r="A19764" t="s">
        <v>18468</v>
      </c>
    </row>
    <row r="19765" spans="1:1" x14ac:dyDescent="0.25">
      <c r="A19765" t="s">
        <v>18469</v>
      </c>
    </row>
    <row r="19766" spans="1:1" x14ac:dyDescent="0.25">
      <c r="A19766" t="s">
        <v>18470</v>
      </c>
    </row>
    <row r="19767" spans="1:1" x14ac:dyDescent="0.25">
      <c r="A19767" t="s">
        <v>18471</v>
      </c>
    </row>
    <row r="19768" spans="1:1" x14ac:dyDescent="0.25">
      <c r="A19768" t="s">
        <v>18472</v>
      </c>
    </row>
    <row r="19769" spans="1:1" x14ac:dyDescent="0.25">
      <c r="A19769" t="s">
        <v>18473</v>
      </c>
    </row>
    <row r="19770" spans="1:1" x14ac:dyDescent="0.25">
      <c r="A19770" t="s">
        <v>18474</v>
      </c>
    </row>
    <row r="19771" spans="1:1" x14ac:dyDescent="0.25">
      <c r="A19771" t="s">
        <v>18475</v>
      </c>
    </row>
    <row r="19772" spans="1:1" x14ac:dyDescent="0.25">
      <c r="A19772" t="s">
        <v>18476</v>
      </c>
    </row>
    <row r="19773" spans="1:1" x14ac:dyDescent="0.25">
      <c r="A19773" t="s">
        <v>18477</v>
      </c>
    </row>
    <row r="19774" spans="1:1" x14ac:dyDescent="0.25">
      <c r="A19774" t="s">
        <v>18478</v>
      </c>
    </row>
    <row r="19775" spans="1:1" x14ac:dyDescent="0.25">
      <c r="A19775" t="s">
        <v>18479</v>
      </c>
    </row>
    <row r="19776" spans="1:1" x14ac:dyDescent="0.25">
      <c r="A19776" t="s">
        <v>18480</v>
      </c>
    </row>
    <row r="19777" spans="1:1" x14ac:dyDescent="0.25">
      <c r="A19777" t="s">
        <v>18481</v>
      </c>
    </row>
    <row r="19778" spans="1:1" x14ac:dyDescent="0.25">
      <c r="A19778" t="s">
        <v>18482</v>
      </c>
    </row>
    <row r="19779" spans="1:1" x14ac:dyDescent="0.25">
      <c r="A19779" t="s">
        <v>18483</v>
      </c>
    </row>
    <row r="19780" spans="1:1" x14ac:dyDescent="0.25">
      <c r="A19780" t="s">
        <v>18484</v>
      </c>
    </row>
    <row r="19781" spans="1:1" x14ac:dyDescent="0.25">
      <c r="A19781" t="s">
        <v>18485</v>
      </c>
    </row>
    <row r="19782" spans="1:1" x14ac:dyDescent="0.25">
      <c r="A19782" t="s">
        <v>18486</v>
      </c>
    </row>
    <row r="19783" spans="1:1" x14ac:dyDescent="0.25">
      <c r="A19783" t="s">
        <v>18487</v>
      </c>
    </row>
    <row r="19784" spans="1:1" x14ac:dyDescent="0.25">
      <c r="A19784" t="s">
        <v>18488</v>
      </c>
    </row>
    <row r="19785" spans="1:1" x14ac:dyDescent="0.25">
      <c r="A19785" t="s">
        <v>18489</v>
      </c>
    </row>
    <row r="19786" spans="1:1" x14ac:dyDescent="0.25">
      <c r="A19786" t="s">
        <v>18490</v>
      </c>
    </row>
    <row r="19787" spans="1:1" x14ac:dyDescent="0.25">
      <c r="A19787" t="s">
        <v>18491</v>
      </c>
    </row>
    <row r="19788" spans="1:1" x14ac:dyDescent="0.25">
      <c r="A19788" t="s">
        <v>18492</v>
      </c>
    </row>
    <row r="19789" spans="1:1" x14ac:dyDescent="0.25">
      <c r="A19789" t="s">
        <v>18493</v>
      </c>
    </row>
    <row r="19790" spans="1:1" x14ac:dyDescent="0.25">
      <c r="A19790" t="s">
        <v>18494</v>
      </c>
    </row>
    <row r="19791" spans="1:1" x14ac:dyDescent="0.25">
      <c r="A19791" t="s">
        <v>18495</v>
      </c>
    </row>
    <row r="19792" spans="1:1" x14ac:dyDescent="0.25">
      <c r="A19792" t="s">
        <v>18496</v>
      </c>
    </row>
    <row r="19793" spans="1:1" x14ac:dyDescent="0.25">
      <c r="A19793" t="s">
        <v>18497</v>
      </c>
    </row>
    <row r="19794" spans="1:1" x14ac:dyDescent="0.25">
      <c r="A19794" t="s">
        <v>18498</v>
      </c>
    </row>
    <row r="19795" spans="1:1" x14ac:dyDescent="0.25">
      <c r="A19795" t="s">
        <v>18499</v>
      </c>
    </row>
    <row r="19796" spans="1:1" x14ac:dyDescent="0.25">
      <c r="A19796" t="s">
        <v>18500</v>
      </c>
    </row>
    <row r="19797" spans="1:1" x14ac:dyDescent="0.25">
      <c r="A19797" t="s">
        <v>18501</v>
      </c>
    </row>
    <row r="19798" spans="1:1" x14ac:dyDescent="0.25">
      <c r="A19798" t="s">
        <v>18502</v>
      </c>
    </row>
    <row r="19799" spans="1:1" x14ac:dyDescent="0.25">
      <c r="A19799" t="s">
        <v>18503</v>
      </c>
    </row>
    <row r="19800" spans="1:1" x14ac:dyDescent="0.25">
      <c r="A19800" t="s">
        <v>18504</v>
      </c>
    </row>
    <row r="19801" spans="1:1" x14ac:dyDescent="0.25">
      <c r="A19801" t="s">
        <v>18505</v>
      </c>
    </row>
    <row r="19802" spans="1:1" x14ac:dyDescent="0.25">
      <c r="A19802" t="s">
        <v>18506</v>
      </c>
    </row>
    <row r="19803" spans="1:1" x14ac:dyDescent="0.25">
      <c r="A19803" t="s">
        <v>18507</v>
      </c>
    </row>
    <row r="19804" spans="1:1" x14ac:dyDescent="0.25">
      <c r="A19804" t="s">
        <v>18508</v>
      </c>
    </row>
    <row r="19805" spans="1:1" x14ac:dyDescent="0.25">
      <c r="A19805" t="s">
        <v>18509</v>
      </c>
    </row>
    <row r="19806" spans="1:1" x14ac:dyDescent="0.25">
      <c r="A19806" t="s">
        <v>18510</v>
      </c>
    </row>
    <row r="19807" spans="1:1" x14ac:dyDescent="0.25">
      <c r="A19807" t="s">
        <v>18511</v>
      </c>
    </row>
    <row r="19808" spans="1:1" x14ac:dyDescent="0.25">
      <c r="A19808" t="s">
        <v>18512</v>
      </c>
    </row>
    <row r="19809" spans="1:1" x14ac:dyDescent="0.25">
      <c r="A19809" t="s">
        <v>18513</v>
      </c>
    </row>
    <row r="19810" spans="1:1" x14ac:dyDescent="0.25">
      <c r="A19810" t="s">
        <v>18514</v>
      </c>
    </row>
    <row r="19811" spans="1:1" x14ac:dyDescent="0.25">
      <c r="A19811" t="s">
        <v>18515</v>
      </c>
    </row>
    <row r="19812" spans="1:1" x14ac:dyDescent="0.25">
      <c r="A19812" t="s">
        <v>18516</v>
      </c>
    </row>
    <row r="19813" spans="1:1" x14ac:dyDescent="0.25">
      <c r="A19813" t="s">
        <v>18517</v>
      </c>
    </row>
    <row r="19814" spans="1:1" x14ac:dyDescent="0.25">
      <c r="A19814" t="s">
        <v>18518</v>
      </c>
    </row>
    <row r="19815" spans="1:1" x14ac:dyDescent="0.25">
      <c r="A19815" t="s">
        <v>18519</v>
      </c>
    </row>
    <row r="19816" spans="1:1" x14ac:dyDescent="0.25">
      <c r="A19816" t="s">
        <v>18520</v>
      </c>
    </row>
    <row r="19817" spans="1:1" x14ac:dyDescent="0.25">
      <c r="A19817" t="s">
        <v>18521</v>
      </c>
    </row>
    <row r="19818" spans="1:1" x14ac:dyDescent="0.25">
      <c r="A19818" t="s">
        <v>18522</v>
      </c>
    </row>
    <row r="19819" spans="1:1" x14ac:dyDescent="0.25">
      <c r="A19819" t="s">
        <v>18523</v>
      </c>
    </row>
    <row r="19820" spans="1:1" x14ac:dyDescent="0.25">
      <c r="A19820" t="s">
        <v>18524</v>
      </c>
    </row>
    <row r="19821" spans="1:1" x14ac:dyDescent="0.25">
      <c r="A19821" t="s">
        <v>18525</v>
      </c>
    </row>
    <row r="19822" spans="1:1" x14ac:dyDescent="0.25">
      <c r="A19822" t="s">
        <v>18526</v>
      </c>
    </row>
    <row r="19823" spans="1:1" x14ac:dyDescent="0.25">
      <c r="A19823" t="s">
        <v>18527</v>
      </c>
    </row>
    <row r="19824" spans="1:1" x14ac:dyDescent="0.25">
      <c r="A19824" t="s">
        <v>18528</v>
      </c>
    </row>
    <row r="19825" spans="1:1" x14ac:dyDescent="0.25">
      <c r="A19825" t="s">
        <v>18529</v>
      </c>
    </row>
    <row r="19826" spans="1:1" x14ac:dyDescent="0.25">
      <c r="A19826" t="s">
        <v>18530</v>
      </c>
    </row>
    <row r="19827" spans="1:1" x14ac:dyDescent="0.25">
      <c r="A19827" t="s">
        <v>18531</v>
      </c>
    </row>
    <row r="19828" spans="1:1" x14ac:dyDescent="0.25">
      <c r="A19828" t="s">
        <v>18532</v>
      </c>
    </row>
    <row r="19829" spans="1:1" x14ac:dyDescent="0.25">
      <c r="A19829" t="s">
        <v>18533</v>
      </c>
    </row>
    <row r="19830" spans="1:1" x14ac:dyDescent="0.25">
      <c r="A19830" t="s">
        <v>18534</v>
      </c>
    </row>
    <row r="19831" spans="1:1" x14ac:dyDescent="0.25">
      <c r="A19831" t="s">
        <v>18535</v>
      </c>
    </row>
    <row r="19832" spans="1:1" x14ac:dyDescent="0.25">
      <c r="A19832" t="s">
        <v>18536</v>
      </c>
    </row>
    <row r="19833" spans="1:1" x14ac:dyDescent="0.25">
      <c r="A19833" t="s">
        <v>18537</v>
      </c>
    </row>
    <row r="19834" spans="1:1" x14ac:dyDescent="0.25">
      <c r="A19834" t="s">
        <v>18538</v>
      </c>
    </row>
    <row r="19835" spans="1:1" x14ac:dyDescent="0.25">
      <c r="A19835" t="s">
        <v>18539</v>
      </c>
    </row>
    <row r="19836" spans="1:1" x14ac:dyDescent="0.25">
      <c r="A19836" t="s">
        <v>18540</v>
      </c>
    </row>
    <row r="19837" spans="1:1" x14ac:dyDescent="0.25">
      <c r="A19837" t="s">
        <v>18541</v>
      </c>
    </row>
    <row r="19838" spans="1:1" x14ac:dyDescent="0.25">
      <c r="A19838" t="s">
        <v>18542</v>
      </c>
    </row>
    <row r="19839" spans="1:1" x14ac:dyDescent="0.25">
      <c r="A19839" t="s">
        <v>18543</v>
      </c>
    </row>
    <row r="19840" spans="1:1" x14ac:dyDescent="0.25">
      <c r="A19840" t="s">
        <v>18544</v>
      </c>
    </row>
    <row r="19841" spans="1:1" x14ac:dyDescent="0.25">
      <c r="A19841" t="s">
        <v>18545</v>
      </c>
    </row>
    <row r="19842" spans="1:1" x14ac:dyDescent="0.25">
      <c r="A19842" t="s">
        <v>18546</v>
      </c>
    </row>
    <row r="19843" spans="1:1" x14ac:dyDescent="0.25">
      <c r="A19843" t="s">
        <v>18547</v>
      </c>
    </row>
    <row r="19844" spans="1:1" x14ac:dyDescent="0.25">
      <c r="A19844" t="s">
        <v>18548</v>
      </c>
    </row>
    <row r="19845" spans="1:1" x14ac:dyDescent="0.25">
      <c r="A19845" t="s">
        <v>18549</v>
      </c>
    </row>
    <row r="19846" spans="1:1" x14ac:dyDescent="0.25">
      <c r="A19846" t="s">
        <v>18550</v>
      </c>
    </row>
    <row r="19847" spans="1:1" x14ac:dyDescent="0.25">
      <c r="A19847" t="s">
        <v>18551</v>
      </c>
    </row>
    <row r="19848" spans="1:1" x14ac:dyDescent="0.25">
      <c r="A19848" t="s">
        <v>18552</v>
      </c>
    </row>
    <row r="19849" spans="1:1" x14ac:dyDescent="0.25">
      <c r="A19849" t="s">
        <v>18553</v>
      </c>
    </row>
    <row r="19850" spans="1:1" x14ac:dyDescent="0.25">
      <c r="A19850" t="s">
        <v>18554</v>
      </c>
    </row>
    <row r="19851" spans="1:1" x14ac:dyDescent="0.25">
      <c r="A19851" t="s">
        <v>18555</v>
      </c>
    </row>
    <row r="19852" spans="1:1" x14ac:dyDescent="0.25">
      <c r="A19852" t="s">
        <v>18556</v>
      </c>
    </row>
    <row r="19853" spans="1:1" x14ac:dyDescent="0.25">
      <c r="A19853" t="s">
        <v>18557</v>
      </c>
    </row>
    <row r="19854" spans="1:1" x14ac:dyDescent="0.25">
      <c r="A19854" t="s">
        <v>18558</v>
      </c>
    </row>
    <row r="19855" spans="1:1" x14ac:dyDescent="0.25">
      <c r="A19855" t="s">
        <v>18559</v>
      </c>
    </row>
    <row r="19856" spans="1:1" x14ac:dyDescent="0.25">
      <c r="A19856" t="s">
        <v>18560</v>
      </c>
    </row>
    <row r="19857" spans="1:1" x14ac:dyDescent="0.25">
      <c r="A19857" t="s">
        <v>18561</v>
      </c>
    </row>
    <row r="19858" spans="1:1" x14ac:dyDescent="0.25">
      <c r="A19858" t="s">
        <v>18562</v>
      </c>
    </row>
    <row r="19859" spans="1:1" x14ac:dyDescent="0.25">
      <c r="A19859" t="s">
        <v>18563</v>
      </c>
    </row>
    <row r="19860" spans="1:1" x14ac:dyDescent="0.25">
      <c r="A19860" t="s">
        <v>18564</v>
      </c>
    </row>
    <row r="19861" spans="1:1" x14ac:dyDescent="0.25">
      <c r="A19861" t="s">
        <v>18565</v>
      </c>
    </row>
    <row r="19862" spans="1:1" x14ac:dyDescent="0.25">
      <c r="A19862" t="s">
        <v>18566</v>
      </c>
    </row>
    <row r="19863" spans="1:1" x14ac:dyDescent="0.25">
      <c r="A19863" t="s">
        <v>18567</v>
      </c>
    </row>
    <row r="19864" spans="1:1" x14ac:dyDescent="0.25">
      <c r="A19864" t="s">
        <v>18568</v>
      </c>
    </row>
    <row r="19865" spans="1:1" x14ac:dyDescent="0.25">
      <c r="A19865" t="s">
        <v>18569</v>
      </c>
    </row>
    <row r="19866" spans="1:1" x14ac:dyDescent="0.25">
      <c r="A19866" t="s">
        <v>18570</v>
      </c>
    </row>
    <row r="19867" spans="1:1" x14ac:dyDescent="0.25">
      <c r="A19867" t="s">
        <v>18571</v>
      </c>
    </row>
    <row r="19868" spans="1:1" x14ac:dyDescent="0.25">
      <c r="A19868" t="s">
        <v>18572</v>
      </c>
    </row>
    <row r="19869" spans="1:1" x14ac:dyDescent="0.25">
      <c r="A19869" t="s">
        <v>18573</v>
      </c>
    </row>
    <row r="19870" spans="1:1" x14ac:dyDescent="0.25">
      <c r="A19870" t="s">
        <v>18574</v>
      </c>
    </row>
    <row r="19871" spans="1:1" x14ac:dyDescent="0.25">
      <c r="A19871" t="s">
        <v>18575</v>
      </c>
    </row>
    <row r="19872" spans="1:1" x14ac:dyDescent="0.25">
      <c r="A19872" t="s">
        <v>18576</v>
      </c>
    </row>
    <row r="19873" spans="1:1" x14ac:dyDescent="0.25">
      <c r="A19873" t="s">
        <v>18577</v>
      </c>
    </row>
    <row r="19874" spans="1:1" x14ac:dyDescent="0.25">
      <c r="A19874" t="s">
        <v>18578</v>
      </c>
    </row>
    <row r="19875" spans="1:1" x14ac:dyDescent="0.25">
      <c r="A19875" t="s">
        <v>18579</v>
      </c>
    </row>
    <row r="19876" spans="1:1" x14ac:dyDescent="0.25">
      <c r="A19876" t="s">
        <v>18580</v>
      </c>
    </row>
    <row r="19877" spans="1:1" x14ac:dyDescent="0.25">
      <c r="A19877" t="s">
        <v>18581</v>
      </c>
    </row>
    <row r="19878" spans="1:1" x14ac:dyDescent="0.25">
      <c r="A19878" t="s">
        <v>18582</v>
      </c>
    </row>
    <row r="19879" spans="1:1" x14ac:dyDescent="0.25">
      <c r="A19879" t="s">
        <v>18583</v>
      </c>
    </row>
    <row r="19880" spans="1:1" x14ac:dyDescent="0.25">
      <c r="A19880" t="s">
        <v>18584</v>
      </c>
    </row>
    <row r="19881" spans="1:1" x14ac:dyDescent="0.25">
      <c r="A19881" t="s">
        <v>18585</v>
      </c>
    </row>
    <row r="19882" spans="1:1" x14ac:dyDescent="0.25">
      <c r="A19882" t="s">
        <v>18586</v>
      </c>
    </row>
    <row r="19883" spans="1:1" x14ac:dyDescent="0.25">
      <c r="A19883" t="s">
        <v>18587</v>
      </c>
    </row>
    <row r="19884" spans="1:1" x14ac:dyDescent="0.25">
      <c r="A19884" t="s">
        <v>18588</v>
      </c>
    </row>
    <row r="19885" spans="1:1" x14ac:dyDescent="0.25">
      <c r="A19885" t="s">
        <v>18589</v>
      </c>
    </row>
    <row r="19886" spans="1:1" x14ac:dyDescent="0.25">
      <c r="A19886" t="s">
        <v>18590</v>
      </c>
    </row>
    <row r="19887" spans="1:1" x14ac:dyDescent="0.25">
      <c r="A19887" t="s">
        <v>18591</v>
      </c>
    </row>
    <row r="19888" spans="1:1" x14ac:dyDescent="0.25">
      <c r="A19888" t="s">
        <v>18592</v>
      </c>
    </row>
    <row r="19889" spans="1:1" x14ac:dyDescent="0.25">
      <c r="A19889" t="s">
        <v>18593</v>
      </c>
    </row>
    <row r="19890" spans="1:1" x14ac:dyDescent="0.25">
      <c r="A19890" t="s">
        <v>18594</v>
      </c>
    </row>
    <row r="19891" spans="1:1" x14ac:dyDescent="0.25">
      <c r="A19891" t="s">
        <v>18595</v>
      </c>
    </row>
    <row r="19892" spans="1:1" x14ac:dyDescent="0.25">
      <c r="A19892" t="s">
        <v>18596</v>
      </c>
    </row>
    <row r="19893" spans="1:1" x14ac:dyDescent="0.25">
      <c r="A19893" t="s">
        <v>18597</v>
      </c>
    </row>
    <row r="19894" spans="1:1" x14ac:dyDescent="0.25">
      <c r="A19894" t="s">
        <v>18598</v>
      </c>
    </row>
    <row r="19895" spans="1:1" x14ac:dyDescent="0.25">
      <c r="A19895" t="s">
        <v>18599</v>
      </c>
    </row>
    <row r="19896" spans="1:1" x14ac:dyDescent="0.25">
      <c r="A19896" t="s">
        <v>18600</v>
      </c>
    </row>
    <row r="19897" spans="1:1" x14ac:dyDescent="0.25">
      <c r="A19897" t="s">
        <v>18601</v>
      </c>
    </row>
    <row r="19898" spans="1:1" x14ac:dyDescent="0.25">
      <c r="A19898" t="s">
        <v>18602</v>
      </c>
    </row>
    <row r="19899" spans="1:1" x14ac:dyDescent="0.25">
      <c r="A19899" t="s">
        <v>18603</v>
      </c>
    </row>
    <row r="19900" spans="1:1" x14ac:dyDescent="0.25">
      <c r="A19900" t="s">
        <v>18604</v>
      </c>
    </row>
    <row r="19901" spans="1:1" x14ac:dyDescent="0.25">
      <c r="A19901" t="s">
        <v>18605</v>
      </c>
    </row>
    <row r="19902" spans="1:1" x14ac:dyDescent="0.25">
      <c r="A19902" t="s">
        <v>18606</v>
      </c>
    </row>
    <row r="19903" spans="1:1" x14ac:dyDescent="0.25">
      <c r="A19903" t="s">
        <v>18607</v>
      </c>
    </row>
    <row r="19904" spans="1:1" x14ac:dyDescent="0.25">
      <c r="A19904" t="s">
        <v>18608</v>
      </c>
    </row>
    <row r="19905" spans="1:1" x14ac:dyDescent="0.25">
      <c r="A19905" t="s">
        <v>18609</v>
      </c>
    </row>
    <row r="19906" spans="1:1" x14ac:dyDescent="0.25">
      <c r="A19906" t="s">
        <v>18610</v>
      </c>
    </row>
    <row r="19907" spans="1:1" x14ac:dyDescent="0.25">
      <c r="A19907" t="s">
        <v>18611</v>
      </c>
    </row>
    <row r="19908" spans="1:1" x14ac:dyDescent="0.25">
      <c r="A19908" t="s">
        <v>18612</v>
      </c>
    </row>
    <row r="19909" spans="1:1" x14ac:dyDescent="0.25">
      <c r="A19909" t="s">
        <v>18613</v>
      </c>
    </row>
    <row r="19910" spans="1:1" x14ac:dyDescent="0.25">
      <c r="A19910" t="s">
        <v>18614</v>
      </c>
    </row>
    <row r="19911" spans="1:1" x14ac:dyDescent="0.25">
      <c r="A19911" t="s">
        <v>18615</v>
      </c>
    </row>
    <row r="19912" spans="1:1" x14ac:dyDescent="0.25">
      <c r="A19912" t="s">
        <v>18616</v>
      </c>
    </row>
    <row r="19913" spans="1:1" x14ac:dyDescent="0.25">
      <c r="A19913" t="s">
        <v>18617</v>
      </c>
    </row>
    <row r="19914" spans="1:1" x14ac:dyDescent="0.25">
      <c r="A19914" t="s">
        <v>18618</v>
      </c>
    </row>
    <row r="19915" spans="1:1" x14ac:dyDescent="0.25">
      <c r="A19915" t="s">
        <v>18619</v>
      </c>
    </row>
    <row r="19916" spans="1:1" x14ac:dyDescent="0.25">
      <c r="A19916" t="s">
        <v>18620</v>
      </c>
    </row>
    <row r="19917" spans="1:1" x14ac:dyDescent="0.25">
      <c r="A19917" t="s">
        <v>18621</v>
      </c>
    </row>
    <row r="19918" spans="1:1" x14ac:dyDescent="0.25">
      <c r="A19918" t="s">
        <v>18622</v>
      </c>
    </row>
    <row r="19919" spans="1:1" x14ac:dyDescent="0.25">
      <c r="A19919" t="s">
        <v>18623</v>
      </c>
    </row>
    <row r="19920" spans="1:1" x14ac:dyDescent="0.25">
      <c r="A19920" t="s">
        <v>18624</v>
      </c>
    </row>
    <row r="19921" spans="1:1" x14ac:dyDescent="0.25">
      <c r="A19921" t="s">
        <v>18625</v>
      </c>
    </row>
    <row r="19922" spans="1:1" x14ac:dyDescent="0.25">
      <c r="A19922" t="s">
        <v>18626</v>
      </c>
    </row>
    <row r="19923" spans="1:1" x14ac:dyDescent="0.25">
      <c r="A19923" t="s">
        <v>18627</v>
      </c>
    </row>
    <row r="19924" spans="1:1" x14ac:dyDescent="0.25">
      <c r="A19924" t="s">
        <v>18628</v>
      </c>
    </row>
    <row r="19925" spans="1:1" x14ac:dyDescent="0.25">
      <c r="A19925" t="s">
        <v>18629</v>
      </c>
    </row>
    <row r="19926" spans="1:1" x14ac:dyDescent="0.25">
      <c r="A19926" t="s">
        <v>18630</v>
      </c>
    </row>
    <row r="19927" spans="1:1" x14ac:dyDescent="0.25">
      <c r="A19927" t="s">
        <v>18631</v>
      </c>
    </row>
    <row r="19928" spans="1:1" x14ac:dyDescent="0.25">
      <c r="A19928" t="s">
        <v>18632</v>
      </c>
    </row>
    <row r="19929" spans="1:1" x14ac:dyDescent="0.25">
      <c r="A19929" t="s">
        <v>18633</v>
      </c>
    </row>
    <row r="19930" spans="1:1" x14ac:dyDescent="0.25">
      <c r="A19930" t="s">
        <v>18634</v>
      </c>
    </row>
    <row r="19931" spans="1:1" x14ac:dyDescent="0.25">
      <c r="A19931" t="s">
        <v>18635</v>
      </c>
    </row>
    <row r="19932" spans="1:1" x14ac:dyDescent="0.25">
      <c r="A19932" t="s">
        <v>18636</v>
      </c>
    </row>
    <row r="19933" spans="1:1" x14ac:dyDescent="0.25">
      <c r="A19933" t="s">
        <v>18637</v>
      </c>
    </row>
    <row r="19934" spans="1:1" x14ac:dyDescent="0.25">
      <c r="A19934" t="s">
        <v>18638</v>
      </c>
    </row>
    <row r="19935" spans="1:1" x14ac:dyDescent="0.25">
      <c r="A19935" t="s">
        <v>18639</v>
      </c>
    </row>
    <row r="19936" spans="1:1" x14ac:dyDescent="0.25">
      <c r="A19936" t="s">
        <v>18640</v>
      </c>
    </row>
    <row r="19937" spans="1:1" x14ac:dyDescent="0.25">
      <c r="A19937" t="s">
        <v>18641</v>
      </c>
    </row>
    <row r="19938" spans="1:1" x14ac:dyDescent="0.25">
      <c r="A19938" t="s">
        <v>18642</v>
      </c>
    </row>
    <row r="19939" spans="1:1" x14ac:dyDescent="0.25">
      <c r="A19939" t="s">
        <v>18643</v>
      </c>
    </row>
    <row r="19940" spans="1:1" x14ac:dyDescent="0.25">
      <c r="A19940" t="s">
        <v>18644</v>
      </c>
    </row>
    <row r="19941" spans="1:1" x14ac:dyDescent="0.25">
      <c r="A19941" t="s">
        <v>18645</v>
      </c>
    </row>
    <row r="19942" spans="1:1" x14ac:dyDescent="0.25">
      <c r="A19942" t="s">
        <v>18646</v>
      </c>
    </row>
    <row r="19943" spans="1:1" x14ac:dyDescent="0.25">
      <c r="A19943" t="s">
        <v>18647</v>
      </c>
    </row>
    <row r="19944" spans="1:1" x14ac:dyDescent="0.25">
      <c r="A19944" t="s">
        <v>18648</v>
      </c>
    </row>
    <row r="19945" spans="1:1" x14ac:dyDescent="0.25">
      <c r="A19945" t="s">
        <v>18649</v>
      </c>
    </row>
    <row r="19946" spans="1:1" x14ac:dyDescent="0.25">
      <c r="A19946" t="s">
        <v>18650</v>
      </c>
    </row>
    <row r="19947" spans="1:1" x14ac:dyDescent="0.25">
      <c r="A19947" t="s">
        <v>18651</v>
      </c>
    </row>
    <row r="19948" spans="1:1" x14ac:dyDescent="0.25">
      <c r="A19948" t="s">
        <v>18652</v>
      </c>
    </row>
    <row r="19949" spans="1:1" x14ac:dyDescent="0.25">
      <c r="A19949" t="s">
        <v>18653</v>
      </c>
    </row>
    <row r="19950" spans="1:1" x14ac:dyDescent="0.25">
      <c r="A19950" t="s">
        <v>18654</v>
      </c>
    </row>
    <row r="19951" spans="1:1" x14ac:dyDescent="0.25">
      <c r="A19951" t="s">
        <v>18655</v>
      </c>
    </row>
    <row r="19952" spans="1:1" x14ac:dyDescent="0.25">
      <c r="A19952" t="s">
        <v>18656</v>
      </c>
    </row>
    <row r="19953" spans="1:1" x14ac:dyDescent="0.25">
      <c r="A19953" t="s">
        <v>18657</v>
      </c>
    </row>
    <row r="19954" spans="1:1" x14ac:dyDescent="0.25">
      <c r="A19954" t="s">
        <v>18658</v>
      </c>
    </row>
    <row r="19955" spans="1:1" x14ac:dyDescent="0.25">
      <c r="A19955" t="s">
        <v>18659</v>
      </c>
    </row>
    <row r="19956" spans="1:1" x14ac:dyDescent="0.25">
      <c r="A19956" t="s">
        <v>18660</v>
      </c>
    </row>
    <row r="19957" spans="1:1" x14ac:dyDescent="0.25">
      <c r="A19957" t="s">
        <v>18661</v>
      </c>
    </row>
    <row r="19958" spans="1:1" x14ac:dyDescent="0.25">
      <c r="A19958" t="s">
        <v>18662</v>
      </c>
    </row>
    <row r="19959" spans="1:1" x14ac:dyDescent="0.25">
      <c r="A19959" t="s">
        <v>18663</v>
      </c>
    </row>
    <row r="19960" spans="1:1" x14ac:dyDescent="0.25">
      <c r="A19960" t="s">
        <v>18664</v>
      </c>
    </row>
    <row r="19961" spans="1:1" x14ac:dyDescent="0.25">
      <c r="A19961" t="s">
        <v>18665</v>
      </c>
    </row>
    <row r="19962" spans="1:1" x14ac:dyDescent="0.25">
      <c r="A19962" t="s">
        <v>18666</v>
      </c>
    </row>
    <row r="19963" spans="1:1" x14ac:dyDescent="0.25">
      <c r="A19963" t="s">
        <v>18667</v>
      </c>
    </row>
    <row r="19964" spans="1:1" x14ac:dyDescent="0.25">
      <c r="A19964" t="s">
        <v>18668</v>
      </c>
    </row>
    <row r="19965" spans="1:1" x14ac:dyDescent="0.25">
      <c r="A19965" t="s">
        <v>18669</v>
      </c>
    </row>
    <row r="19966" spans="1:1" x14ac:dyDescent="0.25">
      <c r="A19966" t="s">
        <v>18670</v>
      </c>
    </row>
    <row r="19967" spans="1:1" x14ac:dyDescent="0.25">
      <c r="A19967" t="s">
        <v>18671</v>
      </c>
    </row>
    <row r="19968" spans="1:1" x14ac:dyDescent="0.25">
      <c r="A19968" t="s">
        <v>18672</v>
      </c>
    </row>
    <row r="19969" spans="1:1" x14ac:dyDescent="0.25">
      <c r="A19969" t="s">
        <v>18673</v>
      </c>
    </row>
    <row r="19970" spans="1:1" x14ac:dyDescent="0.25">
      <c r="A19970" t="s">
        <v>18674</v>
      </c>
    </row>
    <row r="19971" spans="1:1" x14ac:dyDescent="0.25">
      <c r="A19971" t="s">
        <v>18675</v>
      </c>
    </row>
    <row r="19972" spans="1:1" x14ac:dyDescent="0.25">
      <c r="A19972" t="s">
        <v>18676</v>
      </c>
    </row>
    <row r="19973" spans="1:1" x14ac:dyDescent="0.25">
      <c r="A19973" t="s">
        <v>18677</v>
      </c>
    </row>
    <row r="19974" spans="1:1" x14ac:dyDescent="0.25">
      <c r="A19974" t="s">
        <v>18678</v>
      </c>
    </row>
    <row r="19975" spans="1:1" x14ac:dyDescent="0.25">
      <c r="A19975" t="s">
        <v>18679</v>
      </c>
    </row>
    <row r="19976" spans="1:1" x14ac:dyDescent="0.25">
      <c r="A19976" t="s">
        <v>18680</v>
      </c>
    </row>
    <row r="19977" spans="1:1" x14ac:dyDescent="0.25">
      <c r="A19977" t="s">
        <v>18681</v>
      </c>
    </row>
    <row r="19978" spans="1:1" x14ac:dyDescent="0.25">
      <c r="A19978" t="s">
        <v>18682</v>
      </c>
    </row>
    <row r="19979" spans="1:1" x14ac:dyDescent="0.25">
      <c r="A19979" t="s">
        <v>18683</v>
      </c>
    </row>
    <row r="19980" spans="1:1" x14ac:dyDescent="0.25">
      <c r="A19980" t="s">
        <v>18684</v>
      </c>
    </row>
    <row r="19981" spans="1:1" x14ac:dyDescent="0.25">
      <c r="A19981" t="s">
        <v>18685</v>
      </c>
    </row>
    <row r="19982" spans="1:1" x14ac:dyDescent="0.25">
      <c r="A19982" t="s">
        <v>18686</v>
      </c>
    </row>
    <row r="19983" spans="1:1" x14ac:dyDescent="0.25">
      <c r="A19983" t="s">
        <v>18687</v>
      </c>
    </row>
    <row r="19984" spans="1:1" x14ac:dyDescent="0.25">
      <c r="A19984" t="s">
        <v>18688</v>
      </c>
    </row>
    <row r="19985" spans="1:1" x14ac:dyDescent="0.25">
      <c r="A19985" t="s">
        <v>18689</v>
      </c>
    </row>
    <row r="19986" spans="1:1" x14ac:dyDescent="0.25">
      <c r="A19986" t="s">
        <v>18690</v>
      </c>
    </row>
    <row r="19987" spans="1:1" x14ac:dyDescent="0.25">
      <c r="A19987" t="s">
        <v>18691</v>
      </c>
    </row>
    <row r="19988" spans="1:1" x14ac:dyDescent="0.25">
      <c r="A19988" t="s">
        <v>18692</v>
      </c>
    </row>
    <row r="19989" spans="1:1" x14ac:dyDescent="0.25">
      <c r="A19989" t="s">
        <v>18693</v>
      </c>
    </row>
    <row r="19990" spans="1:1" x14ac:dyDescent="0.25">
      <c r="A19990" t="s">
        <v>18694</v>
      </c>
    </row>
    <row r="19991" spans="1:1" x14ac:dyDescent="0.25">
      <c r="A19991" t="s">
        <v>18695</v>
      </c>
    </row>
    <row r="19992" spans="1:1" x14ac:dyDescent="0.25">
      <c r="A19992" t="s">
        <v>18696</v>
      </c>
    </row>
    <row r="19993" spans="1:1" x14ac:dyDescent="0.25">
      <c r="A19993" t="s">
        <v>18697</v>
      </c>
    </row>
    <row r="19994" spans="1:1" x14ac:dyDescent="0.25">
      <c r="A19994" t="s">
        <v>18698</v>
      </c>
    </row>
    <row r="19995" spans="1:1" x14ac:dyDescent="0.25">
      <c r="A19995" t="s">
        <v>18699</v>
      </c>
    </row>
    <row r="19996" spans="1:1" x14ac:dyDescent="0.25">
      <c r="A19996" t="s">
        <v>18700</v>
      </c>
    </row>
    <row r="19997" spans="1:1" x14ac:dyDescent="0.25">
      <c r="A19997" t="s">
        <v>18701</v>
      </c>
    </row>
    <row r="19998" spans="1:1" x14ac:dyDescent="0.25">
      <c r="A19998" t="s">
        <v>18702</v>
      </c>
    </row>
    <row r="19999" spans="1:1" x14ac:dyDescent="0.25">
      <c r="A19999" t="s">
        <v>18703</v>
      </c>
    </row>
    <row r="20000" spans="1:1" x14ac:dyDescent="0.25">
      <c r="A20000" t="s">
        <v>18704</v>
      </c>
    </row>
    <row r="20001" spans="1:1" x14ac:dyDescent="0.25">
      <c r="A20001" t="s">
        <v>18705</v>
      </c>
    </row>
    <row r="20002" spans="1:1" x14ac:dyDescent="0.25">
      <c r="A20002" t="s">
        <v>18706</v>
      </c>
    </row>
    <row r="20003" spans="1:1" x14ac:dyDescent="0.25">
      <c r="A20003" t="s">
        <v>18707</v>
      </c>
    </row>
    <row r="20004" spans="1:1" x14ac:dyDescent="0.25">
      <c r="A20004" t="s">
        <v>18708</v>
      </c>
    </row>
    <row r="20005" spans="1:1" x14ac:dyDescent="0.25">
      <c r="A20005" t="s">
        <v>18709</v>
      </c>
    </row>
    <row r="20006" spans="1:1" x14ac:dyDescent="0.25">
      <c r="A20006" t="s">
        <v>18710</v>
      </c>
    </row>
    <row r="20007" spans="1:1" x14ac:dyDescent="0.25">
      <c r="A20007" t="s">
        <v>18711</v>
      </c>
    </row>
    <row r="20008" spans="1:1" x14ac:dyDescent="0.25">
      <c r="A20008" t="s">
        <v>18712</v>
      </c>
    </row>
    <row r="20009" spans="1:1" x14ac:dyDescent="0.25">
      <c r="A20009" t="s">
        <v>18713</v>
      </c>
    </row>
    <row r="20010" spans="1:1" x14ac:dyDescent="0.25">
      <c r="A20010" t="s">
        <v>18714</v>
      </c>
    </row>
    <row r="20011" spans="1:1" x14ac:dyDescent="0.25">
      <c r="A20011" t="s">
        <v>18715</v>
      </c>
    </row>
    <row r="20012" spans="1:1" x14ac:dyDescent="0.25">
      <c r="A20012" t="s">
        <v>18716</v>
      </c>
    </row>
    <row r="20013" spans="1:1" x14ac:dyDescent="0.25">
      <c r="A20013" t="s">
        <v>18717</v>
      </c>
    </row>
    <row r="20014" spans="1:1" x14ac:dyDescent="0.25">
      <c r="A20014" t="s">
        <v>18718</v>
      </c>
    </row>
    <row r="20015" spans="1:1" x14ac:dyDescent="0.25">
      <c r="A20015" t="s">
        <v>18719</v>
      </c>
    </row>
    <row r="20016" spans="1:1" x14ac:dyDescent="0.25">
      <c r="A20016" t="s">
        <v>18720</v>
      </c>
    </row>
    <row r="20017" spans="1:1" x14ac:dyDescent="0.25">
      <c r="A20017" t="s">
        <v>18721</v>
      </c>
    </row>
    <row r="20018" spans="1:1" x14ac:dyDescent="0.25">
      <c r="A20018" t="s">
        <v>18722</v>
      </c>
    </row>
    <row r="20019" spans="1:1" x14ac:dyDescent="0.25">
      <c r="A20019" t="s">
        <v>18723</v>
      </c>
    </row>
    <row r="20020" spans="1:1" x14ac:dyDescent="0.25">
      <c r="A20020" t="s">
        <v>18724</v>
      </c>
    </row>
    <row r="20021" spans="1:1" x14ac:dyDescent="0.25">
      <c r="A20021" t="s">
        <v>18725</v>
      </c>
    </row>
    <row r="20022" spans="1:1" x14ac:dyDescent="0.25">
      <c r="A20022" t="s">
        <v>18726</v>
      </c>
    </row>
    <row r="20023" spans="1:1" x14ac:dyDescent="0.25">
      <c r="A20023" t="s">
        <v>18727</v>
      </c>
    </row>
    <row r="20024" spans="1:1" x14ac:dyDescent="0.25">
      <c r="A20024" t="s">
        <v>18728</v>
      </c>
    </row>
    <row r="20025" spans="1:1" x14ac:dyDescent="0.25">
      <c r="A20025" t="s">
        <v>18729</v>
      </c>
    </row>
    <row r="20026" spans="1:1" x14ac:dyDescent="0.25">
      <c r="A20026" t="s">
        <v>18730</v>
      </c>
    </row>
    <row r="20027" spans="1:1" x14ac:dyDescent="0.25">
      <c r="A20027" t="s">
        <v>18731</v>
      </c>
    </row>
    <row r="20028" spans="1:1" x14ac:dyDescent="0.25">
      <c r="A20028" t="s">
        <v>18732</v>
      </c>
    </row>
    <row r="20029" spans="1:1" x14ac:dyDescent="0.25">
      <c r="A20029" t="s">
        <v>18733</v>
      </c>
    </row>
    <row r="20030" spans="1:1" x14ac:dyDescent="0.25">
      <c r="A20030" t="s">
        <v>18734</v>
      </c>
    </row>
    <row r="20031" spans="1:1" x14ac:dyDescent="0.25">
      <c r="A20031" t="s">
        <v>18735</v>
      </c>
    </row>
    <row r="20032" spans="1:1" x14ac:dyDescent="0.25">
      <c r="A20032" t="s">
        <v>18736</v>
      </c>
    </row>
    <row r="20033" spans="1:1" x14ac:dyDescent="0.25">
      <c r="A20033" t="s">
        <v>18737</v>
      </c>
    </row>
    <row r="20034" spans="1:1" x14ac:dyDescent="0.25">
      <c r="A20034" t="s">
        <v>18738</v>
      </c>
    </row>
    <row r="20035" spans="1:1" x14ac:dyDescent="0.25">
      <c r="A20035" t="s">
        <v>18739</v>
      </c>
    </row>
    <row r="20036" spans="1:1" x14ac:dyDescent="0.25">
      <c r="A20036" t="s">
        <v>18740</v>
      </c>
    </row>
    <row r="20037" spans="1:1" x14ac:dyDescent="0.25">
      <c r="A20037" t="s">
        <v>18741</v>
      </c>
    </row>
    <row r="20038" spans="1:1" x14ac:dyDescent="0.25">
      <c r="A20038" t="s">
        <v>18742</v>
      </c>
    </row>
    <row r="20039" spans="1:1" x14ac:dyDescent="0.25">
      <c r="A20039" t="s">
        <v>18743</v>
      </c>
    </row>
    <row r="20040" spans="1:1" x14ac:dyDescent="0.25">
      <c r="A20040" t="s">
        <v>18744</v>
      </c>
    </row>
    <row r="20041" spans="1:1" x14ac:dyDescent="0.25">
      <c r="A20041" t="s">
        <v>18745</v>
      </c>
    </row>
    <row r="20042" spans="1:1" x14ac:dyDescent="0.25">
      <c r="A20042" t="s">
        <v>18746</v>
      </c>
    </row>
    <row r="20043" spans="1:1" x14ac:dyDescent="0.25">
      <c r="A20043" t="s">
        <v>18747</v>
      </c>
    </row>
    <row r="20044" spans="1:1" x14ac:dyDescent="0.25">
      <c r="A20044" t="s">
        <v>18748</v>
      </c>
    </row>
    <row r="20045" spans="1:1" x14ac:dyDescent="0.25">
      <c r="A20045" t="s">
        <v>18749</v>
      </c>
    </row>
    <row r="20046" spans="1:1" x14ac:dyDescent="0.25">
      <c r="A20046" t="s">
        <v>18750</v>
      </c>
    </row>
    <row r="20047" spans="1:1" x14ac:dyDescent="0.25">
      <c r="A20047" t="s">
        <v>18751</v>
      </c>
    </row>
    <row r="20048" spans="1:1" x14ac:dyDescent="0.25">
      <c r="A20048" t="s">
        <v>18752</v>
      </c>
    </row>
    <row r="20049" spans="1:1" x14ac:dyDescent="0.25">
      <c r="A20049" t="s">
        <v>18753</v>
      </c>
    </row>
    <row r="20050" spans="1:1" x14ac:dyDescent="0.25">
      <c r="A20050" t="s">
        <v>18754</v>
      </c>
    </row>
    <row r="20051" spans="1:1" x14ac:dyDescent="0.25">
      <c r="A20051" t="s">
        <v>18755</v>
      </c>
    </row>
    <row r="20052" spans="1:1" x14ac:dyDescent="0.25">
      <c r="A20052" t="s">
        <v>18756</v>
      </c>
    </row>
    <row r="20053" spans="1:1" x14ac:dyDescent="0.25">
      <c r="A20053" t="s">
        <v>18757</v>
      </c>
    </row>
    <row r="20054" spans="1:1" x14ac:dyDescent="0.25">
      <c r="A20054" t="s">
        <v>18758</v>
      </c>
    </row>
    <row r="20055" spans="1:1" x14ac:dyDescent="0.25">
      <c r="A20055" t="s">
        <v>18759</v>
      </c>
    </row>
    <row r="20056" spans="1:1" x14ac:dyDescent="0.25">
      <c r="A20056" t="s">
        <v>18760</v>
      </c>
    </row>
    <row r="20057" spans="1:1" x14ac:dyDescent="0.25">
      <c r="A20057" t="s">
        <v>18761</v>
      </c>
    </row>
    <row r="20058" spans="1:1" x14ac:dyDescent="0.25">
      <c r="A20058" t="s">
        <v>18762</v>
      </c>
    </row>
    <row r="20059" spans="1:1" x14ac:dyDescent="0.25">
      <c r="A20059" t="s">
        <v>18763</v>
      </c>
    </row>
    <row r="20060" spans="1:1" x14ac:dyDescent="0.25">
      <c r="A20060" t="s">
        <v>18764</v>
      </c>
    </row>
    <row r="20061" spans="1:1" x14ac:dyDescent="0.25">
      <c r="A20061" t="s">
        <v>18765</v>
      </c>
    </row>
    <row r="20062" spans="1:1" x14ac:dyDescent="0.25">
      <c r="A20062" t="s">
        <v>18766</v>
      </c>
    </row>
    <row r="20063" spans="1:1" x14ac:dyDescent="0.25">
      <c r="A20063" t="s">
        <v>18767</v>
      </c>
    </row>
    <row r="20064" spans="1:1" x14ac:dyDescent="0.25">
      <c r="A20064" t="s">
        <v>18768</v>
      </c>
    </row>
    <row r="20065" spans="1:1" x14ac:dyDescent="0.25">
      <c r="A20065" t="s">
        <v>18769</v>
      </c>
    </row>
    <row r="20066" spans="1:1" x14ac:dyDescent="0.25">
      <c r="A20066" t="s">
        <v>18770</v>
      </c>
    </row>
    <row r="20067" spans="1:1" x14ac:dyDescent="0.25">
      <c r="A20067" t="s">
        <v>18771</v>
      </c>
    </row>
    <row r="20068" spans="1:1" x14ac:dyDescent="0.25">
      <c r="A20068" t="s">
        <v>18772</v>
      </c>
    </row>
    <row r="20069" spans="1:1" x14ac:dyDescent="0.25">
      <c r="A20069" t="s">
        <v>18773</v>
      </c>
    </row>
    <row r="20070" spans="1:1" x14ac:dyDescent="0.25">
      <c r="A20070" t="s">
        <v>18774</v>
      </c>
    </row>
    <row r="20071" spans="1:1" x14ac:dyDescent="0.25">
      <c r="A20071" t="s">
        <v>18775</v>
      </c>
    </row>
    <row r="20072" spans="1:1" x14ac:dyDescent="0.25">
      <c r="A20072" t="s">
        <v>18776</v>
      </c>
    </row>
    <row r="20073" spans="1:1" x14ac:dyDescent="0.25">
      <c r="A20073" t="s">
        <v>18777</v>
      </c>
    </row>
    <row r="20074" spans="1:1" x14ac:dyDescent="0.25">
      <c r="A20074" t="s">
        <v>18778</v>
      </c>
    </row>
    <row r="20075" spans="1:1" x14ac:dyDescent="0.25">
      <c r="A20075" t="s">
        <v>18779</v>
      </c>
    </row>
    <row r="20076" spans="1:1" x14ac:dyDescent="0.25">
      <c r="A20076" t="s">
        <v>18780</v>
      </c>
    </row>
    <row r="20077" spans="1:1" x14ac:dyDescent="0.25">
      <c r="A20077" t="s">
        <v>18781</v>
      </c>
    </row>
    <row r="20078" spans="1:1" x14ac:dyDescent="0.25">
      <c r="A20078" t="s">
        <v>18782</v>
      </c>
    </row>
    <row r="20079" spans="1:1" x14ac:dyDescent="0.25">
      <c r="A20079" t="s">
        <v>18783</v>
      </c>
    </row>
    <row r="20080" spans="1:1" x14ac:dyDescent="0.25">
      <c r="A20080" t="s">
        <v>18784</v>
      </c>
    </row>
    <row r="20081" spans="1:1" x14ac:dyDescent="0.25">
      <c r="A20081" t="s">
        <v>18785</v>
      </c>
    </row>
    <row r="20082" spans="1:1" x14ac:dyDescent="0.25">
      <c r="A20082" t="s">
        <v>18786</v>
      </c>
    </row>
    <row r="20083" spans="1:1" x14ac:dyDescent="0.25">
      <c r="A20083" t="s">
        <v>18787</v>
      </c>
    </row>
    <row r="20084" spans="1:1" x14ac:dyDescent="0.25">
      <c r="A20084" t="s">
        <v>18788</v>
      </c>
    </row>
    <row r="20085" spans="1:1" x14ac:dyDescent="0.25">
      <c r="A20085" t="s">
        <v>18789</v>
      </c>
    </row>
    <row r="20086" spans="1:1" x14ac:dyDescent="0.25">
      <c r="A20086" t="s">
        <v>18790</v>
      </c>
    </row>
    <row r="20087" spans="1:1" x14ac:dyDescent="0.25">
      <c r="A20087" t="s">
        <v>18791</v>
      </c>
    </row>
    <row r="20088" spans="1:1" x14ac:dyDescent="0.25">
      <c r="A20088" t="s">
        <v>18792</v>
      </c>
    </row>
    <row r="20089" spans="1:1" x14ac:dyDescent="0.25">
      <c r="A20089" t="s">
        <v>18793</v>
      </c>
    </row>
    <row r="20090" spans="1:1" x14ac:dyDescent="0.25">
      <c r="A20090" t="s">
        <v>18794</v>
      </c>
    </row>
    <row r="20091" spans="1:1" x14ac:dyDescent="0.25">
      <c r="A20091" t="s">
        <v>18795</v>
      </c>
    </row>
    <row r="20092" spans="1:1" x14ac:dyDescent="0.25">
      <c r="A20092" t="s">
        <v>18796</v>
      </c>
    </row>
    <row r="20093" spans="1:1" x14ac:dyDescent="0.25">
      <c r="A20093" t="s">
        <v>18797</v>
      </c>
    </row>
    <row r="20094" spans="1:1" x14ac:dyDescent="0.25">
      <c r="A20094" t="s">
        <v>18798</v>
      </c>
    </row>
    <row r="20095" spans="1:1" x14ac:dyDescent="0.25">
      <c r="A20095" t="s">
        <v>18799</v>
      </c>
    </row>
    <row r="20096" spans="1:1" x14ac:dyDescent="0.25">
      <c r="A20096" t="s">
        <v>18800</v>
      </c>
    </row>
    <row r="20097" spans="1:1" x14ac:dyDescent="0.25">
      <c r="A20097" t="s">
        <v>18801</v>
      </c>
    </row>
    <row r="20098" spans="1:1" x14ac:dyDescent="0.25">
      <c r="A20098" t="s">
        <v>18802</v>
      </c>
    </row>
    <row r="20099" spans="1:1" x14ac:dyDescent="0.25">
      <c r="A20099" t="s">
        <v>18803</v>
      </c>
    </row>
    <row r="20100" spans="1:1" x14ac:dyDescent="0.25">
      <c r="A20100" t="s">
        <v>18804</v>
      </c>
    </row>
    <row r="20101" spans="1:1" x14ac:dyDescent="0.25">
      <c r="A20101" t="s">
        <v>18805</v>
      </c>
    </row>
    <row r="20102" spans="1:1" x14ac:dyDescent="0.25">
      <c r="A20102" t="s">
        <v>18806</v>
      </c>
    </row>
    <row r="20103" spans="1:1" x14ac:dyDescent="0.25">
      <c r="A20103" t="s">
        <v>18807</v>
      </c>
    </row>
    <row r="20104" spans="1:1" x14ac:dyDescent="0.25">
      <c r="A20104" t="s">
        <v>18808</v>
      </c>
    </row>
    <row r="20105" spans="1:1" x14ac:dyDescent="0.25">
      <c r="A20105" t="s">
        <v>18809</v>
      </c>
    </row>
    <row r="20106" spans="1:1" x14ac:dyDescent="0.25">
      <c r="A20106" t="s">
        <v>18810</v>
      </c>
    </row>
    <row r="20107" spans="1:1" x14ac:dyDescent="0.25">
      <c r="A20107" t="s">
        <v>18811</v>
      </c>
    </row>
    <row r="20108" spans="1:1" x14ac:dyDescent="0.25">
      <c r="A20108" t="s">
        <v>18812</v>
      </c>
    </row>
    <row r="20109" spans="1:1" x14ac:dyDescent="0.25">
      <c r="A20109" t="s">
        <v>18813</v>
      </c>
    </row>
    <row r="20110" spans="1:1" x14ac:dyDescent="0.25">
      <c r="A20110" t="s">
        <v>18814</v>
      </c>
    </row>
    <row r="20111" spans="1:1" x14ac:dyDescent="0.25">
      <c r="A20111" t="s">
        <v>18815</v>
      </c>
    </row>
    <row r="20112" spans="1:1" x14ac:dyDescent="0.25">
      <c r="A20112" t="s">
        <v>18816</v>
      </c>
    </row>
    <row r="20113" spans="1:1" x14ac:dyDescent="0.25">
      <c r="A20113" t="s">
        <v>18817</v>
      </c>
    </row>
    <row r="20114" spans="1:1" x14ac:dyDescent="0.25">
      <c r="A20114" t="s">
        <v>18818</v>
      </c>
    </row>
    <row r="20115" spans="1:1" x14ac:dyDescent="0.25">
      <c r="A20115" t="s">
        <v>18819</v>
      </c>
    </row>
    <row r="20116" spans="1:1" x14ac:dyDescent="0.25">
      <c r="A20116" t="s">
        <v>18820</v>
      </c>
    </row>
    <row r="20117" spans="1:1" x14ac:dyDescent="0.25">
      <c r="A20117" t="s">
        <v>18821</v>
      </c>
    </row>
    <row r="20118" spans="1:1" x14ac:dyDescent="0.25">
      <c r="A20118" t="s">
        <v>18822</v>
      </c>
    </row>
    <row r="20119" spans="1:1" x14ac:dyDescent="0.25">
      <c r="A20119" t="s">
        <v>18823</v>
      </c>
    </row>
    <row r="20120" spans="1:1" x14ac:dyDescent="0.25">
      <c r="A20120" t="s">
        <v>18824</v>
      </c>
    </row>
    <row r="20121" spans="1:1" x14ac:dyDescent="0.25">
      <c r="A20121" t="s">
        <v>18825</v>
      </c>
    </row>
    <row r="20122" spans="1:1" x14ac:dyDescent="0.25">
      <c r="A20122" t="s">
        <v>18826</v>
      </c>
    </row>
    <row r="20123" spans="1:1" x14ac:dyDescent="0.25">
      <c r="A20123" t="s">
        <v>18827</v>
      </c>
    </row>
    <row r="20124" spans="1:1" x14ac:dyDescent="0.25">
      <c r="A20124" t="s">
        <v>18828</v>
      </c>
    </row>
    <row r="20125" spans="1:1" x14ac:dyDescent="0.25">
      <c r="A20125" t="s">
        <v>18829</v>
      </c>
    </row>
    <row r="20126" spans="1:1" x14ac:dyDescent="0.25">
      <c r="A20126" t="s">
        <v>18830</v>
      </c>
    </row>
    <row r="20127" spans="1:1" x14ac:dyDescent="0.25">
      <c r="A20127" t="s">
        <v>18831</v>
      </c>
    </row>
    <row r="20128" spans="1:1" x14ac:dyDescent="0.25">
      <c r="A20128" t="s">
        <v>18832</v>
      </c>
    </row>
    <row r="20129" spans="1:1" x14ac:dyDescent="0.25">
      <c r="A20129" t="s">
        <v>18833</v>
      </c>
    </row>
    <row r="20130" spans="1:1" x14ac:dyDescent="0.25">
      <c r="A20130" t="s">
        <v>18834</v>
      </c>
    </row>
    <row r="20131" spans="1:1" x14ac:dyDescent="0.25">
      <c r="A20131" t="s">
        <v>18835</v>
      </c>
    </row>
    <row r="20132" spans="1:1" x14ac:dyDescent="0.25">
      <c r="A20132" t="s">
        <v>18836</v>
      </c>
    </row>
    <row r="20133" spans="1:1" x14ac:dyDescent="0.25">
      <c r="A20133" t="s">
        <v>18837</v>
      </c>
    </row>
    <row r="20134" spans="1:1" x14ac:dyDescent="0.25">
      <c r="A20134" t="s">
        <v>18838</v>
      </c>
    </row>
    <row r="20135" spans="1:1" x14ac:dyDescent="0.25">
      <c r="A20135" t="s">
        <v>18839</v>
      </c>
    </row>
    <row r="20136" spans="1:1" x14ac:dyDescent="0.25">
      <c r="A20136" t="s">
        <v>18840</v>
      </c>
    </row>
    <row r="20137" spans="1:1" x14ac:dyDescent="0.25">
      <c r="A20137" t="s">
        <v>18841</v>
      </c>
    </row>
    <row r="20138" spans="1:1" x14ac:dyDescent="0.25">
      <c r="A20138" t="s">
        <v>18842</v>
      </c>
    </row>
    <row r="20139" spans="1:1" x14ac:dyDescent="0.25">
      <c r="A20139" t="s">
        <v>18843</v>
      </c>
    </row>
    <row r="20140" spans="1:1" x14ac:dyDescent="0.25">
      <c r="A20140" t="s">
        <v>18844</v>
      </c>
    </row>
    <row r="20141" spans="1:1" x14ac:dyDescent="0.25">
      <c r="A20141" t="s">
        <v>18845</v>
      </c>
    </row>
    <row r="20142" spans="1:1" x14ac:dyDescent="0.25">
      <c r="A20142" t="s">
        <v>18846</v>
      </c>
    </row>
    <row r="20143" spans="1:1" x14ac:dyDescent="0.25">
      <c r="A20143" t="s">
        <v>18847</v>
      </c>
    </row>
    <row r="20144" spans="1:1" x14ac:dyDescent="0.25">
      <c r="A20144" t="s">
        <v>18848</v>
      </c>
    </row>
    <row r="20145" spans="1:1" x14ac:dyDescent="0.25">
      <c r="A20145" t="s">
        <v>18849</v>
      </c>
    </row>
    <row r="20146" spans="1:1" x14ac:dyDescent="0.25">
      <c r="A20146" t="s">
        <v>18850</v>
      </c>
    </row>
    <row r="20147" spans="1:1" x14ac:dyDescent="0.25">
      <c r="A20147" t="s">
        <v>18851</v>
      </c>
    </row>
    <row r="20148" spans="1:1" x14ac:dyDescent="0.25">
      <c r="A20148" t="s">
        <v>18852</v>
      </c>
    </row>
    <row r="20149" spans="1:1" x14ac:dyDescent="0.25">
      <c r="A20149" t="s">
        <v>18853</v>
      </c>
    </row>
    <row r="20150" spans="1:1" x14ac:dyDescent="0.25">
      <c r="A20150" t="s">
        <v>18854</v>
      </c>
    </row>
    <row r="20151" spans="1:1" x14ac:dyDescent="0.25">
      <c r="A20151" t="s">
        <v>18855</v>
      </c>
    </row>
    <row r="20152" spans="1:1" x14ac:dyDescent="0.25">
      <c r="A20152" t="s">
        <v>18856</v>
      </c>
    </row>
    <row r="20153" spans="1:1" x14ac:dyDescent="0.25">
      <c r="A20153" t="s">
        <v>18857</v>
      </c>
    </row>
    <row r="20154" spans="1:1" x14ac:dyDescent="0.25">
      <c r="A20154" t="s">
        <v>18858</v>
      </c>
    </row>
    <row r="20155" spans="1:1" x14ac:dyDescent="0.25">
      <c r="A20155" t="s">
        <v>18859</v>
      </c>
    </row>
    <row r="20156" spans="1:1" x14ac:dyDescent="0.25">
      <c r="A20156" t="s">
        <v>18860</v>
      </c>
    </row>
    <row r="20157" spans="1:1" x14ac:dyDescent="0.25">
      <c r="A20157" t="s">
        <v>18861</v>
      </c>
    </row>
    <row r="20158" spans="1:1" x14ac:dyDescent="0.25">
      <c r="A20158" t="s">
        <v>18862</v>
      </c>
    </row>
    <row r="20159" spans="1:1" x14ac:dyDescent="0.25">
      <c r="A20159" t="s">
        <v>18863</v>
      </c>
    </row>
    <row r="20160" spans="1:1" x14ac:dyDescent="0.25">
      <c r="A20160" t="s">
        <v>18864</v>
      </c>
    </row>
    <row r="20161" spans="1:1" x14ac:dyDescent="0.25">
      <c r="A20161" t="s">
        <v>18865</v>
      </c>
    </row>
    <row r="20162" spans="1:1" x14ac:dyDescent="0.25">
      <c r="A20162" t="s">
        <v>18866</v>
      </c>
    </row>
    <row r="20163" spans="1:1" x14ac:dyDescent="0.25">
      <c r="A20163" t="s">
        <v>18867</v>
      </c>
    </row>
    <row r="20164" spans="1:1" x14ac:dyDescent="0.25">
      <c r="A20164" t="s">
        <v>18868</v>
      </c>
    </row>
    <row r="20165" spans="1:1" x14ac:dyDescent="0.25">
      <c r="A20165" t="s">
        <v>18869</v>
      </c>
    </row>
    <row r="20166" spans="1:1" x14ac:dyDescent="0.25">
      <c r="A20166" t="s">
        <v>18870</v>
      </c>
    </row>
    <row r="20167" spans="1:1" x14ac:dyDescent="0.25">
      <c r="A20167" t="s">
        <v>18871</v>
      </c>
    </row>
    <row r="20168" spans="1:1" x14ac:dyDescent="0.25">
      <c r="A20168" t="s">
        <v>18872</v>
      </c>
    </row>
    <row r="20169" spans="1:1" x14ac:dyDescent="0.25">
      <c r="A20169" t="s">
        <v>18873</v>
      </c>
    </row>
    <row r="20170" spans="1:1" x14ac:dyDescent="0.25">
      <c r="A20170" t="s">
        <v>18874</v>
      </c>
    </row>
    <row r="20171" spans="1:1" x14ac:dyDescent="0.25">
      <c r="A20171" t="s">
        <v>18875</v>
      </c>
    </row>
    <row r="20172" spans="1:1" x14ac:dyDescent="0.25">
      <c r="A20172" t="s">
        <v>18876</v>
      </c>
    </row>
    <row r="20173" spans="1:1" x14ac:dyDescent="0.25">
      <c r="A20173" t="s">
        <v>18877</v>
      </c>
    </row>
    <row r="20174" spans="1:1" x14ac:dyDescent="0.25">
      <c r="A20174" t="s">
        <v>18878</v>
      </c>
    </row>
    <row r="20175" spans="1:1" x14ac:dyDescent="0.25">
      <c r="A20175" t="s">
        <v>18879</v>
      </c>
    </row>
    <row r="20176" spans="1:1" x14ac:dyDescent="0.25">
      <c r="A20176" t="s">
        <v>18880</v>
      </c>
    </row>
    <row r="20177" spans="1:1" x14ac:dyDescent="0.25">
      <c r="A20177" t="s">
        <v>18881</v>
      </c>
    </row>
    <row r="20178" spans="1:1" x14ac:dyDescent="0.25">
      <c r="A20178" t="s">
        <v>18882</v>
      </c>
    </row>
    <row r="20179" spans="1:1" x14ac:dyDescent="0.25">
      <c r="A20179" t="s">
        <v>18883</v>
      </c>
    </row>
    <row r="20180" spans="1:1" x14ac:dyDescent="0.25">
      <c r="A20180" t="s">
        <v>18884</v>
      </c>
    </row>
    <row r="20181" spans="1:1" x14ac:dyDescent="0.25">
      <c r="A20181" t="s">
        <v>18885</v>
      </c>
    </row>
    <row r="20182" spans="1:1" x14ac:dyDescent="0.25">
      <c r="A20182" t="s">
        <v>18886</v>
      </c>
    </row>
    <row r="20183" spans="1:1" x14ac:dyDescent="0.25">
      <c r="A20183" t="s">
        <v>18887</v>
      </c>
    </row>
    <row r="20184" spans="1:1" x14ac:dyDescent="0.25">
      <c r="A20184" t="s">
        <v>18888</v>
      </c>
    </row>
    <row r="20185" spans="1:1" x14ac:dyDescent="0.25">
      <c r="A20185" t="s">
        <v>18889</v>
      </c>
    </row>
    <row r="20186" spans="1:1" x14ac:dyDescent="0.25">
      <c r="A20186" t="s">
        <v>18890</v>
      </c>
    </row>
    <row r="20187" spans="1:1" x14ac:dyDescent="0.25">
      <c r="A20187" t="s">
        <v>18891</v>
      </c>
    </row>
    <row r="20188" spans="1:1" x14ac:dyDescent="0.25">
      <c r="A20188" t="s">
        <v>18892</v>
      </c>
    </row>
    <row r="20189" spans="1:1" x14ac:dyDescent="0.25">
      <c r="A20189" t="s">
        <v>18893</v>
      </c>
    </row>
    <row r="20190" spans="1:1" x14ac:dyDescent="0.25">
      <c r="A20190" t="s">
        <v>18894</v>
      </c>
    </row>
    <row r="20191" spans="1:1" x14ac:dyDescent="0.25">
      <c r="A20191" t="s">
        <v>18895</v>
      </c>
    </row>
    <row r="20192" spans="1:1" x14ac:dyDescent="0.25">
      <c r="A20192" t="s">
        <v>18896</v>
      </c>
    </row>
    <row r="20193" spans="1:1" x14ac:dyDescent="0.25">
      <c r="A20193" t="s">
        <v>18897</v>
      </c>
    </row>
    <row r="20194" spans="1:1" x14ac:dyDescent="0.25">
      <c r="A20194" t="s">
        <v>18898</v>
      </c>
    </row>
    <row r="20195" spans="1:1" x14ac:dyDescent="0.25">
      <c r="A20195" t="s">
        <v>18899</v>
      </c>
    </row>
    <row r="20196" spans="1:1" x14ac:dyDescent="0.25">
      <c r="A20196" t="s">
        <v>18900</v>
      </c>
    </row>
    <row r="20197" spans="1:1" x14ac:dyDescent="0.25">
      <c r="A20197" t="s">
        <v>18901</v>
      </c>
    </row>
    <row r="20198" spans="1:1" x14ac:dyDescent="0.25">
      <c r="A20198" t="s">
        <v>18902</v>
      </c>
    </row>
    <row r="20199" spans="1:1" x14ac:dyDescent="0.25">
      <c r="A20199" t="s">
        <v>18903</v>
      </c>
    </row>
    <row r="20200" spans="1:1" x14ac:dyDescent="0.25">
      <c r="A20200" t="s">
        <v>18904</v>
      </c>
    </row>
    <row r="20201" spans="1:1" x14ac:dyDescent="0.25">
      <c r="A20201" t="s">
        <v>18905</v>
      </c>
    </row>
    <row r="20202" spans="1:1" x14ac:dyDescent="0.25">
      <c r="A20202" t="s">
        <v>18906</v>
      </c>
    </row>
    <row r="20203" spans="1:1" x14ac:dyDescent="0.25">
      <c r="A20203" t="s">
        <v>18907</v>
      </c>
    </row>
    <row r="20204" spans="1:1" x14ac:dyDescent="0.25">
      <c r="A20204" t="s">
        <v>18908</v>
      </c>
    </row>
    <row r="20205" spans="1:1" x14ac:dyDescent="0.25">
      <c r="A20205" t="s">
        <v>18909</v>
      </c>
    </row>
    <row r="20206" spans="1:1" x14ac:dyDescent="0.25">
      <c r="A20206" t="s">
        <v>18910</v>
      </c>
    </row>
    <row r="20207" spans="1:1" x14ac:dyDescent="0.25">
      <c r="A20207" t="s">
        <v>18911</v>
      </c>
    </row>
    <row r="20208" spans="1:1" x14ac:dyDescent="0.25">
      <c r="A20208" t="s">
        <v>18912</v>
      </c>
    </row>
    <row r="20209" spans="1:1" x14ac:dyDescent="0.25">
      <c r="A20209" t="s">
        <v>18913</v>
      </c>
    </row>
    <row r="20210" spans="1:1" x14ac:dyDescent="0.25">
      <c r="A20210" t="s">
        <v>18914</v>
      </c>
    </row>
    <row r="20211" spans="1:1" x14ac:dyDescent="0.25">
      <c r="A20211" t="s">
        <v>18915</v>
      </c>
    </row>
    <row r="20212" spans="1:1" x14ac:dyDescent="0.25">
      <c r="A20212" t="s">
        <v>18916</v>
      </c>
    </row>
    <row r="20213" spans="1:1" x14ac:dyDescent="0.25">
      <c r="A20213" t="s">
        <v>18917</v>
      </c>
    </row>
    <row r="20214" spans="1:1" x14ac:dyDescent="0.25">
      <c r="A20214" t="s">
        <v>18918</v>
      </c>
    </row>
    <row r="20215" spans="1:1" x14ac:dyDescent="0.25">
      <c r="A20215" t="s">
        <v>18919</v>
      </c>
    </row>
    <row r="20216" spans="1:1" x14ac:dyDescent="0.25">
      <c r="A20216" t="s">
        <v>18920</v>
      </c>
    </row>
    <row r="20217" spans="1:1" x14ac:dyDescent="0.25">
      <c r="A20217" t="s">
        <v>18921</v>
      </c>
    </row>
    <row r="20218" spans="1:1" x14ac:dyDescent="0.25">
      <c r="A20218" t="s">
        <v>18922</v>
      </c>
    </row>
    <row r="20219" spans="1:1" x14ac:dyDescent="0.25">
      <c r="A20219" t="s">
        <v>18923</v>
      </c>
    </row>
    <row r="20220" spans="1:1" x14ac:dyDescent="0.25">
      <c r="A20220" t="s">
        <v>18924</v>
      </c>
    </row>
    <row r="20221" spans="1:1" x14ac:dyDescent="0.25">
      <c r="A20221" t="s">
        <v>18925</v>
      </c>
    </row>
    <row r="20222" spans="1:1" x14ac:dyDescent="0.25">
      <c r="A20222" t="s">
        <v>18926</v>
      </c>
    </row>
    <row r="20223" spans="1:1" x14ac:dyDescent="0.25">
      <c r="A20223" t="s">
        <v>18927</v>
      </c>
    </row>
    <row r="20224" spans="1:1" x14ac:dyDescent="0.25">
      <c r="A20224" t="s">
        <v>18928</v>
      </c>
    </row>
    <row r="20225" spans="1:1" x14ac:dyDescent="0.25">
      <c r="A20225" t="s">
        <v>18929</v>
      </c>
    </row>
    <row r="20226" spans="1:1" x14ac:dyDescent="0.25">
      <c r="A20226" t="s">
        <v>18930</v>
      </c>
    </row>
    <row r="20227" spans="1:1" x14ac:dyDescent="0.25">
      <c r="A20227" t="s">
        <v>18931</v>
      </c>
    </row>
    <row r="20228" spans="1:1" x14ac:dyDescent="0.25">
      <c r="A20228" t="s">
        <v>18932</v>
      </c>
    </row>
    <row r="20229" spans="1:1" x14ac:dyDescent="0.25">
      <c r="A20229" t="s">
        <v>18933</v>
      </c>
    </row>
    <row r="20230" spans="1:1" x14ac:dyDescent="0.25">
      <c r="A20230" t="s">
        <v>18934</v>
      </c>
    </row>
    <row r="20231" spans="1:1" x14ac:dyDescent="0.25">
      <c r="A20231" t="s">
        <v>18935</v>
      </c>
    </row>
    <row r="20232" spans="1:1" x14ac:dyDescent="0.25">
      <c r="A20232" t="s">
        <v>18936</v>
      </c>
    </row>
    <row r="20233" spans="1:1" x14ac:dyDescent="0.25">
      <c r="A20233" t="s">
        <v>18937</v>
      </c>
    </row>
    <row r="20234" spans="1:1" x14ac:dyDescent="0.25">
      <c r="A20234" t="s">
        <v>18938</v>
      </c>
    </row>
    <row r="20235" spans="1:1" x14ac:dyDescent="0.25">
      <c r="A20235" t="s">
        <v>18939</v>
      </c>
    </row>
    <row r="20236" spans="1:1" x14ac:dyDescent="0.25">
      <c r="A20236" t="s">
        <v>18940</v>
      </c>
    </row>
    <row r="20237" spans="1:1" x14ac:dyDescent="0.25">
      <c r="A20237" t="s">
        <v>18941</v>
      </c>
    </row>
    <row r="20238" spans="1:1" x14ac:dyDescent="0.25">
      <c r="A20238" t="s">
        <v>18942</v>
      </c>
    </row>
    <row r="20239" spans="1:1" x14ac:dyDescent="0.25">
      <c r="A20239" t="s">
        <v>18943</v>
      </c>
    </row>
    <row r="20240" spans="1:1" x14ac:dyDescent="0.25">
      <c r="A20240" t="s">
        <v>18944</v>
      </c>
    </row>
    <row r="20241" spans="1:1" x14ac:dyDescent="0.25">
      <c r="A20241" t="s">
        <v>18945</v>
      </c>
    </row>
    <row r="20242" spans="1:1" x14ac:dyDescent="0.25">
      <c r="A20242" t="s">
        <v>18946</v>
      </c>
    </row>
    <row r="20243" spans="1:1" x14ac:dyDescent="0.25">
      <c r="A20243" t="s">
        <v>18947</v>
      </c>
    </row>
    <row r="20244" spans="1:1" x14ac:dyDescent="0.25">
      <c r="A20244" t="s">
        <v>18948</v>
      </c>
    </row>
    <row r="20245" spans="1:1" x14ac:dyDescent="0.25">
      <c r="A20245" t="s">
        <v>18949</v>
      </c>
    </row>
    <row r="20246" spans="1:1" x14ac:dyDescent="0.25">
      <c r="A20246" t="s">
        <v>18950</v>
      </c>
    </row>
    <row r="20247" spans="1:1" x14ac:dyDescent="0.25">
      <c r="A20247" t="s">
        <v>18951</v>
      </c>
    </row>
    <row r="20248" spans="1:1" x14ac:dyDescent="0.25">
      <c r="A20248" t="s">
        <v>18952</v>
      </c>
    </row>
    <row r="20249" spans="1:1" x14ac:dyDescent="0.25">
      <c r="A20249" t="s">
        <v>18953</v>
      </c>
    </row>
    <row r="20250" spans="1:1" x14ac:dyDescent="0.25">
      <c r="A20250" t="s">
        <v>18954</v>
      </c>
    </row>
    <row r="20251" spans="1:1" x14ac:dyDescent="0.25">
      <c r="A20251" t="s">
        <v>18955</v>
      </c>
    </row>
    <row r="20252" spans="1:1" x14ac:dyDescent="0.25">
      <c r="A20252" t="s">
        <v>18956</v>
      </c>
    </row>
    <row r="20253" spans="1:1" x14ac:dyDescent="0.25">
      <c r="A20253" t="s">
        <v>18957</v>
      </c>
    </row>
    <row r="20254" spans="1:1" x14ac:dyDescent="0.25">
      <c r="A20254" t="s">
        <v>18958</v>
      </c>
    </row>
    <row r="20255" spans="1:1" x14ac:dyDescent="0.25">
      <c r="A20255" t="s">
        <v>18959</v>
      </c>
    </row>
    <row r="20256" spans="1:1" x14ac:dyDescent="0.25">
      <c r="A20256" t="s">
        <v>18960</v>
      </c>
    </row>
    <row r="20257" spans="1:1" x14ac:dyDescent="0.25">
      <c r="A20257" t="s">
        <v>18961</v>
      </c>
    </row>
    <row r="20258" spans="1:1" x14ac:dyDescent="0.25">
      <c r="A20258" t="s">
        <v>18962</v>
      </c>
    </row>
    <row r="20259" spans="1:1" x14ac:dyDescent="0.25">
      <c r="A20259" t="s">
        <v>18963</v>
      </c>
    </row>
    <row r="20260" spans="1:1" x14ac:dyDescent="0.25">
      <c r="A20260" t="s">
        <v>18964</v>
      </c>
    </row>
    <row r="20261" spans="1:1" x14ac:dyDescent="0.25">
      <c r="A20261" t="s">
        <v>18965</v>
      </c>
    </row>
    <row r="20262" spans="1:1" x14ac:dyDescent="0.25">
      <c r="A20262" t="s">
        <v>18966</v>
      </c>
    </row>
    <row r="20263" spans="1:1" x14ac:dyDescent="0.25">
      <c r="A20263" t="s">
        <v>18967</v>
      </c>
    </row>
    <row r="20264" spans="1:1" x14ac:dyDescent="0.25">
      <c r="A20264" t="s">
        <v>18968</v>
      </c>
    </row>
    <row r="20265" spans="1:1" x14ac:dyDescent="0.25">
      <c r="A20265" t="s">
        <v>18969</v>
      </c>
    </row>
    <row r="20266" spans="1:1" x14ac:dyDescent="0.25">
      <c r="A20266" t="s">
        <v>18970</v>
      </c>
    </row>
    <row r="20267" spans="1:1" x14ac:dyDescent="0.25">
      <c r="A20267" t="s">
        <v>18971</v>
      </c>
    </row>
    <row r="20268" spans="1:1" x14ac:dyDescent="0.25">
      <c r="A20268" t="s">
        <v>18972</v>
      </c>
    </row>
    <row r="20269" spans="1:1" x14ac:dyDescent="0.25">
      <c r="A20269" t="s">
        <v>18973</v>
      </c>
    </row>
    <row r="20270" spans="1:1" x14ac:dyDescent="0.25">
      <c r="A20270" t="s">
        <v>18974</v>
      </c>
    </row>
    <row r="20271" spans="1:1" x14ac:dyDescent="0.25">
      <c r="A20271" t="s">
        <v>18975</v>
      </c>
    </row>
    <row r="20272" spans="1:1" x14ac:dyDescent="0.25">
      <c r="A20272" t="s">
        <v>18976</v>
      </c>
    </row>
    <row r="20273" spans="1:1" x14ac:dyDescent="0.25">
      <c r="A20273" t="s">
        <v>18977</v>
      </c>
    </row>
    <row r="20274" spans="1:1" x14ac:dyDescent="0.25">
      <c r="A20274" t="s">
        <v>18978</v>
      </c>
    </row>
    <row r="20275" spans="1:1" x14ac:dyDescent="0.25">
      <c r="A20275" t="s">
        <v>18979</v>
      </c>
    </row>
    <row r="20276" spans="1:1" x14ac:dyDescent="0.25">
      <c r="A20276" t="s">
        <v>18980</v>
      </c>
    </row>
    <row r="20277" spans="1:1" x14ac:dyDescent="0.25">
      <c r="A20277" t="s">
        <v>18981</v>
      </c>
    </row>
    <row r="20278" spans="1:1" x14ac:dyDescent="0.25">
      <c r="A20278" t="s">
        <v>18982</v>
      </c>
    </row>
    <row r="20279" spans="1:1" x14ac:dyDescent="0.25">
      <c r="A20279" t="s">
        <v>18983</v>
      </c>
    </row>
    <row r="20280" spans="1:1" x14ac:dyDescent="0.25">
      <c r="A20280" t="s">
        <v>18984</v>
      </c>
    </row>
    <row r="20281" spans="1:1" x14ac:dyDescent="0.25">
      <c r="A20281" t="s">
        <v>18985</v>
      </c>
    </row>
    <row r="20282" spans="1:1" x14ac:dyDescent="0.25">
      <c r="A20282" t="s">
        <v>18986</v>
      </c>
    </row>
    <row r="20283" spans="1:1" x14ac:dyDescent="0.25">
      <c r="A20283" t="s">
        <v>18987</v>
      </c>
    </row>
    <row r="20284" spans="1:1" x14ac:dyDescent="0.25">
      <c r="A20284" t="s">
        <v>18988</v>
      </c>
    </row>
    <row r="20285" spans="1:1" x14ac:dyDescent="0.25">
      <c r="A20285" t="s">
        <v>18989</v>
      </c>
    </row>
    <row r="20286" spans="1:1" x14ac:dyDescent="0.25">
      <c r="A20286" t="s">
        <v>18990</v>
      </c>
    </row>
    <row r="20287" spans="1:1" x14ac:dyDescent="0.25">
      <c r="A20287" t="s">
        <v>18991</v>
      </c>
    </row>
    <row r="20288" spans="1:1" x14ac:dyDescent="0.25">
      <c r="A20288" t="s">
        <v>18992</v>
      </c>
    </row>
    <row r="20289" spans="1:1" x14ac:dyDescent="0.25">
      <c r="A20289" t="s">
        <v>18993</v>
      </c>
    </row>
    <row r="20290" spans="1:1" x14ac:dyDescent="0.25">
      <c r="A20290" t="s">
        <v>18994</v>
      </c>
    </row>
    <row r="20291" spans="1:1" x14ac:dyDescent="0.25">
      <c r="A20291" t="s">
        <v>18995</v>
      </c>
    </row>
    <row r="20292" spans="1:1" x14ac:dyDescent="0.25">
      <c r="A20292" t="s">
        <v>18996</v>
      </c>
    </row>
    <row r="20293" spans="1:1" x14ac:dyDescent="0.25">
      <c r="A20293" t="s">
        <v>18997</v>
      </c>
    </row>
    <row r="20294" spans="1:1" x14ac:dyDescent="0.25">
      <c r="A20294" t="s">
        <v>18998</v>
      </c>
    </row>
    <row r="20295" spans="1:1" x14ac:dyDescent="0.25">
      <c r="A20295" t="s">
        <v>18999</v>
      </c>
    </row>
    <row r="20296" spans="1:1" x14ac:dyDescent="0.25">
      <c r="A20296" t="s">
        <v>19000</v>
      </c>
    </row>
    <row r="20297" spans="1:1" x14ac:dyDescent="0.25">
      <c r="A20297" t="s">
        <v>19001</v>
      </c>
    </row>
    <row r="20298" spans="1:1" x14ac:dyDescent="0.25">
      <c r="A20298" t="s">
        <v>19002</v>
      </c>
    </row>
    <row r="20299" spans="1:1" x14ac:dyDescent="0.25">
      <c r="A20299" t="s">
        <v>19003</v>
      </c>
    </row>
    <row r="20300" spans="1:1" x14ac:dyDescent="0.25">
      <c r="A20300" t="s">
        <v>19004</v>
      </c>
    </row>
    <row r="20301" spans="1:1" x14ac:dyDescent="0.25">
      <c r="A20301" t="s">
        <v>19005</v>
      </c>
    </row>
    <row r="20302" spans="1:1" x14ac:dyDescent="0.25">
      <c r="A20302" t="s">
        <v>19006</v>
      </c>
    </row>
    <row r="20303" spans="1:1" x14ac:dyDescent="0.25">
      <c r="A20303" t="s">
        <v>19007</v>
      </c>
    </row>
    <row r="20304" spans="1:1" x14ac:dyDescent="0.25">
      <c r="A20304" t="s">
        <v>19008</v>
      </c>
    </row>
    <row r="20305" spans="1:1" x14ac:dyDescent="0.25">
      <c r="A20305" t="s">
        <v>19009</v>
      </c>
    </row>
    <row r="20306" spans="1:1" x14ac:dyDescent="0.25">
      <c r="A20306" t="s">
        <v>19010</v>
      </c>
    </row>
    <row r="20307" spans="1:1" x14ac:dyDescent="0.25">
      <c r="A20307" t="s">
        <v>19011</v>
      </c>
    </row>
    <row r="20308" spans="1:1" x14ac:dyDescent="0.25">
      <c r="A20308" t="s">
        <v>19012</v>
      </c>
    </row>
    <row r="20309" spans="1:1" x14ac:dyDescent="0.25">
      <c r="A20309" t="s">
        <v>19013</v>
      </c>
    </row>
    <row r="20310" spans="1:1" x14ac:dyDescent="0.25">
      <c r="A20310" t="s">
        <v>19014</v>
      </c>
    </row>
    <row r="20311" spans="1:1" x14ac:dyDescent="0.25">
      <c r="A20311" t="s">
        <v>19015</v>
      </c>
    </row>
    <row r="20312" spans="1:1" x14ac:dyDescent="0.25">
      <c r="A20312" t="s">
        <v>19016</v>
      </c>
    </row>
    <row r="20313" spans="1:1" x14ac:dyDescent="0.25">
      <c r="A20313" t="s">
        <v>19017</v>
      </c>
    </row>
    <row r="20314" spans="1:1" x14ac:dyDescent="0.25">
      <c r="A20314" t="s">
        <v>19018</v>
      </c>
    </row>
    <row r="20315" spans="1:1" x14ac:dyDescent="0.25">
      <c r="A20315" t="s">
        <v>19019</v>
      </c>
    </row>
    <row r="20316" spans="1:1" x14ac:dyDescent="0.25">
      <c r="A20316" t="s">
        <v>19020</v>
      </c>
    </row>
    <row r="20317" spans="1:1" x14ac:dyDescent="0.25">
      <c r="A20317" t="s">
        <v>19021</v>
      </c>
    </row>
    <row r="20318" spans="1:1" x14ac:dyDescent="0.25">
      <c r="A20318" t="s">
        <v>19022</v>
      </c>
    </row>
    <row r="20319" spans="1:1" x14ac:dyDescent="0.25">
      <c r="A20319" t="s">
        <v>19023</v>
      </c>
    </row>
    <row r="20320" spans="1:1" x14ac:dyDescent="0.25">
      <c r="A20320" t="s">
        <v>19024</v>
      </c>
    </row>
    <row r="20321" spans="1:1" x14ac:dyDescent="0.25">
      <c r="A20321" t="s">
        <v>19025</v>
      </c>
    </row>
    <row r="20322" spans="1:1" x14ac:dyDescent="0.25">
      <c r="A20322" t="s">
        <v>19026</v>
      </c>
    </row>
    <row r="20323" spans="1:1" x14ac:dyDescent="0.25">
      <c r="A20323" t="s">
        <v>19027</v>
      </c>
    </row>
    <row r="20324" spans="1:1" x14ac:dyDescent="0.25">
      <c r="A20324" t="s">
        <v>19028</v>
      </c>
    </row>
    <row r="20325" spans="1:1" x14ac:dyDescent="0.25">
      <c r="A20325" t="s">
        <v>19029</v>
      </c>
    </row>
    <row r="20326" spans="1:1" x14ac:dyDescent="0.25">
      <c r="A20326" t="s">
        <v>19030</v>
      </c>
    </row>
    <row r="20327" spans="1:1" x14ac:dyDescent="0.25">
      <c r="A20327" t="s">
        <v>19031</v>
      </c>
    </row>
    <row r="20328" spans="1:1" x14ac:dyDescent="0.25">
      <c r="A20328" t="s">
        <v>19032</v>
      </c>
    </row>
    <row r="20329" spans="1:1" x14ac:dyDescent="0.25">
      <c r="A20329" t="s">
        <v>19033</v>
      </c>
    </row>
    <row r="20330" spans="1:1" x14ac:dyDescent="0.25">
      <c r="A20330" t="s">
        <v>19034</v>
      </c>
    </row>
    <row r="20331" spans="1:1" x14ac:dyDescent="0.25">
      <c r="A20331" t="s">
        <v>19035</v>
      </c>
    </row>
    <row r="20332" spans="1:1" x14ac:dyDescent="0.25">
      <c r="A20332" t="s">
        <v>19036</v>
      </c>
    </row>
    <row r="20333" spans="1:1" x14ac:dyDescent="0.25">
      <c r="A20333" t="s">
        <v>19037</v>
      </c>
    </row>
    <row r="20334" spans="1:1" x14ac:dyDescent="0.25">
      <c r="A20334" t="s">
        <v>19038</v>
      </c>
    </row>
    <row r="20335" spans="1:1" x14ac:dyDescent="0.25">
      <c r="A20335" t="s">
        <v>19039</v>
      </c>
    </row>
    <row r="20336" spans="1:1" x14ac:dyDescent="0.25">
      <c r="A20336" t="s">
        <v>19040</v>
      </c>
    </row>
    <row r="20337" spans="1:1" x14ac:dyDescent="0.25">
      <c r="A20337" t="s">
        <v>19041</v>
      </c>
    </row>
    <row r="20338" spans="1:1" x14ac:dyDescent="0.25">
      <c r="A20338" t="s">
        <v>19042</v>
      </c>
    </row>
    <row r="20339" spans="1:1" x14ac:dyDescent="0.25">
      <c r="A20339" t="s">
        <v>19043</v>
      </c>
    </row>
    <row r="20340" spans="1:1" x14ac:dyDescent="0.25">
      <c r="A20340" t="s">
        <v>19044</v>
      </c>
    </row>
    <row r="20341" spans="1:1" x14ac:dyDescent="0.25">
      <c r="A20341" t="s">
        <v>19045</v>
      </c>
    </row>
    <row r="20342" spans="1:1" x14ac:dyDescent="0.25">
      <c r="A20342" t="s">
        <v>19046</v>
      </c>
    </row>
    <row r="20343" spans="1:1" x14ac:dyDescent="0.25">
      <c r="A20343" t="s">
        <v>19047</v>
      </c>
    </row>
    <row r="20344" spans="1:1" x14ac:dyDescent="0.25">
      <c r="A20344" t="s">
        <v>19048</v>
      </c>
    </row>
    <row r="20345" spans="1:1" x14ac:dyDescent="0.25">
      <c r="A20345" t="s">
        <v>19049</v>
      </c>
    </row>
    <row r="20346" spans="1:1" x14ac:dyDescent="0.25">
      <c r="A20346" t="s">
        <v>19050</v>
      </c>
    </row>
    <row r="20347" spans="1:1" x14ac:dyDescent="0.25">
      <c r="A20347" t="s">
        <v>19051</v>
      </c>
    </row>
    <row r="20348" spans="1:1" x14ac:dyDescent="0.25">
      <c r="A20348" t="s">
        <v>19052</v>
      </c>
    </row>
    <row r="20349" spans="1:1" x14ac:dyDescent="0.25">
      <c r="A20349" t="s">
        <v>19053</v>
      </c>
    </row>
    <row r="20350" spans="1:1" x14ac:dyDescent="0.25">
      <c r="A20350" t="s">
        <v>19054</v>
      </c>
    </row>
    <row r="20351" spans="1:1" x14ac:dyDescent="0.25">
      <c r="A20351" t="s">
        <v>19055</v>
      </c>
    </row>
    <row r="20352" spans="1:1" x14ac:dyDescent="0.25">
      <c r="A20352" t="s">
        <v>19056</v>
      </c>
    </row>
    <row r="20353" spans="1:1" x14ac:dyDescent="0.25">
      <c r="A20353" t="s">
        <v>19057</v>
      </c>
    </row>
    <row r="20354" spans="1:1" x14ac:dyDescent="0.25">
      <c r="A20354" t="s">
        <v>19058</v>
      </c>
    </row>
    <row r="20355" spans="1:1" x14ac:dyDescent="0.25">
      <c r="A20355" t="s">
        <v>19059</v>
      </c>
    </row>
    <row r="20356" spans="1:1" x14ac:dyDescent="0.25">
      <c r="A20356" t="s">
        <v>19060</v>
      </c>
    </row>
    <row r="20357" spans="1:1" x14ac:dyDescent="0.25">
      <c r="A20357" t="s">
        <v>19061</v>
      </c>
    </row>
    <row r="20358" spans="1:1" x14ac:dyDescent="0.25">
      <c r="A20358" t="s">
        <v>19062</v>
      </c>
    </row>
    <row r="20359" spans="1:1" x14ac:dyDescent="0.25">
      <c r="A20359" t="s">
        <v>19063</v>
      </c>
    </row>
    <row r="20360" spans="1:1" x14ac:dyDescent="0.25">
      <c r="A20360" t="s">
        <v>19064</v>
      </c>
    </row>
    <row r="20361" spans="1:1" x14ac:dyDescent="0.25">
      <c r="A20361" t="s">
        <v>19065</v>
      </c>
    </row>
    <row r="20362" spans="1:1" x14ac:dyDescent="0.25">
      <c r="A20362" t="s">
        <v>19066</v>
      </c>
    </row>
    <row r="20363" spans="1:1" x14ac:dyDescent="0.25">
      <c r="A20363" t="s">
        <v>19067</v>
      </c>
    </row>
    <row r="20364" spans="1:1" x14ac:dyDescent="0.25">
      <c r="A20364" t="s">
        <v>19068</v>
      </c>
    </row>
    <row r="20365" spans="1:1" x14ac:dyDescent="0.25">
      <c r="A20365" t="s">
        <v>19069</v>
      </c>
    </row>
    <row r="20366" spans="1:1" x14ac:dyDescent="0.25">
      <c r="A20366" t="s">
        <v>19070</v>
      </c>
    </row>
    <row r="20367" spans="1:1" x14ac:dyDescent="0.25">
      <c r="A20367" t="s">
        <v>19071</v>
      </c>
    </row>
    <row r="20368" spans="1:1" x14ac:dyDescent="0.25">
      <c r="A20368" t="s">
        <v>19072</v>
      </c>
    </row>
    <row r="20369" spans="1:1" x14ac:dyDescent="0.25">
      <c r="A20369" t="s">
        <v>19073</v>
      </c>
    </row>
    <row r="20370" spans="1:1" x14ac:dyDescent="0.25">
      <c r="A20370" t="s">
        <v>19074</v>
      </c>
    </row>
    <row r="20371" spans="1:1" x14ac:dyDescent="0.25">
      <c r="A20371" t="s">
        <v>19075</v>
      </c>
    </row>
    <row r="20372" spans="1:1" x14ac:dyDescent="0.25">
      <c r="A20372" t="s">
        <v>19076</v>
      </c>
    </row>
    <row r="20373" spans="1:1" x14ac:dyDescent="0.25">
      <c r="A20373" t="s">
        <v>19077</v>
      </c>
    </row>
    <row r="20374" spans="1:1" x14ac:dyDescent="0.25">
      <c r="A20374" t="s">
        <v>19078</v>
      </c>
    </row>
    <row r="20375" spans="1:1" x14ac:dyDescent="0.25">
      <c r="A20375" t="s">
        <v>19079</v>
      </c>
    </row>
    <row r="20376" spans="1:1" x14ac:dyDescent="0.25">
      <c r="A20376" t="s">
        <v>19080</v>
      </c>
    </row>
    <row r="20377" spans="1:1" x14ac:dyDescent="0.25">
      <c r="A20377" t="s">
        <v>19081</v>
      </c>
    </row>
    <row r="20378" spans="1:1" x14ac:dyDescent="0.25">
      <c r="A20378" t="s">
        <v>19082</v>
      </c>
    </row>
    <row r="20379" spans="1:1" x14ac:dyDescent="0.25">
      <c r="A20379" t="s">
        <v>19083</v>
      </c>
    </row>
    <row r="20380" spans="1:1" x14ac:dyDescent="0.25">
      <c r="A20380" t="s">
        <v>19084</v>
      </c>
    </row>
    <row r="20381" spans="1:1" x14ac:dyDescent="0.25">
      <c r="A20381" t="s">
        <v>19085</v>
      </c>
    </row>
    <row r="20382" spans="1:1" x14ac:dyDescent="0.25">
      <c r="A20382" t="s">
        <v>19086</v>
      </c>
    </row>
    <row r="20383" spans="1:1" x14ac:dyDescent="0.25">
      <c r="A20383" t="s">
        <v>19087</v>
      </c>
    </row>
    <row r="20384" spans="1:1" x14ac:dyDescent="0.25">
      <c r="A20384" t="s">
        <v>19088</v>
      </c>
    </row>
    <row r="20385" spans="1:1" x14ac:dyDescent="0.25">
      <c r="A20385" t="s">
        <v>19089</v>
      </c>
    </row>
    <row r="20386" spans="1:1" x14ac:dyDescent="0.25">
      <c r="A20386" t="s">
        <v>19090</v>
      </c>
    </row>
    <row r="20387" spans="1:1" x14ac:dyDescent="0.25">
      <c r="A20387" t="s">
        <v>19091</v>
      </c>
    </row>
    <row r="20388" spans="1:1" x14ac:dyDescent="0.25">
      <c r="A20388" t="s">
        <v>19092</v>
      </c>
    </row>
    <row r="20389" spans="1:1" x14ac:dyDescent="0.25">
      <c r="A20389" t="s">
        <v>19093</v>
      </c>
    </row>
    <row r="20390" spans="1:1" x14ac:dyDescent="0.25">
      <c r="A20390" t="s">
        <v>19094</v>
      </c>
    </row>
    <row r="20391" spans="1:1" x14ac:dyDescent="0.25">
      <c r="A20391" t="s">
        <v>19095</v>
      </c>
    </row>
    <row r="20392" spans="1:1" x14ac:dyDescent="0.25">
      <c r="A20392" t="s">
        <v>19096</v>
      </c>
    </row>
    <row r="20393" spans="1:1" x14ac:dyDescent="0.25">
      <c r="A20393" t="s">
        <v>19097</v>
      </c>
    </row>
    <row r="20394" spans="1:1" x14ac:dyDescent="0.25">
      <c r="A20394" t="s">
        <v>19098</v>
      </c>
    </row>
    <row r="20395" spans="1:1" x14ac:dyDescent="0.25">
      <c r="A20395" t="s">
        <v>19099</v>
      </c>
    </row>
    <row r="20396" spans="1:1" x14ac:dyDescent="0.25">
      <c r="A20396" t="s">
        <v>19100</v>
      </c>
    </row>
    <row r="20397" spans="1:1" x14ac:dyDescent="0.25">
      <c r="A20397" t="s">
        <v>19101</v>
      </c>
    </row>
    <row r="20398" spans="1:1" x14ac:dyDescent="0.25">
      <c r="A20398" t="s">
        <v>19102</v>
      </c>
    </row>
    <row r="20399" spans="1:1" x14ac:dyDescent="0.25">
      <c r="A20399" t="s">
        <v>19103</v>
      </c>
    </row>
    <row r="20400" spans="1:1" x14ac:dyDescent="0.25">
      <c r="A20400" t="s">
        <v>19104</v>
      </c>
    </row>
    <row r="20401" spans="1:1" x14ac:dyDescent="0.25">
      <c r="A20401" t="s">
        <v>19105</v>
      </c>
    </row>
    <row r="20402" spans="1:1" x14ac:dyDescent="0.25">
      <c r="A20402" t="s">
        <v>19106</v>
      </c>
    </row>
    <row r="20403" spans="1:1" x14ac:dyDescent="0.25">
      <c r="A20403" t="s">
        <v>19107</v>
      </c>
    </row>
    <row r="20404" spans="1:1" x14ac:dyDescent="0.25">
      <c r="A20404" t="s">
        <v>19108</v>
      </c>
    </row>
    <row r="20405" spans="1:1" x14ac:dyDescent="0.25">
      <c r="A20405" t="s">
        <v>19109</v>
      </c>
    </row>
    <row r="20406" spans="1:1" x14ac:dyDescent="0.25">
      <c r="A20406" t="s">
        <v>19110</v>
      </c>
    </row>
    <row r="20407" spans="1:1" x14ac:dyDescent="0.25">
      <c r="A20407" t="s">
        <v>19111</v>
      </c>
    </row>
    <row r="20408" spans="1:1" x14ac:dyDescent="0.25">
      <c r="A20408" t="s">
        <v>19112</v>
      </c>
    </row>
    <row r="20409" spans="1:1" x14ac:dyDescent="0.25">
      <c r="A20409" t="s">
        <v>19113</v>
      </c>
    </row>
    <row r="20410" spans="1:1" x14ac:dyDescent="0.25">
      <c r="A20410" t="s">
        <v>19114</v>
      </c>
    </row>
    <row r="20411" spans="1:1" x14ac:dyDescent="0.25">
      <c r="A20411" t="s">
        <v>19115</v>
      </c>
    </row>
    <row r="20412" spans="1:1" x14ac:dyDescent="0.25">
      <c r="A20412" t="s">
        <v>19116</v>
      </c>
    </row>
    <row r="20413" spans="1:1" x14ac:dyDescent="0.25">
      <c r="A20413" t="s">
        <v>19117</v>
      </c>
    </row>
    <row r="20414" spans="1:1" x14ac:dyDescent="0.25">
      <c r="A20414" t="s">
        <v>19118</v>
      </c>
    </row>
    <row r="20415" spans="1:1" x14ac:dyDescent="0.25">
      <c r="A20415" t="s">
        <v>19119</v>
      </c>
    </row>
    <row r="20416" spans="1:1" x14ac:dyDescent="0.25">
      <c r="A20416" t="s">
        <v>19120</v>
      </c>
    </row>
    <row r="20417" spans="1:1" x14ac:dyDescent="0.25">
      <c r="A20417" t="s">
        <v>19121</v>
      </c>
    </row>
    <row r="20418" spans="1:1" x14ac:dyDescent="0.25">
      <c r="A20418" t="s">
        <v>19122</v>
      </c>
    </row>
    <row r="20419" spans="1:1" x14ac:dyDescent="0.25">
      <c r="A20419" t="s">
        <v>19123</v>
      </c>
    </row>
    <row r="20420" spans="1:1" x14ac:dyDescent="0.25">
      <c r="A20420" t="s">
        <v>19124</v>
      </c>
    </row>
    <row r="20421" spans="1:1" x14ac:dyDescent="0.25">
      <c r="A20421" t="s">
        <v>19125</v>
      </c>
    </row>
    <row r="20422" spans="1:1" x14ac:dyDescent="0.25">
      <c r="A20422" t="s">
        <v>19126</v>
      </c>
    </row>
    <row r="20423" spans="1:1" x14ac:dyDescent="0.25">
      <c r="A20423" t="s">
        <v>19127</v>
      </c>
    </row>
    <row r="20424" spans="1:1" x14ac:dyDescent="0.25">
      <c r="A20424" t="s">
        <v>19128</v>
      </c>
    </row>
    <row r="20425" spans="1:1" x14ac:dyDescent="0.25">
      <c r="A20425" t="s">
        <v>19129</v>
      </c>
    </row>
    <row r="20426" spans="1:1" x14ac:dyDescent="0.25">
      <c r="A20426" t="s">
        <v>19130</v>
      </c>
    </row>
    <row r="20427" spans="1:1" x14ac:dyDescent="0.25">
      <c r="A20427" t="s">
        <v>19131</v>
      </c>
    </row>
    <row r="20428" spans="1:1" x14ac:dyDescent="0.25">
      <c r="A20428" t="s">
        <v>19132</v>
      </c>
    </row>
    <row r="20429" spans="1:1" x14ac:dyDescent="0.25">
      <c r="A20429" t="s">
        <v>19133</v>
      </c>
    </row>
    <row r="20430" spans="1:1" x14ac:dyDescent="0.25">
      <c r="A20430" t="s">
        <v>19134</v>
      </c>
    </row>
    <row r="20431" spans="1:1" x14ac:dyDescent="0.25">
      <c r="A20431" t="s">
        <v>19135</v>
      </c>
    </row>
    <row r="20432" spans="1:1" x14ac:dyDescent="0.25">
      <c r="A20432" t="s">
        <v>19136</v>
      </c>
    </row>
    <row r="20433" spans="1:1" x14ac:dyDescent="0.25">
      <c r="A20433" t="s">
        <v>19137</v>
      </c>
    </row>
    <row r="20434" spans="1:1" x14ac:dyDescent="0.25">
      <c r="A20434" t="s">
        <v>19138</v>
      </c>
    </row>
    <row r="20435" spans="1:1" x14ac:dyDescent="0.25">
      <c r="A20435" t="s">
        <v>19139</v>
      </c>
    </row>
    <row r="20436" spans="1:1" x14ac:dyDescent="0.25">
      <c r="A20436" t="s">
        <v>19140</v>
      </c>
    </row>
    <row r="20437" spans="1:1" x14ac:dyDescent="0.25">
      <c r="A20437" t="s">
        <v>19141</v>
      </c>
    </row>
    <row r="20438" spans="1:1" x14ac:dyDescent="0.25">
      <c r="A20438" t="s">
        <v>19142</v>
      </c>
    </row>
    <row r="20439" spans="1:1" x14ac:dyDescent="0.25">
      <c r="A20439" t="s">
        <v>19143</v>
      </c>
    </row>
    <row r="20440" spans="1:1" x14ac:dyDescent="0.25">
      <c r="A20440" t="s">
        <v>19144</v>
      </c>
    </row>
    <row r="20441" spans="1:1" x14ac:dyDescent="0.25">
      <c r="A20441" t="s">
        <v>19145</v>
      </c>
    </row>
    <row r="20442" spans="1:1" x14ac:dyDescent="0.25">
      <c r="A20442" t="s">
        <v>19146</v>
      </c>
    </row>
    <row r="20443" spans="1:1" x14ac:dyDescent="0.25">
      <c r="A20443" t="s">
        <v>19147</v>
      </c>
    </row>
    <row r="20444" spans="1:1" x14ac:dyDescent="0.25">
      <c r="A20444" t="s">
        <v>19148</v>
      </c>
    </row>
    <row r="20445" spans="1:1" x14ac:dyDescent="0.25">
      <c r="A20445" t="s">
        <v>19149</v>
      </c>
    </row>
    <row r="20446" spans="1:1" x14ac:dyDescent="0.25">
      <c r="A20446" t="s">
        <v>19150</v>
      </c>
    </row>
    <row r="20447" spans="1:1" x14ac:dyDescent="0.25">
      <c r="A20447" t="s">
        <v>19151</v>
      </c>
    </row>
    <row r="20448" spans="1:1" x14ac:dyDescent="0.25">
      <c r="A20448" t="s">
        <v>19152</v>
      </c>
    </row>
    <row r="20449" spans="1:1" x14ac:dyDescent="0.25">
      <c r="A20449" t="s">
        <v>19153</v>
      </c>
    </row>
    <row r="20450" spans="1:1" x14ac:dyDescent="0.25">
      <c r="A20450" t="s">
        <v>19154</v>
      </c>
    </row>
    <row r="20451" spans="1:1" x14ac:dyDescent="0.25">
      <c r="A20451" t="s">
        <v>19155</v>
      </c>
    </row>
    <row r="20452" spans="1:1" x14ac:dyDescent="0.25">
      <c r="A20452" t="s">
        <v>19156</v>
      </c>
    </row>
    <row r="20453" spans="1:1" x14ac:dyDescent="0.25">
      <c r="A20453" t="s">
        <v>19157</v>
      </c>
    </row>
    <row r="20454" spans="1:1" x14ac:dyDescent="0.25">
      <c r="A20454" t="s">
        <v>19158</v>
      </c>
    </row>
    <row r="20455" spans="1:1" x14ac:dyDescent="0.25">
      <c r="A20455" t="s">
        <v>19159</v>
      </c>
    </row>
    <row r="20456" spans="1:1" x14ac:dyDescent="0.25">
      <c r="A20456" t="s">
        <v>19160</v>
      </c>
    </row>
    <row r="20457" spans="1:1" x14ac:dyDescent="0.25">
      <c r="A20457" t="s">
        <v>19161</v>
      </c>
    </row>
    <row r="20458" spans="1:1" x14ac:dyDescent="0.25">
      <c r="A20458" t="s">
        <v>19162</v>
      </c>
    </row>
    <row r="20459" spans="1:1" x14ac:dyDescent="0.25">
      <c r="A20459" t="s">
        <v>19163</v>
      </c>
    </row>
    <row r="20460" spans="1:1" x14ac:dyDescent="0.25">
      <c r="A20460" t="s">
        <v>19164</v>
      </c>
    </row>
    <row r="20461" spans="1:1" x14ac:dyDescent="0.25">
      <c r="A20461" t="s">
        <v>19165</v>
      </c>
    </row>
    <row r="20462" spans="1:1" x14ac:dyDescent="0.25">
      <c r="A20462" t="s">
        <v>19166</v>
      </c>
    </row>
    <row r="20463" spans="1:1" x14ac:dyDescent="0.25">
      <c r="A20463" t="s">
        <v>19167</v>
      </c>
    </row>
    <row r="20464" spans="1:1" x14ac:dyDescent="0.25">
      <c r="A20464" t="s">
        <v>19168</v>
      </c>
    </row>
    <row r="20465" spans="1:1" x14ac:dyDescent="0.25">
      <c r="A20465" t="s">
        <v>19169</v>
      </c>
    </row>
    <row r="20466" spans="1:1" x14ac:dyDescent="0.25">
      <c r="A20466" t="s">
        <v>19170</v>
      </c>
    </row>
    <row r="20467" spans="1:1" x14ac:dyDescent="0.25">
      <c r="A20467" t="s">
        <v>19171</v>
      </c>
    </row>
    <row r="20468" spans="1:1" x14ac:dyDescent="0.25">
      <c r="A20468" t="s">
        <v>19172</v>
      </c>
    </row>
    <row r="20469" spans="1:1" x14ac:dyDescent="0.25">
      <c r="A20469" t="s">
        <v>19173</v>
      </c>
    </row>
    <row r="20470" spans="1:1" x14ac:dyDescent="0.25">
      <c r="A20470" t="s">
        <v>19174</v>
      </c>
    </row>
    <row r="20471" spans="1:1" x14ac:dyDescent="0.25">
      <c r="A20471" t="s">
        <v>19175</v>
      </c>
    </row>
    <row r="20472" spans="1:1" x14ac:dyDescent="0.25">
      <c r="A20472" t="s">
        <v>19176</v>
      </c>
    </row>
    <row r="20473" spans="1:1" x14ac:dyDescent="0.25">
      <c r="A20473" t="s">
        <v>19177</v>
      </c>
    </row>
    <row r="20474" spans="1:1" x14ac:dyDescent="0.25">
      <c r="A20474" t="s">
        <v>19178</v>
      </c>
    </row>
    <row r="20475" spans="1:1" x14ac:dyDescent="0.25">
      <c r="A20475" t="s">
        <v>19179</v>
      </c>
    </row>
    <row r="20476" spans="1:1" x14ac:dyDescent="0.25">
      <c r="A20476" t="s">
        <v>19180</v>
      </c>
    </row>
    <row r="20477" spans="1:1" x14ac:dyDescent="0.25">
      <c r="A20477" t="s">
        <v>19181</v>
      </c>
    </row>
    <row r="20478" spans="1:1" x14ac:dyDescent="0.25">
      <c r="A20478" t="s">
        <v>19182</v>
      </c>
    </row>
    <row r="20479" spans="1:1" x14ac:dyDescent="0.25">
      <c r="A20479" t="s">
        <v>19183</v>
      </c>
    </row>
    <row r="20480" spans="1:1" x14ac:dyDescent="0.25">
      <c r="A20480" t="s">
        <v>19184</v>
      </c>
    </row>
    <row r="20481" spans="1:1" x14ac:dyDescent="0.25">
      <c r="A20481" t="s">
        <v>19185</v>
      </c>
    </row>
    <row r="20482" spans="1:1" x14ac:dyDescent="0.25">
      <c r="A20482" t="s">
        <v>19186</v>
      </c>
    </row>
    <row r="20483" spans="1:1" x14ac:dyDescent="0.25">
      <c r="A20483" t="s">
        <v>19187</v>
      </c>
    </row>
    <row r="20484" spans="1:1" x14ac:dyDescent="0.25">
      <c r="A20484" t="s">
        <v>19188</v>
      </c>
    </row>
    <row r="20485" spans="1:1" x14ac:dyDescent="0.25">
      <c r="A20485" t="s">
        <v>19189</v>
      </c>
    </row>
    <row r="20486" spans="1:1" x14ac:dyDescent="0.25">
      <c r="A20486" t="s">
        <v>19190</v>
      </c>
    </row>
    <row r="20487" spans="1:1" x14ac:dyDescent="0.25">
      <c r="A20487" t="s">
        <v>19191</v>
      </c>
    </row>
    <row r="20488" spans="1:1" x14ac:dyDescent="0.25">
      <c r="A20488" t="s">
        <v>19192</v>
      </c>
    </row>
    <row r="20489" spans="1:1" x14ac:dyDescent="0.25">
      <c r="A20489" t="s">
        <v>19193</v>
      </c>
    </row>
    <row r="20490" spans="1:1" x14ac:dyDescent="0.25">
      <c r="A20490" t="s">
        <v>19194</v>
      </c>
    </row>
    <row r="20491" spans="1:1" x14ac:dyDescent="0.25">
      <c r="A20491" t="s">
        <v>19195</v>
      </c>
    </row>
    <row r="20492" spans="1:1" x14ac:dyDescent="0.25">
      <c r="A20492" t="s">
        <v>19196</v>
      </c>
    </row>
    <row r="20493" spans="1:1" x14ac:dyDescent="0.25">
      <c r="A20493" t="s">
        <v>19197</v>
      </c>
    </row>
    <row r="20494" spans="1:1" x14ac:dyDescent="0.25">
      <c r="A20494" t="s">
        <v>19198</v>
      </c>
    </row>
    <row r="20495" spans="1:1" x14ac:dyDescent="0.25">
      <c r="A20495" t="s">
        <v>19199</v>
      </c>
    </row>
    <row r="20496" spans="1:1" x14ac:dyDescent="0.25">
      <c r="A20496" t="s">
        <v>19200</v>
      </c>
    </row>
    <row r="20497" spans="1:1" x14ac:dyDescent="0.25">
      <c r="A20497" t="s">
        <v>19201</v>
      </c>
    </row>
    <row r="20498" spans="1:1" x14ac:dyDescent="0.25">
      <c r="A20498" t="s">
        <v>19202</v>
      </c>
    </row>
    <row r="20499" spans="1:1" x14ac:dyDescent="0.25">
      <c r="A20499" t="s">
        <v>19203</v>
      </c>
    </row>
    <row r="20500" spans="1:1" x14ac:dyDescent="0.25">
      <c r="A20500" t="s">
        <v>19204</v>
      </c>
    </row>
    <row r="20501" spans="1:1" x14ac:dyDescent="0.25">
      <c r="A20501" t="s">
        <v>19205</v>
      </c>
    </row>
    <row r="20502" spans="1:1" x14ac:dyDescent="0.25">
      <c r="A20502" t="s">
        <v>19206</v>
      </c>
    </row>
    <row r="20503" spans="1:1" x14ac:dyDescent="0.25">
      <c r="A20503" t="s">
        <v>19207</v>
      </c>
    </row>
    <row r="20504" spans="1:1" x14ac:dyDescent="0.25">
      <c r="A20504" t="s">
        <v>19208</v>
      </c>
    </row>
    <row r="20505" spans="1:1" x14ac:dyDescent="0.25">
      <c r="A20505" t="s">
        <v>19209</v>
      </c>
    </row>
    <row r="20506" spans="1:1" x14ac:dyDescent="0.25">
      <c r="A20506" t="s">
        <v>19210</v>
      </c>
    </row>
    <row r="20507" spans="1:1" x14ac:dyDescent="0.25">
      <c r="A20507" t="s">
        <v>19211</v>
      </c>
    </row>
    <row r="20508" spans="1:1" x14ac:dyDescent="0.25">
      <c r="A20508" t="s">
        <v>19212</v>
      </c>
    </row>
    <row r="20509" spans="1:1" x14ac:dyDescent="0.25">
      <c r="A20509" t="s">
        <v>19213</v>
      </c>
    </row>
    <row r="20510" spans="1:1" x14ac:dyDescent="0.25">
      <c r="A20510" t="s">
        <v>19214</v>
      </c>
    </row>
    <row r="20511" spans="1:1" x14ac:dyDescent="0.25">
      <c r="A20511" t="s">
        <v>19215</v>
      </c>
    </row>
    <row r="20512" spans="1:1" x14ac:dyDescent="0.25">
      <c r="A20512" t="s">
        <v>19216</v>
      </c>
    </row>
    <row r="20513" spans="1:1" x14ac:dyDescent="0.25">
      <c r="A20513" t="s">
        <v>19217</v>
      </c>
    </row>
    <row r="20514" spans="1:1" x14ac:dyDescent="0.25">
      <c r="A20514" t="s">
        <v>19218</v>
      </c>
    </row>
    <row r="20515" spans="1:1" x14ac:dyDescent="0.25">
      <c r="A20515" t="s">
        <v>19219</v>
      </c>
    </row>
    <row r="20516" spans="1:1" x14ac:dyDescent="0.25">
      <c r="A20516" t="s">
        <v>19220</v>
      </c>
    </row>
    <row r="20517" spans="1:1" x14ac:dyDescent="0.25">
      <c r="A20517" t="s">
        <v>19221</v>
      </c>
    </row>
    <row r="20518" spans="1:1" x14ac:dyDescent="0.25">
      <c r="A20518" t="s">
        <v>19222</v>
      </c>
    </row>
    <row r="20519" spans="1:1" x14ac:dyDescent="0.25">
      <c r="A20519" t="s">
        <v>19223</v>
      </c>
    </row>
    <row r="20520" spans="1:1" x14ac:dyDescent="0.25">
      <c r="A20520" t="s">
        <v>19224</v>
      </c>
    </row>
    <row r="20521" spans="1:1" x14ac:dyDescent="0.25">
      <c r="A20521" t="s">
        <v>19225</v>
      </c>
    </row>
    <row r="20522" spans="1:1" x14ac:dyDescent="0.25">
      <c r="A20522" t="s">
        <v>19226</v>
      </c>
    </row>
    <row r="20523" spans="1:1" x14ac:dyDescent="0.25">
      <c r="A20523" t="s">
        <v>19227</v>
      </c>
    </row>
    <row r="20524" spans="1:1" x14ac:dyDescent="0.25">
      <c r="A20524" t="s">
        <v>19228</v>
      </c>
    </row>
    <row r="20525" spans="1:1" x14ac:dyDescent="0.25">
      <c r="A20525" t="s">
        <v>19229</v>
      </c>
    </row>
    <row r="20526" spans="1:1" x14ac:dyDescent="0.25">
      <c r="A20526" t="s">
        <v>19230</v>
      </c>
    </row>
    <row r="20527" spans="1:1" x14ac:dyDescent="0.25">
      <c r="A20527" t="s">
        <v>19231</v>
      </c>
    </row>
    <row r="20528" spans="1:1" x14ac:dyDescent="0.25">
      <c r="A20528" t="s">
        <v>19232</v>
      </c>
    </row>
    <row r="20529" spans="1:1" x14ac:dyDescent="0.25">
      <c r="A20529" t="s">
        <v>19233</v>
      </c>
    </row>
    <row r="20530" spans="1:1" x14ac:dyDescent="0.25">
      <c r="A20530" t="s">
        <v>19234</v>
      </c>
    </row>
    <row r="20531" spans="1:1" x14ac:dyDescent="0.25">
      <c r="A20531" t="s">
        <v>19235</v>
      </c>
    </row>
    <row r="20532" spans="1:1" x14ac:dyDescent="0.25">
      <c r="A20532" t="s">
        <v>19236</v>
      </c>
    </row>
    <row r="20533" spans="1:1" x14ac:dyDescent="0.25">
      <c r="A20533" t="s">
        <v>19237</v>
      </c>
    </row>
    <row r="20534" spans="1:1" x14ac:dyDescent="0.25">
      <c r="A20534" t="s">
        <v>19238</v>
      </c>
    </row>
    <row r="20535" spans="1:1" x14ac:dyDescent="0.25">
      <c r="A20535" t="s">
        <v>19239</v>
      </c>
    </row>
    <row r="20536" spans="1:1" x14ac:dyDescent="0.25">
      <c r="A20536" t="s">
        <v>19240</v>
      </c>
    </row>
    <row r="20537" spans="1:1" x14ac:dyDescent="0.25">
      <c r="A20537" t="s">
        <v>19241</v>
      </c>
    </row>
    <row r="20538" spans="1:1" x14ac:dyDescent="0.25">
      <c r="A20538" t="s">
        <v>19242</v>
      </c>
    </row>
    <row r="20539" spans="1:1" x14ac:dyDescent="0.25">
      <c r="A20539" t="s">
        <v>19243</v>
      </c>
    </row>
    <row r="20540" spans="1:1" x14ac:dyDescent="0.25">
      <c r="A20540" t="s">
        <v>19244</v>
      </c>
    </row>
    <row r="20541" spans="1:1" x14ac:dyDescent="0.25">
      <c r="A20541" t="s">
        <v>19245</v>
      </c>
    </row>
    <row r="20542" spans="1:1" x14ac:dyDescent="0.25">
      <c r="A20542" t="s">
        <v>19246</v>
      </c>
    </row>
    <row r="20543" spans="1:1" x14ac:dyDescent="0.25">
      <c r="A20543" t="s">
        <v>19247</v>
      </c>
    </row>
    <row r="20544" spans="1:1" x14ac:dyDescent="0.25">
      <c r="A20544" t="s">
        <v>19248</v>
      </c>
    </row>
    <row r="20545" spans="1:1" x14ac:dyDescent="0.25">
      <c r="A20545" t="s">
        <v>19249</v>
      </c>
    </row>
    <row r="20546" spans="1:1" x14ac:dyDescent="0.25">
      <c r="A20546" t="s">
        <v>19250</v>
      </c>
    </row>
    <row r="20547" spans="1:1" x14ac:dyDescent="0.25">
      <c r="A20547" t="s">
        <v>19251</v>
      </c>
    </row>
    <row r="20548" spans="1:1" x14ac:dyDescent="0.25">
      <c r="A20548" t="s">
        <v>19252</v>
      </c>
    </row>
    <row r="20549" spans="1:1" x14ac:dyDescent="0.25">
      <c r="A20549" t="s">
        <v>19253</v>
      </c>
    </row>
    <row r="20550" spans="1:1" x14ac:dyDescent="0.25">
      <c r="A20550" t="s">
        <v>19254</v>
      </c>
    </row>
    <row r="20551" spans="1:1" x14ac:dyDescent="0.25">
      <c r="A20551" t="s">
        <v>19255</v>
      </c>
    </row>
    <row r="20552" spans="1:1" x14ac:dyDescent="0.25">
      <c r="A20552" t="s">
        <v>19256</v>
      </c>
    </row>
    <row r="20553" spans="1:1" x14ac:dyDescent="0.25">
      <c r="A20553" t="s">
        <v>19257</v>
      </c>
    </row>
    <row r="20554" spans="1:1" x14ac:dyDescent="0.25">
      <c r="A20554" t="s">
        <v>19258</v>
      </c>
    </row>
    <row r="20555" spans="1:1" x14ac:dyDescent="0.25">
      <c r="A20555" t="s">
        <v>19259</v>
      </c>
    </row>
    <row r="20556" spans="1:1" x14ac:dyDescent="0.25">
      <c r="A20556" t="s">
        <v>19260</v>
      </c>
    </row>
    <row r="20557" spans="1:1" x14ac:dyDescent="0.25">
      <c r="A20557" t="s">
        <v>19261</v>
      </c>
    </row>
    <row r="20558" spans="1:1" x14ac:dyDescent="0.25">
      <c r="A20558" t="s">
        <v>19262</v>
      </c>
    </row>
    <row r="20559" spans="1:1" x14ac:dyDescent="0.25">
      <c r="A20559" t="s">
        <v>19263</v>
      </c>
    </row>
    <row r="20560" spans="1:1" x14ac:dyDescent="0.25">
      <c r="A20560" t="s">
        <v>19264</v>
      </c>
    </row>
    <row r="20561" spans="1:1" x14ac:dyDescent="0.25">
      <c r="A20561" t="s">
        <v>19265</v>
      </c>
    </row>
    <row r="20562" spans="1:1" x14ac:dyDescent="0.25">
      <c r="A20562" t="s">
        <v>19266</v>
      </c>
    </row>
    <row r="20563" spans="1:1" x14ac:dyDescent="0.25">
      <c r="A20563" t="s">
        <v>19267</v>
      </c>
    </row>
    <row r="20564" spans="1:1" x14ac:dyDescent="0.25">
      <c r="A20564" t="s">
        <v>19268</v>
      </c>
    </row>
    <row r="20565" spans="1:1" x14ac:dyDescent="0.25">
      <c r="A20565" t="s">
        <v>19269</v>
      </c>
    </row>
    <row r="20566" spans="1:1" x14ac:dyDescent="0.25">
      <c r="A20566" t="s">
        <v>19270</v>
      </c>
    </row>
    <row r="20567" spans="1:1" x14ac:dyDescent="0.25">
      <c r="A20567" t="s">
        <v>19271</v>
      </c>
    </row>
    <row r="20568" spans="1:1" x14ac:dyDescent="0.25">
      <c r="A20568" t="s">
        <v>19272</v>
      </c>
    </row>
    <row r="20569" spans="1:1" x14ac:dyDescent="0.25">
      <c r="A20569" t="s">
        <v>19273</v>
      </c>
    </row>
    <row r="20570" spans="1:1" x14ac:dyDescent="0.25">
      <c r="A20570" t="s">
        <v>19274</v>
      </c>
    </row>
    <row r="20571" spans="1:1" x14ac:dyDescent="0.25">
      <c r="A20571" t="s">
        <v>19275</v>
      </c>
    </row>
    <row r="20572" spans="1:1" x14ac:dyDescent="0.25">
      <c r="A20572" t="s">
        <v>19276</v>
      </c>
    </row>
    <row r="20573" spans="1:1" x14ac:dyDescent="0.25">
      <c r="A20573" t="s">
        <v>19277</v>
      </c>
    </row>
    <row r="20574" spans="1:1" x14ac:dyDescent="0.25">
      <c r="A20574" t="s">
        <v>19278</v>
      </c>
    </row>
    <row r="20575" spans="1:1" x14ac:dyDescent="0.25">
      <c r="A20575" t="s">
        <v>19279</v>
      </c>
    </row>
    <row r="20576" spans="1:1" x14ac:dyDescent="0.25">
      <c r="A20576" t="s">
        <v>19280</v>
      </c>
    </row>
    <row r="20577" spans="1:1" x14ac:dyDescent="0.25">
      <c r="A20577" t="s">
        <v>19281</v>
      </c>
    </row>
    <row r="20578" spans="1:1" x14ac:dyDescent="0.25">
      <c r="A20578" t="s">
        <v>19282</v>
      </c>
    </row>
    <row r="20579" spans="1:1" x14ac:dyDescent="0.25">
      <c r="A20579" t="s">
        <v>19283</v>
      </c>
    </row>
    <row r="20580" spans="1:1" x14ac:dyDescent="0.25">
      <c r="A20580" t="s">
        <v>19284</v>
      </c>
    </row>
    <row r="20581" spans="1:1" x14ac:dyDescent="0.25">
      <c r="A20581" t="s">
        <v>19285</v>
      </c>
    </row>
    <row r="20582" spans="1:1" x14ac:dyDescent="0.25">
      <c r="A20582" t="s">
        <v>19286</v>
      </c>
    </row>
    <row r="20583" spans="1:1" x14ac:dyDescent="0.25">
      <c r="A20583" t="s">
        <v>19287</v>
      </c>
    </row>
    <row r="20584" spans="1:1" x14ac:dyDescent="0.25">
      <c r="A20584" t="s">
        <v>19288</v>
      </c>
    </row>
    <row r="20585" spans="1:1" x14ac:dyDescent="0.25">
      <c r="A20585" t="s">
        <v>19289</v>
      </c>
    </row>
    <row r="20586" spans="1:1" x14ac:dyDescent="0.25">
      <c r="A20586" t="s">
        <v>19290</v>
      </c>
    </row>
    <row r="20587" spans="1:1" x14ac:dyDescent="0.25">
      <c r="A20587" t="s">
        <v>19291</v>
      </c>
    </row>
    <row r="20588" spans="1:1" x14ac:dyDescent="0.25">
      <c r="A20588" t="s">
        <v>19292</v>
      </c>
    </row>
    <row r="20589" spans="1:1" x14ac:dyDescent="0.25">
      <c r="A20589" t="s">
        <v>19293</v>
      </c>
    </row>
    <row r="20590" spans="1:1" x14ac:dyDescent="0.25">
      <c r="A20590" t="s">
        <v>19294</v>
      </c>
    </row>
    <row r="20591" spans="1:1" x14ac:dyDescent="0.25">
      <c r="A20591" t="s">
        <v>19295</v>
      </c>
    </row>
    <row r="20592" spans="1:1" x14ac:dyDescent="0.25">
      <c r="A20592" t="s">
        <v>19296</v>
      </c>
    </row>
    <row r="20593" spans="1:1" x14ac:dyDescent="0.25">
      <c r="A20593" t="s">
        <v>19297</v>
      </c>
    </row>
    <row r="20594" spans="1:1" x14ac:dyDescent="0.25">
      <c r="A20594" t="s">
        <v>19298</v>
      </c>
    </row>
    <row r="20595" spans="1:1" x14ac:dyDescent="0.25">
      <c r="A20595" t="s">
        <v>19299</v>
      </c>
    </row>
    <row r="20596" spans="1:1" x14ac:dyDescent="0.25">
      <c r="A20596" t="s">
        <v>19300</v>
      </c>
    </row>
    <row r="20597" spans="1:1" x14ac:dyDescent="0.25">
      <c r="A20597" t="s">
        <v>19301</v>
      </c>
    </row>
    <row r="20598" spans="1:1" x14ac:dyDescent="0.25">
      <c r="A20598" t="s">
        <v>19302</v>
      </c>
    </row>
    <row r="20599" spans="1:1" x14ac:dyDescent="0.25">
      <c r="A20599" t="s">
        <v>19303</v>
      </c>
    </row>
    <row r="20600" spans="1:1" x14ac:dyDescent="0.25">
      <c r="A20600" t="s">
        <v>19304</v>
      </c>
    </row>
    <row r="20601" spans="1:1" x14ac:dyDescent="0.25">
      <c r="A20601" t="s">
        <v>19305</v>
      </c>
    </row>
    <row r="20602" spans="1:1" x14ac:dyDescent="0.25">
      <c r="A20602" t="s">
        <v>19306</v>
      </c>
    </row>
    <row r="20603" spans="1:1" x14ac:dyDescent="0.25">
      <c r="A20603" t="s">
        <v>19307</v>
      </c>
    </row>
    <row r="20604" spans="1:1" x14ac:dyDescent="0.25">
      <c r="A20604" t="s">
        <v>19308</v>
      </c>
    </row>
    <row r="20605" spans="1:1" x14ac:dyDescent="0.25">
      <c r="A20605" t="s">
        <v>19309</v>
      </c>
    </row>
    <row r="20606" spans="1:1" x14ac:dyDescent="0.25">
      <c r="A20606" t="s">
        <v>19310</v>
      </c>
    </row>
    <row r="20607" spans="1:1" x14ac:dyDescent="0.25">
      <c r="A20607" t="s">
        <v>19311</v>
      </c>
    </row>
    <row r="20608" spans="1:1" x14ac:dyDescent="0.25">
      <c r="A20608" t="s">
        <v>19312</v>
      </c>
    </row>
    <row r="20609" spans="1:1" x14ac:dyDescent="0.25">
      <c r="A20609" t="s">
        <v>19313</v>
      </c>
    </row>
    <row r="20610" spans="1:1" x14ac:dyDescent="0.25">
      <c r="A20610" t="s">
        <v>19314</v>
      </c>
    </row>
    <row r="20611" spans="1:1" x14ac:dyDescent="0.25">
      <c r="A20611" t="s">
        <v>19315</v>
      </c>
    </row>
    <row r="20612" spans="1:1" x14ac:dyDescent="0.25">
      <c r="A20612" t="s">
        <v>19316</v>
      </c>
    </row>
    <row r="20613" spans="1:1" x14ac:dyDescent="0.25">
      <c r="A20613" t="s">
        <v>19317</v>
      </c>
    </row>
    <row r="20614" spans="1:1" x14ac:dyDescent="0.25">
      <c r="A20614" t="s">
        <v>19318</v>
      </c>
    </row>
    <row r="20615" spans="1:1" x14ac:dyDescent="0.25">
      <c r="A20615" t="s">
        <v>19319</v>
      </c>
    </row>
    <row r="20616" spans="1:1" x14ac:dyDescent="0.25">
      <c r="A20616" t="s">
        <v>19320</v>
      </c>
    </row>
    <row r="20617" spans="1:1" x14ac:dyDescent="0.25">
      <c r="A20617" t="s">
        <v>19321</v>
      </c>
    </row>
    <row r="20618" spans="1:1" x14ac:dyDescent="0.25">
      <c r="A20618" t="s">
        <v>19322</v>
      </c>
    </row>
    <row r="20619" spans="1:1" x14ac:dyDescent="0.25">
      <c r="A20619" t="s">
        <v>19323</v>
      </c>
    </row>
    <row r="20620" spans="1:1" x14ac:dyDescent="0.25">
      <c r="A20620" t="s">
        <v>19324</v>
      </c>
    </row>
    <row r="20621" spans="1:1" x14ac:dyDescent="0.25">
      <c r="A20621" t="s">
        <v>19325</v>
      </c>
    </row>
    <row r="20622" spans="1:1" x14ac:dyDescent="0.25">
      <c r="A20622" t="s">
        <v>19326</v>
      </c>
    </row>
    <row r="20623" spans="1:1" x14ac:dyDescent="0.25">
      <c r="A20623" t="s">
        <v>19327</v>
      </c>
    </row>
    <row r="20624" spans="1:1" x14ac:dyDescent="0.25">
      <c r="A20624" t="s">
        <v>19328</v>
      </c>
    </row>
    <row r="20625" spans="1:1" x14ac:dyDescent="0.25">
      <c r="A20625" t="s">
        <v>19329</v>
      </c>
    </row>
    <row r="20626" spans="1:1" x14ac:dyDescent="0.25">
      <c r="A20626" t="s">
        <v>19330</v>
      </c>
    </row>
    <row r="20627" spans="1:1" x14ac:dyDescent="0.25">
      <c r="A20627" t="s">
        <v>19331</v>
      </c>
    </row>
    <row r="20628" spans="1:1" x14ac:dyDescent="0.25">
      <c r="A20628" t="s">
        <v>19332</v>
      </c>
    </row>
    <row r="20629" spans="1:1" x14ac:dyDescent="0.25">
      <c r="A20629" t="s">
        <v>19333</v>
      </c>
    </row>
    <row r="20630" spans="1:1" x14ac:dyDescent="0.25">
      <c r="A20630" t="s">
        <v>19334</v>
      </c>
    </row>
    <row r="20631" spans="1:1" x14ac:dyDescent="0.25">
      <c r="A20631" t="s">
        <v>19335</v>
      </c>
    </row>
    <row r="20632" spans="1:1" x14ac:dyDescent="0.25">
      <c r="A20632" t="s">
        <v>19336</v>
      </c>
    </row>
    <row r="20633" spans="1:1" x14ac:dyDescent="0.25">
      <c r="A20633" t="s">
        <v>19337</v>
      </c>
    </row>
    <row r="20634" spans="1:1" x14ac:dyDescent="0.25">
      <c r="A20634" t="s">
        <v>19338</v>
      </c>
    </row>
    <row r="20635" spans="1:1" x14ac:dyDescent="0.25">
      <c r="A20635" t="s">
        <v>19339</v>
      </c>
    </row>
    <row r="20636" spans="1:1" x14ac:dyDescent="0.25">
      <c r="A20636" t="s">
        <v>19340</v>
      </c>
    </row>
    <row r="20637" spans="1:1" x14ac:dyDescent="0.25">
      <c r="A20637" t="s">
        <v>19341</v>
      </c>
    </row>
    <row r="20638" spans="1:1" x14ac:dyDescent="0.25">
      <c r="A20638" t="s">
        <v>19342</v>
      </c>
    </row>
    <row r="20639" spans="1:1" x14ac:dyDescent="0.25">
      <c r="A20639" t="s">
        <v>19343</v>
      </c>
    </row>
    <row r="20640" spans="1:1" x14ac:dyDescent="0.25">
      <c r="A20640" t="s">
        <v>19344</v>
      </c>
    </row>
    <row r="20641" spans="1:1" x14ac:dyDescent="0.25">
      <c r="A20641" t="s">
        <v>19345</v>
      </c>
    </row>
    <row r="20642" spans="1:1" x14ac:dyDescent="0.25">
      <c r="A20642" t="s">
        <v>19346</v>
      </c>
    </row>
    <row r="20643" spans="1:1" x14ac:dyDescent="0.25">
      <c r="A20643" t="s">
        <v>19347</v>
      </c>
    </row>
    <row r="20644" spans="1:1" x14ac:dyDescent="0.25">
      <c r="A20644" t="s">
        <v>19348</v>
      </c>
    </row>
    <row r="20645" spans="1:1" x14ac:dyDescent="0.25">
      <c r="A20645" t="s">
        <v>19349</v>
      </c>
    </row>
    <row r="20646" spans="1:1" x14ac:dyDescent="0.25">
      <c r="A20646" t="s">
        <v>19350</v>
      </c>
    </row>
    <row r="20647" spans="1:1" x14ac:dyDescent="0.25">
      <c r="A20647" t="s">
        <v>19351</v>
      </c>
    </row>
    <row r="20648" spans="1:1" x14ac:dyDescent="0.25">
      <c r="A20648" t="s">
        <v>19352</v>
      </c>
    </row>
    <row r="20649" spans="1:1" x14ac:dyDescent="0.25">
      <c r="A20649" t="s">
        <v>19353</v>
      </c>
    </row>
    <row r="20650" spans="1:1" x14ac:dyDescent="0.25">
      <c r="A20650" t="s">
        <v>19354</v>
      </c>
    </row>
    <row r="20651" spans="1:1" x14ac:dyDescent="0.25">
      <c r="A20651" t="s">
        <v>19355</v>
      </c>
    </row>
    <row r="20652" spans="1:1" x14ac:dyDescent="0.25">
      <c r="A20652" t="s">
        <v>19356</v>
      </c>
    </row>
    <row r="20653" spans="1:1" x14ac:dyDescent="0.25">
      <c r="A20653" t="s">
        <v>19357</v>
      </c>
    </row>
    <row r="20654" spans="1:1" x14ac:dyDescent="0.25">
      <c r="A20654" t="s">
        <v>19358</v>
      </c>
    </row>
    <row r="20655" spans="1:1" x14ac:dyDescent="0.25">
      <c r="A20655" t="s">
        <v>19359</v>
      </c>
    </row>
    <row r="20656" spans="1:1" x14ac:dyDescent="0.25">
      <c r="A20656" t="s">
        <v>19360</v>
      </c>
    </row>
    <row r="20657" spans="1:1" x14ac:dyDescent="0.25">
      <c r="A20657" t="s">
        <v>19361</v>
      </c>
    </row>
    <row r="20658" spans="1:1" x14ac:dyDescent="0.25">
      <c r="A20658" t="s">
        <v>19362</v>
      </c>
    </row>
    <row r="20659" spans="1:1" x14ac:dyDescent="0.25">
      <c r="A20659" t="s">
        <v>19363</v>
      </c>
    </row>
    <row r="20660" spans="1:1" x14ac:dyDescent="0.25">
      <c r="A20660" t="s">
        <v>19364</v>
      </c>
    </row>
    <row r="20661" spans="1:1" x14ac:dyDescent="0.25">
      <c r="A20661" t="s">
        <v>19365</v>
      </c>
    </row>
    <row r="20662" spans="1:1" x14ac:dyDescent="0.25">
      <c r="A20662" t="s">
        <v>19366</v>
      </c>
    </row>
    <row r="20663" spans="1:1" x14ac:dyDescent="0.25">
      <c r="A20663" t="s">
        <v>19367</v>
      </c>
    </row>
    <row r="20664" spans="1:1" x14ac:dyDescent="0.25">
      <c r="A20664" t="s">
        <v>19368</v>
      </c>
    </row>
    <row r="20665" spans="1:1" x14ac:dyDescent="0.25">
      <c r="A20665" t="s">
        <v>19369</v>
      </c>
    </row>
    <row r="20666" spans="1:1" x14ac:dyDescent="0.25">
      <c r="A20666" t="s">
        <v>19370</v>
      </c>
    </row>
    <row r="20667" spans="1:1" x14ac:dyDescent="0.25">
      <c r="A20667" t="s">
        <v>19371</v>
      </c>
    </row>
    <row r="20668" spans="1:1" x14ac:dyDescent="0.25">
      <c r="A20668" t="s">
        <v>19372</v>
      </c>
    </row>
    <row r="20669" spans="1:1" x14ac:dyDescent="0.25">
      <c r="A20669" t="s">
        <v>19373</v>
      </c>
    </row>
    <row r="20670" spans="1:1" x14ac:dyDescent="0.25">
      <c r="A20670" t="s">
        <v>19374</v>
      </c>
    </row>
    <row r="20671" spans="1:1" x14ac:dyDescent="0.25">
      <c r="A20671" t="s">
        <v>19375</v>
      </c>
    </row>
    <row r="20672" spans="1:1" x14ac:dyDescent="0.25">
      <c r="A20672" t="s">
        <v>19376</v>
      </c>
    </row>
    <row r="20673" spans="1:1" x14ac:dyDescent="0.25">
      <c r="A20673" t="s">
        <v>19377</v>
      </c>
    </row>
    <row r="20674" spans="1:1" x14ac:dyDescent="0.25">
      <c r="A20674" t="s">
        <v>19378</v>
      </c>
    </row>
    <row r="20675" spans="1:1" x14ac:dyDescent="0.25">
      <c r="A20675" t="s">
        <v>19379</v>
      </c>
    </row>
    <row r="20676" spans="1:1" x14ac:dyDescent="0.25">
      <c r="A20676" t="s">
        <v>19380</v>
      </c>
    </row>
    <row r="20677" spans="1:1" x14ac:dyDescent="0.25">
      <c r="A20677" t="s">
        <v>19381</v>
      </c>
    </row>
    <row r="20678" spans="1:1" x14ac:dyDescent="0.25">
      <c r="A20678" t="s">
        <v>19382</v>
      </c>
    </row>
    <row r="20679" spans="1:1" x14ac:dyDescent="0.25">
      <c r="A20679" t="s">
        <v>19383</v>
      </c>
    </row>
    <row r="20680" spans="1:1" x14ac:dyDescent="0.25">
      <c r="A20680" t="s">
        <v>19384</v>
      </c>
    </row>
    <row r="20681" spans="1:1" x14ac:dyDescent="0.25">
      <c r="A20681" t="s">
        <v>19385</v>
      </c>
    </row>
    <row r="20682" spans="1:1" x14ac:dyDescent="0.25">
      <c r="A20682" t="s">
        <v>19386</v>
      </c>
    </row>
    <row r="20683" spans="1:1" x14ac:dyDescent="0.25">
      <c r="A20683" t="s">
        <v>19387</v>
      </c>
    </row>
    <row r="20684" spans="1:1" x14ac:dyDescent="0.25">
      <c r="A20684" t="s">
        <v>19388</v>
      </c>
    </row>
    <row r="20685" spans="1:1" x14ac:dyDescent="0.25">
      <c r="A20685" t="s">
        <v>19389</v>
      </c>
    </row>
    <row r="20686" spans="1:1" x14ac:dyDescent="0.25">
      <c r="A20686" t="s">
        <v>19390</v>
      </c>
    </row>
    <row r="20687" spans="1:1" x14ac:dyDescent="0.25">
      <c r="A20687" t="s">
        <v>19391</v>
      </c>
    </row>
    <row r="20688" spans="1:1" x14ac:dyDescent="0.25">
      <c r="A20688" t="s">
        <v>19392</v>
      </c>
    </row>
    <row r="20689" spans="1:1" x14ac:dyDescent="0.25">
      <c r="A20689" t="s">
        <v>19393</v>
      </c>
    </row>
    <row r="20690" spans="1:1" x14ac:dyDescent="0.25">
      <c r="A20690" t="s">
        <v>19394</v>
      </c>
    </row>
    <row r="20691" spans="1:1" x14ac:dyDescent="0.25">
      <c r="A20691" t="s">
        <v>19395</v>
      </c>
    </row>
    <row r="20692" spans="1:1" x14ac:dyDescent="0.25">
      <c r="A20692" t="s">
        <v>19396</v>
      </c>
    </row>
    <row r="20693" spans="1:1" x14ac:dyDescent="0.25">
      <c r="A20693" t="s">
        <v>19397</v>
      </c>
    </row>
    <row r="20694" spans="1:1" x14ac:dyDescent="0.25">
      <c r="A20694" t="s">
        <v>19398</v>
      </c>
    </row>
    <row r="20695" spans="1:1" x14ac:dyDescent="0.25">
      <c r="A20695" t="s">
        <v>19399</v>
      </c>
    </row>
    <row r="20696" spans="1:1" x14ac:dyDescent="0.25">
      <c r="A20696" t="s">
        <v>19400</v>
      </c>
    </row>
    <row r="20697" spans="1:1" x14ac:dyDescent="0.25">
      <c r="A20697" t="s">
        <v>19401</v>
      </c>
    </row>
    <row r="20698" spans="1:1" x14ac:dyDescent="0.25">
      <c r="A20698" t="s">
        <v>19402</v>
      </c>
    </row>
    <row r="20699" spans="1:1" x14ac:dyDescent="0.25">
      <c r="A20699" t="s">
        <v>19403</v>
      </c>
    </row>
    <row r="20700" spans="1:1" x14ac:dyDescent="0.25">
      <c r="A20700" t="s">
        <v>19404</v>
      </c>
    </row>
    <row r="20701" spans="1:1" x14ac:dyDescent="0.25">
      <c r="A20701" t="s">
        <v>19405</v>
      </c>
    </row>
    <row r="20702" spans="1:1" x14ac:dyDescent="0.25">
      <c r="A20702" t="s">
        <v>19406</v>
      </c>
    </row>
    <row r="20703" spans="1:1" x14ac:dyDescent="0.25">
      <c r="A20703" t="s">
        <v>19407</v>
      </c>
    </row>
    <row r="20704" spans="1:1" x14ac:dyDescent="0.25">
      <c r="A20704" t="s">
        <v>19408</v>
      </c>
    </row>
    <row r="20705" spans="1:1" x14ac:dyDescent="0.25">
      <c r="A20705" t="s">
        <v>19409</v>
      </c>
    </row>
    <row r="20706" spans="1:1" x14ac:dyDescent="0.25">
      <c r="A20706" t="s">
        <v>19410</v>
      </c>
    </row>
    <row r="20707" spans="1:1" x14ac:dyDescent="0.25">
      <c r="A20707" t="s">
        <v>19411</v>
      </c>
    </row>
    <row r="20708" spans="1:1" x14ac:dyDescent="0.25">
      <c r="A20708" t="s">
        <v>19412</v>
      </c>
    </row>
    <row r="20709" spans="1:1" x14ac:dyDescent="0.25">
      <c r="A20709" t="s">
        <v>19413</v>
      </c>
    </row>
    <row r="20710" spans="1:1" x14ac:dyDescent="0.25">
      <c r="A20710" t="s">
        <v>19414</v>
      </c>
    </row>
    <row r="20711" spans="1:1" x14ac:dyDescent="0.25">
      <c r="A20711" t="s">
        <v>19415</v>
      </c>
    </row>
    <row r="20712" spans="1:1" x14ac:dyDescent="0.25">
      <c r="A20712" t="s">
        <v>19416</v>
      </c>
    </row>
    <row r="20713" spans="1:1" x14ac:dyDescent="0.25">
      <c r="A20713" t="s">
        <v>19417</v>
      </c>
    </row>
    <row r="20714" spans="1:1" x14ac:dyDescent="0.25">
      <c r="A20714" t="s">
        <v>19418</v>
      </c>
    </row>
    <row r="20715" spans="1:1" x14ac:dyDescent="0.25">
      <c r="A20715" t="s">
        <v>19419</v>
      </c>
    </row>
    <row r="20716" spans="1:1" x14ac:dyDescent="0.25">
      <c r="A20716" t="s">
        <v>19420</v>
      </c>
    </row>
    <row r="20717" spans="1:1" x14ac:dyDescent="0.25">
      <c r="A20717" t="s">
        <v>19421</v>
      </c>
    </row>
    <row r="20718" spans="1:1" x14ac:dyDescent="0.25">
      <c r="A20718" t="s">
        <v>19422</v>
      </c>
    </row>
    <row r="20719" spans="1:1" x14ac:dyDescent="0.25">
      <c r="A20719" t="s">
        <v>19423</v>
      </c>
    </row>
    <row r="20720" spans="1:1" x14ac:dyDescent="0.25">
      <c r="A20720" t="s">
        <v>19424</v>
      </c>
    </row>
    <row r="20721" spans="1:1" x14ac:dyDescent="0.25">
      <c r="A20721" t="s">
        <v>19425</v>
      </c>
    </row>
    <row r="20722" spans="1:1" x14ac:dyDescent="0.25">
      <c r="A20722" t="s">
        <v>19426</v>
      </c>
    </row>
    <row r="20723" spans="1:1" x14ac:dyDescent="0.25">
      <c r="A20723" t="s">
        <v>19427</v>
      </c>
    </row>
    <row r="20724" spans="1:1" x14ac:dyDescent="0.25">
      <c r="A20724" t="s">
        <v>19428</v>
      </c>
    </row>
    <row r="20725" spans="1:1" x14ac:dyDescent="0.25">
      <c r="A20725" t="s">
        <v>19429</v>
      </c>
    </row>
    <row r="20726" spans="1:1" x14ac:dyDescent="0.25">
      <c r="A20726" t="s">
        <v>19430</v>
      </c>
    </row>
    <row r="20727" spans="1:1" x14ac:dyDescent="0.25">
      <c r="A20727" t="s">
        <v>19431</v>
      </c>
    </row>
    <row r="20728" spans="1:1" x14ac:dyDescent="0.25">
      <c r="A20728" t="s">
        <v>19432</v>
      </c>
    </row>
    <row r="20729" spans="1:1" x14ac:dyDescent="0.25">
      <c r="A20729" t="s">
        <v>19433</v>
      </c>
    </row>
    <row r="20730" spans="1:1" x14ac:dyDescent="0.25">
      <c r="A20730" t="s">
        <v>19434</v>
      </c>
    </row>
    <row r="20731" spans="1:1" x14ac:dyDescent="0.25">
      <c r="A20731" t="s">
        <v>19435</v>
      </c>
    </row>
    <row r="20732" spans="1:1" x14ac:dyDescent="0.25">
      <c r="A20732" t="s">
        <v>19436</v>
      </c>
    </row>
    <row r="20733" spans="1:1" x14ac:dyDescent="0.25">
      <c r="A20733" t="s">
        <v>19437</v>
      </c>
    </row>
    <row r="20734" spans="1:1" x14ac:dyDescent="0.25">
      <c r="A20734" t="s">
        <v>19438</v>
      </c>
    </row>
    <row r="20735" spans="1:1" x14ac:dyDescent="0.25">
      <c r="A20735" t="s">
        <v>19439</v>
      </c>
    </row>
    <row r="20736" spans="1:1" x14ac:dyDescent="0.25">
      <c r="A20736" t="s">
        <v>19440</v>
      </c>
    </row>
    <row r="20737" spans="1:1" x14ac:dyDescent="0.25">
      <c r="A20737" t="s">
        <v>19441</v>
      </c>
    </row>
    <row r="20738" spans="1:1" x14ac:dyDescent="0.25">
      <c r="A20738" t="s">
        <v>19442</v>
      </c>
    </row>
    <row r="20739" spans="1:1" x14ac:dyDescent="0.25">
      <c r="A20739" t="s">
        <v>19443</v>
      </c>
    </row>
    <row r="20740" spans="1:1" x14ac:dyDescent="0.25">
      <c r="A20740" t="s">
        <v>19444</v>
      </c>
    </row>
    <row r="20741" spans="1:1" x14ac:dyDescent="0.25">
      <c r="A20741" t="s">
        <v>19445</v>
      </c>
    </row>
    <row r="20742" spans="1:1" x14ac:dyDescent="0.25">
      <c r="A20742" t="s">
        <v>19446</v>
      </c>
    </row>
    <row r="20743" spans="1:1" x14ac:dyDescent="0.25">
      <c r="A20743" t="s">
        <v>19447</v>
      </c>
    </row>
    <row r="20744" spans="1:1" x14ac:dyDescent="0.25">
      <c r="A20744" t="s">
        <v>19448</v>
      </c>
    </row>
    <row r="20745" spans="1:1" x14ac:dyDescent="0.25">
      <c r="A20745" t="s">
        <v>19449</v>
      </c>
    </row>
    <row r="20746" spans="1:1" x14ac:dyDescent="0.25">
      <c r="A20746" t="s">
        <v>19450</v>
      </c>
    </row>
    <row r="20747" spans="1:1" x14ac:dyDescent="0.25">
      <c r="A20747" t="s">
        <v>19451</v>
      </c>
    </row>
    <row r="20748" spans="1:1" x14ac:dyDescent="0.25">
      <c r="A20748" t="s">
        <v>19452</v>
      </c>
    </row>
    <row r="20749" spans="1:1" x14ac:dyDescent="0.25">
      <c r="A20749" t="s">
        <v>19453</v>
      </c>
    </row>
    <row r="20750" spans="1:1" x14ac:dyDescent="0.25">
      <c r="A20750" t="s">
        <v>19454</v>
      </c>
    </row>
    <row r="20751" spans="1:1" x14ac:dyDescent="0.25">
      <c r="A20751" t="s">
        <v>19455</v>
      </c>
    </row>
    <row r="20752" spans="1:1" x14ac:dyDescent="0.25">
      <c r="A20752" t="s">
        <v>19456</v>
      </c>
    </row>
    <row r="20753" spans="1:1" x14ac:dyDescent="0.25">
      <c r="A20753" t="s">
        <v>19457</v>
      </c>
    </row>
    <row r="20754" spans="1:1" x14ac:dyDescent="0.25">
      <c r="A20754" t="s">
        <v>19458</v>
      </c>
    </row>
    <row r="20755" spans="1:1" x14ac:dyDescent="0.25">
      <c r="A20755" t="s">
        <v>19459</v>
      </c>
    </row>
    <row r="20756" spans="1:1" x14ac:dyDescent="0.25">
      <c r="A20756" t="s">
        <v>19460</v>
      </c>
    </row>
    <row r="20757" spans="1:1" x14ac:dyDescent="0.25">
      <c r="A20757" t="s">
        <v>19461</v>
      </c>
    </row>
    <row r="20758" spans="1:1" x14ac:dyDescent="0.25">
      <c r="A20758" t="s">
        <v>19462</v>
      </c>
    </row>
    <row r="20759" spans="1:1" x14ac:dyDescent="0.25">
      <c r="A20759" t="s">
        <v>19463</v>
      </c>
    </row>
    <row r="20760" spans="1:1" x14ac:dyDescent="0.25">
      <c r="A20760" t="s">
        <v>19464</v>
      </c>
    </row>
    <row r="20761" spans="1:1" x14ac:dyDescent="0.25">
      <c r="A20761" t="s">
        <v>19465</v>
      </c>
    </row>
    <row r="20762" spans="1:1" x14ac:dyDescent="0.25">
      <c r="A20762" t="s">
        <v>19466</v>
      </c>
    </row>
    <row r="20763" spans="1:1" x14ac:dyDescent="0.25">
      <c r="A20763" t="s">
        <v>19467</v>
      </c>
    </row>
    <row r="20764" spans="1:1" x14ac:dyDescent="0.25">
      <c r="A20764" t="s">
        <v>19468</v>
      </c>
    </row>
    <row r="20765" spans="1:1" x14ac:dyDescent="0.25">
      <c r="A20765" t="s">
        <v>19469</v>
      </c>
    </row>
    <row r="20766" spans="1:1" x14ac:dyDescent="0.25">
      <c r="A20766" t="s">
        <v>19470</v>
      </c>
    </row>
    <row r="20767" spans="1:1" x14ac:dyDescent="0.25">
      <c r="A20767" t="s">
        <v>19471</v>
      </c>
    </row>
    <row r="20768" spans="1:1" x14ac:dyDescent="0.25">
      <c r="A20768" t="s">
        <v>19472</v>
      </c>
    </row>
    <row r="20769" spans="1:1" x14ac:dyDescent="0.25">
      <c r="A20769" t="s">
        <v>19473</v>
      </c>
    </row>
    <row r="20770" spans="1:1" x14ac:dyDescent="0.25">
      <c r="A20770" t="s">
        <v>19474</v>
      </c>
    </row>
    <row r="20771" spans="1:1" x14ac:dyDescent="0.25">
      <c r="A20771" t="s">
        <v>19475</v>
      </c>
    </row>
    <row r="20772" spans="1:1" x14ac:dyDescent="0.25">
      <c r="A20772" t="s">
        <v>19476</v>
      </c>
    </row>
    <row r="20773" spans="1:1" x14ac:dyDescent="0.25">
      <c r="A20773" t="s">
        <v>19477</v>
      </c>
    </row>
    <row r="20774" spans="1:1" x14ac:dyDescent="0.25">
      <c r="A20774" t="s">
        <v>19478</v>
      </c>
    </row>
    <row r="20775" spans="1:1" x14ac:dyDescent="0.25">
      <c r="A20775" t="s">
        <v>19479</v>
      </c>
    </row>
    <row r="20776" spans="1:1" x14ac:dyDescent="0.25">
      <c r="A20776" t="s">
        <v>19480</v>
      </c>
    </row>
    <row r="20777" spans="1:1" x14ac:dyDescent="0.25">
      <c r="A20777" t="s">
        <v>19481</v>
      </c>
    </row>
    <row r="20778" spans="1:1" x14ac:dyDescent="0.25">
      <c r="A20778" t="s">
        <v>19482</v>
      </c>
    </row>
    <row r="20779" spans="1:1" x14ac:dyDescent="0.25">
      <c r="A20779" t="s">
        <v>19483</v>
      </c>
    </row>
    <row r="20780" spans="1:1" x14ac:dyDescent="0.25">
      <c r="A20780" t="s">
        <v>15757</v>
      </c>
    </row>
    <row r="20781" spans="1:1" x14ac:dyDescent="0.25">
      <c r="A20781" t="s">
        <v>19484</v>
      </c>
    </row>
    <row r="20782" spans="1:1" x14ac:dyDescent="0.25">
      <c r="A20782" t="s">
        <v>19485</v>
      </c>
    </row>
    <row r="20783" spans="1:1" x14ac:dyDescent="0.25">
      <c r="A20783" t="s">
        <v>19486</v>
      </c>
    </row>
    <row r="20785" spans="1:1" x14ac:dyDescent="0.25">
      <c r="A20785" t="s">
        <v>19487</v>
      </c>
    </row>
    <row r="20786" spans="1:1" x14ac:dyDescent="0.25">
      <c r="A20786" t="s">
        <v>19488</v>
      </c>
    </row>
    <row r="20787" spans="1:1" x14ac:dyDescent="0.25">
      <c r="A20787" t="s">
        <v>19489</v>
      </c>
    </row>
    <row r="20788" spans="1:1" x14ac:dyDescent="0.25">
      <c r="A20788" t="s">
        <v>19490</v>
      </c>
    </row>
    <row r="20789" spans="1:1" x14ac:dyDescent="0.25">
      <c r="A20789" t="s">
        <v>19491</v>
      </c>
    </row>
    <row r="20790" spans="1:1" x14ac:dyDescent="0.25">
      <c r="A20790" t="s">
        <v>19492</v>
      </c>
    </row>
    <row r="20791" spans="1:1" x14ac:dyDescent="0.25">
      <c r="A20791" t="s">
        <v>15796</v>
      </c>
    </row>
    <row r="20792" spans="1:1" x14ac:dyDescent="0.25">
      <c r="A20792" t="s">
        <v>15183</v>
      </c>
    </row>
    <row r="20793" spans="1:1" x14ac:dyDescent="0.25">
      <c r="A20793" t="s">
        <v>19493</v>
      </c>
    </row>
    <row r="20794" spans="1:1" x14ac:dyDescent="0.25">
      <c r="A20794" t="s">
        <v>19494</v>
      </c>
    </row>
    <row r="20795" spans="1:1" x14ac:dyDescent="0.25">
      <c r="A20795" t="s">
        <v>19491</v>
      </c>
    </row>
    <row r="20796" spans="1:1" x14ac:dyDescent="0.25">
      <c r="A20796" t="s">
        <v>19492</v>
      </c>
    </row>
    <row r="20797" spans="1:1" x14ac:dyDescent="0.25">
      <c r="A20797" t="s">
        <v>15796</v>
      </c>
    </row>
    <row r="20798" spans="1:1" x14ac:dyDescent="0.25">
      <c r="A20798" t="s">
        <v>15183</v>
      </c>
    </row>
    <row r="20799" spans="1:1" x14ac:dyDescent="0.25">
      <c r="A20799" t="s">
        <v>19493</v>
      </c>
    </row>
    <row r="20800" spans="1:1" x14ac:dyDescent="0.25">
      <c r="A20800" t="s">
        <v>19495</v>
      </c>
    </row>
    <row r="20801" spans="1:1" x14ac:dyDescent="0.25">
      <c r="A20801" t="s">
        <v>19496</v>
      </c>
    </row>
    <row r="20802" spans="1:1" x14ac:dyDescent="0.25">
      <c r="A20802" t="s">
        <v>19497</v>
      </c>
    </row>
    <row r="20803" spans="1:1" x14ac:dyDescent="0.25">
      <c r="A20803" t="s">
        <v>19498</v>
      </c>
    </row>
    <row r="20804" spans="1:1" x14ac:dyDescent="0.25">
      <c r="A20804" t="s">
        <v>19499</v>
      </c>
    </row>
    <row r="20805" spans="1:1" x14ac:dyDescent="0.25">
      <c r="A20805" t="s">
        <v>19500</v>
      </c>
    </row>
    <row r="20806" spans="1:1" x14ac:dyDescent="0.25">
      <c r="A20806" t="s">
        <v>19501</v>
      </c>
    </row>
    <row r="20807" spans="1:1" x14ac:dyDescent="0.25">
      <c r="A20807" t="s">
        <v>19502</v>
      </c>
    </row>
    <row r="20808" spans="1:1" x14ac:dyDescent="0.25">
      <c r="A20808" t="s">
        <v>19503</v>
      </c>
    </row>
    <row r="20809" spans="1:1" x14ac:dyDescent="0.25">
      <c r="A20809" t="s">
        <v>19504</v>
      </c>
    </row>
    <row r="20810" spans="1:1" x14ac:dyDescent="0.25">
      <c r="A20810" t="s">
        <v>19505</v>
      </c>
    </row>
    <row r="20811" spans="1:1" x14ac:dyDescent="0.25">
      <c r="A20811" t="s">
        <v>19506</v>
      </c>
    </row>
    <row r="20812" spans="1:1" x14ac:dyDescent="0.25">
      <c r="A20812" t="s">
        <v>19507</v>
      </c>
    </row>
    <row r="20813" spans="1:1" x14ac:dyDescent="0.25">
      <c r="A20813" t="s">
        <v>19508</v>
      </c>
    </row>
    <row r="20814" spans="1:1" x14ac:dyDescent="0.25">
      <c r="A20814" t="s">
        <v>19509</v>
      </c>
    </row>
    <row r="20815" spans="1:1" x14ac:dyDescent="0.25">
      <c r="A20815" t="s">
        <v>19510</v>
      </c>
    </row>
    <row r="20816" spans="1:1" x14ac:dyDescent="0.25">
      <c r="A20816" t="s">
        <v>19511</v>
      </c>
    </row>
    <row r="20817" spans="1:1" x14ac:dyDescent="0.25">
      <c r="A20817" t="s">
        <v>19512</v>
      </c>
    </row>
    <row r="20818" spans="1:1" x14ac:dyDescent="0.25">
      <c r="A20818" t="s">
        <v>19513</v>
      </c>
    </row>
    <row r="20819" spans="1:1" x14ac:dyDescent="0.25">
      <c r="A20819" t="s">
        <v>19514</v>
      </c>
    </row>
    <row r="20820" spans="1:1" x14ac:dyDescent="0.25">
      <c r="A20820" t="s">
        <v>19515</v>
      </c>
    </row>
    <row r="20821" spans="1:1" x14ac:dyDescent="0.25">
      <c r="A20821" t="s">
        <v>19516</v>
      </c>
    </row>
    <row r="20822" spans="1:1" x14ac:dyDescent="0.25">
      <c r="A20822" t="s">
        <v>19517</v>
      </c>
    </row>
    <row r="20823" spans="1:1" x14ac:dyDescent="0.25">
      <c r="A20823" t="s">
        <v>19518</v>
      </c>
    </row>
    <row r="20824" spans="1:1" x14ac:dyDescent="0.25">
      <c r="A20824" t="s">
        <v>19519</v>
      </c>
    </row>
    <row r="20825" spans="1:1" x14ac:dyDescent="0.25">
      <c r="A20825" t="s">
        <v>19520</v>
      </c>
    </row>
    <row r="20826" spans="1:1" x14ac:dyDescent="0.25">
      <c r="A20826" t="s">
        <v>19521</v>
      </c>
    </row>
    <row r="20827" spans="1:1" x14ac:dyDescent="0.25">
      <c r="A20827" t="s">
        <v>19522</v>
      </c>
    </row>
    <row r="20828" spans="1:1" x14ac:dyDescent="0.25">
      <c r="A20828" t="s">
        <v>19523</v>
      </c>
    </row>
    <row r="20829" spans="1:1" x14ac:dyDescent="0.25">
      <c r="A20829" t="s">
        <v>19524</v>
      </c>
    </row>
    <row r="20830" spans="1:1" x14ac:dyDescent="0.25">
      <c r="A20830" t="s">
        <v>19525</v>
      </c>
    </row>
    <row r="20831" spans="1:1" x14ac:dyDescent="0.25">
      <c r="A20831" t="s">
        <v>19526</v>
      </c>
    </row>
    <row r="20832" spans="1:1" x14ac:dyDescent="0.25">
      <c r="A20832" t="s">
        <v>19527</v>
      </c>
    </row>
    <row r="20833" spans="1:1" x14ac:dyDescent="0.25">
      <c r="A20833" t="s">
        <v>19528</v>
      </c>
    </row>
    <row r="20834" spans="1:1" x14ac:dyDescent="0.25">
      <c r="A20834" t="s">
        <v>19529</v>
      </c>
    </row>
    <row r="20835" spans="1:1" x14ac:dyDescent="0.25">
      <c r="A20835" t="s">
        <v>19530</v>
      </c>
    </row>
    <row r="20836" spans="1:1" x14ac:dyDescent="0.25">
      <c r="A20836" t="s">
        <v>19531</v>
      </c>
    </row>
    <row r="20837" spans="1:1" x14ac:dyDescent="0.25">
      <c r="A20837" t="s">
        <v>19532</v>
      </c>
    </row>
    <row r="20838" spans="1:1" x14ac:dyDescent="0.25">
      <c r="A20838" t="s">
        <v>19533</v>
      </c>
    </row>
    <row r="20839" spans="1:1" x14ac:dyDescent="0.25">
      <c r="A20839" t="s">
        <v>19534</v>
      </c>
    </row>
    <row r="20840" spans="1:1" x14ac:dyDescent="0.25">
      <c r="A20840" t="s">
        <v>19535</v>
      </c>
    </row>
    <row r="20841" spans="1:1" x14ac:dyDescent="0.25">
      <c r="A20841" t="s">
        <v>19536</v>
      </c>
    </row>
    <row r="20842" spans="1:1" x14ac:dyDescent="0.25">
      <c r="A20842" t="s">
        <v>19537</v>
      </c>
    </row>
    <row r="20843" spans="1:1" x14ac:dyDescent="0.25">
      <c r="A20843" t="s">
        <v>19538</v>
      </c>
    </row>
    <row r="20844" spans="1:1" x14ac:dyDescent="0.25">
      <c r="A20844" t="s">
        <v>19539</v>
      </c>
    </row>
    <row r="20845" spans="1:1" x14ac:dyDescent="0.25">
      <c r="A20845" t="s">
        <v>19540</v>
      </c>
    </row>
    <row r="20846" spans="1:1" x14ac:dyDescent="0.25">
      <c r="A20846" t="s">
        <v>19541</v>
      </c>
    </row>
    <row r="20847" spans="1:1" x14ac:dyDescent="0.25">
      <c r="A20847" t="s">
        <v>19542</v>
      </c>
    </row>
    <row r="20848" spans="1:1" x14ac:dyDescent="0.25">
      <c r="A20848" t="s">
        <v>19543</v>
      </c>
    </row>
    <row r="20849" spans="1:1" x14ac:dyDescent="0.25">
      <c r="A20849" t="s">
        <v>19544</v>
      </c>
    </row>
    <row r="20850" spans="1:1" x14ac:dyDescent="0.25">
      <c r="A20850" t="s">
        <v>19545</v>
      </c>
    </row>
    <row r="20851" spans="1:1" x14ac:dyDescent="0.25">
      <c r="A20851" t="s">
        <v>19546</v>
      </c>
    </row>
    <row r="20852" spans="1:1" x14ac:dyDescent="0.25">
      <c r="A20852" t="s">
        <v>19547</v>
      </c>
    </row>
    <row r="20853" spans="1:1" x14ac:dyDescent="0.25">
      <c r="A20853" t="s">
        <v>19548</v>
      </c>
    </row>
    <row r="20854" spans="1:1" x14ac:dyDescent="0.25">
      <c r="A20854" t="s">
        <v>19549</v>
      </c>
    </row>
    <row r="20855" spans="1:1" x14ac:dyDescent="0.25">
      <c r="A20855" t="s">
        <v>19550</v>
      </c>
    </row>
    <row r="20856" spans="1:1" x14ac:dyDescent="0.25">
      <c r="A20856" t="s">
        <v>19551</v>
      </c>
    </row>
    <row r="20857" spans="1:1" x14ac:dyDescent="0.25">
      <c r="A20857" t="s">
        <v>19552</v>
      </c>
    </row>
    <row r="20858" spans="1:1" x14ac:dyDescent="0.25">
      <c r="A20858" t="s">
        <v>19553</v>
      </c>
    </row>
    <row r="20859" spans="1:1" x14ac:dyDescent="0.25">
      <c r="A20859" t="s">
        <v>19554</v>
      </c>
    </row>
    <row r="20860" spans="1:1" x14ac:dyDescent="0.25">
      <c r="A20860" t="s">
        <v>19555</v>
      </c>
    </row>
    <row r="20861" spans="1:1" x14ac:dyDescent="0.25">
      <c r="A20861" t="s">
        <v>19556</v>
      </c>
    </row>
    <row r="20862" spans="1:1" x14ac:dyDescent="0.25">
      <c r="A20862" t="s">
        <v>19557</v>
      </c>
    </row>
    <row r="20863" spans="1:1" x14ac:dyDescent="0.25">
      <c r="A20863" t="s">
        <v>19558</v>
      </c>
    </row>
    <row r="20864" spans="1:1" x14ac:dyDescent="0.25">
      <c r="A20864" t="s">
        <v>19559</v>
      </c>
    </row>
    <row r="20866" spans="1:1" x14ac:dyDescent="0.25">
      <c r="A20866" t="s">
        <v>19560</v>
      </c>
    </row>
    <row r="20867" spans="1:1" x14ac:dyDescent="0.25">
      <c r="A20867" t="s">
        <v>19561</v>
      </c>
    </row>
    <row r="20868" spans="1:1" x14ac:dyDescent="0.25">
      <c r="A20868" t="s">
        <v>19562</v>
      </c>
    </row>
    <row r="20869" spans="1:1" x14ac:dyDescent="0.25">
      <c r="A20869" t="s">
        <v>19563</v>
      </c>
    </row>
    <row r="20870" spans="1:1" x14ac:dyDescent="0.25">
      <c r="A20870" t="s">
        <v>19564</v>
      </c>
    </row>
    <row r="20871" spans="1:1" x14ac:dyDescent="0.25">
      <c r="A20871" t="s">
        <v>19565</v>
      </c>
    </row>
    <row r="20872" spans="1:1" x14ac:dyDescent="0.25">
      <c r="A20872" t="s">
        <v>19566</v>
      </c>
    </row>
    <row r="20873" spans="1:1" x14ac:dyDescent="0.25">
      <c r="A20873" t="s">
        <v>19567</v>
      </c>
    </row>
    <row r="20874" spans="1:1" x14ac:dyDescent="0.25">
      <c r="A20874" t="s">
        <v>19568</v>
      </c>
    </row>
    <row r="20875" spans="1:1" x14ac:dyDescent="0.25">
      <c r="A20875" t="s">
        <v>19569</v>
      </c>
    </row>
    <row r="20876" spans="1:1" x14ac:dyDescent="0.25">
      <c r="A20876" t="s">
        <v>19570</v>
      </c>
    </row>
    <row r="20877" spans="1:1" x14ac:dyDescent="0.25">
      <c r="A20877" t="s">
        <v>19571</v>
      </c>
    </row>
    <row r="20878" spans="1:1" x14ac:dyDescent="0.25">
      <c r="A20878" t="s">
        <v>19572</v>
      </c>
    </row>
    <row r="20879" spans="1:1" x14ac:dyDescent="0.25">
      <c r="A20879" t="s">
        <v>19573</v>
      </c>
    </row>
    <row r="20880" spans="1:1" x14ac:dyDescent="0.25">
      <c r="A20880" t="s">
        <v>19574</v>
      </c>
    </row>
    <row r="20881" spans="1:1" x14ac:dyDescent="0.25">
      <c r="A20881" t="s">
        <v>19575</v>
      </c>
    </row>
    <row r="20882" spans="1:1" x14ac:dyDescent="0.25">
      <c r="A20882" t="s">
        <v>19576</v>
      </c>
    </row>
    <row r="20883" spans="1:1" x14ac:dyDescent="0.25">
      <c r="A20883" t="s">
        <v>19577</v>
      </c>
    </row>
    <row r="20884" spans="1:1" x14ac:dyDescent="0.25">
      <c r="A20884" t="s">
        <v>19578</v>
      </c>
    </row>
    <row r="20885" spans="1:1" x14ac:dyDescent="0.25">
      <c r="A20885" t="s">
        <v>19579</v>
      </c>
    </row>
    <row r="20886" spans="1:1" x14ac:dyDescent="0.25">
      <c r="A20886" t="s">
        <v>19580</v>
      </c>
    </row>
    <row r="20887" spans="1:1" x14ac:dyDescent="0.25">
      <c r="A20887" t="s">
        <v>19581</v>
      </c>
    </row>
    <row r="20888" spans="1:1" x14ac:dyDescent="0.25">
      <c r="A20888" t="s">
        <v>19582</v>
      </c>
    </row>
    <row r="20889" spans="1:1" x14ac:dyDescent="0.25">
      <c r="A20889" t="s">
        <v>19583</v>
      </c>
    </row>
    <row r="20890" spans="1:1" x14ac:dyDescent="0.25">
      <c r="A20890" t="s">
        <v>19584</v>
      </c>
    </row>
    <row r="20891" spans="1:1" x14ac:dyDescent="0.25">
      <c r="A20891" t="s">
        <v>19585</v>
      </c>
    </row>
    <row r="20892" spans="1:1" x14ac:dyDescent="0.25">
      <c r="A20892" t="s">
        <v>19586</v>
      </c>
    </row>
    <row r="20893" spans="1:1" x14ac:dyDescent="0.25">
      <c r="A20893" t="s">
        <v>19587</v>
      </c>
    </row>
    <row r="20894" spans="1:1" x14ac:dyDescent="0.25">
      <c r="A20894" t="s">
        <v>19588</v>
      </c>
    </row>
    <row r="20895" spans="1:1" x14ac:dyDescent="0.25">
      <c r="A20895" t="s">
        <v>19589</v>
      </c>
    </row>
    <row r="20896" spans="1:1" x14ac:dyDescent="0.25">
      <c r="A20896" t="s">
        <v>19590</v>
      </c>
    </row>
    <row r="20897" spans="1:1" x14ac:dyDescent="0.25">
      <c r="A20897" t="s">
        <v>19591</v>
      </c>
    </row>
    <row r="20898" spans="1:1" x14ac:dyDescent="0.25">
      <c r="A20898" t="s">
        <v>19592</v>
      </c>
    </row>
    <row r="20899" spans="1:1" x14ac:dyDescent="0.25">
      <c r="A20899" t="s">
        <v>19593</v>
      </c>
    </row>
    <row r="20900" spans="1:1" x14ac:dyDescent="0.25">
      <c r="A20900" t="s">
        <v>19594</v>
      </c>
    </row>
    <row r="20901" spans="1:1" x14ac:dyDescent="0.25">
      <c r="A20901" t="s">
        <v>19595</v>
      </c>
    </row>
    <row r="20902" spans="1:1" x14ac:dyDescent="0.25">
      <c r="A20902" t="s">
        <v>19596</v>
      </c>
    </row>
    <row r="20903" spans="1:1" x14ac:dyDescent="0.25">
      <c r="A20903" t="s">
        <v>19597</v>
      </c>
    </row>
    <row r="20904" spans="1:1" x14ac:dyDescent="0.25">
      <c r="A20904" t="s">
        <v>19598</v>
      </c>
    </row>
    <row r="20905" spans="1:1" x14ac:dyDescent="0.25">
      <c r="A20905" t="s">
        <v>19599</v>
      </c>
    </row>
    <row r="20906" spans="1:1" x14ac:dyDescent="0.25">
      <c r="A20906" t="s">
        <v>19600</v>
      </c>
    </row>
    <row r="20907" spans="1:1" x14ac:dyDescent="0.25">
      <c r="A20907" t="s">
        <v>19601</v>
      </c>
    </row>
    <row r="20908" spans="1:1" x14ac:dyDescent="0.25">
      <c r="A20908" t="s">
        <v>19602</v>
      </c>
    </row>
    <row r="20909" spans="1:1" x14ac:dyDescent="0.25">
      <c r="A20909" t="s">
        <v>19603</v>
      </c>
    </row>
    <row r="20910" spans="1:1" x14ac:dyDescent="0.25">
      <c r="A20910" t="s">
        <v>19604</v>
      </c>
    </row>
    <row r="20911" spans="1:1" x14ac:dyDescent="0.25">
      <c r="A20911" t="s">
        <v>19605</v>
      </c>
    </row>
    <row r="20912" spans="1:1" x14ac:dyDescent="0.25">
      <c r="A20912" t="s">
        <v>19606</v>
      </c>
    </row>
    <row r="20913" spans="1:1" x14ac:dyDescent="0.25">
      <c r="A20913" t="s">
        <v>19607</v>
      </c>
    </row>
    <row r="20914" spans="1:1" x14ac:dyDescent="0.25">
      <c r="A20914" t="s">
        <v>19608</v>
      </c>
    </row>
    <row r="20915" spans="1:1" x14ac:dyDescent="0.25">
      <c r="A20915" t="s">
        <v>19609</v>
      </c>
    </row>
    <row r="20916" spans="1:1" x14ac:dyDescent="0.25">
      <c r="A20916" t="s">
        <v>19610</v>
      </c>
    </row>
    <row r="20917" spans="1:1" x14ac:dyDescent="0.25">
      <c r="A20917" t="s">
        <v>19611</v>
      </c>
    </row>
    <row r="20918" spans="1:1" x14ac:dyDescent="0.25">
      <c r="A20918" t="s">
        <v>19612</v>
      </c>
    </row>
    <row r="20919" spans="1:1" x14ac:dyDescent="0.25">
      <c r="A20919" t="s">
        <v>19613</v>
      </c>
    </row>
    <row r="20920" spans="1:1" x14ac:dyDescent="0.25">
      <c r="A20920" t="s">
        <v>19614</v>
      </c>
    </row>
    <row r="20921" spans="1:1" x14ac:dyDescent="0.25">
      <c r="A20921" t="s">
        <v>19615</v>
      </c>
    </row>
    <row r="20922" spans="1:1" x14ac:dyDescent="0.25">
      <c r="A20922" t="s">
        <v>19616</v>
      </c>
    </row>
    <row r="20923" spans="1:1" x14ac:dyDescent="0.25">
      <c r="A20923" t="s">
        <v>19617</v>
      </c>
    </row>
    <row r="20924" spans="1:1" x14ac:dyDescent="0.25">
      <c r="A20924" t="s">
        <v>19618</v>
      </c>
    </row>
    <row r="20925" spans="1:1" x14ac:dyDescent="0.25">
      <c r="A20925" t="s">
        <v>19619</v>
      </c>
    </row>
    <row r="20926" spans="1:1" x14ac:dyDescent="0.25">
      <c r="A20926" t="s">
        <v>19620</v>
      </c>
    </row>
    <row r="20927" spans="1:1" x14ac:dyDescent="0.25">
      <c r="A20927" t="s">
        <v>19621</v>
      </c>
    </row>
    <row r="20928" spans="1:1" x14ac:dyDescent="0.25">
      <c r="A20928" t="s">
        <v>15455</v>
      </c>
    </row>
    <row r="20929" spans="1:1" x14ac:dyDescent="0.25">
      <c r="A20929" t="s">
        <v>19622</v>
      </c>
    </row>
    <row r="20930" spans="1:1" x14ac:dyDescent="0.25">
      <c r="A20930" t="s">
        <v>19623</v>
      </c>
    </row>
    <row r="20931" spans="1:1" x14ac:dyDescent="0.25">
      <c r="A20931" t="s">
        <v>19624</v>
      </c>
    </row>
    <row r="20932" spans="1:1" x14ac:dyDescent="0.25">
      <c r="A20932" t="s">
        <v>19625</v>
      </c>
    </row>
    <row r="20933" spans="1:1" x14ac:dyDescent="0.25">
      <c r="A20933" t="s">
        <v>19626</v>
      </c>
    </row>
    <row r="20934" spans="1:1" x14ac:dyDescent="0.25">
      <c r="A20934" t="s">
        <v>19627</v>
      </c>
    </row>
    <row r="20935" spans="1:1" x14ac:dyDescent="0.25">
      <c r="A20935" t="s">
        <v>19628</v>
      </c>
    </row>
    <row r="20936" spans="1:1" x14ac:dyDescent="0.25">
      <c r="A20936" t="s">
        <v>19629</v>
      </c>
    </row>
    <row r="20937" spans="1:1" x14ac:dyDescent="0.25">
      <c r="A20937" t="s">
        <v>19630</v>
      </c>
    </row>
    <row r="20938" spans="1:1" x14ac:dyDescent="0.25">
      <c r="A20938" t="s">
        <v>19631</v>
      </c>
    </row>
    <row r="20939" spans="1:1" x14ac:dyDescent="0.25">
      <c r="A20939" t="s">
        <v>19632</v>
      </c>
    </row>
    <row r="20940" spans="1:1" x14ac:dyDescent="0.25">
      <c r="A20940" t="s">
        <v>19633</v>
      </c>
    </row>
    <row r="20941" spans="1:1" x14ac:dyDescent="0.25">
      <c r="A20941" t="s">
        <v>19634</v>
      </c>
    </row>
    <row r="20942" spans="1:1" x14ac:dyDescent="0.25">
      <c r="A20942" t="s">
        <v>19635</v>
      </c>
    </row>
    <row r="20943" spans="1:1" x14ac:dyDescent="0.25">
      <c r="A20943" t="s">
        <v>19636</v>
      </c>
    </row>
    <row r="20944" spans="1:1" x14ac:dyDescent="0.25">
      <c r="A20944" t="s">
        <v>19637</v>
      </c>
    </row>
    <row r="20945" spans="1:1" x14ac:dyDescent="0.25">
      <c r="A20945" t="s">
        <v>19638</v>
      </c>
    </row>
    <row r="20946" spans="1:1" x14ac:dyDescent="0.25">
      <c r="A20946" t="s">
        <v>19639</v>
      </c>
    </row>
    <row r="20947" spans="1:1" x14ac:dyDescent="0.25">
      <c r="A20947" t="s">
        <v>19640</v>
      </c>
    </row>
    <row r="20948" spans="1:1" x14ac:dyDescent="0.25">
      <c r="A20948" t="s">
        <v>19641</v>
      </c>
    </row>
    <row r="20949" spans="1:1" x14ac:dyDescent="0.25">
      <c r="A20949" t="s">
        <v>19642</v>
      </c>
    </row>
    <row r="20950" spans="1:1" x14ac:dyDescent="0.25">
      <c r="A20950" t="s">
        <v>19643</v>
      </c>
    </row>
    <row r="20951" spans="1:1" x14ac:dyDescent="0.25">
      <c r="A20951" t="s">
        <v>19644</v>
      </c>
    </row>
    <row r="20952" spans="1:1" x14ac:dyDescent="0.25">
      <c r="A20952" t="s">
        <v>19645</v>
      </c>
    </row>
    <row r="20953" spans="1:1" x14ac:dyDescent="0.25">
      <c r="A20953" t="s">
        <v>19646</v>
      </c>
    </row>
    <row r="20954" spans="1:1" x14ac:dyDescent="0.25">
      <c r="A20954" t="s">
        <v>19647</v>
      </c>
    </row>
    <row r="20955" spans="1:1" x14ac:dyDescent="0.25">
      <c r="A20955" t="s">
        <v>19648</v>
      </c>
    </row>
    <row r="20956" spans="1:1" x14ac:dyDescent="0.25">
      <c r="A20956" t="s">
        <v>19649</v>
      </c>
    </row>
    <row r="20957" spans="1:1" x14ac:dyDescent="0.25">
      <c r="A20957" t="s">
        <v>19650</v>
      </c>
    </row>
    <row r="20958" spans="1:1" x14ac:dyDescent="0.25">
      <c r="A20958" t="s">
        <v>19651</v>
      </c>
    </row>
    <row r="20959" spans="1:1" x14ac:dyDescent="0.25">
      <c r="A20959" t="s">
        <v>19652</v>
      </c>
    </row>
    <row r="20960" spans="1:1" x14ac:dyDescent="0.25">
      <c r="A20960" t="s">
        <v>19653</v>
      </c>
    </row>
    <row r="20961" spans="1:1" x14ac:dyDescent="0.25">
      <c r="A20961" t="s">
        <v>19654</v>
      </c>
    </row>
    <row r="20962" spans="1:1" x14ac:dyDescent="0.25">
      <c r="A20962" t="s">
        <v>19655</v>
      </c>
    </row>
    <row r="20963" spans="1:1" x14ac:dyDescent="0.25">
      <c r="A20963" t="s">
        <v>19656</v>
      </c>
    </row>
    <row r="20964" spans="1:1" x14ac:dyDescent="0.25">
      <c r="A20964" t="s">
        <v>19657</v>
      </c>
    </row>
    <row r="20966" spans="1:1" x14ac:dyDescent="0.25">
      <c r="A20966" t="s">
        <v>19658</v>
      </c>
    </row>
    <row r="20967" spans="1:1" x14ac:dyDescent="0.25">
      <c r="A20967" t="s">
        <v>19659</v>
      </c>
    </row>
    <row r="20968" spans="1:1" x14ac:dyDescent="0.25">
      <c r="A20968" t="s">
        <v>19660</v>
      </c>
    </row>
    <row r="20969" spans="1:1" x14ac:dyDescent="0.25">
      <c r="A20969" t="s">
        <v>19661</v>
      </c>
    </row>
    <row r="20970" spans="1:1" x14ac:dyDescent="0.25">
      <c r="A20970" t="s">
        <v>19662</v>
      </c>
    </row>
    <row r="20971" spans="1:1" x14ac:dyDescent="0.25">
      <c r="A20971" t="s">
        <v>19663</v>
      </c>
    </row>
    <row r="20972" spans="1:1" x14ac:dyDescent="0.25">
      <c r="A20972" t="s">
        <v>19664</v>
      </c>
    </row>
    <row r="20973" spans="1:1" x14ac:dyDescent="0.25">
      <c r="A20973" t="s">
        <v>19665</v>
      </c>
    </row>
    <row r="20974" spans="1:1" x14ac:dyDescent="0.25">
      <c r="A20974" t="s">
        <v>19666</v>
      </c>
    </row>
    <row r="20975" spans="1:1" x14ac:dyDescent="0.25">
      <c r="A20975" t="s">
        <v>19667</v>
      </c>
    </row>
    <row r="20976" spans="1:1" x14ac:dyDescent="0.25">
      <c r="A20976" t="s">
        <v>19668</v>
      </c>
    </row>
    <row r="20977" spans="1:1" x14ac:dyDescent="0.25">
      <c r="A20977" t="s">
        <v>19669</v>
      </c>
    </row>
    <row r="20978" spans="1:1" x14ac:dyDescent="0.25">
      <c r="A20978" t="s">
        <v>19670</v>
      </c>
    </row>
    <row r="20979" spans="1:1" x14ac:dyDescent="0.25">
      <c r="A20979" t="s">
        <v>19671</v>
      </c>
    </row>
    <row r="20980" spans="1:1" x14ac:dyDescent="0.25">
      <c r="A20980" t="s">
        <v>19672</v>
      </c>
    </row>
    <row r="20981" spans="1:1" x14ac:dyDescent="0.25">
      <c r="A20981" t="s">
        <v>19673</v>
      </c>
    </row>
    <row r="20982" spans="1:1" x14ac:dyDescent="0.25">
      <c r="A20982" t="s">
        <v>19674</v>
      </c>
    </row>
    <row r="20983" spans="1:1" x14ac:dyDescent="0.25">
      <c r="A20983" t="s">
        <v>19675</v>
      </c>
    </row>
    <row r="20984" spans="1:1" x14ac:dyDescent="0.25">
      <c r="A20984" t="s">
        <v>19676</v>
      </c>
    </row>
    <row r="20985" spans="1:1" x14ac:dyDescent="0.25">
      <c r="A20985" t="s">
        <v>19677</v>
      </c>
    </row>
    <row r="20986" spans="1:1" x14ac:dyDescent="0.25">
      <c r="A20986" t="s">
        <v>19678</v>
      </c>
    </row>
    <row r="20987" spans="1:1" x14ac:dyDescent="0.25">
      <c r="A20987" t="s">
        <v>19679</v>
      </c>
    </row>
    <row r="20988" spans="1:1" x14ac:dyDescent="0.25">
      <c r="A20988" t="s">
        <v>19680</v>
      </c>
    </row>
    <row r="20989" spans="1:1" x14ac:dyDescent="0.25">
      <c r="A20989" t="s">
        <v>19681</v>
      </c>
    </row>
    <row r="20990" spans="1:1" x14ac:dyDescent="0.25">
      <c r="A20990" t="s">
        <v>19682</v>
      </c>
    </row>
    <row r="20991" spans="1:1" x14ac:dyDescent="0.25">
      <c r="A20991" t="s">
        <v>19683</v>
      </c>
    </row>
    <row r="20992" spans="1:1" x14ac:dyDescent="0.25">
      <c r="A20992" t="s">
        <v>19684</v>
      </c>
    </row>
    <row r="20993" spans="1:1" x14ac:dyDescent="0.25">
      <c r="A20993" t="s">
        <v>19685</v>
      </c>
    </row>
    <row r="20994" spans="1:1" x14ac:dyDescent="0.25">
      <c r="A20994" t="s">
        <v>19686</v>
      </c>
    </row>
    <row r="20995" spans="1:1" x14ac:dyDescent="0.25">
      <c r="A20995" t="s">
        <v>19687</v>
      </c>
    </row>
    <row r="20996" spans="1:1" x14ac:dyDescent="0.25">
      <c r="A20996" t="s">
        <v>19688</v>
      </c>
    </row>
    <row r="20997" spans="1:1" x14ac:dyDescent="0.25">
      <c r="A20997" t="s">
        <v>19689</v>
      </c>
    </row>
    <row r="20998" spans="1:1" x14ac:dyDescent="0.25">
      <c r="A20998" t="s">
        <v>19690</v>
      </c>
    </row>
    <row r="20999" spans="1:1" x14ac:dyDescent="0.25">
      <c r="A20999" t="s">
        <v>19691</v>
      </c>
    </row>
    <row r="21000" spans="1:1" x14ac:dyDescent="0.25">
      <c r="A21000" t="s">
        <v>19692</v>
      </c>
    </row>
    <row r="21001" spans="1:1" x14ac:dyDescent="0.25">
      <c r="A21001" t="s">
        <v>19693</v>
      </c>
    </row>
    <row r="21002" spans="1:1" x14ac:dyDescent="0.25">
      <c r="A21002" t="s">
        <v>19694</v>
      </c>
    </row>
    <row r="21003" spans="1:1" x14ac:dyDescent="0.25">
      <c r="A21003" t="s">
        <v>19695</v>
      </c>
    </row>
    <row r="21004" spans="1:1" x14ac:dyDescent="0.25">
      <c r="A21004" t="s">
        <v>19696</v>
      </c>
    </row>
    <row r="21005" spans="1:1" x14ac:dyDescent="0.25">
      <c r="A21005" t="s">
        <v>19697</v>
      </c>
    </row>
    <row r="21006" spans="1:1" x14ac:dyDescent="0.25">
      <c r="A21006" t="s">
        <v>19698</v>
      </c>
    </row>
    <row r="21007" spans="1:1" x14ac:dyDescent="0.25">
      <c r="A21007" t="s">
        <v>19699</v>
      </c>
    </row>
    <row r="21008" spans="1:1" x14ac:dyDescent="0.25">
      <c r="A21008" t="s">
        <v>19700</v>
      </c>
    </row>
    <row r="21009" spans="1:1" x14ac:dyDescent="0.25">
      <c r="A21009" t="s">
        <v>19701</v>
      </c>
    </row>
    <row r="21010" spans="1:1" x14ac:dyDescent="0.25">
      <c r="A21010" t="s">
        <v>19702</v>
      </c>
    </row>
    <row r="21011" spans="1:1" x14ac:dyDescent="0.25">
      <c r="A21011" t="s">
        <v>19703</v>
      </c>
    </row>
    <row r="21012" spans="1:1" x14ac:dyDescent="0.25">
      <c r="A21012" t="s">
        <v>19704</v>
      </c>
    </row>
    <row r="21013" spans="1:1" x14ac:dyDescent="0.25">
      <c r="A21013" t="s">
        <v>19705</v>
      </c>
    </row>
    <row r="21014" spans="1:1" x14ac:dyDescent="0.25">
      <c r="A21014" t="s">
        <v>19706</v>
      </c>
    </row>
    <row r="21015" spans="1:1" x14ac:dyDescent="0.25">
      <c r="A21015" t="s">
        <v>19707</v>
      </c>
    </row>
    <row r="21016" spans="1:1" x14ac:dyDescent="0.25">
      <c r="A21016" t="s">
        <v>19708</v>
      </c>
    </row>
    <row r="21017" spans="1:1" x14ac:dyDescent="0.25">
      <c r="A21017" t="s">
        <v>19709</v>
      </c>
    </row>
    <row r="21018" spans="1:1" x14ac:dyDescent="0.25">
      <c r="A21018" t="s">
        <v>19710</v>
      </c>
    </row>
    <row r="21019" spans="1:1" x14ac:dyDescent="0.25">
      <c r="A21019" t="s">
        <v>19711</v>
      </c>
    </row>
    <row r="21020" spans="1:1" x14ac:dyDescent="0.25">
      <c r="A21020" t="s">
        <v>19712</v>
      </c>
    </row>
    <row r="21021" spans="1:1" x14ac:dyDescent="0.25">
      <c r="A21021" t="s">
        <v>19713</v>
      </c>
    </row>
    <row r="21022" spans="1:1" x14ac:dyDescent="0.25">
      <c r="A21022" t="s">
        <v>19714</v>
      </c>
    </row>
    <row r="21023" spans="1:1" x14ac:dyDescent="0.25">
      <c r="A21023" t="s">
        <v>19715</v>
      </c>
    </row>
    <row r="21024" spans="1:1" x14ac:dyDescent="0.25">
      <c r="A21024" t="s">
        <v>19716</v>
      </c>
    </row>
    <row r="21025" spans="1:1" x14ac:dyDescent="0.25">
      <c r="A21025" t="s">
        <v>19717</v>
      </c>
    </row>
    <row r="21026" spans="1:1" x14ac:dyDescent="0.25">
      <c r="A21026" t="s">
        <v>19718</v>
      </c>
    </row>
    <row r="21027" spans="1:1" x14ac:dyDescent="0.25">
      <c r="A21027" t="s">
        <v>19719</v>
      </c>
    </row>
    <row r="21028" spans="1:1" x14ac:dyDescent="0.25">
      <c r="A21028" t="s">
        <v>19720</v>
      </c>
    </row>
    <row r="21029" spans="1:1" x14ac:dyDescent="0.25">
      <c r="A21029" t="s">
        <v>19721</v>
      </c>
    </row>
    <row r="21030" spans="1:1" x14ac:dyDescent="0.25">
      <c r="A21030" t="s">
        <v>19722</v>
      </c>
    </row>
    <row r="21031" spans="1:1" x14ac:dyDescent="0.25">
      <c r="A21031" t="s">
        <v>19723</v>
      </c>
    </row>
    <row r="21032" spans="1:1" x14ac:dyDescent="0.25">
      <c r="A21032" t="s">
        <v>19724</v>
      </c>
    </row>
    <row r="21033" spans="1:1" x14ac:dyDescent="0.25">
      <c r="A21033" t="s">
        <v>19725</v>
      </c>
    </row>
    <row r="21034" spans="1:1" x14ac:dyDescent="0.25">
      <c r="A21034" t="s">
        <v>19726</v>
      </c>
    </row>
    <row r="21035" spans="1:1" x14ac:dyDescent="0.25">
      <c r="A21035" t="s">
        <v>19727</v>
      </c>
    </row>
    <row r="21036" spans="1:1" x14ac:dyDescent="0.25">
      <c r="A21036" t="s">
        <v>19728</v>
      </c>
    </row>
    <row r="21037" spans="1:1" x14ac:dyDescent="0.25">
      <c r="A21037" t="s">
        <v>19729</v>
      </c>
    </row>
    <row r="21038" spans="1:1" x14ac:dyDescent="0.25">
      <c r="A21038" t="s">
        <v>19730</v>
      </c>
    </row>
    <row r="21039" spans="1:1" x14ac:dyDescent="0.25">
      <c r="A21039" t="s">
        <v>19731</v>
      </c>
    </row>
    <row r="21040" spans="1:1" x14ac:dyDescent="0.25">
      <c r="A21040" t="s">
        <v>19732</v>
      </c>
    </row>
    <row r="21041" spans="1:1" x14ac:dyDescent="0.25">
      <c r="A21041" t="s">
        <v>19733</v>
      </c>
    </row>
    <row r="21042" spans="1:1" x14ac:dyDescent="0.25">
      <c r="A21042" t="s">
        <v>19734</v>
      </c>
    </row>
    <row r="21043" spans="1:1" x14ac:dyDescent="0.25">
      <c r="A21043" t="s">
        <v>19735</v>
      </c>
    </row>
    <row r="21044" spans="1:1" x14ac:dyDescent="0.25">
      <c r="A21044" t="s">
        <v>19736</v>
      </c>
    </row>
    <row r="21045" spans="1:1" x14ac:dyDescent="0.25">
      <c r="A21045" t="s">
        <v>19737</v>
      </c>
    </row>
    <row r="21046" spans="1:1" x14ac:dyDescent="0.25">
      <c r="A21046" t="s">
        <v>19738</v>
      </c>
    </row>
    <row r="21047" spans="1:1" x14ac:dyDescent="0.25">
      <c r="A21047" t="s">
        <v>19739</v>
      </c>
    </row>
    <row r="21048" spans="1:1" x14ac:dyDescent="0.25">
      <c r="A21048" t="s">
        <v>19740</v>
      </c>
    </row>
    <row r="21049" spans="1:1" x14ac:dyDescent="0.25">
      <c r="A21049" t="s">
        <v>19741</v>
      </c>
    </row>
    <row r="21050" spans="1:1" x14ac:dyDescent="0.25">
      <c r="A21050" t="s">
        <v>19742</v>
      </c>
    </row>
    <row r="21051" spans="1:1" x14ac:dyDescent="0.25">
      <c r="A21051" t="s">
        <v>19743</v>
      </c>
    </row>
    <row r="21052" spans="1:1" x14ac:dyDescent="0.25">
      <c r="A21052" t="s">
        <v>19744</v>
      </c>
    </row>
    <row r="21053" spans="1:1" x14ac:dyDescent="0.25">
      <c r="A21053" t="s">
        <v>19745</v>
      </c>
    </row>
    <row r="21054" spans="1:1" x14ac:dyDescent="0.25">
      <c r="A21054" t="s">
        <v>19746</v>
      </c>
    </row>
    <row r="21055" spans="1:1" x14ac:dyDescent="0.25">
      <c r="A21055" t="s">
        <v>19747</v>
      </c>
    </row>
    <row r="21056" spans="1:1" x14ac:dyDescent="0.25">
      <c r="A21056" t="s">
        <v>19748</v>
      </c>
    </row>
    <row r="21057" spans="1:1" x14ac:dyDescent="0.25">
      <c r="A21057" t="s">
        <v>19749</v>
      </c>
    </row>
    <row r="21058" spans="1:1" x14ac:dyDescent="0.25">
      <c r="A21058" t="s">
        <v>19750</v>
      </c>
    </row>
    <row r="21059" spans="1:1" x14ac:dyDescent="0.25">
      <c r="A21059" t="s">
        <v>19751</v>
      </c>
    </row>
    <row r="21060" spans="1:1" x14ac:dyDescent="0.25">
      <c r="A21060" t="s">
        <v>19752</v>
      </c>
    </row>
    <row r="21061" spans="1:1" x14ac:dyDescent="0.25">
      <c r="A21061" t="s">
        <v>19753</v>
      </c>
    </row>
    <row r="21062" spans="1:1" x14ac:dyDescent="0.25">
      <c r="A21062" t="s">
        <v>19754</v>
      </c>
    </row>
    <row r="21063" spans="1:1" x14ac:dyDescent="0.25">
      <c r="A21063" t="s">
        <v>19755</v>
      </c>
    </row>
    <row r="21064" spans="1:1" x14ac:dyDescent="0.25">
      <c r="A21064" t="s">
        <v>19756</v>
      </c>
    </row>
    <row r="21065" spans="1:1" x14ac:dyDescent="0.25">
      <c r="A21065" t="s">
        <v>19757</v>
      </c>
    </row>
    <row r="21066" spans="1:1" x14ac:dyDescent="0.25">
      <c r="A21066" t="s">
        <v>19758</v>
      </c>
    </row>
    <row r="21067" spans="1:1" x14ac:dyDescent="0.25">
      <c r="A21067" t="s">
        <v>19759</v>
      </c>
    </row>
    <row r="21068" spans="1:1" x14ac:dyDescent="0.25">
      <c r="A21068" t="s">
        <v>19760</v>
      </c>
    </row>
    <row r="21069" spans="1:1" x14ac:dyDescent="0.25">
      <c r="A21069" t="s">
        <v>19761</v>
      </c>
    </row>
    <row r="21070" spans="1:1" x14ac:dyDescent="0.25">
      <c r="A21070" t="s">
        <v>19762</v>
      </c>
    </row>
    <row r="21071" spans="1:1" x14ac:dyDescent="0.25">
      <c r="A21071" t="s">
        <v>19763</v>
      </c>
    </row>
    <row r="21072" spans="1:1" x14ac:dyDescent="0.25">
      <c r="A21072" t="s">
        <v>19764</v>
      </c>
    </row>
    <row r="21073" spans="1:1" x14ac:dyDescent="0.25">
      <c r="A21073" t="s">
        <v>19765</v>
      </c>
    </row>
    <row r="21074" spans="1:1" x14ac:dyDescent="0.25">
      <c r="A21074" t="s">
        <v>19766</v>
      </c>
    </row>
    <row r="21075" spans="1:1" x14ac:dyDescent="0.25">
      <c r="A21075" t="s">
        <v>19767</v>
      </c>
    </row>
    <row r="21076" spans="1:1" x14ac:dyDescent="0.25">
      <c r="A21076" t="s">
        <v>19768</v>
      </c>
    </row>
    <row r="21077" spans="1:1" x14ac:dyDescent="0.25">
      <c r="A21077" t="s">
        <v>19769</v>
      </c>
    </row>
    <row r="21078" spans="1:1" x14ac:dyDescent="0.25">
      <c r="A21078" t="s">
        <v>19770</v>
      </c>
    </row>
    <row r="21079" spans="1:1" x14ac:dyDescent="0.25">
      <c r="A21079" t="s">
        <v>19771</v>
      </c>
    </row>
    <row r="21080" spans="1:1" x14ac:dyDescent="0.25">
      <c r="A21080" t="s">
        <v>19768</v>
      </c>
    </row>
    <row r="21081" spans="1:1" x14ac:dyDescent="0.25">
      <c r="A21081" t="s">
        <v>19772</v>
      </c>
    </row>
    <row r="21082" spans="1:1" x14ac:dyDescent="0.25">
      <c r="A21082" t="s">
        <v>19773</v>
      </c>
    </row>
    <row r="21083" spans="1:1" x14ac:dyDescent="0.25">
      <c r="A21083" t="s">
        <v>19774</v>
      </c>
    </row>
    <row r="21084" spans="1:1" x14ac:dyDescent="0.25">
      <c r="A21084" t="s">
        <v>19702</v>
      </c>
    </row>
    <row r="21085" spans="1:1" x14ac:dyDescent="0.25">
      <c r="A21085" t="s">
        <v>19775</v>
      </c>
    </row>
    <row r="21086" spans="1:1" x14ac:dyDescent="0.25">
      <c r="A21086" t="s">
        <v>19776</v>
      </c>
    </row>
    <row r="21088" spans="1:1" x14ac:dyDescent="0.25">
      <c r="A21088" t="s">
        <v>19777</v>
      </c>
    </row>
    <row r="21089" spans="1:1" x14ac:dyDescent="0.25">
      <c r="A21089" t="s">
        <v>19778</v>
      </c>
    </row>
    <row r="21090" spans="1:1" x14ac:dyDescent="0.25">
      <c r="A21090" t="s">
        <v>19779</v>
      </c>
    </row>
    <row r="21091" spans="1:1" x14ac:dyDescent="0.25">
      <c r="A21091" t="s">
        <v>19780</v>
      </c>
    </row>
    <row r="21092" spans="1:1" x14ac:dyDescent="0.25">
      <c r="A21092" t="s">
        <v>19781</v>
      </c>
    </row>
    <row r="21093" spans="1:1" x14ac:dyDescent="0.25">
      <c r="A21093" t="s">
        <v>19782</v>
      </c>
    </row>
    <row r="21094" spans="1:1" x14ac:dyDescent="0.25">
      <c r="A21094" t="s">
        <v>19783</v>
      </c>
    </row>
    <row r="21095" spans="1:1" x14ac:dyDescent="0.25">
      <c r="A21095" t="s">
        <v>19784</v>
      </c>
    </row>
    <row r="21096" spans="1:1" x14ac:dyDescent="0.25">
      <c r="A21096" t="s">
        <v>19785</v>
      </c>
    </row>
    <row r="21097" spans="1:1" x14ac:dyDescent="0.25">
      <c r="A21097" t="s">
        <v>19786</v>
      </c>
    </row>
    <row r="21098" spans="1:1" x14ac:dyDescent="0.25">
      <c r="A21098" t="s">
        <v>19787</v>
      </c>
    </row>
    <row r="21099" spans="1:1" x14ac:dyDescent="0.25">
      <c r="A21099" t="s">
        <v>19788</v>
      </c>
    </row>
    <row r="21100" spans="1:1" x14ac:dyDescent="0.25">
      <c r="A21100" t="s">
        <v>19789</v>
      </c>
    </row>
    <row r="21101" spans="1:1" x14ac:dyDescent="0.25">
      <c r="A21101" t="s">
        <v>19790</v>
      </c>
    </row>
    <row r="21102" spans="1:1" x14ac:dyDescent="0.25">
      <c r="A21102" t="s">
        <v>19791</v>
      </c>
    </row>
    <row r="21103" spans="1:1" x14ac:dyDescent="0.25">
      <c r="A21103" t="s">
        <v>19792</v>
      </c>
    </row>
    <row r="21104" spans="1:1" x14ac:dyDescent="0.25">
      <c r="A21104" t="s">
        <v>19793</v>
      </c>
    </row>
    <row r="21105" spans="1:1" x14ac:dyDescent="0.25">
      <c r="A21105" t="s">
        <v>19794</v>
      </c>
    </row>
    <row r="21106" spans="1:1" x14ac:dyDescent="0.25">
      <c r="A21106" t="s">
        <v>19795</v>
      </c>
    </row>
    <row r="21107" spans="1:1" x14ac:dyDescent="0.25">
      <c r="A21107" t="s">
        <v>19796</v>
      </c>
    </row>
    <row r="21108" spans="1:1" x14ac:dyDescent="0.25">
      <c r="A21108" t="s">
        <v>19797</v>
      </c>
    </row>
    <row r="21109" spans="1:1" x14ac:dyDescent="0.25">
      <c r="A21109" t="s">
        <v>19798</v>
      </c>
    </row>
    <row r="21110" spans="1:1" x14ac:dyDescent="0.25">
      <c r="A21110" t="s">
        <v>19799</v>
      </c>
    </row>
    <row r="21111" spans="1:1" x14ac:dyDescent="0.25">
      <c r="A21111" t="s">
        <v>19800</v>
      </c>
    </row>
    <row r="21112" spans="1:1" x14ac:dyDescent="0.25">
      <c r="A21112" t="s">
        <v>19801</v>
      </c>
    </row>
    <row r="21113" spans="1:1" x14ac:dyDescent="0.25">
      <c r="A21113" t="s">
        <v>19802</v>
      </c>
    </row>
    <row r="21114" spans="1:1" x14ac:dyDescent="0.25">
      <c r="A21114" t="s">
        <v>19803</v>
      </c>
    </row>
    <row r="21115" spans="1:1" x14ac:dyDescent="0.25">
      <c r="A21115" t="s">
        <v>19804</v>
      </c>
    </row>
    <row r="21116" spans="1:1" x14ac:dyDescent="0.25">
      <c r="A21116" t="s">
        <v>19805</v>
      </c>
    </row>
    <row r="21117" spans="1:1" x14ac:dyDescent="0.25">
      <c r="A21117" t="s">
        <v>19806</v>
      </c>
    </row>
    <row r="21119" spans="1:1" x14ac:dyDescent="0.25">
      <c r="A21119" t="s">
        <v>19807</v>
      </c>
    </row>
    <row r="21120" spans="1:1" x14ac:dyDescent="0.25">
      <c r="A21120" t="s">
        <v>19808</v>
      </c>
    </row>
    <row r="21121" spans="1:1" x14ac:dyDescent="0.25">
      <c r="A21121" t="s">
        <v>19809</v>
      </c>
    </row>
    <row r="21122" spans="1:1" x14ac:dyDescent="0.25">
      <c r="A21122" t="s">
        <v>19810</v>
      </c>
    </row>
    <row r="21123" spans="1:1" x14ac:dyDescent="0.25">
      <c r="A21123" t="s">
        <v>19811</v>
      </c>
    </row>
    <row r="21124" spans="1:1" x14ac:dyDescent="0.25">
      <c r="A21124" t="s">
        <v>19812</v>
      </c>
    </row>
    <row r="21125" spans="1:1" x14ac:dyDescent="0.25">
      <c r="A21125" t="s">
        <v>19813</v>
      </c>
    </row>
    <row r="21126" spans="1:1" x14ac:dyDescent="0.25">
      <c r="A21126" t="s">
        <v>19814</v>
      </c>
    </row>
    <row r="21127" spans="1:1" x14ac:dyDescent="0.25">
      <c r="A21127" t="s">
        <v>19815</v>
      </c>
    </row>
    <row r="21128" spans="1:1" x14ac:dyDescent="0.25">
      <c r="A21128" t="s">
        <v>19816</v>
      </c>
    </row>
    <row r="21129" spans="1:1" x14ac:dyDescent="0.25">
      <c r="A21129" t="s">
        <v>19817</v>
      </c>
    </row>
    <row r="21130" spans="1:1" x14ac:dyDescent="0.25">
      <c r="A21130" t="s">
        <v>19818</v>
      </c>
    </row>
    <row r="21131" spans="1:1" x14ac:dyDescent="0.25">
      <c r="A21131" t="s">
        <v>19819</v>
      </c>
    </row>
    <row r="21133" spans="1:1" x14ac:dyDescent="0.25">
      <c r="A21133" t="s">
        <v>19820</v>
      </c>
    </row>
    <row r="21134" spans="1:1" x14ac:dyDescent="0.25">
      <c r="A21134" t="s">
        <v>19821</v>
      </c>
    </row>
    <row r="21135" spans="1:1" x14ac:dyDescent="0.25">
      <c r="A21135" t="s">
        <v>19822</v>
      </c>
    </row>
    <row r="21136" spans="1:1" x14ac:dyDescent="0.25">
      <c r="A21136" t="s">
        <v>19823</v>
      </c>
    </row>
    <row r="21137" spans="1:1" x14ac:dyDescent="0.25">
      <c r="A21137" t="s">
        <v>19824</v>
      </c>
    </row>
    <row r="21138" spans="1:1" x14ac:dyDescent="0.25">
      <c r="A21138" t="s">
        <v>19825</v>
      </c>
    </row>
    <row r="21139" spans="1:1" x14ac:dyDescent="0.25">
      <c r="A21139" t="s">
        <v>19826</v>
      </c>
    </row>
    <row r="21140" spans="1:1" x14ac:dyDescent="0.25">
      <c r="A21140" t="s">
        <v>19827</v>
      </c>
    </row>
    <row r="21141" spans="1:1" x14ac:dyDescent="0.25">
      <c r="A21141" t="s">
        <v>19828</v>
      </c>
    </row>
    <row r="21142" spans="1:1" x14ac:dyDescent="0.25">
      <c r="A21142" t="s">
        <v>19829</v>
      </c>
    </row>
    <row r="21143" spans="1:1" x14ac:dyDescent="0.25">
      <c r="A21143" t="s">
        <v>15742</v>
      </c>
    </row>
    <row r="21144" spans="1:1" x14ac:dyDescent="0.25">
      <c r="A21144" t="s">
        <v>19830</v>
      </c>
    </row>
    <row r="21145" spans="1:1" x14ac:dyDescent="0.25">
      <c r="A21145" t="s">
        <v>19831</v>
      </c>
    </row>
    <row r="21146" spans="1:1" x14ac:dyDescent="0.25">
      <c r="A21146" t="s">
        <v>19832</v>
      </c>
    </row>
    <row r="21148" spans="1:1" x14ac:dyDescent="0.25">
      <c r="A21148" t="s">
        <v>19833</v>
      </c>
    </row>
    <row r="21149" spans="1:1" x14ac:dyDescent="0.25">
      <c r="A21149" t="s">
        <v>19834</v>
      </c>
    </row>
    <row r="21150" spans="1:1" x14ac:dyDescent="0.25">
      <c r="A21150" t="s">
        <v>19835</v>
      </c>
    </row>
    <row r="21151" spans="1:1" x14ac:dyDescent="0.25">
      <c r="A21151" t="s">
        <v>19836</v>
      </c>
    </row>
    <row r="21152" spans="1:1" x14ac:dyDescent="0.25">
      <c r="A21152" t="s">
        <v>19837</v>
      </c>
    </row>
    <row r="21153" spans="1:1" x14ac:dyDescent="0.25">
      <c r="A21153" t="s">
        <v>19838</v>
      </c>
    </row>
    <row r="21154" spans="1:1" x14ac:dyDescent="0.25">
      <c r="A21154" t="s">
        <v>19839</v>
      </c>
    </row>
    <row r="21155" spans="1:1" x14ac:dyDescent="0.25">
      <c r="A21155" t="s">
        <v>19840</v>
      </c>
    </row>
    <row r="21156" spans="1:1" x14ac:dyDescent="0.25">
      <c r="A21156" t="s">
        <v>19841</v>
      </c>
    </row>
    <row r="21157" spans="1:1" x14ac:dyDescent="0.25">
      <c r="A21157" t="s">
        <v>19842</v>
      </c>
    </row>
    <row r="21158" spans="1:1" x14ac:dyDescent="0.25">
      <c r="A21158" t="s">
        <v>19843</v>
      </c>
    </row>
    <row r="21159" spans="1:1" x14ac:dyDescent="0.25">
      <c r="A21159" t="s">
        <v>19844</v>
      </c>
    </row>
    <row r="21160" spans="1:1" x14ac:dyDescent="0.25">
      <c r="A21160" t="s">
        <v>19845</v>
      </c>
    </row>
    <row r="21161" spans="1:1" x14ac:dyDescent="0.25">
      <c r="A21161" t="s">
        <v>19846</v>
      </c>
    </row>
    <row r="21162" spans="1:1" x14ac:dyDescent="0.25">
      <c r="A21162" t="s">
        <v>19847</v>
      </c>
    </row>
    <row r="21163" spans="1:1" x14ac:dyDescent="0.25">
      <c r="A21163" t="s">
        <v>19848</v>
      </c>
    </row>
    <row r="21164" spans="1:1" x14ac:dyDescent="0.25">
      <c r="A21164" t="s">
        <v>19849</v>
      </c>
    </row>
    <row r="21165" spans="1:1" x14ac:dyDescent="0.25">
      <c r="A21165" t="s">
        <v>19850</v>
      </c>
    </row>
    <row r="21166" spans="1:1" x14ac:dyDescent="0.25">
      <c r="A21166" t="s">
        <v>19851</v>
      </c>
    </row>
    <row r="21167" spans="1:1" x14ac:dyDescent="0.25">
      <c r="A21167" t="s">
        <v>19852</v>
      </c>
    </row>
    <row r="21168" spans="1:1" x14ac:dyDescent="0.25">
      <c r="A21168" t="s">
        <v>19853</v>
      </c>
    </row>
    <row r="21169" spans="1:1" x14ac:dyDescent="0.25">
      <c r="A21169" t="s">
        <v>19854</v>
      </c>
    </row>
    <row r="21170" spans="1:1" x14ac:dyDescent="0.25">
      <c r="A21170" t="s">
        <v>19855</v>
      </c>
    </row>
    <row r="21171" spans="1:1" x14ac:dyDescent="0.25">
      <c r="A21171" t="s">
        <v>19856</v>
      </c>
    </row>
    <row r="21172" spans="1:1" x14ac:dyDescent="0.25">
      <c r="A21172" t="s">
        <v>19857</v>
      </c>
    </row>
    <row r="21173" spans="1:1" x14ac:dyDescent="0.25">
      <c r="A21173" t="s">
        <v>19858</v>
      </c>
    </row>
    <row r="21174" spans="1:1" x14ac:dyDescent="0.25">
      <c r="A21174" t="s">
        <v>19859</v>
      </c>
    </row>
    <row r="21175" spans="1:1" x14ac:dyDescent="0.25">
      <c r="A21175" t="s">
        <v>19860</v>
      </c>
    </row>
    <row r="21176" spans="1:1" x14ac:dyDescent="0.25">
      <c r="A21176" t="s">
        <v>19861</v>
      </c>
    </row>
    <row r="21177" spans="1:1" x14ac:dyDescent="0.25">
      <c r="A21177" t="s">
        <v>19862</v>
      </c>
    </row>
    <row r="21178" spans="1:1" x14ac:dyDescent="0.25">
      <c r="A21178" t="s">
        <v>19863</v>
      </c>
    </row>
    <row r="21179" spans="1:1" x14ac:dyDescent="0.25">
      <c r="A21179" t="s">
        <v>19864</v>
      </c>
    </row>
    <row r="21180" spans="1:1" x14ac:dyDescent="0.25">
      <c r="A21180" t="s">
        <v>19865</v>
      </c>
    </row>
    <row r="21181" spans="1:1" x14ac:dyDescent="0.25">
      <c r="A21181" t="s">
        <v>19866</v>
      </c>
    </row>
    <row r="21182" spans="1:1" x14ac:dyDescent="0.25">
      <c r="A21182" t="s">
        <v>19867</v>
      </c>
    </row>
    <row r="21183" spans="1:1" x14ac:dyDescent="0.25">
      <c r="A21183" t="s">
        <v>19868</v>
      </c>
    </row>
    <row r="21184" spans="1:1" x14ac:dyDescent="0.25">
      <c r="A21184" t="s">
        <v>19869</v>
      </c>
    </row>
    <row r="21185" spans="1:1" x14ac:dyDescent="0.25">
      <c r="A21185" t="s">
        <v>19870</v>
      </c>
    </row>
    <row r="21186" spans="1:1" x14ac:dyDescent="0.25">
      <c r="A21186" t="s">
        <v>19871</v>
      </c>
    </row>
    <row r="21187" spans="1:1" x14ac:dyDescent="0.25">
      <c r="A21187" t="s">
        <v>19872</v>
      </c>
    </row>
    <row r="21188" spans="1:1" x14ac:dyDescent="0.25">
      <c r="A21188" t="s">
        <v>19873</v>
      </c>
    </row>
    <row r="21189" spans="1:1" x14ac:dyDescent="0.25">
      <c r="A21189" t="s">
        <v>19874</v>
      </c>
    </row>
    <row r="21190" spans="1:1" x14ac:dyDescent="0.25">
      <c r="A21190" t="s">
        <v>19875</v>
      </c>
    </row>
    <row r="21191" spans="1:1" x14ac:dyDescent="0.25">
      <c r="A21191" t="s">
        <v>19876</v>
      </c>
    </row>
    <row r="21192" spans="1:1" x14ac:dyDescent="0.25">
      <c r="A21192" t="s">
        <v>19877</v>
      </c>
    </row>
    <row r="21193" spans="1:1" x14ac:dyDescent="0.25">
      <c r="A21193" t="s">
        <v>19878</v>
      </c>
    </row>
    <row r="21194" spans="1:1" x14ac:dyDescent="0.25">
      <c r="A21194" t="s">
        <v>19879</v>
      </c>
    </row>
    <row r="21195" spans="1:1" x14ac:dyDescent="0.25">
      <c r="A21195" t="s">
        <v>19880</v>
      </c>
    </row>
    <row r="21196" spans="1:1" x14ac:dyDescent="0.25">
      <c r="A21196" t="s">
        <v>19881</v>
      </c>
    </row>
    <row r="21197" spans="1:1" x14ac:dyDescent="0.25">
      <c r="A21197" t="s">
        <v>19882</v>
      </c>
    </row>
    <row r="21198" spans="1:1" x14ac:dyDescent="0.25">
      <c r="A21198" t="s">
        <v>19883</v>
      </c>
    </row>
    <row r="21199" spans="1:1" x14ac:dyDescent="0.25">
      <c r="A21199" t="s">
        <v>19884</v>
      </c>
    </row>
    <row r="21200" spans="1:1" x14ac:dyDescent="0.25">
      <c r="A21200" t="s">
        <v>19885</v>
      </c>
    </row>
    <row r="21201" spans="1:1" x14ac:dyDescent="0.25">
      <c r="A21201" t="s">
        <v>19886</v>
      </c>
    </row>
    <row r="21202" spans="1:1" x14ac:dyDescent="0.25">
      <c r="A21202" t="s">
        <v>19887</v>
      </c>
    </row>
    <row r="21203" spans="1:1" x14ac:dyDescent="0.25">
      <c r="A21203" t="s">
        <v>19888</v>
      </c>
    </row>
    <row r="21204" spans="1:1" x14ac:dyDescent="0.25">
      <c r="A21204" t="s">
        <v>19889</v>
      </c>
    </row>
    <row r="21205" spans="1:1" x14ac:dyDescent="0.25">
      <c r="A21205" t="s">
        <v>19890</v>
      </c>
    </row>
    <row r="21206" spans="1:1" x14ac:dyDescent="0.25">
      <c r="A21206" t="s">
        <v>19891</v>
      </c>
    </row>
    <row r="21207" spans="1:1" x14ac:dyDescent="0.25">
      <c r="A21207" t="s">
        <v>19892</v>
      </c>
    </row>
    <row r="21208" spans="1:1" x14ac:dyDescent="0.25">
      <c r="A21208" t="s">
        <v>19893</v>
      </c>
    </row>
    <row r="21209" spans="1:1" x14ac:dyDescent="0.25">
      <c r="A21209" t="s">
        <v>19894</v>
      </c>
    </row>
    <row r="21210" spans="1:1" x14ac:dyDescent="0.25">
      <c r="A21210" t="s">
        <v>19895</v>
      </c>
    </row>
    <row r="21211" spans="1:1" x14ac:dyDescent="0.25">
      <c r="A21211" t="s">
        <v>19896</v>
      </c>
    </row>
    <row r="21212" spans="1:1" x14ac:dyDescent="0.25">
      <c r="A21212" t="s">
        <v>19897</v>
      </c>
    </row>
    <row r="21213" spans="1:1" x14ac:dyDescent="0.25">
      <c r="A21213" t="s">
        <v>19898</v>
      </c>
    </row>
    <row r="21214" spans="1:1" x14ac:dyDescent="0.25">
      <c r="A21214" t="s">
        <v>19899</v>
      </c>
    </row>
    <row r="21215" spans="1:1" x14ac:dyDescent="0.25">
      <c r="A21215" t="s">
        <v>19900</v>
      </c>
    </row>
    <row r="21216" spans="1:1" x14ac:dyDescent="0.25">
      <c r="A21216" t="s">
        <v>19901</v>
      </c>
    </row>
    <row r="21217" spans="1:1" x14ac:dyDescent="0.25">
      <c r="A21217" t="s">
        <v>19902</v>
      </c>
    </row>
    <row r="21218" spans="1:1" x14ac:dyDescent="0.25">
      <c r="A21218" t="s">
        <v>19903</v>
      </c>
    </row>
    <row r="21219" spans="1:1" x14ac:dyDescent="0.25">
      <c r="A21219" t="s">
        <v>19904</v>
      </c>
    </row>
    <row r="21220" spans="1:1" x14ac:dyDescent="0.25">
      <c r="A21220" t="s">
        <v>19905</v>
      </c>
    </row>
    <row r="21221" spans="1:1" x14ac:dyDescent="0.25">
      <c r="A21221" t="s">
        <v>19906</v>
      </c>
    </row>
    <row r="21222" spans="1:1" x14ac:dyDescent="0.25">
      <c r="A21222" t="s">
        <v>19907</v>
      </c>
    </row>
    <row r="21223" spans="1:1" x14ac:dyDescent="0.25">
      <c r="A21223" t="s">
        <v>19908</v>
      </c>
    </row>
    <row r="21224" spans="1:1" x14ac:dyDescent="0.25">
      <c r="A21224" t="s">
        <v>19909</v>
      </c>
    </row>
    <row r="21225" spans="1:1" x14ac:dyDescent="0.25">
      <c r="A21225" t="s">
        <v>19910</v>
      </c>
    </row>
    <row r="21226" spans="1:1" x14ac:dyDescent="0.25">
      <c r="A21226" t="s">
        <v>19911</v>
      </c>
    </row>
    <row r="21227" spans="1:1" x14ac:dyDescent="0.25">
      <c r="A21227" t="s">
        <v>19912</v>
      </c>
    </row>
    <row r="21228" spans="1:1" x14ac:dyDescent="0.25">
      <c r="A21228" t="s">
        <v>19913</v>
      </c>
    </row>
    <row r="21229" spans="1:1" x14ac:dyDescent="0.25">
      <c r="A21229" t="s">
        <v>19914</v>
      </c>
    </row>
    <row r="21230" spans="1:1" x14ac:dyDescent="0.25">
      <c r="A21230" t="s">
        <v>19915</v>
      </c>
    </row>
    <row r="21231" spans="1:1" x14ac:dyDescent="0.25">
      <c r="A21231" t="s">
        <v>19916</v>
      </c>
    </row>
    <row r="21232" spans="1:1" x14ac:dyDescent="0.25">
      <c r="A21232" t="s">
        <v>19917</v>
      </c>
    </row>
    <row r="21233" spans="1:1" x14ac:dyDescent="0.25">
      <c r="A21233" t="s">
        <v>19918</v>
      </c>
    </row>
    <row r="21234" spans="1:1" x14ac:dyDescent="0.25">
      <c r="A21234" t="s">
        <v>19919</v>
      </c>
    </row>
    <row r="21235" spans="1:1" x14ac:dyDescent="0.25">
      <c r="A21235" t="s">
        <v>19920</v>
      </c>
    </row>
    <row r="21236" spans="1:1" x14ac:dyDescent="0.25">
      <c r="A21236" t="s">
        <v>19921</v>
      </c>
    </row>
    <row r="21237" spans="1:1" x14ac:dyDescent="0.25">
      <c r="A21237" t="s">
        <v>19922</v>
      </c>
    </row>
    <row r="21238" spans="1:1" x14ac:dyDescent="0.25">
      <c r="A21238" t="s">
        <v>19923</v>
      </c>
    </row>
    <row r="21239" spans="1:1" x14ac:dyDescent="0.25">
      <c r="A21239" t="s">
        <v>19924</v>
      </c>
    </row>
    <row r="21240" spans="1:1" x14ac:dyDescent="0.25">
      <c r="A21240" t="s">
        <v>19925</v>
      </c>
    </row>
    <row r="21241" spans="1:1" x14ac:dyDescent="0.25">
      <c r="A21241" t="s">
        <v>19926</v>
      </c>
    </row>
    <row r="21242" spans="1:1" x14ac:dyDescent="0.25">
      <c r="A21242" t="s">
        <v>19927</v>
      </c>
    </row>
    <row r="21243" spans="1:1" x14ac:dyDescent="0.25">
      <c r="A21243" t="s">
        <v>19928</v>
      </c>
    </row>
    <row r="21244" spans="1:1" x14ac:dyDescent="0.25">
      <c r="A21244" t="s">
        <v>19929</v>
      </c>
    </row>
    <row r="21245" spans="1:1" x14ac:dyDescent="0.25">
      <c r="A21245" t="s">
        <v>19930</v>
      </c>
    </row>
    <row r="21246" spans="1:1" x14ac:dyDescent="0.25">
      <c r="A21246" t="s">
        <v>19931</v>
      </c>
    </row>
    <row r="21247" spans="1:1" x14ac:dyDescent="0.25">
      <c r="A21247" t="s">
        <v>19932</v>
      </c>
    </row>
    <row r="21248" spans="1:1" x14ac:dyDescent="0.25">
      <c r="A21248" t="s">
        <v>19933</v>
      </c>
    </row>
    <row r="21249" spans="1:1" x14ac:dyDescent="0.25">
      <c r="A21249" t="s">
        <v>19934</v>
      </c>
    </row>
    <row r="21250" spans="1:1" x14ac:dyDescent="0.25">
      <c r="A21250" t="s">
        <v>19935</v>
      </c>
    </row>
    <row r="21251" spans="1:1" x14ac:dyDescent="0.25">
      <c r="A21251" t="s">
        <v>19936</v>
      </c>
    </row>
    <row r="21252" spans="1:1" x14ac:dyDescent="0.25">
      <c r="A21252" t="s">
        <v>19937</v>
      </c>
    </row>
    <row r="21253" spans="1:1" x14ac:dyDescent="0.25">
      <c r="A21253" t="s">
        <v>19938</v>
      </c>
    </row>
    <row r="21254" spans="1:1" x14ac:dyDescent="0.25">
      <c r="A21254" t="s">
        <v>19939</v>
      </c>
    </row>
    <row r="21255" spans="1:1" x14ac:dyDescent="0.25">
      <c r="A21255" t="s">
        <v>19940</v>
      </c>
    </row>
    <row r="21256" spans="1:1" x14ac:dyDescent="0.25">
      <c r="A21256" t="s">
        <v>19941</v>
      </c>
    </row>
    <row r="21257" spans="1:1" x14ac:dyDescent="0.25">
      <c r="A21257" t="s">
        <v>19942</v>
      </c>
    </row>
    <row r="21258" spans="1:1" x14ac:dyDescent="0.25">
      <c r="A21258" t="s">
        <v>19943</v>
      </c>
    </row>
    <row r="21259" spans="1:1" x14ac:dyDescent="0.25">
      <c r="A21259" t="s">
        <v>19944</v>
      </c>
    </row>
    <row r="21260" spans="1:1" x14ac:dyDescent="0.25">
      <c r="A21260" t="s">
        <v>19945</v>
      </c>
    </row>
    <row r="21261" spans="1:1" x14ac:dyDescent="0.25">
      <c r="A21261" t="s">
        <v>19946</v>
      </c>
    </row>
    <row r="21262" spans="1:1" x14ac:dyDescent="0.25">
      <c r="A21262" t="s">
        <v>19947</v>
      </c>
    </row>
    <row r="21263" spans="1:1" x14ac:dyDescent="0.25">
      <c r="A21263" t="s">
        <v>19948</v>
      </c>
    </row>
    <row r="21264" spans="1:1" x14ac:dyDescent="0.25">
      <c r="A21264" t="s">
        <v>19949</v>
      </c>
    </row>
    <row r="21265" spans="1:1" x14ac:dyDescent="0.25">
      <c r="A21265" t="s">
        <v>19950</v>
      </c>
    </row>
    <row r="21266" spans="1:1" x14ac:dyDescent="0.25">
      <c r="A21266" t="s">
        <v>19951</v>
      </c>
    </row>
    <row r="21267" spans="1:1" x14ac:dyDescent="0.25">
      <c r="A21267" t="s">
        <v>19952</v>
      </c>
    </row>
    <row r="21268" spans="1:1" x14ac:dyDescent="0.25">
      <c r="A21268" t="s">
        <v>19953</v>
      </c>
    </row>
    <row r="21269" spans="1:1" x14ac:dyDescent="0.25">
      <c r="A21269" t="s">
        <v>19954</v>
      </c>
    </row>
    <row r="21270" spans="1:1" x14ac:dyDescent="0.25">
      <c r="A21270" t="s">
        <v>19955</v>
      </c>
    </row>
    <row r="21271" spans="1:1" x14ac:dyDescent="0.25">
      <c r="A21271" t="s">
        <v>19956</v>
      </c>
    </row>
    <row r="21272" spans="1:1" x14ac:dyDescent="0.25">
      <c r="A21272" t="s">
        <v>19957</v>
      </c>
    </row>
    <row r="21273" spans="1:1" x14ac:dyDescent="0.25">
      <c r="A21273" t="s">
        <v>19958</v>
      </c>
    </row>
    <row r="21274" spans="1:1" x14ac:dyDescent="0.25">
      <c r="A21274" t="s">
        <v>19959</v>
      </c>
    </row>
    <row r="21275" spans="1:1" x14ac:dyDescent="0.25">
      <c r="A21275" t="s">
        <v>19960</v>
      </c>
    </row>
    <row r="21276" spans="1:1" x14ac:dyDescent="0.25">
      <c r="A21276" t="s">
        <v>19961</v>
      </c>
    </row>
    <row r="21277" spans="1:1" x14ac:dyDescent="0.25">
      <c r="A21277" t="s">
        <v>19962</v>
      </c>
    </row>
    <row r="21278" spans="1:1" x14ac:dyDescent="0.25">
      <c r="A21278" t="s">
        <v>19963</v>
      </c>
    </row>
    <row r="21279" spans="1:1" x14ac:dyDescent="0.25">
      <c r="A21279" t="s">
        <v>19964</v>
      </c>
    </row>
    <row r="21280" spans="1:1" x14ac:dyDescent="0.25">
      <c r="A21280" t="s">
        <v>19965</v>
      </c>
    </row>
    <row r="21281" spans="1:1" x14ac:dyDescent="0.25">
      <c r="A21281" t="s">
        <v>19966</v>
      </c>
    </row>
    <row r="21282" spans="1:1" x14ac:dyDescent="0.25">
      <c r="A21282" t="s">
        <v>19967</v>
      </c>
    </row>
    <row r="21283" spans="1:1" x14ac:dyDescent="0.25">
      <c r="A21283" t="s">
        <v>19968</v>
      </c>
    </row>
    <row r="21284" spans="1:1" x14ac:dyDescent="0.25">
      <c r="A21284" t="s">
        <v>19969</v>
      </c>
    </row>
    <row r="21285" spans="1:1" x14ac:dyDescent="0.25">
      <c r="A21285" t="s">
        <v>19970</v>
      </c>
    </row>
    <row r="21286" spans="1:1" x14ac:dyDescent="0.25">
      <c r="A21286" t="s">
        <v>19971</v>
      </c>
    </row>
    <row r="21287" spans="1:1" x14ac:dyDescent="0.25">
      <c r="A21287" t="s">
        <v>19972</v>
      </c>
    </row>
    <row r="21288" spans="1:1" x14ac:dyDescent="0.25">
      <c r="A21288" t="s">
        <v>19973</v>
      </c>
    </row>
    <row r="21289" spans="1:1" x14ac:dyDescent="0.25">
      <c r="A21289" t="s">
        <v>19974</v>
      </c>
    </row>
    <row r="21290" spans="1:1" x14ac:dyDescent="0.25">
      <c r="A21290" t="s">
        <v>19975</v>
      </c>
    </row>
    <row r="21291" spans="1:1" x14ac:dyDescent="0.25">
      <c r="A21291" t="s">
        <v>19976</v>
      </c>
    </row>
    <row r="21292" spans="1:1" x14ac:dyDescent="0.25">
      <c r="A21292" t="s">
        <v>19977</v>
      </c>
    </row>
    <row r="21293" spans="1:1" x14ac:dyDescent="0.25">
      <c r="A21293" t="s">
        <v>19978</v>
      </c>
    </row>
    <row r="21294" spans="1:1" x14ac:dyDescent="0.25">
      <c r="A21294" t="s">
        <v>19979</v>
      </c>
    </row>
    <row r="21295" spans="1:1" x14ac:dyDescent="0.25">
      <c r="A21295" t="s">
        <v>19980</v>
      </c>
    </row>
    <row r="21296" spans="1:1" x14ac:dyDescent="0.25">
      <c r="A21296" t="s">
        <v>19981</v>
      </c>
    </row>
    <row r="21297" spans="1:1" x14ac:dyDescent="0.25">
      <c r="A21297" t="s">
        <v>19982</v>
      </c>
    </row>
    <row r="21298" spans="1:1" x14ac:dyDescent="0.25">
      <c r="A21298" t="s">
        <v>19983</v>
      </c>
    </row>
    <row r="21299" spans="1:1" x14ac:dyDescent="0.25">
      <c r="A21299" t="s">
        <v>19984</v>
      </c>
    </row>
    <row r="21300" spans="1:1" x14ac:dyDescent="0.25">
      <c r="A21300" t="s">
        <v>19985</v>
      </c>
    </row>
    <row r="21301" spans="1:1" x14ac:dyDescent="0.25">
      <c r="A21301" t="s">
        <v>19986</v>
      </c>
    </row>
    <row r="21302" spans="1:1" x14ac:dyDescent="0.25">
      <c r="A21302" t="s">
        <v>19987</v>
      </c>
    </row>
    <row r="21303" spans="1:1" x14ac:dyDescent="0.25">
      <c r="A21303" t="s">
        <v>19988</v>
      </c>
    </row>
    <row r="21304" spans="1:1" x14ac:dyDescent="0.25">
      <c r="A21304" t="s">
        <v>19989</v>
      </c>
    </row>
    <row r="21305" spans="1:1" x14ac:dyDescent="0.25">
      <c r="A21305" t="s">
        <v>19990</v>
      </c>
    </row>
    <row r="21306" spans="1:1" x14ac:dyDescent="0.25">
      <c r="A21306" t="s">
        <v>19991</v>
      </c>
    </row>
    <row r="21307" spans="1:1" x14ac:dyDescent="0.25">
      <c r="A21307" t="s">
        <v>19992</v>
      </c>
    </row>
    <row r="21308" spans="1:1" x14ac:dyDescent="0.25">
      <c r="A21308" t="s">
        <v>19993</v>
      </c>
    </row>
    <row r="21309" spans="1:1" x14ac:dyDescent="0.25">
      <c r="A21309" t="s">
        <v>19994</v>
      </c>
    </row>
    <row r="21310" spans="1:1" x14ac:dyDescent="0.25">
      <c r="A21310" t="s">
        <v>19995</v>
      </c>
    </row>
    <row r="21311" spans="1:1" x14ac:dyDescent="0.25">
      <c r="A21311" t="s">
        <v>19996</v>
      </c>
    </row>
    <row r="21312" spans="1:1" x14ac:dyDescent="0.25">
      <c r="A21312" t="s">
        <v>19997</v>
      </c>
    </row>
    <row r="21313" spans="1:1" x14ac:dyDescent="0.25">
      <c r="A21313" t="s">
        <v>19998</v>
      </c>
    </row>
    <row r="21314" spans="1:1" x14ac:dyDescent="0.25">
      <c r="A21314" t="s">
        <v>19999</v>
      </c>
    </row>
    <row r="21315" spans="1:1" x14ac:dyDescent="0.25">
      <c r="A21315" t="s">
        <v>20000</v>
      </c>
    </row>
    <row r="21316" spans="1:1" x14ac:dyDescent="0.25">
      <c r="A21316" t="s">
        <v>20001</v>
      </c>
    </row>
    <row r="21317" spans="1:1" x14ac:dyDescent="0.25">
      <c r="A21317" t="s">
        <v>20002</v>
      </c>
    </row>
    <row r="21318" spans="1:1" x14ac:dyDescent="0.25">
      <c r="A21318" t="s">
        <v>20003</v>
      </c>
    </row>
    <row r="21319" spans="1:1" x14ac:dyDescent="0.25">
      <c r="A21319" t="s">
        <v>20004</v>
      </c>
    </row>
    <row r="21320" spans="1:1" x14ac:dyDescent="0.25">
      <c r="A21320" t="s">
        <v>20005</v>
      </c>
    </row>
    <row r="21321" spans="1:1" x14ac:dyDescent="0.25">
      <c r="A21321" t="s">
        <v>20006</v>
      </c>
    </row>
    <row r="21322" spans="1:1" x14ac:dyDescent="0.25">
      <c r="A21322" t="s">
        <v>20007</v>
      </c>
    </row>
    <row r="21323" spans="1:1" x14ac:dyDescent="0.25">
      <c r="A21323" t="s">
        <v>20008</v>
      </c>
    </row>
    <row r="21324" spans="1:1" x14ac:dyDescent="0.25">
      <c r="A21324" t="s">
        <v>20009</v>
      </c>
    </row>
    <row r="21325" spans="1:1" x14ac:dyDescent="0.25">
      <c r="A21325" t="s">
        <v>20010</v>
      </c>
    </row>
    <row r="21326" spans="1:1" x14ac:dyDescent="0.25">
      <c r="A21326" t="s">
        <v>20011</v>
      </c>
    </row>
    <row r="21327" spans="1:1" x14ac:dyDescent="0.25">
      <c r="A21327" t="s">
        <v>20012</v>
      </c>
    </row>
    <row r="21328" spans="1:1" x14ac:dyDescent="0.25">
      <c r="A21328" t="s">
        <v>20013</v>
      </c>
    </row>
    <row r="21329" spans="1:1" x14ac:dyDescent="0.25">
      <c r="A21329" t="s">
        <v>20014</v>
      </c>
    </row>
    <row r="21330" spans="1:1" x14ac:dyDescent="0.25">
      <c r="A21330" t="s">
        <v>20015</v>
      </c>
    </row>
    <row r="21331" spans="1:1" x14ac:dyDescent="0.25">
      <c r="A21331" t="s">
        <v>20016</v>
      </c>
    </row>
    <row r="21332" spans="1:1" x14ac:dyDescent="0.25">
      <c r="A21332" t="s">
        <v>20017</v>
      </c>
    </row>
    <row r="21333" spans="1:1" x14ac:dyDescent="0.25">
      <c r="A21333" t="s">
        <v>20018</v>
      </c>
    </row>
    <row r="21334" spans="1:1" x14ac:dyDescent="0.25">
      <c r="A21334" t="s">
        <v>20019</v>
      </c>
    </row>
    <row r="21335" spans="1:1" x14ac:dyDescent="0.25">
      <c r="A21335" t="s">
        <v>20020</v>
      </c>
    </row>
    <row r="21336" spans="1:1" x14ac:dyDescent="0.25">
      <c r="A21336" t="s">
        <v>20021</v>
      </c>
    </row>
    <row r="21337" spans="1:1" x14ac:dyDescent="0.25">
      <c r="A21337" t="s">
        <v>20022</v>
      </c>
    </row>
    <row r="21338" spans="1:1" x14ac:dyDescent="0.25">
      <c r="A21338" t="s">
        <v>20023</v>
      </c>
    </row>
    <row r="21339" spans="1:1" x14ac:dyDescent="0.25">
      <c r="A21339" t="s">
        <v>20024</v>
      </c>
    </row>
    <row r="21340" spans="1:1" x14ac:dyDescent="0.25">
      <c r="A21340" t="s">
        <v>20025</v>
      </c>
    </row>
    <row r="21341" spans="1:1" x14ac:dyDescent="0.25">
      <c r="A21341" t="s">
        <v>20026</v>
      </c>
    </row>
    <row r="21342" spans="1:1" x14ac:dyDescent="0.25">
      <c r="A21342" t="s">
        <v>20027</v>
      </c>
    </row>
    <row r="21343" spans="1:1" x14ac:dyDescent="0.25">
      <c r="A21343" t="s">
        <v>20028</v>
      </c>
    </row>
    <row r="21344" spans="1:1" x14ac:dyDescent="0.25">
      <c r="A21344" t="s">
        <v>20029</v>
      </c>
    </row>
    <row r="21345" spans="1:1" x14ac:dyDescent="0.25">
      <c r="A21345" t="s">
        <v>20030</v>
      </c>
    </row>
    <row r="21346" spans="1:1" x14ac:dyDescent="0.25">
      <c r="A21346" t="s">
        <v>20031</v>
      </c>
    </row>
    <row r="21347" spans="1:1" x14ac:dyDescent="0.25">
      <c r="A21347" t="s">
        <v>20032</v>
      </c>
    </row>
    <row r="21349" spans="1:1" x14ac:dyDescent="0.25">
      <c r="A21349" t="s">
        <v>20033</v>
      </c>
    </row>
    <row r="21350" spans="1:1" x14ac:dyDescent="0.25">
      <c r="A21350" t="s">
        <v>20034</v>
      </c>
    </row>
    <row r="21351" spans="1:1" x14ac:dyDescent="0.25">
      <c r="A21351" t="s">
        <v>20035</v>
      </c>
    </row>
    <row r="21352" spans="1:1" x14ac:dyDescent="0.25">
      <c r="A21352" t="s">
        <v>20036</v>
      </c>
    </row>
    <row r="21353" spans="1:1" x14ac:dyDescent="0.25">
      <c r="A21353" t="s">
        <v>20037</v>
      </c>
    </row>
    <row r="21354" spans="1:1" x14ac:dyDescent="0.25">
      <c r="A21354" t="s">
        <v>20038</v>
      </c>
    </row>
    <row r="21355" spans="1:1" x14ac:dyDescent="0.25">
      <c r="A21355" t="s">
        <v>20039</v>
      </c>
    </row>
    <row r="21356" spans="1:1" x14ac:dyDescent="0.25">
      <c r="A21356" t="s">
        <v>20040</v>
      </c>
    </row>
    <row r="21357" spans="1:1" x14ac:dyDescent="0.25">
      <c r="A21357" t="s">
        <v>20041</v>
      </c>
    </row>
    <row r="21358" spans="1:1" x14ac:dyDescent="0.25">
      <c r="A21358" t="s">
        <v>20042</v>
      </c>
    </row>
    <row r="21359" spans="1:1" x14ac:dyDescent="0.25">
      <c r="A21359" t="s">
        <v>20043</v>
      </c>
    </row>
    <row r="21360" spans="1:1" x14ac:dyDescent="0.25">
      <c r="A21360" t="s">
        <v>20044</v>
      </c>
    </row>
    <row r="21361" spans="1:1" x14ac:dyDescent="0.25">
      <c r="A21361" t="s">
        <v>20045</v>
      </c>
    </row>
    <row r="21362" spans="1:1" x14ac:dyDescent="0.25">
      <c r="A21362" t="s">
        <v>20046</v>
      </c>
    </row>
    <row r="21363" spans="1:1" x14ac:dyDescent="0.25">
      <c r="A21363" t="s">
        <v>20047</v>
      </c>
    </row>
    <row r="21364" spans="1:1" x14ac:dyDescent="0.25">
      <c r="A21364" t="s">
        <v>20048</v>
      </c>
    </row>
    <row r="21365" spans="1:1" x14ac:dyDescent="0.25">
      <c r="A21365" t="s">
        <v>20049</v>
      </c>
    </row>
    <row r="21366" spans="1:1" x14ac:dyDescent="0.25">
      <c r="A21366" t="s">
        <v>20050</v>
      </c>
    </row>
    <row r="21367" spans="1:1" x14ac:dyDescent="0.25">
      <c r="A21367" t="s">
        <v>20051</v>
      </c>
    </row>
    <row r="21368" spans="1:1" x14ac:dyDescent="0.25">
      <c r="A21368" t="s">
        <v>20052</v>
      </c>
    </row>
    <row r="21369" spans="1:1" x14ac:dyDescent="0.25">
      <c r="A21369" t="s">
        <v>20053</v>
      </c>
    </row>
    <row r="21370" spans="1:1" x14ac:dyDescent="0.25">
      <c r="A21370" t="s">
        <v>20054</v>
      </c>
    </row>
    <row r="21371" spans="1:1" x14ac:dyDescent="0.25">
      <c r="A21371" t="s">
        <v>20055</v>
      </c>
    </row>
    <row r="21372" spans="1:1" x14ac:dyDescent="0.25">
      <c r="A21372" t="s">
        <v>20056</v>
      </c>
    </row>
    <row r="21373" spans="1:1" x14ac:dyDescent="0.25">
      <c r="A21373" t="s">
        <v>20057</v>
      </c>
    </row>
    <row r="21374" spans="1:1" x14ac:dyDescent="0.25">
      <c r="A21374" t="s">
        <v>20058</v>
      </c>
    </row>
    <row r="21375" spans="1:1" x14ac:dyDescent="0.25">
      <c r="A21375" t="s">
        <v>20059</v>
      </c>
    </row>
    <row r="21376" spans="1:1" x14ac:dyDescent="0.25">
      <c r="A21376" t="s">
        <v>20060</v>
      </c>
    </row>
    <row r="21377" spans="1:1" x14ac:dyDescent="0.25">
      <c r="A21377" t="s">
        <v>20061</v>
      </c>
    </row>
    <row r="21378" spans="1:1" x14ac:dyDescent="0.25">
      <c r="A21378" t="s">
        <v>20062</v>
      </c>
    </row>
    <row r="21379" spans="1:1" x14ac:dyDescent="0.25">
      <c r="A21379" t="s">
        <v>20063</v>
      </c>
    </row>
    <row r="21380" spans="1:1" x14ac:dyDescent="0.25">
      <c r="A21380" t="s">
        <v>20064</v>
      </c>
    </row>
    <row r="21381" spans="1:1" x14ac:dyDescent="0.25">
      <c r="A21381" t="s">
        <v>20065</v>
      </c>
    </row>
    <row r="21382" spans="1:1" x14ac:dyDescent="0.25">
      <c r="A21382" t="s">
        <v>20066</v>
      </c>
    </row>
    <row r="21383" spans="1:1" x14ac:dyDescent="0.25">
      <c r="A21383" t="s">
        <v>20067</v>
      </c>
    </row>
    <row r="21384" spans="1:1" x14ac:dyDescent="0.25">
      <c r="A21384" t="s">
        <v>20068</v>
      </c>
    </row>
    <row r="21385" spans="1:1" x14ac:dyDescent="0.25">
      <c r="A21385" t="s">
        <v>20069</v>
      </c>
    </row>
    <row r="21386" spans="1:1" x14ac:dyDescent="0.25">
      <c r="A21386" t="s">
        <v>20070</v>
      </c>
    </row>
    <row r="21387" spans="1:1" x14ac:dyDescent="0.25">
      <c r="A21387" t="s">
        <v>20071</v>
      </c>
    </row>
    <row r="21388" spans="1:1" x14ac:dyDescent="0.25">
      <c r="A21388" t="s">
        <v>20072</v>
      </c>
    </row>
    <row r="21389" spans="1:1" x14ac:dyDescent="0.25">
      <c r="A21389" t="s">
        <v>20073</v>
      </c>
    </row>
    <row r="21390" spans="1:1" x14ac:dyDescent="0.25">
      <c r="A21390" t="s">
        <v>20074</v>
      </c>
    </row>
    <row r="21391" spans="1:1" x14ac:dyDescent="0.25">
      <c r="A21391" t="s">
        <v>20075</v>
      </c>
    </row>
    <row r="21392" spans="1:1" x14ac:dyDescent="0.25">
      <c r="A21392" t="s">
        <v>20076</v>
      </c>
    </row>
    <row r="21393" spans="1:1" x14ac:dyDescent="0.25">
      <c r="A21393" t="s">
        <v>20077</v>
      </c>
    </row>
    <row r="21394" spans="1:1" x14ac:dyDescent="0.25">
      <c r="A21394" t="s">
        <v>20078</v>
      </c>
    </row>
    <row r="21395" spans="1:1" x14ac:dyDescent="0.25">
      <c r="A21395" t="s">
        <v>20079</v>
      </c>
    </row>
    <row r="21396" spans="1:1" x14ac:dyDescent="0.25">
      <c r="A21396" t="s">
        <v>20080</v>
      </c>
    </row>
    <row r="21397" spans="1:1" x14ac:dyDescent="0.25">
      <c r="A21397" t="s">
        <v>20081</v>
      </c>
    </row>
    <row r="21398" spans="1:1" x14ac:dyDescent="0.25">
      <c r="A21398" t="s">
        <v>20082</v>
      </c>
    </row>
    <row r="21399" spans="1:1" x14ac:dyDescent="0.25">
      <c r="A21399" t="s">
        <v>20083</v>
      </c>
    </row>
    <row r="21400" spans="1:1" x14ac:dyDescent="0.25">
      <c r="A21400" t="s">
        <v>20084</v>
      </c>
    </row>
    <row r="21401" spans="1:1" x14ac:dyDescent="0.25">
      <c r="A21401" t="s">
        <v>20085</v>
      </c>
    </row>
    <row r="21402" spans="1:1" x14ac:dyDescent="0.25">
      <c r="A21402" t="s">
        <v>20086</v>
      </c>
    </row>
    <row r="21403" spans="1:1" x14ac:dyDescent="0.25">
      <c r="A21403" t="s">
        <v>20087</v>
      </c>
    </row>
    <row r="21404" spans="1:1" x14ac:dyDescent="0.25">
      <c r="A21404" t="s">
        <v>20088</v>
      </c>
    </row>
    <row r="21405" spans="1:1" x14ac:dyDescent="0.25">
      <c r="A21405" t="s">
        <v>20089</v>
      </c>
    </row>
    <row r="21406" spans="1:1" x14ac:dyDescent="0.25">
      <c r="A21406" t="s">
        <v>20090</v>
      </c>
    </row>
    <row r="21407" spans="1:1" x14ac:dyDescent="0.25">
      <c r="A21407" t="s">
        <v>20091</v>
      </c>
    </row>
    <row r="21408" spans="1:1" x14ac:dyDescent="0.25">
      <c r="A21408" t="s">
        <v>20092</v>
      </c>
    </row>
    <row r="21409" spans="1:1" x14ac:dyDescent="0.25">
      <c r="A21409" t="s">
        <v>20093</v>
      </c>
    </row>
    <row r="21410" spans="1:1" x14ac:dyDescent="0.25">
      <c r="A21410" t="s">
        <v>20094</v>
      </c>
    </row>
    <row r="21411" spans="1:1" x14ac:dyDescent="0.25">
      <c r="A21411" t="s">
        <v>20095</v>
      </c>
    </row>
    <row r="21412" spans="1:1" x14ac:dyDescent="0.25">
      <c r="A21412" t="s">
        <v>20096</v>
      </c>
    </row>
    <row r="21413" spans="1:1" x14ac:dyDescent="0.25">
      <c r="A21413" t="s">
        <v>20097</v>
      </c>
    </row>
    <row r="21414" spans="1:1" x14ac:dyDescent="0.25">
      <c r="A21414" t="s">
        <v>20098</v>
      </c>
    </row>
    <row r="21415" spans="1:1" x14ac:dyDescent="0.25">
      <c r="A21415" t="s">
        <v>20099</v>
      </c>
    </row>
    <row r="21416" spans="1:1" x14ac:dyDescent="0.25">
      <c r="A21416" t="s">
        <v>19774</v>
      </c>
    </row>
    <row r="21417" spans="1:1" x14ac:dyDescent="0.25">
      <c r="A21417" t="s">
        <v>20100</v>
      </c>
    </row>
    <row r="21418" spans="1:1" x14ac:dyDescent="0.25">
      <c r="A21418" t="s">
        <v>20101</v>
      </c>
    </row>
    <row r="21419" spans="1:1" x14ac:dyDescent="0.25">
      <c r="A21419" t="s">
        <v>20102</v>
      </c>
    </row>
    <row r="21420" spans="1:1" x14ac:dyDescent="0.25">
      <c r="A21420" t="s">
        <v>20103</v>
      </c>
    </row>
    <row r="21421" spans="1:1" x14ac:dyDescent="0.25">
      <c r="A21421" t="s">
        <v>20104</v>
      </c>
    </row>
    <row r="21422" spans="1:1" x14ac:dyDescent="0.25">
      <c r="A21422" t="s">
        <v>20105</v>
      </c>
    </row>
    <row r="21423" spans="1:1" x14ac:dyDescent="0.25">
      <c r="A21423" t="s">
        <v>20106</v>
      </c>
    </row>
    <row r="21424" spans="1:1" x14ac:dyDescent="0.25">
      <c r="A21424" t="s">
        <v>20107</v>
      </c>
    </row>
    <row r="21425" spans="1:1" x14ac:dyDescent="0.25">
      <c r="A21425" t="s">
        <v>20108</v>
      </c>
    </row>
    <row r="21426" spans="1:1" x14ac:dyDescent="0.25">
      <c r="A21426" t="s">
        <v>20109</v>
      </c>
    </row>
    <row r="21427" spans="1:1" x14ac:dyDescent="0.25">
      <c r="A21427" t="s">
        <v>20110</v>
      </c>
    </row>
    <row r="21428" spans="1:1" x14ac:dyDescent="0.25">
      <c r="A21428" t="s">
        <v>19828</v>
      </c>
    </row>
    <row r="21429" spans="1:1" x14ac:dyDescent="0.25">
      <c r="A21429" t="s">
        <v>20111</v>
      </c>
    </row>
    <row r="21430" spans="1:1" x14ac:dyDescent="0.25">
      <c r="A21430" t="s">
        <v>20112</v>
      </c>
    </row>
    <row r="21431" spans="1:1" x14ac:dyDescent="0.25">
      <c r="A21431" t="s">
        <v>20113</v>
      </c>
    </row>
    <row r="21432" spans="1:1" x14ac:dyDescent="0.25">
      <c r="A21432" t="s">
        <v>20114</v>
      </c>
    </row>
    <row r="21433" spans="1:1" x14ac:dyDescent="0.25">
      <c r="A21433" t="s">
        <v>20115</v>
      </c>
    </row>
    <row r="21434" spans="1:1" x14ac:dyDescent="0.25">
      <c r="A21434" t="s">
        <v>20116</v>
      </c>
    </row>
    <row r="21435" spans="1:1" x14ac:dyDescent="0.25">
      <c r="A21435" t="s">
        <v>15757</v>
      </c>
    </row>
    <row r="21436" spans="1:1" x14ac:dyDescent="0.25">
      <c r="A21436" t="s">
        <v>20117</v>
      </c>
    </row>
    <row r="21437" spans="1:1" x14ac:dyDescent="0.25">
      <c r="A21437" t="s">
        <v>20118</v>
      </c>
    </row>
    <row r="21438" spans="1:1" x14ac:dyDescent="0.25">
      <c r="A21438" t="s">
        <v>20119</v>
      </c>
    </row>
    <row r="21440" spans="1:1" x14ac:dyDescent="0.25">
      <c r="A21440" t="s">
        <v>20120</v>
      </c>
    </row>
    <row r="21441" spans="1:1" x14ac:dyDescent="0.25">
      <c r="A21441" t="s">
        <v>20121</v>
      </c>
    </row>
    <row r="21442" spans="1:1" x14ac:dyDescent="0.25">
      <c r="A21442" t="s">
        <v>20122</v>
      </c>
    </row>
    <row r="21443" spans="1:1" x14ac:dyDescent="0.25">
      <c r="A21443" t="s">
        <v>20123</v>
      </c>
    </row>
    <row r="21444" spans="1:1" x14ac:dyDescent="0.25">
      <c r="A21444" t="s">
        <v>20124</v>
      </c>
    </row>
    <row r="21445" spans="1:1" x14ac:dyDescent="0.25">
      <c r="A21445" t="s">
        <v>20125</v>
      </c>
    </row>
    <row r="21446" spans="1:1" x14ac:dyDescent="0.25">
      <c r="A21446" t="s">
        <v>20126</v>
      </c>
    </row>
    <row r="21447" spans="1:1" x14ac:dyDescent="0.25">
      <c r="A21447" t="s">
        <v>20127</v>
      </c>
    </row>
    <row r="21448" spans="1:1" x14ac:dyDescent="0.25">
      <c r="A21448" t="s">
        <v>20128</v>
      </c>
    </row>
    <row r="21449" spans="1:1" x14ac:dyDescent="0.25">
      <c r="A21449" t="s">
        <v>20129</v>
      </c>
    </row>
    <row r="21450" spans="1:1" x14ac:dyDescent="0.25">
      <c r="A21450" t="s">
        <v>20130</v>
      </c>
    </row>
    <row r="21451" spans="1:1" x14ac:dyDescent="0.25">
      <c r="A21451" t="s">
        <v>20131</v>
      </c>
    </row>
    <row r="21452" spans="1:1" x14ac:dyDescent="0.25">
      <c r="A21452" t="s">
        <v>20132</v>
      </c>
    </row>
    <row r="21453" spans="1:1" x14ac:dyDescent="0.25">
      <c r="A21453" t="s">
        <v>20133</v>
      </c>
    </row>
    <row r="21454" spans="1:1" x14ac:dyDescent="0.25">
      <c r="A21454" t="s">
        <v>20134</v>
      </c>
    </row>
    <row r="21455" spans="1:1" x14ac:dyDescent="0.25">
      <c r="A21455" t="s">
        <v>20135</v>
      </c>
    </row>
    <row r="21456" spans="1:1" x14ac:dyDescent="0.25">
      <c r="A21456" t="s">
        <v>20136</v>
      </c>
    </row>
    <row r="21457" spans="1:1" x14ac:dyDescent="0.25">
      <c r="A21457" t="s">
        <v>20137</v>
      </c>
    </row>
    <row r="21458" spans="1:1" x14ac:dyDescent="0.25">
      <c r="A21458" t="s">
        <v>20138</v>
      </c>
    </row>
    <row r="21459" spans="1:1" x14ac:dyDescent="0.25">
      <c r="A21459" t="s">
        <v>20139</v>
      </c>
    </row>
    <row r="21460" spans="1:1" x14ac:dyDescent="0.25">
      <c r="A21460" t="s">
        <v>20140</v>
      </c>
    </row>
    <row r="21461" spans="1:1" x14ac:dyDescent="0.25">
      <c r="A21461" t="s">
        <v>20141</v>
      </c>
    </row>
    <row r="21462" spans="1:1" x14ac:dyDescent="0.25">
      <c r="A21462" t="s">
        <v>20142</v>
      </c>
    </row>
    <row r="21463" spans="1:1" x14ac:dyDescent="0.25">
      <c r="A21463" t="s">
        <v>20143</v>
      </c>
    </row>
    <row r="21464" spans="1:1" x14ac:dyDescent="0.25">
      <c r="A21464" t="s">
        <v>20144</v>
      </c>
    </row>
    <row r="21465" spans="1:1" x14ac:dyDescent="0.25">
      <c r="A21465" t="s">
        <v>20145</v>
      </c>
    </row>
    <row r="21466" spans="1:1" x14ac:dyDescent="0.25">
      <c r="A21466" t="s">
        <v>20146</v>
      </c>
    </row>
    <row r="21467" spans="1:1" x14ac:dyDescent="0.25">
      <c r="A21467" t="s">
        <v>20147</v>
      </c>
    </row>
    <row r="21468" spans="1:1" x14ac:dyDescent="0.25">
      <c r="A21468" t="s">
        <v>20148</v>
      </c>
    </row>
    <row r="21469" spans="1:1" x14ac:dyDescent="0.25">
      <c r="A21469" t="s">
        <v>20149</v>
      </c>
    </row>
    <row r="21470" spans="1:1" x14ac:dyDescent="0.25">
      <c r="A21470" t="s">
        <v>20150</v>
      </c>
    </row>
    <row r="21471" spans="1:1" x14ac:dyDescent="0.25">
      <c r="A21471" t="s">
        <v>20151</v>
      </c>
    </row>
    <row r="21472" spans="1:1" x14ac:dyDescent="0.25">
      <c r="A21472" t="s">
        <v>20152</v>
      </c>
    </row>
    <row r="21473" spans="1:1" x14ac:dyDescent="0.25">
      <c r="A21473" t="s">
        <v>20153</v>
      </c>
    </row>
    <row r="21474" spans="1:1" x14ac:dyDescent="0.25">
      <c r="A21474" t="s">
        <v>20154</v>
      </c>
    </row>
    <row r="21475" spans="1:1" x14ac:dyDescent="0.25">
      <c r="A21475" t="s">
        <v>20155</v>
      </c>
    </row>
    <row r="21476" spans="1:1" x14ac:dyDescent="0.25">
      <c r="A21476" t="s">
        <v>20156</v>
      </c>
    </row>
    <row r="21477" spans="1:1" x14ac:dyDescent="0.25">
      <c r="A21477" t="s">
        <v>20157</v>
      </c>
    </row>
    <row r="21478" spans="1:1" x14ac:dyDescent="0.25">
      <c r="A21478" t="s">
        <v>20158</v>
      </c>
    </row>
    <row r="21479" spans="1:1" x14ac:dyDescent="0.25">
      <c r="A21479" t="s">
        <v>20159</v>
      </c>
    </row>
    <row r="21480" spans="1:1" x14ac:dyDescent="0.25">
      <c r="A21480" t="s">
        <v>20160</v>
      </c>
    </row>
    <row r="21481" spans="1:1" x14ac:dyDescent="0.25">
      <c r="A21481" t="s">
        <v>20161</v>
      </c>
    </row>
    <row r="21483" spans="1:1" x14ac:dyDescent="0.25">
      <c r="A21483" t="s">
        <v>20162</v>
      </c>
    </row>
    <row r="21484" spans="1:1" x14ac:dyDescent="0.25">
      <c r="A21484" t="s">
        <v>20163</v>
      </c>
    </row>
    <row r="21485" spans="1:1" x14ac:dyDescent="0.25">
      <c r="A21485" t="s">
        <v>20164</v>
      </c>
    </row>
    <row r="21486" spans="1:1" x14ac:dyDescent="0.25">
      <c r="A21486" t="s">
        <v>20165</v>
      </c>
    </row>
    <row r="21487" spans="1:1" x14ac:dyDescent="0.25">
      <c r="A21487" t="s">
        <v>20166</v>
      </c>
    </row>
    <row r="21488" spans="1:1" x14ac:dyDescent="0.25">
      <c r="A21488" t="s">
        <v>20167</v>
      </c>
    </row>
    <row r="21489" spans="1:1" x14ac:dyDescent="0.25">
      <c r="A21489" t="s">
        <v>20168</v>
      </c>
    </row>
    <row r="21490" spans="1:1" x14ac:dyDescent="0.25">
      <c r="A21490" t="s">
        <v>20169</v>
      </c>
    </row>
    <row r="21491" spans="1:1" x14ac:dyDescent="0.25">
      <c r="A21491" t="s">
        <v>20170</v>
      </c>
    </row>
    <row r="21492" spans="1:1" x14ac:dyDescent="0.25">
      <c r="A21492" t="s">
        <v>20171</v>
      </c>
    </row>
    <row r="21493" spans="1:1" x14ac:dyDescent="0.25">
      <c r="A21493" t="s">
        <v>20172</v>
      </c>
    </row>
    <row r="21494" spans="1:1" x14ac:dyDescent="0.25">
      <c r="A21494" t="s">
        <v>20173</v>
      </c>
    </row>
    <row r="21495" spans="1:1" x14ac:dyDescent="0.25">
      <c r="A21495" t="s">
        <v>20174</v>
      </c>
    </row>
    <row r="21496" spans="1:1" x14ac:dyDescent="0.25">
      <c r="A21496" t="s">
        <v>20175</v>
      </c>
    </row>
    <row r="21497" spans="1:1" x14ac:dyDescent="0.25">
      <c r="A21497" t="s">
        <v>20176</v>
      </c>
    </row>
    <row r="21498" spans="1:1" x14ac:dyDescent="0.25">
      <c r="A21498" t="s">
        <v>20177</v>
      </c>
    </row>
    <row r="21499" spans="1:1" x14ac:dyDescent="0.25">
      <c r="A21499" t="s">
        <v>20178</v>
      </c>
    </row>
    <row r="21500" spans="1:1" x14ac:dyDescent="0.25">
      <c r="A21500" t="s">
        <v>20179</v>
      </c>
    </row>
    <row r="21501" spans="1:1" x14ac:dyDescent="0.25">
      <c r="A21501" t="s">
        <v>20180</v>
      </c>
    </row>
    <row r="21502" spans="1:1" x14ac:dyDescent="0.25">
      <c r="A21502" t="s">
        <v>20181</v>
      </c>
    </row>
    <row r="21503" spans="1:1" x14ac:dyDescent="0.25">
      <c r="A21503" t="s">
        <v>20182</v>
      </c>
    </row>
    <row r="21504" spans="1:1" x14ac:dyDescent="0.25">
      <c r="A21504" t="s">
        <v>20183</v>
      </c>
    </row>
    <row r="21505" spans="1:1" x14ac:dyDescent="0.25">
      <c r="A21505" t="s">
        <v>20184</v>
      </c>
    </row>
    <row r="21506" spans="1:1" x14ac:dyDescent="0.25">
      <c r="A21506" t="s">
        <v>20185</v>
      </c>
    </row>
    <row r="21507" spans="1:1" x14ac:dyDescent="0.25">
      <c r="A21507" t="s">
        <v>20186</v>
      </c>
    </row>
    <row r="21508" spans="1:1" x14ac:dyDescent="0.25">
      <c r="A21508" t="s">
        <v>20187</v>
      </c>
    </row>
    <row r="21509" spans="1:1" x14ac:dyDescent="0.25">
      <c r="A21509" t="s">
        <v>20188</v>
      </c>
    </row>
    <row r="21510" spans="1:1" x14ac:dyDescent="0.25">
      <c r="A21510" t="s">
        <v>20189</v>
      </c>
    </row>
    <row r="21511" spans="1:1" x14ac:dyDescent="0.25">
      <c r="A21511" t="s">
        <v>20190</v>
      </c>
    </row>
    <row r="21512" spans="1:1" x14ac:dyDescent="0.25">
      <c r="A21512" t="s">
        <v>20191</v>
      </c>
    </row>
    <row r="21513" spans="1:1" x14ac:dyDescent="0.25">
      <c r="A21513" t="s">
        <v>20192</v>
      </c>
    </row>
    <row r="21514" spans="1:1" x14ac:dyDescent="0.25">
      <c r="A21514" t="s">
        <v>20193</v>
      </c>
    </row>
    <row r="21515" spans="1:1" x14ac:dyDescent="0.25">
      <c r="A21515" t="s">
        <v>20194</v>
      </c>
    </row>
    <row r="21516" spans="1:1" x14ac:dyDescent="0.25">
      <c r="A21516" t="s">
        <v>20195</v>
      </c>
    </row>
    <row r="21517" spans="1:1" x14ac:dyDescent="0.25">
      <c r="A21517" t="s">
        <v>20196</v>
      </c>
    </row>
    <row r="21518" spans="1:1" x14ac:dyDescent="0.25">
      <c r="A21518" t="s">
        <v>20197</v>
      </c>
    </row>
    <row r="21519" spans="1:1" x14ac:dyDescent="0.25">
      <c r="A21519" t="s">
        <v>20198</v>
      </c>
    </row>
    <row r="21520" spans="1:1" x14ac:dyDescent="0.25">
      <c r="A21520" t="s">
        <v>20199</v>
      </c>
    </row>
    <row r="21521" spans="1:1" x14ac:dyDescent="0.25">
      <c r="A21521" t="s">
        <v>20200</v>
      </c>
    </row>
    <row r="21522" spans="1:1" x14ac:dyDescent="0.25">
      <c r="A21522" t="s">
        <v>20201</v>
      </c>
    </row>
    <row r="21523" spans="1:1" x14ac:dyDescent="0.25">
      <c r="A21523" t="s">
        <v>20202</v>
      </c>
    </row>
    <row r="21524" spans="1:1" x14ac:dyDescent="0.25">
      <c r="A21524" t="s">
        <v>20203</v>
      </c>
    </row>
    <row r="21525" spans="1:1" x14ac:dyDescent="0.25">
      <c r="A21525" t="s">
        <v>20204</v>
      </c>
    </row>
    <row r="21526" spans="1:1" x14ac:dyDescent="0.25">
      <c r="A21526" t="s">
        <v>20205</v>
      </c>
    </row>
    <row r="21527" spans="1:1" x14ac:dyDescent="0.25">
      <c r="A21527" t="s">
        <v>20206</v>
      </c>
    </row>
    <row r="21528" spans="1:1" x14ac:dyDescent="0.25">
      <c r="A21528" t="s">
        <v>20207</v>
      </c>
    </row>
    <row r="21530" spans="1:1" x14ac:dyDescent="0.25">
      <c r="A21530" t="s">
        <v>20208</v>
      </c>
    </row>
    <row r="21531" spans="1:1" x14ac:dyDescent="0.25">
      <c r="A21531" t="s">
        <v>20209</v>
      </c>
    </row>
    <row r="21532" spans="1:1" x14ac:dyDescent="0.25">
      <c r="A21532" t="s">
        <v>20210</v>
      </c>
    </row>
    <row r="21533" spans="1:1" x14ac:dyDescent="0.25">
      <c r="A21533" t="s">
        <v>20211</v>
      </c>
    </row>
    <row r="21534" spans="1:1" x14ac:dyDescent="0.25">
      <c r="A21534" t="s">
        <v>20212</v>
      </c>
    </row>
    <row r="21535" spans="1:1" x14ac:dyDescent="0.25">
      <c r="A21535" t="s">
        <v>20213</v>
      </c>
    </row>
    <row r="21536" spans="1:1" x14ac:dyDescent="0.25">
      <c r="A21536" t="s">
        <v>20214</v>
      </c>
    </row>
    <row r="21537" spans="1:1" x14ac:dyDescent="0.25">
      <c r="A21537" t="s">
        <v>20215</v>
      </c>
    </row>
    <row r="21538" spans="1:1" x14ac:dyDescent="0.25">
      <c r="A21538" t="s">
        <v>20216</v>
      </c>
    </row>
    <row r="21539" spans="1:1" x14ac:dyDescent="0.25">
      <c r="A21539" t="s">
        <v>20217</v>
      </c>
    </row>
    <row r="21540" spans="1:1" x14ac:dyDescent="0.25">
      <c r="A21540" t="s">
        <v>20218</v>
      </c>
    </row>
    <row r="21541" spans="1:1" x14ac:dyDescent="0.25">
      <c r="A21541" t="s">
        <v>20219</v>
      </c>
    </row>
    <row r="21542" spans="1:1" x14ac:dyDescent="0.25">
      <c r="A21542" t="s">
        <v>20220</v>
      </c>
    </row>
    <row r="21543" spans="1:1" x14ac:dyDescent="0.25">
      <c r="A21543" t="s">
        <v>20221</v>
      </c>
    </row>
    <row r="21544" spans="1:1" x14ac:dyDescent="0.25">
      <c r="A21544" t="s">
        <v>20222</v>
      </c>
    </row>
    <row r="21545" spans="1:1" x14ac:dyDescent="0.25">
      <c r="A21545" t="s">
        <v>20223</v>
      </c>
    </row>
    <row r="21546" spans="1:1" x14ac:dyDescent="0.25">
      <c r="A21546" t="s">
        <v>20224</v>
      </c>
    </row>
    <row r="21547" spans="1:1" x14ac:dyDescent="0.25">
      <c r="A21547" t="s">
        <v>20225</v>
      </c>
    </row>
    <row r="21548" spans="1:1" x14ac:dyDescent="0.25">
      <c r="A21548" t="s">
        <v>20226</v>
      </c>
    </row>
    <row r="21549" spans="1:1" x14ac:dyDescent="0.25">
      <c r="A21549" t="s">
        <v>20227</v>
      </c>
    </row>
    <row r="21550" spans="1:1" x14ac:dyDescent="0.25">
      <c r="A21550" t="s">
        <v>20228</v>
      </c>
    </row>
    <row r="21551" spans="1:1" x14ac:dyDescent="0.25">
      <c r="A21551" t="s">
        <v>20229</v>
      </c>
    </row>
    <row r="21552" spans="1:1" x14ac:dyDescent="0.25">
      <c r="A21552" t="s">
        <v>20230</v>
      </c>
    </row>
    <row r="21553" spans="1:1" x14ac:dyDescent="0.25">
      <c r="A21553" t="s">
        <v>20231</v>
      </c>
    </row>
    <row r="21554" spans="1:1" x14ac:dyDescent="0.25">
      <c r="A21554" t="s">
        <v>20232</v>
      </c>
    </row>
    <row r="21555" spans="1:1" x14ac:dyDescent="0.25">
      <c r="A21555" t="s">
        <v>20233</v>
      </c>
    </row>
    <row r="21556" spans="1:1" x14ac:dyDescent="0.25">
      <c r="A21556" t="s">
        <v>20234</v>
      </c>
    </row>
    <row r="21557" spans="1:1" x14ac:dyDescent="0.25">
      <c r="A21557" t="s">
        <v>20235</v>
      </c>
    </row>
    <row r="21558" spans="1:1" x14ac:dyDescent="0.25">
      <c r="A21558" t="s">
        <v>20236</v>
      </c>
    </row>
    <row r="21559" spans="1:1" x14ac:dyDescent="0.25">
      <c r="A21559" t="s">
        <v>20237</v>
      </c>
    </row>
    <row r="21560" spans="1:1" x14ac:dyDescent="0.25">
      <c r="A21560" t="s">
        <v>20238</v>
      </c>
    </row>
    <row r="21561" spans="1:1" x14ac:dyDescent="0.25">
      <c r="A21561" t="s">
        <v>20239</v>
      </c>
    </row>
    <row r="21562" spans="1:1" x14ac:dyDescent="0.25">
      <c r="A21562" t="s">
        <v>20240</v>
      </c>
    </row>
    <row r="21563" spans="1:1" x14ac:dyDescent="0.25">
      <c r="A21563" t="s">
        <v>20241</v>
      </c>
    </row>
    <row r="21564" spans="1:1" x14ac:dyDescent="0.25">
      <c r="A21564" t="s">
        <v>20242</v>
      </c>
    </row>
    <row r="21565" spans="1:1" x14ac:dyDescent="0.25">
      <c r="A21565" t="s">
        <v>20243</v>
      </c>
    </row>
    <row r="21566" spans="1:1" x14ac:dyDescent="0.25">
      <c r="A21566" t="s">
        <v>20244</v>
      </c>
    </row>
    <row r="21567" spans="1:1" x14ac:dyDescent="0.25">
      <c r="A21567" t="s">
        <v>20245</v>
      </c>
    </row>
    <row r="21568" spans="1:1" x14ac:dyDescent="0.25">
      <c r="A21568" t="s">
        <v>20246</v>
      </c>
    </row>
    <row r="21569" spans="1:1" x14ac:dyDescent="0.25">
      <c r="A21569" t="s">
        <v>20247</v>
      </c>
    </row>
    <row r="21570" spans="1:1" x14ac:dyDescent="0.25">
      <c r="A21570" t="s">
        <v>20248</v>
      </c>
    </row>
    <row r="21572" spans="1:1" x14ac:dyDescent="0.25">
      <c r="A21572" t="s">
        <v>20249</v>
      </c>
    </row>
    <row r="21573" spans="1:1" x14ac:dyDescent="0.25">
      <c r="A21573" t="s">
        <v>20250</v>
      </c>
    </row>
    <row r="21574" spans="1:1" x14ac:dyDescent="0.25">
      <c r="A21574" t="s">
        <v>20251</v>
      </c>
    </row>
    <row r="21575" spans="1:1" x14ac:dyDescent="0.25">
      <c r="A21575" t="s">
        <v>20252</v>
      </c>
    </row>
    <row r="21576" spans="1:1" x14ac:dyDescent="0.25">
      <c r="A21576" t="s">
        <v>20253</v>
      </c>
    </row>
    <row r="21577" spans="1:1" x14ac:dyDescent="0.25">
      <c r="A21577" t="s">
        <v>20254</v>
      </c>
    </row>
    <row r="21578" spans="1:1" x14ac:dyDescent="0.25">
      <c r="A21578" t="s">
        <v>20255</v>
      </c>
    </row>
    <row r="21579" spans="1:1" x14ac:dyDescent="0.25">
      <c r="A21579" t="s">
        <v>20256</v>
      </c>
    </row>
    <row r="21580" spans="1:1" x14ac:dyDescent="0.25">
      <c r="A21580" t="s">
        <v>20257</v>
      </c>
    </row>
    <row r="21581" spans="1:1" x14ac:dyDescent="0.25">
      <c r="A21581" t="s">
        <v>20258</v>
      </c>
    </row>
    <row r="21582" spans="1:1" x14ac:dyDescent="0.25">
      <c r="A21582" t="s">
        <v>20259</v>
      </c>
    </row>
    <row r="21583" spans="1:1" x14ac:dyDescent="0.25">
      <c r="A21583" t="s">
        <v>20260</v>
      </c>
    </row>
    <row r="21584" spans="1:1" x14ac:dyDescent="0.25">
      <c r="A21584" t="s">
        <v>20261</v>
      </c>
    </row>
    <row r="21585" spans="1:1" x14ac:dyDescent="0.25">
      <c r="A21585" t="s">
        <v>20262</v>
      </c>
    </row>
    <row r="21586" spans="1:1" x14ac:dyDescent="0.25">
      <c r="A21586" t="s">
        <v>20263</v>
      </c>
    </row>
    <row r="21587" spans="1:1" x14ac:dyDescent="0.25">
      <c r="A21587" t="s">
        <v>20264</v>
      </c>
    </row>
    <row r="21588" spans="1:1" x14ac:dyDescent="0.25">
      <c r="A21588" t="s">
        <v>20265</v>
      </c>
    </row>
    <row r="21589" spans="1:1" x14ac:dyDescent="0.25">
      <c r="A21589" t="s">
        <v>20266</v>
      </c>
    </row>
    <row r="21590" spans="1:1" x14ac:dyDescent="0.25">
      <c r="A21590" t="s">
        <v>20267</v>
      </c>
    </row>
    <row r="21591" spans="1:1" x14ac:dyDescent="0.25">
      <c r="A21591" t="s">
        <v>20268</v>
      </c>
    </row>
    <row r="21592" spans="1:1" x14ac:dyDescent="0.25">
      <c r="A21592" t="s">
        <v>20269</v>
      </c>
    </row>
    <row r="21593" spans="1:1" x14ac:dyDescent="0.25">
      <c r="A21593" t="s">
        <v>20270</v>
      </c>
    </row>
    <row r="21594" spans="1:1" x14ac:dyDescent="0.25">
      <c r="A21594" t="s">
        <v>20271</v>
      </c>
    </row>
    <row r="21595" spans="1:1" x14ac:dyDescent="0.25">
      <c r="A21595" t="s">
        <v>20272</v>
      </c>
    </row>
    <row r="21596" spans="1:1" x14ac:dyDescent="0.25">
      <c r="A21596" t="s">
        <v>20273</v>
      </c>
    </row>
    <row r="21597" spans="1:1" x14ac:dyDescent="0.25">
      <c r="A21597" t="s">
        <v>20274</v>
      </c>
    </row>
    <row r="21598" spans="1:1" x14ac:dyDescent="0.25">
      <c r="A21598" t="s">
        <v>20275</v>
      </c>
    </row>
    <row r="21599" spans="1:1" x14ac:dyDescent="0.25">
      <c r="A21599" t="s">
        <v>20276</v>
      </c>
    </row>
    <row r="21600" spans="1:1" x14ac:dyDescent="0.25">
      <c r="A21600" t="s">
        <v>20277</v>
      </c>
    </row>
    <row r="21601" spans="1:1" x14ac:dyDescent="0.25">
      <c r="A21601" t="s">
        <v>20278</v>
      </c>
    </row>
    <row r="21602" spans="1:1" x14ac:dyDescent="0.25">
      <c r="A21602" t="s">
        <v>20279</v>
      </c>
    </row>
    <row r="21603" spans="1:1" x14ac:dyDescent="0.25">
      <c r="A21603" t="s">
        <v>20280</v>
      </c>
    </row>
    <row r="21604" spans="1:1" x14ac:dyDescent="0.25">
      <c r="A21604" t="s">
        <v>20281</v>
      </c>
    </row>
    <row r="21605" spans="1:1" x14ac:dyDescent="0.25">
      <c r="A21605" t="s">
        <v>20282</v>
      </c>
    </row>
    <row r="21606" spans="1:1" x14ac:dyDescent="0.25">
      <c r="A21606" t="s">
        <v>20283</v>
      </c>
    </row>
    <row r="21607" spans="1:1" x14ac:dyDescent="0.25">
      <c r="A21607" t="s">
        <v>20284</v>
      </c>
    </row>
    <row r="21608" spans="1:1" x14ac:dyDescent="0.25">
      <c r="A21608" t="s">
        <v>20285</v>
      </c>
    </row>
    <row r="21609" spans="1:1" x14ac:dyDescent="0.25">
      <c r="A21609" t="s">
        <v>20286</v>
      </c>
    </row>
    <row r="21610" spans="1:1" x14ac:dyDescent="0.25">
      <c r="A21610" t="s">
        <v>20287</v>
      </c>
    </row>
    <row r="21611" spans="1:1" x14ac:dyDescent="0.25">
      <c r="A21611" t="s">
        <v>20288</v>
      </c>
    </row>
    <row r="21612" spans="1:1" x14ac:dyDescent="0.25">
      <c r="A21612" t="s">
        <v>20289</v>
      </c>
    </row>
    <row r="21613" spans="1:1" x14ac:dyDescent="0.25">
      <c r="A21613" t="s">
        <v>20290</v>
      </c>
    </row>
    <row r="21614" spans="1:1" x14ac:dyDescent="0.25">
      <c r="A21614" t="s">
        <v>20291</v>
      </c>
    </row>
    <row r="21615" spans="1:1" x14ac:dyDescent="0.25">
      <c r="A21615" t="s">
        <v>20292</v>
      </c>
    </row>
    <row r="21616" spans="1:1" x14ac:dyDescent="0.25">
      <c r="A21616" t="s">
        <v>20293</v>
      </c>
    </row>
    <row r="21617" spans="1:1" x14ac:dyDescent="0.25">
      <c r="A21617" t="s">
        <v>20294</v>
      </c>
    </row>
    <row r="21618" spans="1:1" x14ac:dyDescent="0.25">
      <c r="A21618" t="s">
        <v>20295</v>
      </c>
    </row>
    <row r="21619" spans="1:1" x14ac:dyDescent="0.25">
      <c r="A21619" t="s">
        <v>20296</v>
      </c>
    </row>
    <row r="21620" spans="1:1" x14ac:dyDescent="0.25">
      <c r="A21620" t="s">
        <v>20297</v>
      </c>
    </row>
    <row r="21621" spans="1:1" x14ac:dyDescent="0.25">
      <c r="A21621" t="s">
        <v>20298</v>
      </c>
    </row>
    <row r="21622" spans="1:1" x14ac:dyDescent="0.25">
      <c r="A21622" t="s">
        <v>20299</v>
      </c>
    </row>
    <row r="21623" spans="1:1" x14ac:dyDescent="0.25">
      <c r="A21623" t="s">
        <v>20300</v>
      </c>
    </row>
    <row r="21624" spans="1:1" x14ac:dyDescent="0.25">
      <c r="A21624" t="s">
        <v>20301</v>
      </c>
    </row>
    <row r="21625" spans="1:1" x14ac:dyDescent="0.25">
      <c r="A21625" t="s">
        <v>20302</v>
      </c>
    </row>
    <row r="21626" spans="1:1" x14ac:dyDescent="0.25">
      <c r="A21626" t="s">
        <v>20303</v>
      </c>
    </row>
    <row r="21627" spans="1:1" x14ac:dyDescent="0.25">
      <c r="A21627" t="s">
        <v>20304</v>
      </c>
    </row>
    <row r="21628" spans="1:1" x14ac:dyDescent="0.25">
      <c r="A21628" t="s">
        <v>20305</v>
      </c>
    </row>
    <row r="21629" spans="1:1" x14ac:dyDescent="0.25">
      <c r="A21629" t="s">
        <v>20306</v>
      </c>
    </row>
    <row r="21630" spans="1:1" x14ac:dyDescent="0.25">
      <c r="A21630" t="s">
        <v>20307</v>
      </c>
    </row>
    <row r="21631" spans="1:1" x14ac:dyDescent="0.25">
      <c r="A21631" t="s">
        <v>20308</v>
      </c>
    </row>
    <row r="21632" spans="1:1" x14ac:dyDescent="0.25">
      <c r="A21632" t="s">
        <v>20309</v>
      </c>
    </row>
    <row r="21633" spans="1:1" x14ac:dyDescent="0.25">
      <c r="A21633" t="s">
        <v>20310</v>
      </c>
    </row>
    <row r="21634" spans="1:1" x14ac:dyDescent="0.25">
      <c r="A21634" t="s">
        <v>20311</v>
      </c>
    </row>
    <row r="21635" spans="1:1" x14ac:dyDescent="0.25">
      <c r="A21635" t="s">
        <v>20312</v>
      </c>
    </row>
    <row r="21636" spans="1:1" x14ac:dyDescent="0.25">
      <c r="A21636" t="s">
        <v>20313</v>
      </c>
    </row>
    <row r="21637" spans="1:1" x14ac:dyDescent="0.25">
      <c r="A21637" t="s">
        <v>20314</v>
      </c>
    </row>
    <row r="21638" spans="1:1" x14ac:dyDescent="0.25">
      <c r="A21638" t="s">
        <v>20315</v>
      </c>
    </row>
    <row r="21639" spans="1:1" x14ac:dyDescent="0.25">
      <c r="A21639" t="s">
        <v>20316</v>
      </c>
    </row>
    <row r="21640" spans="1:1" x14ac:dyDescent="0.25">
      <c r="A21640" t="s">
        <v>20317</v>
      </c>
    </row>
    <row r="21641" spans="1:1" x14ac:dyDescent="0.25">
      <c r="A21641" t="s">
        <v>20318</v>
      </c>
    </row>
    <row r="21642" spans="1:1" x14ac:dyDescent="0.25">
      <c r="A21642" t="s">
        <v>20319</v>
      </c>
    </row>
    <row r="21643" spans="1:1" x14ac:dyDescent="0.25">
      <c r="A21643" t="s">
        <v>20320</v>
      </c>
    </row>
    <row r="21644" spans="1:1" x14ac:dyDescent="0.25">
      <c r="A21644" t="s">
        <v>20321</v>
      </c>
    </row>
    <row r="21645" spans="1:1" x14ac:dyDescent="0.25">
      <c r="A21645" t="s">
        <v>20322</v>
      </c>
    </row>
    <row r="21646" spans="1:1" x14ac:dyDescent="0.25">
      <c r="A21646" t="s">
        <v>20323</v>
      </c>
    </row>
    <row r="21647" spans="1:1" x14ac:dyDescent="0.25">
      <c r="A21647" t="s">
        <v>20324</v>
      </c>
    </row>
    <row r="21648" spans="1:1" x14ac:dyDescent="0.25">
      <c r="A21648" t="s">
        <v>20325</v>
      </c>
    </row>
    <row r="21649" spans="1:1" x14ac:dyDescent="0.25">
      <c r="A21649" t="s">
        <v>20326</v>
      </c>
    </row>
    <row r="21650" spans="1:1" x14ac:dyDescent="0.25">
      <c r="A21650" t="s">
        <v>20327</v>
      </c>
    </row>
    <row r="21651" spans="1:1" x14ac:dyDescent="0.25">
      <c r="A21651" t="s">
        <v>20328</v>
      </c>
    </row>
    <row r="21652" spans="1:1" x14ac:dyDescent="0.25">
      <c r="A21652" t="s">
        <v>20329</v>
      </c>
    </row>
    <row r="21653" spans="1:1" x14ac:dyDescent="0.25">
      <c r="A21653" t="s">
        <v>20330</v>
      </c>
    </row>
    <row r="21654" spans="1:1" x14ac:dyDescent="0.25">
      <c r="A21654" t="s">
        <v>20331</v>
      </c>
    </row>
    <row r="21655" spans="1:1" x14ac:dyDescent="0.25">
      <c r="A21655" t="s">
        <v>20332</v>
      </c>
    </row>
    <row r="21656" spans="1:1" x14ac:dyDescent="0.25">
      <c r="A21656" t="s">
        <v>20333</v>
      </c>
    </row>
    <row r="21657" spans="1:1" x14ac:dyDescent="0.25">
      <c r="A21657" t="s">
        <v>20334</v>
      </c>
    </row>
    <row r="21658" spans="1:1" x14ac:dyDescent="0.25">
      <c r="A21658" t="s">
        <v>20335</v>
      </c>
    </row>
    <row r="21659" spans="1:1" x14ac:dyDescent="0.25">
      <c r="A21659" t="s">
        <v>20336</v>
      </c>
    </row>
    <row r="21660" spans="1:1" x14ac:dyDescent="0.25">
      <c r="A21660" t="s">
        <v>20337</v>
      </c>
    </row>
    <row r="21661" spans="1:1" x14ac:dyDescent="0.25">
      <c r="A21661" t="s">
        <v>20338</v>
      </c>
    </row>
    <row r="21662" spans="1:1" x14ac:dyDescent="0.25">
      <c r="A21662" t="s">
        <v>20339</v>
      </c>
    </row>
    <row r="21663" spans="1:1" x14ac:dyDescent="0.25">
      <c r="A21663" t="s">
        <v>20340</v>
      </c>
    </row>
    <row r="21664" spans="1:1" x14ac:dyDescent="0.25">
      <c r="A21664" t="s">
        <v>20341</v>
      </c>
    </row>
    <row r="21665" spans="1:1" x14ac:dyDescent="0.25">
      <c r="A21665" t="s">
        <v>20342</v>
      </c>
    </row>
    <row r="21666" spans="1:1" x14ac:dyDescent="0.25">
      <c r="A21666" t="s">
        <v>20343</v>
      </c>
    </row>
    <row r="21667" spans="1:1" x14ac:dyDescent="0.25">
      <c r="A21667" t="s">
        <v>20344</v>
      </c>
    </row>
    <row r="21668" spans="1:1" x14ac:dyDescent="0.25">
      <c r="A21668" t="s">
        <v>20345</v>
      </c>
    </row>
    <row r="21669" spans="1:1" x14ac:dyDescent="0.25">
      <c r="A21669" t="s">
        <v>20346</v>
      </c>
    </row>
    <row r="21670" spans="1:1" x14ac:dyDescent="0.25">
      <c r="A21670" t="s">
        <v>20347</v>
      </c>
    </row>
    <row r="21671" spans="1:1" x14ac:dyDescent="0.25">
      <c r="A21671" t="s">
        <v>20348</v>
      </c>
    </row>
    <row r="21672" spans="1:1" x14ac:dyDescent="0.25">
      <c r="A21672" t="s">
        <v>20349</v>
      </c>
    </row>
    <row r="21673" spans="1:1" x14ac:dyDescent="0.25">
      <c r="A21673" t="s">
        <v>20350</v>
      </c>
    </row>
    <row r="21674" spans="1:1" x14ac:dyDescent="0.25">
      <c r="A21674" t="s">
        <v>20351</v>
      </c>
    </row>
    <row r="21675" spans="1:1" x14ac:dyDescent="0.25">
      <c r="A21675" t="s">
        <v>20352</v>
      </c>
    </row>
    <row r="21676" spans="1:1" x14ac:dyDescent="0.25">
      <c r="A21676" t="s">
        <v>20353</v>
      </c>
    </row>
    <row r="21677" spans="1:1" x14ac:dyDescent="0.25">
      <c r="A21677" t="s">
        <v>20354</v>
      </c>
    </row>
    <row r="21678" spans="1:1" x14ac:dyDescent="0.25">
      <c r="A21678" t="s">
        <v>20355</v>
      </c>
    </row>
    <row r="21679" spans="1:1" x14ac:dyDescent="0.25">
      <c r="A21679" t="s">
        <v>20356</v>
      </c>
    </row>
    <row r="21680" spans="1:1" x14ac:dyDescent="0.25">
      <c r="A21680" t="s">
        <v>20357</v>
      </c>
    </row>
    <row r="21681" spans="1:1" x14ac:dyDescent="0.25">
      <c r="A21681" t="s">
        <v>20358</v>
      </c>
    </row>
    <row r="21682" spans="1:1" x14ac:dyDescent="0.25">
      <c r="A21682" t="s">
        <v>20359</v>
      </c>
    </row>
    <row r="21683" spans="1:1" x14ac:dyDescent="0.25">
      <c r="A21683" t="s">
        <v>20360</v>
      </c>
    </row>
    <row r="21684" spans="1:1" x14ac:dyDescent="0.25">
      <c r="A21684" t="s">
        <v>20361</v>
      </c>
    </row>
    <row r="21685" spans="1:1" x14ac:dyDescent="0.25">
      <c r="A21685" t="s">
        <v>20362</v>
      </c>
    </row>
    <row r="21686" spans="1:1" x14ac:dyDescent="0.25">
      <c r="A21686" t="s">
        <v>20363</v>
      </c>
    </row>
    <row r="21687" spans="1:1" x14ac:dyDescent="0.25">
      <c r="A21687" t="s">
        <v>20364</v>
      </c>
    </row>
    <row r="21688" spans="1:1" x14ac:dyDescent="0.25">
      <c r="A21688" t="s">
        <v>20365</v>
      </c>
    </row>
    <row r="21689" spans="1:1" x14ac:dyDescent="0.25">
      <c r="A21689" t="s">
        <v>20366</v>
      </c>
    </row>
    <row r="21690" spans="1:1" x14ac:dyDescent="0.25">
      <c r="A21690" t="s">
        <v>20367</v>
      </c>
    </row>
    <row r="21691" spans="1:1" x14ac:dyDescent="0.25">
      <c r="A21691" t="s">
        <v>20368</v>
      </c>
    </row>
    <row r="21692" spans="1:1" x14ac:dyDescent="0.25">
      <c r="A21692" t="s">
        <v>20369</v>
      </c>
    </row>
    <row r="21693" spans="1:1" x14ac:dyDescent="0.25">
      <c r="A21693" t="s">
        <v>20370</v>
      </c>
    </row>
    <row r="21694" spans="1:1" x14ac:dyDescent="0.25">
      <c r="A21694" t="s">
        <v>20371</v>
      </c>
    </row>
    <row r="21695" spans="1:1" x14ac:dyDescent="0.25">
      <c r="A21695" t="s">
        <v>20372</v>
      </c>
    </row>
    <row r="21696" spans="1:1" x14ac:dyDescent="0.25">
      <c r="A21696" t="s">
        <v>20373</v>
      </c>
    </row>
    <row r="21697" spans="1:1" x14ac:dyDescent="0.25">
      <c r="A21697" t="s">
        <v>20374</v>
      </c>
    </row>
    <row r="21698" spans="1:1" x14ac:dyDescent="0.25">
      <c r="A21698" t="s">
        <v>20375</v>
      </c>
    </row>
    <row r="21699" spans="1:1" x14ac:dyDescent="0.25">
      <c r="A21699" t="s">
        <v>20376</v>
      </c>
    </row>
    <row r="21700" spans="1:1" x14ac:dyDescent="0.25">
      <c r="A21700" t="s">
        <v>20377</v>
      </c>
    </row>
    <row r="21701" spans="1:1" x14ac:dyDescent="0.25">
      <c r="A21701" t="s">
        <v>20378</v>
      </c>
    </row>
    <row r="21702" spans="1:1" x14ac:dyDescent="0.25">
      <c r="A21702" t="s">
        <v>20379</v>
      </c>
    </row>
    <row r="21703" spans="1:1" x14ac:dyDescent="0.25">
      <c r="A21703" t="s">
        <v>20380</v>
      </c>
    </row>
    <row r="21704" spans="1:1" x14ac:dyDescent="0.25">
      <c r="A21704" t="s">
        <v>20381</v>
      </c>
    </row>
    <row r="21705" spans="1:1" x14ac:dyDescent="0.25">
      <c r="A21705" t="s">
        <v>20382</v>
      </c>
    </row>
    <row r="21706" spans="1:1" x14ac:dyDescent="0.25">
      <c r="A21706" t="s">
        <v>20383</v>
      </c>
    </row>
    <row r="21707" spans="1:1" x14ac:dyDescent="0.25">
      <c r="A21707" t="s">
        <v>20384</v>
      </c>
    </row>
    <row r="21708" spans="1:1" x14ac:dyDescent="0.25">
      <c r="A21708" t="s">
        <v>20385</v>
      </c>
    </row>
    <row r="21709" spans="1:1" x14ac:dyDescent="0.25">
      <c r="A21709" t="s">
        <v>20386</v>
      </c>
    </row>
    <row r="21710" spans="1:1" x14ac:dyDescent="0.25">
      <c r="A21710" t="s">
        <v>20387</v>
      </c>
    </row>
    <row r="21711" spans="1:1" x14ac:dyDescent="0.25">
      <c r="A21711" t="s">
        <v>20388</v>
      </c>
    </row>
    <row r="21712" spans="1:1" x14ac:dyDescent="0.25">
      <c r="A21712" t="s">
        <v>20389</v>
      </c>
    </row>
    <row r="21713" spans="1:1" x14ac:dyDescent="0.25">
      <c r="A21713" t="s">
        <v>20390</v>
      </c>
    </row>
    <row r="21714" spans="1:1" x14ac:dyDescent="0.25">
      <c r="A21714" t="s">
        <v>20391</v>
      </c>
    </row>
    <row r="21715" spans="1:1" x14ac:dyDescent="0.25">
      <c r="A21715" t="s">
        <v>20392</v>
      </c>
    </row>
    <row r="21716" spans="1:1" x14ac:dyDescent="0.25">
      <c r="A21716" t="s">
        <v>20393</v>
      </c>
    </row>
    <row r="21717" spans="1:1" x14ac:dyDescent="0.25">
      <c r="A21717" t="s">
        <v>20394</v>
      </c>
    </row>
    <row r="21718" spans="1:1" x14ac:dyDescent="0.25">
      <c r="A21718" t="s">
        <v>20395</v>
      </c>
    </row>
    <row r="21719" spans="1:1" x14ac:dyDescent="0.25">
      <c r="A21719" t="s">
        <v>20396</v>
      </c>
    </row>
    <row r="21720" spans="1:1" x14ac:dyDescent="0.25">
      <c r="A21720" t="s">
        <v>20397</v>
      </c>
    </row>
    <row r="21721" spans="1:1" x14ac:dyDescent="0.25">
      <c r="A21721" t="s">
        <v>20398</v>
      </c>
    </row>
    <row r="21722" spans="1:1" x14ac:dyDescent="0.25">
      <c r="A21722" t="s">
        <v>20399</v>
      </c>
    </row>
    <row r="21723" spans="1:1" x14ac:dyDescent="0.25">
      <c r="A21723" t="s">
        <v>20400</v>
      </c>
    </row>
    <row r="21724" spans="1:1" x14ac:dyDescent="0.25">
      <c r="A21724" t="s">
        <v>20401</v>
      </c>
    </row>
    <row r="21725" spans="1:1" x14ac:dyDescent="0.25">
      <c r="A21725" t="s">
        <v>20402</v>
      </c>
    </row>
    <row r="21726" spans="1:1" x14ac:dyDescent="0.25">
      <c r="A21726" t="s">
        <v>20403</v>
      </c>
    </row>
    <row r="21727" spans="1:1" x14ac:dyDescent="0.25">
      <c r="A21727" t="s">
        <v>20404</v>
      </c>
    </row>
    <row r="21728" spans="1:1" x14ac:dyDescent="0.25">
      <c r="A21728" t="s">
        <v>20405</v>
      </c>
    </row>
    <row r="21729" spans="1:1" x14ac:dyDescent="0.25">
      <c r="A21729" t="s">
        <v>20406</v>
      </c>
    </row>
    <row r="21730" spans="1:1" x14ac:dyDescent="0.25">
      <c r="A21730" t="s">
        <v>20407</v>
      </c>
    </row>
    <row r="21731" spans="1:1" x14ac:dyDescent="0.25">
      <c r="A21731" t="s">
        <v>20408</v>
      </c>
    </row>
    <row r="21732" spans="1:1" x14ac:dyDescent="0.25">
      <c r="A21732" t="s">
        <v>20409</v>
      </c>
    </row>
    <row r="21733" spans="1:1" x14ac:dyDescent="0.25">
      <c r="A21733" t="s">
        <v>20410</v>
      </c>
    </row>
    <row r="21734" spans="1:1" x14ac:dyDescent="0.25">
      <c r="A21734" t="s">
        <v>20411</v>
      </c>
    </row>
    <row r="21735" spans="1:1" x14ac:dyDescent="0.25">
      <c r="A21735" t="s">
        <v>20412</v>
      </c>
    </row>
    <row r="21736" spans="1:1" x14ac:dyDescent="0.25">
      <c r="A21736" t="s">
        <v>20413</v>
      </c>
    </row>
    <row r="21737" spans="1:1" x14ac:dyDescent="0.25">
      <c r="A21737" t="s">
        <v>20414</v>
      </c>
    </row>
    <row r="21738" spans="1:1" x14ac:dyDescent="0.25">
      <c r="A21738" t="s">
        <v>20415</v>
      </c>
    </row>
    <row r="21739" spans="1:1" x14ac:dyDescent="0.25">
      <c r="A21739" t="s">
        <v>20416</v>
      </c>
    </row>
    <row r="21740" spans="1:1" x14ac:dyDescent="0.25">
      <c r="A21740" t="s">
        <v>20417</v>
      </c>
    </row>
    <row r="21741" spans="1:1" x14ac:dyDescent="0.25">
      <c r="A21741" t="s">
        <v>20418</v>
      </c>
    </row>
    <row r="21742" spans="1:1" x14ac:dyDescent="0.25">
      <c r="A21742" t="s">
        <v>20419</v>
      </c>
    </row>
    <row r="21743" spans="1:1" x14ac:dyDescent="0.25">
      <c r="A21743" t="s">
        <v>20420</v>
      </c>
    </row>
    <row r="21744" spans="1:1" x14ac:dyDescent="0.25">
      <c r="A21744" t="s">
        <v>20421</v>
      </c>
    </row>
    <row r="21745" spans="1:1" x14ac:dyDescent="0.25">
      <c r="A21745" t="s">
        <v>20422</v>
      </c>
    </row>
    <row r="21746" spans="1:1" x14ac:dyDescent="0.25">
      <c r="A21746" t="s">
        <v>20423</v>
      </c>
    </row>
    <row r="21747" spans="1:1" x14ac:dyDescent="0.25">
      <c r="A21747" t="s">
        <v>20424</v>
      </c>
    </row>
    <row r="21748" spans="1:1" x14ac:dyDescent="0.25">
      <c r="A21748" t="s">
        <v>20425</v>
      </c>
    </row>
    <row r="21749" spans="1:1" x14ac:dyDescent="0.25">
      <c r="A21749" t="s">
        <v>20426</v>
      </c>
    </row>
    <row r="21750" spans="1:1" x14ac:dyDescent="0.25">
      <c r="A21750" t="s">
        <v>20427</v>
      </c>
    </row>
    <row r="21751" spans="1:1" x14ac:dyDescent="0.25">
      <c r="A21751" t="s">
        <v>20428</v>
      </c>
    </row>
    <row r="21752" spans="1:1" x14ac:dyDescent="0.25">
      <c r="A21752" t="s">
        <v>20429</v>
      </c>
    </row>
    <row r="21753" spans="1:1" x14ac:dyDescent="0.25">
      <c r="A21753" t="s">
        <v>20430</v>
      </c>
    </row>
    <row r="21754" spans="1:1" x14ac:dyDescent="0.25">
      <c r="A21754" t="s">
        <v>20431</v>
      </c>
    </row>
    <row r="21755" spans="1:1" x14ac:dyDescent="0.25">
      <c r="A21755" t="s">
        <v>20432</v>
      </c>
    </row>
    <row r="21756" spans="1:1" x14ac:dyDescent="0.25">
      <c r="A21756" t="s">
        <v>20433</v>
      </c>
    </row>
    <row r="21757" spans="1:1" x14ac:dyDescent="0.25">
      <c r="A21757" t="s">
        <v>20434</v>
      </c>
    </row>
    <row r="21758" spans="1:1" x14ac:dyDescent="0.25">
      <c r="A21758" t="s">
        <v>20435</v>
      </c>
    </row>
    <row r="21759" spans="1:1" x14ac:dyDescent="0.25">
      <c r="A21759" t="s">
        <v>20436</v>
      </c>
    </row>
    <row r="21760" spans="1:1" x14ac:dyDescent="0.25">
      <c r="A21760" t="s">
        <v>20437</v>
      </c>
    </row>
    <row r="21761" spans="1:1" x14ac:dyDescent="0.25">
      <c r="A21761" t="s">
        <v>20438</v>
      </c>
    </row>
    <row r="21762" spans="1:1" x14ac:dyDescent="0.25">
      <c r="A21762" t="s">
        <v>20439</v>
      </c>
    </row>
    <row r="21763" spans="1:1" x14ac:dyDescent="0.25">
      <c r="A21763" t="s">
        <v>20440</v>
      </c>
    </row>
    <row r="21764" spans="1:1" x14ac:dyDescent="0.25">
      <c r="A21764" t="s">
        <v>20441</v>
      </c>
    </row>
    <row r="21765" spans="1:1" x14ac:dyDescent="0.25">
      <c r="A21765" t="s">
        <v>20442</v>
      </c>
    </row>
    <row r="21766" spans="1:1" x14ac:dyDescent="0.25">
      <c r="A21766" t="s">
        <v>20443</v>
      </c>
    </row>
    <row r="21767" spans="1:1" x14ac:dyDescent="0.25">
      <c r="A21767" t="s">
        <v>20444</v>
      </c>
    </row>
    <row r="21768" spans="1:1" x14ac:dyDescent="0.25">
      <c r="A21768" t="s">
        <v>20445</v>
      </c>
    </row>
    <row r="21769" spans="1:1" x14ac:dyDescent="0.25">
      <c r="A21769" t="s">
        <v>20446</v>
      </c>
    </row>
    <row r="21770" spans="1:1" x14ac:dyDescent="0.25">
      <c r="A21770" t="s">
        <v>20447</v>
      </c>
    </row>
    <row r="21771" spans="1:1" x14ac:dyDescent="0.25">
      <c r="A21771" t="s">
        <v>20448</v>
      </c>
    </row>
    <row r="21772" spans="1:1" x14ac:dyDescent="0.25">
      <c r="A21772" t="s">
        <v>20449</v>
      </c>
    </row>
    <row r="21773" spans="1:1" x14ac:dyDescent="0.25">
      <c r="A21773" t="s">
        <v>20450</v>
      </c>
    </row>
    <row r="21774" spans="1:1" x14ac:dyDescent="0.25">
      <c r="A21774" t="s">
        <v>20451</v>
      </c>
    </row>
    <row r="21775" spans="1:1" x14ac:dyDescent="0.25">
      <c r="A21775" t="s">
        <v>20452</v>
      </c>
    </row>
    <row r="21776" spans="1:1" x14ac:dyDescent="0.25">
      <c r="A21776" t="s">
        <v>20453</v>
      </c>
    </row>
    <row r="21777" spans="1:1" x14ac:dyDescent="0.25">
      <c r="A21777" t="s">
        <v>20454</v>
      </c>
    </row>
    <row r="21778" spans="1:1" x14ac:dyDescent="0.25">
      <c r="A21778" t="s">
        <v>20455</v>
      </c>
    </row>
    <row r="21779" spans="1:1" x14ac:dyDescent="0.25">
      <c r="A21779" t="s">
        <v>20456</v>
      </c>
    </row>
    <row r="21780" spans="1:1" x14ac:dyDescent="0.25">
      <c r="A21780" t="s">
        <v>20457</v>
      </c>
    </row>
    <row r="21781" spans="1:1" x14ac:dyDescent="0.25">
      <c r="A21781" t="s">
        <v>20458</v>
      </c>
    </row>
    <row r="21782" spans="1:1" x14ac:dyDescent="0.25">
      <c r="A21782" t="s">
        <v>20459</v>
      </c>
    </row>
    <row r="21783" spans="1:1" x14ac:dyDescent="0.25">
      <c r="A21783" t="s">
        <v>20460</v>
      </c>
    </row>
    <row r="21784" spans="1:1" x14ac:dyDescent="0.25">
      <c r="A21784" t="s">
        <v>20461</v>
      </c>
    </row>
    <row r="21785" spans="1:1" x14ac:dyDescent="0.25">
      <c r="A21785" t="s">
        <v>20462</v>
      </c>
    </row>
    <row r="21786" spans="1:1" x14ac:dyDescent="0.25">
      <c r="A21786" t="s">
        <v>20463</v>
      </c>
    </row>
    <row r="21787" spans="1:1" x14ac:dyDescent="0.25">
      <c r="A21787" t="s">
        <v>20464</v>
      </c>
    </row>
    <row r="21788" spans="1:1" x14ac:dyDescent="0.25">
      <c r="A21788" t="s">
        <v>20465</v>
      </c>
    </row>
    <row r="21789" spans="1:1" x14ac:dyDescent="0.25">
      <c r="A21789" t="s">
        <v>20466</v>
      </c>
    </row>
    <row r="21790" spans="1:1" x14ac:dyDescent="0.25">
      <c r="A21790" t="s">
        <v>20467</v>
      </c>
    </row>
    <row r="21791" spans="1:1" x14ac:dyDescent="0.25">
      <c r="A21791" t="s">
        <v>20468</v>
      </c>
    </row>
    <row r="21792" spans="1:1" x14ac:dyDescent="0.25">
      <c r="A21792" t="s">
        <v>20469</v>
      </c>
    </row>
    <row r="21793" spans="1:1" x14ac:dyDescent="0.25">
      <c r="A21793" t="s">
        <v>20470</v>
      </c>
    </row>
    <row r="21794" spans="1:1" x14ac:dyDescent="0.25">
      <c r="A21794" t="s">
        <v>20471</v>
      </c>
    </row>
    <row r="21795" spans="1:1" x14ac:dyDescent="0.25">
      <c r="A21795" t="s">
        <v>20472</v>
      </c>
    </row>
    <row r="21796" spans="1:1" x14ac:dyDescent="0.25">
      <c r="A21796" t="s">
        <v>20473</v>
      </c>
    </row>
    <row r="21797" spans="1:1" x14ac:dyDescent="0.25">
      <c r="A21797" t="s">
        <v>20474</v>
      </c>
    </row>
    <row r="21798" spans="1:1" x14ac:dyDescent="0.25">
      <c r="A21798" t="s">
        <v>20475</v>
      </c>
    </row>
    <row r="21799" spans="1:1" x14ac:dyDescent="0.25">
      <c r="A21799" t="s">
        <v>20476</v>
      </c>
    </row>
    <row r="21800" spans="1:1" x14ac:dyDescent="0.25">
      <c r="A21800" t="s">
        <v>20477</v>
      </c>
    </row>
    <row r="21801" spans="1:1" x14ac:dyDescent="0.25">
      <c r="A21801" t="s">
        <v>20478</v>
      </c>
    </row>
    <row r="21802" spans="1:1" x14ac:dyDescent="0.25">
      <c r="A21802" t="s">
        <v>20479</v>
      </c>
    </row>
    <row r="21803" spans="1:1" x14ac:dyDescent="0.25">
      <c r="A21803" t="s">
        <v>20480</v>
      </c>
    </row>
    <row r="21804" spans="1:1" x14ac:dyDescent="0.25">
      <c r="A21804" t="s">
        <v>20481</v>
      </c>
    </row>
    <row r="21805" spans="1:1" x14ac:dyDescent="0.25">
      <c r="A21805" t="s">
        <v>20482</v>
      </c>
    </row>
    <row r="21806" spans="1:1" x14ac:dyDescent="0.25">
      <c r="A21806" t="s">
        <v>20483</v>
      </c>
    </row>
    <row r="21807" spans="1:1" x14ac:dyDescent="0.25">
      <c r="A21807" t="s">
        <v>20484</v>
      </c>
    </row>
    <row r="21808" spans="1:1" x14ac:dyDescent="0.25">
      <c r="A21808" t="s">
        <v>20485</v>
      </c>
    </row>
    <row r="21809" spans="1:1" x14ac:dyDescent="0.25">
      <c r="A21809" t="s">
        <v>20486</v>
      </c>
    </row>
    <row r="21810" spans="1:1" x14ac:dyDescent="0.25">
      <c r="A21810" t="s">
        <v>20487</v>
      </c>
    </row>
    <row r="21811" spans="1:1" x14ac:dyDescent="0.25">
      <c r="A21811" t="s">
        <v>20488</v>
      </c>
    </row>
    <row r="21812" spans="1:1" x14ac:dyDescent="0.25">
      <c r="A21812" t="s">
        <v>20489</v>
      </c>
    </row>
    <row r="21813" spans="1:1" x14ac:dyDescent="0.25">
      <c r="A21813" t="s">
        <v>20490</v>
      </c>
    </row>
    <row r="21814" spans="1:1" x14ac:dyDescent="0.25">
      <c r="A21814" t="s">
        <v>20491</v>
      </c>
    </row>
    <row r="21815" spans="1:1" x14ac:dyDescent="0.25">
      <c r="A21815" t="s">
        <v>20492</v>
      </c>
    </row>
    <row r="21816" spans="1:1" x14ac:dyDescent="0.25">
      <c r="A21816" t="s">
        <v>20493</v>
      </c>
    </row>
    <row r="21817" spans="1:1" x14ac:dyDescent="0.25">
      <c r="A21817" t="s">
        <v>20494</v>
      </c>
    </row>
    <row r="21818" spans="1:1" x14ac:dyDescent="0.25">
      <c r="A21818" t="s">
        <v>20495</v>
      </c>
    </row>
    <row r="21819" spans="1:1" x14ac:dyDescent="0.25">
      <c r="A21819" t="s">
        <v>20496</v>
      </c>
    </row>
    <row r="21820" spans="1:1" x14ac:dyDescent="0.25">
      <c r="A21820" t="s">
        <v>20497</v>
      </c>
    </row>
    <row r="21821" spans="1:1" x14ac:dyDescent="0.25">
      <c r="A21821" t="s">
        <v>20498</v>
      </c>
    </row>
    <row r="21822" spans="1:1" x14ac:dyDescent="0.25">
      <c r="A21822" t="s">
        <v>20499</v>
      </c>
    </row>
    <row r="21823" spans="1:1" x14ac:dyDescent="0.25">
      <c r="A21823" t="s">
        <v>20500</v>
      </c>
    </row>
    <row r="21824" spans="1:1" x14ac:dyDescent="0.25">
      <c r="A21824" t="s">
        <v>20501</v>
      </c>
    </row>
    <row r="21825" spans="1:1" x14ac:dyDescent="0.25">
      <c r="A21825" t="s">
        <v>20502</v>
      </c>
    </row>
    <row r="21826" spans="1:1" x14ac:dyDescent="0.25">
      <c r="A21826" t="s">
        <v>20503</v>
      </c>
    </row>
    <row r="21827" spans="1:1" x14ac:dyDescent="0.25">
      <c r="A21827" t="s">
        <v>20504</v>
      </c>
    </row>
    <row r="21828" spans="1:1" x14ac:dyDescent="0.25">
      <c r="A21828" t="s">
        <v>20505</v>
      </c>
    </row>
    <row r="21829" spans="1:1" x14ac:dyDescent="0.25">
      <c r="A21829" t="s">
        <v>20506</v>
      </c>
    </row>
    <row r="21830" spans="1:1" x14ac:dyDescent="0.25">
      <c r="A21830" t="s">
        <v>20507</v>
      </c>
    </row>
    <row r="21831" spans="1:1" x14ac:dyDescent="0.25">
      <c r="A21831" t="s">
        <v>20508</v>
      </c>
    </row>
    <row r="21832" spans="1:1" x14ac:dyDescent="0.25">
      <c r="A21832" t="s">
        <v>20509</v>
      </c>
    </row>
    <row r="21833" spans="1:1" x14ac:dyDescent="0.25">
      <c r="A21833" t="s">
        <v>20510</v>
      </c>
    </row>
    <row r="21834" spans="1:1" x14ac:dyDescent="0.25">
      <c r="A21834" t="s">
        <v>20511</v>
      </c>
    </row>
    <row r="21835" spans="1:1" x14ac:dyDescent="0.25">
      <c r="A21835" t="s">
        <v>20512</v>
      </c>
    </row>
    <row r="21836" spans="1:1" x14ac:dyDescent="0.25">
      <c r="A21836" t="s">
        <v>20513</v>
      </c>
    </row>
    <row r="21837" spans="1:1" x14ac:dyDescent="0.25">
      <c r="A21837" t="s">
        <v>20514</v>
      </c>
    </row>
    <row r="21838" spans="1:1" x14ac:dyDescent="0.25">
      <c r="A21838" t="s">
        <v>20515</v>
      </c>
    </row>
    <row r="21839" spans="1:1" x14ac:dyDescent="0.25">
      <c r="A21839" t="s">
        <v>20516</v>
      </c>
    </row>
    <row r="21840" spans="1:1" x14ac:dyDescent="0.25">
      <c r="A21840" t="s">
        <v>20517</v>
      </c>
    </row>
    <row r="21841" spans="1:1" x14ac:dyDescent="0.25">
      <c r="A21841" t="s">
        <v>20518</v>
      </c>
    </row>
    <row r="21842" spans="1:1" x14ac:dyDescent="0.25">
      <c r="A21842" t="s">
        <v>20519</v>
      </c>
    </row>
    <row r="21843" spans="1:1" x14ac:dyDescent="0.25">
      <c r="A21843" t="s">
        <v>20520</v>
      </c>
    </row>
    <row r="21844" spans="1:1" x14ac:dyDescent="0.25">
      <c r="A21844" t="s">
        <v>20521</v>
      </c>
    </row>
    <row r="21845" spans="1:1" x14ac:dyDescent="0.25">
      <c r="A21845" t="s">
        <v>20522</v>
      </c>
    </row>
    <row r="21846" spans="1:1" x14ac:dyDescent="0.25">
      <c r="A21846" t="s">
        <v>20523</v>
      </c>
    </row>
    <row r="21847" spans="1:1" x14ac:dyDescent="0.25">
      <c r="A21847" t="s">
        <v>20524</v>
      </c>
    </row>
    <row r="21848" spans="1:1" x14ac:dyDescent="0.25">
      <c r="A21848" t="s">
        <v>20525</v>
      </c>
    </row>
    <row r="21849" spans="1:1" x14ac:dyDescent="0.25">
      <c r="A21849" t="s">
        <v>20526</v>
      </c>
    </row>
    <row r="21850" spans="1:1" x14ac:dyDescent="0.25">
      <c r="A21850" t="s">
        <v>20527</v>
      </c>
    </row>
    <row r="21851" spans="1:1" x14ac:dyDescent="0.25">
      <c r="A21851" t="s">
        <v>20528</v>
      </c>
    </row>
    <row r="21852" spans="1:1" x14ac:dyDescent="0.25">
      <c r="A21852" t="s">
        <v>20529</v>
      </c>
    </row>
    <row r="21853" spans="1:1" x14ac:dyDescent="0.25">
      <c r="A21853" t="s">
        <v>20530</v>
      </c>
    </row>
    <row r="21854" spans="1:1" x14ac:dyDescent="0.25">
      <c r="A21854" t="s">
        <v>20531</v>
      </c>
    </row>
    <row r="21855" spans="1:1" x14ac:dyDescent="0.25">
      <c r="A21855" t="s">
        <v>20532</v>
      </c>
    </row>
    <row r="21856" spans="1:1" x14ac:dyDescent="0.25">
      <c r="A21856" t="s">
        <v>20533</v>
      </c>
    </row>
    <row r="21857" spans="1:1" x14ac:dyDescent="0.25">
      <c r="A21857" t="s">
        <v>20534</v>
      </c>
    </row>
    <row r="21858" spans="1:1" x14ac:dyDescent="0.25">
      <c r="A21858" t="s">
        <v>20535</v>
      </c>
    </row>
    <row r="21859" spans="1:1" x14ac:dyDescent="0.25">
      <c r="A21859" t="s">
        <v>20536</v>
      </c>
    </row>
    <row r="21860" spans="1:1" x14ac:dyDescent="0.25">
      <c r="A21860" t="s">
        <v>20537</v>
      </c>
    </row>
    <row r="21861" spans="1:1" x14ac:dyDescent="0.25">
      <c r="A21861" t="s">
        <v>20538</v>
      </c>
    </row>
    <row r="21862" spans="1:1" x14ac:dyDescent="0.25">
      <c r="A21862" t="s">
        <v>20539</v>
      </c>
    </row>
    <row r="21863" spans="1:1" x14ac:dyDescent="0.25">
      <c r="A21863" t="s">
        <v>20540</v>
      </c>
    </row>
    <row r="21864" spans="1:1" x14ac:dyDescent="0.25">
      <c r="A21864" t="s">
        <v>20541</v>
      </c>
    </row>
    <row r="21865" spans="1:1" x14ac:dyDescent="0.25">
      <c r="A21865" t="s">
        <v>20542</v>
      </c>
    </row>
    <row r="21866" spans="1:1" x14ac:dyDescent="0.25">
      <c r="A21866" t="s">
        <v>20543</v>
      </c>
    </row>
    <row r="21867" spans="1:1" x14ac:dyDescent="0.25">
      <c r="A21867" t="s">
        <v>20544</v>
      </c>
    </row>
    <row r="21868" spans="1:1" x14ac:dyDescent="0.25">
      <c r="A21868" t="s">
        <v>20545</v>
      </c>
    </row>
    <row r="21869" spans="1:1" x14ac:dyDescent="0.25">
      <c r="A21869" t="s">
        <v>20546</v>
      </c>
    </row>
    <row r="21870" spans="1:1" x14ac:dyDescent="0.25">
      <c r="A21870" t="s">
        <v>20547</v>
      </c>
    </row>
    <row r="21871" spans="1:1" x14ac:dyDescent="0.25">
      <c r="A21871" t="s">
        <v>20548</v>
      </c>
    </row>
    <row r="21872" spans="1:1" x14ac:dyDescent="0.25">
      <c r="A21872" t="s">
        <v>20549</v>
      </c>
    </row>
    <row r="21873" spans="1:1" x14ac:dyDescent="0.25">
      <c r="A21873" t="s">
        <v>20550</v>
      </c>
    </row>
    <row r="21874" spans="1:1" x14ac:dyDescent="0.25">
      <c r="A21874" t="s">
        <v>20551</v>
      </c>
    </row>
    <row r="21875" spans="1:1" x14ac:dyDescent="0.25">
      <c r="A21875" t="s">
        <v>20552</v>
      </c>
    </row>
    <row r="21876" spans="1:1" x14ac:dyDescent="0.25">
      <c r="A21876" t="s">
        <v>20553</v>
      </c>
    </row>
    <row r="21877" spans="1:1" x14ac:dyDescent="0.25">
      <c r="A21877" t="s">
        <v>20554</v>
      </c>
    </row>
    <row r="21878" spans="1:1" x14ac:dyDescent="0.25">
      <c r="A21878" t="s">
        <v>20555</v>
      </c>
    </row>
    <row r="21879" spans="1:1" x14ac:dyDescent="0.25">
      <c r="A21879" t="s">
        <v>20556</v>
      </c>
    </row>
    <row r="21880" spans="1:1" x14ac:dyDescent="0.25">
      <c r="A21880" t="s">
        <v>20557</v>
      </c>
    </row>
    <row r="21881" spans="1:1" x14ac:dyDescent="0.25">
      <c r="A21881" t="s">
        <v>20558</v>
      </c>
    </row>
    <row r="21882" spans="1:1" x14ac:dyDescent="0.25">
      <c r="A21882" t="s">
        <v>20559</v>
      </c>
    </row>
    <row r="21883" spans="1:1" x14ac:dyDescent="0.25">
      <c r="A21883" t="s">
        <v>20560</v>
      </c>
    </row>
    <row r="21884" spans="1:1" x14ac:dyDescent="0.25">
      <c r="A21884" t="s">
        <v>20561</v>
      </c>
    </row>
    <row r="21885" spans="1:1" x14ac:dyDescent="0.25">
      <c r="A21885" t="s">
        <v>20562</v>
      </c>
    </row>
    <row r="21886" spans="1:1" x14ac:dyDescent="0.25">
      <c r="A21886" t="s">
        <v>20563</v>
      </c>
    </row>
    <row r="21887" spans="1:1" x14ac:dyDescent="0.25">
      <c r="A21887" t="s">
        <v>20564</v>
      </c>
    </row>
    <row r="21888" spans="1:1" x14ac:dyDescent="0.25">
      <c r="A21888" t="s">
        <v>20565</v>
      </c>
    </row>
    <row r="21889" spans="1:1" x14ac:dyDescent="0.25">
      <c r="A21889" t="s">
        <v>20566</v>
      </c>
    </row>
    <row r="21890" spans="1:1" x14ac:dyDescent="0.25">
      <c r="A21890" t="s">
        <v>20567</v>
      </c>
    </row>
    <row r="21891" spans="1:1" x14ac:dyDescent="0.25">
      <c r="A21891" t="s">
        <v>20568</v>
      </c>
    </row>
    <row r="21892" spans="1:1" x14ac:dyDescent="0.25">
      <c r="A21892" t="s">
        <v>20569</v>
      </c>
    </row>
    <row r="21893" spans="1:1" x14ac:dyDescent="0.25">
      <c r="A21893" t="s">
        <v>20570</v>
      </c>
    </row>
    <row r="21894" spans="1:1" x14ac:dyDescent="0.25">
      <c r="A21894" t="s">
        <v>20571</v>
      </c>
    </row>
    <row r="21895" spans="1:1" x14ac:dyDescent="0.25">
      <c r="A21895" t="s">
        <v>20572</v>
      </c>
    </row>
    <row r="21896" spans="1:1" x14ac:dyDescent="0.25">
      <c r="A21896" t="s">
        <v>20573</v>
      </c>
    </row>
    <row r="21897" spans="1:1" x14ac:dyDescent="0.25">
      <c r="A21897" t="s">
        <v>20574</v>
      </c>
    </row>
    <row r="21898" spans="1:1" x14ac:dyDescent="0.25">
      <c r="A21898" t="s">
        <v>20575</v>
      </c>
    </row>
    <row r="21899" spans="1:1" x14ac:dyDescent="0.25">
      <c r="A21899" t="s">
        <v>20576</v>
      </c>
    </row>
    <row r="21900" spans="1:1" x14ac:dyDescent="0.25">
      <c r="A21900" t="s">
        <v>20577</v>
      </c>
    </row>
    <row r="21901" spans="1:1" x14ac:dyDescent="0.25">
      <c r="A21901" t="s">
        <v>20578</v>
      </c>
    </row>
    <row r="21902" spans="1:1" x14ac:dyDescent="0.25">
      <c r="A21902" t="s">
        <v>20579</v>
      </c>
    </row>
    <row r="21903" spans="1:1" x14ac:dyDescent="0.25">
      <c r="A21903" t="s">
        <v>20580</v>
      </c>
    </row>
    <row r="21904" spans="1:1" x14ac:dyDescent="0.25">
      <c r="A21904" t="s">
        <v>20581</v>
      </c>
    </row>
    <row r="21905" spans="1:1" x14ac:dyDescent="0.25">
      <c r="A21905" t="s">
        <v>20582</v>
      </c>
    </row>
    <row r="21906" spans="1:1" x14ac:dyDescent="0.25">
      <c r="A21906" t="s">
        <v>20583</v>
      </c>
    </row>
    <row r="21907" spans="1:1" x14ac:dyDescent="0.25">
      <c r="A21907" t="s">
        <v>20584</v>
      </c>
    </row>
    <row r="21908" spans="1:1" x14ac:dyDescent="0.25">
      <c r="A21908" t="s">
        <v>20585</v>
      </c>
    </row>
    <row r="21909" spans="1:1" x14ac:dyDescent="0.25">
      <c r="A21909" t="s">
        <v>20586</v>
      </c>
    </row>
    <row r="21910" spans="1:1" x14ac:dyDescent="0.25">
      <c r="A21910" t="s">
        <v>20587</v>
      </c>
    </row>
    <row r="21911" spans="1:1" x14ac:dyDescent="0.25">
      <c r="A21911" t="s">
        <v>20588</v>
      </c>
    </row>
    <row r="21912" spans="1:1" x14ac:dyDescent="0.25">
      <c r="A21912" t="s">
        <v>20589</v>
      </c>
    </row>
    <row r="21913" spans="1:1" x14ac:dyDescent="0.25">
      <c r="A21913" t="s">
        <v>20590</v>
      </c>
    </row>
    <row r="21914" spans="1:1" x14ac:dyDescent="0.25">
      <c r="A21914" t="s">
        <v>20591</v>
      </c>
    </row>
    <row r="21915" spans="1:1" x14ac:dyDescent="0.25">
      <c r="A21915" t="s">
        <v>20592</v>
      </c>
    </row>
    <row r="21916" spans="1:1" x14ac:dyDescent="0.25">
      <c r="A21916" t="s">
        <v>20593</v>
      </c>
    </row>
    <row r="21917" spans="1:1" x14ac:dyDescent="0.25">
      <c r="A21917" t="s">
        <v>20594</v>
      </c>
    </row>
    <row r="21918" spans="1:1" x14ac:dyDescent="0.25">
      <c r="A21918" t="s">
        <v>20595</v>
      </c>
    </row>
    <row r="21919" spans="1:1" x14ac:dyDescent="0.25">
      <c r="A21919" t="s">
        <v>20596</v>
      </c>
    </row>
    <row r="21920" spans="1:1" x14ac:dyDescent="0.25">
      <c r="A21920" t="s">
        <v>20597</v>
      </c>
    </row>
    <row r="21921" spans="1:1" x14ac:dyDescent="0.25">
      <c r="A21921" t="s">
        <v>20598</v>
      </c>
    </row>
    <row r="21922" spans="1:1" x14ac:dyDescent="0.25">
      <c r="A21922" t="s">
        <v>20599</v>
      </c>
    </row>
    <row r="21923" spans="1:1" x14ac:dyDescent="0.25">
      <c r="A21923" t="s">
        <v>20600</v>
      </c>
    </row>
    <row r="21924" spans="1:1" x14ac:dyDescent="0.25">
      <c r="A21924" t="s">
        <v>20601</v>
      </c>
    </row>
    <row r="21925" spans="1:1" x14ac:dyDescent="0.25">
      <c r="A21925" t="s">
        <v>20602</v>
      </c>
    </row>
    <row r="21926" spans="1:1" x14ac:dyDescent="0.25">
      <c r="A21926" t="s">
        <v>20603</v>
      </c>
    </row>
    <row r="21927" spans="1:1" x14ac:dyDescent="0.25">
      <c r="A21927" t="s">
        <v>20604</v>
      </c>
    </row>
    <row r="21928" spans="1:1" x14ac:dyDescent="0.25">
      <c r="A21928" t="s">
        <v>20605</v>
      </c>
    </row>
    <row r="21929" spans="1:1" x14ac:dyDescent="0.25">
      <c r="A21929" t="s">
        <v>20606</v>
      </c>
    </row>
    <row r="21930" spans="1:1" x14ac:dyDescent="0.25">
      <c r="A21930" t="s">
        <v>20607</v>
      </c>
    </row>
    <row r="21931" spans="1:1" x14ac:dyDescent="0.25">
      <c r="A21931" t="s">
        <v>20608</v>
      </c>
    </row>
    <row r="21932" spans="1:1" x14ac:dyDescent="0.25">
      <c r="A21932" t="s">
        <v>20609</v>
      </c>
    </row>
    <row r="21933" spans="1:1" x14ac:dyDescent="0.25">
      <c r="A21933" t="s">
        <v>20610</v>
      </c>
    </row>
    <row r="21934" spans="1:1" x14ac:dyDescent="0.25">
      <c r="A21934" t="s">
        <v>20611</v>
      </c>
    </row>
    <row r="21935" spans="1:1" x14ac:dyDescent="0.25">
      <c r="A21935" t="s">
        <v>20612</v>
      </c>
    </row>
    <row r="21936" spans="1:1" x14ac:dyDescent="0.25">
      <c r="A21936" t="s">
        <v>20613</v>
      </c>
    </row>
    <row r="21937" spans="1:1" x14ac:dyDescent="0.25">
      <c r="A21937" t="s">
        <v>20614</v>
      </c>
    </row>
    <row r="21938" spans="1:1" x14ac:dyDescent="0.25">
      <c r="A21938" t="s">
        <v>20615</v>
      </c>
    </row>
    <row r="21939" spans="1:1" x14ac:dyDescent="0.25">
      <c r="A21939" t="s">
        <v>20616</v>
      </c>
    </row>
    <row r="21940" spans="1:1" x14ac:dyDescent="0.25">
      <c r="A21940" t="s">
        <v>20617</v>
      </c>
    </row>
    <row r="21941" spans="1:1" x14ac:dyDescent="0.25">
      <c r="A21941" t="s">
        <v>20618</v>
      </c>
    </row>
    <row r="21942" spans="1:1" x14ac:dyDescent="0.25">
      <c r="A21942" t="s">
        <v>20619</v>
      </c>
    </row>
    <row r="21943" spans="1:1" x14ac:dyDescent="0.25">
      <c r="A21943" t="s">
        <v>20620</v>
      </c>
    </row>
    <row r="21944" spans="1:1" x14ac:dyDescent="0.25">
      <c r="A21944" t="s">
        <v>20621</v>
      </c>
    </row>
    <row r="21945" spans="1:1" x14ac:dyDescent="0.25">
      <c r="A21945" t="s">
        <v>20622</v>
      </c>
    </row>
    <row r="21946" spans="1:1" x14ac:dyDescent="0.25">
      <c r="A21946" t="s">
        <v>20623</v>
      </c>
    </row>
    <row r="21947" spans="1:1" x14ac:dyDescent="0.25">
      <c r="A21947" t="s">
        <v>20624</v>
      </c>
    </row>
    <row r="21948" spans="1:1" x14ac:dyDescent="0.25">
      <c r="A21948" t="s">
        <v>20625</v>
      </c>
    </row>
    <row r="21949" spans="1:1" x14ac:dyDescent="0.25">
      <c r="A21949" t="s">
        <v>20626</v>
      </c>
    </row>
    <row r="21950" spans="1:1" x14ac:dyDescent="0.25">
      <c r="A21950" t="s">
        <v>20627</v>
      </c>
    </row>
    <row r="21951" spans="1:1" x14ac:dyDescent="0.25">
      <c r="A21951" t="s">
        <v>20628</v>
      </c>
    </row>
    <row r="21952" spans="1:1" x14ac:dyDescent="0.25">
      <c r="A21952" t="s">
        <v>20629</v>
      </c>
    </row>
    <row r="21953" spans="1:1" x14ac:dyDescent="0.25">
      <c r="A21953" t="s">
        <v>20630</v>
      </c>
    </row>
    <row r="21954" spans="1:1" x14ac:dyDescent="0.25">
      <c r="A21954" t="s">
        <v>20631</v>
      </c>
    </row>
    <row r="21955" spans="1:1" x14ac:dyDescent="0.25">
      <c r="A21955" t="s">
        <v>20632</v>
      </c>
    </row>
    <row r="21956" spans="1:1" x14ac:dyDescent="0.25">
      <c r="A21956" t="s">
        <v>20633</v>
      </c>
    </row>
    <row r="21957" spans="1:1" x14ac:dyDescent="0.25">
      <c r="A21957" t="s">
        <v>20634</v>
      </c>
    </row>
    <row r="21958" spans="1:1" x14ac:dyDescent="0.25">
      <c r="A21958" t="s">
        <v>20635</v>
      </c>
    </row>
    <row r="21959" spans="1:1" x14ac:dyDescent="0.25">
      <c r="A21959" t="s">
        <v>20636</v>
      </c>
    </row>
    <row r="21960" spans="1:1" x14ac:dyDescent="0.25">
      <c r="A21960" t="s">
        <v>20637</v>
      </c>
    </row>
    <row r="21961" spans="1:1" x14ac:dyDescent="0.25">
      <c r="A21961" t="s">
        <v>20638</v>
      </c>
    </row>
    <row r="21962" spans="1:1" x14ac:dyDescent="0.25">
      <c r="A21962" t="s">
        <v>20639</v>
      </c>
    </row>
    <row r="21963" spans="1:1" x14ac:dyDescent="0.25">
      <c r="A21963" t="s">
        <v>20640</v>
      </c>
    </row>
    <row r="21964" spans="1:1" x14ac:dyDescent="0.25">
      <c r="A21964" t="s">
        <v>20641</v>
      </c>
    </row>
    <row r="21965" spans="1:1" x14ac:dyDescent="0.25">
      <c r="A21965" t="s">
        <v>20642</v>
      </c>
    </row>
    <row r="21966" spans="1:1" x14ac:dyDescent="0.25">
      <c r="A21966" t="s">
        <v>20643</v>
      </c>
    </row>
    <row r="21967" spans="1:1" x14ac:dyDescent="0.25">
      <c r="A21967" t="s">
        <v>20644</v>
      </c>
    </row>
    <row r="21968" spans="1:1" x14ac:dyDescent="0.25">
      <c r="A21968" t="s">
        <v>20645</v>
      </c>
    </row>
    <row r="21969" spans="1:1" x14ac:dyDescent="0.25">
      <c r="A21969" t="s">
        <v>20646</v>
      </c>
    </row>
    <row r="21970" spans="1:1" x14ac:dyDescent="0.25">
      <c r="A21970" t="s">
        <v>20647</v>
      </c>
    </row>
    <row r="21971" spans="1:1" x14ac:dyDescent="0.25">
      <c r="A21971" t="s">
        <v>20648</v>
      </c>
    </row>
    <row r="21972" spans="1:1" x14ac:dyDescent="0.25">
      <c r="A21972" t="s">
        <v>20649</v>
      </c>
    </row>
    <row r="21973" spans="1:1" x14ac:dyDescent="0.25">
      <c r="A21973" t="s">
        <v>20650</v>
      </c>
    </row>
    <row r="21974" spans="1:1" x14ac:dyDescent="0.25">
      <c r="A21974" t="s">
        <v>20651</v>
      </c>
    </row>
    <row r="21975" spans="1:1" x14ac:dyDescent="0.25">
      <c r="A21975" t="s">
        <v>20652</v>
      </c>
    </row>
    <row r="21976" spans="1:1" x14ac:dyDescent="0.25">
      <c r="A21976" t="s">
        <v>20653</v>
      </c>
    </row>
    <row r="21977" spans="1:1" x14ac:dyDescent="0.25">
      <c r="A21977" t="s">
        <v>20654</v>
      </c>
    </row>
    <row r="21978" spans="1:1" x14ac:dyDescent="0.25">
      <c r="A21978" t="s">
        <v>20655</v>
      </c>
    </row>
    <row r="21979" spans="1:1" x14ac:dyDescent="0.25">
      <c r="A21979" t="s">
        <v>20656</v>
      </c>
    </row>
    <row r="21980" spans="1:1" x14ac:dyDescent="0.25">
      <c r="A21980" t="s">
        <v>20657</v>
      </c>
    </row>
    <row r="21981" spans="1:1" x14ac:dyDescent="0.25">
      <c r="A21981" t="s">
        <v>20658</v>
      </c>
    </row>
    <row r="21982" spans="1:1" x14ac:dyDescent="0.25">
      <c r="A21982" t="s">
        <v>20659</v>
      </c>
    </row>
    <row r="21983" spans="1:1" x14ac:dyDescent="0.25">
      <c r="A21983" t="s">
        <v>20660</v>
      </c>
    </row>
    <row r="21984" spans="1:1" x14ac:dyDescent="0.25">
      <c r="A21984" t="s">
        <v>20661</v>
      </c>
    </row>
    <row r="21985" spans="1:1" x14ac:dyDescent="0.25">
      <c r="A21985" t="s">
        <v>20662</v>
      </c>
    </row>
    <row r="21986" spans="1:1" x14ac:dyDescent="0.25">
      <c r="A21986" t="s">
        <v>20663</v>
      </c>
    </row>
    <row r="21987" spans="1:1" x14ac:dyDescent="0.25">
      <c r="A21987" t="s">
        <v>20664</v>
      </c>
    </row>
    <row r="21988" spans="1:1" x14ac:dyDescent="0.25">
      <c r="A21988" t="s">
        <v>20665</v>
      </c>
    </row>
    <row r="21989" spans="1:1" x14ac:dyDescent="0.25">
      <c r="A21989" t="s">
        <v>20666</v>
      </c>
    </row>
    <row r="21990" spans="1:1" x14ac:dyDescent="0.25">
      <c r="A21990" t="s">
        <v>20667</v>
      </c>
    </row>
    <row r="21991" spans="1:1" x14ac:dyDescent="0.25">
      <c r="A21991" t="s">
        <v>20668</v>
      </c>
    </row>
    <row r="21992" spans="1:1" x14ac:dyDescent="0.25">
      <c r="A21992" t="s">
        <v>20669</v>
      </c>
    </row>
    <row r="21993" spans="1:1" x14ac:dyDescent="0.25">
      <c r="A21993" t="s">
        <v>20670</v>
      </c>
    </row>
    <row r="21994" spans="1:1" x14ac:dyDescent="0.25">
      <c r="A21994" t="s">
        <v>20671</v>
      </c>
    </row>
    <row r="21995" spans="1:1" x14ac:dyDescent="0.25">
      <c r="A21995" t="s">
        <v>20672</v>
      </c>
    </row>
    <row r="21996" spans="1:1" x14ac:dyDescent="0.25">
      <c r="A21996" t="s">
        <v>20673</v>
      </c>
    </row>
    <row r="21997" spans="1:1" x14ac:dyDescent="0.25">
      <c r="A21997" t="s">
        <v>20674</v>
      </c>
    </row>
    <row r="21998" spans="1:1" x14ac:dyDescent="0.25">
      <c r="A21998" t="s">
        <v>20675</v>
      </c>
    </row>
    <row r="21999" spans="1:1" x14ac:dyDescent="0.25">
      <c r="A21999" t="s">
        <v>20676</v>
      </c>
    </row>
    <row r="22000" spans="1:1" x14ac:dyDescent="0.25">
      <c r="A22000" t="s">
        <v>20677</v>
      </c>
    </row>
    <row r="22001" spans="1:1" x14ac:dyDescent="0.25">
      <c r="A22001" t="s">
        <v>20678</v>
      </c>
    </row>
    <row r="22002" spans="1:1" x14ac:dyDescent="0.25">
      <c r="A22002" t="s">
        <v>20679</v>
      </c>
    </row>
    <row r="22003" spans="1:1" x14ac:dyDescent="0.25">
      <c r="A22003" t="s">
        <v>20680</v>
      </c>
    </row>
    <row r="22004" spans="1:1" x14ac:dyDescent="0.25">
      <c r="A22004" t="s">
        <v>20681</v>
      </c>
    </row>
    <row r="22005" spans="1:1" x14ac:dyDescent="0.25">
      <c r="A22005" t="s">
        <v>20682</v>
      </c>
    </row>
    <row r="22006" spans="1:1" x14ac:dyDescent="0.25">
      <c r="A22006" t="s">
        <v>20683</v>
      </c>
    </row>
    <row r="22007" spans="1:1" x14ac:dyDescent="0.25">
      <c r="A22007" t="s">
        <v>20684</v>
      </c>
    </row>
    <row r="22008" spans="1:1" x14ac:dyDescent="0.25">
      <c r="A22008" t="s">
        <v>20685</v>
      </c>
    </row>
    <row r="22009" spans="1:1" x14ac:dyDescent="0.25">
      <c r="A22009" t="s">
        <v>20686</v>
      </c>
    </row>
    <row r="22010" spans="1:1" x14ac:dyDescent="0.25">
      <c r="A22010" t="s">
        <v>20687</v>
      </c>
    </row>
    <row r="22012" spans="1:1" x14ac:dyDescent="0.25">
      <c r="A22012" t="s">
        <v>20688</v>
      </c>
    </row>
    <row r="22013" spans="1:1" x14ac:dyDescent="0.25">
      <c r="A22013" t="s">
        <v>20689</v>
      </c>
    </row>
    <row r="22014" spans="1:1" x14ac:dyDescent="0.25">
      <c r="A22014" t="s">
        <v>20690</v>
      </c>
    </row>
    <row r="22015" spans="1:1" x14ac:dyDescent="0.25">
      <c r="A22015" t="s">
        <v>20691</v>
      </c>
    </row>
    <row r="22016" spans="1:1" x14ac:dyDescent="0.25">
      <c r="A22016" t="s">
        <v>20692</v>
      </c>
    </row>
    <row r="22017" spans="1:1" x14ac:dyDescent="0.25">
      <c r="A22017" t="s">
        <v>20693</v>
      </c>
    </row>
    <row r="22018" spans="1:1" x14ac:dyDescent="0.25">
      <c r="A22018" t="s">
        <v>20694</v>
      </c>
    </row>
    <row r="22019" spans="1:1" x14ac:dyDescent="0.25">
      <c r="A22019" t="s">
        <v>20695</v>
      </c>
    </row>
    <row r="22020" spans="1:1" x14ac:dyDescent="0.25">
      <c r="A22020" t="s">
        <v>20696</v>
      </c>
    </row>
    <row r="22021" spans="1:1" x14ac:dyDescent="0.25">
      <c r="A22021" t="s">
        <v>20697</v>
      </c>
    </row>
    <row r="22022" spans="1:1" x14ac:dyDescent="0.25">
      <c r="A22022" t="s">
        <v>20698</v>
      </c>
    </row>
    <row r="22023" spans="1:1" x14ac:dyDescent="0.25">
      <c r="A22023" t="s">
        <v>20699</v>
      </c>
    </row>
    <row r="22024" spans="1:1" x14ac:dyDescent="0.25">
      <c r="A22024" t="s">
        <v>20700</v>
      </c>
    </row>
    <row r="22025" spans="1:1" x14ac:dyDescent="0.25">
      <c r="A22025" t="s">
        <v>20701</v>
      </c>
    </row>
    <row r="22026" spans="1:1" x14ac:dyDescent="0.25">
      <c r="A22026" t="s">
        <v>20702</v>
      </c>
    </row>
    <row r="22027" spans="1:1" x14ac:dyDescent="0.25">
      <c r="A22027" t="s">
        <v>20703</v>
      </c>
    </row>
    <row r="22028" spans="1:1" x14ac:dyDescent="0.25">
      <c r="A22028" t="s">
        <v>20704</v>
      </c>
    </row>
    <row r="22029" spans="1:1" x14ac:dyDescent="0.25">
      <c r="A22029" t="s">
        <v>20705</v>
      </c>
    </row>
    <row r="22030" spans="1:1" x14ac:dyDescent="0.25">
      <c r="A22030" t="s">
        <v>20706</v>
      </c>
    </row>
    <row r="22031" spans="1:1" x14ac:dyDescent="0.25">
      <c r="A22031" t="s">
        <v>20707</v>
      </c>
    </row>
    <row r="22032" spans="1:1" x14ac:dyDescent="0.25">
      <c r="A22032" t="s">
        <v>20708</v>
      </c>
    </row>
    <row r="22033" spans="1:1" x14ac:dyDescent="0.25">
      <c r="A22033" t="s">
        <v>20709</v>
      </c>
    </row>
    <row r="22034" spans="1:1" x14ac:dyDescent="0.25">
      <c r="A22034" t="s">
        <v>20710</v>
      </c>
    </row>
    <row r="22035" spans="1:1" x14ac:dyDescent="0.25">
      <c r="A22035" t="s">
        <v>20711</v>
      </c>
    </row>
    <row r="22036" spans="1:1" x14ac:dyDescent="0.25">
      <c r="A22036" t="s">
        <v>20712</v>
      </c>
    </row>
    <row r="22037" spans="1:1" x14ac:dyDescent="0.25">
      <c r="A22037" t="s">
        <v>20713</v>
      </c>
    </row>
    <row r="22038" spans="1:1" x14ac:dyDescent="0.25">
      <c r="A22038" t="s">
        <v>20714</v>
      </c>
    </row>
    <row r="22039" spans="1:1" x14ac:dyDescent="0.25">
      <c r="A22039" t="s">
        <v>20715</v>
      </c>
    </row>
    <row r="22040" spans="1:1" x14ac:dyDescent="0.25">
      <c r="A22040" t="s">
        <v>20716</v>
      </c>
    </row>
    <row r="22041" spans="1:1" x14ac:dyDescent="0.25">
      <c r="A22041" t="s">
        <v>20717</v>
      </c>
    </row>
    <row r="22042" spans="1:1" x14ac:dyDescent="0.25">
      <c r="A22042" t="s">
        <v>20718</v>
      </c>
    </row>
    <row r="22043" spans="1:1" x14ac:dyDescent="0.25">
      <c r="A22043" t="s">
        <v>20719</v>
      </c>
    </row>
    <row r="22044" spans="1:1" x14ac:dyDescent="0.25">
      <c r="A22044" t="s">
        <v>20720</v>
      </c>
    </row>
    <row r="22045" spans="1:1" x14ac:dyDescent="0.25">
      <c r="A22045" t="s">
        <v>20721</v>
      </c>
    </row>
    <row r="22046" spans="1:1" x14ac:dyDescent="0.25">
      <c r="A22046" t="s">
        <v>20722</v>
      </c>
    </row>
    <row r="22047" spans="1:1" x14ac:dyDescent="0.25">
      <c r="A22047" t="s">
        <v>20723</v>
      </c>
    </row>
    <row r="22048" spans="1:1" x14ac:dyDescent="0.25">
      <c r="A22048" t="s">
        <v>20724</v>
      </c>
    </row>
    <row r="22049" spans="1:1" x14ac:dyDescent="0.25">
      <c r="A22049" t="s">
        <v>20725</v>
      </c>
    </row>
    <row r="22050" spans="1:1" x14ac:dyDescent="0.25">
      <c r="A22050" t="s">
        <v>20726</v>
      </c>
    </row>
    <row r="22051" spans="1:1" x14ac:dyDescent="0.25">
      <c r="A22051" t="s">
        <v>20727</v>
      </c>
    </row>
    <row r="22052" spans="1:1" x14ac:dyDescent="0.25">
      <c r="A22052" t="s">
        <v>20728</v>
      </c>
    </row>
    <row r="22053" spans="1:1" x14ac:dyDescent="0.25">
      <c r="A22053" t="s">
        <v>20729</v>
      </c>
    </row>
    <row r="22054" spans="1:1" x14ac:dyDescent="0.25">
      <c r="A22054" t="s">
        <v>16736</v>
      </c>
    </row>
    <row r="22055" spans="1:1" x14ac:dyDescent="0.25">
      <c r="A22055" t="s">
        <v>20730</v>
      </c>
    </row>
    <row r="22056" spans="1:1" x14ac:dyDescent="0.25">
      <c r="A22056" t="s">
        <v>20731</v>
      </c>
    </row>
    <row r="22057" spans="1:1" x14ac:dyDescent="0.25">
      <c r="A22057" t="s">
        <v>20732</v>
      </c>
    </row>
    <row r="22058" spans="1:1" x14ac:dyDescent="0.25">
      <c r="A22058" t="s">
        <v>20733</v>
      </c>
    </row>
    <row r="22059" spans="1:1" x14ac:dyDescent="0.25">
      <c r="A22059" t="s">
        <v>20734</v>
      </c>
    </row>
    <row r="22060" spans="1:1" x14ac:dyDescent="0.25">
      <c r="A22060" t="s">
        <v>20735</v>
      </c>
    </row>
    <row r="22061" spans="1:1" x14ac:dyDescent="0.25">
      <c r="A22061" t="s">
        <v>20736</v>
      </c>
    </row>
    <row r="22062" spans="1:1" x14ac:dyDescent="0.25">
      <c r="A22062" t="s">
        <v>20737</v>
      </c>
    </row>
    <row r="22063" spans="1:1" x14ac:dyDescent="0.25">
      <c r="A22063" t="s">
        <v>20738</v>
      </c>
    </row>
    <row r="22064" spans="1:1" x14ac:dyDescent="0.25">
      <c r="A22064" t="s">
        <v>20739</v>
      </c>
    </row>
    <row r="22065" spans="1:1" x14ac:dyDescent="0.25">
      <c r="A22065" t="s">
        <v>20740</v>
      </c>
    </row>
    <row r="22066" spans="1:1" x14ac:dyDescent="0.25">
      <c r="A22066" t="s">
        <v>20741</v>
      </c>
    </row>
    <row r="22067" spans="1:1" x14ac:dyDescent="0.25">
      <c r="A22067" t="s">
        <v>20742</v>
      </c>
    </row>
    <row r="22068" spans="1:1" x14ac:dyDescent="0.25">
      <c r="A22068" t="s">
        <v>20737</v>
      </c>
    </row>
    <row r="22069" spans="1:1" x14ac:dyDescent="0.25">
      <c r="A22069" t="s">
        <v>20743</v>
      </c>
    </row>
    <row r="22070" spans="1:1" x14ac:dyDescent="0.25">
      <c r="A22070" t="s">
        <v>20744</v>
      </c>
    </row>
    <row r="22071" spans="1:1" x14ac:dyDescent="0.25">
      <c r="A22071" t="s">
        <v>20745</v>
      </c>
    </row>
    <row r="22072" spans="1:1" x14ac:dyDescent="0.25">
      <c r="A22072" t="s">
        <v>20746</v>
      </c>
    </row>
    <row r="22073" spans="1:1" x14ac:dyDescent="0.25">
      <c r="A22073" t="s">
        <v>20747</v>
      </c>
    </row>
    <row r="22074" spans="1:1" x14ac:dyDescent="0.25">
      <c r="A22074" t="s">
        <v>20748</v>
      </c>
    </row>
    <row r="22075" spans="1:1" x14ac:dyDescent="0.25">
      <c r="A22075" t="s">
        <v>20749</v>
      </c>
    </row>
    <row r="22076" spans="1:1" x14ac:dyDescent="0.25">
      <c r="A22076" t="s">
        <v>20750</v>
      </c>
    </row>
    <row r="22077" spans="1:1" x14ac:dyDescent="0.25">
      <c r="A22077" t="s">
        <v>20751</v>
      </c>
    </row>
    <row r="22078" spans="1:1" x14ac:dyDescent="0.25">
      <c r="A22078" t="s">
        <v>20752</v>
      </c>
    </row>
    <row r="22079" spans="1:1" x14ac:dyDescent="0.25">
      <c r="A22079" t="s">
        <v>20753</v>
      </c>
    </row>
    <row r="22080" spans="1:1" x14ac:dyDescent="0.25">
      <c r="A22080" t="s">
        <v>20754</v>
      </c>
    </row>
    <row r="22081" spans="1:1" x14ac:dyDescent="0.25">
      <c r="A22081" t="s">
        <v>20755</v>
      </c>
    </row>
    <row r="22082" spans="1:1" x14ac:dyDescent="0.25">
      <c r="A22082" t="s">
        <v>20756</v>
      </c>
    </row>
    <row r="22083" spans="1:1" x14ac:dyDescent="0.25">
      <c r="A22083" t="s">
        <v>20757</v>
      </c>
    </row>
    <row r="22084" spans="1:1" x14ac:dyDescent="0.25">
      <c r="A22084" t="s">
        <v>20758</v>
      </c>
    </row>
    <row r="22085" spans="1:1" x14ac:dyDescent="0.25">
      <c r="A22085" t="s">
        <v>20759</v>
      </c>
    </row>
    <row r="22086" spans="1:1" x14ac:dyDescent="0.25">
      <c r="A22086" t="s">
        <v>20760</v>
      </c>
    </row>
    <row r="22087" spans="1:1" x14ac:dyDescent="0.25">
      <c r="A22087" t="s">
        <v>20761</v>
      </c>
    </row>
    <row r="22088" spans="1:1" x14ac:dyDescent="0.25">
      <c r="A22088" t="s">
        <v>20762</v>
      </c>
    </row>
    <row r="22089" spans="1:1" x14ac:dyDescent="0.25">
      <c r="A22089" t="s">
        <v>20763</v>
      </c>
    </row>
    <row r="22090" spans="1:1" x14ac:dyDescent="0.25">
      <c r="A22090" t="s">
        <v>20764</v>
      </c>
    </row>
    <row r="22091" spans="1:1" x14ac:dyDescent="0.25">
      <c r="A22091" t="s">
        <v>20765</v>
      </c>
    </row>
    <row r="22092" spans="1:1" x14ac:dyDescent="0.25">
      <c r="A22092" t="s">
        <v>20766</v>
      </c>
    </row>
    <row r="22093" spans="1:1" x14ac:dyDescent="0.25">
      <c r="A22093" t="s">
        <v>20767</v>
      </c>
    </row>
    <row r="22094" spans="1:1" x14ac:dyDescent="0.25">
      <c r="A22094" t="s">
        <v>20768</v>
      </c>
    </row>
    <row r="22095" spans="1:1" x14ac:dyDescent="0.25">
      <c r="A22095" t="s">
        <v>20769</v>
      </c>
    </row>
    <row r="22096" spans="1:1" x14ac:dyDescent="0.25">
      <c r="A22096" t="s">
        <v>20770</v>
      </c>
    </row>
    <row r="22097" spans="1:1" x14ac:dyDescent="0.25">
      <c r="A22097" t="s">
        <v>20771</v>
      </c>
    </row>
    <row r="22098" spans="1:1" x14ac:dyDescent="0.25">
      <c r="A22098" t="s">
        <v>20772</v>
      </c>
    </row>
    <row r="22099" spans="1:1" x14ac:dyDescent="0.25">
      <c r="A22099" t="s">
        <v>20773</v>
      </c>
    </row>
    <row r="22100" spans="1:1" x14ac:dyDescent="0.25">
      <c r="A22100" t="s">
        <v>20774</v>
      </c>
    </row>
    <row r="22101" spans="1:1" x14ac:dyDescent="0.25">
      <c r="A22101" t="s">
        <v>20775</v>
      </c>
    </row>
    <row r="22102" spans="1:1" x14ac:dyDescent="0.25">
      <c r="A22102" t="s">
        <v>20776</v>
      </c>
    </row>
    <row r="22103" spans="1:1" x14ac:dyDescent="0.25">
      <c r="A22103" t="s">
        <v>20777</v>
      </c>
    </row>
    <row r="22104" spans="1:1" x14ac:dyDescent="0.25">
      <c r="A22104" t="s">
        <v>20778</v>
      </c>
    </row>
    <row r="22105" spans="1:1" x14ac:dyDescent="0.25">
      <c r="A22105" t="s">
        <v>20779</v>
      </c>
    </row>
    <row r="22106" spans="1:1" x14ac:dyDescent="0.25">
      <c r="A22106" t="s">
        <v>20780</v>
      </c>
    </row>
    <row r="22107" spans="1:1" x14ac:dyDescent="0.25">
      <c r="A22107" t="s">
        <v>20781</v>
      </c>
    </row>
    <row r="22108" spans="1:1" x14ac:dyDescent="0.25">
      <c r="A22108" t="s">
        <v>20782</v>
      </c>
    </row>
    <row r="22109" spans="1:1" x14ac:dyDescent="0.25">
      <c r="A22109" t="s">
        <v>20783</v>
      </c>
    </row>
    <row r="22110" spans="1:1" x14ac:dyDescent="0.25">
      <c r="A22110" t="s">
        <v>20784</v>
      </c>
    </row>
    <row r="22111" spans="1:1" x14ac:dyDescent="0.25">
      <c r="A22111" t="s">
        <v>20785</v>
      </c>
    </row>
    <row r="22112" spans="1:1" x14ac:dyDescent="0.25">
      <c r="A22112" t="s">
        <v>20786</v>
      </c>
    </row>
    <row r="22113" spans="1:1" x14ac:dyDescent="0.25">
      <c r="A22113" t="s">
        <v>20787</v>
      </c>
    </row>
    <row r="22114" spans="1:1" x14ac:dyDescent="0.25">
      <c r="A22114" t="s">
        <v>20788</v>
      </c>
    </row>
    <row r="22115" spans="1:1" x14ac:dyDescent="0.25">
      <c r="A22115" t="s">
        <v>20789</v>
      </c>
    </row>
    <row r="22116" spans="1:1" x14ac:dyDescent="0.25">
      <c r="A22116" t="s">
        <v>20790</v>
      </c>
    </row>
    <row r="22117" spans="1:1" x14ac:dyDescent="0.25">
      <c r="A22117" t="s">
        <v>20791</v>
      </c>
    </row>
    <row r="22118" spans="1:1" x14ac:dyDescent="0.25">
      <c r="A22118" t="s">
        <v>20792</v>
      </c>
    </row>
    <row r="22119" spans="1:1" x14ac:dyDescent="0.25">
      <c r="A22119" t="s">
        <v>20793</v>
      </c>
    </row>
    <row r="22120" spans="1:1" x14ac:dyDescent="0.25">
      <c r="A22120" t="s">
        <v>20794</v>
      </c>
    </row>
    <row r="22121" spans="1:1" x14ac:dyDescent="0.25">
      <c r="A22121" t="s">
        <v>20795</v>
      </c>
    </row>
    <row r="22122" spans="1:1" x14ac:dyDescent="0.25">
      <c r="A22122" t="s">
        <v>20796</v>
      </c>
    </row>
    <row r="22123" spans="1:1" x14ac:dyDescent="0.25">
      <c r="A22123" t="s">
        <v>20797</v>
      </c>
    </row>
    <row r="22124" spans="1:1" x14ac:dyDescent="0.25">
      <c r="A22124" t="s">
        <v>20798</v>
      </c>
    </row>
    <row r="22125" spans="1:1" x14ac:dyDescent="0.25">
      <c r="A22125" t="s">
        <v>20799</v>
      </c>
    </row>
    <row r="22126" spans="1:1" x14ac:dyDescent="0.25">
      <c r="A22126" t="s">
        <v>20800</v>
      </c>
    </row>
    <row r="22127" spans="1:1" x14ac:dyDescent="0.25">
      <c r="A22127" t="s">
        <v>20801</v>
      </c>
    </row>
    <row r="22128" spans="1:1" x14ac:dyDescent="0.25">
      <c r="A22128" t="s">
        <v>20802</v>
      </c>
    </row>
    <row r="22129" spans="1:1" x14ac:dyDescent="0.25">
      <c r="A22129" t="s">
        <v>20803</v>
      </c>
    </row>
    <row r="22130" spans="1:1" x14ac:dyDescent="0.25">
      <c r="A22130" t="s">
        <v>20804</v>
      </c>
    </row>
    <row r="22131" spans="1:1" x14ac:dyDescent="0.25">
      <c r="A22131" t="s">
        <v>20805</v>
      </c>
    </row>
    <row r="22132" spans="1:1" x14ac:dyDescent="0.25">
      <c r="A22132" t="s">
        <v>20806</v>
      </c>
    </row>
    <row r="22133" spans="1:1" x14ac:dyDescent="0.25">
      <c r="A22133" t="s">
        <v>20807</v>
      </c>
    </row>
    <row r="22134" spans="1:1" x14ac:dyDescent="0.25">
      <c r="A22134" t="s">
        <v>20808</v>
      </c>
    </row>
    <row r="22135" spans="1:1" x14ac:dyDescent="0.25">
      <c r="A22135" t="s">
        <v>20809</v>
      </c>
    </row>
    <row r="22136" spans="1:1" x14ac:dyDescent="0.25">
      <c r="A22136" t="s">
        <v>20810</v>
      </c>
    </row>
    <row r="22137" spans="1:1" x14ac:dyDescent="0.25">
      <c r="A22137" t="s">
        <v>20806</v>
      </c>
    </row>
    <row r="22138" spans="1:1" x14ac:dyDescent="0.25">
      <c r="A22138" t="s">
        <v>20807</v>
      </c>
    </row>
    <row r="22139" spans="1:1" x14ac:dyDescent="0.25">
      <c r="A22139" t="s">
        <v>20811</v>
      </c>
    </row>
    <row r="22140" spans="1:1" x14ac:dyDescent="0.25">
      <c r="A22140" t="s">
        <v>20812</v>
      </c>
    </row>
    <row r="22141" spans="1:1" x14ac:dyDescent="0.25">
      <c r="A22141" t="s">
        <v>20813</v>
      </c>
    </row>
    <row r="22142" spans="1:1" x14ac:dyDescent="0.25">
      <c r="A22142" t="s">
        <v>20814</v>
      </c>
    </row>
    <row r="22143" spans="1:1" x14ac:dyDescent="0.25">
      <c r="A22143" t="s">
        <v>20815</v>
      </c>
    </row>
    <row r="22144" spans="1:1" x14ac:dyDescent="0.25">
      <c r="A22144" t="s">
        <v>20816</v>
      </c>
    </row>
    <row r="22145" spans="1:1" x14ac:dyDescent="0.25">
      <c r="A22145" t="s">
        <v>20817</v>
      </c>
    </row>
    <row r="22146" spans="1:1" x14ac:dyDescent="0.25">
      <c r="A22146" t="s">
        <v>20818</v>
      </c>
    </row>
    <row r="22147" spans="1:1" x14ac:dyDescent="0.25">
      <c r="A22147" t="s">
        <v>20819</v>
      </c>
    </row>
    <row r="22148" spans="1:1" x14ac:dyDescent="0.25">
      <c r="A22148" t="s">
        <v>20820</v>
      </c>
    </row>
    <row r="22149" spans="1:1" x14ac:dyDescent="0.25">
      <c r="A22149" t="s">
        <v>20821</v>
      </c>
    </row>
    <row r="22150" spans="1:1" x14ac:dyDescent="0.25">
      <c r="A22150" t="s">
        <v>20822</v>
      </c>
    </row>
    <row r="22151" spans="1:1" x14ac:dyDescent="0.25">
      <c r="A22151" t="s">
        <v>20823</v>
      </c>
    </row>
    <row r="22152" spans="1:1" x14ac:dyDescent="0.25">
      <c r="A22152" t="s">
        <v>20824</v>
      </c>
    </row>
    <row r="22153" spans="1:1" x14ac:dyDescent="0.25">
      <c r="A22153" t="s">
        <v>20825</v>
      </c>
    </row>
    <row r="22154" spans="1:1" x14ac:dyDescent="0.25">
      <c r="A22154" t="s">
        <v>20826</v>
      </c>
    </row>
    <row r="22155" spans="1:1" x14ac:dyDescent="0.25">
      <c r="A22155" t="s">
        <v>20827</v>
      </c>
    </row>
    <row r="22156" spans="1:1" x14ac:dyDescent="0.25">
      <c r="A22156" t="s">
        <v>20828</v>
      </c>
    </row>
    <row r="22157" spans="1:1" x14ac:dyDescent="0.25">
      <c r="A22157" t="s">
        <v>20829</v>
      </c>
    </row>
    <row r="22158" spans="1:1" x14ac:dyDescent="0.25">
      <c r="A22158" t="s">
        <v>20830</v>
      </c>
    </row>
    <row r="22160" spans="1:1" x14ac:dyDescent="0.25">
      <c r="A22160" t="s">
        <v>20831</v>
      </c>
    </row>
    <row r="22162" spans="1:1" x14ac:dyDescent="0.25">
      <c r="A22162" t="s">
        <v>20832</v>
      </c>
    </row>
    <row r="22163" spans="1:1" x14ac:dyDescent="0.25">
      <c r="A22163" t="s">
        <v>20833</v>
      </c>
    </row>
    <row r="22164" spans="1:1" x14ac:dyDescent="0.25">
      <c r="A22164" t="s">
        <v>20834</v>
      </c>
    </row>
    <row r="22165" spans="1:1" x14ac:dyDescent="0.25">
      <c r="A22165" t="s">
        <v>20835</v>
      </c>
    </row>
    <row r="22167" spans="1:1" x14ac:dyDescent="0.25">
      <c r="A22167" t="s">
        <v>20836</v>
      </c>
    </row>
    <row r="22168" spans="1:1" x14ac:dyDescent="0.25">
      <c r="A22168" t="s">
        <v>20837</v>
      </c>
    </row>
    <row r="22169" spans="1:1" x14ac:dyDescent="0.25">
      <c r="A22169" t="s">
        <v>20838</v>
      </c>
    </row>
    <row r="22170" spans="1:1" x14ac:dyDescent="0.25">
      <c r="A22170" t="s">
        <v>20839</v>
      </c>
    </row>
    <row r="22171" spans="1:1" x14ac:dyDescent="0.25">
      <c r="A22171" t="s">
        <v>20840</v>
      </c>
    </row>
    <row r="22172" spans="1:1" x14ac:dyDescent="0.25">
      <c r="A22172" t="s">
        <v>20841</v>
      </c>
    </row>
    <row r="22173" spans="1:1" x14ac:dyDescent="0.25">
      <c r="A22173" t="s">
        <v>20842</v>
      </c>
    </row>
    <row r="22174" spans="1:1" x14ac:dyDescent="0.25">
      <c r="A22174" t="s">
        <v>20843</v>
      </c>
    </row>
    <row r="22175" spans="1:1" x14ac:dyDescent="0.25">
      <c r="A22175" t="s">
        <v>20840</v>
      </c>
    </row>
    <row r="22176" spans="1:1" x14ac:dyDescent="0.25">
      <c r="A22176" t="s">
        <v>20844</v>
      </c>
    </row>
    <row r="22177" spans="1:1" x14ac:dyDescent="0.25">
      <c r="A22177" t="s">
        <v>20842</v>
      </c>
    </row>
    <row r="22178" spans="1:1" x14ac:dyDescent="0.25">
      <c r="A22178" t="s">
        <v>20845</v>
      </c>
    </row>
    <row r="22179" spans="1:1" x14ac:dyDescent="0.25">
      <c r="A22179" t="s">
        <v>20846</v>
      </c>
    </row>
    <row r="22180" spans="1:1" x14ac:dyDescent="0.25">
      <c r="A22180" t="s">
        <v>20847</v>
      </c>
    </row>
    <row r="22181" spans="1:1" x14ac:dyDescent="0.25">
      <c r="A22181" t="s">
        <v>20848</v>
      </c>
    </row>
    <row r="22182" spans="1:1" x14ac:dyDescent="0.25">
      <c r="A22182" t="s">
        <v>20849</v>
      </c>
    </row>
    <row r="22183" spans="1:1" x14ac:dyDescent="0.25">
      <c r="A22183" t="s">
        <v>20850</v>
      </c>
    </row>
    <row r="22184" spans="1:1" x14ac:dyDescent="0.25">
      <c r="A22184" t="s">
        <v>20851</v>
      </c>
    </row>
    <row r="22185" spans="1:1" x14ac:dyDescent="0.25">
      <c r="A22185" t="s">
        <v>20852</v>
      </c>
    </row>
    <row r="22186" spans="1:1" x14ac:dyDescent="0.25">
      <c r="A22186" t="s">
        <v>20853</v>
      </c>
    </row>
    <row r="22187" spans="1:1" x14ac:dyDescent="0.25">
      <c r="A22187" t="s">
        <v>20854</v>
      </c>
    </row>
    <row r="22188" spans="1:1" x14ac:dyDescent="0.25">
      <c r="A22188" t="s">
        <v>20855</v>
      </c>
    </row>
    <row r="22189" spans="1:1" x14ac:dyDescent="0.25">
      <c r="A22189" t="s">
        <v>20856</v>
      </c>
    </row>
    <row r="22190" spans="1:1" x14ac:dyDescent="0.25">
      <c r="A22190" t="s">
        <v>20857</v>
      </c>
    </row>
    <row r="22191" spans="1:1" x14ac:dyDescent="0.25">
      <c r="A22191" t="s">
        <v>20858</v>
      </c>
    </row>
    <row r="22192" spans="1:1" x14ac:dyDescent="0.25">
      <c r="A22192" t="s">
        <v>20859</v>
      </c>
    </row>
    <row r="22193" spans="1:1" x14ac:dyDescent="0.25">
      <c r="A22193" t="s">
        <v>20860</v>
      </c>
    </row>
    <row r="22194" spans="1:1" x14ac:dyDescent="0.25">
      <c r="A22194" t="s">
        <v>20861</v>
      </c>
    </row>
    <row r="22195" spans="1:1" x14ac:dyDescent="0.25">
      <c r="A22195" t="s">
        <v>20862</v>
      </c>
    </row>
    <row r="22196" spans="1:1" x14ac:dyDescent="0.25">
      <c r="A22196" t="s">
        <v>20863</v>
      </c>
    </row>
    <row r="22197" spans="1:1" x14ac:dyDescent="0.25">
      <c r="A22197" t="s">
        <v>20864</v>
      </c>
    </row>
    <row r="22198" spans="1:1" x14ac:dyDescent="0.25">
      <c r="A22198" t="s">
        <v>20865</v>
      </c>
    </row>
    <row r="22199" spans="1:1" x14ac:dyDescent="0.25">
      <c r="A22199" t="s">
        <v>20866</v>
      </c>
    </row>
    <row r="22200" spans="1:1" x14ac:dyDescent="0.25">
      <c r="A22200" t="s">
        <v>20867</v>
      </c>
    </row>
    <row r="22201" spans="1:1" x14ac:dyDescent="0.25">
      <c r="A22201" t="s">
        <v>20868</v>
      </c>
    </row>
    <row r="22202" spans="1:1" x14ac:dyDescent="0.25">
      <c r="A22202" t="s">
        <v>20869</v>
      </c>
    </row>
    <row r="22203" spans="1:1" x14ac:dyDescent="0.25">
      <c r="A22203" t="s">
        <v>20870</v>
      </c>
    </row>
    <row r="22204" spans="1:1" x14ac:dyDescent="0.25">
      <c r="A22204" t="s">
        <v>20871</v>
      </c>
    </row>
    <row r="22205" spans="1:1" x14ac:dyDescent="0.25">
      <c r="A22205" t="s">
        <v>20872</v>
      </c>
    </row>
    <row r="22206" spans="1:1" x14ac:dyDescent="0.25">
      <c r="A22206" t="s">
        <v>20873</v>
      </c>
    </row>
    <row r="22207" spans="1:1" x14ac:dyDescent="0.25">
      <c r="A22207" t="s">
        <v>20874</v>
      </c>
    </row>
    <row r="22208" spans="1:1" x14ac:dyDescent="0.25">
      <c r="A22208" t="s">
        <v>20875</v>
      </c>
    </row>
    <row r="22209" spans="1:1" x14ac:dyDescent="0.25">
      <c r="A22209" t="s">
        <v>20876</v>
      </c>
    </row>
    <row r="22210" spans="1:1" x14ac:dyDescent="0.25">
      <c r="A22210" t="s">
        <v>20877</v>
      </c>
    </row>
    <row r="22211" spans="1:1" x14ac:dyDescent="0.25">
      <c r="A22211" t="s">
        <v>20878</v>
      </c>
    </row>
    <row r="22212" spans="1:1" x14ac:dyDescent="0.25">
      <c r="A22212" t="s">
        <v>20879</v>
      </c>
    </row>
    <row r="22213" spans="1:1" x14ac:dyDescent="0.25">
      <c r="A22213" t="s">
        <v>20880</v>
      </c>
    </row>
    <row r="22214" spans="1:1" x14ac:dyDescent="0.25">
      <c r="A22214" t="s">
        <v>20881</v>
      </c>
    </row>
    <row r="22215" spans="1:1" x14ac:dyDescent="0.25">
      <c r="A22215" t="s">
        <v>20882</v>
      </c>
    </row>
    <row r="22216" spans="1:1" x14ac:dyDescent="0.25">
      <c r="A22216" t="s">
        <v>20883</v>
      </c>
    </row>
    <row r="22217" spans="1:1" x14ac:dyDescent="0.25">
      <c r="A22217" t="s">
        <v>20884</v>
      </c>
    </row>
    <row r="22218" spans="1:1" x14ac:dyDescent="0.25">
      <c r="A22218" t="s">
        <v>20885</v>
      </c>
    </row>
    <row r="22219" spans="1:1" x14ac:dyDescent="0.25">
      <c r="A22219" t="s">
        <v>20886</v>
      </c>
    </row>
    <row r="22220" spans="1:1" x14ac:dyDescent="0.25">
      <c r="A22220" t="s">
        <v>20887</v>
      </c>
    </row>
    <row r="22221" spans="1:1" x14ac:dyDescent="0.25">
      <c r="A22221" t="s">
        <v>20888</v>
      </c>
    </row>
    <row r="22222" spans="1:1" x14ac:dyDescent="0.25">
      <c r="A22222" t="s">
        <v>20889</v>
      </c>
    </row>
    <row r="22223" spans="1:1" x14ac:dyDescent="0.25">
      <c r="A22223" t="s">
        <v>20890</v>
      </c>
    </row>
    <row r="22224" spans="1:1" x14ac:dyDescent="0.25">
      <c r="A22224" t="s">
        <v>20891</v>
      </c>
    </row>
    <row r="22225" spans="1:1" x14ac:dyDescent="0.25">
      <c r="A22225" t="s">
        <v>20892</v>
      </c>
    </row>
    <row r="22226" spans="1:1" x14ac:dyDescent="0.25">
      <c r="A22226" t="s">
        <v>20893</v>
      </c>
    </row>
    <row r="22227" spans="1:1" x14ac:dyDescent="0.25">
      <c r="A22227" t="s">
        <v>20894</v>
      </c>
    </row>
    <row r="22228" spans="1:1" x14ac:dyDescent="0.25">
      <c r="A22228" t="s">
        <v>20895</v>
      </c>
    </row>
    <row r="22229" spans="1:1" x14ac:dyDescent="0.25">
      <c r="A22229" t="s">
        <v>20896</v>
      </c>
    </row>
    <row r="22230" spans="1:1" x14ac:dyDescent="0.25">
      <c r="A22230" t="s">
        <v>20897</v>
      </c>
    </row>
    <row r="22231" spans="1:1" x14ac:dyDescent="0.25">
      <c r="A22231" t="s">
        <v>20898</v>
      </c>
    </row>
    <row r="22232" spans="1:1" x14ac:dyDescent="0.25">
      <c r="A22232" t="s">
        <v>20899</v>
      </c>
    </row>
    <row r="22233" spans="1:1" x14ac:dyDescent="0.25">
      <c r="A22233" t="s">
        <v>20900</v>
      </c>
    </row>
    <row r="22234" spans="1:1" x14ac:dyDescent="0.25">
      <c r="A22234" t="s">
        <v>20901</v>
      </c>
    </row>
    <row r="22235" spans="1:1" x14ac:dyDescent="0.25">
      <c r="A22235" t="s">
        <v>20902</v>
      </c>
    </row>
    <row r="22236" spans="1:1" x14ac:dyDescent="0.25">
      <c r="A22236" t="s">
        <v>20903</v>
      </c>
    </row>
    <row r="22237" spans="1:1" x14ac:dyDescent="0.25">
      <c r="A22237" t="s">
        <v>20904</v>
      </c>
    </row>
    <row r="22238" spans="1:1" x14ac:dyDescent="0.25">
      <c r="A22238" t="s">
        <v>20905</v>
      </c>
    </row>
    <row r="22239" spans="1:1" x14ac:dyDescent="0.25">
      <c r="A22239" t="s">
        <v>20906</v>
      </c>
    </row>
    <row r="22241" spans="1:1" x14ac:dyDescent="0.25">
      <c r="A22241" t="s">
        <v>20907</v>
      </c>
    </row>
    <row r="22242" spans="1:1" x14ac:dyDescent="0.25">
      <c r="A22242" t="s">
        <v>20908</v>
      </c>
    </row>
    <row r="22243" spans="1:1" x14ac:dyDescent="0.25">
      <c r="A22243" t="s">
        <v>20909</v>
      </c>
    </row>
    <row r="22244" spans="1:1" x14ac:dyDescent="0.25">
      <c r="A22244" t="s">
        <v>20910</v>
      </c>
    </row>
    <row r="22245" spans="1:1" x14ac:dyDescent="0.25">
      <c r="A22245" t="s">
        <v>20911</v>
      </c>
    </row>
    <row r="22246" spans="1:1" x14ac:dyDescent="0.25">
      <c r="A22246" t="s">
        <v>20912</v>
      </c>
    </row>
    <row r="22247" spans="1:1" x14ac:dyDescent="0.25">
      <c r="A22247" t="s">
        <v>20913</v>
      </c>
    </row>
    <row r="22248" spans="1:1" x14ac:dyDescent="0.25">
      <c r="A22248" t="s">
        <v>20914</v>
      </c>
    </row>
    <row r="22249" spans="1:1" x14ac:dyDescent="0.25">
      <c r="A22249" t="s">
        <v>20915</v>
      </c>
    </row>
    <row r="22250" spans="1:1" x14ac:dyDescent="0.25">
      <c r="A22250" t="s">
        <v>20916</v>
      </c>
    </row>
    <row r="22251" spans="1:1" x14ac:dyDescent="0.25">
      <c r="A22251" t="s">
        <v>20917</v>
      </c>
    </row>
    <row r="22252" spans="1:1" x14ac:dyDescent="0.25">
      <c r="A22252" t="s">
        <v>20918</v>
      </c>
    </row>
    <row r="22253" spans="1:1" x14ac:dyDescent="0.25">
      <c r="A22253" t="s">
        <v>20919</v>
      </c>
    </row>
    <row r="22254" spans="1:1" x14ac:dyDescent="0.25">
      <c r="A22254" t="s">
        <v>20920</v>
      </c>
    </row>
    <row r="22255" spans="1:1" x14ac:dyDescent="0.25">
      <c r="A22255" t="s">
        <v>20921</v>
      </c>
    </row>
    <row r="22256" spans="1:1" x14ac:dyDescent="0.25">
      <c r="A22256" t="s">
        <v>20922</v>
      </c>
    </row>
    <row r="22257" spans="1:1" x14ac:dyDescent="0.25">
      <c r="A22257" t="s">
        <v>20923</v>
      </c>
    </row>
    <row r="22258" spans="1:1" x14ac:dyDescent="0.25">
      <c r="A22258" t="s">
        <v>20924</v>
      </c>
    </row>
    <row r="22259" spans="1:1" x14ac:dyDescent="0.25">
      <c r="A22259" t="s">
        <v>20925</v>
      </c>
    </row>
    <row r="22260" spans="1:1" x14ac:dyDescent="0.25">
      <c r="A22260" t="s">
        <v>20926</v>
      </c>
    </row>
    <row r="22261" spans="1:1" x14ac:dyDescent="0.25">
      <c r="A22261" t="s">
        <v>20927</v>
      </c>
    </row>
    <row r="22262" spans="1:1" x14ac:dyDescent="0.25">
      <c r="A22262" t="s">
        <v>20928</v>
      </c>
    </row>
    <row r="22263" spans="1:1" x14ac:dyDescent="0.25">
      <c r="A22263" t="s">
        <v>20929</v>
      </c>
    </row>
    <row r="22264" spans="1:1" x14ac:dyDescent="0.25">
      <c r="A22264" t="s">
        <v>20930</v>
      </c>
    </row>
    <row r="22265" spans="1:1" x14ac:dyDescent="0.25">
      <c r="A22265" t="s">
        <v>20931</v>
      </c>
    </row>
    <row r="22266" spans="1:1" x14ac:dyDescent="0.25">
      <c r="A22266" t="s">
        <v>20932</v>
      </c>
    </row>
    <row r="22267" spans="1:1" x14ac:dyDescent="0.25">
      <c r="A22267" t="s">
        <v>20933</v>
      </c>
    </row>
    <row r="22268" spans="1:1" x14ac:dyDescent="0.25">
      <c r="A22268" t="s">
        <v>20934</v>
      </c>
    </row>
    <row r="22269" spans="1:1" x14ac:dyDescent="0.25">
      <c r="A22269" t="s">
        <v>20935</v>
      </c>
    </row>
    <row r="22270" spans="1:1" x14ac:dyDescent="0.25">
      <c r="A22270" t="s">
        <v>20936</v>
      </c>
    </row>
    <row r="22271" spans="1:1" x14ac:dyDescent="0.25">
      <c r="A22271" t="s">
        <v>20937</v>
      </c>
    </row>
    <row r="22272" spans="1:1" x14ac:dyDescent="0.25">
      <c r="A22272" t="s">
        <v>20938</v>
      </c>
    </row>
    <row r="22273" spans="1:1" x14ac:dyDescent="0.25">
      <c r="A22273" t="s">
        <v>20939</v>
      </c>
    </row>
    <row r="22274" spans="1:1" x14ac:dyDescent="0.25">
      <c r="A22274" t="s">
        <v>20940</v>
      </c>
    </row>
    <row r="22275" spans="1:1" x14ac:dyDescent="0.25">
      <c r="A22275" t="s">
        <v>20941</v>
      </c>
    </row>
    <row r="22276" spans="1:1" x14ac:dyDescent="0.25">
      <c r="A22276" t="s">
        <v>20942</v>
      </c>
    </row>
    <row r="22277" spans="1:1" x14ac:dyDescent="0.25">
      <c r="A22277" t="s">
        <v>20943</v>
      </c>
    </row>
    <row r="22278" spans="1:1" x14ac:dyDescent="0.25">
      <c r="A22278" t="s">
        <v>20944</v>
      </c>
    </row>
    <row r="22279" spans="1:1" x14ac:dyDescent="0.25">
      <c r="A22279" t="s">
        <v>20945</v>
      </c>
    </row>
    <row r="22280" spans="1:1" x14ac:dyDescent="0.25">
      <c r="A22280" t="s">
        <v>20946</v>
      </c>
    </row>
    <row r="22281" spans="1:1" x14ac:dyDescent="0.25">
      <c r="A22281" t="s">
        <v>20947</v>
      </c>
    </row>
    <row r="22282" spans="1:1" x14ac:dyDescent="0.25">
      <c r="A22282" t="s">
        <v>20948</v>
      </c>
    </row>
    <row r="22283" spans="1:1" x14ac:dyDescent="0.25">
      <c r="A22283" t="s">
        <v>20949</v>
      </c>
    </row>
    <row r="22284" spans="1:1" x14ac:dyDescent="0.25">
      <c r="A22284" t="s">
        <v>20950</v>
      </c>
    </row>
    <row r="22286" spans="1:1" x14ac:dyDescent="0.25">
      <c r="A22286" t="s">
        <v>20951</v>
      </c>
    </row>
    <row r="22287" spans="1:1" x14ac:dyDescent="0.25">
      <c r="A22287" t="s">
        <v>20952</v>
      </c>
    </row>
    <row r="22288" spans="1:1" x14ac:dyDescent="0.25">
      <c r="A22288" t="s">
        <v>20953</v>
      </c>
    </row>
    <row r="22289" spans="1:1" x14ac:dyDescent="0.25">
      <c r="A22289" t="s">
        <v>20954</v>
      </c>
    </row>
    <row r="22290" spans="1:1" x14ac:dyDescent="0.25">
      <c r="A22290" t="s">
        <v>20955</v>
      </c>
    </row>
    <row r="22291" spans="1:1" x14ac:dyDescent="0.25">
      <c r="A22291" t="s">
        <v>20956</v>
      </c>
    </row>
    <row r="22292" spans="1:1" x14ac:dyDescent="0.25">
      <c r="A22292" t="s">
        <v>20957</v>
      </c>
    </row>
    <row r="22293" spans="1:1" x14ac:dyDescent="0.25">
      <c r="A22293" t="s">
        <v>20958</v>
      </c>
    </row>
    <row r="22294" spans="1:1" x14ac:dyDescent="0.25">
      <c r="A22294" t="s">
        <v>20959</v>
      </c>
    </row>
    <row r="22295" spans="1:1" x14ac:dyDescent="0.25">
      <c r="A22295" t="s">
        <v>20960</v>
      </c>
    </row>
    <row r="22296" spans="1:1" x14ac:dyDescent="0.25">
      <c r="A22296" t="s">
        <v>20961</v>
      </c>
    </row>
    <row r="22297" spans="1:1" x14ac:dyDescent="0.25">
      <c r="A22297" t="s">
        <v>20962</v>
      </c>
    </row>
    <row r="22298" spans="1:1" x14ac:dyDescent="0.25">
      <c r="A22298" t="s">
        <v>20963</v>
      </c>
    </row>
    <row r="22299" spans="1:1" x14ac:dyDescent="0.25">
      <c r="A22299" t="s">
        <v>20964</v>
      </c>
    </row>
    <row r="22300" spans="1:1" x14ac:dyDescent="0.25">
      <c r="A22300" t="s">
        <v>20965</v>
      </c>
    </row>
    <row r="22301" spans="1:1" x14ac:dyDescent="0.25">
      <c r="A22301" t="s">
        <v>20966</v>
      </c>
    </row>
    <row r="22302" spans="1:1" x14ac:dyDescent="0.25">
      <c r="A22302" t="s">
        <v>20967</v>
      </c>
    </row>
    <row r="22303" spans="1:1" x14ac:dyDescent="0.25">
      <c r="A22303" t="s">
        <v>20968</v>
      </c>
    </row>
    <row r="22304" spans="1:1" x14ac:dyDescent="0.25">
      <c r="A22304" t="s">
        <v>20969</v>
      </c>
    </row>
    <row r="22305" spans="1:1" x14ac:dyDescent="0.25">
      <c r="A22305" t="s">
        <v>20970</v>
      </c>
    </row>
    <row r="22306" spans="1:1" x14ac:dyDescent="0.25">
      <c r="A22306" t="s">
        <v>20971</v>
      </c>
    </row>
    <row r="22307" spans="1:1" x14ac:dyDescent="0.25">
      <c r="A22307" t="s">
        <v>20972</v>
      </c>
    </row>
    <row r="22309" spans="1:1" x14ac:dyDescent="0.25">
      <c r="A22309" t="s">
        <v>20973</v>
      </c>
    </row>
    <row r="22311" spans="1:1" x14ac:dyDescent="0.25">
      <c r="A22311" t="s">
        <v>20974</v>
      </c>
    </row>
    <row r="22312" spans="1:1" x14ac:dyDescent="0.25">
      <c r="A22312" t="s">
        <v>15415</v>
      </c>
    </row>
    <row r="22313" spans="1:1" x14ac:dyDescent="0.25">
      <c r="A22313" t="s">
        <v>20975</v>
      </c>
    </row>
    <row r="22314" spans="1:1" x14ac:dyDescent="0.25">
      <c r="A22314" t="s">
        <v>20976</v>
      </c>
    </row>
    <row r="22315" spans="1:1" x14ac:dyDescent="0.25">
      <c r="A22315" t="s">
        <v>20977</v>
      </c>
    </row>
    <row r="22316" spans="1:1" x14ac:dyDescent="0.25">
      <c r="A22316" t="s">
        <v>20978</v>
      </c>
    </row>
    <row r="22317" spans="1:1" x14ac:dyDescent="0.25">
      <c r="A22317" t="s">
        <v>20979</v>
      </c>
    </row>
    <row r="22318" spans="1:1" x14ac:dyDescent="0.25">
      <c r="A22318" t="s">
        <v>20980</v>
      </c>
    </row>
    <row r="22319" spans="1:1" x14ac:dyDescent="0.25">
      <c r="A22319" t="s">
        <v>20981</v>
      </c>
    </row>
    <row r="22320" spans="1:1" x14ac:dyDescent="0.25">
      <c r="A22320" t="s">
        <v>20982</v>
      </c>
    </row>
    <row r="22321" spans="1:1" x14ac:dyDescent="0.25">
      <c r="A22321" t="s">
        <v>20983</v>
      </c>
    </row>
    <row r="22322" spans="1:1" x14ac:dyDescent="0.25">
      <c r="A22322" t="s">
        <v>20984</v>
      </c>
    </row>
    <row r="22323" spans="1:1" x14ac:dyDescent="0.25">
      <c r="A22323" t="s">
        <v>20985</v>
      </c>
    </row>
    <row r="22324" spans="1:1" x14ac:dyDescent="0.25">
      <c r="A22324" t="s">
        <v>20986</v>
      </c>
    </row>
    <row r="22325" spans="1:1" x14ac:dyDescent="0.25">
      <c r="A22325" t="s">
        <v>20987</v>
      </c>
    </row>
    <row r="22326" spans="1:1" x14ac:dyDescent="0.25">
      <c r="A22326" t="s">
        <v>20988</v>
      </c>
    </row>
    <row r="22327" spans="1:1" x14ac:dyDescent="0.25">
      <c r="A22327" t="s">
        <v>20989</v>
      </c>
    </row>
    <row r="22328" spans="1:1" x14ac:dyDescent="0.25">
      <c r="A22328" t="s">
        <v>20990</v>
      </c>
    </row>
    <row r="22329" spans="1:1" x14ac:dyDescent="0.25">
      <c r="A22329" t="s">
        <v>20991</v>
      </c>
    </row>
    <row r="22330" spans="1:1" x14ac:dyDescent="0.25">
      <c r="A22330" t="s">
        <v>20992</v>
      </c>
    </row>
    <row r="22331" spans="1:1" x14ac:dyDescent="0.25">
      <c r="A22331" t="s">
        <v>20993</v>
      </c>
    </row>
    <row r="22332" spans="1:1" x14ac:dyDescent="0.25">
      <c r="A22332" t="s">
        <v>20994</v>
      </c>
    </row>
    <row r="22333" spans="1:1" x14ac:dyDescent="0.25">
      <c r="A22333" t="s">
        <v>20995</v>
      </c>
    </row>
    <row r="22334" spans="1:1" x14ac:dyDescent="0.25">
      <c r="A22334" t="s">
        <v>20996</v>
      </c>
    </row>
    <row r="22335" spans="1:1" x14ac:dyDescent="0.25">
      <c r="A22335" t="s">
        <v>20997</v>
      </c>
    </row>
    <row r="22336" spans="1:1" x14ac:dyDescent="0.25">
      <c r="A22336" t="s">
        <v>20998</v>
      </c>
    </row>
    <row r="22337" spans="1:1" x14ac:dyDescent="0.25">
      <c r="A22337" t="s">
        <v>20999</v>
      </c>
    </row>
    <row r="22338" spans="1:1" x14ac:dyDescent="0.25">
      <c r="A22338" t="s">
        <v>21000</v>
      </c>
    </row>
    <row r="22339" spans="1:1" x14ac:dyDescent="0.25">
      <c r="A22339" t="s">
        <v>21001</v>
      </c>
    </row>
    <row r="22340" spans="1:1" x14ac:dyDescent="0.25">
      <c r="A22340" t="s">
        <v>21002</v>
      </c>
    </row>
    <row r="22341" spans="1:1" x14ac:dyDescent="0.25">
      <c r="A22341" t="s">
        <v>21003</v>
      </c>
    </row>
    <row r="22342" spans="1:1" x14ac:dyDescent="0.25">
      <c r="A22342" t="s">
        <v>21004</v>
      </c>
    </row>
    <row r="22343" spans="1:1" x14ac:dyDescent="0.25">
      <c r="A22343" t="s">
        <v>21005</v>
      </c>
    </row>
    <row r="22344" spans="1:1" x14ac:dyDescent="0.25">
      <c r="A22344" t="s">
        <v>21006</v>
      </c>
    </row>
    <row r="22345" spans="1:1" x14ac:dyDescent="0.25">
      <c r="A22345" t="s">
        <v>21007</v>
      </c>
    </row>
    <row r="22346" spans="1:1" x14ac:dyDescent="0.25">
      <c r="A22346" t="s">
        <v>21008</v>
      </c>
    </row>
    <row r="22347" spans="1:1" x14ac:dyDescent="0.25">
      <c r="A22347" t="s">
        <v>21009</v>
      </c>
    </row>
    <row r="22348" spans="1:1" x14ac:dyDescent="0.25">
      <c r="A22348" t="s">
        <v>21010</v>
      </c>
    </row>
    <row r="22349" spans="1:1" x14ac:dyDescent="0.25">
      <c r="A22349" t="s">
        <v>21011</v>
      </c>
    </row>
    <row r="22350" spans="1:1" x14ac:dyDescent="0.25">
      <c r="A22350" t="s">
        <v>21012</v>
      </c>
    </row>
    <row r="22351" spans="1:1" x14ac:dyDescent="0.25">
      <c r="A22351" t="s">
        <v>21013</v>
      </c>
    </row>
    <row r="22352" spans="1:1" x14ac:dyDescent="0.25">
      <c r="A22352" t="s">
        <v>21014</v>
      </c>
    </row>
    <row r="22353" spans="1:1" x14ac:dyDescent="0.25">
      <c r="A22353" t="s">
        <v>21015</v>
      </c>
    </row>
    <row r="22354" spans="1:1" x14ac:dyDescent="0.25">
      <c r="A22354" t="s">
        <v>21016</v>
      </c>
    </row>
    <row r="22355" spans="1:1" x14ac:dyDescent="0.25">
      <c r="A22355" t="s">
        <v>21017</v>
      </c>
    </row>
    <row r="22356" spans="1:1" x14ac:dyDescent="0.25">
      <c r="A22356" t="s">
        <v>21018</v>
      </c>
    </row>
    <row r="22357" spans="1:1" x14ac:dyDescent="0.25">
      <c r="A22357" t="s">
        <v>21019</v>
      </c>
    </row>
    <row r="22358" spans="1:1" x14ac:dyDescent="0.25">
      <c r="A22358" t="s">
        <v>21020</v>
      </c>
    </row>
    <row r="22359" spans="1:1" x14ac:dyDescent="0.25">
      <c r="A22359" t="s">
        <v>21021</v>
      </c>
    </row>
    <row r="22360" spans="1:1" x14ac:dyDescent="0.25">
      <c r="A22360" t="s">
        <v>21022</v>
      </c>
    </row>
    <row r="22361" spans="1:1" x14ac:dyDescent="0.25">
      <c r="A22361" t="s">
        <v>21023</v>
      </c>
    </row>
    <row r="22362" spans="1:1" x14ac:dyDescent="0.25">
      <c r="A22362" t="s">
        <v>21024</v>
      </c>
    </row>
    <row r="22363" spans="1:1" x14ac:dyDescent="0.25">
      <c r="A22363" t="s">
        <v>21025</v>
      </c>
    </row>
    <row r="22364" spans="1:1" x14ac:dyDescent="0.25">
      <c r="A22364" t="s">
        <v>21026</v>
      </c>
    </row>
    <row r="22365" spans="1:1" x14ac:dyDescent="0.25">
      <c r="A22365" t="s">
        <v>21027</v>
      </c>
    </row>
    <row r="22366" spans="1:1" x14ac:dyDescent="0.25">
      <c r="A22366" t="s">
        <v>21028</v>
      </c>
    </row>
    <row r="22367" spans="1:1" x14ac:dyDescent="0.25">
      <c r="A22367" t="s">
        <v>21029</v>
      </c>
    </row>
    <row r="22368" spans="1:1" x14ac:dyDescent="0.25">
      <c r="A22368" t="s">
        <v>21030</v>
      </c>
    </row>
    <row r="22369" spans="1:1" x14ac:dyDescent="0.25">
      <c r="A22369" t="s">
        <v>21031</v>
      </c>
    </row>
    <row r="22370" spans="1:1" x14ac:dyDescent="0.25">
      <c r="A22370" t="s">
        <v>21032</v>
      </c>
    </row>
    <row r="22371" spans="1:1" x14ac:dyDescent="0.25">
      <c r="A22371" t="s">
        <v>21033</v>
      </c>
    </row>
    <row r="22372" spans="1:1" x14ac:dyDescent="0.25">
      <c r="A22372" t="s">
        <v>21034</v>
      </c>
    </row>
    <row r="22373" spans="1:1" x14ac:dyDescent="0.25">
      <c r="A22373" t="s">
        <v>21035</v>
      </c>
    </row>
    <row r="22374" spans="1:1" x14ac:dyDescent="0.25">
      <c r="A22374" t="s">
        <v>21036</v>
      </c>
    </row>
    <row r="22375" spans="1:1" x14ac:dyDescent="0.25">
      <c r="A22375" t="s">
        <v>21037</v>
      </c>
    </row>
    <row r="22376" spans="1:1" x14ac:dyDescent="0.25">
      <c r="A22376" t="s">
        <v>21038</v>
      </c>
    </row>
    <row r="22377" spans="1:1" x14ac:dyDescent="0.25">
      <c r="A22377" t="s">
        <v>21039</v>
      </c>
    </row>
    <row r="22378" spans="1:1" x14ac:dyDescent="0.25">
      <c r="A22378" t="s">
        <v>21040</v>
      </c>
    </row>
    <row r="22379" spans="1:1" x14ac:dyDescent="0.25">
      <c r="A22379" t="s">
        <v>21041</v>
      </c>
    </row>
    <row r="22380" spans="1:1" x14ac:dyDescent="0.25">
      <c r="A22380" t="s">
        <v>21042</v>
      </c>
    </row>
    <row r="22381" spans="1:1" x14ac:dyDescent="0.25">
      <c r="A22381" t="s">
        <v>21043</v>
      </c>
    </row>
    <row r="22382" spans="1:1" x14ac:dyDescent="0.25">
      <c r="A22382" t="s">
        <v>21044</v>
      </c>
    </row>
    <row r="22383" spans="1:1" x14ac:dyDescent="0.25">
      <c r="A22383" t="s">
        <v>21045</v>
      </c>
    </row>
    <row r="22384" spans="1:1" x14ac:dyDescent="0.25">
      <c r="A22384" t="s">
        <v>21046</v>
      </c>
    </row>
    <row r="22385" spans="1:1" x14ac:dyDescent="0.25">
      <c r="A22385" t="s">
        <v>21047</v>
      </c>
    </row>
    <row r="22386" spans="1:1" x14ac:dyDescent="0.25">
      <c r="A22386" t="s">
        <v>21048</v>
      </c>
    </row>
    <row r="22387" spans="1:1" x14ac:dyDescent="0.25">
      <c r="A22387" t="s">
        <v>21049</v>
      </c>
    </row>
    <row r="22388" spans="1:1" x14ac:dyDescent="0.25">
      <c r="A22388" t="s">
        <v>21050</v>
      </c>
    </row>
    <row r="22389" spans="1:1" x14ac:dyDescent="0.25">
      <c r="A22389" t="s">
        <v>21051</v>
      </c>
    </row>
    <row r="22390" spans="1:1" x14ac:dyDescent="0.25">
      <c r="A22390" t="s">
        <v>21052</v>
      </c>
    </row>
    <row r="22391" spans="1:1" x14ac:dyDescent="0.25">
      <c r="A22391" t="s">
        <v>21053</v>
      </c>
    </row>
    <row r="22392" spans="1:1" x14ac:dyDescent="0.25">
      <c r="A22392" t="s">
        <v>21054</v>
      </c>
    </row>
    <row r="22393" spans="1:1" x14ac:dyDescent="0.25">
      <c r="A22393" t="s">
        <v>21055</v>
      </c>
    </row>
    <row r="22394" spans="1:1" x14ac:dyDescent="0.25">
      <c r="A22394" t="s">
        <v>21056</v>
      </c>
    </row>
    <row r="22395" spans="1:1" x14ac:dyDescent="0.25">
      <c r="A22395" t="s">
        <v>21057</v>
      </c>
    </row>
    <row r="22396" spans="1:1" x14ac:dyDescent="0.25">
      <c r="A22396" t="s">
        <v>21058</v>
      </c>
    </row>
    <row r="22397" spans="1:1" x14ac:dyDescent="0.25">
      <c r="A22397" t="s">
        <v>21059</v>
      </c>
    </row>
    <row r="22398" spans="1:1" x14ac:dyDescent="0.25">
      <c r="A22398" t="s">
        <v>21060</v>
      </c>
    </row>
    <row r="22399" spans="1:1" x14ac:dyDescent="0.25">
      <c r="A22399" t="s">
        <v>21061</v>
      </c>
    </row>
    <row r="22400" spans="1:1" x14ac:dyDescent="0.25">
      <c r="A22400" t="s">
        <v>21062</v>
      </c>
    </row>
    <row r="22401" spans="1:1" x14ac:dyDescent="0.25">
      <c r="A22401" t="s">
        <v>21063</v>
      </c>
    </row>
    <row r="22402" spans="1:1" x14ac:dyDescent="0.25">
      <c r="A22402" t="s">
        <v>21064</v>
      </c>
    </row>
    <row r="22403" spans="1:1" x14ac:dyDescent="0.25">
      <c r="A22403" t="s">
        <v>21065</v>
      </c>
    </row>
    <row r="22404" spans="1:1" x14ac:dyDescent="0.25">
      <c r="A22404" t="s">
        <v>21066</v>
      </c>
    </row>
    <row r="22405" spans="1:1" x14ac:dyDescent="0.25">
      <c r="A22405" t="s">
        <v>21067</v>
      </c>
    </row>
    <row r="22406" spans="1:1" x14ac:dyDescent="0.25">
      <c r="A22406" t="s">
        <v>21068</v>
      </c>
    </row>
    <row r="22407" spans="1:1" x14ac:dyDescent="0.25">
      <c r="A22407" t="s">
        <v>21069</v>
      </c>
    </row>
    <row r="22408" spans="1:1" x14ac:dyDescent="0.25">
      <c r="A22408" t="s">
        <v>21070</v>
      </c>
    </row>
    <row r="22409" spans="1:1" x14ac:dyDescent="0.25">
      <c r="A22409" t="s">
        <v>21071</v>
      </c>
    </row>
    <row r="22410" spans="1:1" x14ac:dyDescent="0.25">
      <c r="A22410" t="s">
        <v>21072</v>
      </c>
    </row>
    <row r="22411" spans="1:1" x14ac:dyDescent="0.25">
      <c r="A22411" t="s">
        <v>21073</v>
      </c>
    </row>
    <row r="22412" spans="1:1" x14ac:dyDescent="0.25">
      <c r="A22412" t="s">
        <v>21074</v>
      </c>
    </row>
    <row r="22413" spans="1:1" x14ac:dyDescent="0.25">
      <c r="A22413" t="s">
        <v>21075</v>
      </c>
    </row>
    <row r="22414" spans="1:1" x14ac:dyDescent="0.25">
      <c r="A22414" t="s">
        <v>21076</v>
      </c>
    </row>
    <row r="22415" spans="1:1" x14ac:dyDescent="0.25">
      <c r="A22415" t="s">
        <v>21077</v>
      </c>
    </row>
    <row r="22416" spans="1:1" x14ac:dyDescent="0.25">
      <c r="A22416" t="s">
        <v>21078</v>
      </c>
    </row>
    <row r="22417" spans="1:1" x14ac:dyDescent="0.25">
      <c r="A22417" t="s">
        <v>21079</v>
      </c>
    </row>
    <row r="22418" spans="1:1" x14ac:dyDescent="0.25">
      <c r="A22418" t="s">
        <v>21080</v>
      </c>
    </row>
    <row r="22419" spans="1:1" x14ac:dyDescent="0.25">
      <c r="A22419" t="s">
        <v>21081</v>
      </c>
    </row>
    <row r="22420" spans="1:1" x14ac:dyDescent="0.25">
      <c r="A22420" t="s">
        <v>21082</v>
      </c>
    </row>
    <row r="22421" spans="1:1" x14ac:dyDescent="0.25">
      <c r="A22421" t="s">
        <v>21083</v>
      </c>
    </row>
    <row r="22422" spans="1:1" x14ac:dyDescent="0.25">
      <c r="A22422" t="s">
        <v>21084</v>
      </c>
    </row>
    <row r="22423" spans="1:1" x14ac:dyDescent="0.25">
      <c r="A22423" t="s">
        <v>21085</v>
      </c>
    </row>
    <row r="22424" spans="1:1" x14ac:dyDescent="0.25">
      <c r="A22424" t="s">
        <v>21086</v>
      </c>
    </row>
    <row r="22425" spans="1:1" x14ac:dyDescent="0.25">
      <c r="A22425" t="s">
        <v>21087</v>
      </c>
    </row>
    <row r="22426" spans="1:1" x14ac:dyDescent="0.25">
      <c r="A22426" t="s">
        <v>21088</v>
      </c>
    </row>
    <row r="22427" spans="1:1" x14ac:dyDescent="0.25">
      <c r="A22427" t="s">
        <v>21089</v>
      </c>
    </row>
    <row r="22428" spans="1:1" x14ac:dyDescent="0.25">
      <c r="A22428" t="s">
        <v>21090</v>
      </c>
    </row>
    <row r="22429" spans="1:1" x14ac:dyDescent="0.25">
      <c r="A22429" t="s">
        <v>21091</v>
      </c>
    </row>
    <row r="22430" spans="1:1" x14ac:dyDescent="0.25">
      <c r="A22430" t="s">
        <v>21092</v>
      </c>
    </row>
    <row r="22431" spans="1:1" x14ac:dyDescent="0.25">
      <c r="A22431" t="s">
        <v>21093</v>
      </c>
    </row>
    <row r="22432" spans="1:1" x14ac:dyDescent="0.25">
      <c r="A22432" t="s">
        <v>21094</v>
      </c>
    </row>
    <row r="22433" spans="1:1" x14ac:dyDescent="0.25">
      <c r="A22433" t="s">
        <v>21095</v>
      </c>
    </row>
    <row r="22434" spans="1:1" x14ac:dyDescent="0.25">
      <c r="A22434" t="s">
        <v>21096</v>
      </c>
    </row>
    <row r="22435" spans="1:1" x14ac:dyDescent="0.25">
      <c r="A22435" t="s">
        <v>21097</v>
      </c>
    </row>
    <row r="22436" spans="1:1" x14ac:dyDescent="0.25">
      <c r="A22436" t="s">
        <v>21098</v>
      </c>
    </row>
    <row r="22437" spans="1:1" x14ac:dyDescent="0.25">
      <c r="A22437" t="s">
        <v>21099</v>
      </c>
    </row>
    <row r="22438" spans="1:1" x14ac:dyDescent="0.25">
      <c r="A22438" t="s">
        <v>21100</v>
      </c>
    </row>
    <row r="22439" spans="1:1" x14ac:dyDescent="0.25">
      <c r="A22439" t="s">
        <v>21101</v>
      </c>
    </row>
    <row r="22440" spans="1:1" x14ac:dyDescent="0.25">
      <c r="A22440" t="s">
        <v>21102</v>
      </c>
    </row>
    <row r="22441" spans="1:1" x14ac:dyDescent="0.25">
      <c r="A22441" t="s">
        <v>21103</v>
      </c>
    </row>
    <row r="22442" spans="1:1" x14ac:dyDescent="0.25">
      <c r="A22442" t="s">
        <v>21104</v>
      </c>
    </row>
    <row r="22443" spans="1:1" x14ac:dyDescent="0.25">
      <c r="A22443" t="s">
        <v>21105</v>
      </c>
    </row>
    <row r="22444" spans="1:1" x14ac:dyDescent="0.25">
      <c r="A22444" t="s">
        <v>21106</v>
      </c>
    </row>
    <row r="22445" spans="1:1" x14ac:dyDescent="0.25">
      <c r="A22445" t="s">
        <v>21107</v>
      </c>
    </row>
    <row r="22446" spans="1:1" x14ac:dyDescent="0.25">
      <c r="A22446" t="s">
        <v>21108</v>
      </c>
    </row>
    <row r="22447" spans="1:1" x14ac:dyDescent="0.25">
      <c r="A22447" t="s">
        <v>21109</v>
      </c>
    </row>
    <row r="22448" spans="1:1" x14ac:dyDescent="0.25">
      <c r="A22448" t="s">
        <v>21110</v>
      </c>
    </row>
    <row r="22449" spans="1:1" x14ac:dyDescent="0.25">
      <c r="A22449" t="s">
        <v>21111</v>
      </c>
    </row>
    <row r="22450" spans="1:1" x14ac:dyDescent="0.25">
      <c r="A22450" t="s">
        <v>21112</v>
      </c>
    </row>
    <row r="22451" spans="1:1" x14ac:dyDescent="0.25">
      <c r="A22451" t="s">
        <v>21113</v>
      </c>
    </row>
    <row r="22452" spans="1:1" x14ac:dyDescent="0.25">
      <c r="A22452" t="s">
        <v>21114</v>
      </c>
    </row>
    <row r="22453" spans="1:1" x14ac:dyDescent="0.25">
      <c r="A22453" t="s">
        <v>21115</v>
      </c>
    </row>
    <row r="22454" spans="1:1" x14ac:dyDescent="0.25">
      <c r="A22454" t="s">
        <v>21116</v>
      </c>
    </row>
    <row r="22455" spans="1:1" x14ac:dyDescent="0.25">
      <c r="A22455" t="s">
        <v>21117</v>
      </c>
    </row>
    <row r="22456" spans="1:1" x14ac:dyDescent="0.25">
      <c r="A22456" t="s">
        <v>21118</v>
      </c>
    </row>
    <row r="22457" spans="1:1" x14ac:dyDescent="0.25">
      <c r="A22457" t="s">
        <v>21119</v>
      </c>
    </row>
    <row r="22458" spans="1:1" x14ac:dyDescent="0.25">
      <c r="A22458" t="s">
        <v>21120</v>
      </c>
    </row>
    <row r="22459" spans="1:1" x14ac:dyDescent="0.25">
      <c r="A22459" t="s">
        <v>21121</v>
      </c>
    </row>
    <row r="22460" spans="1:1" x14ac:dyDescent="0.25">
      <c r="A22460" t="s">
        <v>21122</v>
      </c>
    </row>
    <row r="22461" spans="1:1" x14ac:dyDescent="0.25">
      <c r="A22461" t="s">
        <v>21123</v>
      </c>
    </row>
    <row r="22462" spans="1:1" x14ac:dyDescent="0.25">
      <c r="A22462" t="s">
        <v>21124</v>
      </c>
    </row>
    <row r="22463" spans="1:1" x14ac:dyDescent="0.25">
      <c r="A22463" t="s">
        <v>21125</v>
      </c>
    </row>
    <row r="22464" spans="1:1" x14ac:dyDescent="0.25">
      <c r="A22464" t="s">
        <v>21126</v>
      </c>
    </row>
    <row r="22465" spans="1:1" x14ac:dyDescent="0.25">
      <c r="A22465" t="s">
        <v>21127</v>
      </c>
    </row>
    <row r="22466" spans="1:1" x14ac:dyDescent="0.25">
      <c r="A22466" t="s">
        <v>21128</v>
      </c>
    </row>
    <row r="22467" spans="1:1" x14ac:dyDescent="0.25">
      <c r="A22467" t="s">
        <v>21129</v>
      </c>
    </row>
    <row r="22468" spans="1:1" x14ac:dyDescent="0.25">
      <c r="A22468" t="s">
        <v>21130</v>
      </c>
    </row>
    <row r="22470" spans="1:1" x14ac:dyDescent="0.25">
      <c r="A22470" t="s">
        <v>21131</v>
      </c>
    </row>
    <row r="22471" spans="1:1" x14ac:dyDescent="0.25">
      <c r="A22471" t="s">
        <v>21132</v>
      </c>
    </row>
    <row r="22472" spans="1:1" x14ac:dyDescent="0.25">
      <c r="A22472" t="s">
        <v>21133</v>
      </c>
    </row>
    <row r="22473" spans="1:1" x14ac:dyDescent="0.25">
      <c r="A22473" t="s">
        <v>21134</v>
      </c>
    </row>
    <row r="22474" spans="1:1" x14ac:dyDescent="0.25">
      <c r="A22474" t="s">
        <v>21135</v>
      </c>
    </row>
    <row r="22475" spans="1:1" x14ac:dyDescent="0.25">
      <c r="A22475" t="s">
        <v>21136</v>
      </c>
    </row>
    <row r="22476" spans="1:1" x14ac:dyDescent="0.25">
      <c r="A22476" t="s">
        <v>21137</v>
      </c>
    </row>
    <row r="22477" spans="1:1" x14ac:dyDescent="0.25">
      <c r="A22477" t="s">
        <v>21138</v>
      </c>
    </row>
    <row r="22478" spans="1:1" x14ac:dyDescent="0.25">
      <c r="A22478" t="s">
        <v>21139</v>
      </c>
    </row>
    <row r="22479" spans="1:1" x14ac:dyDescent="0.25">
      <c r="A22479" t="s">
        <v>21140</v>
      </c>
    </row>
    <row r="22480" spans="1:1" x14ac:dyDescent="0.25">
      <c r="A22480" t="s">
        <v>21141</v>
      </c>
    </row>
    <row r="22481" spans="1:1" x14ac:dyDescent="0.25">
      <c r="A22481" t="s">
        <v>21142</v>
      </c>
    </row>
    <row r="22482" spans="1:1" x14ac:dyDescent="0.25">
      <c r="A22482" t="s">
        <v>21143</v>
      </c>
    </row>
    <row r="22483" spans="1:1" x14ac:dyDescent="0.25">
      <c r="A22483" t="s">
        <v>21144</v>
      </c>
    </row>
    <row r="22484" spans="1:1" x14ac:dyDescent="0.25">
      <c r="A22484" t="s">
        <v>21145</v>
      </c>
    </row>
    <row r="22485" spans="1:1" x14ac:dyDescent="0.25">
      <c r="A22485" t="s">
        <v>21146</v>
      </c>
    </row>
    <row r="22486" spans="1:1" x14ac:dyDescent="0.25">
      <c r="A22486" t="s">
        <v>21147</v>
      </c>
    </row>
    <row r="22487" spans="1:1" x14ac:dyDescent="0.25">
      <c r="A22487" t="s">
        <v>21148</v>
      </c>
    </row>
    <row r="22488" spans="1:1" x14ac:dyDescent="0.25">
      <c r="A22488" t="s">
        <v>21149</v>
      </c>
    </row>
    <row r="22489" spans="1:1" x14ac:dyDescent="0.25">
      <c r="A22489" t="s">
        <v>21150</v>
      </c>
    </row>
    <row r="22490" spans="1:1" x14ac:dyDescent="0.25">
      <c r="A22490" t="s">
        <v>21151</v>
      </c>
    </row>
    <row r="22491" spans="1:1" x14ac:dyDescent="0.25">
      <c r="A22491" t="s">
        <v>21152</v>
      </c>
    </row>
    <row r="22492" spans="1:1" x14ac:dyDescent="0.25">
      <c r="A22492" t="s">
        <v>21153</v>
      </c>
    </row>
    <row r="22493" spans="1:1" x14ac:dyDescent="0.25">
      <c r="A22493" t="s">
        <v>21154</v>
      </c>
    </row>
    <row r="22494" spans="1:1" x14ac:dyDescent="0.25">
      <c r="A22494" t="s">
        <v>21155</v>
      </c>
    </row>
    <row r="22495" spans="1:1" x14ac:dyDescent="0.25">
      <c r="A22495" t="s">
        <v>21156</v>
      </c>
    </row>
    <row r="22496" spans="1:1" x14ac:dyDescent="0.25">
      <c r="A22496" t="s">
        <v>21157</v>
      </c>
    </row>
    <row r="22497" spans="1:1" x14ac:dyDescent="0.25">
      <c r="A22497" t="s">
        <v>21158</v>
      </c>
    </row>
    <row r="22498" spans="1:1" x14ac:dyDescent="0.25">
      <c r="A22498" t="s">
        <v>21159</v>
      </c>
    </row>
    <row r="22499" spans="1:1" x14ac:dyDescent="0.25">
      <c r="A22499" t="s">
        <v>21160</v>
      </c>
    </row>
    <row r="22500" spans="1:1" x14ac:dyDescent="0.25">
      <c r="A22500" t="s">
        <v>21161</v>
      </c>
    </row>
    <row r="22501" spans="1:1" x14ac:dyDescent="0.25">
      <c r="A22501" t="s">
        <v>21162</v>
      </c>
    </row>
    <row r="22502" spans="1:1" x14ac:dyDescent="0.25">
      <c r="A22502" t="s">
        <v>21163</v>
      </c>
    </row>
    <row r="22503" spans="1:1" x14ac:dyDescent="0.25">
      <c r="A22503" t="s">
        <v>21164</v>
      </c>
    </row>
    <row r="22504" spans="1:1" x14ac:dyDescent="0.25">
      <c r="A22504" t="s">
        <v>21165</v>
      </c>
    </row>
    <row r="22505" spans="1:1" x14ac:dyDescent="0.25">
      <c r="A22505" t="s">
        <v>21166</v>
      </c>
    </row>
    <row r="22506" spans="1:1" x14ac:dyDescent="0.25">
      <c r="A22506" t="s">
        <v>21167</v>
      </c>
    </row>
    <row r="22507" spans="1:1" x14ac:dyDescent="0.25">
      <c r="A22507" t="s">
        <v>21168</v>
      </c>
    </row>
    <row r="22508" spans="1:1" x14ac:dyDescent="0.25">
      <c r="A22508" t="s">
        <v>21169</v>
      </c>
    </row>
    <row r="22509" spans="1:1" x14ac:dyDescent="0.25">
      <c r="A22509" t="s">
        <v>21170</v>
      </c>
    </row>
    <row r="22510" spans="1:1" x14ac:dyDescent="0.25">
      <c r="A22510" t="s">
        <v>21171</v>
      </c>
    </row>
    <row r="22511" spans="1:1" x14ac:dyDescent="0.25">
      <c r="A22511" t="s">
        <v>21172</v>
      </c>
    </row>
    <row r="22512" spans="1:1" x14ac:dyDescent="0.25">
      <c r="A22512" t="s">
        <v>21173</v>
      </c>
    </row>
    <row r="22513" spans="1:1" x14ac:dyDescent="0.25">
      <c r="A22513" t="s">
        <v>21174</v>
      </c>
    </row>
    <row r="22514" spans="1:1" x14ac:dyDescent="0.25">
      <c r="A22514" t="s">
        <v>21175</v>
      </c>
    </row>
    <row r="22515" spans="1:1" x14ac:dyDescent="0.25">
      <c r="A22515" t="s">
        <v>21176</v>
      </c>
    </row>
    <row r="22516" spans="1:1" x14ac:dyDescent="0.25">
      <c r="A22516" t="s">
        <v>21177</v>
      </c>
    </row>
    <row r="22517" spans="1:1" x14ac:dyDescent="0.25">
      <c r="A22517" t="s">
        <v>21178</v>
      </c>
    </row>
    <row r="22518" spans="1:1" x14ac:dyDescent="0.25">
      <c r="A22518" t="s">
        <v>21179</v>
      </c>
    </row>
    <row r="22519" spans="1:1" x14ac:dyDescent="0.25">
      <c r="A22519" t="s">
        <v>21180</v>
      </c>
    </row>
    <row r="22520" spans="1:1" x14ac:dyDescent="0.25">
      <c r="A22520" t="s">
        <v>21181</v>
      </c>
    </row>
    <row r="22521" spans="1:1" x14ac:dyDescent="0.25">
      <c r="A22521" t="s">
        <v>21182</v>
      </c>
    </row>
    <row r="22522" spans="1:1" x14ac:dyDescent="0.25">
      <c r="A22522" t="s">
        <v>21183</v>
      </c>
    </row>
    <row r="22523" spans="1:1" x14ac:dyDescent="0.25">
      <c r="A22523" t="s">
        <v>21184</v>
      </c>
    </row>
    <row r="22524" spans="1:1" x14ac:dyDescent="0.25">
      <c r="A22524" t="s">
        <v>21185</v>
      </c>
    </row>
    <row r="22525" spans="1:1" x14ac:dyDescent="0.25">
      <c r="A22525" t="s">
        <v>21186</v>
      </c>
    </row>
    <row r="22526" spans="1:1" x14ac:dyDescent="0.25">
      <c r="A22526" t="s">
        <v>21187</v>
      </c>
    </row>
    <row r="22527" spans="1:1" x14ac:dyDescent="0.25">
      <c r="A22527" t="s">
        <v>21188</v>
      </c>
    </row>
    <row r="22528" spans="1:1" x14ac:dyDescent="0.25">
      <c r="A22528" t="s">
        <v>21189</v>
      </c>
    </row>
    <row r="22529" spans="1:1" x14ac:dyDescent="0.25">
      <c r="A22529" t="s">
        <v>21190</v>
      </c>
    </row>
    <row r="22530" spans="1:1" x14ac:dyDescent="0.25">
      <c r="A22530" t="s">
        <v>21191</v>
      </c>
    </row>
    <row r="22531" spans="1:1" x14ac:dyDescent="0.25">
      <c r="A22531" t="s">
        <v>21192</v>
      </c>
    </row>
    <row r="22532" spans="1:1" x14ac:dyDescent="0.25">
      <c r="A22532" t="s">
        <v>21193</v>
      </c>
    </row>
    <row r="22533" spans="1:1" x14ac:dyDescent="0.25">
      <c r="A22533" t="s">
        <v>21194</v>
      </c>
    </row>
    <row r="22534" spans="1:1" x14ac:dyDescent="0.25">
      <c r="A22534" t="s">
        <v>21195</v>
      </c>
    </row>
    <row r="22535" spans="1:1" x14ac:dyDescent="0.25">
      <c r="A22535" t="s">
        <v>21196</v>
      </c>
    </row>
    <row r="22536" spans="1:1" x14ac:dyDescent="0.25">
      <c r="A22536" t="s">
        <v>21197</v>
      </c>
    </row>
    <row r="22537" spans="1:1" x14ac:dyDescent="0.25">
      <c r="A22537" t="s">
        <v>21198</v>
      </c>
    </row>
    <row r="22538" spans="1:1" x14ac:dyDescent="0.25">
      <c r="A22538" t="s">
        <v>21199</v>
      </c>
    </row>
    <row r="22539" spans="1:1" x14ac:dyDescent="0.25">
      <c r="A22539" t="s">
        <v>21200</v>
      </c>
    </row>
    <row r="22540" spans="1:1" x14ac:dyDescent="0.25">
      <c r="A22540" t="s">
        <v>21201</v>
      </c>
    </row>
    <row r="22541" spans="1:1" x14ac:dyDescent="0.25">
      <c r="A22541" t="s">
        <v>21202</v>
      </c>
    </row>
    <row r="22542" spans="1:1" x14ac:dyDescent="0.25">
      <c r="A22542" t="s">
        <v>21203</v>
      </c>
    </row>
    <row r="22543" spans="1:1" x14ac:dyDescent="0.25">
      <c r="A22543" t="s">
        <v>21204</v>
      </c>
    </row>
    <row r="22545" spans="1:1" x14ac:dyDescent="0.25">
      <c r="A22545" t="s">
        <v>21205</v>
      </c>
    </row>
    <row r="22546" spans="1:1" x14ac:dyDescent="0.25">
      <c r="A22546" t="s">
        <v>21206</v>
      </c>
    </row>
    <row r="22547" spans="1:1" x14ac:dyDescent="0.25">
      <c r="A22547" t="s">
        <v>21207</v>
      </c>
    </row>
    <row r="22548" spans="1:1" x14ac:dyDescent="0.25">
      <c r="A22548" t="s">
        <v>21208</v>
      </c>
    </row>
    <row r="22549" spans="1:1" x14ac:dyDescent="0.25">
      <c r="A22549" t="s">
        <v>21209</v>
      </c>
    </row>
    <row r="22550" spans="1:1" x14ac:dyDescent="0.25">
      <c r="A22550" t="s">
        <v>21210</v>
      </c>
    </row>
    <row r="22551" spans="1:1" x14ac:dyDescent="0.25">
      <c r="A22551" t="s">
        <v>21211</v>
      </c>
    </row>
    <row r="22552" spans="1:1" x14ac:dyDescent="0.25">
      <c r="A22552" t="s">
        <v>21212</v>
      </c>
    </row>
    <row r="22554" spans="1:1" x14ac:dyDescent="0.25">
      <c r="A22554" t="s">
        <v>21213</v>
      </c>
    </row>
    <row r="22555" spans="1:1" x14ac:dyDescent="0.25">
      <c r="A22555" t="s">
        <v>21214</v>
      </c>
    </row>
    <row r="22556" spans="1:1" x14ac:dyDescent="0.25">
      <c r="A22556" t="s">
        <v>21215</v>
      </c>
    </row>
    <row r="22557" spans="1:1" x14ac:dyDescent="0.25">
      <c r="A22557" t="s">
        <v>21216</v>
      </c>
    </row>
    <row r="22558" spans="1:1" x14ac:dyDescent="0.25">
      <c r="A22558" t="s">
        <v>21217</v>
      </c>
    </row>
    <row r="22559" spans="1:1" x14ac:dyDescent="0.25">
      <c r="A22559" t="s">
        <v>21218</v>
      </c>
    </row>
    <row r="22560" spans="1:1" x14ac:dyDescent="0.25">
      <c r="A22560" t="s">
        <v>21219</v>
      </c>
    </row>
    <row r="22561" spans="1:1" x14ac:dyDescent="0.25">
      <c r="A22561" t="s">
        <v>21220</v>
      </c>
    </row>
    <row r="22562" spans="1:1" x14ac:dyDescent="0.25">
      <c r="A22562" t="s">
        <v>21221</v>
      </c>
    </row>
    <row r="22563" spans="1:1" x14ac:dyDescent="0.25">
      <c r="A22563" t="s">
        <v>21222</v>
      </c>
    </row>
    <row r="22564" spans="1:1" x14ac:dyDescent="0.25">
      <c r="A22564" t="s">
        <v>21223</v>
      </c>
    </row>
    <row r="22565" spans="1:1" x14ac:dyDescent="0.25">
      <c r="A22565" t="s">
        <v>21224</v>
      </c>
    </row>
    <row r="22566" spans="1:1" x14ac:dyDescent="0.25">
      <c r="A22566" t="s">
        <v>21225</v>
      </c>
    </row>
    <row r="22567" spans="1:1" x14ac:dyDescent="0.25">
      <c r="A22567" t="s">
        <v>21226</v>
      </c>
    </row>
    <row r="22568" spans="1:1" x14ac:dyDescent="0.25">
      <c r="A22568" t="s">
        <v>21227</v>
      </c>
    </row>
    <row r="22569" spans="1:1" x14ac:dyDescent="0.25">
      <c r="A22569" t="s">
        <v>21228</v>
      </c>
    </row>
    <row r="22570" spans="1:1" x14ac:dyDescent="0.25">
      <c r="A22570" t="s">
        <v>21229</v>
      </c>
    </row>
    <row r="22571" spans="1:1" x14ac:dyDescent="0.25">
      <c r="A22571" t="s">
        <v>21230</v>
      </c>
    </row>
    <row r="22572" spans="1:1" x14ac:dyDescent="0.25">
      <c r="A22572" t="s">
        <v>21231</v>
      </c>
    </row>
    <row r="22573" spans="1:1" x14ac:dyDescent="0.25">
      <c r="A22573" t="s">
        <v>21232</v>
      </c>
    </row>
    <row r="22574" spans="1:1" x14ac:dyDescent="0.25">
      <c r="A22574" t="s">
        <v>21233</v>
      </c>
    </row>
    <row r="22575" spans="1:1" x14ac:dyDescent="0.25">
      <c r="A22575" t="s">
        <v>21234</v>
      </c>
    </row>
    <row r="22576" spans="1:1" x14ac:dyDescent="0.25">
      <c r="A22576" t="s">
        <v>21235</v>
      </c>
    </row>
    <row r="22577" spans="1:1" x14ac:dyDescent="0.25">
      <c r="A22577" t="s">
        <v>21236</v>
      </c>
    </row>
    <row r="22578" spans="1:1" x14ac:dyDescent="0.25">
      <c r="A22578" t="s">
        <v>21237</v>
      </c>
    </row>
    <row r="22579" spans="1:1" x14ac:dyDescent="0.25">
      <c r="A22579" t="s">
        <v>21238</v>
      </c>
    </row>
    <row r="22580" spans="1:1" x14ac:dyDescent="0.25">
      <c r="A22580" t="s">
        <v>21239</v>
      </c>
    </row>
    <row r="22581" spans="1:1" x14ac:dyDescent="0.25">
      <c r="A22581" t="s">
        <v>21240</v>
      </c>
    </row>
    <row r="22582" spans="1:1" x14ac:dyDescent="0.25">
      <c r="A22582" t="s">
        <v>21241</v>
      </c>
    </row>
    <row r="22583" spans="1:1" x14ac:dyDescent="0.25">
      <c r="A22583" t="s">
        <v>21242</v>
      </c>
    </row>
    <row r="22584" spans="1:1" x14ac:dyDescent="0.25">
      <c r="A22584" t="s">
        <v>21243</v>
      </c>
    </row>
    <row r="22585" spans="1:1" x14ac:dyDescent="0.25">
      <c r="A22585" t="s">
        <v>21244</v>
      </c>
    </row>
    <row r="22586" spans="1:1" x14ac:dyDescent="0.25">
      <c r="A22586" t="s">
        <v>21245</v>
      </c>
    </row>
    <row r="22587" spans="1:1" x14ac:dyDescent="0.25">
      <c r="A22587" t="s">
        <v>21246</v>
      </c>
    </row>
    <row r="22588" spans="1:1" x14ac:dyDescent="0.25">
      <c r="A22588" t="s">
        <v>21247</v>
      </c>
    </row>
    <row r="22589" spans="1:1" x14ac:dyDescent="0.25">
      <c r="A22589" t="s">
        <v>21248</v>
      </c>
    </row>
    <row r="22590" spans="1:1" x14ac:dyDescent="0.25">
      <c r="A22590" t="s">
        <v>21249</v>
      </c>
    </row>
    <row r="22591" spans="1:1" x14ac:dyDescent="0.25">
      <c r="A22591" t="s">
        <v>21250</v>
      </c>
    </row>
    <row r="22592" spans="1:1" x14ac:dyDescent="0.25">
      <c r="A22592" t="s">
        <v>21251</v>
      </c>
    </row>
    <row r="22593" spans="1:1" x14ac:dyDescent="0.25">
      <c r="A22593" t="s">
        <v>21252</v>
      </c>
    </row>
    <row r="22594" spans="1:1" x14ac:dyDescent="0.25">
      <c r="A22594" t="s">
        <v>21253</v>
      </c>
    </row>
    <row r="22595" spans="1:1" x14ac:dyDescent="0.25">
      <c r="A22595" t="s">
        <v>21254</v>
      </c>
    </row>
    <row r="22596" spans="1:1" x14ac:dyDescent="0.25">
      <c r="A22596" t="s">
        <v>21255</v>
      </c>
    </row>
    <row r="22597" spans="1:1" x14ac:dyDescent="0.25">
      <c r="A22597" t="s">
        <v>21256</v>
      </c>
    </row>
    <row r="22598" spans="1:1" x14ac:dyDescent="0.25">
      <c r="A22598" t="s">
        <v>21257</v>
      </c>
    </row>
    <row r="22599" spans="1:1" x14ac:dyDescent="0.25">
      <c r="A22599" t="s">
        <v>21258</v>
      </c>
    </row>
    <row r="22600" spans="1:1" x14ac:dyDescent="0.25">
      <c r="A22600" t="s">
        <v>21259</v>
      </c>
    </row>
    <row r="22601" spans="1:1" x14ac:dyDescent="0.25">
      <c r="A22601" t="s">
        <v>21260</v>
      </c>
    </row>
    <row r="22602" spans="1:1" x14ac:dyDescent="0.25">
      <c r="A22602" t="s">
        <v>21261</v>
      </c>
    </row>
    <row r="22603" spans="1:1" x14ac:dyDescent="0.25">
      <c r="A22603" t="s">
        <v>21262</v>
      </c>
    </row>
    <row r="22604" spans="1:1" x14ac:dyDescent="0.25">
      <c r="A22604" t="s">
        <v>21263</v>
      </c>
    </row>
    <row r="22605" spans="1:1" x14ac:dyDescent="0.25">
      <c r="A22605" t="s">
        <v>21264</v>
      </c>
    </row>
    <row r="22606" spans="1:1" x14ac:dyDescent="0.25">
      <c r="A22606" t="s">
        <v>21265</v>
      </c>
    </row>
    <row r="22607" spans="1:1" x14ac:dyDescent="0.25">
      <c r="A22607" t="s">
        <v>21266</v>
      </c>
    </row>
    <row r="22608" spans="1:1" x14ac:dyDescent="0.25">
      <c r="A22608" t="s">
        <v>21267</v>
      </c>
    </row>
    <row r="22609" spans="1:1" x14ac:dyDescent="0.25">
      <c r="A22609" t="s">
        <v>21268</v>
      </c>
    </row>
    <row r="22610" spans="1:1" x14ac:dyDescent="0.25">
      <c r="A22610" t="s">
        <v>21269</v>
      </c>
    </row>
    <row r="22611" spans="1:1" x14ac:dyDescent="0.25">
      <c r="A22611" t="s">
        <v>21270</v>
      </c>
    </row>
    <row r="22612" spans="1:1" x14ac:dyDescent="0.25">
      <c r="A22612" t="s">
        <v>21271</v>
      </c>
    </row>
    <row r="22613" spans="1:1" x14ac:dyDescent="0.25">
      <c r="A22613" t="s">
        <v>21272</v>
      </c>
    </row>
    <row r="22614" spans="1:1" x14ac:dyDescent="0.25">
      <c r="A22614" t="s">
        <v>21273</v>
      </c>
    </row>
    <row r="22615" spans="1:1" x14ac:dyDescent="0.25">
      <c r="A22615" t="s">
        <v>21274</v>
      </c>
    </row>
    <row r="22616" spans="1:1" x14ac:dyDescent="0.25">
      <c r="A22616" t="s">
        <v>21275</v>
      </c>
    </row>
    <row r="22617" spans="1:1" x14ac:dyDescent="0.25">
      <c r="A22617" t="s">
        <v>21276</v>
      </c>
    </row>
    <row r="22618" spans="1:1" x14ac:dyDescent="0.25">
      <c r="A22618" t="s">
        <v>21277</v>
      </c>
    </row>
    <row r="22619" spans="1:1" x14ac:dyDescent="0.25">
      <c r="A22619" t="s">
        <v>21278</v>
      </c>
    </row>
    <row r="22620" spans="1:1" x14ac:dyDescent="0.25">
      <c r="A22620" t="s">
        <v>21279</v>
      </c>
    </row>
    <row r="22621" spans="1:1" x14ac:dyDescent="0.25">
      <c r="A22621" t="s">
        <v>21280</v>
      </c>
    </row>
    <row r="22622" spans="1:1" x14ac:dyDescent="0.25">
      <c r="A22622" t="s">
        <v>21281</v>
      </c>
    </row>
    <row r="22623" spans="1:1" x14ac:dyDescent="0.25">
      <c r="A22623" t="s">
        <v>21282</v>
      </c>
    </row>
    <row r="22624" spans="1:1" x14ac:dyDescent="0.25">
      <c r="A22624" t="s">
        <v>21283</v>
      </c>
    </row>
    <row r="22625" spans="1:1" x14ac:dyDescent="0.25">
      <c r="A22625" t="s">
        <v>21284</v>
      </c>
    </row>
    <row r="22626" spans="1:1" x14ac:dyDescent="0.25">
      <c r="A22626" t="s">
        <v>21285</v>
      </c>
    </row>
    <row r="22627" spans="1:1" x14ac:dyDescent="0.25">
      <c r="A22627" t="s">
        <v>21286</v>
      </c>
    </row>
    <row r="22628" spans="1:1" x14ac:dyDescent="0.25">
      <c r="A22628" t="s">
        <v>21287</v>
      </c>
    </row>
    <row r="22629" spans="1:1" x14ac:dyDescent="0.25">
      <c r="A22629" t="s">
        <v>21288</v>
      </c>
    </row>
    <row r="22630" spans="1:1" x14ac:dyDescent="0.25">
      <c r="A22630" t="s">
        <v>21289</v>
      </c>
    </row>
    <row r="22631" spans="1:1" x14ac:dyDescent="0.25">
      <c r="A22631" t="s">
        <v>21290</v>
      </c>
    </row>
    <row r="22632" spans="1:1" x14ac:dyDescent="0.25">
      <c r="A22632" t="s">
        <v>21291</v>
      </c>
    </row>
    <row r="22633" spans="1:1" x14ac:dyDescent="0.25">
      <c r="A22633" t="s">
        <v>21292</v>
      </c>
    </row>
    <row r="22634" spans="1:1" x14ac:dyDescent="0.25">
      <c r="A22634" t="s">
        <v>21293</v>
      </c>
    </row>
    <row r="22635" spans="1:1" x14ac:dyDescent="0.25">
      <c r="A22635" t="s">
        <v>21294</v>
      </c>
    </row>
    <row r="22636" spans="1:1" x14ac:dyDescent="0.25">
      <c r="A22636" t="s">
        <v>21295</v>
      </c>
    </row>
    <row r="22637" spans="1:1" x14ac:dyDescent="0.25">
      <c r="A22637" t="s">
        <v>21296</v>
      </c>
    </row>
    <row r="22639" spans="1:1" x14ac:dyDescent="0.25">
      <c r="A22639" t="s">
        <v>21297</v>
      </c>
    </row>
    <row r="22640" spans="1:1" x14ac:dyDescent="0.25">
      <c r="A22640" t="s">
        <v>21298</v>
      </c>
    </row>
    <row r="22641" spans="1:1" x14ac:dyDescent="0.25">
      <c r="A22641" t="s">
        <v>21299</v>
      </c>
    </row>
    <row r="22642" spans="1:1" x14ac:dyDescent="0.25">
      <c r="A22642" t="s">
        <v>21300</v>
      </c>
    </row>
    <row r="22643" spans="1:1" x14ac:dyDescent="0.25">
      <c r="A22643" t="s">
        <v>21301</v>
      </c>
    </row>
    <row r="22644" spans="1:1" x14ac:dyDescent="0.25">
      <c r="A22644" t="s">
        <v>21302</v>
      </c>
    </row>
    <row r="22645" spans="1:1" x14ac:dyDescent="0.25">
      <c r="A22645" t="s">
        <v>21303</v>
      </c>
    </row>
    <row r="22646" spans="1:1" x14ac:dyDescent="0.25">
      <c r="A22646" t="s">
        <v>21304</v>
      </c>
    </row>
    <row r="22648" spans="1:1" x14ac:dyDescent="0.25">
      <c r="A22648" t="s">
        <v>21305</v>
      </c>
    </row>
    <row r="22649" spans="1:1" x14ac:dyDescent="0.25">
      <c r="A22649" t="s">
        <v>21306</v>
      </c>
    </row>
    <row r="22650" spans="1:1" x14ac:dyDescent="0.25">
      <c r="A22650" t="s">
        <v>21307</v>
      </c>
    </row>
    <row r="22651" spans="1:1" x14ac:dyDescent="0.25">
      <c r="A22651" t="s">
        <v>21308</v>
      </c>
    </row>
    <row r="22652" spans="1:1" x14ac:dyDescent="0.25">
      <c r="A22652" t="s">
        <v>21309</v>
      </c>
    </row>
    <row r="22653" spans="1:1" x14ac:dyDescent="0.25">
      <c r="A22653" t="s">
        <v>21310</v>
      </c>
    </row>
    <row r="22654" spans="1:1" x14ac:dyDescent="0.25">
      <c r="A22654" t="s">
        <v>21311</v>
      </c>
    </row>
    <row r="22656" spans="1:1" x14ac:dyDescent="0.25">
      <c r="A22656" t="s">
        <v>21312</v>
      </c>
    </row>
    <row r="22657" spans="1:1" x14ac:dyDescent="0.25">
      <c r="A22657" t="s">
        <v>21313</v>
      </c>
    </row>
    <row r="22658" spans="1:1" x14ac:dyDescent="0.25">
      <c r="A22658" t="s">
        <v>21314</v>
      </c>
    </row>
    <row r="22659" spans="1:1" x14ac:dyDescent="0.25">
      <c r="A22659" t="s">
        <v>21315</v>
      </c>
    </row>
    <row r="22660" spans="1:1" x14ac:dyDescent="0.25">
      <c r="A22660" t="s">
        <v>21316</v>
      </c>
    </row>
    <row r="22661" spans="1:1" x14ac:dyDescent="0.25">
      <c r="A22661" t="s">
        <v>21317</v>
      </c>
    </row>
    <row r="22662" spans="1:1" x14ac:dyDescent="0.25">
      <c r="A22662" t="s">
        <v>21318</v>
      </c>
    </row>
    <row r="22663" spans="1:1" x14ac:dyDescent="0.25">
      <c r="A22663" t="s">
        <v>21319</v>
      </c>
    </row>
    <row r="22664" spans="1:1" x14ac:dyDescent="0.25">
      <c r="A22664" t="s">
        <v>21320</v>
      </c>
    </row>
    <row r="22665" spans="1:1" x14ac:dyDescent="0.25">
      <c r="A22665" t="s">
        <v>16152</v>
      </c>
    </row>
    <row r="22666" spans="1:1" x14ac:dyDescent="0.25">
      <c r="A22666" t="s">
        <v>21321</v>
      </c>
    </row>
    <row r="22667" spans="1:1" x14ac:dyDescent="0.25">
      <c r="A22667" t="s">
        <v>21322</v>
      </c>
    </row>
    <row r="22668" spans="1:1" x14ac:dyDescent="0.25">
      <c r="A22668" t="s">
        <v>21323</v>
      </c>
    </row>
    <row r="22669" spans="1:1" x14ac:dyDescent="0.25">
      <c r="A22669" t="s">
        <v>21324</v>
      </c>
    </row>
    <row r="22670" spans="1:1" x14ac:dyDescent="0.25">
      <c r="A22670" t="s">
        <v>21325</v>
      </c>
    </row>
    <row r="22671" spans="1:1" x14ac:dyDescent="0.25">
      <c r="A22671" t="s">
        <v>21326</v>
      </c>
    </row>
    <row r="22672" spans="1:1" x14ac:dyDescent="0.25">
      <c r="A22672" t="s">
        <v>21327</v>
      </c>
    </row>
    <row r="22673" spans="1:1" x14ac:dyDescent="0.25">
      <c r="A22673" t="s">
        <v>21328</v>
      </c>
    </row>
    <row r="22674" spans="1:1" x14ac:dyDescent="0.25">
      <c r="A22674" t="s">
        <v>21329</v>
      </c>
    </row>
    <row r="22675" spans="1:1" x14ac:dyDescent="0.25">
      <c r="A22675" t="s">
        <v>21330</v>
      </c>
    </row>
    <row r="22676" spans="1:1" x14ac:dyDescent="0.25">
      <c r="A22676" t="s">
        <v>21331</v>
      </c>
    </row>
    <row r="22677" spans="1:1" x14ac:dyDescent="0.25">
      <c r="A22677" t="s">
        <v>21332</v>
      </c>
    </row>
    <row r="22678" spans="1:1" x14ac:dyDescent="0.25">
      <c r="A22678" t="s">
        <v>21333</v>
      </c>
    </row>
    <row r="22679" spans="1:1" x14ac:dyDescent="0.25">
      <c r="A22679" t="s">
        <v>21334</v>
      </c>
    </row>
    <row r="22680" spans="1:1" x14ac:dyDescent="0.25">
      <c r="A22680" t="s">
        <v>21335</v>
      </c>
    </row>
    <row r="22681" spans="1:1" x14ac:dyDescent="0.25">
      <c r="A22681" t="s">
        <v>21336</v>
      </c>
    </row>
    <row r="22682" spans="1:1" x14ac:dyDescent="0.25">
      <c r="A22682" t="s">
        <v>21337</v>
      </c>
    </row>
    <row r="22683" spans="1:1" x14ac:dyDescent="0.25">
      <c r="A22683" t="s">
        <v>21338</v>
      </c>
    </row>
    <row r="22684" spans="1:1" x14ac:dyDescent="0.25">
      <c r="A22684" t="s">
        <v>21339</v>
      </c>
    </row>
    <row r="22685" spans="1:1" x14ac:dyDescent="0.25">
      <c r="A22685" t="s">
        <v>21340</v>
      </c>
    </row>
    <row r="22686" spans="1:1" x14ac:dyDescent="0.25">
      <c r="A22686" t="s">
        <v>21341</v>
      </c>
    </row>
    <row r="22687" spans="1:1" x14ac:dyDescent="0.25">
      <c r="A22687" t="s">
        <v>21342</v>
      </c>
    </row>
    <row r="22688" spans="1:1" x14ac:dyDescent="0.25">
      <c r="A22688" t="s">
        <v>21343</v>
      </c>
    </row>
    <row r="22689" spans="1:1" x14ac:dyDescent="0.25">
      <c r="A22689" t="s">
        <v>21344</v>
      </c>
    </row>
    <row r="22690" spans="1:1" x14ac:dyDescent="0.25">
      <c r="A22690" t="s">
        <v>21345</v>
      </c>
    </row>
    <row r="22691" spans="1:1" x14ac:dyDescent="0.25">
      <c r="A22691" t="s">
        <v>21346</v>
      </c>
    </row>
    <row r="22692" spans="1:1" x14ac:dyDescent="0.25">
      <c r="A22692" t="s">
        <v>21347</v>
      </c>
    </row>
    <row r="22693" spans="1:1" x14ac:dyDescent="0.25">
      <c r="A22693" t="s">
        <v>21348</v>
      </c>
    </row>
    <row r="22694" spans="1:1" x14ac:dyDescent="0.25">
      <c r="A22694" t="s">
        <v>21349</v>
      </c>
    </row>
    <row r="22695" spans="1:1" x14ac:dyDescent="0.25">
      <c r="A22695" t="s">
        <v>21350</v>
      </c>
    </row>
    <row r="22696" spans="1:1" x14ac:dyDescent="0.25">
      <c r="A22696" t="s">
        <v>21351</v>
      </c>
    </row>
    <row r="22697" spans="1:1" x14ac:dyDescent="0.25">
      <c r="A22697" t="s">
        <v>21352</v>
      </c>
    </row>
    <row r="22698" spans="1:1" x14ac:dyDescent="0.25">
      <c r="A22698" t="s">
        <v>21353</v>
      </c>
    </row>
    <row r="22699" spans="1:1" x14ac:dyDescent="0.25">
      <c r="A22699" t="s">
        <v>21354</v>
      </c>
    </row>
    <row r="22700" spans="1:1" x14ac:dyDescent="0.25">
      <c r="A22700" t="s">
        <v>21355</v>
      </c>
    </row>
    <row r="22701" spans="1:1" x14ac:dyDescent="0.25">
      <c r="A22701" t="s">
        <v>21356</v>
      </c>
    </row>
    <row r="22702" spans="1:1" x14ac:dyDescent="0.25">
      <c r="A22702" t="s">
        <v>21357</v>
      </c>
    </row>
    <row r="22703" spans="1:1" x14ac:dyDescent="0.25">
      <c r="A22703" t="s">
        <v>21358</v>
      </c>
    </row>
    <row r="22704" spans="1:1" x14ac:dyDescent="0.25">
      <c r="A22704" t="s">
        <v>21359</v>
      </c>
    </row>
    <row r="22705" spans="1:1" x14ac:dyDescent="0.25">
      <c r="A22705" t="s">
        <v>21360</v>
      </c>
    </row>
    <row r="22706" spans="1:1" x14ac:dyDescent="0.25">
      <c r="A22706" t="s">
        <v>21361</v>
      </c>
    </row>
    <row r="22707" spans="1:1" x14ac:dyDescent="0.25">
      <c r="A22707" t="s">
        <v>21362</v>
      </c>
    </row>
    <row r="22708" spans="1:1" x14ac:dyDescent="0.25">
      <c r="A22708" t="s">
        <v>21363</v>
      </c>
    </row>
    <row r="22709" spans="1:1" x14ac:dyDescent="0.25">
      <c r="A22709" t="s">
        <v>21364</v>
      </c>
    </row>
    <row r="22710" spans="1:1" x14ac:dyDescent="0.25">
      <c r="A22710" t="s">
        <v>21365</v>
      </c>
    </row>
    <row r="22711" spans="1:1" x14ac:dyDescent="0.25">
      <c r="A22711" t="s">
        <v>21366</v>
      </c>
    </row>
    <row r="22712" spans="1:1" x14ac:dyDescent="0.25">
      <c r="A22712" t="s">
        <v>21367</v>
      </c>
    </row>
    <row r="22713" spans="1:1" x14ac:dyDescent="0.25">
      <c r="A22713" t="s">
        <v>21368</v>
      </c>
    </row>
    <row r="22714" spans="1:1" x14ac:dyDescent="0.25">
      <c r="A22714" t="s">
        <v>21369</v>
      </c>
    </row>
    <row r="22715" spans="1:1" x14ac:dyDescent="0.25">
      <c r="A22715" t="s">
        <v>21370</v>
      </c>
    </row>
    <row r="22716" spans="1:1" x14ac:dyDescent="0.25">
      <c r="A22716" t="s">
        <v>21371</v>
      </c>
    </row>
    <row r="22717" spans="1:1" x14ac:dyDescent="0.25">
      <c r="A22717" t="s">
        <v>21372</v>
      </c>
    </row>
    <row r="22718" spans="1:1" x14ac:dyDescent="0.25">
      <c r="A22718" t="s">
        <v>21373</v>
      </c>
    </row>
    <row r="22719" spans="1:1" x14ac:dyDescent="0.25">
      <c r="A22719" t="s">
        <v>21374</v>
      </c>
    </row>
    <row r="22721" spans="1:1" x14ac:dyDescent="0.25">
      <c r="A22721" t="s">
        <v>21375</v>
      </c>
    </row>
    <row r="22722" spans="1:1" x14ac:dyDescent="0.25">
      <c r="A22722" t="s">
        <v>21376</v>
      </c>
    </row>
    <row r="22723" spans="1:1" x14ac:dyDescent="0.25">
      <c r="A22723" t="s">
        <v>8437</v>
      </c>
    </row>
    <row r="22724" spans="1:1" x14ac:dyDescent="0.25">
      <c r="A22724" t="s">
        <v>21377</v>
      </c>
    </row>
    <row r="22725" spans="1:1" x14ac:dyDescent="0.25">
      <c r="A22725" t="s">
        <v>21378</v>
      </c>
    </row>
    <row r="22726" spans="1:1" x14ac:dyDescent="0.25">
      <c r="A22726" t="s">
        <v>21379</v>
      </c>
    </row>
    <row r="22727" spans="1:1" x14ac:dyDescent="0.25">
      <c r="A22727" t="s">
        <v>21380</v>
      </c>
    </row>
    <row r="22728" spans="1:1" x14ac:dyDescent="0.25">
      <c r="A22728" t="s">
        <v>21381</v>
      </c>
    </row>
    <row r="22729" spans="1:1" x14ac:dyDescent="0.25">
      <c r="A22729" t="s">
        <v>21382</v>
      </c>
    </row>
    <row r="22731" spans="1:1" x14ac:dyDescent="0.25">
      <c r="A22731" t="s">
        <v>21383</v>
      </c>
    </row>
    <row r="22732" spans="1:1" x14ac:dyDescent="0.25">
      <c r="A22732" t="s">
        <v>21384</v>
      </c>
    </row>
    <row r="22733" spans="1:1" x14ac:dyDescent="0.25">
      <c r="A22733" t="s">
        <v>21385</v>
      </c>
    </row>
    <row r="22734" spans="1:1" x14ac:dyDescent="0.25">
      <c r="A22734" t="s">
        <v>21386</v>
      </c>
    </row>
    <row r="22735" spans="1:1" x14ac:dyDescent="0.25">
      <c r="A22735" t="s">
        <v>21387</v>
      </c>
    </row>
    <row r="22736" spans="1:1" x14ac:dyDescent="0.25">
      <c r="A22736" t="s">
        <v>3960</v>
      </c>
    </row>
    <row r="22737" spans="1:1" x14ac:dyDescent="0.25">
      <c r="A22737" t="s">
        <v>21388</v>
      </c>
    </row>
    <row r="22738" spans="1:1" x14ac:dyDescent="0.25">
      <c r="A22738" t="s">
        <v>5649</v>
      </c>
    </row>
    <row r="22739" spans="1:1" x14ac:dyDescent="0.25">
      <c r="A22739" t="s">
        <v>5650</v>
      </c>
    </row>
    <row r="22740" spans="1:1" x14ac:dyDescent="0.25">
      <c r="A22740" t="s">
        <v>5651</v>
      </c>
    </row>
    <row r="22741" spans="1:1" x14ac:dyDescent="0.25">
      <c r="A22741" t="s">
        <v>21389</v>
      </c>
    </row>
    <row r="22742" spans="1:1" x14ac:dyDescent="0.25">
      <c r="A22742" t="s">
        <v>21390</v>
      </c>
    </row>
    <row r="22743" spans="1:1" x14ac:dyDescent="0.25">
      <c r="A22743" t="s">
        <v>21391</v>
      </c>
    </row>
    <row r="22744" spans="1:1" x14ac:dyDescent="0.25">
      <c r="A22744" t="s">
        <v>21392</v>
      </c>
    </row>
    <row r="22745" spans="1:1" x14ac:dyDescent="0.25">
      <c r="A22745" t="s">
        <v>21393</v>
      </c>
    </row>
    <row r="22746" spans="1:1" x14ac:dyDescent="0.25">
      <c r="A22746" t="s">
        <v>21394</v>
      </c>
    </row>
    <row r="22747" spans="1:1" x14ac:dyDescent="0.25">
      <c r="A22747" t="s">
        <v>21395</v>
      </c>
    </row>
    <row r="22748" spans="1:1" x14ac:dyDescent="0.25">
      <c r="A22748" t="s">
        <v>21396</v>
      </c>
    </row>
    <row r="22749" spans="1:1" x14ac:dyDescent="0.25">
      <c r="A22749" t="s">
        <v>21397</v>
      </c>
    </row>
    <row r="22750" spans="1:1" x14ac:dyDescent="0.25">
      <c r="A22750" t="s">
        <v>21398</v>
      </c>
    </row>
    <row r="22751" spans="1:1" x14ac:dyDescent="0.25">
      <c r="A22751" t="s">
        <v>21399</v>
      </c>
    </row>
    <row r="22752" spans="1:1" x14ac:dyDescent="0.25">
      <c r="A22752" t="s">
        <v>21400</v>
      </c>
    </row>
    <row r="22753" spans="1:1" x14ac:dyDescent="0.25">
      <c r="A22753" t="s">
        <v>21401</v>
      </c>
    </row>
    <row r="22754" spans="1:1" x14ac:dyDescent="0.25">
      <c r="A22754" t="s">
        <v>21402</v>
      </c>
    </row>
    <row r="22755" spans="1:1" x14ac:dyDescent="0.25">
      <c r="A22755" t="s">
        <v>21403</v>
      </c>
    </row>
    <row r="22756" spans="1:1" x14ac:dyDescent="0.25">
      <c r="A22756" t="s">
        <v>21404</v>
      </c>
    </row>
    <row r="22757" spans="1:1" x14ac:dyDescent="0.25">
      <c r="A22757" t="s">
        <v>8368</v>
      </c>
    </row>
    <row r="22758" spans="1:1" x14ac:dyDescent="0.25">
      <c r="A22758" t="s">
        <v>21405</v>
      </c>
    </row>
    <row r="22760" spans="1:1" x14ac:dyDescent="0.25">
      <c r="A22760" t="s">
        <v>21406</v>
      </c>
    </row>
    <row r="22761" spans="1:1" x14ac:dyDescent="0.25">
      <c r="A22761" t="s">
        <v>13722</v>
      </c>
    </row>
    <row r="22762" spans="1:1" x14ac:dyDescent="0.25">
      <c r="A22762" t="s">
        <v>21407</v>
      </c>
    </row>
    <row r="22763" spans="1:1" x14ac:dyDescent="0.25">
      <c r="A22763" s="55">
        <v>43948</v>
      </c>
    </row>
    <row r="22764" spans="1:1" x14ac:dyDescent="0.25">
      <c r="A22764" t="s">
        <v>21408</v>
      </c>
    </row>
    <row r="22765" spans="1:1" x14ac:dyDescent="0.25">
      <c r="A22765" t="s">
        <v>7882</v>
      </c>
    </row>
    <row r="22766" spans="1:1" x14ac:dyDescent="0.25">
      <c r="A22766" t="s">
        <v>4169</v>
      </c>
    </row>
    <row r="22767" spans="1:1" x14ac:dyDescent="0.25">
      <c r="A22767" t="s">
        <v>21409</v>
      </c>
    </row>
    <row r="22768" spans="1:1" x14ac:dyDescent="0.25">
      <c r="A22768" t="s">
        <v>21410</v>
      </c>
    </row>
    <row r="22769" spans="1:1" x14ac:dyDescent="0.25">
      <c r="A22769" t="s">
        <v>21411</v>
      </c>
    </row>
    <row r="22770" spans="1:1" x14ac:dyDescent="0.25">
      <c r="A22770" t="s">
        <v>21412</v>
      </c>
    </row>
    <row r="22771" spans="1:1" x14ac:dyDescent="0.25">
      <c r="A22771" t="s">
        <v>21404</v>
      </c>
    </row>
    <row r="22772" spans="1:1" x14ac:dyDescent="0.25">
      <c r="A22772" t="s">
        <v>21413</v>
      </c>
    </row>
    <row r="22773" spans="1:1" x14ac:dyDescent="0.25">
      <c r="A22773" t="s">
        <v>21414</v>
      </c>
    </row>
    <row r="22775" spans="1:1" x14ac:dyDescent="0.25">
      <c r="A22775" t="s">
        <v>21415</v>
      </c>
    </row>
    <row r="22776" spans="1:1" x14ac:dyDescent="0.25">
      <c r="A22776" t="s">
        <v>21416</v>
      </c>
    </row>
    <row r="22777" spans="1:1" x14ac:dyDescent="0.25">
      <c r="A22777" t="s">
        <v>21417</v>
      </c>
    </row>
    <row r="22778" spans="1:1" x14ac:dyDescent="0.25">
      <c r="A22778" t="s">
        <v>21418</v>
      </c>
    </row>
    <row r="22779" spans="1:1" x14ac:dyDescent="0.25">
      <c r="A22779" t="s">
        <v>21419</v>
      </c>
    </row>
    <row r="22780" spans="1:1" x14ac:dyDescent="0.25">
      <c r="A22780" t="s">
        <v>21420</v>
      </c>
    </row>
    <row r="22781" spans="1:1" x14ac:dyDescent="0.25">
      <c r="A22781" t="s">
        <v>21421</v>
      </c>
    </row>
    <row r="22782" spans="1:1" x14ac:dyDescent="0.25">
      <c r="A22782" t="s">
        <v>21422</v>
      </c>
    </row>
    <row r="22783" spans="1:1" x14ac:dyDescent="0.25">
      <c r="A22783" t="s">
        <v>21423</v>
      </c>
    </row>
    <row r="22784" spans="1:1" x14ac:dyDescent="0.25">
      <c r="A22784" t="s">
        <v>21424</v>
      </c>
    </row>
    <row r="22785" spans="1:1" x14ac:dyDescent="0.25">
      <c r="A22785" t="s">
        <v>21425</v>
      </c>
    </row>
    <row r="22786" spans="1:1" x14ac:dyDescent="0.25">
      <c r="A22786" t="s">
        <v>21426</v>
      </c>
    </row>
    <row r="22787" spans="1:1" x14ac:dyDescent="0.25">
      <c r="A22787" t="s">
        <v>21427</v>
      </c>
    </row>
    <row r="22788" spans="1:1" x14ac:dyDescent="0.25">
      <c r="A22788" t="s">
        <v>21428</v>
      </c>
    </row>
    <row r="22789" spans="1:1" x14ac:dyDescent="0.25">
      <c r="A22789" t="s">
        <v>21429</v>
      </c>
    </row>
    <row r="22790" spans="1:1" x14ac:dyDescent="0.25">
      <c r="A22790" t="s">
        <v>21430</v>
      </c>
    </row>
    <row r="22791" spans="1:1" x14ac:dyDescent="0.25">
      <c r="A22791" t="s">
        <v>21431</v>
      </c>
    </row>
    <row r="22792" spans="1:1" x14ac:dyDescent="0.25">
      <c r="A22792" t="s">
        <v>21432</v>
      </c>
    </row>
    <row r="22793" spans="1:1" x14ac:dyDescent="0.25">
      <c r="A22793" t="s">
        <v>21433</v>
      </c>
    </row>
    <row r="22794" spans="1:1" x14ac:dyDescent="0.25">
      <c r="A22794" t="s">
        <v>21434</v>
      </c>
    </row>
    <row r="22795" spans="1:1" x14ac:dyDescent="0.25">
      <c r="A22795" t="s">
        <v>21435</v>
      </c>
    </row>
    <row r="22796" spans="1:1" x14ac:dyDescent="0.25">
      <c r="A22796" t="s">
        <v>21436</v>
      </c>
    </row>
    <row r="22797" spans="1:1" x14ac:dyDescent="0.25">
      <c r="A22797" t="s">
        <v>21437</v>
      </c>
    </row>
    <row r="22798" spans="1:1" x14ac:dyDescent="0.25">
      <c r="A22798" t="s">
        <v>21438</v>
      </c>
    </row>
    <row r="22799" spans="1:1" x14ac:dyDescent="0.25">
      <c r="A22799" t="s">
        <v>21439</v>
      </c>
    </row>
    <row r="22800" spans="1:1" x14ac:dyDescent="0.25">
      <c r="A22800" t="s">
        <v>21440</v>
      </c>
    </row>
    <row r="22801" spans="1:1" x14ac:dyDescent="0.25">
      <c r="A22801" t="s">
        <v>21441</v>
      </c>
    </row>
    <row r="22802" spans="1:1" x14ac:dyDescent="0.25">
      <c r="A22802" t="s">
        <v>21442</v>
      </c>
    </row>
    <row r="22803" spans="1:1" x14ac:dyDescent="0.25">
      <c r="A22803" t="s">
        <v>21443</v>
      </c>
    </row>
    <row r="22804" spans="1:1" x14ac:dyDescent="0.25">
      <c r="A22804" t="s">
        <v>21444</v>
      </c>
    </row>
    <row r="22805" spans="1:1" x14ac:dyDescent="0.25">
      <c r="A22805" t="s">
        <v>21445</v>
      </c>
    </row>
    <row r="22806" spans="1:1" x14ac:dyDescent="0.25">
      <c r="A22806" t="s">
        <v>10403</v>
      </c>
    </row>
    <row r="22807" spans="1:1" x14ac:dyDescent="0.25">
      <c r="A22807" t="s">
        <v>21446</v>
      </c>
    </row>
    <row r="22808" spans="1:1" x14ac:dyDescent="0.25">
      <c r="A22808" t="s">
        <v>21447</v>
      </c>
    </row>
    <row r="22809" spans="1:1" x14ac:dyDescent="0.25">
      <c r="A22809" t="s">
        <v>21448</v>
      </c>
    </row>
    <row r="22810" spans="1:1" x14ac:dyDescent="0.25">
      <c r="A22810" t="s">
        <v>21449</v>
      </c>
    </row>
    <row r="22811" spans="1:1" x14ac:dyDescent="0.25">
      <c r="A22811" t="s">
        <v>21450</v>
      </c>
    </row>
    <row r="22812" spans="1:1" x14ac:dyDescent="0.25">
      <c r="A22812" t="s">
        <v>1966</v>
      </c>
    </row>
    <row r="22813" spans="1:1" x14ac:dyDescent="0.25">
      <c r="A22813" t="s">
        <v>5471</v>
      </c>
    </row>
    <row r="22814" spans="1:1" x14ac:dyDescent="0.25">
      <c r="A22814" t="s">
        <v>21451</v>
      </c>
    </row>
    <row r="22816" spans="1:1" x14ac:dyDescent="0.25">
      <c r="A22816" t="s">
        <v>21452</v>
      </c>
    </row>
    <row r="22817" spans="1:3" x14ac:dyDescent="0.25">
      <c r="A22817" t="s">
        <v>21453</v>
      </c>
    </row>
    <row r="22818" spans="1:3" x14ac:dyDescent="0.25">
      <c r="A22818" t="s">
        <v>21454</v>
      </c>
    </row>
    <row r="22819" spans="1:3" x14ac:dyDescent="0.25">
      <c r="A22819" t="s">
        <v>21455</v>
      </c>
    </row>
    <row r="22820" spans="1:3" x14ac:dyDescent="0.25">
      <c r="A22820" t="s">
        <v>21456</v>
      </c>
    </row>
    <row r="22821" spans="1:3" x14ac:dyDescent="0.25">
      <c r="A22821" t="s">
        <v>21457</v>
      </c>
    </row>
    <row r="22822" spans="1:3" x14ac:dyDescent="0.25">
      <c r="A22822" t="s">
        <v>21458</v>
      </c>
    </row>
    <row r="22823" spans="1:3" x14ac:dyDescent="0.25">
      <c r="A22823" t="s">
        <v>8158</v>
      </c>
    </row>
    <row r="22824" spans="1:3" x14ac:dyDescent="0.25">
      <c r="A22824" t="s">
        <v>21459</v>
      </c>
    </row>
    <row r="22825" spans="1:3" x14ac:dyDescent="0.25">
      <c r="B22825" t="s">
        <v>21460</v>
      </c>
      <c r="C22825" t="s">
        <v>21461</v>
      </c>
    </row>
    <row r="22826" spans="1:3" x14ac:dyDescent="0.25">
      <c r="A22826" t="s">
        <v>21462</v>
      </c>
    </row>
    <row r="22827" spans="1:3" x14ac:dyDescent="0.25">
      <c r="A22827" t="s">
        <v>3678</v>
      </c>
    </row>
    <row r="22828" spans="1:3" x14ac:dyDescent="0.25">
      <c r="A22828" t="s">
        <v>3679</v>
      </c>
    </row>
    <row r="22829" spans="1:3" x14ac:dyDescent="0.25">
      <c r="A22829" t="s">
        <v>3680</v>
      </c>
    </row>
    <row r="22830" spans="1:3" x14ac:dyDescent="0.25">
      <c r="A22830" t="s">
        <v>3681</v>
      </c>
    </row>
    <row r="22831" spans="1:3" x14ac:dyDescent="0.25">
      <c r="A22831" t="s">
        <v>3682</v>
      </c>
    </row>
    <row r="22832" spans="1:3" x14ac:dyDescent="0.25">
      <c r="A22832" t="s">
        <v>3683</v>
      </c>
    </row>
    <row r="22833" spans="1:1" x14ac:dyDescent="0.25">
      <c r="A22833" t="s">
        <v>3684</v>
      </c>
    </row>
    <row r="22834" spans="1:1" x14ac:dyDescent="0.25">
      <c r="A22834" t="s">
        <v>3685</v>
      </c>
    </row>
    <row r="22835" spans="1:1" x14ac:dyDescent="0.25">
      <c r="A22835" t="s">
        <v>21463</v>
      </c>
    </row>
    <row r="22836" spans="1:1" x14ac:dyDescent="0.25">
      <c r="A22836" t="s">
        <v>21464</v>
      </c>
    </row>
    <row r="22837" spans="1:1" x14ac:dyDescent="0.25">
      <c r="A22837" t="s">
        <v>21465</v>
      </c>
    </row>
    <row r="22838" spans="1:1" x14ac:dyDescent="0.25">
      <c r="A22838" t="s">
        <v>21466</v>
      </c>
    </row>
    <row r="22839" spans="1:1" x14ac:dyDescent="0.25">
      <c r="A22839" t="s">
        <v>21467</v>
      </c>
    </row>
    <row r="22840" spans="1:1" x14ac:dyDescent="0.25">
      <c r="A22840" t="s">
        <v>21468</v>
      </c>
    </row>
    <row r="22841" spans="1:1" x14ac:dyDescent="0.25">
      <c r="A22841" t="s">
        <v>21469</v>
      </c>
    </row>
    <row r="22842" spans="1:1" x14ac:dyDescent="0.25">
      <c r="A22842" t="s">
        <v>21470</v>
      </c>
    </row>
    <row r="22843" spans="1:1" x14ac:dyDescent="0.25">
      <c r="A22843" t="s">
        <v>21471</v>
      </c>
    </row>
    <row r="22844" spans="1:1" x14ac:dyDescent="0.25">
      <c r="A22844" t="s">
        <v>21472</v>
      </c>
    </row>
    <row r="22845" spans="1:1" x14ac:dyDescent="0.25">
      <c r="A22845" t="s">
        <v>21473</v>
      </c>
    </row>
    <row r="22846" spans="1:1" x14ac:dyDescent="0.25">
      <c r="A22846" t="s">
        <v>21474</v>
      </c>
    </row>
    <row r="22848" spans="1:1" x14ac:dyDescent="0.25">
      <c r="A22848" t="s">
        <v>21475</v>
      </c>
    </row>
    <row r="22849" spans="1:1" x14ac:dyDescent="0.25">
      <c r="A22849" t="s">
        <v>21476</v>
      </c>
    </row>
    <row r="22850" spans="1:1" x14ac:dyDescent="0.25">
      <c r="A22850" t="s">
        <v>21477</v>
      </c>
    </row>
    <row r="22851" spans="1:1" x14ac:dyDescent="0.25">
      <c r="A22851" t="s">
        <v>21478</v>
      </c>
    </row>
    <row r="22852" spans="1:1" x14ac:dyDescent="0.25">
      <c r="A22852" t="s">
        <v>21479</v>
      </c>
    </row>
    <row r="22853" spans="1:1" x14ac:dyDescent="0.25">
      <c r="A22853" t="s">
        <v>21480</v>
      </c>
    </row>
    <row r="22854" spans="1:1" x14ac:dyDescent="0.25">
      <c r="A22854" t="s">
        <v>21481</v>
      </c>
    </row>
    <row r="22855" spans="1:1" x14ac:dyDescent="0.25">
      <c r="A22855" t="s">
        <v>21482</v>
      </c>
    </row>
    <row r="22856" spans="1:1" x14ac:dyDescent="0.25">
      <c r="A22856" t="s">
        <v>21483</v>
      </c>
    </row>
    <row r="22857" spans="1:1" x14ac:dyDescent="0.25">
      <c r="A22857" t="s">
        <v>21484</v>
      </c>
    </row>
    <row r="22858" spans="1:1" x14ac:dyDescent="0.25">
      <c r="A22858" t="s">
        <v>21485</v>
      </c>
    </row>
    <row r="22859" spans="1:1" x14ac:dyDescent="0.25">
      <c r="A22859" t="s">
        <v>21486</v>
      </c>
    </row>
    <row r="22860" spans="1:1" x14ac:dyDescent="0.25">
      <c r="A22860" t="s">
        <v>21487</v>
      </c>
    </row>
    <row r="22861" spans="1:1" x14ac:dyDescent="0.25">
      <c r="A22861" t="s">
        <v>21488</v>
      </c>
    </row>
    <row r="22862" spans="1:1" x14ac:dyDescent="0.25">
      <c r="A22862" t="s">
        <v>21489</v>
      </c>
    </row>
    <row r="22863" spans="1:1" x14ac:dyDescent="0.25">
      <c r="A22863" t="s">
        <v>21490</v>
      </c>
    </row>
    <row r="22864" spans="1:1" x14ac:dyDescent="0.25">
      <c r="A22864" t="s">
        <v>21491</v>
      </c>
    </row>
    <row r="22865" spans="1:1" x14ac:dyDescent="0.25">
      <c r="A22865" t="s">
        <v>21492</v>
      </c>
    </row>
    <row r="22866" spans="1:1" x14ac:dyDescent="0.25">
      <c r="A22866" t="s">
        <v>21493</v>
      </c>
    </row>
    <row r="22867" spans="1:1" x14ac:dyDescent="0.25">
      <c r="A22867" t="s">
        <v>21494</v>
      </c>
    </row>
    <row r="22868" spans="1:1" x14ac:dyDescent="0.25">
      <c r="A22868" t="s">
        <v>21495</v>
      </c>
    </row>
    <row r="22869" spans="1:1" x14ac:dyDescent="0.25">
      <c r="A22869" t="s">
        <v>21496</v>
      </c>
    </row>
    <row r="22870" spans="1:1" x14ac:dyDescent="0.25">
      <c r="A22870" t="s">
        <v>21497</v>
      </c>
    </row>
    <row r="22871" spans="1:1" x14ac:dyDescent="0.25">
      <c r="A22871" t="s">
        <v>21498</v>
      </c>
    </row>
    <row r="22872" spans="1:1" x14ac:dyDescent="0.25">
      <c r="A22872" t="s">
        <v>21499</v>
      </c>
    </row>
    <row r="22873" spans="1:1" x14ac:dyDescent="0.25">
      <c r="A22873" t="s">
        <v>21500</v>
      </c>
    </row>
    <row r="22874" spans="1:1" x14ac:dyDescent="0.25">
      <c r="A22874" t="s">
        <v>21501</v>
      </c>
    </row>
    <row r="22875" spans="1:1" x14ac:dyDescent="0.25">
      <c r="A22875" t="s">
        <v>21502</v>
      </c>
    </row>
    <row r="22876" spans="1:1" x14ac:dyDescent="0.25">
      <c r="A22876" t="s">
        <v>21503</v>
      </c>
    </row>
    <row r="22877" spans="1:1" x14ac:dyDescent="0.25">
      <c r="A22877" t="s">
        <v>21504</v>
      </c>
    </row>
    <row r="22878" spans="1:1" x14ac:dyDescent="0.25">
      <c r="A22878" t="s">
        <v>21505</v>
      </c>
    </row>
    <row r="22879" spans="1:1" x14ac:dyDescent="0.25">
      <c r="A22879" t="s">
        <v>21506</v>
      </c>
    </row>
    <row r="22880" spans="1:1" x14ac:dyDescent="0.25">
      <c r="A22880" t="s">
        <v>21507</v>
      </c>
    </row>
    <row r="22881" spans="1:1" x14ac:dyDescent="0.25">
      <c r="A22881" t="s">
        <v>21508</v>
      </c>
    </row>
    <row r="22882" spans="1:1" x14ac:dyDescent="0.25">
      <c r="A22882" t="s">
        <v>21509</v>
      </c>
    </row>
    <row r="22883" spans="1:1" x14ac:dyDescent="0.25">
      <c r="A22883" t="s">
        <v>21510</v>
      </c>
    </row>
    <row r="22884" spans="1:1" x14ac:dyDescent="0.25">
      <c r="A22884" t="s">
        <v>21511</v>
      </c>
    </row>
    <row r="22885" spans="1:1" x14ac:dyDescent="0.25">
      <c r="A22885" t="s">
        <v>21512</v>
      </c>
    </row>
    <row r="22886" spans="1:1" x14ac:dyDescent="0.25">
      <c r="A22886" t="s">
        <v>21513</v>
      </c>
    </row>
    <row r="22887" spans="1:1" x14ac:dyDescent="0.25">
      <c r="A22887" t="s">
        <v>21514</v>
      </c>
    </row>
    <row r="22888" spans="1:1" x14ac:dyDescent="0.25">
      <c r="A22888" t="s">
        <v>21515</v>
      </c>
    </row>
    <row r="22889" spans="1:1" x14ac:dyDescent="0.25">
      <c r="A22889" t="s">
        <v>21516</v>
      </c>
    </row>
    <row r="22890" spans="1:1" x14ac:dyDescent="0.25">
      <c r="A22890" t="s">
        <v>21517</v>
      </c>
    </row>
    <row r="22891" spans="1:1" x14ac:dyDescent="0.25">
      <c r="A22891" t="s">
        <v>21518</v>
      </c>
    </row>
    <row r="22892" spans="1:1" x14ac:dyDescent="0.25">
      <c r="A22892" t="s">
        <v>21519</v>
      </c>
    </row>
    <row r="22893" spans="1:1" x14ac:dyDescent="0.25">
      <c r="A22893" t="s">
        <v>21520</v>
      </c>
    </row>
    <row r="22894" spans="1:1" x14ac:dyDescent="0.25">
      <c r="A22894" t="s">
        <v>21521</v>
      </c>
    </row>
    <row r="22895" spans="1:1" x14ac:dyDescent="0.25">
      <c r="A22895" t="s">
        <v>21522</v>
      </c>
    </row>
    <row r="22896" spans="1:1" x14ac:dyDescent="0.25">
      <c r="A22896" t="s">
        <v>21523</v>
      </c>
    </row>
    <row r="22897" spans="1:3" x14ac:dyDescent="0.25">
      <c r="A22897" t="s">
        <v>21524</v>
      </c>
    </row>
    <row r="22898" spans="1:3" x14ac:dyDescent="0.25">
      <c r="A22898" t="s">
        <v>21525</v>
      </c>
    </row>
    <row r="22899" spans="1:3" x14ac:dyDescent="0.25">
      <c r="A22899" t="s">
        <v>21526</v>
      </c>
    </row>
    <row r="22900" spans="1:3" x14ac:dyDescent="0.25">
      <c r="A22900" t="s">
        <v>21527</v>
      </c>
    </row>
    <row r="22901" spans="1:3" x14ac:dyDescent="0.25">
      <c r="A22901" t="s">
        <v>21528</v>
      </c>
    </row>
    <row r="22902" spans="1:3" x14ac:dyDescent="0.25">
      <c r="A22902" t="s">
        <v>21529</v>
      </c>
    </row>
    <row r="22903" spans="1:3" x14ac:dyDescent="0.25">
      <c r="A22903" t="s">
        <v>21456</v>
      </c>
    </row>
    <row r="22904" spans="1:3" x14ac:dyDescent="0.25">
      <c r="A22904" t="s">
        <v>21457</v>
      </c>
    </row>
    <row r="22905" spans="1:3" x14ac:dyDescent="0.25">
      <c r="A22905" t="s">
        <v>21458</v>
      </c>
    </row>
    <row r="22906" spans="1:3" x14ac:dyDescent="0.25">
      <c r="A22906" t="s">
        <v>8158</v>
      </c>
    </row>
    <row r="22907" spans="1:3" x14ac:dyDescent="0.25">
      <c r="A22907" t="s">
        <v>21459</v>
      </c>
    </row>
    <row r="22908" spans="1:3" x14ac:dyDescent="0.25">
      <c r="B22908" t="s">
        <v>21460</v>
      </c>
      <c r="C22908" t="s">
        <v>21461</v>
      </c>
    </row>
    <row r="22909" spans="1:3" x14ac:dyDescent="0.25">
      <c r="A22909" t="s">
        <v>21530</v>
      </c>
    </row>
    <row r="22910" spans="1:3" x14ac:dyDescent="0.25">
      <c r="A22910" t="s">
        <v>21531</v>
      </c>
    </row>
    <row r="22911" spans="1:3" x14ac:dyDescent="0.25">
      <c r="A22911" t="s">
        <v>21532</v>
      </c>
    </row>
    <row r="22912" spans="1:3" x14ac:dyDescent="0.25">
      <c r="A22912" t="s">
        <v>21533</v>
      </c>
    </row>
    <row r="22913" spans="1:1" x14ac:dyDescent="0.25">
      <c r="A22913" t="s">
        <v>21534</v>
      </c>
    </row>
    <row r="22914" spans="1:1" x14ac:dyDescent="0.25">
      <c r="A22914" t="s">
        <v>21535</v>
      </c>
    </row>
    <row r="22915" spans="1:1" x14ac:dyDescent="0.25">
      <c r="A22915" t="s">
        <v>21536</v>
      </c>
    </row>
    <row r="22916" spans="1:1" x14ac:dyDescent="0.25">
      <c r="A22916" t="s">
        <v>21537</v>
      </c>
    </row>
    <row r="22917" spans="1:1" x14ac:dyDescent="0.25">
      <c r="A22917" t="s">
        <v>21538</v>
      </c>
    </row>
    <row r="22918" spans="1:1" x14ac:dyDescent="0.25">
      <c r="A22918" t="s">
        <v>21539</v>
      </c>
    </row>
    <row r="22919" spans="1:1" x14ac:dyDescent="0.25">
      <c r="A22919" t="s">
        <v>21540</v>
      </c>
    </row>
    <row r="22920" spans="1:1" x14ac:dyDescent="0.25">
      <c r="A22920" t="s">
        <v>21541</v>
      </c>
    </row>
    <row r="22921" spans="1:1" x14ac:dyDescent="0.25">
      <c r="A22921" t="s">
        <v>21542</v>
      </c>
    </row>
    <row r="22922" spans="1:1" x14ac:dyDescent="0.25">
      <c r="A22922" t="s">
        <v>21543</v>
      </c>
    </row>
    <row r="22923" spans="1:1" x14ac:dyDescent="0.25">
      <c r="A22923" t="s">
        <v>21544</v>
      </c>
    </row>
    <row r="22924" spans="1:1" x14ac:dyDescent="0.25">
      <c r="A22924" t="s">
        <v>21545</v>
      </c>
    </row>
    <row r="22925" spans="1:1" x14ac:dyDescent="0.25">
      <c r="A22925" t="s">
        <v>21546</v>
      </c>
    </row>
    <row r="22926" spans="1:1" x14ac:dyDescent="0.25">
      <c r="A22926" t="s">
        <v>21547</v>
      </c>
    </row>
    <row r="22927" spans="1:1" x14ac:dyDescent="0.25">
      <c r="A22927" t="s">
        <v>21548</v>
      </c>
    </row>
    <row r="22928" spans="1:1" x14ac:dyDescent="0.25">
      <c r="A22928" t="s">
        <v>21549</v>
      </c>
    </row>
    <row r="22929" spans="1:1" x14ac:dyDescent="0.25">
      <c r="A22929" t="s">
        <v>21550</v>
      </c>
    </row>
    <row r="22930" spans="1:1" x14ac:dyDescent="0.25">
      <c r="A22930" t="s">
        <v>21551</v>
      </c>
    </row>
    <row r="22931" spans="1:1" x14ac:dyDescent="0.25">
      <c r="A22931" t="s">
        <v>21552</v>
      </c>
    </row>
    <row r="22932" spans="1:1" x14ac:dyDescent="0.25">
      <c r="A22932" t="s">
        <v>21553</v>
      </c>
    </row>
    <row r="22933" spans="1:1" x14ac:dyDescent="0.25">
      <c r="A22933" t="s">
        <v>21554</v>
      </c>
    </row>
    <row r="22934" spans="1:1" x14ac:dyDescent="0.25">
      <c r="A22934" t="s">
        <v>21555</v>
      </c>
    </row>
    <row r="22935" spans="1:1" x14ac:dyDescent="0.25">
      <c r="A22935" t="s">
        <v>21556</v>
      </c>
    </row>
    <row r="22936" spans="1:1" x14ac:dyDescent="0.25">
      <c r="A22936" t="s">
        <v>21557</v>
      </c>
    </row>
    <row r="22937" spans="1:1" x14ac:dyDescent="0.25">
      <c r="A22937" t="s">
        <v>21558</v>
      </c>
    </row>
    <row r="22938" spans="1:1" x14ac:dyDescent="0.25">
      <c r="A22938" t="s">
        <v>21559</v>
      </c>
    </row>
    <row r="22939" spans="1:1" x14ac:dyDescent="0.25">
      <c r="A22939" t="s">
        <v>21560</v>
      </c>
    </row>
    <row r="22940" spans="1:1" x14ac:dyDescent="0.25">
      <c r="A22940" t="s">
        <v>21561</v>
      </c>
    </row>
    <row r="22941" spans="1:1" x14ac:dyDescent="0.25">
      <c r="A22941" t="s">
        <v>21562</v>
      </c>
    </row>
    <row r="22942" spans="1:1" x14ac:dyDescent="0.25">
      <c r="A22942" t="s">
        <v>21563</v>
      </c>
    </row>
    <row r="22943" spans="1:1" x14ac:dyDescent="0.25">
      <c r="A22943" t="s">
        <v>21564</v>
      </c>
    </row>
    <row r="22944" spans="1:1" x14ac:dyDescent="0.25">
      <c r="A22944" t="s">
        <v>21565</v>
      </c>
    </row>
    <row r="22945" spans="1:1" x14ac:dyDescent="0.25">
      <c r="A22945" t="s">
        <v>21566</v>
      </c>
    </row>
    <row r="22946" spans="1:1" x14ac:dyDescent="0.25">
      <c r="A22946" t="s">
        <v>21567</v>
      </c>
    </row>
    <row r="22947" spans="1:1" x14ac:dyDescent="0.25">
      <c r="A22947" t="s">
        <v>21568</v>
      </c>
    </row>
    <row r="22948" spans="1:1" x14ac:dyDescent="0.25">
      <c r="A22948" t="s">
        <v>21569</v>
      </c>
    </row>
    <row r="22949" spans="1:1" x14ac:dyDescent="0.25">
      <c r="A22949" t="s">
        <v>21570</v>
      </c>
    </row>
    <row r="22950" spans="1:1" x14ac:dyDescent="0.25">
      <c r="A22950" t="s">
        <v>21571</v>
      </c>
    </row>
    <row r="22951" spans="1:1" x14ac:dyDescent="0.25">
      <c r="A22951" t="s">
        <v>21572</v>
      </c>
    </row>
    <row r="22952" spans="1:1" x14ac:dyDescent="0.25">
      <c r="A22952" t="s">
        <v>21573</v>
      </c>
    </row>
    <row r="22953" spans="1:1" x14ac:dyDescent="0.25">
      <c r="A22953" t="s">
        <v>21574</v>
      </c>
    </row>
    <row r="22954" spans="1:1" x14ac:dyDescent="0.25">
      <c r="A22954" t="s">
        <v>21575</v>
      </c>
    </row>
    <row r="22955" spans="1:1" x14ac:dyDescent="0.25">
      <c r="A22955" t="s">
        <v>21576</v>
      </c>
    </row>
    <row r="22956" spans="1:1" x14ac:dyDescent="0.25">
      <c r="A22956" t="s">
        <v>21577</v>
      </c>
    </row>
    <row r="22957" spans="1:1" x14ac:dyDescent="0.25">
      <c r="A22957" t="s">
        <v>21578</v>
      </c>
    </row>
    <row r="22958" spans="1:1" x14ac:dyDescent="0.25">
      <c r="A22958" t="s">
        <v>21579</v>
      </c>
    </row>
    <row r="22959" spans="1:1" x14ac:dyDescent="0.25">
      <c r="A22959" t="s">
        <v>21580</v>
      </c>
    </row>
    <row r="22960" spans="1:1" x14ac:dyDescent="0.25">
      <c r="A22960" t="s">
        <v>21581</v>
      </c>
    </row>
    <row r="22961" spans="1:1" x14ac:dyDescent="0.25">
      <c r="A22961" t="s">
        <v>21582</v>
      </c>
    </row>
    <row r="22962" spans="1:1" x14ac:dyDescent="0.25">
      <c r="A22962" t="s">
        <v>21583</v>
      </c>
    </row>
    <row r="22963" spans="1:1" x14ac:dyDescent="0.25">
      <c r="A22963" t="s">
        <v>21584</v>
      </c>
    </row>
    <row r="22964" spans="1:1" x14ac:dyDescent="0.25">
      <c r="A22964" t="s">
        <v>21585</v>
      </c>
    </row>
    <row r="22965" spans="1:1" x14ac:dyDescent="0.25">
      <c r="A22965" t="s">
        <v>21586</v>
      </c>
    </row>
    <row r="22966" spans="1:1" x14ac:dyDescent="0.25">
      <c r="A22966" t="s">
        <v>21587</v>
      </c>
    </row>
    <row r="22967" spans="1:1" x14ac:dyDescent="0.25">
      <c r="A22967" t="s">
        <v>21588</v>
      </c>
    </row>
    <row r="22968" spans="1:1" x14ac:dyDescent="0.25">
      <c r="A22968" t="s">
        <v>21589</v>
      </c>
    </row>
    <row r="22969" spans="1:1" x14ac:dyDescent="0.25">
      <c r="A22969" t="s">
        <v>21590</v>
      </c>
    </row>
    <row r="22970" spans="1:1" x14ac:dyDescent="0.25">
      <c r="A22970" t="s">
        <v>21591</v>
      </c>
    </row>
    <row r="22971" spans="1:1" x14ac:dyDescent="0.25">
      <c r="A22971" t="s">
        <v>21592</v>
      </c>
    </row>
    <row r="22972" spans="1:1" x14ac:dyDescent="0.25">
      <c r="A22972" t="s">
        <v>21593</v>
      </c>
    </row>
    <row r="22973" spans="1:1" x14ac:dyDescent="0.25">
      <c r="A22973" t="s">
        <v>21594</v>
      </c>
    </row>
    <row r="22974" spans="1:1" x14ac:dyDescent="0.25">
      <c r="A22974" t="s">
        <v>21595</v>
      </c>
    </row>
    <row r="22975" spans="1:1" x14ac:dyDescent="0.25">
      <c r="A22975" t="s">
        <v>21596</v>
      </c>
    </row>
    <row r="22976" spans="1:1" x14ac:dyDescent="0.25">
      <c r="A22976" t="s">
        <v>21597</v>
      </c>
    </row>
    <row r="22977" spans="1:1" x14ac:dyDescent="0.25">
      <c r="A22977" t="s">
        <v>21598</v>
      </c>
    </row>
    <row r="22978" spans="1:1" x14ac:dyDescent="0.25">
      <c r="A22978" t="s">
        <v>21599</v>
      </c>
    </row>
    <row r="22979" spans="1:1" x14ac:dyDescent="0.25">
      <c r="A22979" t="s">
        <v>21600</v>
      </c>
    </row>
    <row r="22980" spans="1:1" x14ac:dyDescent="0.25">
      <c r="A22980" t="s">
        <v>21601</v>
      </c>
    </row>
    <row r="22981" spans="1:1" x14ac:dyDescent="0.25">
      <c r="A22981" t="s">
        <v>21602</v>
      </c>
    </row>
    <row r="22982" spans="1:1" x14ac:dyDescent="0.25">
      <c r="A22982" t="s">
        <v>21603</v>
      </c>
    </row>
    <row r="22983" spans="1:1" x14ac:dyDescent="0.25">
      <c r="A22983" t="s">
        <v>21604</v>
      </c>
    </row>
    <row r="22984" spans="1:1" x14ac:dyDescent="0.25">
      <c r="A22984" s="106">
        <v>252.72727272727272</v>
      </c>
    </row>
    <row r="22985" spans="1:1" x14ac:dyDescent="0.25">
      <c r="A22985" t="s">
        <v>21605</v>
      </c>
    </row>
    <row r="22986" spans="1:1" x14ac:dyDescent="0.25">
      <c r="A22986" t="s">
        <v>21606</v>
      </c>
    </row>
    <row r="22987" spans="1:1" x14ac:dyDescent="0.25">
      <c r="A22987" t="s">
        <v>21607</v>
      </c>
    </row>
    <row r="22988" spans="1:1" x14ac:dyDescent="0.25">
      <c r="A22988" t="s">
        <v>21608</v>
      </c>
    </row>
    <row r="22989" spans="1:1" x14ac:dyDescent="0.25">
      <c r="A22989" t="s">
        <v>21609</v>
      </c>
    </row>
    <row r="22990" spans="1:1" x14ac:dyDescent="0.25">
      <c r="A22990" t="s">
        <v>21610</v>
      </c>
    </row>
    <row r="22991" spans="1:1" x14ac:dyDescent="0.25">
      <c r="A22991" t="s">
        <v>21611</v>
      </c>
    </row>
    <row r="22992" spans="1:1" x14ac:dyDescent="0.25">
      <c r="A22992" t="s">
        <v>21612</v>
      </c>
    </row>
    <row r="22993" spans="1:1" x14ac:dyDescent="0.25">
      <c r="A22993" t="s">
        <v>21613</v>
      </c>
    </row>
    <row r="22994" spans="1:1" x14ac:dyDescent="0.25">
      <c r="A22994" t="s">
        <v>21614</v>
      </c>
    </row>
    <row r="22995" spans="1:1" x14ac:dyDescent="0.25">
      <c r="A22995" t="s">
        <v>21615</v>
      </c>
    </row>
    <row r="22996" spans="1:1" x14ac:dyDescent="0.25">
      <c r="A22996" t="s">
        <v>21616</v>
      </c>
    </row>
    <row r="22997" spans="1:1" x14ac:dyDescent="0.25">
      <c r="A22997" t="s">
        <v>21617</v>
      </c>
    </row>
    <row r="22998" spans="1:1" x14ac:dyDescent="0.25">
      <c r="A22998" t="s">
        <v>21618</v>
      </c>
    </row>
    <row r="22999" spans="1:1" x14ac:dyDescent="0.25">
      <c r="A22999" t="s">
        <v>21619</v>
      </c>
    </row>
    <row r="23000" spans="1:1" x14ac:dyDescent="0.25">
      <c r="A23000" t="s">
        <v>21620</v>
      </c>
    </row>
    <row r="23001" spans="1:1" x14ac:dyDescent="0.25">
      <c r="A23001" t="s">
        <v>21621</v>
      </c>
    </row>
    <row r="23002" spans="1:1" x14ac:dyDescent="0.25">
      <c r="A23002" t="s">
        <v>21622</v>
      </c>
    </row>
    <row r="23003" spans="1:1" x14ac:dyDescent="0.25">
      <c r="A23003" t="s">
        <v>21623</v>
      </c>
    </row>
    <row r="23004" spans="1:1" x14ac:dyDescent="0.25">
      <c r="A23004" t="s">
        <v>21624</v>
      </c>
    </row>
    <row r="23005" spans="1:1" x14ac:dyDescent="0.25">
      <c r="A23005" t="s">
        <v>21625</v>
      </c>
    </row>
    <row r="23006" spans="1:1" x14ac:dyDescent="0.25">
      <c r="A23006" t="s">
        <v>21626</v>
      </c>
    </row>
    <row r="23007" spans="1:1" x14ac:dyDescent="0.25">
      <c r="A23007" t="s">
        <v>21627</v>
      </c>
    </row>
    <row r="23008" spans="1:1" x14ac:dyDescent="0.25">
      <c r="A23008" t="s">
        <v>21628</v>
      </c>
    </row>
    <row r="23009" spans="1:1" x14ac:dyDescent="0.25">
      <c r="A23009" t="s">
        <v>21629</v>
      </c>
    </row>
    <row r="23010" spans="1:1" x14ac:dyDescent="0.25">
      <c r="A23010" t="s">
        <v>21630</v>
      </c>
    </row>
    <row r="23011" spans="1:1" x14ac:dyDescent="0.25">
      <c r="A23011" t="s">
        <v>21631</v>
      </c>
    </row>
    <row r="23012" spans="1:1" x14ac:dyDescent="0.25">
      <c r="A23012" t="s">
        <v>21632</v>
      </c>
    </row>
    <row r="23013" spans="1:1" x14ac:dyDescent="0.25">
      <c r="A23013" t="s">
        <v>21633</v>
      </c>
    </row>
    <row r="23014" spans="1:1" x14ac:dyDescent="0.25">
      <c r="A23014" t="s">
        <v>21634</v>
      </c>
    </row>
    <row r="23015" spans="1:1" x14ac:dyDescent="0.25">
      <c r="A23015" t="s">
        <v>21635</v>
      </c>
    </row>
    <row r="23017" spans="1:1" x14ac:dyDescent="0.25">
      <c r="A23017" t="s">
        <v>21636</v>
      </c>
    </row>
    <row r="23018" spans="1:1" x14ac:dyDescent="0.25">
      <c r="A23018" t="s">
        <v>21637</v>
      </c>
    </row>
    <row r="23019" spans="1:1" x14ac:dyDescent="0.25">
      <c r="A23019" t="s">
        <v>21638</v>
      </c>
    </row>
    <row r="23020" spans="1:1" x14ac:dyDescent="0.25">
      <c r="A23020" t="s">
        <v>21639</v>
      </c>
    </row>
    <row r="23021" spans="1:1" x14ac:dyDescent="0.25">
      <c r="A23021" t="s">
        <v>21640</v>
      </c>
    </row>
    <row r="23022" spans="1:1" x14ac:dyDescent="0.25">
      <c r="A23022" t="s">
        <v>21641</v>
      </c>
    </row>
    <row r="23023" spans="1:1" x14ac:dyDescent="0.25">
      <c r="A23023" t="s">
        <v>21642</v>
      </c>
    </row>
    <row r="23024" spans="1:1" x14ac:dyDescent="0.25">
      <c r="A23024" t="s">
        <v>21643</v>
      </c>
    </row>
    <row r="23025" spans="1:1" x14ac:dyDescent="0.25">
      <c r="A23025" t="s">
        <v>21644</v>
      </c>
    </row>
    <row r="23026" spans="1:1" x14ac:dyDescent="0.25">
      <c r="A23026" t="s">
        <v>21645</v>
      </c>
    </row>
    <row r="23027" spans="1:1" x14ac:dyDescent="0.25">
      <c r="A23027" t="s">
        <v>21646</v>
      </c>
    </row>
    <row r="23028" spans="1:1" x14ac:dyDescent="0.25">
      <c r="A23028" t="s">
        <v>21647</v>
      </c>
    </row>
    <row r="23029" spans="1:1" x14ac:dyDescent="0.25">
      <c r="A23029" t="s">
        <v>21648</v>
      </c>
    </row>
    <row r="23030" spans="1:1" x14ac:dyDescent="0.25">
      <c r="A23030" t="s">
        <v>21649</v>
      </c>
    </row>
    <row r="23031" spans="1:1" x14ac:dyDescent="0.25">
      <c r="A23031" t="s">
        <v>21650</v>
      </c>
    </row>
    <row r="23032" spans="1:1" x14ac:dyDescent="0.25">
      <c r="A23032" t="s">
        <v>21651</v>
      </c>
    </row>
    <row r="23033" spans="1:1" x14ac:dyDescent="0.25">
      <c r="A23033" t="s">
        <v>21652</v>
      </c>
    </row>
    <row r="23034" spans="1:1" x14ac:dyDescent="0.25">
      <c r="A23034" t="s">
        <v>21653</v>
      </c>
    </row>
    <row r="23035" spans="1:1" x14ac:dyDescent="0.25">
      <c r="A23035" t="s">
        <v>21654</v>
      </c>
    </row>
    <row r="23036" spans="1:1" x14ac:dyDescent="0.25">
      <c r="A23036" t="s">
        <v>21655</v>
      </c>
    </row>
    <row r="23037" spans="1:1" x14ac:dyDescent="0.25">
      <c r="A23037" t="s">
        <v>21656</v>
      </c>
    </row>
    <row r="23038" spans="1:1" x14ac:dyDescent="0.25">
      <c r="A23038" t="s">
        <v>21657</v>
      </c>
    </row>
    <row r="23039" spans="1:1" x14ac:dyDescent="0.25">
      <c r="A23039" t="s">
        <v>21658</v>
      </c>
    </row>
    <row r="23040" spans="1:1" x14ac:dyDescent="0.25">
      <c r="A23040" t="s">
        <v>21659</v>
      </c>
    </row>
    <row r="23041" spans="1:1" x14ac:dyDescent="0.25">
      <c r="A23041" t="s">
        <v>21660</v>
      </c>
    </row>
    <row r="23042" spans="1:1" x14ac:dyDescent="0.25">
      <c r="A23042" t="s">
        <v>21661</v>
      </c>
    </row>
    <row r="23043" spans="1:1" x14ac:dyDescent="0.25">
      <c r="A23043" t="s">
        <v>21662</v>
      </c>
    </row>
    <row r="23044" spans="1:1" x14ac:dyDescent="0.25">
      <c r="A23044" t="s">
        <v>21663</v>
      </c>
    </row>
    <row r="23045" spans="1:1" x14ac:dyDescent="0.25">
      <c r="A23045" t="s">
        <v>21664</v>
      </c>
    </row>
    <row r="23046" spans="1:1" x14ac:dyDescent="0.25">
      <c r="A23046" t="s">
        <v>21665</v>
      </c>
    </row>
    <row r="23047" spans="1:1" x14ac:dyDescent="0.25">
      <c r="A23047" t="s">
        <v>21666</v>
      </c>
    </row>
    <row r="23048" spans="1:1" x14ac:dyDescent="0.25">
      <c r="A23048" t="s">
        <v>21667</v>
      </c>
    </row>
    <row r="23049" spans="1:1" x14ac:dyDescent="0.25">
      <c r="A23049" t="s">
        <v>21668</v>
      </c>
    </row>
    <row r="23050" spans="1:1" x14ac:dyDescent="0.25">
      <c r="A23050" t="s">
        <v>21669</v>
      </c>
    </row>
    <row r="23051" spans="1:1" x14ac:dyDescent="0.25">
      <c r="A23051" t="s">
        <v>21670</v>
      </c>
    </row>
    <row r="23052" spans="1:1" x14ac:dyDescent="0.25">
      <c r="A23052" t="s">
        <v>21671</v>
      </c>
    </row>
    <row r="23053" spans="1:1" x14ac:dyDescent="0.25">
      <c r="A23053" t="s">
        <v>21672</v>
      </c>
    </row>
    <row r="23054" spans="1:1" x14ac:dyDescent="0.25">
      <c r="A23054" t="s">
        <v>21673</v>
      </c>
    </row>
    <row r="23055" spans="1:1" x14ac:dyDescent="0.25">
      <c r="A23055" t="s">
        <v>21674</v>
      </c>
    </row>
    <row r="23056" spans="1:1" x14ac:dyDescent="0.25">
      <c r="A23056" t="s">
        <v>21675</v>
      </c>
    </row>
    <row r="23057" spans="1:1" x14ac:dyDescent="0.25">
      <c r="A23057" t="s">
        <v>21676</v>
      </c>
    </row>
    <row r="23058" spans="1:1" x14ac:dyDescent="0.25">
      <c r="A23058" t="s">
        <v>21677</v>
      </c>
    </row>
    <row r="23059" spans="1:1" x14ac:dyDescent="0.25">
      <c r="A23059" t="s">
        <v>21678</v>
      </c>
    </row>
    <row r="23060" spans="1:1" x14ac:dyDescent="0.25">
      <c r="A23060" t="s">
        <v>21679</v>
      </c>
    </row>
    <row r="23061" spans="1:1" x14ac:dyDescent="0.25">
      <c r="A23061" t="s">
        <v>21680</v>
      </c>
    </row>
    <row r="23062" spans="1:1" x14ac:dyDescent="0.25">
      <c r="A23062" t="s">
        <v>21681</v>
      </c>
    </row>
    <row r="23063" spans="1:1" x14ac:dyDescent="0.25">
      <c r="A23063" t="s">
        <v>21682</v>
      </c>
    </row>
    <row r="23064" spans="1:1" x14ac:dyDescent="0.25">
      <c r="A23064" t="s">
        <v>21683</v>
      </c>
    </row>
    <row r="23065" spans="1:1" x14ac:dyDescent="0.25">
      <c r="A23065" t="s">
        <v>21684</v>
      </c>
    </row>
    <row r="23066" spans="1:1" x14ac:dyDescent="0.25">
      <c r="A23066" t="s">
        <v>21685</v>
      </c>
    </row>
    <row r="23067" spans="1:1" x14ac:dyDescent="0.25">
      <c r="A23067" t="s">
        <v>21686</v>
      </c>
    </row>
    <row r="23068" spans="1:1" x14ac:dyDescent="0.25">
      <c r="A23068" t="s">
        <v>21687</v>
      </c>
    </row>
    <row r="23069" spans="1:1" x14ac:dyDescent="0.25">
      <c r="A23069" t="s">
        <v>21688</v>
      </c>
    </row>
    <row r="23070" spans="1:1" x14ac:dyDescent="0.25">
      <c r="A23070" t="s">
        <v>21689</v>
      </c>
    </row>
    <row r="23071" spans="1:1" x14ac:dyDescent="0.25">
      <c r="A23071" t="s">
        <v>21690</v>
      </c>
    </row>
    <row r="23072" spans="1:1" x14ac:dyDescent="0.25">
      <c r="A23072" t="s">
        <v>21691</v>
      </c>
    </row>
    <row r="23073" spans="1:1" x14ac:dyDescent="0.25">
      <c r="A23073" t="s">
        <v>21692</v>
      </c>
    </row>
    <row r="23074" spans="1:1" x14ac:dyDescent="0.25">
      <c r="A23074" t="s">
        <v>21693</v>
      </c>
    </row>
    <row r="23075" spans="1:1" x14ac:dyDescent="0.25">
      <c r="A23075" t="s">
        <v>21694</v>
      </c>
    </row>
    <row r="23076" spans="1:1" x14ac:dyDescent="0.25">
      <c r="A23076" t="s">
        <v>21695</v>
      </c>
    </row>
    <row r="23077" spans="1:1" x14ac:dyDescent="0.25">
      <c r="A23077" t="s">
        <v>21696</v>
      </c>
    </row>
    <row r="23078" spans="1:1" x14ac:dyDescent="0.25">
      <c r="A23078" t="s">
        <v>21697</v>
      </c>
    </row>
    <row r="23079" spans="1:1" x14ac:dyDescent="0.25">
      <c r="A23079" t="s">
        <v>21698</v>
      </c>
    </row>
    <row r="23080" spans="1:1" x14ac:dyDescent="0.25">
      <c r="A23080" t="s">
        <v>21699</v>
      </c>
    </row>
    <row r="23081" spans="1:1" x14ac:dyDescent="0.25">
      <c r="A23081" t="s">
        <v>21700</v>
      </c>
    </row>
    <row r="23082" spans="1:1" x14ac:dyDescent="0.25">
      <c r="A23082" t="s">
        <v>21701</v>
      </c>
    </row>
    <row r="23083" spans="1:1" x14ac:dyDescent="0.25">
      <c r="A23083" t="s">
        <v>21702</v>
      </c>
    </row>
    <row r="23084" spans="1:1" x14ac:dyDescent="0.25">
      <c r="A23084" t="s">
        <v>13361</v>
      </c>
    </row>
    <row r="23085" spans="1:1" x14ac:dyDescent="0.25">
      <c r="A23085" t="s">
        <v>21703</v>
      </c>
    </row>
    <row r="23086" spans="1:1" x14ac:dyDescent="0.25">
      <c r="A23086" t="s">
        <v>21704</v>
      </c>
    </row>
    <row r="23087" spans="1:1" x14ac:dyDescent="0.25">
      <c r="A23087" t="s">
        <v>21705</v>
      </c>
    </row>
    <row r="23088" spans="1:1" x14ac:dyDescent="0.25">
      <c r="A23088" t="s">
        <v>21706</v>
      </c>
    </row>
    <row r="23089" spans="1:1" x14ac:dyDescent="0.25">
      <c r="A23089" t="s">
        <v>21707</v>
      </c>
    </row>
    <row r="23090" spans="1:1" x14ac:dyDescent="0.25">
      <c r="A23090" t="s">
        <v>21708</v>
      </c>
    </row>
    <row r="23091" spans="1:1" x14ac:dyDescent="0.25">
      <c r="A23091" t="s">
        <v>21709</v>
      </c>
    </row>
    <row r="23092" spans="1:1" x14ac:dyDescent="0.25">
      <c r="A23092" t="s">
        <v>21710</v>
      </c>
    </row>
    <row r="23093" spans="1:1" x14ac:dyDescent="0.25">
      <c r="A23093" t="s">
        <v>21711</v>
      </c>
    </row>
    <row r="23094" spans="1:1" x14ac:dyDescent="0.25">
      <c r="A23094" t="s">
        <v>21712</v>
      </c>
    </row>
    <row r="23095" spans="1:1" x14ac:dyDescent="0.25">
      <c r="A23095" t="s">
        <v>21713</v>
      </c>
    </row>
    <row r="23096" spans="1:1" x14ac:dyDescent="0.25">
      <c r="A23096" t="s">
        <v>21714</v>
      </c>
    </row>
    <row r="23097" spans="1:1" x14ac:dyDescent="0.25">
      <c r="A23097" t="s">
        <v>21715</v>
      </c>
    </row>
    <row r="23098" spans="1:1" x14ac:dyDescent="0.25">
      <c r="A23098" t="s">
        <v>21716</v>
      </c>
    </row>
    <row r="23099" spans="1:1" x14ac:dyDescent="0.25">
      <c r="A23099" t="s">
        <v>21717</v>
      </c>
    </row>
    <row r="23100" spans="1:1" x14ac:dyDescent="0.25">
      <c r="A23100" t="s">
        <v>21718</v>
      </c>
    </row>
    <row r="23101" spans="1:1" x14ac:dyDescent="0.25">
      <c r="A23101" t="s">
        <v>21719</v>
      </c>
    </row>
    <row r="23102" spans="1:1" x14ac:dyDescent="0.25">
      <c r="A23102" t="s">
        <v>11223</v>
      </c>
    </row>
    <row r="23103" spans="1:1" x14ac:dyDescent="0.25">
      <c r="A23103" t="s">
        <v>21720</v>
      </c>
    </row>
    <row r="23104" spans="1:1" x14ac:dyDescent="0.25">
      <c r="A23104" t="s">
        <v>21721</v>
      </c>
    </row>
    <row r="23105" spans="1:1" x14ac:dyDescent="0.25">
      <c r="A23105" t="s">
        <v>21722</v>
      </c>
    </row>
    <row r="23106" spans="1:1" x14ac:dyDescent="0.25">
      <c r="A23106" t="s">
        <v>21723</v>
      </c>
    </row>
    <row r="23107" spans="1:1" x14ac:dyDescent="0.25">
      <c r="A23107" t="s">
        <v>21724</v>
      </c>
    </row>
    <row r="23108" spans="1:1" x14ac:dyDescent="0.25">
      <c r="A23108" t="s">
        <v>21725</v>
      </c>
    </row>
    <row r="23109" spans="1:1" x14ac:dyDescent="0.25">
      <c r="A23109" t="s">
        <v>21726</v>
      </c>
    </row>
    <row r="23110" spans="1:1" x14ac:dyDescent="0.25">
      <c r="A23110" t="s">
        <v>21727</v>
      </c>
    </row>
    <row r="23111" spans="1:1" x14ac:dyDescent="0.25">
      <c r="A23111" t="s">
        <v>21728</v>
      </c>
    </row>
    <row r="23112" spans="1:1" x14ac:dyDescent="0.25">
      <c r="A23112" t="s">
        <v>21729</v>
      </c>
    </row>
    <row r="23113" spans="1:1" x14ac:dyDescent="0.25">
      <c r="A23113" t="s">
        <v>21730</v>
      </c>
    </row>
    <row r="23114" spans="1:1" x14ac:dyDescent="0.25">
      <c r="A23114" t="s">
        <v>21731</v>
      </c>
    </row>
    <row r="23115" spans="1:1" x14ac:dyDescent="0.25">
      <c r="A23115" t="s">
        <v>21732</v>
      </c>
    </row>
    <row r="23116" spans="1:1" x14ac:dyDescent="0.25">
      <c r="A23116" t="s">
        <v>21733</v>
      </c>
    </row>
    <row r="23117" spans="1:1" x14ac:dyDescent="0.25">
      <c r="A23117" t="s">
        <v>21734</v>
      </c>
    </row>
    <row r="23118" spans="1:1" x14ac:dyDescent="0.25">
      <c r="A23118" t="s">
        <v>21735</v>
      </c>
    </row>
    <row r="23119" spans="1:1" x14ac:dyDescent="0.25">
      <c r="A23119" t="s">
        <v>21736</v>
      </c>
    </row>
    <row r="23120" spans="1:1" x14ac:dyDescent="0.25">
      <c r="A23120" t="s">
        <v>21737</v>
      </c>
    </row>
    <row r="23121" spans="1:1" x14ac:dyDescent="0.25">
      <c r="A23121" t="s">
        <v>21738</v>
      </c>
    </row>
    <row r="23122" spans="1:1" x14ac:dyDescent="0.25">
      <c r="A23122" t="s">
        <v>21739</v>
      </c>
    </row>
    <row r="23123" spans="1:1" x14ac:dyDescent="0.25">
      <c r="A23123" t="s">
        <v>21740</v>
      </c>
    </row>
    <row r="23124" spans="1:1" x14ac:dyDescent="0.25">
      <c r="A23124" t="s">
        <v>21741</v>
      </c>
    </row>
    <row r="23125" spans="1:1" x14ac:dyDescent="0.25">
      <c r="A23125" t="s">
        <v>21742</v>
      </c>
    </row>
    <row r="23126" spans="1:1" x14ac:dyDescent="0.25">
      <c r="A23126" t="s">
        <v>21741</v>
      </c>
    </row>
    <row r="23127" spans="1:1" x14ac:dyDescent="0.25">
      <c r="A23127" t="s">
        <v>21742</v>
      </c>
    </row>
    <row r="23128" spans="1:1" x14ac:dyDescent="0.25">
      <c r="A23128" t="s">
        <v>21743</v>
      </c>
    </row>
    <row r="23129" spans="1:1" x14ac:dyDescent="0.25">
      <c r="A23129" t="s">
        <v>21744</v>
      </c>
    </row>
    <row r="23130" spans="1:1" x14ac:dyDescent="0.25">
      <c r="A23130" t="s">
        <v>21745</v>
      </c>
    </row>
    <row r="23131" spans="1:1" x14ac:dyDescent="0.25">
      <c r="A23131" t="s">
        <v>21746</v>
      </c>
    </row>
    <row r="23132" spans="1:1" x14ac:dyDescent="0.25">
      <c r="A23132" t="s">
        <v>21747</v>
      </c>
    </row>
    <row r="23133" spans="1:1" x14ac:dyDescent="0.25">
      <c r="A23133" t="s">
        <v>21748</v>
      </c>
    </row>
    <row r="23134" spans="1:1" x14ac:dyDescent="0.25">
      <c r="A23134" t="s">
        <v>21749</v>
      </c>
    </row>
    <row r="23135" spans="1:1" x14ac:dyDescent="0.25">
      <c r="A23135" t="s">
        <v>21750</v>
      </c>
    </row>
    <row r="23136" spans="1:1" x14ac:dyDescent="0.25">
      <c r="A23136" t="s">
        <v>21751</v>
      </c>
    </row>
    <row r="23137" spans="1:1" x14ac:dyDescent="0.25">
      <c r="A23137" t="s">
        <v>21752</v>
      </c>
    </row>
    <row r="23138" spans="1:1" x14ac:dyDescent="0.25">
      <c r="A23138" t="s">
        <v>21753</v>
      </c>
    </row>
    <row r="23139" spans="1:1" x14ac:dyDescent="0.25">
      <c r="A23139" t="s">
        <v>21754</v>
      </c>
    </row>
    <row r="23140" spans="1:1" x14ac:dyDescent="0.25">
      <c r="A23140" t="s">
        <v>21755</v>
      </c>
    </row>
    <row r="23141" spans="1:1" x14ac:dyDescent="0.25">
      <c r="A23141" t="s">
        <v>21756</v>
      </c>
    </row>
    <row r="23142" spans="1:1" x14ac:dyDescent="0.25">
      <c r="A23142" t="s">
        <v>21757</v>
      </c>
    </row>
    <row r="23143" spans="1:1" x14ac:dyDescent="0.25">
      <c r="A23143" t="s">
        <v>21758</v>
      </c>
    </row>
    <row r="23144" spans="1:1" x14ac:dyDescent="0.25">
      <c r="A23144" t="s">
        <v>21759</v>
      </c>
    </row>
    <row r="23145" spans="1:1" x14ac:dyDescent="0.25">
      <c r="A23145" t="s">
        <v>21760</v>
      </c>
    </row>
    <row r="23146" spans="1:1" x14ac:dyDescent="0.25">
      <c r="A23146" t="s">
        <v>21761</v>
      </c>
    </row>
    <row r="23147" spans="1:1" x14ac:dyDescent="0.25">
      <c r="A23147" t="s">
        <v>21762</v>
      </c>
    </row>
    <row r="23148" spans="1:1" x14ac:dyDescent="0.25">
      <c r="A23148" t="s">
        <v>21763</v>
      </c>
    </row>
    <row r="23149" spans="1:1" x14ac:dyDescent="0.25">
      <c r="A23149" t="s">
        <v>21764</v>
      </c>
    </row>
    <row r="23150" spans="1:1" x14ac:dyDescent="0.25">
      <c r="A23150" t="s">
        <v>21765</v>
      </c>
    </row>
    <row r="23151" spans="1:1" x14ac:dyDescent="0.25">
      <c r="A23151" t="s">
        <v>21766</v>
      </c>
    </row>
    <row r="23152" spans="1:1" x14ac:dyDescent="0.25">
      <c r="A23152" t="s">
        <v>21767</v>
      </c>
    </row>
    <row r="23153" spans="1:1" x14ac:dyDescent="0.25">
      <c r="A23153" t="s">
        <v>21768</v>
      </c>
    </row>
    <row r="23154" spans="1:1" x14ac:dyDescent="0.25">
      <c r="A23154" t="s">
        <v>21769</v>
      </c>
    </row>
    <row r="23155" spans="1:1" x14ac:dyDescent="0.25">
      <c r="A23155" t="s">
        <v>21770</v>
      </c>
    </row>
    <row r="23156" spans="1:1" x14ac:dyDescent="0.25">
      <c r="A23156" t="s">
        <v>21771</v>
      </c>
    </row>
    <row r="23157" spans="1:1" x14ac:dyDescent="0.25">
      <c r="A23157" t="s">
        <v>21772</v>
      </c>
    </row>
    <row r="23158" spans="1:1" x14ac:dyDescent="0.25">
      <c r="A23158" t="s">
        <v>21773</v>
      </c>
    </row>
    <row r="23159" spans="1:1" x14ac:dyDescent="0.25">
      <c r="A23159" t="s">
        <v>21774</v>
      </c>
    </row>
    <row r="23160" spans="1:1" x14ac:dyDescent="0.25">
      <c r="A23160" t="s">
        <v>21775</v>
      </c>
    </row>
    <row r="23161" spans="1:1" x14ac:dyDescent="0.25">
      <c r="A23161" t="s">
        <v>21776</v>
      </c>
    </row>
    <row r="23162" spans="1:1" x14ac:dyDescent="0.25">
      <c r="A23162" t="s">
        <v>21777</v>
      </c>
    </row>
    <row r="23163" spans="1:1" x14ac:dyDescent="0.25">
      <c r="A23163" t="s">
        <v>21778</v>
      </c>
    </row>
    <row r="23164" spans="1:1" x14ac:dyDescent="0.25">
      <c r="A23164" t="s">
        <v>21779</v>
      </c>
    </row>
    <row r="23165" spans="1:1" x14ac:dyDescent="0.25">
      <c r="A23165" t="s">
        <v>21780</v>
      </c>
    </row>
    <row r="23166" spans="1:1" x14ac:dyDescent="0.25">
      <c r="A23166" t="s">
        <v>21781</v>
      </c>
    </row>
    <row r="23167" spans="1:1" x14ac:dyDescent="0.25">
      <c r="A23167" t="s">
        <v>21782</v>
      </c>
    </row>
    <row r="23168" spans="1:1" x14ac:dyDescent="0.25">
      <c r="A23168" t="s">
        <v>21783</v>
      </c>
    </row>
    <row r="23169" spans="1:1" x14ac:dyDescent="0.25">
      <c r="A23169" t="s">
        <v>21784</v>
      </c>
    </row>
    <row r="23170" spans="1:1" x14ac:dyDescent="0.25">
      <c r="A23170" t="s">
        <v>21785</v>
      </c>
    </row>
    <row r="23171" spans="1:1" x14ac:dyDescent="0.25">
      <c r="A23171" t="s">
        <v>21786</v>
      </c>
    </row>
    <row r="23172" spans="1:1" x14ac:dyDescent="0.25">
      <c r="A23172" t="s">
        <v>21787</v>
      </c>
    </row>
    <row r="23173" spans="1:1" x14ac:dyDescent="0.25">
      <c r="A23173" t="s">
        <v>21788</v>
      </c>
    </row>
    <row r="23174" spans="1:1" x14ac:dyDescent="0.25">
      <c r="A23174" t="s">
        <v>21789</v>
      </c>
    </row>
    <row r="23176" spans="1:1" x14ac:dyDescent="0.25">
      <c r="A23176" t="s">
        <v>21790</v>
      </c>
    </row>
    <row r="23177" spans="1:1" x14ac:dyDescent="0.25">
      <c r="A23177" t="s">
        <v>21791</v>
      </c>
    </row>
    <row r="23178" spans="1:1" x14ac:dyDescent="0.25">
      <c r="A23178" t="s">
        <v>21792</v>
      </c>
    </row>
    <row r="23179" spans="1:1" x14ac:dyDescent="0.25">
      <c r="A23179" t="s">
        <v>21793</v>
      </c>
    </row>
    <row r="23180" spans="1:1" x14ac:dyDescent="0.25">
      <c r="A23180" t="s">
        <v>21794</v>
      </c>
    </row>
    <row r="23181" spans="1:1" x14ac:dyDescent="0.25">
      <c r="A23181" t="s">
        <v>21795</v>
      </c>
    </row>
    <row r="23182" spans="1:1" x14ac:dyDescent="0.25">
      <c r="A23182" t="s">
        <v>21796</v>
      </c>
    </row>
    <row r="23183" spans="1:1" x14ac:dyDescent="0.25">
      <c r="A23183" t="s">
        <v>21797</v>
      </c>
    </row>
    <row r="23184" spans="1:1" x14ac:dyDescent="0.25">
      <c r="A23184" t="s">
        <v>21798</v>
      </c>
    </row>
    <row r="23185" spans="1:1" x14ac:dyDescent="0.25">
      <c r="A23185" t="s">
        <v>21799</v>
      </c>
    </row>
    <row r="23186" spans="1:1" x14ac:dyDescent="0.25">
      <c r="A23186" t="s">
        <v>21800</v>
      </c>
    </row>
    <row r="23187" spans="1:1" x14ac:dyDescent="0.25">
      <c r="A23187" t="s">
        <v>21801</v>
      </c>
    </row>
    <row r="23188" spans="1:1" x14ac:dyDescent="0.25">
      <c r="A23188" t="s">
        <v>21802</v>
      </c>
    </row>
    <row r="23189" spans="1:1" x14ac:dyDescent="0.25">
      <c r="A23189" t="s">
        <v>21803</v>
      </c>
    </row>
    <row r="23190" spans="1:1" x14ac:dyDescent="0.25">
      <c r="A23190" t="s">
        <v>21804</v>
      </c>
    </row>
    <row r="23191" spans="1:1" x14ac:dyDescent="0.25">
      <c r="A23191" t="s">
        <v>21805</v>
      </c>
    </row>
    <row r="23192" spans="1:1" x14ac:dyDescent="0.25">
      <c r="A23192" t="s">
        <v>21806</v>
      </c>
    </row>
    <row r="23193" spans="1:1" x14ac:dyDescent="0.25">
      <c r="A23193" t="s">
        <v>21807</v>
      </c>
    </row>
    <row r="23195" spans="1:1" x14ac:dyDescent="0.25">
      <c r="A23195" t="s">
        <v>11270</v>
      </c>
    </row>
    <row r="23196" spans="1:1" x14ac:dyDescent="0.25">
      <c r="A23196" t="s">
        <v>21808</v>
      </c>
    </row>
    <row r="23197" spans="1:1" x14ac:dyDescent="0.25">
      <c r="A23197" t="s">
        <v>21809</v>
      </c>
    </row>
    <row r="23198" spans="1:1" x14ac:dyDescent="0.25">
      <c r="A23198" t="s">
        <v>21810</v>
      </c>
    </row>
    <row r="23199" spans="1:1" x14ac:dyDescent="0.25">
      <c r="A23199" t="s">
        <v>21811</v>
      </c>
    </row>
    <row r="23200" spans="1:1" x14ac:dyDescent="0.25">
      <c r="A23200" t="s">
        <v>21812</v>
      </c>
    </row>
    <row r="23201" spans="1:1" x14ac:dyDescent="0.25">
      <c r="A23201" t="s">
        <v>21813</v>
      </c>
    </row>
    <row r="23202" spans="1:1" x14ac:dyDescent="0.25">
      <c r="A23202" t="s">
        <v>21814</v>
      </c>
    </row>
    <row r="23203" spans="1:1" x14ac:dyDescent="0.25">
      <c r="A23203" t="s">
        <v>21815</v>
      </c>
    </row>
    <row r="23204" spans="1:1" x14ac:dyDescent="0.25">
      <c r="A23204" t="s">
        <v>21816</v>
      </c>
    </row>
    <row r="23205" spans="1:1" x14ac:dyDescent="0.25">
      <c r="A23205" t="s">
        <v>21817</v>
      </c>
    </row>
    <row r="23206" spans="1:1" x14ac:dyDescent="0.25">
      <c r="A23206" t="s">
        <v>21818</v>
      </c>
    </row>
    <row r="23207" spans="1:1" x14ac:dyDescent="0.25">
      <c r="A23207" t="s">
        <v>21819</v>
      </c>
    </row>
    <row r="23208" spans="1:1" x14ac:dyDescent="0.25">
      <c r="A23208" t="s">
        <v>21820</v>
      </c>
    </row>
    <row r="23209" spans="1:1" x14ac:dyDescent="0.25">
      <c r="A23209" t="s">
        <v>21821</v>
      </c>
    </row>
    <row r="23210" spans="1:1" x14ac:dyDescent="0.25">
      <c r="A23210" t="s">
        <v>21822</v>
      </c>
    </row>
    <row r="23211" spans="1:1" x14ac:dyDescent="0.25">
      <c r="A23211" t="s">
        <v>21823</v>
      </c>
    </row>
    <row r="23212" spans="1:1" x14ac:dyDescent="0.25">
      <c r="A23212" t="s">
        <v>21824</v>
      </c>
    </row>
    <row r="23213" spans="1:1" x14ac:dyDescent="0.25">
      <c r="A23213" t="s">
        <v>21825</v>
      </c>
    </row>
    <row r="23214" spans="1:1" x14ac:dyDescent="0.25">
      <c r="A23214" t="s">
        <v>21826</v>
      </c>
    </row>
    <row r="23215" spans="1:1" x14ac:dyDescent="0.25">
      <c r="A23215" t="s">
        <v>21827</v>
      </c>
    </row>
    <row r="23216" spans="1:1" x14ac:dyDescent="0.25">
      <c r="A23216" t="s">
        <v>21828</v>
      </c>
    </row>
    <row r="23217" spans="1:1" x14ac:dyDescent="0.25">
      <c r="A23217" t="s">
        <v>21829</v>
      </c>
    </row>
    <row r="23218" spans="1:1" x14ac:dyDescent="0.25">
      <c r="A23218" t="s">
        <v>21830</v>
      </c>
    </row>
    <row r="23219" spans="1:1" x14ac:dyDescent="0.25">
      <c r="A23219" t="s">
        <v>21831</v>
      </c>
    </row>
    <row r="23220" spans="1:1" x14ac:dyDescent="0.25">
      <c r="A23220" t="s">
        <v>21832</v>
      </c>
    </row>
    <row r="23221" spans="1:1" x14ac:dyDescent="0.25">
      <c r="A23221" t="s">
        <v>21833</v>
      </c>
    </row>
    <row r="23222" spans="1:1" x14ac:dyDescent="0.25">
      <c r="A23222" t="s">
        <v>21834</v>
      </c>
    </row>
    <row r="23223" spans="1:1" x14ac:dyDescent="0.25">
      <c r="A23223" t="s">
        <v>21835</v>
      </c>
    </row>
    <row r="23224" spans="1:1" x14ac:dyDescent="0.25">
      <c r="A23224" t="s">
        <v>21836</v>
      </c>
    </row>
    <row r="23225" spans="1:1" x14ac:dyDescent="0.25">
      <c r="A23225" t="s">
        <v>21837</v>
      </c>
    </row>
    <row r="23226" spans="1:1" x14ac:dyDescent="0.25">
      <c r="A23226" t="s">
        <v>21838</v>
      </c>
    </row>
    <row r="23227" spans="1:1" x14ac:dyDescent="0.25">
      <c r="A23227" t="s">
        <v>21839</v>
      </c>
    </row>
    <row r="23228" spans="1:1" x14ac:dyDescent="0.25">
      <c r="A23228" t="s">
        <v>21840</v>
      </c>
    </row>
    <row r="23229" spans="1:1" x14ac:dyDescent="0.25">
      <c r="A23229" t="s">
        <v>21841</v>
      </c>
    </row>
    <row r="23230" spans="1:1" x14ac:dyDescent="0.25">
      <c r="A23230" t="s">
        <v>21842</v>
      </c>
    </row>
    <row r="23231" spans="1:1" x14ac:dyDescent="0.25">
      <c r="A23231" t="s">
        <v>21843</v>
      </c>
    </row>
    <row r="23232" spans="1:1" x14ac:dyDescent="0.25">
      <c r="A23232" t="s">
        <v>21844</v>
      </c>
    </row>
    <row r="23233" spans="1:1" x14ac:dyDescent="0.25">
      <c r="A23233" t="s">
        <v>21845</v>
      </c>
    </row>
    <row r="23234" spans="1:1" x14ac:dyDescent="0.25">
      <c r="A23234" t="s">
        <v>21846</v>
      </c>
    </row>
    <row r="23235" spans="1:1" x14ac:dyDescent="0.25">
      <c r="A23235" t="s">
        <v>21847</v>
      </c>
    </row>
    <row r="23236" spans="1:1" x14ac:dyDescent="0.25">
      <c r="A23236" t="s">
        <v>21848</v>
      </c>
    </row>
    <row r="23237" spans="1:1" x14ac:dyDescent="0.25">
      <c r="A23237" t="s">
        <v>21849</v>
      </c>
    </row>
    <row r="23238" spans="1:1" x14ac:dyDescent="0.25">
      <c r="A23238" t="s">
        <v>21850</v>
      </c>
    </row>
    <row r="23239" spans="1:1" x14ac:dyDescent="0.25">
      <c r="A23239" t="s">
        <v>21851</v>
      </c>
    </row>
    <row r="23240" spans="1:1" x14ac:dyDescent="0.25">
      <c r="A23240" t="s">
        <v>21852</v>
      </c>
    </row>
    <row r="23241" spans="1:1" x14ac:dyDescent="0.25">
      <c r="A23241" t="s">
        <v>21853</v>
      </c>
    </row>
    <row r="23242" spans="1:1" x14ac:dyDescent="0.25">
      <c r="A23242" t="s">
        <v>21854</v>
      </c>
    </row>
    <row r="23243" spans="1:1" x14ac:dyDescent="0.25">
      <c r="A23243" t="s">
        <v>21855</v>
      </c>
    </row>
    <row r="23244" spans="1:1" x14ac:dyDescent="0.25">
      <c r="A23244" t="s">
        <v>21856</v>
      </c>
    </row>
    <row r="23245" spans="1:1" x14ac:dyDescent="0.25">
      <c r="A23245" t="s">
        <v>21857</v>
      </c>
    </row>
    <row r="23246" spans="1:1" x14ac:dyDescent="0.25">
      <c r="A23246" t="s">
        <v>7877</v>
      </c>
    </row>
    <row r="23247" spans="1:1" x14ac:dyDescent="0.25">
      <c r="A23247" t="s">
        <v>21858</v>
      </c>
    </row>
    <row r="23248" spans="1:1" x14ac:dyDescent="0.25">
      <c r="A23248" t="s">
        <v>21859</v>
      </c>
    </row>
    <row r="23249" spans="1:1" x14ac:dyDescent="0.25">
      <c r="A23249" t="s">
        <v>21860</v>
      </c>
    </row>
    <row r="23250" spans="1:1" x14ac:dyDescent="0.25">
      <c r="A23250" t="s">
        <v>21861</v>
      </c>
    </row>
    <row r="23251" spans="1:1" x14ac:dyDescent="0.25">
      <c r="A23251" t="s">
        <v>21862</v>
      </c>
    </row>
    <row r="23252" spans="1:1" x14ac:dyDescent="0.25">
      <c r="A23252" t="s">
        <v>21863</v>
      </c>
    </row>
    <row r="23253" spans="1:1" x14ac:dyDescent="0.25">
      <c r="A23253" t="s">
        <v>21864</v>
      </c>
    </row>
    <row r="23254" spans="1:1" x14ac:dyDescent="0.25">
      <c r="A23254" t="s">
        <v>21865</v>
      </c>
    </row>
    <row r="23255" spans="1:1" x14ac:dyDescent="0.25">
      <c r="A23255" t="s">
        <v>21866</v>
      </c>
    </row>
    <row r="23256" spans="1:1" x14ac:dyDescent="0.25">
      <c r="A23256" t="s">
        <v>21867</v>
      </c>
    </row>
    <row r="23257" spans="1:1" x14ac:dyDescent="0.25">
      <c r="A23257" t="s">
        <v>21868</v>
      </c>
    </row>
    <row r="23258" spans="1:1" x14ac:dyDescent="0.25">
      <c r="A23258" t="s">
        <v>21869</v>
      </c>
    </row>
    <row r="23260" spans="1:1" x14ac:dyDescent="0.25">
      <c r="A23260" t="s">
        <v>21870</v>
      </c>
    </row>
    <row r="23261" spans="1:1" x14ac:dyDescent="0.25">
      <c r="A23261" t="s">
        <v>21871</v>
      </c>
    </row>
    <row r="23262" spans="1:1" x14ac:dyDescent="0.25">
      <c r="A23262" t="s">
        <v>21872</v>
      </c>
    </row>
    <row r="23263" spans="1:1" x14ac:dyDescent="0.25">
      <c r="A23263" t="s">
        <v>21873</v>
      </c>
    </row>
    <row r="23264" spans="1:1" x14ac:dyDescent="0.25">
      <c r="A23264" t="s">
        <v>21874</v>
      </c>
    </row>
    <row r="23265" spans="1:5" x14ac:dyDescent="0.25">
      <c r="A23265" t="s">
        <v>21875</v>
      </c>
    </row>
    <row r="23266" spans="1:5" x14ac:dyDescent="0.25">
      <c r="A23266" t="s">
        <v>21876</v>
      </c>
    </row>
    <row r="23267" spans="1:5" x14ac:dyDescent="0.25">
      <c r="A23267" t="s">
        <v>21877</v>
      </c>
    </row>
    <row r="23269" spans="1:5" x14ac:dyDescent="0.25">
      <c r="A23269" t="s">
        <v>21878</v>
      </c>
    </row>
    <row r="23270" spans="1:5" x14ac:dyDescent="0.25">
      <c r="A23270" t="s">
        <v>21879</v>
      </c>
    </row>
    <row r="23271" spans="1:5" x14ac:dyDescent="0.25">
      <c r="A23271" t="s">
        <v>21880</v>
      </c>
    </row>
    <row r="23272" spans="1:5" x14ac:dyDescent="0.25">
      <c r="A23272" t="s">
        <v>21881</v>
      </c>
      <c r="B23272" t="s">
        <v>8544</v>
      </c>
      <c r="C23272" t="s">
        <v>8545</v>
      </c>
      <c r="D23272" t="s">
        <v>8546</v>
      </c>
      <c r="E23272" t="s">
        <v>8547</v>
      </c>
    </row>
    <row r="23273" spans="1:5" x14ac:dyDescent="0.25">
      <c r="A23273" t="s">
        <v>1278</v>
      </c>
      <c r="B23273" t="s">
        <v>4946</v>
      </c>
      <c r="C23273">
        <v>1466.45</v>
      </c>
      <c r="D23273" t="s">
        <v>3428</v>
      </c>
      <c r="E23273">
        <v>828</v>
      </c>
    </row>
    <row r="23274" spans="1:5" x14ac:dyDescent="0.25">
      <c r="A23274" t="s">
        <v>4948</v>
      </c>
      <c r="B23274" t="s">
        <v>4946</v>
      </c>
      <c r="C23274">
        <v>943.16</v>
      </c>
      <c r="D23274" t="s">
        <v>3428</v>
      </c>
      <c r="E23274">
        <v>899</v>
      </c>
    </row>
    <row r="23276" spans="1:5" x14ac:dyDescent="0.25">
      <c r="A23276" t="s">
        <v>21882</v>
      </c>
    </row>
    <row r="23277" spans="1:5" x14ac:dyDescent="0.25">
      <c r="A23277" t="s">
        <v>21883</v>
      </c>
    </row>
    <row r="23278" spans="1:5" x14ac:dyDescent="0.25">
      <c r="A23278" t="s">
        <v>21884</v>
      </c>
    </row>
    <row r="23279" spans="1:5" x14ac:dyDescent="0.25">
      <c r="A23279" t="s">
        <v>21885</v>
      </c>
    </row>
    <row r="23280" spans="1:5" x14ac:dyDescent="0.25">
      <c r="A23280" t="s">
        <v>21886</v>
      </c>
    </row>
    <row r="23281" spans="1:1" x14ac:dyDescent="0.25">
      <c r="A23281" t="s">
        <v>21887</v>
      </c>
    </row>
    <row r="23282" spans="1:1" x14ac:dyDescent="0.25">
      <c r="A23282" t="s">
        <v>21888</v>
      </c>
    </row>
    <row r="23283" spans="1:1" x14ac:dyDescent="0.25">
      <c r="A23283" t="s">
        <v>21889</v>
      </c>
    </row>
    <row r="23284" spans="1:1" x14ac:dyDescent="0.25">
      <c r="A23284" t="s">
        <v>21890</v>
      </c>
    </row>
    <row r="23285" spans="1:1" x14ac:dyDescent="0.25">
      <c r="A23285" t="s">
        <v>21891</v>
      </c>
    </row>
    <row r="23286" spans="1:1" x14ac:dyDescent="0.25">
      <c r="A23286" t="s">
        <v>21892</v>
      </c>
    </row>
    <row r="23287" spans="1:1" x14ac:dyDescent="0.25">
      <c r="A23287" t="s">
        <v>21893</v>
      </c>
    </row>
    <row r="23288" spans="1:1" x14ac:dyDescent="0.25">
      <c r="A23288" t="s">
        <v>21894</v>
      </c>
    </row>
    <row r="23289" spans="1:1" x14ac:dyDescent="0.25">
      <c r="A23289" t="s">
        <v>21895</v>
      </c>
    </row>
    <row r="23290" spans="1:1" x14ac:dyDescent="0.25">
      <c r="A23290" t="s">
        <v>21896</v>
      </c>
    </row>
    <row r="23291" spans="1:1" x14ac:dyDescent="0.25">
      <c r="A23291" t="s">
        <v>21897</v>
      </c>
    </row>
    <row r="23292" spans="1:1" x14ac:dyDescent="0.25">
      <c r="A23292" t="s">
        <v>21898</v>
      </c>
    </row>
    <row r="23293" spans="1:1" x14ac:dyDescent="0.25">
      <c r="A23293" t="s">
        <v>21899</v>
      </c>
    </row>
    <row r="23294" spans="1:1" x14ac:dyDescent="0.25">
      <c r="A23294" t="s">
        <v>21900</v>
      </c>
    </row>
    <row r="23295" spans="1:1" x14ac:dyDescent="0.25">
      <c r="A23295" t="s">
        <v>21901</v>
      </c>
    </row>
    <row r="23296" spans="1:1" x14ac:dyDescent="0.25">
      <c r="A23296" t="s">
        <v>21902</v>
      </c>
    </row>
    <row r="23297" spans="1:1" x14ac:dyDescent="0.25">
      <c r="A23297" t="s">
        <v>21903</v>
      </c>
    </row>
    <row r="23298" spans="1:1" x14ac:dyDescent="0.25">
      <c r="A23298" t="s">
        <v>21904</v>
      </c>
    </row>
    <row r="23299" spans="1:1" x14ac:dyDescent="0.25">
      <c r="A23299" t="s">
        <v>21905</v>
      </c>
    </row>
    <row r="23300" spans="1:1" x14ac:dyDescent="0.25">
      <c r="A23300" t="s">
        <v>21906</v>
      </c>
    </row>
    <row r="23301" spans="1:1" x14ac:dyDescent="0.25">
      <c r="A23301" t="s">
        <v>21907</v>
      </c>
    </row>
    <row r="23302" spans="1:1" x14ac:dyDescent="0.25">
      <c r="A23302" t="s">
        <v>21908</v>
      </c>
    </row>
    <row r="23303" spans="1:1" x14ac:dyDescent="0.25">
      <c r="A23303" t="s">
        <v>21909</v>
      </c>
    </row>
    <row r="23304" spans="1:1" x14ac:dyDescent="0.25">
      <c r="A23304" t="s">
        <v>21910</v>
      </c>
    </row>
    <row r="23305" spans="1:1" x14ac:dyDescent="0.25">
      <c r="A23305" t="s">
        <v>21911</v>
      </c>
    </row>
    <row r="23306" spans="1:1" x14ac:dyDescent="0.25">
      <c r="A23306" t="s">
        <v>21912</v>
      </c>
    </row>
    <row r="23307" spans="1:1" x14ac:dyDescent="0.25">
      <c r="A23307" t="s">
        <v>21913</v>
      </c>
    </row>
    <row r="23308" spans="1:1" x14ac:dyDescent="0.25">
      <c r="A23308" t="s">
        <v>21914</v>
      </c>
    </row>
    <row r="23309" spans="1:1" x14ac:dyDescent="0.25">
      <c r="A23309" t="s">
        <v>21915</v>
      </c>
    </row>
    <row r="23310" spans="1:1" x14ac:dyDescent="0.25">
      <c r="A23310" t="s">
        <v>21916</v>
      </c>
    </row>
    <row r="23311" spans="1:1" x14ac:dyDescent="0.25">
      <c r="A23311" t="s">
        <v>21917</v>
      </c>
    </row>
    <row r="23312" spans="1:1" x14ac:dyDescent="0.25">
      <c r="A23312" t="s">
        <v>21918</v>
      </c>
    </row>
    <row r="23313" spans="1:4" x14ac:dyDescent="0.25">
      <c r="A23313" t="s">
        <v>21919</v>
      </c>
    </row>
    <row r="23314" spans="1:4" x14ac:dyDescent="0.25">
      <c r="A23314" t="s">
        <v>21920</v>
      </c>
    </row>
    <row r="23315" spans="1:4" x14ac:dyDescent="0.25">
      <c r="A23315" t="s">
        <v>21921</v>
      </c>
    </row>
    <row r="23316" spans="1:4" x14ac:dyDescent="0.25">
      <c r="A23316" t="s">
        <v>21922</v>
      </c>
    </row>
    <row r="23317" spans="1:4" x14ac:dyDescent="0.25">
      <c r="A23317" t="s">
        <v>21923</v>
      </c>
    </row>
    <row r="23318" spans="1:4" x14ac:dyDescent="0.25">
      <c r="A23318" t="s">
        <v>21924</v>
      </c>
    </row>
    <row r="23319" spans="1:4" x14ac:dyDescent="0.25">
      <c r="A23319" t="s">
        <v>21925</v>
      </c>
    </row>
    <row r="23320" spans="1:4" x14ac:dyDescent="0.25">
      <c r="A23320" t="s">
        <v>21926</v>
      </c>
    </row>
    <row r="23321" spans="1:4" x14ac:dyDescent="0.25">
      <c r="A23321" t="s">
        <v>21927</v>
      </c>
    </row>
    <row r="23322" spans="1:4" x14ac:dyDescent="0.25">
      <c r="A23322" t="s">
        <v>21928</v>
      </c>
    </row>
    <row r="23323" spans="1:4" x14ac:dyDescent="0.25">
      <c r="A23323" t="s">
        <v>21929</v>
      </c>
    </row>
    <row r="23324" spans="1:4" x14ac:dyDescent="0.25">
      <c r="A23324" t="s">
        <v>21930</v>
      </c>
    </row>
    <row r="23325" spans="1:4" x14ac:dyDescent="0.25">
      <c r="A23325" t="s">
        <v>21931</v>
      </c>
    </row>
    <row r="23326" spans="1:4" x14ac:dyDescent="0.25">
      <c r="A23326" t="s">
        <v>21932</v>
      </c>
    </row>
    <row r="23328" spans="1:4" x14ac:dyDescent="0.25">
      <c r="A23328" t="s">
        <v>21933</v>
      </c>
      <c r="B23328">
        <v>201801</v>
      </c>
      <c r="C23328" t="s">
        <v>2014</v>
      </c>
      <c r="D23328">
        <v>2703</v>
      </c>
    </row>
    <row r="23330" spans="1:4" x14ac:dyDescent="0.25">
      <c r="A23330" t="s">
        <v>21934</v>
      </c>
    </row>
    <row r="23333" spans="1:4" x14ac:dyDescent="0.25">
      <c r="A23333" t="s">
        <v>21930</v>
      </c>
    </row>
    <row r="23334" spans="1:4" x14ac:dyDescent="0.25">
      <c r="A23334" t="s">
        <v>21931</v>
      </c>
    </row>
    <row r="23335" spans="1:4" x14ac:dyDescent="0.25">
      <c r="A23335" t="s">
        <v>21932</v>
      </c>
    </row>
    <row r="23337" spans="1:4" x14ac:dyDescent="0.25">
      <c r="A23337" t="s">
        <v>21933</v>
      </c>
      <c r="B23337">
        <v>201801</v>
      </c>
      <c r="C23337" t="s">
        <v>2014</v>
      </c>
      <c r="D23337">
        <v>2703</v>
      </c>
    </row>
    <row r="23338" spans="1:4" x14ac:dyDescent="0.25">
      <c r="A23338" t="s">
        <v>21934</v>
      </c>
    </row>
    <row r="23340" spans="1:4" x14ac:dyDescent="0.25">
      <c r="A23340" t="s">
        <v>21935</v>
      </c>
    </row>
    <row r="23341" spans="1:4" x14ac:dyDescent="0.25">
      <c r="A23341" t="s">
        <v>21936</v>
      </c>
    </row>
    <row r="23342" spans="1:4" x14ac:dyDescent="0.25">
      <c r="A23342" t="s">
        <v>21937</v>
      </c>
    </row>
    <row r="23343" spans="1:4" x14ac:dyDescent="0.25">
      <c r="A23343" t="s">
        <v>21938</v>
      </c>
    </row>
    <row r="23344" spans="1:4" x14ac:dyDescent="0.25">
      <c r="A23344" t="s">
        <v>21939</v>
      </c>
    </row>
    <row r="23345" spans="1:1" x14ac:dyDescent="0.25">
      <c r="A23345" t="s">
        <v>1463</v>
      </c>
    </row>
    <row r="23346" spans="1:1" x14ac:dyDescent="0.25">
      <c r="A23346" t="s">
        <v>21940</v>
      </c>
    </row>
    <row r="23347" spans="1:1" x14ac:dyDescent="0.25">
      <c r="A23347" t="s">
        <v>21941</v>
      </c>
    </row>
    <row r="23348" spans="1:1" x14ac:dyDescent="0.25">
      <c r="A23348" t="s">
        <v>21942</v>
      </c>
    </row>
    <row r="23349" spans="1:1" x14ac:dyDescent="0.25">
      <c r="A23349" t="s">
        <v>21943</v>
      </c>
    </row>
    <row r="23350" spans="1:1" x14ac:dyDescent="0.25">
      <c r="A23350" t="s">
        <v>21944</v>
      </c>
    </row>
    <row r="23351" spans="1:1" x14ac:dyDescent="0.25">
      <c r="A23351" t="s">
        <v>21945</v>
      </c>
    </row>
    <row r="23352" spans="1:1" x14ac:dyDescent="0.25">
      <c r="A23352" t="s">
        <v>21946</v>
      </c>
    </row>
    <row r="23353" spans="1:1" x14ac:dyDescent="0.25">
      <c r="A23353" t="s">
        <v>21947</v>
      </c>
    </row>
    <row r="23354" spans="1:1" x14ac:dyDescent="0.25">
      <c r="A23354" t="s">
        <v>21948</v>
      </c>
    </row>
    <row r="23355" spans="1:1" x14ac:dyDescent="0.25">
      <c r="A23355" t="s">
        <v>21949</v>
      </c>
    </row>
    <row r="23356" spans="1:1" x14ac:dyDescent="0.25">
      <c r="A23356" t="s">
        <v>21950</v>
      </c>
    </row>
    <row r="23357" spans="1:1" x14ac:dyDescent="0.25">
      <c r="A23357" t="s">
        <v>21951</v>
      </c>
    </row>
    <row r="23358" spans="1:1" x14ac:dyDescent="0.25">
      <c r="A23358" t="s">
        <v>21952</v>
      </c>
    </row>
    <row r="23359" spans="1:1" x14ac:dyDescent="0.25">
      <c r="A23359" t="s">
        <v>21953</v>
      </c>
    </row>
    <row r="23360" spans="1:1" x14ac:dyDescent="0.25">
      <c r="A23360" t="s">
        <v>21954</v>
      </c>
    </row>
    <row r="23361" spans="1:1" x14ac:dyDescent="0.25">
      <c r="A23361" t="s">
        <v>21955</v>
      </c>
    </row>
    <row r="23362" spans="1:1" x14ac:dyDescent="0.25">
      <c r="A23362" t="s">
        <v>21956</v>
      </c>
    </row>
    <row r="23363" spans="1:1" x14ac:dyDescent="0.25">
      <c r="A23363" t="s">
        <v>21957</v>
      </c>
    </row>
    <row r="23364" spans="1:1" x14ac:dyDescent="0.25">
      <c r="A23364" t="s">
        <v>21958</v>
      </c>
    </row>
    <row r="23365" spans="1:1" x14ac:dyDescent="0.25">
      <c r="A23365" t="s">
        <v>21959</v>
      </c>
    </row>
    <row r="23366" spans="1:1" x14ac:dyDescent="0.25">
      <c r="A23366" t="s">
        <v>21960</v>
      </c>
    </row>
    <row r="23367" spans="1:1" x14ac:dyDescent="0.25">
      <c r="A23367" t="s">
        <v>21961</v>
      </c>
    </row>
    <row r="23368" spans="1:1" x14ac:dyDescent="0.25">
      <c r="A23368" t="s">
        <v>21962</v>
      </c>
    </row>
    <row r="23369" spans="1:1" x14ac:dyDescent="0.25">
      <c r="A23369" t="s">
        <v>21963</v>
      </c>
    </row>
    <row r="23370" spans="1:1" x14ac:dyDescent="0.25">
      <c r="A23370" t="s">
        <v>21964</v>
      </c>
    </row>
    <row r="23371" spans="1:1" x14ac:dyDescent="0.25">
      <c r="A23371" t="s">
        <v>21965</v>
      </c>
    </row>
    <row r="23372" spans="1:1" x14ac:dyDescent="0.25">
      <c r="A23372" t="s">
        <v>21966</v>
      </c>
    </row>
    <row r="23373" spans="1:1" x14ac:dyDescent="0.25">
      <c r="A23373" t="s">
        <v>21967</v>
      </c>
    </row>
    <row r="23374" spans="1:1" x14ac:dyDescent="0.25">
      <c r="A23374" t="s">
        <v>21968</v>
      </c>
    </row>
    <row r="23375" spans="1:1" x14ac:dyDescent="0.25">
      <c r="A23375" t="s">
        <v>21969</v>
      </c>
    </row>
    <row r="23376" spans="1:1" x14ac:dyDescent="0.25">
      <c r="A23376" t="s">
        <v>21970</v>
      </c>
    </row>
    <row r="23377" spans="1:1" x14ac:dyDescent="0.25">
      <c r="A23377" t="s">
        <v>21971</v>
      </c>
    </row>
    <row r="23378" spans="1:1" x14ac:dyDescent="0.25">
      <c r="A23378" t="s">
        <v>21972</v>
      </c>
    </row>
    <row r="23379" spans="1:1" x14ac:dyDescent="0.25">
      <c r="A23379" t="s">
        <v>21973</v>
      </c>
    </row>
    <row r="23381" spans="1:1" x14ac:dyDescent="0.25">
      <c r="A23381" t="s">
        <v>21974</v>
      </c>
    </row>
    <row r="23382" spans="1:1" x14ac:dyDescent="0.25">
      <c r="A23382" t="s">
        <v>21975</v>
      </c>
    </row>
    <row r="23383" spans="1:1" x14ac:dyDescent="0.25">
      <c r="A23383" t="s">
        <v>21976</v>
      </c>
    </row>
    <row r="23384" spans="1:1" x14ac:dyDescent="0.25">
      <c r="A23384" t="s">
        <v>21977</v>
      </c>
    </row>
    <row r="23385" spans="1:1" x14ac:dyDescent="0.25">
      <c r="A23385" t="s">
        <v>21978</v>
      </c>
    </row>
    <row r="23386" spans="1:1" x14ac:dyDescent="0.25">
      <c r="A23386" t="s">
        <v>21979</v>
      </c>
    </row>
    <row r="23387" spans="1:1" x14ac:dyDescent="0.25">
      <c r="A23387" t="s">
        <v>21980</v>
      </c>
    </row>
    <row r="23388" spans="1:1" x14ac:dyDescent="0.25">
      <c r="A23388" t="s">
        <v>21981</v>
      </c>
    </row>
    <row r="23389" spans="1:1" x14ac:dyDescent="0.25">
      <c r="A23389" t="s">
        <v>21982</v>
      </c>
    </row>
    <row r="23390" spans="1:1" x14ac:dyDescent="0.25">
      <c r="A23390" t="s">
        <v>21983</v>
      </c>
    </row>
    <row r="23391" spans="1:1" x14ac:dyDescent="0.25">
      <c r="A23391" t="s">
        <v>21984</v>
      </c>
    </row>
    <row r="23392" spans="1:1" x14ac:dyDescent="0.25">
      <c r="A23392" t="s">
        <v>21985</v>
      </c>
    </row>
    <row r="23393" spans="1:1" x14ac:dyDescent="0.25">
      <c r="A23393" t="s">
        <v>21986</v>
      </c>
    </row>
    <row r="23394" spans="1:1" x14ac:dyDescent="0.25">
      <c r="A23394" t="s">
        <v>21987</v>
      </c>
    </row>
    <row r="23395" spans="1:1" x14ac:dyDescent="0.25">
      <c r="A23395" t="s">
        <v>21988</v>
      </c>
    </row>
    <row r="23396" spans="1:1" x14ac:dyDescent="0.25">
      <c r="A23396" t="s">
        <v>21989</v>
      </c>
    </row>
    <row r="23397" spans="1:1" x14ac:dyDescent="0.25">
      <c r="A23397" t="s">
        <v>21990</v>
      </c>
    </row>
    <row r="23398" spans="1:1" x14ac:dyDescent="0.25">
      <c r="A23398" t="s">
        <v>21991</v>
      </c>
    </row>
    <row r="23399" spans="1:1" x14ac:dyDescent="0.25">
      <c r="A23399" t="s">
        <v>21992</v>
      </c>
    </row>
    <row r="23400" spans="1:1" x14ac:dyDescent="0.25">
      <c r="A23400" t="s">
        <v>21993</v>
      </c>
    </row>
    <row r="23401" spans="1:1" x14ac:dyDescent="0.25">
      <c r="A23401" t="s">
        <v>21994</v>
      </c>
    </row>
    <row r="23402" spans="1:1" x14ac:dyDescent="0.25">
      <c r="A23402" t="s">
        <v>21995</v>
      </c>
    </row>
    <row r="23403" spans="1:1" x14ac:dyDescent="0.25">
      <c r="A23403" t="s">
        <v>21996</v>
      </c>
    </row>
    <row r="23404" spans="1:1" x14ac:dyDescent="0.25">
      <c r="A23404" t="s">
        <v>21997</v>
      </c>
    </row>
    <row r="23405" spans="1:1" x14ac:dyDescent="0.25">
      <c r="A23405" t="s">
        <v>21998</v>
      </c>
    </row>
    <row r="23406" spans="1:1" x14ac:dyDescent="0.25">
      <c r="A23406" t="s">
        <v>21999</v>
      </c>
    </row>
    <row r="23408" spans="1:1" x14ac:dyDescent="0.25">
      <c r="A23408" t="s">
        <v>22000</v>
      </c>
    </row>
    <row r="23409" spans="1:1" x14ac:dyDescent="0.25">
      <c r="A23409" t="s">
        <v>22001</v>
      </c>
    </row>
    <row r="23410" spans="1:1" x14ac:dyDescent="0.25">
      <c r="A23410" t="s">
        <v>22002</v>
      </c>
    </row>
    <row r="23411" spans="1:1" x14ac:dyDescent="0.25">
      <c r="A23411" t="s">
        <v>22003</v>
      </c>
    </row>
    <row r="23412" spans="1:1" x14ac:dyDescent="0.25">
      <c r="A23412" t="s">
        <v>22004</v>
      </c>
    </row>
    <row r="23413" spans="1:1" x14ac:dyDescent="0.25">
      <c r="A23413" t="s">
        <v>22005</v>
      </c>
    </row>
    <row r="23414" spans="1:1" x14ac:dyDescent="0.25">
      <c r="A23414" t="s">
        <v>22006</v>
      </c>
    </row>
    <row r="23415" spans="1:1" x14ac:dyDescent="0.25">
      <c r="A23415" t="s">
        <v>22007</v>
      </c>
    </row>
    <row r="23416" spans="1:1" x14ac:dyDescent="0.25">
      <c r="A23416" t="s">
        <v>22008</v>
      </c>
    </row>
    <row r="23417" spans="1:1" x14ac:dyDescent="0.25">
      <c r="A23417" t="s">
        <v>22009</v>
      </c>
    </row>
    <row r="23418" spans="1:1" x14ac:dyDescent="0.25">
      <c r="A23418" t="s">
        <v>22010</v>
      </c>
    </row>
    <row r="23419" spans="1:1" x14ac:dyDescent="0.25">
      <c r="A23419" t="s">
        <v>22011</v>
      </c>
    </row>
    <row r="23420" spans="1:1" x14ac:dyDescent="0.25">
      <c r="A23420" t="s">
        <v>22012</v>
      </c>
    </row>
    <row r="23421" spans="1:1" x14ac:dyDescent="0.25">
      <c r="A23421" t="s">
        <v>22013</v>
      </c>
    </row>
    <row r="23422" spans="1:1" x14ac:dyDescent="0.25">
      <c r="A23422" t="s">
        <v>22014</v>
      </c>
    </row>
    <row r="23423" spans="1:1" x14ac:dyDescent="0.25">
      <c r="A23423" t="s">
        <v>22015</v>
      </c>
    </row>
    <row r="23424" spans="1:1" x14ac:dyDescent="0.25">
      <c r="A23424" t="s">
        <v>22016</v>
      </c>
    </row>
    <row r="23425" spans="1:1" x14ac:dyDescent="0.25">
      <c r="A23425" t="s">
        <v>22017</v>
      </c>
    </row>
    <row r="23426" spans="1:1" x14ac:dyDescent="0.25">
      <c r="A23426" t="s">
        <v>22018</v>
      </c>
    </row>
    <row r="23427" spans="1:1" x14ac:dyDescent="0.25">
      <c r="A23427" t="s">
        <v>22019</v>
      </c>
    </row>
    <row r="23428" spans="1:1" x14ac:dyDescent="0.25">
      <c r="A23428" t="s">
        <v>22020</v>
      </c>
    </row>
    <row r="23429" spans="1:1" x14ac:dyDescent="0.25">
      <c r="A23429" t="s">
        <v>22021</v>
      </c>
    </row>
    <row r="23430" spans="1:1" x14ac:dyDescent="0.25">
      <c r="A23430" t="s">
        <v>22022</v>
      </c>
    </row>
    <row r="23431" spans="1:1" x14ac:dyDescent="0.25">
      <c r="A23431" t="s">
        <v>22023</v>
      </c>
    </row>
    <row r="23432" spans="1:1" x14ac:dyDescent="0.25">
      <c r="A23432" t="s">
        <v>22024</v>
      </c>
    </row>
    <row r="23433" spans="1:1" x14ac:dyDescent="0.25">
      <c r="A23433" t="s">
        <v>22025</v>
      </c>
    </row>
    <row r="23434" spans="1:1" x14ac:dyDescent="0.25">
      <c r="A23434" t="s">
        <v>22026</v>
      </c>
    </row>
    <row r="23435" spans="1:1" x14ac:dyDescent="0.25">
      <c r="A23435" t="s">
        <v>22027</v>
      </c>
    </row>
    <row r="23436" spans="1:1" x14ac:dyDescent="0.25">
      <c r="A23436" t="s">
        <v>22028</v>
      </c>
    </row>
    <row r="23437" spans="1:1" x14ac:dyDescent="0.25">
      <c r="A23437" t="s">
        <v>22029</v>
      </c>
    </row>
    <row r="23438" spans="1:1" x14ac:dyDescent="0.25">
      <c r="A23438" t="s">
        <v>22030</v>
      </c>
    </row>
    <row r="23439" spans="1:1" x14ac:dyDescent="0.25">
      <c r="A23439" t="s">
        <v>22031</v>
      </c>
    </row>
    <row r="23440" spans="1:1" x14ac:dyDescent="0.25">
      <c r="A23440" t="s">
        <v>22032</v>
      </c>
    </row>
    <row r="23441" spans="1:1" x14ac:dyDescent="0.25">
      <c r="A23441" t="s">
        <v>22033</v>
      </c>
    </row>
    <row r="23442" spans="1:1" x14ac:dyDescent="0.25">
      <c r="A23442" t="s">
        <v>22034</v>
      </c>
    </row>
    <row r="23443" spans="1:1" x14ac:dyDescent="0.25">
      <c r="A23443" t="s">
        <v>22035</v>
      </c>
    </row>
    <row r="23444" spans="1:1" x14ac:dyDescent="0.25">
      <c r="A23444" t="s">
        <v>22036</v>
      </c>
    </row>
    <row r="23445" spans="1:1" x14ac:dyDescent="0.25">
      <c r="A23445" t="s">
        <v>22037</v>
      </c>
    </row>
    <row r="23446" spans="1:1" x14ac:dyDescent="0.25">
      <c r="A23446" t="s">
        <v>22038</v>
      </c>
    </row>
    <row r="23447" spans="1:1" x14ac:dyDescent="0.25">
      <c r="A23447" t="s">
        <v>22039</v>
      </c>
    </row>
    <row r="23448" spans="1:1" x14ac:dyDescent="0.25">
      <c r="A23448" t="s">
        <v>22040</v>
      </c>
    </row>
    <row r="23449" spans="1:1" x14ac:dyDescent="0.25">
      <c r="A23449" t="s">
        <v>22041</v>
      </c>
    </row>
    <row r="23450" spans="1:1" x14ac:dyDescent="0.25">
      <c r="A23450" t="s">
        <v>22042</v>
      </c>
    </row>
    <row r="23451" spans="1:1" x14ac:dyDescent="0.25">
      <c r="A23451" t="s">
        <v>22043</v>
      </c>
    </row>
    <row r="23452" spans="1:1" x14ac:dyDescent="0.25">
      <c r="A23452" t="s">
        <v>22044</v>
      </c>
    </row>
    <row r="23453" spans="1:1" x14ac:dyDescent="0.25">
      <c r="A23453" t="s">
        <v>22045</v>
      </c>
    </row>
    <row r="23454" spans="1:1" x14ac:dyDescent="0.25">
      <c r="A23454" t="s">
        <v>22046</v>
      </c>
    </row>
    <row r="23455" spans="1:1" x14ac:dyDescent="0.25">
      <c r="A23455" t="s">
        <v>22047</v>
      </c>
    </row>
    <row r="23456" spans="1:1" x14ac:dyDescent="0.25">
      <c r="A23456" t="s">
        <v>22048</v>
      </c>
    </row>
    <row r="23457" spans="1:1" x14ac:dyDescent="0.25">
      <c r="A23457" t="s">
        <v>22049</v>
      </c>
    </row>
    <row r="23458" spans="1:1" x14ac:dyDescent="0.25">
      <c r="A23458" t="s">
        <v>22050</v>
      </c>
    </row>
    <row r="23459" spans="1:1" x14ac:dyDescent="0.25">
      <c r="A23459" t="s">
        <v>22051</v>
      </c>
    </row>
    <row r="23460" spans="1:1" x14ac:dyDescent="0.25">
      <c r="A23460" t="s">
        <v>22052</v>
      </c>
    </row>
    <row r="23461" spans="1:1" x14ac:dyDescent="0.25">
      <c r="A23461" t="s">
        <v>22053</v>
      </c>
    </row>
    <row r="23462" spans="1:1" x14ac:dyDescent="0.25">
      <c r="A23462" t="s">
        <v>22054</v>
      </c>
    </row>
    <row r="23463" spans="1:1" x14ac:dyDescent="0.25">
      <c r="A23463" t="s">
        <v>22055</v>
      </c>
    </row>
    <row r="23464" spans="1:1" x14ac:dyDescent="0.25">
      <c r="A23464" t="s">
        <v>22056</v>
      </c>
    </row>
    <row r="23465" spans="1:1" x14ac:dyDescent="0.25">
      <c r="A23465" t="s">
        <v>22057</v>
      </c>
    </row>
    <row r="23466" spans="1:1" x14ac:dyDescent="0.25">
      <c r="A23466" t="s">
        <v>22058</v>
      </c>
    </row>
    <row r="23467" spans="1:1" x14ac:dyDescent="0.25">
      <c r="A23467" t="s">
        <v>22059</v>
      </c>
    </row>
    <row r="23468" spans="1:1" x14ac:dyDescent="0.25">
      <c r="A23468" t="s">
        <v>22060</v>
      </c>
    </row>
    <row r="23469" spans="1:1" x14ac:dyDescent="0.25">
      <c r="A23469" t="s">
        <v>22061</v>
      </c>
    </row>
    <row r="23470" spans="1:1" x14ac:dyDescent="0.25">
      <c r="A23470" t="s">
        <v>22062</v>
      </c>
    </row>
    <row r="23471" spans="1:1" x14ac:dyDescent="0.25">
      <c r="A23471" t="s">
        <v>22063</v>
      </c>
    </row>
    <row r="23472" spans="1:1" x14ac:dyDescent="0.25">
      <c r="A23472" t="s">
        <v>22064</v>
      </c>
    </row>
    <row r="23473" spans="1:1" x14ac:dyDescent="0.25">
      <c r="A23473" t="s">
        <v>22065</v>
      </c>
    </row>
    <row r="23474" spans="1:1" x14ac:dyDescent="0.25">
      <c r="A23474" t="s">
        <v>22066</v>
      </c>
    </row>
    <row r="23475" spans="1:1" x14ac:dyDescent="0.25">
      <c r="A23475" t="s">
        <v>22067</v>
      </c>
    </row>
    <row r="23476" spans="1:1" x14ac:dyDescent="0.25">
      <c r="A23476" t="s">
        <v>22068</v>
      </c>
    </row>
    <row r="23477" spans="1:1" x14ac:dyDescent="0.25">
      <c r="A23477" t="s">
        <v>22069</v>
      </c>
    </row>
    <row r="23478" spans="1:1" x14ac:dyDescent="0.25">
      <c r="A23478" t="s">
        <v>22070</v>
      </c>
    </row>
    <row r="23479" spans="1:1" x14ac:dyDescent="0.25">
      <c r="A23479" t="s">
        <v>22071</v>
      </c>
    </row>
    <row r="23480" spans="1:1" x14ac:dyDescent="0.25">
      <c r="A23480" t="s">
        <v>22072</v>
      </c>
    </row>
    <row r="23481" spans="1:1" x14ac:dyDescent="0.25">
      <c r="A23481" t="s">
        <v>22073</v>
      </c>
    </row>
    <row r="23482" spans="1:1" x14ac:dyDescent="0.25">
      <c r="A23482" t="s">
        <v>22074</v>
      </c>
    </row>
    <row r="23483" spans="1:1" x14ac:dyDescent="0.25">
      <c r="A23483" t="s">
        <v>22075</v>
      </c>
    </row>
    <row r="23484" spans="1:1" x14ac:dyDescent="0.25">
      <c r="A23484" t="s">
        <v>22076</v>
      </c>
    </row>
    <row r="23485" spans="1:1" x14ac:dyDescent="0.25">
      <c r="A23485" t="s">
        <v>22077</v>
      </c>
    </row>
    <row r="23486" spans="1:1" x14ac:dyDescent="0.25">
      <c r="A23486" t="s">
        <v>22078</v>
      </c>
    </row>
    <row r="23487" spans="1:1" x14ac:dyDescent="0.25">
      <c r="A23487" t="s">
        <v>22079</v>
      </c>
    </row>
    <row r="23488" spans="1:1" x14ac:dyDescent="0.25">
      <c r="A23488" t="s">
        <v>22080</v>
      </c>
    </row>
    <row r="23489" spans="1:1" x14ac:dyDescent="0.25">
      <c r="A23489" t="s">
        <v>22081</v>
      </c>
    </row>
    <row r="23490" spans="1:1" x14ac:dyDescent="0.25">
      <c r="A23490" t="s">
        <v>22082</v>
      </c>
    </row>
    <row r="23491" spans="1:1" x14ac:dyDescent="0.25">
      <c r="A23491" t="s">
        <v>22083</v>
      </c>
    </row>
    <row r="23492" spans="1:1" x14ac:dyDescent="0.25">
      <c r="A23492" t="s">
        <v>22084</v>
      </c>
    </row>
    <row r="23494" spans="1:1" x14ac:dyDescent="0.25">
      <c r="A23494" t="s">
        <v>22085</v>
      </c>
    </row>
    <row r="23495" spans="1:1" x14ac:dyDescent="0.25">
      <c r="A23495" t="s">
        <v>22086</v>
      </c>
    </row>
    <row r="23496" spans="1:1" x14ac:dyDescent="0.25">
      <c r="A23496" t="s">
        <v>22087</v>
      </c>
    </row>
    <row r="23497" spans="1:1" x14ac:dyDescent="0.25">
      <c r="A23497" t="s">
        <v>22088</v>
      </c>
    </row>
    <row r="23498" spans="1:1" x14ac:dyDescent="0.25">
      <c r="A23498" t="s">
        <v>22089</v>
      </c>
    </row>
    <row r="23499" spans="1:1" x14ac:dyDescent="0.25">
      <c r="A23499" t="s">
        <v>22090</v>
      </c>
    </row>
    <row r="23500" spans="1:1" x14ac:dyDescent="0.25">
      <c r="A23500" t="s">
        <v>22091</v>
      </c>
    </row>
    <row r="23501" spans="1:1" x14ac:dyDescent="0.25">
      <c r="A23501" t="s">
        <v>22092</v>
      </c>
    </row>
    <row r="23502" spans="1:1" x14ac:dyDescent="0.25">
      <c r="A23502" t="s">
        <v>22093</v>
      </c>
    </row>
    <row r="23503" spans="1:1" x14ac:dyDescent="0.25">
      <c r="A23503" t="s">
        <v>22094</v>
      </c>
    </row>
    <row r="23504" spans="1:1" x14ac:dyDescent="0.25">
      <c r="A23504" t="s">
        <v>22095</v>
      </c>
    </row>
    <row r="23505" spans="1:1" x14ac:dyDescent="0.25">
      <c r="A23505" t="s">
        <v>22096</v>
      </c>
    </row>
    <row r="23506" spans="1:1" x14ac:dyDescent="0.25">
      <c r="A23506" t="s">
        <v>22097</v>
      </c>
    </row>
    <row r="23507" spans="1:1" x14ac:dyDescent="0.25">
      <c r="A23507" t="s">
        <v>22098</v>
      </c>
    </row>
    <row r="23508" spans="1:1" x14ac:dyDescent="0.25">
      <c r="A23508" t="s">
        <v>22099</v>
      </c>
    </row>
    <row r="23509" spans="1:1" x14ac:dyDescent="0.25">
      <c r="A23509" t="s">
        <v>22100</v>
      </c>
    </row>
    <row r="23510" spans="1:1" x14ac:dyDescent="0.25">
      <c r="A23510" t="s">
        <v>22101</v>
      </c>
    </row>
    <row r="23511" spans="1:1" x14ac:dyDescent="0.25">
      <c r="A23511" t="s">
        <v>22102</v>
      </c>
    </row>
    <row r="23512" spans="1:1" x14ac:dyDescent="0.25">
      <c r="A23512" t="s">
        <v>22103</v>
      </c>
    </row>
    <row r="23513" spans="1:1" x14ac:dyDescent="0.25">
      <c r="A23513" t="s">
        <v>22104</v>
      </c>
    </row>
    <row r="23514" spans="1:1" x14ac:dyDescent="0.25">
      <c r="A23514" t="s">
        <v>22105</v>
      </c>
    </row>
    <row r="23515" spans="1:1" x14ac:dyDescent="0.25">
      <c r="A23515" t="s">
        <v>22106</v>
      </c>
    </row>
    <row r="23516" spans="1:1" x14ac:dyDescent="0.25">
      <c r="A23516" t="s">
        <v>22107</v>
      </c>
    </row>
    <row r="23517" spans="1:1" x14ac:dyDescent="0.25">
      <c r="A23517" t="s">
        <v>22108</v>
      </c>
    </row>
    <row r="23518" spans="1:1" x14ac:dyDescent="0.25">
      <c r="A23518" t="s">
        <v>22109</v>
      </c>
    </row>
    <row r="23519" spans="1:1" x14ac:dyDescent="0.25">
      <c r="A23519" t="s">
        <v>22110</v>
      </c>
    </row>
    <row r="23520" spans="1:1" x14ac:dyDescent="0.25">
      <c r="A23520" t="s">
        <v>22111</v>
      </c>
    </row>
    <row r="23521" spans="1:1" x14ac:dyDescent="0.25">
      <c r="A23521" t="s">
        <v>22112</v>
      </c>
    </row>
    <row r="23522" spans="1:1" x14ac:dyDescent="0.25">
      <c r="A23522" t="s">
        <v>22113</v>
      </c>
    </row>
    <row r="23523" spans="1:1" x14ac:dyDescent="0.25">
      <c r="A23523" t="s">
        <v>22114</v>
      </c>
    </row>
    <row r="23524" spans="1:1" x14ac:dyDescent="0.25">
      <c r="A23524" t="s">
        <v>22115</v>
      </c>
    </row>
    <row r="23525" spans="1:1" x14ac:dyDescent="0.25">
      <c r="A23525" t="s">
        <v>22116</v>
      </c>
    </row>
    <row r="23526" spans="1:1" x14ac:dyDescent="0.25">
      <c r="A23526" t="s">
        <v>2884</v>
      </c>
    </row>
    <row r="23527" spans="1:1" x14ac:dyDescent="0.25">
      <c r="A23527" t="s">
        <v>22117</v>
      </c>
    </row>
    <row r="23528" spans="1:1" x14ac:dyDescent="0.25">
      <c r="A23528" t="s">
        <v>22118</v>
      </c>
    </row>
    <row r="23529" spans="1:1" x14ac:dyDescent="0.25">
      <c r="A23529" t="s">
        <v>22119</v>
      </c>
    </row>
    <row r="23530" spans="1:1" x14ac:dyDescent="0.25">
      <c r="A23530" t="s">
        <v>22120</v>
      </c>
    </row>
    <row r="23531" spans="1:1" x14ac:dyDescent="0.25">
      <c r="A23531" t="s">
        <v>22121</v>
      </c>
    </row>
    <row r="23532" spans="1:1" x14ac:dyDescent="0.25">
      <c r="A23532" t="s">
        <v>22122</v>
      </c>
    </row>
    <row r="23533" spans="1:1" x14ac:dyDescent="0.25">
      <c r="A23533" t="s">
        <v>22123</v>
      </c>
    </row>
    <row r="23534" spans="1:1" x14ac:dyDescent="0.25">
      <c r="A23534" t="s">
        <v>22124</v>
      </c>
    </row>
    <row r="23535" spans="1:1" x14ac:dyDescent="0.25">
      <c r="A23535" t="s">
        <v>22125</v>
      </c>
    </row>
    <row r="23536" spans="1:1" x14ac:dyDescent="0.25">
      <c r="A23536" t="s">
        <v>22126</v>
      </c>
    </row>
    <row r="23537" spans="1:1" x14ac:dyDescent="0.25">
      <c r="A23537" t="s">
        <v>22127</v>
      </c>
    </row>
    <row r="23538" spans="1:1" x14ac:dyDescent="0.25">
      <c r="A23538" t="s">
        <v>22128</v>
      </c>
    </row>
    <row r="23539" spans="1:1" x14ac:dyDescent="0.25">
      <c r="A23539" t="s">
        <v>22129</v>
      </c>
    </row>
    <row r="23540" spans="1:1" x14ac:dyDescent="0.25">
      <c r="A23540" t="s">
        <v>22130</v>
      </c>
    </row>
    <row r="23541" spans="1:1" x14ac:dyDescent="0.25">
      <c r="A23541" t="s">
        <v>22131</v>
      </c>
    </row>
    <row r="23542" spans="1:1" x14ac:dyDescent="0.25">
      <c r="A23542" t="s">
        <v>22132</v>
      </c>
    </row>
    <row r="23543" spans="1:1" x14ac:dyDescent="0.25">
      <c r="A23543" t="s">
        <v>22133</v>
      </c>
    </row>
    <row r="23544" spans="1:1" x14ac:dyDescent="0.25">
      <c r="A23544" t="s">
        <v>22134</v>
      </c>
    </row>
    <row r="23545" spans="1:1" x14ac:dyDescent="0.25">
      <c r="A23545" t="s">
        <v>22135</v>
      </c>
    </row>
    <row r="23546" spans="1:1" x14ac:dyDescent="0.25">
      <c r="A23546" t="s">
        <v>22136</v>
      </c>
    </row>
    <row r="23547" spans="1:1" x14ac:dyDescent="0.25">
      <c r="A23547" t="s">
        <v>22137</v>
      </c>
    </row>
    <row r="23548" spans="1:1" x14ac:dyDescent="0.25">
      <c r="A23548" t="s">
        <v>22138</v>
      </c>
    </row>
    <row r="23549" spans="1:1" x14ac:dyDescent="0.25">
      <c r="A23549" t="s">
        <v>22139</v>
      </c>
    </row>
    <row r="23550" spans="1:1" x14ac:dyDescent="0.25">
      <c r="A23550" t="s">
        <v>21624</v>
      </c>
    </row>
    <row r="23551" spans="1:1" x14ac:dyDescent="0.25">
      <c r="A23551" t="s">
        <v>22140</v>
      </c>
    </row>
    <row r="23552" spans="1:1" x14ac:dyDescent="0.25">
      <c r="A23552" t="s">
        <v>22141</v>
      </c>
    </row>
    <row r="23553" spans="1:1" x14ac:dyDescent="0.25">
      <c r="A23553" t="s">
        <v>22142</v>
      </c>
    </row>
    <row r="23554" spans="1:1" x14ac:dyDescent="0.25">
      <c r="A23554" t="s">
        <v>22143</v>
      </c>
    </row>
    <row r="23555" spans="1:1" x14ac:dyDescent="0.25">
      <c r="A23555" t="s">
        <v>22144</v>
      </c>
    </row>
    <row r="23556" spans="1:1" x14ac:dyDescent="0.25">
      <c r="A23556" t="s">
        <v>22145</v>
      </c>
    </row>
    <row r="23557" spans="1:1" x14ac:dyDescent="0.25">
      <c r="A23557" t="s">
        <v>22146</v>
      </c>
    </row>
    <row r="23559" spans="1:1" x14ac:dyDescent="0.25">
      <c r="A23559" t="s">
        <v>22147</v>
      </c>
    </row>
    <row r="23560" spans="1:1" x14ac:dyDescent="0.25">
      <c r="A23560" t="s">
        <v>22148</v>
      </c>
    </row>
    <row r="23561" spans="1:1" x14ac:dyDescent="0.25">
      <c r="A23561" t="s">
        <v>22149</v>
      </c>
    </row>
    <row r="23562" spans="1:1" x14ac:dyDescent="0.25">
      <c r="A23562" t="s">
        <v>22150</v>
      </c>
    </row>
    <row r="23563" spans="1:1" x14ac:dyDescent="0.25">
      <c r="A23563" t="s">
        <v>22151</v>
      </c>
    </row>
    <row r="23564" spans="1:1" x14ac:dyDescent="0.25">
      <c r="A23564" t="s">
        <v>22152</v>
      </c>
    </row>
    <row r="23565" spans="1:1" x14ac:dyDescent="0.25">
      <c r="A23565" t="s">
        <v>22153</v>
      </c>
    </row>
    <row r="23566" spans="1:1" x14ac:dyDescent="0.25">
      <c r="A23566" t="s">
        <v>22154</v>
      </c>
    </row>
    <row r="23567" spans="1:1" x14ac:dyDescent="0.25">
      <c r="A23567" t="s">
        <v>22155</v>
      </c>
    </row>
    <row r="23568" spans="1:1" x14ac:dyDescent="0.25">
      <c r="A23568" t="s">
        <v>22156</v>
      </c>
    </row>
    <row r="23569" spans="1:1" x14ac:dyDescent="0.25">
      <c r="A23569" t="s">
        <v>22157</v>
      </c>
    </row>
    <row r="23570" spans="1:1" x14ac:dyDescent="0.25">
      <c r="A23570" t="s">
        <v>22158</v>
      </c>
    </row>
    <row r="23571" spans="1:1" x14ac:dyDescent="0.25">
      <c r="A23571" t="s">
        <v>22159</v>
      </c>
    </row>
    <row r="23572" spans="1:1" x14ac:dyDescent="0.25">
      <c r="A23572" t="s">
        <v>22160</v>
      </c>
    </row>
    <row r="23573" spans="1:1" x14ac:dyDescent="0.25">
      <c r="A23573" t="s">
        <v>21396</v>
      </c>
    </row>
    <row r="23574" spans="1:1" x14ac:dyDescent="0.25">
      <c r="A23574" t="s">
        <v>22161</v>
      </c>
    </row>
    <row r="23575" spans="1:1" x14ac:dyDescent="0.25">
      <c r="A23575" t="s">
        <v>22162</v>
      </c>
    </row>
    <row r="23576" spans="1:1" x14ac:dyDescent="0.25">
      <c r="A23576" t="s">
        <v>22163</v>
      </c>
    </row>
    <row r="23577" spans="1:1" x14ac:dyDescent="0.25">
      <c r="A23577" t="s">
        <v>22164</v>
      </c>
    </row>
    <row r="23578" spans="1:1" x14ac:dyDescent="0.25">
      <c r="A23578" t="s">
        <v>22165</v>
      </c>
    </row>
    <row r="23579" spans="1:1" x14ac:dyDescent="0.25">
      <c r="A23579" t="s">
        <v>22166</v>
      </c>
    </row>
    <row r="23580" spans="1:1" x14ac:dyDescent="0.25">
      <c r="A23580" t="s">
        <v>22167</v>
      </c>
    </row>
    <row r="23581" spans="1:1" x14ac:dyDescent="0.25">
      <c r="A23581" t="s">
        <v>22168</v>
      </c>
    </row>
    <row r="23582" spans="1:1" x14ac:dyDescent="0.25">
      <c r="A23582" t="s">
        <v>22169</v>
      </c>
    </row>
    <row r="23583" spans="1:1" x14ac:dyDescent="0.25">
      <c r="A23583" t="s">
        <v>22170</v>
      </c>
    </row>
    <row r="23584" spans="1:1" x14ac:dyDescent="0.25">
      <c r="A23584" t="s">
        <v>22171</v>
      </c>
    </row>
    <row r="23585" spans="1:1" x14ac:dyDescent="0.25">
      <c r="A23585" t="s">
        <v>22172</v>
      </c>
    </row>
    <row r="23586" spans="1:1" x14ac:dyDescent="0.25">
      <c r="A23586" t="s">
        <v>22173</v>
      </c>
    </row>
    <row r="23587" spans="1:1" x14ac:dyDescent="0.25">
      <c r="A23587" t="s">
        <v>22174</v>
      </c>
    </row>
    <row r="23588" spans="1:1" x14ac:dyDescent="0.25">
      <c r="A23588" t="s">
        <v>22175</v>
      </c>
    </row>
    <row r="23589" spans="1:1" x14ac:dyDescent="0.25">
      <c r="A23589" t="s">
        <v>22176</v>
      </c>
    </row>
    <row r="23590" spans="1:1" x14ac:dyDescent="0.25">
      <c r="A23590" t="s">
        <v>22177</v>
      </c>
    </row>
    <row r="23591" spans="1:1" x14ac:dyDescent="0.25">
      <c r="A23591" t="s">
        <v>22178</v>
      </c>
    </row>
    <row r="23592" spans="1:1" x14ac:dyDescent="0.25">
      <c r="A23592" t="s">
        <v>22179</v>
      </c>
    </row>
    <row r="23593" spans="1:1" x14ac:dyDescent="0.25">
      <c r="A23593" t="s">
        <v>22180</v>
      </c>
    </row>
    <row r="23594" spans="1:1" x14ac:dyDescent="0.25">
      <c r="A23594" t="s">
        <v>22181</v>
      </c>
    </row>
    <row r="23595" spans="1:1" x14ac:dyDescent="0.25">
      <c r="A23595" t="s">
        <v>1317</v>
      </c>
    </row>
    <row r="23596" spans="1:1" x14ac:dyDescent="0.25">
      <c r="A23596" t="s">
        <v>22182</v>
      </c>
    </row>
    <row r="23597" spans="1:1" x14ac:dyDescent="0.25">
      <c r="A23597" t="s">
        <v>22183</v>
      </c>
    </row>
    <row r="23598" spans="1:1" x14ac:dyDescent="0.25">
      <c r="A23598" t="s">
        <v>22184</v>
      </c>
    </row>
    <row r="23599" spans="1:1" x14ac:dyDescent="0.25">
      <c r="A23599" t="s">
        <v>22185</v>
      </c>
    </row>
    <row r="23600" spans="1:1" x14ac:dyDescent="0.25">
      <c r="A23600" t="s">
        <v>22186</v>
      </c>
    </row>
    <row r="23601" spans="1:1" x14ac:dyDescent="0.25">
      <c r="A23601" t="s">
        <v>22187</v>
      </c>
    </row>
    <row r="23602" spans="1:1" x14ac:dyDescent="0.25">
      <c r="A23602" t="s">
        <v>22188</v>
      </c>
    </row>
    <row r="23603" spans="1:1" x14ac:dyDescent="0.25">
      <c r="A23603" t="s">
        <v>22189</v>
      </c>
    </row>
    <row r="23604" spans="1:1" x14ac:dyDescent="0.25">
      <c r="A23604" t="s">
        <v>22190</v>
      </c>
    </row>
    <row r="23605" spans="1:1" x14ac:dyDescent="0.25">
      <c r="A23605" t="s">
        <v>22191</v>
      </c>
    </row>
    <row r="23606" spans="1:1" x14ac:dyDescent="0.25">
      <c r="A23606" t="s">
        <v>22192</v>
      </c>
    </row>
    <row r="23607" spans="1:1" x14ac:dyDescent="0.25">
      <c r="A23607" t="s">
        <v>22193</v>
      </c>
    </row>
    <row r="23608" spans="1:1" x14ac:dyDescent="0.25">
      <c r="A23608" t="s">
        <v>22194</v>
      </c>
    </row>
    <row r="23609" spans="1:1" x14ac:dyDescent="0.25">
      <c r="A23609" t="s">
        <v>22195</v>
      </c>
    </row>
    <row r="23610" spans="1:1" x14ac:dyDescent="0.25">
      <c r="A23610" t="s">
        <v>22196</v>
      </c>
    </row>
    <row r="23611" spans="1:1" x14ac:dyDescent="0.25">
      <c r="A23611" t="s">
        <v>22197</v>
      </c>
    </row>
    <row r="23612" spans="1:1" x14ac:dyDescent="0.25">
      <c r="A23612" t="s">
        <v>22198</v>
      </c>
    </row>
    <row r="23613" spans="1:1" x14ac:dyDescent="0.25">
      <c r="A23613" t="s">
        <v>22199</v>
      </c>
    </row>
    <row r="23614" spans="1:1" x14ac:dyDescent="0.25">
      <c r="A23614" t="s">
        <v>22200</v>
      </c>
    </row>
    <row r="23615" spans="1:1" x14ac:dyDescent="0.25">
      <c r="A23615" t="s">
        <v>22201</v>
      </c>
    </row>
    <row r="23616" spans="1:1" x14ac:dyDescent="0.25">
      <c r="A23616" t="s">
        <v>22202</v>
      </c>
    </row>
    <row r="23617" spans="1:1" x14ac:dyDescent="0.25">
      <c r="A23617" t="s">
        <v>22203</v>
      </c>
    </row>
    <row r="23618" spans="1:1" x14ac:dyDescent="0.25">
      <c r="A23618" t="s">
        <v>22204</v>
      </c>
    </row>
    <row r="23619" spans="1:1" x14ac:dyDescent="0.25">
      <c r="A23619" t="s">
        <v>22205</v>
      </c>
    </row>
    <row r="23620" spans="1:1" x14ac:dyDescent="0.25">
      <c r="A23620" t="s">
        <v>22206</v>
      </c>
    </row>
    <row r="23621" spans="1:1" x14ac:dyDescent="0.25">
      <c r="A23621" t="s">
        <v>22207</v>
      </c>
    </row>
    <row r="23622" spans="1:1" x14ac:dyDescent="0.25">
      <c r="A23622" t="s">
        <v>22208</v>
      </c>
    </row>
    <row r="23623" spans="1:1" x14ac:dyDescent="0.25">
      <c r="A23623" t="s">
        <v>22209</v>
      </c>
    </row>
    <row r="23624" spans="1:1" x14ac:dyDescent="0.25">
      <c r="A23624" t="s">
        <v>22210</v>
      </c>
    </row>
    <row r="23625" spans="1:1" x14ac:dyDescent="0.25">
      <c r="A23625" t="s">
        <v>22211</v>
      </c>
    </row>
    <row r="23626" spans="1:1" x14ac:dyDescent="0.25">
      <c r="A23626" t="s">
        <v>22212</v>
      </c>
    </row>
    <row r="23627" spans="1:1" x14ac:dyDescent="0.25">
      <c r="A23627" t="s">
        <v>22213</v>
      </c>
    </row>
    <row r="23628" spans="1:1" x14ac:dyDescent="0.25">
      <c r="A23628" t="s">
        <v>22214</v>
      </c>
    </row>
    <row r="23629" spans="1:1" x14ac:dyDescent="0.25">
      <c r="A23629" t="s">
        <v>22215</v>
      </c>
    </row>
    <row r="23630" spans="1:1" x14ac:dyDescent="0.25">
      <c r="A23630" t="s">
        <v>22216</v>
      </c>
    </row>
    <row r="23631" spans="1:1" x14ac:dyDescent="0.25">
      <c r="A23631" t="s">
        <v>22217</v>
      </c>
    </row>
    <row r="23632" spans="1:1" x14ac:dyDescent="0.25">
      <c r="A23632" t="s">
        <v>22218</v>
      </c>
    </row>
    <row r="23633" spans="1:1" x14ac:dyDescent="0.25">
      <c r="A23633" t="s">
        <v>22219</v>
      </c>
    </row>
    <row r="23634" spans="1:1" x14ac:dyDescent="0.25">
      <c r="A23634" t="s">
        <v>22220</v>
      </c>
    </row>
    <row r="23635" spans="1:1" x14ac:dyDescent="0.25">
      <c r="A23635" t="s">
        <v>22221</v>
      </c>
    </row>
    <row r="23636" spans="1:1" x14ac:dyDescent="0.25">
      <c r="A23636" t="s">
        <v>22222</v>
      </c>
    </row>
    <row r="23637" spans="1:1" x14ac:dyDescent="0.25">
      <c r="A23637" t="s">
        <v>22223</v>
      </c>
    </row>
    <row r="23638" spans="1:1" x14ac:dyDescent="0.25">
      <c r="A23638" t="s">
        <v>22224</v>
      </c>
    </row>
    <row r="23639" spans="1:1" x14ac:dyDescent="0.25">
      <c r="A23639" t="s">
        <v>12904</v>
      </c>
    </row>
    <row r="23640" spans="1:1" x14ac:dyDescent="0.25">
      <c r="A23640" t="s">
        <v>2291</v>
      </c>
    </row>
    <row r="23641" spans="1:1" x14ac:dyDescent="0.25">
      <c r="A23641" t="s">
        <v>12910</v>
      </c>
    </row>
    <row r="23642" spans="1:1" x14ac:dyDescent="0.25">
      <c r="A23642" t="s">
        <v>12911</v>
      </c>
    </row>
    <row r="23643" spans="1:1" x14ac:dyDescent="0.25">
      <c r="A23643" t="s">
        <v>6705</v>
      </c>
    </row>
    <row r="23644" spans="1:1" x14ac:dyDescent="0.25">
      <c r="A23644" t="s">
        <v>2405</v>
      </c>
    </row>
    <row r="23645" spans="1:1" x14ac:dyDescent="0.25">
      <c r="A23645" t="s">
        <v>12912</v>
      </c>
    </row>
    <row r="23646" spans="1:1" x14ac:dyDescent="0.25">
      <c r="A23646" t="s">
        <v>12913</v>
      </c>
    </row>
    <row r="23647" spans="1:1" x14ac:dyDescent="0.25">
      <c r="A23647" t="s">
        <v>22225</v>
      </c>
    </row>
    <row r="23648" spans="1:1" x14ac:dyDescent="0.25">
      <c r="A23648" t="s">
        <v>22226</v>
      </c>
    </row>
    <row r="23649" spans="1:1" x14ac:dyDescent="0.25">
      <c r="A23649" t="s">
        <v>22227</v>
      </c>
    </row>
    <row r="23650" spans="1:1" x14ac:dyDescent="0.25">
      <c r="A23650" t="s">
        <v>22228</v>
      </c>
    </row>
    <row r="23651" spans="1:1" x14ac:dyDescent="0.25">
      <c r="A23651" t="s">
        <v>22229</v>
      </c>
    </row>
    <row r="23652" spans="1:1" x14ac:dyDescent="0.25">
      <c r="A23652" t="s">
        <v>22230</v>
      </c>
    </row>
    <row r="23653" spans="1:1" x14ac:dyDescent="0.25">
      <c r="A23653" t="s">
        <v>22231</v>
      </c>
    </row>
    <row r="23654" spans="1:1" x14ac:dyDescent="0.25">
      <c r="A23654" t="s">
        <v>22232</v>
      </c>
    </row>
    <row r="23655" spans="1:1" x14ac:dyDescent="0.25">
      <c r="A23655" t="s">
        <v>22233</v>
      </c>
    </row>
    <row r="23656" spans="1:1" x14ac:dyDescent="0.25">
      <c r="A23656" t="s">
        <v>22234</v>
      </c>
    </row>
    <row r="23657" spans="1:1" x14ac:dyDescent="0.25">
      <c r="A23657" t="s">
        <v>22235</v>
      </c>
    </row>
    <row r="23658" spans="1:1" x14ac:dyDescent="0.25">
      <c r="A23658" t="s">
        <v>22236</v>
      </c>
    </row>
    <row r="23659" spans="1:1" x14ac:dyDescent="0.25">
      <c r="A23659" t="s">
        <v>22237</v>
      </c>
    </row>
    <row r="23660" spans="1:1" x14ac:dyDescent="0.25">
      <c r="A23660" t="s">
        <v>22238</v>
      </c>
    </row>
    <row r="23661" spans="1:1" x14ac:dyDescent="0.25">
      <c r="A23661" t="s">
        <v>22239</v>
      </c>
    </row>
    <row r="23662" spans="1:1" x14ac:dyDescent="0.25">
      <c r="A23662" t="s">
        <v>22240</v>
      </c>
    </row>
    <row r="23663" spans="1:1" x14ac:dyDescent="0.25">
      <c r="A23663" t="s">
        <v>22241</v>
      </c>
    </row>
    <row r="23664" spans="1:1" x14ac:dyDescent="0.25">
      <c r="A23664" t="s">
        <v>22242</v>
      </c>
    </row>
    <row r="23665" spans="1:1" x14ac:dyDescent="0.25">
      <c r="A23665" t="s">
        <v>22243</v>
      </c>
    </row>
    <row r="23666" spans="1:1" x14ac:dyDescent="0.25">
      <c r="A23666" t="s">
        <v>22244</v>
      </c>
    </row>
    <row r="23667" spans="1:1" x14ac:dyDescent="0.25">
      <c r="A23667" t="s">
        <v>22245</v>
      </c>
    </row>
    <row r="23668" spans="1:1" x14ac:dyDescent="0.25">
      <c r="A23668" t="s">
        <v>22246</v>
      </c>
    </row>
    <row r="23669" spans="1:1" x14ac:dyDescent="0.25">
      <c r="A23669" t="s">
        <v>22247</v>
      </c>
    </row>
    <row r="23670" spans="1:1" x14ac:dyDescent="0.25">
      <c r="A23670" t="s">
        <v>22248</v>
      </c>
    </row>
    <row r="23671" spans="1:1" x14ac:dyDescent="0.25">
      <c r="A23671" t="s">
        <v>22249</v>
      </c>
    </row>
    <row r="23672" spans="1:1" x14ac:dyDescent="0.25">
      <c r="A23672" t="s">
        <v>22250</v>
      </c>
    </row>
    <row r="23673" spans="1:1" x14ac:dyDescent="0.25">
      <c r="A23673" t="s">
        <v>22251</v>
      </c>
    </row>
    <row r="23674" spans="1:1" x14ac:dyDescent="0.25">
      <c r="A23674" t="s">
        <v>22252</v>
      </c>
    </row>
    <row r="23675" spans="1:1" x14ac:dyDescent="0.25">
      <c r="A23675" t="s">
        <v>22253</v>
      </c>
    </row>
    <row r="23676" spans="1:1" x14ac:dyDescent="0.25">
      <c r="A23676" t="s">
        <v>22254</v>
      </c>
    </row>
    <row r="23677" spans="1:1" x14ac:dyDescent="0.25">
      <c r="A23677" t="s">
        <v>22255</v>
      </c>
    </row>
    <row r="23678" spans="1:1" x14ac:dyDescent="0.25">
      <c r="A23678" t="s">
        <v>22256</v>
      </c>
    </row>
    <row r="23679" spans="1:1" x14ac:dyDescent="0.25">
      <c r="A23679" t="s">
        <v>22257</v>
      </c>
    </row>
    <row r="23680" spans="1:1" x14ac:dyDescent="0.25">
      <c r="A23680" t="s">
        <v>22258</v>
      </c>
    </row>
    <row r="23681" spans="1:1" x14ac:dyDescent="0.25">
      <c r="A23681" t="s">
        <v>22259</v>
      </c>
    </row>
    <row r="23682" spans="1:1" x14ac:dyDescent="0.25">
      <c r="A23682" t="s">
        <v>22260</v>
      </c>
    </row>
    <row r="23683" spans="1:1" x14ac:dyDescent="0.25">
      <c r="A23683" t="s">
        <v>22261</v>
      </c>
    </row>
    <row r="23684" spans="1:1" x14ac:dyDescent="0.25">
      <c r="A23684" t="s">
        <v>22262</v>
      </c>
    </row>
    <row r="23685" spans="1:1" x14ac:dyDescent="0.25">
      <c r="A23685" t="s">
        <v>22263</v>
      </c>
    </row>
    <row r="23686" spans="1:1" x14ac:dyDescent="0.25">
      <c r="A23686" t="s">
        <v>22264</v>
      </c>
    </row>
    <row r="23687" spans="1:1" x14ac:dyDescent="0.25">
      <c r="A23687" t="s">
        <v>22265</v>
      </c>
    </row>
    <row r="23688" spans="1:1" x14ac:dyDescent="0.25">
      <c r="A23688" t="s">
        <v>22266</v>
      </c>
    </row>
    <row r="23689" spans="1:1" x14ac:dyDescent="0.25">
      <c r="A23689" t="s">
        <v>22267</v>
      </c>
    </row>
    <row r="23690" spans="1:1" x14ac:dyDescent="0.25">
      <c r="A23690" t="s">
        <v>22268</v>
      </c>
    </row>
    <row r="23691" spans="1:1" x14ac:dyDescent="0.25">
      <c r="A23691" t="s">
        <v>22269</v>
      </c>
    </row>
    <row r="23692" spans="1:1" x14ac:dyDescent="0.25">
      <c r="A23692" t="s">
        <v>22270</v>
      </c>
    </row>
    <row r="23693" spans="1:1" x14ac:dyDescent="0.25">
      <c r="A23693" t="s">
        <v>22271</v>
      </c>
    </row>
    <row r="23694" spans="1:1" x14ac:dyDescent="0.25">
      <c r="A23694" t="s">
        <v>22272</v>
      </c>
    </row>
    <row r="23695" spans="1:1" x14ac:dyDescent="0.25">
      <c r="A23695" t="s">
        <v>22273</v>
      </c>
    </row>
    <row r="23696" spans="1:1" x14ac:dyDescent="0.25">
      <c r="A23696" t="s">
        <v>22274</v>
      </c>
    </row>
    <row r="23697" spans="1:5" x14ac:dyDescent="0.25">
      <c r="A23697" t="s">
        <v>22275</v>
      </c>
    </row>
    <row r="23698" spans="1:5" x14ac:dyDescent="0.25">
      <c r="A23698" t="s">
        <v>22276</v>
      </c>
    </row>
    <row r="23699" spans="1:5" x14ac:dyDescent="0.25">
      <c r="A23699" t="s">
        <v>22277</v>
      </c>
    </row>
    <row r="23700" spans="1:5" x14ac:dyDescent="0.25">
      <c r="A23700" t="s">
        <v>22278</v>
      </c>
    </row>
    <row r="23701" spans="1:5" x14ac:dyDescent="0.25">
      <c r="A23701" t="s">
        <v>22279</v>
      </c>
    </row>
    <row r="23702" spans="1:5" x14ac:dyDescent="0.25">
      <c r="A23702" t="s">
        <v>22280</v>
      </c>
    </row>
    <row r="23703" spans="1:5" x14ac:dyDescent="0.25">
      <c r="A23703" t="s">
        <v>22281</v>
      </c>
    </row>
    <row r="23704" spans="1:5" x14ac:dyDescent="0.25">
      <c r="A23704" t="s">
        <v>22282</v>
      </c>
    </row>
    <row r="23705" spans="1:5" x14ac:dyDescent="0.25">
      <c r="A23705" t="s">
        <v>22283</v>
      </c>
    </row>
    <row r="23706" spans="1:5" x14ac:dyDescent="0.25">
      <c r="A23706" t="s">
        <v>22284</v>
      </c>
    </row>
    <row r="23707" spans="1:5" x14ac:dyDescent="0.25">
      <c r="A23707" t="s">
        <v>22285</v>
      </c>
    </row>
    <row r="23708" spans="1:5" x14ac:dyDescent="0.25">
      <c r="A23708" t="s">
        <v>22286</v>
      </c>
    </row>
    <row r="23709" spans="1:5" x14ac:dyDescent="0.25">
      <c r="A23709" t="s">
        <v>22287</v>
      </c>
    </row>
    <row r="23710" spans="1:5" x14ac:dyDescent="0.25">
      <c r="A23710" t="s">
        <v>8543</v>
      </c>
      <c r="B23710" t="s">
        <v>8544</v>
      </c>
      <c r="C23710" t="s">
        <v>8545</v>
      </c>
      <c r="D23710" t="s">
        <v>8546</v>
      </c>
      <c r="E23710" t="s">
        <v>8547</v>
      </c>
    </row>
    <row r="23711" spans="1:5" x14ac:dyDescent="0.25">
      <c r="A23711" t="s">
        <v>11094</v>
      </c>
      <c r="B23711" t="s">
        <v>22288</v>
      </c>
      <c r="C23711">
        <v>10000</v>
      </c>
      <c r="D23711" t="s">
        <v>3428</v>
      </c>
      <c r="E23711">
        <v>0</v>
      </c>
    </row>
    <row r="23712" spans="1:5" x14ac:dyDescent="0.25">
      <c r="A23712" t="s">
        <v>11094</v>
      </c>
      <c r="B23712" t="s">
        <v>4946</v>
      </c>
      <c r="C23712">
        <v>2875.48</v>
      </c>
      <c r="D23712" t="s">
        <v>3428</v>
      </c>
      <c r="E23712">
        <v>623</v>
      </c>
    </row>
    <row r="23713" spans="1:5" x14ac:dyDescent="0.25">
      <c r="A23713" t="s">
        <v>4948</v>
      </c>
      <c r="B23713" t="s">
        <v>4946</v>
      </c>
      <c r="C23713">
        <v>739.26</v>
      </c>
      <c r="D23713" t="s">
        <v>3428</v>
      </c>
      <c r="E23713">
        <v>821</v>
      </c>
    </row>
    <row r="23715" spans="1:5" x14ac:dyDescent="0.25">
      <c r="A23715" t="s">
        <v>22289</v>
      </c>
    </row>
    <row r="23716" spans="1:5" x14ac:dyDescent="0.25">
      <c r="A23716" t="s">
        <v>22290</v>
      </c>
    </row>
    <row r="23717" spans="1:5" x14ac:dyDescent="0.25">
      <c r="A23717" t="s">
        <v>8543</v>
      </c>
      <c r="B23717" t="s">
        <v>8544</v>
      </c>
      <c r="C23717" t="s">
        <v>8545</v>
      </c>
      <c r="D23717" t="s">
        <v>8546</v>
      </c>
      <c r="E23717" t="s">
        <v>8547</v>
      </c>
    </row>
    <row r="23718" spans="1:5" x14ac:dyDescent="0.25">
      <c r="A23718" t="s">
        <v>22291</v>
      </c>
      <c r="B23718" t="s">
        <v>22292</v>
      </c>
      <c r="C23718">
        <v>15574.84</v>
      </c>
      <c r="D23718" t="s">
        <v>5318</v>
      </c>
      <c r="E23718">
        <v>0</v>
      </c>
    </row>
    <row r="23719" spans="1:5" x14ac:dyDescent="0.25">
      <c r="A23719" t="s">
        <v>22291</v>
      </c>
      <c r="B23719" t="s">
        <v>22293</v>
      </c>
      <c r="C23719">
        <v>329.54</v>
      </c>
      <c r="D23719" t="s">
        <v>5318</v>
      </c>
      <c r="E23719">
        <v>0</v>
      </c>
    </row>
    <row r="23720" spans="1:5" x14ac:dyDescent="0.25">
      <c r="A23720" t="s">
        <v>22291</v>
      </c>
      <c r="B23720" t="s">
        <v>22294</v>
      </c>
      <c r="C23720">
        <v>155.75</v>
      </c>
      <c r="D23720" t="s">
        <v>5318</v>
      </c>
      <c r="E23720">
        <v>0</v>
      </c>
    </row>
    <row r="23721" spans="1:5" x14ac:dyDescent="0.25">
      <c r="A23721" t="s">
        <v>22291</v>
      </c>
      <c r="B23721" t="s">
        <v>22295</v>
      </c>
      <c r="C23721">
        <v>988.16</v>
      </c>
      <c r="D23721" t="s">
        <v>5318</v>
      </c>
      <c r="E23721">
        <v>0</v>
      </c>
    </row>
    <row r="23722" spans="1:5" x14ac:dyDescent="0.25">
      <c r="A23722" t="s">
        <v>22291</v>
      </c>
      <c r="B23722" t="s">
        <v>22296</v>
      </c>
      <c r="C23722">
        <v>16563</v>
      </c>
      <c r="D23722" t="s">
        <v>5318</v>
      </c>
      <c r="E23722">
        <v>0</v>
      </c>
    </row>
    <row r="23723" spans="1:5" x14ac:dyDescent="0.25">
      <c r="A23723" t="s">
        <v>4948</v>
      </c>
      <c r="B23723" t="s">
        <v>4946</v>
      </c>
      <c r="C23723">
        <v>673.81</v>
      </c>
      <c r="D23723" t="s">
        <v>3428</v>
      </c>
      <c r="E23723">
        <v>1094</v>
      </c>
    </row>
    <row r="23725" spans="1:5" x14ac:dyDescent="0.25">
      <c r="A23725" t="s">
        <v>22297</v>
      </c>
    </row>
    <row r="23726" spans="1:5" x14ac:dyDescent="0.25">
      <c r="A23726" t="s">
        <v>22298</v>
      </c>
    </row>
    <row r="23727" spans="1:5" x14ac:dyDescent="0.25">
      <c r="A23727" t="s">
        <v>22299</v>
      </c>
    </row>
    <row r="23728" spans="1:5" x14ac:dyDescent="0.25">
      <c r="A23728" t="s">
        <v>22300</v>
      </c>
    </row>
    <row r="23729" spans="1:5" x14ac:dyDescent="0.25">
      <c r="A23729" t="s">
        <v>22301</v>
      </c>
    </row>
    <row r="23730" spans="1:5" x14ac:dyDescent="0.25">
      <c r="A23730" t="s">
        <v>22302</v>
      </c>
    </row>
    <row r="23731" spans="1:5" x14ac:dyDescent="0.25">
      <c r="A23731" t="s">
        <v>22303</v>
      </c>
    </row>
    <row r="23732" spans="1:5" x14ac:dyDescent="0.25">
      <c r="A23732" t="s">
        <v>22304</v>
      </c>
    </row>
    <row r="23733" spans="1:5" x14ac:dyDescent="0.25">
      <c r="A23733" t="s">
        <v>22305</v>
      </c>
    </row>
    <row r="23734" spans="1:5" x14ac:dyDescent="0.25">
      <c r="A23734" t="s">
        <v>8543</v>
      </c>
      <c r="B23734" t="s">
        <v>8544</v>
      </c>
      <c r="C23734" t="s">
        <v>8545</v>
      </c>
      <c r="D23734" t="s">
        <v>8546</v>
      </c>
      <c r="E23734" t="s">
        <v>8547</v>
      </c>
    </row>
    <row r="23735" spans="1:5" x14ac:dyDescent="0.25">
      <c r="A23735" t="s">
        <v>4948</v>
      </c>
      <c r="B23735" t="s">
        <v>4946</v>
      </c>
      <c r="C23735">
        <v>3468.4</v>
      </c>
      <c r="D23735" t="s">
        <v>3428</v>
      </c>
      <c r="E23735">
        <v>1060</v>
      </c>
    </row>
    <row r="23736" spans="1:5" x14ac:dyDescent="0.25">
      <c r="A23736" t="s">
        <v>22306</v>
      </c>
      <c r="B23736" t="s">
        <v>4946</v>
      </c>
      <c r="C23736">
        <v>16793.830000000002</v>
      </c>
      <c r="D23736" t="s">
        <v>3428</v>
      </c>
      <c r="E23736">
        <v>1024</v>
      </c>
    </row>
    <row r="23738" spans="1:5" x14ac:dyDescent="0.25">
      <c r="A23738" t="s">
        <v>22307</v>
      </c>
    </row>
    <row r="23739" spans="1:5" x14ac:dyDescent="0.25">
      <c r="A23739" t="s">
        <v>22308</v>
      </c>
    </row>
    <row r="23740" spans="1:5" x14ac:dyDescent="0.25">
      <c r="A23740" t="s">
        <v>22309</v>
      </c>
    </row>
    <row r="23741" spans="1:5" x14ac:dyDescent="0.25">
      <c r="A23741" t="s">
        <v>22310</v>
      </c>
    </row>
    <row r="23742" spans="1:5" x14ac:dyDescent="0.25">
      <c r="A23742" t="s">
        <v>22311</v>
      </c>
    </row>
    <row r="23743" spans="1:5" x14ac:dyDescent="0.25">
      <c r="A23743" t="s">
        <v>22312</v>
      </c>
    </row>
    <row r="23744" spans="1:5" x14ac:dyDescent="0.25">
      <c r="A23744" t="s">
        <v>22313</v>
      </c>
    </row>
    <row r="23745" spans="1:1" x14ac:dyDescent="0.25">
      <c r="A23745" t="s">
        <v>22314</v>
      </c>
    </row>
    <row r="23746" spans="1:1" x14ac:dyDescent="0.25">
      <c r="A23746" t="s">
        <v>22315</v>
      </c>
    </row>
    <row r="23747" spans="1:1" x14ac:dyDescent="0.25">
      <c r="A23747" t="s">
        <v>22316</v>
      </c>
    </row>
    <row r="23748" spans="1:1" x14ac:dyDescent="0.25">
      <c r="A23748" t="s">
        <v>22317</v>
      </c>
    </row>
    <row r="23749" spans="1:1" x14ac:dyDescent="0.25">
      <c r="A23749" t="s">
        <v>22318</v>
      </c>
    </row>
    <row r="23750" spans="1:1" x14ac:dyDescent="0.25">
      <c r="A23750" t="s">
        <v>22319</v>
      </c>
    </row>
    <row r="23751" spans="1:1" x14ac:dyDescent="0.25">
      <c r="A23751" t="s">
        <v>2436</v>
      </c>
    </row>
    <row r="23752" spans="1:1" x14ac:dyDescent="0.25">
      <c r="A23752" t="s">
        <v>22320</v>
      </c>
    </row>
    <row r="23753" spans="1:1" x14ac:dyDescent="0.25">
      <c r="A23753" t="s">
        <v>22321</v>
      </c>
    </row>
    <row r="23754" spans="1:1" x14ac:dyDescent="0.25">
      <c r="A23754" t="s">
        <v>22322</v>
      </c>
    </row>
    <row r="23755" spans="1:1" x14ac:dyDescent="0.25">
      <c r="A23755" t="s">
        <v>22323</v>
      </c>
    </row>
    <row r="23756" spans="1:1" x14ac:dyDescent="0.25">
      <c r="A23756" t="s">
        <v>22324</v>
      </c>
    </row>
    <row r="23757" spans="1:1" x14ac:dyDescent="0.25">
      <c r="A23757" t="s">
        <v>22325</v>
      </c>
    </row>
    <row r="23759" spans="1:1" x14ac:dyDescent="0.25">
      <c r="A23759" t="s">
        <v>22326</v>
      </c>
    </row>
    <row r="23760" spans="1:1" x14ac:dyDescent="0.25">
      <c r="A23760" t="s">
        <v>22327</v>
      </c>
    </row>
    <row r="23761" spans="1:1" x14ac:dyDescent="0.25">
      <c r="A23761" t="s">
        <v>22328</v>
      </c>
    </row>
    <row r="23762" spans="1:1" x14ac:dyDescent="0.25">
      <c r="A23762" t="s">
        <v>22329</v>
      </c>
    </row>
    <row r="23763" spans="1:1" x14ac:dyDescent="0.25">
      <c r="A23763" t="s">
        <v>22330</v>
      </c>
    </row>
    <row r="23764" spans="1:1" x14ac:dyDescent="0.25">
      <c r="A23764" t="s">
        <v>22331</v>
      </c>
    </row>
    <row r="23765" spans="1:1" x14ac:dyDescent="0.25">
      <c r="A23765" t="s">
        <v>22332</v>
      </c>
    </row>
    <row r="23766" spans="1:1" x14ac:dyDescent="0.25">
      <c r="A23766" t="s">
        <v>22333</v>
      </c>
    </row>
    <row r="23767" spans="1:1" x14ac:dyDescent="0.25">
      <c r="A23767" t="s">
        <v>22334</v>
      </c>
    </row>
    <row r="23768" spans="1:1" x14ac:dyDescent="0.25">
      <c r="A23768" t="s">
        <v>22335</v>
      </c>
    </row>
    <row r="23769" spans="1:1" x14ac:dyDescent="0.25">
      <c r="A23769" t="s">
        <v>22336</v>
      </c>
    </row>
    <row r="23770" spans="1:1" x14ac:dyDescent="0.25">
      <c r="A23770" t="s">
        <v>22337</v>
      </c>
    </row>
    <row r="23771" spans="1:1" x14ac:dyDescent="0.25">
      <c r="A23771" t="s">
        <v>22338</v>
      </c>
    </row>
    <row r="23773" spans="1:1" x14ac:dyDescent="0.25">
      <c r="A23773" t="s">
        <v>22339</v>
      </c>
    </row>
    <row r="23774" spans="1:1" x14ac:dyDescent="0.25">
      <c r="A23774" t="s">
        <v>22340</v>
      </c>
    </row>
    <row r="23775" spans="1:1" x14ac:dyDescent="0.25">
      <c r="A23775" t="s">
        <v>22341</v>
      </c>
    </row>
    <row r="23776" spans="1:1" x14ac:dyDescent="0.25">
      <c r="A23776" t="s">
        <v>22342</v>
      </c>
    </row>
    <row r="23777" spans="1:1" x14ac:dyDescent="0.25">
      <c r="A23777" t="s">
        <v>22343</v>
      </c>
    </row>
    <row r="23778" spans="1:1" x14ac:dyDescent="0.25">
      <c r="A23778" t="s">
        <v>22344</v>
      </c>
    </row>
    <row r="23779" spans="1:1" x14ac:dyDescent="0.25">
      <c r="A23779" t="s">
        <v>22345</v>
      </c>
    </row>
    <row r="23780" spans="1:1" x14ac:dyDescent="0.25">
      <c r="A23780" t="s">
        <v>22346</v>
      </c>
    </row>
    <row r="23781" spans="1:1" x14ac:dyDescent="0.25">
      <c r="A23781" t="s">
        <v>22347</v>
      </c>
    </row>
    <row r="23782" spans="1:1" x14ac:dyDescent="0.25">
      <c r="A23782" t="s">
        <v>22348</v>
      </c>
    </row>
    <row r="23783" spans="1:1" x14ac:dyDescent="0.25">
      <c r="A23783" t="s">
        <v>22349</v>
      </c>
    </row>
    <row r="23784" spans="1:1" x14ac:dyDescent="0.25">
      <c r="A23784" t="s">
        <v>22350</v>
      </c>
    </row>
    <row r="23785" spans="1:1" x14ac:dyDescent="0.25">
      <c r="A23785" t="s">
        <v>22351</v>
      </c>
    </row>
    <row r="23786" spans="1:1" x14ac:dyDescent="0.25">
      <c r="A23786" t="s">
        <v>22352</v>
      </c>
    </row>
    <row r="23787" spans="1:1" x14ac:dyDescent="0.25">
      <c r="A23787" t="s">
        <v>22353</v>
      </c>
    </row>
    <row r="23788" spans="1:1" x14ac:dyDescent="0.25">
      <c r="A23788" t="s">
        <v>22354</v>
      </c>
    </row>
    <row r="23789" spans="1:1" x14ac:dyDescent="0.25">
      <c r="A23789" t="s">
        <v>22355</v>
      </c>
    </row>
    <row r="23790" spans="1:1" x14ac:dyDescent="0.25">
      <c r="A23790" t="s">
        <v>22356</v>
      </c>
    </row>
    <row r="23791" spans="1:1" x14ac:dyDescent="0.25">
      <c r="A23791" t="s">
        <v>22357</v>
      </c>
    </row>
    <row r="23792" spans="1:1" x14ac:dyDescent="0.25">
      <c r="A23792" t="s">
        <v>22358</v>
      </c>
    </row>
    <row r="23794" spans="1:1" x14ac:dyDescent="0.25">
      <c r="A23794" t="s">
        <v>22359</v>
      </c>
    </row>
    <row r="23795" spans="1:1" x14ac:dyDescent="0.25">
      <c r="A23795" t="s">
        <v>22360</v>
      </c>
    </row>
    <row r="23796" spans="1:1" x14ac:dyDescent="0.25">
      <c r="A23796" t="s">
        <v>22361</v>
      </c>
    </row>
    <row r="23797" spans="1:1" x14ac:dyDescent="0.25">
      <c r="A23797" t="s">
        <v>22362</v>
      </c>
    </row>
    <row r="23798" spans="1:1" x14ac:dyDescent="0.25">
      <c r="A23798" t="s">
        <v>22363</v>
      </c>
    </row>
    <row r="23799" spans="1:1" x14ac:dyDescent="0.25">
      <c r="A23799" t="s">
        <v>22364</v>
      </c>
    </row>
    <row r="23800" spans="1:1" x14ac:dyDescent="0.25">
      <c r="A23800" t="s">
        <v>22365</v>
      </c>
    </row>
    <row r="23801" spans="1:1" x14ac:dyDescent="0.25">
      <c r="A23801" t="s">
        <v>22366</v>
      </c>
    </row>
    <row r="23802" spans="1:1" x14ac:dyDescent="0.25">
      <c r="A23802" t="s">
        <v>22367</v>
      </c>
    </row>
    <row r="23803" spans="1:1" x14ac:dyDescent="0.25">
      <c r="A23803" t="s">
        <v>22368</v>
      </c>
    </row>
    <row r="23804" spans="1:1" x14ac:dyDescent="0.25">
      <c r="A23804" t="s">
        <v>22369</v>
      </c>
    </row>
    <row r="23805" spans="1:1" x14ac:dyDescent="0.25">
      <c r="A23805" t="s">
        <v>22370</v>
      </c>
    </row>
    <row r="23806" spans="1:1" x14ac:dyDescent="0.25">
      <c r="A23806" t="s">
        <v>22371</v>
      </c>
    </row>
    <row r="23807" spans="1:1" x14ac:dyDescent="0.25">
      <c r="A23807" t="s">
        <v>22372</v>
      </c>
    </row>
    <row r="23808" spans="1:1" x14ac:dyDescent="0.25">
      <c r="A23808" t="s">
        <v>22373</v>
      </c>
    </row>
    <row r="23809" spans="1:1" x14ac:dyDescent="0.25">
      <c r="A23809" t="s">
        <v>22374</v>
      </c>
    </row>
    <row r="23810" spans="1:1" x14ac:dyDescent="0.25">
      <c r="A23810" t="s">
        <v>22375</v>
      </c>
    </row>
    <row r="23811" spans="1:1" x14ac:dyDescent="0.25">
      <c r="A23811" t="s">
        <v>22376</v>
      </c>
    </row>
    <row r="23812" spans="1:1" x14ac:dyDescent="0.25">
      <c r="A23812" t="s">
        <v>22377</v>
      </c>
    </row>
    <row r="23813" spans="1:1" x14ac:dyDescent="0.25">
      <c r="A23813" t="s">
        <v>22378</v>
      </c>
    </row>
    <row r="23814" spans="1:1" x14ac:dyDescent="0.25">
      <c r="A23814" t="s">
        <v>22379</v>
      </c>
    </row>
    <row r="23815" spans="1:1" x14ac:dyDescent="0.25">
      <c r="A23815" t="s">
        <v>22380</v>
      </c>
    </row>
    <row r="23816" spans="1:1" x14ac:dyDescent="0.25">
      <c r="A23816" t="s">
        <v>22381</v>
      </c>
    </row>
    <row r="23817" spans="1:1" x14ac:dyDescent="0.25">
      <c r="A23817" t="s">
        <v>22382</v>
      </c>
    </row>
    <row r="23818" spans="1:1" x14ac:dyDescent="0.25">
      <c r="A23818" t="s">
        <v>22383</v>
      </c>
    </row>
    <row r="23819" spans="1:1" x14ac:dyDescent="0.25">
      <c r="A23819" t="s">
        <v>22384</v>
      </c>
    </row>
    <row r="23820" spans="1:1" x14ac:dyDescent="0.25">
      <c r="A23820" t="s">
        <v>22385</v>
      </c>
    </row>
    <row r="23821" spans="1:1" x14ac:dyDescent="0.25">
      <c r="A23821" t="s">
        <v>22386</v>
      </c>
    </row>
    <row r="23822" spans="1:1" x14ac:dyDescent="0.25">
      <c r="A23822" t="s">
        <v>22387</v>
      </c>
    </row>
    <row r="23823" spans="1:1" x14ac:dyDescent="0.25">
      <c r="A23823" t="s">
        <v>22388</v>
      </c>
    </row>
    <row r="23824" spans="1:1" x14ac:dyDescent="0.25">
      <c r="A23824" t="s">
        <v>22389</v>
      </c>
    </row>
    <row r="23825" spans="1:1" x14ac:dyDescent="0.25">
      <c r="A23825" t="s">
        <v>22390</v>
      </c>
    </row>
    <row r="23826" spans="1:1" x14ac:dyDescent="0.25">
      <c r="A23826" t="s">
        <v>22391</v>
      </c>
    </row>
    <row r="23827" spans="1:1" x14ac:dyDescent="0.25">
      <c r="A23827" t="s">
        <v>22392</v>
      </c>
    </row>
    <row r="23828" spans="1:1" x14ac:dyDescent="0.25">
      <c r="A23828" t="s">
        <v>22393</v>
      </c>
    </row>
    <row r="23829" spans="1:1" x14ac:dyDescent="0.25">
      <c r="A23829" t="s">
        <v>22394</v>
      </c>
    </row>
    <row r="23830" spans="1:1" x14ac:dyDescent="0.25">
      <c r="A23830" t="s">
        <v>22395</v>
      </c>
    </row>
    <row r="23831" spans="1:1" x14ac:dyDescent="0.25">
      <c r="A23831" t="s">
        <v>22396</v>
      </c>
    </row>
    <row r="23832" spans="1:1" x14ac:dyDescent="0.25">
      <c r="A23832" t="s">
        <v>22397</v>
      </c>
    </row>
    <row r="23833" spans="1:1" x14ac:dyDescent="0.25">
      <c r="A23833" t="s">
        <v>22398</v>
      </c>
    </row>
    <row r="23834" spans="1:1" x14ac:dyDescent="0.25">
      <c r="A23834" t="s">
        <v>22399</v>
      </c>
    </row>
    <row r="23835" spans="1:1" x14ac:dyDescent="0.25">
      <c r="A23835" t="s">
        <v>22400</v>
      </c>
    </row>
    <row r="23836" spans="1:1" x14ac:dyDescent="0.25">
      <c r="A23836" t="s">
        <v>22401</v>
      </c>
    </row>
    <row r="23837" spans="1:1" x14ac:dyDescent="0.25">
      <c r="A23837" t="s">
        <v>22402</v>
      </c>
    </row>
    <row r="23838" spans="1:1" x14ac:dyDescent="0.25">
      <c r="A23838" t="s">
        <v>22403</v>
      </c>
    </row>
    <row r="23839" spans="1:1" x14ac:dyDescent="0.25">
      <c r="A23839" t="s">
        <v>22404</v>
      </c>
    </row>
    <row r="23840" spans="1:1" x14ac:dyDescent="0.25">
      <c r="A23840" t="s">
        <v>22405</v>
      </c>
    </row>
    <row r="23841" spans="1:1" x14ac:dyDescent="0.25">
      <c r="A23841" t="s">
        <v>22406</v>
      </c>
    </row>
    <row r="23842" spans="1:1" x14ac:dyDescent="0.25">
      <c r="A23842" t="s">
        <v>22407</v>
      </c>
    </row>
    <row r="23843" spans="1:1" x14ac:dyDescent="0.25">
      <c r="A23843" t="s">
        <v>22408</v>
      </c>
    </row>
    <row r="23844" spans="1:1" x14ac:dyDescent="0.25">
      <c r="A23844" t="s">
        <v>22409</v>
      </c>
    </row>
    <row r="23845" spans="1:1" x14ac:dyDescent="0.25">
      <c r="A23845" t="s">
        <v>22410</v>
      </c>
    </row>
    <row r="23846" spans="1:1" x14ac:dyDescent="0.25">
      <c r="A23846" t="s">
        <v>22411</v>
      </c>
    </row>
    <row r="23847" spans="1:1" x14ac:dyDescent="0.25">
      <c r="A23847" t="s">
        <v>22412</v>
      </c>
    </row>
    <row r="23848" spans="1:1" x14ac:dyDescent="0.25">
      <c r="A23848" t="s">
        <v>22413</v>
      </c>
    </row>
    <row r="23849" spans="1:1" x14ac:dyDescent="0.25">
      <c r="A23849" t="s">
        <v>22414</v>
      </c>
    </row>
    <row r="23850" spans="1:1" x14ac:dyDescent="0.25">
      <c r="A23850" t="s">
        <v>22415</v>
      </c>
    </row>
    <row r="23851" spans="1:1" x14ac:dyDescent="0.25">
      <c r="A23851" t="s">
        <v>22416</v>
      </c>
    </row>
    <row r="23852" spans="1:1" x14ac:dyDescent="0.25">
      <c r="A23852" t="s">
        <v>22417</v>
      </c>
    </row>
    <row r="23853" spans="1:1" x14ac:dyDescent="0.25">
      <c r="A23853" t="s">
        <v>22418</v>
      </c>
    </row>
    <row r="23854" spans="1:1" x14ac:dyDescent="0.25">
      <c r="A23854" t="s">
        <v>22419</v>
      </c>
    </row>
    <row r="23855" spans="1:1" x14ac:dyDescent="0.25">
      <c r="A23855" t="s">
        <v>22420</v>
      </c>
    </row>
    <row r="23856" spans="1:1" x14ac:dyDescent="0.25">
      <c r="A23856" t="s">
        <v>22421</v>
      </c>
    </row>
    <row r="23857" spans="1:1" x14ac:dyDescent="0.25">
      <c r="A23857" t="s">
        <v>22422</v>
      </c>
    </row>
    <row r="23858" spans="1:1" x14ac:dyDescent="0.25">
      <c r="A23858" t="s">
        <v>22423</v>
      </c>
    </row>
    <row r="23859" spans="1:1" x14ac:dyDescent="0.25">
      <c r="A23859" t="s">
        <v>22424</v>
      </c>
    </row>
    <row r="23860" spans="1:1" x14ac:dyDescent="0.25">
      <c r="A23860" t="s">
        <v>22425</v>
      </c>
    </row>
    <row r="23861" spans="1:1" x14ac:dyDescent="0.25">
      <c r="A23861" t="s">
        <v>22426</v>
      </c>
    </row>
    <row r="23862" spans="1:1" x14ac:dyDescent="0.25">
      <c r="A23862" t="s">
        <v>22427</v>
      </c>
    </row>
    <row r="23863" spans="1:1" x14ac:dyDescent="0.25">
      <c r="A23863" t="s">
        <v>22428</v>
      </c>
    </row>
    <row r="23864" spans="1:1" x14ac:dyDescent="0.25">
      <c r="A23864" t="s">
        <v>22429</v>
      </c>
    </row>
    <row r="23865" spans="1:1" x14ac:dyDescent="0.25">
      <c r="A23865" t="s">
        <v>22430</v>
      </c>
    </row>
    <row r="23866" spans="1:1" x14ac:dyDescent="0.25">
      <c r="A23866" t="s">
        <v>22431</v>
      </c>
    </row>
    <row r="23867" spans="1:1" x14ac:dyDescent="0.25">
      <c r="A23867" t="s">
        <v>22432</v>
      </c>
    </row>
    <row r="23869" spans="1:1" x14ac:dyDescent="0.25">
      <c r="A23869" t="s">
        <v>22433</v>
      </c>
    </row>
    <row r="23870" spans="1:1" x14ac:dyDescent="0.25">
      <c r="A23870" t="s">
        <v>22434</v>
      </c>
    </row>
    <row r="23871" spans="1:1" x14ac:dyDescent="0.25">
      <c r="A23871" t="s">
        <v>22435</v>
      </c>
    </row>
    <row r="23872" spans="1:1" x14ac:dyDescent="0.25">
      <c r="A23872" t="s">
        <v>22436</v>
      </c>
    </row>
    <row r="23873" spans="1:1" x14ac:dyDescent="0.25">
      <c r="A23873" t="s">
        <v>22437</v>
      </c>
    </row>
    <row r="23874" spans="1:1" x14ac:dyDescent="0.25">
      <c r="A23874" t="s">
        <v>22438</v>
      </c>
    </row>
    <row r="23875" spans="1:1" x14ac:dyDescent="0.25">
      <c r="A23875" t="s">
        <v>22439</v>
      </c>
    </row>
    <row r="23876" spans="1:1" x14ac:dyDescent="0.25">
      <c r="A23876" t="s">
        <v>22440</v>
      </c>
    </row>
    <row r="23877" spans="1:1" x14ac:dyDescent="0.25">
      <c r="A23877" t="s">
        <v>8196</v>
      </c>
    </row>
    <row r="23878" spans="1:1" x14ac:dyDescent="0.25">
      <c r="A23878" t="s">
        <v>3253</v>
      </c>
    </row>
    <row r="23879" spans="1:1" x14ac:dyDescent="0.25">
      <c r="A23879" t="s">
        <v>22441</v>
      </c>
    </row>
    <row r="23880" spans="1:1" x14ac:dyDescent="0.25">
      <c r="A23880" t="s">
        <v>22442</v>
      </c>
    </row>
    <row r="23881" spans="1:1" x14ac:dyDescent="0.25">
      <c r="A23881" t="s">
        <v>8378</v>
      </c>
    </row>
    <row r="23882" spans="1:1" x14ac:dyDescent="0.25">
      <c r="A23882" t="s">
        <v>22443</v>
      </c>
    </row>
    <row r="23883" spans="1:1" x14ac:dyDescent="0.25">
      <c r="A23883" t="s">
        <v>22444</v>
      </c>
    </row>
    <row r="23884" spans="1:1" x14ac:dyDescent="0.25">
      <c r="A23884" t="s">
        <v>22445</v>
      </c>
    </row>
    <row r="23885" spans="1:1" x14ac:dyDescent="0.25">
      <c r="A23885" t="s">
        <v>22446</v>
      </c>
    </row>
    <row r="23886" spans="1:1" x14ac:dyDescent="0.25">
      <c r="A23886" t="s">
        <v>22447</v>
      </c>
    </row>
    <row r="23887" spans="1:1" x14ac:dyDescent="0.25">
      <c r="A23887" t="s">
        <v>22448</v>
      </c>
    </row>
    <row r="23888" spans="1:1" x14ac:dyDescent="0.25">
      <c r="A23888" t="s">
        <v>22449</v>
      </c>
    </row>
    <row r="23889" spans="1:1" x14ac:dyDescent="0.25">
      <c r="A23889" t="s">
        <v>22450</v>
      </c>
    </row>
    <row r="23890" spans="1:1" x14ac:dyDescent="0.25">
      <c r="A23890" t="s">
        <v>22451</v>
      </c>
    </row>
    <row r="23891" spans="1:1" x14ac:dyDescent="0.25">
      <c r="A23891" t="s">
        <v>22452</v>
      </c>
    </row>
    <row r="23892" spans="1:1" x14ac:dyDescent="0.25">
      <c r="A23892" t="s">
        <v>22453</v>
      </c>
    </row>
    <row r="23893" spans="1:1" x14ac:dyDescent="0.25">
      <c r="A23893" t="s">
        <v>22454</v>
      </c>
    </row>
    <row r="23894" spans="1:1" x14ac:dyDescent="0.25">
      <c r="A23894" t="s">
        <v>22455</v>
      </c>
    </row>
    <row r="23895" spans="1:1" x14ac:dyDescent="0.25">
      <c r="A23895" t="s">
        <v>22456</v>
      </c>
    </row>
    <row r="23896" spans="1:1" x14ac:dyDescent="0.25">
      <c r="A23896" t="s">
        <v>22457</v>
      </c>
    </row>
    <row r="23897" spans="1:1" x14ac:dyDescent="0.25">
      <c r="A23897" t="s">
        <v>22458</v>
      </c>
    </row>
    <row r="23898" spans="1:1" x14ac:dyDescent="0.25">
      <c r="A23898" t="s">
        <v>22459</v>
      </c>
    </row>
    <row r="23899" spans="1:1" x14ac:dyDescent="0.25">
      <c r="A23899" t="s">
        <v>22460</v>
      </c>
    </row>
    <row r="23900" spans="1:1" x14ac:dyDescent="0.25">
      <c r="A23900" t="s">
        <v>22461</v>
      </c>
    </row>
    <row r="23901" spans="1:1" x14ac:dyDescent="0.25">
      <c r="A23901" t="s">
        <v>22462</v>
      </c>
    </row>
    <row r="23902" spans="1:1" x14ac:dyDescent="0.25">
      <c r="A23902" t="s">
        <v>22463</v>
      </c>
    </row>
    <row r="23903" spans="1:1" x14ac:dyDescent="0.25">
      <c r="A23903" t="s">
        <v>22464</v>
      </c>
    </row>
    <row r="23904" spans="1:1" x14ac:dyDescent="0.25">
      <c r="A23904" t="s">
        <v>22465</v>
      </c>
    </row>
    <row r="23905" spans="1:1" x14ac:dyDescent="0.25">
      <c r="A23905" t="s">
        <v>22466</v>
      </c>
    </row>
    <row r="23906" spans="1:1" x14ac:dyDescent="0.25">
      <c r="A23906" t="s">
        <v>22467</v>
      </c>
    </row>
    <row r="23907" spans="1:1" x14ac:dyDescent="0.25">
      <c r="A23907" t="s">
        <v>22468</v>
      </c>
    </row>
    <row r="23908" spans="1:1" x14ac:dyDescent="0.25">
      <c r="A23908" t="s">
        <v>22469</v>
      </c>
    </row>
    <row r="23909" spans="1:1" x14ac:dyDescent="0.25">
      <c r="A23909" t="s">
        <v>22470</v>
      </c>
    </row>
    <row r="23910" spans="1:1" x14ac:dyDescent="0.25">
      <c r="A23910" t="s">
        <v>22471</v>
      </c>
    </row>
    <row r="23911" spans="1:1" x14ac:dyDescent="0.25">
      <c r="A23911" t="s">
        <v>22472</v>
      </c>
    </row>
    <row r="23912" spans="1:1" x14ac:dyDescent="0.25">
      <c r="A23912" t="s">
        <v>22473</v>
      </c>
    </row>
    <row r="23913" spans="1:1" x14ac:dyDescent="0.25">
      <c r="A23913" t="s">
        <v>22474</v>
      </c>
    </row>
    <row r="23914" spans="1:1" x14ac:dyDescent="0.25">
      <c r="A23914" t="s">
        <v>22475</v>
      </c>
    </row>
    <row r="23915" spans="1:1" x14ac:dyDescent="0.25">
      <c r="A23915" t="s">
        <v>22476</v>
      </c>
    </row>
    <row r="23916" spans="1:1" x14ac:dyDescent="0.25">
      <c r="A23916" t="s">
        <v>22477</v>
      </c>
    </row>
    <row r="23917" spans="1:1" x14ac:dyDescent="0.25">
      <c r="A23917" t="s">
        <v>22478</v>
      </c>
    </row>
    <row r="23918" spans="1:1" x14ac:dyDescent="0.25">
      <c r="A23918" t="s">
        <v>22479</v>
      </c>
    </row>
    <row r="23919" spans="1:1" x14ac:dyDescent="0.25">
      <c r="A23919" t="s">
        <v>22480</v>
      </c>
    </row>
    <row r="23920" spans="1:1" x14ac:dyDescent="0.25">
      <c r="A23920" t="s">
        <v>22481</v>
      </c>
    </row>
    <row r="23921" spans="1:1" x14ac:dyDescent="0.25">
      <c r="A23921" t="s">
        <v>22482</v>
      </c>
    </row>
    <row r="23922" spans="1:1" x14ac:dyDescent="0.25">
      <c r="A23922" t="s">
        <v>22483</v>
      </c>
    </row>
    <row r="23923" spans="1:1" x14ac:dyDescent="0.25">
      <c r="A23923" t="s">
        <v>22484</v>
      </c>
    </row>
    <row r="23924" spans="1:1" x14ac:dyDescent="0.25">
      <c r="A23924" t="s">
        <v>22485</v>
      </c>
    </row>
    <row r="23925" spans="1:1" x14ac:dyDescent="0.25">
      <c r="A23925" t="s">
        <v>22486</v>
      </c>
    </row>
    <row r="23926" spans="1:1" x14ac:dyDescent="0.25">
      <c r="A23926" t="s">
        <v>22487</v>
      </c>
    </row>
    <row r="23927" spans="1:1" x14ac:dyDescent="0.25">
      <c r="A23927" t="s">
        <v>22488</v>
      </c>
    </row>
    <row r="23928" spans="1:1" x14ac:dyDescent="0.25">
      <c r="A23928" t="s">
        <v>11223</v>
      </c>
    </row>
    <row r="23929" spans="1:1" x14ac:dyDescent="0.25">
      <c r="A23929" t="s">
        <v>22489</v>
      </c>
    </row>
    <row r="23930" spans="1:1" x14ac:dyDescent="0.25">
      <c r="A23930" t="s">
        <v>22490</v>
      </c>
    </row>
    <row r="23931" spans="1:1" x14ac:dyDescent="0.25">
      <c r="A23931" t="s">
        <v>22491</v>
      </c>
    </row>
    <row r="23932" spans="1:1" x14ac:dyDescent="0.25">
      <c r="A23932" t="s">
        <v>22492</v>
      </c>
    </row>
    <row r="23933" spans="1:1" x14ac:dyDescent="0.25">
      <c r="A23933" t="s">
        <v>22493</v>
      </c>
    </row>
    <row r="23934" spans="1:1" x14ac:dyDescent="0.25">
      <c r="A23934" t="s">
        <v>22494</v>
      </c>
    </row>
    <row r="23935" spans="1:1" x14ac:dyDescent="0.25">
      <c r="A23935" t="s">
        <v>22495</v>
      </c>
    </row>
    <row r="23936" spans="1:1" x14ac:dyDescent="0.25">
      <c r="A23936" t="s">
        <v>22496</v>
      </c>
    </row>
    <row r="23937" spans="1:1" x14ac:dyDescent="0.25">
      <c r="A23937" t="s">
        <v>22497</v>
      </c>
    </row>
    <row r="23938" spans="1:1" x14ac:dyDescent="0.25">
      <c r="A23938" t="s">
        <v>8637</v>
      </c>
    </row>
    <row r="23939" spans="1:1" x14ac:dyDescent="0.25">
      <c r="A23939" t="s">
        <v>8638</v>
      </c>
    </row>
    <row r="23940" spans="1:1" x14ac:dyDescent="0.25">
      <c r="A23940" t="s">
        <v>8639</v>
      </c>
    </row>
    <row r="23941" spans="1:1" x14ac:dyDescent="0.25">
      <c r="A23941" t="s">
        <v>5931</v>
      </c>
    </row>
    <row r="23942" spans="1:1" x14ac:dyDescent="0.25">
      <c r="A23942" t="s">
        <v>8640</v>
      </c>
    </row>
    <row r="23943" spans="1:1" x14ac:dyDescent="0.25">
      <c r="A23943" t="s">
        <v>6236</v>
      </c>
    </row>
    <row r="23944" spans="1:1" x14ac:dyDescent="0.25">
      <c r="A23944" t="s">
        <v>22498</v>
      </c>
    </row>
    <row r="23945" spans="1:1" x14ac:dyDescent="0.25">
      <c r="A23945" t="s">
        <v>22499</v>
      </c>
    </row>
    <row r="23946" spans="1:1" x14ac:dyDescent="0.25">
      <c r="A23946" t="s">
        <v>22500</v>
      </c>
    </row>
    <row r="23948" spans="1:1" x14ac:dyDescent="0.25">
      <c r="A23948" t="s">
        <v>22501</v>
      </c>
    </row>
    <row r="23949" spans="1:1" x14ac:dyDescent="0.25">
      <c r="A23949" t="s">
        <v>22502</v>
      </c>
    </row>
    <row r="23950" spans="1:1" x14ac:dyDescent="0.25">
      <c r="A23950" t="s">
        <v>22503</v>
      </c>
    </row>
    <row r="23951" spans="1:1" x14ac:dyDescent="0.25">
      <c r="A23951" t="s">
        <v>22504</v>
      </c>
    </row>
    <row r="23952" spans="1:1" x14ac:dyDescent="0.25">
      <c r="A23952" t="s">
        <v>22505</v>
      </c>
    </row>
    <row r="23953" spans="1:1" x14ac:dyDescent="0.25">
      <c r="A23953" t="s">
        <v>22506</v>
      </c>
    </row>
    <row r="23954" spans="1:1" x14ac:dyDescent="0.25">
      <c r="A23954" t="s">
        <v>22507</v>
      </c>
    </row>
    <row r="23955" spans="1:1" x14ac:dyDescent="0.25">
      <c r="A23955" t="s">
        <v>22508</v>
      </c>
    </row>
    <row r="23956" spans="1:1" x14ac:dyDescent="0.25">
      <c r="A23956" t="s">
        <v>22509</v>
      </c>
    </row>
    <row r="23957" spans="1:1" x14ac:dyDescent="0.25">
      <c r="A23957" t="s">
        <v>22510</v>
      </c>
    </row>
    <row r="23958" spans="1:1" x14ac:dyDescent="0.25">
      <c r="A23958" t="s">
        <v>22511</v>
      </c>
    </row>
    <row r="23959" spans="1:1" x14ac:dyDescent="0.25">
      <c r="A23959" t="s">
        <v>22512</v>
      </c>
    </row>
    <row r="23960" spans="1:1" x14ac:dyDescent="0.25">
      <c r="A23960" t="s">
        <v>22513</v>
      </c>
    </row>
    <row r="23961" spans="1:1" x14ac:dyDescent="0.25">
      <c r="A23961" t="s">
        <v>22514</v>
      </c>
    </row>
    <row r="23962" spans="1:1" x14ac:dyDescent="0.25">
      <c r="A23962" t="s">
        <v>22515</v>
      </c>
    </row>
    <row r="23963" spans="1:1" x14ac:dyDescent="0.25">
      <c r="A23963" t="s">
        <v>22516</v>
      </c>
    </row>
    <row r="23964" spans="1:1" x14ac:dyDescent="0.25">
      <c r="A23964" t="s">
        <v>22517</v>
      </c>
    </row>
    <row r="23966" spans="1:1" x14ac:dyDescent="0.25">
      <c r="A23966" t="s">
        <v>22518</v>
      </c>
    </row>
    <row r="23967" spans="1:1" x14ac:dyDescent="0.25">
      <c r="A23967" t="s">
        <v>22519</v>
      </c>
    </row>
    <row r="23968" spans="1:1" x14ac:dyDescent="0.25">
      <c r="A23968" t="s">
        <v>22520</v>
      </c>
    </row>
    <row r="23969" spans="1:1" x14ac:dyDescent="0.25">
      <c r="A23969" t="s">
        <v>22521</v>
      </c>
    </row>
    <row r="23970" spans="1:1" x14ac:dyDescent="0.25">
      <c r="A23970" t="s">
        <v>22522</v>
      </c>
    </row>
    <row r="23971" spans="1:1" x14ac:dyDescent="0.25">
      <c r="A23971" t="s">
        <v>22523</v>
      </c>
    </row>
    <row r="23972" spans="1:1" x14ac:dyDescent="0.25">
      <c r="A23972" t="s">
        <v>22524</v>
      </c>
    </row>
    <row r="23973" spans="1:1" x14ac:dyDescent="0.25">
      <c r="A23973" t="s">
        <v>22525</v>
      </c>
    </row>
    <row r="23974" spans="1:1" x14ac:dyDescent="0.25">
      <c r="A23974" t="s">
        <v>22526</v>
      </c>
    </row>
    <row r="23975" spans="1:1" x14ac:dyDescent="0.25">
      <c r="A23975" t="s">
        <v>22527</v>
      </c>
    </row>
    <row r="23976" spans="1:1" x14ac:dyDescent="0.25">
      <c r="A23976" t="s">
        <v>22528</v>
      </c>
    </row>
    <row r="23977" spans="1:1" x14ac:dyDescent="0.25">
      <c r="A23977" t="s">
        <v>22529</v>
      </c>
    </row>
    <row r="23978" spans="1:1" x14ac:dyDescent="0.25">
      <c r="A23978" t="s">
        <v>22530</v>
      </c>
    </row>
    <row r="23979" spans="1:1" x14ac:dyDescent="0.25">
      <c r="A23979" t="s">
        <v>22531</v>
      </c>
    </row>
    <row r="23980" spans="1:1" x14ac:dyDescent="0.25">
      <c r="A23980" t="s">
        <v>22532</v>
      </c>
    </row>
    <row r="23981" spans="1:1" x14ac:dyDescent="0.25">
      <c r="A23981" t="s">
        <v>22533</v>
      </c>
    </row>
    <row r="23982" spans="1:1" x14ac:dyDescent="0.25">
      <c r="A23982" t="s">
        <v>22534</v>
      </c>
    </row>
    <row r="23983" spans="1:1" x14ac:dyDescent="0.25">
      <c r="A23983" t="s">
        <v>22535</v>
      </c>
    </row>
    <row r="23984" spans="1:1" x14ac:dyDescent="0.25">
      <c r="A23984" t="s">
        <v>22536</v>
      </c>
    </row>
    <row r="23985" spans="1:1" x14ac:dyDescent="0.25">
      <c r="A23985" t="s">
        <v>22537</v>
      </c>
    </row>
    <row r="23986" spans="1:1" x14ac:dyDescent="0.25">
      <c r="A23986" t="s">
        <v>22538</v>
      </c>
    </row>
    <row r="23987" spans="1:1" x14ac:dyDescent="0.25">
      <c r="A23987" t="s">
        <v>22539</v>
      </c>
    </row>
    <row r="23988" spans="1:1" x14ac:dyDescent="0.25">
      <c r="A23988" t="s">
        <v>22540</v>
      </c>
    </row>
    <row r="23989" spans="1:1" x14ac:dyDescent="0.25">
      <c r="A23989" t="s">
        <v>22541</v>
      </c>
    </row>
    <row r="23990" spans="1:1" x14ac:dyDescent="0.25">
      <c r="A23990" t="s">
        <v>22542</v>
      </c>
    </row>
    <row r="23991" spans="1:1" x14ac:dyDescent="0.25">
      <c r="A23991" t="s">
        <v>22543</v>
      </c>
    </row>
    <row r="23992" spans="1:1" x14ac:dyDescent="0.25">
      <c r="A23992" t="s">
        <v>22544</v>
      </c>
    </row>
    <row r="23993" spans="1:1" x14ac:dyDescent="0.25">
      <c r="A23993" t="s">
        <v>22545</v>
      </c>
    </row>
    <row r="23994" spans="1:1" x14ac:dyDescent="0.25">
      <c r="A23994" t="s">
        <v>22546</v>
      </c>
    </row>
    <row r="23995" spans="1:1" x14ac:dyDescent="0.25">
      <c r="A23995" t="s">
        <v>22547</v>
      </c>
    </row>
    <row r="23996" spans="1:1" x14ac:dyDescent="0.25">
      <c r="A23996" t="s">
        <v>22548</v>
      </c>
    </row>
    <row r="23997" spans="1:1" x14ac:dyDescent="0.25">
      <c r="A23997" t="s">
        <v>22549</v>
      </c>
    </row>
    <row r="23998" spans="1:1" x14ac:dyDescent="0.25">
      <c r="A23998" t="s">
        <v>22550</v>
      </c>
    </row>
    <row r="23999" spans="1:1" x14ac:dyDescent="0.25">
      <c r="A23999" t="s">
        <v>22551</v>
      </c>
    </row>
    <row r="24000" spans="1:1" x14ac:dyDescent="0.25">
      <c r="A24000" t="s">
        <v>22552</v>
      </c>
    </row>
    <row r="24001" spans="1:1" x14ac:dyDescent="0.25">
      <c r="A24001" t="s">
        <v>22553</v>
      </c>
    </row>
    <row r="24002" spans="1:1" x14ac:dyDescent="0.25">
      <c r="A24002" t="s">
        <v>22554</v>
      </c>
    </row>
    <row r="24003" spans="1:1" x14ac:dyDescent="0.25">
      <c r="A24003" t="s">
        <v>22555</v>
      </c>
    </row>
    <row r="24004" spans="1:1" x14ac:dyDescent="0.25">
      <c r="A24004" t="s">
        <v>22556</v>
      </c>
    </row>
    <row r="24005" spans="1:1" x14ac:dyDescent="0.25">
      <c r="A24005" t="s">
        <v>22557</v>
      </c>
    </row>
    <row r="24006" spans="1:1" x14ac:dyDescent="0.25">
      <c r="A24006" t="s">
        <v>22558</v>
      </c>
    </row>
    <row r="24007" spans="1:1" x14ac:dyDescent="0.25">
      <c r="A24007" t="s">
        <v>22559</v>
      </c>
    </row>
    <row r="24008" spans="1:1" x14ac:dyDescent="0.25">
      <c r="A24008" t="s">
        <v>22560</v>
      </c>
    </row>
    <row r="24009" spans="1:1" x14ac:dyDescent="0.25">
      <c r="A24009" t="s">
        <v>22561</v>
      </c>
    </row>
    <row r="24010" spans="1:1" x14ac:dyDescent="0.25">
      <c r="A24010" t="s">
        <v>22562</v>
      </c>
    </row>
    <row r="24011" spans="1:1" x14ac:dyDescent="0.25">
      <c r="A24011" t="s">
        <v>22563</v>
      </c>
    </row>
    <row r="24012" spans="1:1" x14ac:dyDescent="0.25">
      <c r="A24012" t="s">
        <v>22564</v>
      </c>
    </row>
    <row r="24013" spans="1:1" x14ac:dyDescent="0.25">
      <c r="A24013" t="s">
        <v>22565</v>
      </c>
    </row>
    <row r="24014" spans="1:1" x14ac:dyDescent="0.25">
      <c r="A24014" t="s">
        <v>22566</v>
      </c>
    </row>
    <row r="24015" spans="1:1" x14ac:dyDescent="0.25">
      <c r="A24015" t="s">
        <v>22567</v>
      </c>
    </row>
    <row r="24016" spans="1:1" x14ac:dyDescent="0.25">
      <c r="A24016" t="s">
        <v>22568</v>
      </c>
    </row>
    <row r="24017" spans="1:1" x14ac:dyDescent="0.25">
      <c r="A24017" t="s">
        <v>22569</v>
      </c>
    </row>
    <row r="24018" spans="1:1" x14ac:dyDescent="0.25">
      <c r="A24018" t="s">
        <v>22570</v>
      </c>
    </row>
    <row r="24019" spans="1:1" x14ac:dyDescent="0.25">
      <c r="A24019" t="s">
        <v>22571</v>
      </c>
    </row>
    <row r="24020" spans="1:1" x14ac:dyDescent="0.25">
      <c r="A24020" t="s">
        <v>22572</v>
      </c>
    </row>
    <row r="24021" spans="1:1" x14ac:dyDescent="0.25">
      <c r="A24021" t="s">
        <v>22573</v>
      </c>
    </row>
    <row r="24022" spans="1:1" x14ac:dyDescent="0.25">
      <c r="A24022" t="s">
        <v>22574</v>
      </c>
    </row>
    <row r="24023" spans="1:1" x14ac:dyDescent="0.25">
      <c r="A24023" t="s">
        <v>22575</v>
      </c>
    </row>
    <row r="24024" spans="1:1" x14ac:dyDescent="0.25">
      <c r="A24024" t="s">
        <v>22576</v>
      </c>
    </row>
    <row r="24025" spans="1:1" x14ac:dyDescent="0.25">
      <c r="A24025" t="s">
        <v>22577</v>
      </c>
    </row>
    <row r="24026" spans="1:1" x14ac:dyDescent="0.25">
      <c r="A24026" t="s">
        <v>22578</v>
      </c>
    </row>
    <row r="24027" spans="1:1" x14ac:dyDescent="0.25">
      <c r="A24027" t="s">
        <v>22579</v>
      </c>
    </row>
    <row r="24028" spans="1:1" x14ac:dyDescent="0.25">
      <c r="A24028" t="s">
        <v>22580</v>
      </c>
    </row>
    <row r="24029" spans="1:1" x14ac:dyDescent="0.25">
      <c r="A24029" t="s">
        <v>22581</v>
      </c>
    </row>
    <row r="24030" spans="1:1" x14ac:dyDescent="0.25">
      <c r="A24030" t="s">
        <v>22582</v>
      </c>
    </row>
    <row r="24031" spans="1:1" x14ac:dyDescent="0.25">
      <c r="A24031" t="s">
        <v>22583</v>
      </c>
    </row>
    <row r="24032" spans="1:1" x14ac:dyDescent="0.25">
      <c r="A24032" t="s">
        <v>22584</v>
      </c>
    </row>
    <row r="24033" spans="1:1" x14ac:dyDescent="0.25">
      <c r="A24033" t="s">
        <v>22585</v>
      </c>
    </row>
    <row r="24034" spans="1:1" x14ac:dyDescent="0.25">
      <c r="A24034" t="s">
        <v>22586</v>
      </c>
    </row>
    <row r="24035" spans="1:1" x14ac:dyDescent="0.25">
      <c r="A24035" t="s">
        <v>22587</v>
      </c>
    </row>
    <row r="24036" spans="1:1" x14ac:dyDescent="0.25">
      <c r="A24036" t="s">
        <v>22588</v>
      </c>
    </row>
    <row r="24037" spans="1:1" x14ac:dyDescent="0.25">
      <c r="A24037" t="s">
        <v>22589</v>
      </c>
    </row>
    <row r="24038" spans="1:1" x14ac:dyDescent="0.25">
      <c r="A24038" t="s">
        <v>22590</v>
      </c>
    </row>
    <row r="24039" spans="1:1" x14ac:dyDescent="0.25">
      <c r="A24039" t="s">
        <v>22591</v>
      </c>
    </row>
    <row r="24040" spans="1:1" x14ac:dyDescent="0.25">
      <c r="A24040" t="s">
        <v>22592</v>
      </c>
    </row>
    <row r="24041" spans="1:1" x14ac:dyDescent="0.25">
      <c r="A24041" t="s">
        <v>22593</v>
      </c>
    </row>
    <row r="24042" spans="1:1" x14ac:dyDescent="0.25">
      <c r="A24042" t="s">
        <v>22594</v>
      </c>
    </row>
    <row r="24043" spans="1:1" x14ac:dyDescent="0.25">
      <c r="A24043" t="s">
        <v>22595</v>
      </c>
    </row>
    <row r="24044" spans="1:1" x14ac:dyDescent="0.25">
      <c r="A24044" t="s">
        <v>22596</v>
      </c>
    </row>
    <row r="24045" spans="1:1" x14ac:dyDescent="0.25">
      <c r="A24045" t="s">
        <v>22597</v>
      </c>
    </row>
    <row r="24046" spans="1:1" x14ac:dyDescent="0.25">
      <c r="A24046" t="s">
        <v>22598</v>
      </c>
    </row>
    <row r="24047" spans="1:1" x14ac:dyDescent="0.25">
      <c r="A24047" t="s">
        <v>22599</v>
      </c>
    </row>
    <row r="24048" spans="1:1" x14ac:dyDescent="0.25">
      <c r="A24048" t="s">
        <v>22600</v>
      </c>
    </row>
    <row r="24049" spans="1:1" x14ac:dyDescent="0.25">
      <c r="A24049" t="s">
        <v>22601</v>
      </c>
    </row>
    <row r="24050" spans="1:1" x14ac:dyDescent="0.25">
      <c r="A24050" t="s">
        <v>22602</v>
      </c>
    </row>
    <row r="24051" spans="1:1" x14ac:dyDescent="0.25">
      <c r="A24051" t="s">
        <v>22603</v>
      </c>
    </row>
    <row r="24052" spans="1:1" x14ac:dyDescent="0.25">
      <c r="A24052" t="s">
        <v>22604</v>
      </c>
    </row>
    <row r="24053" spans="1:1" x14ac:dyDescent="0.25">
      <c r="A24053" t="s">
        <v>22605</v>
      </c>
    </row>
    <row r="24054" spans="1:1" x14ac:dyDescent="0.25">
      <c r="A24054" t="s">
        <v>22606</v>
      </c>
    </row>
    <row r="24056" spans="1:1" x14ac:dyDescent="0.25">
      <c r="A24056" t="s">
        <v>22607</v>
      </c>
    </row>
    <row r="24057" spans="1:1" x14ac:dyDescent="0.25">
      <c r="A24057" t="s">
        <v>22608</v>
      </c>
    </row>
    <row r="24058" spans="1:1" x14ac:dyDescent="0.25">
      <c r="A24058" t="s">
        <v>22609</v>
      </c>
    </row>
    <row r="24059" spans="1:1" x14ac:dyDescent="0.25">
      <c r="A24059" t="s">
        <v>22610</v>
      </c>
    </row>
    <row r="24060" spans="1:1" x14ac:dyDescent="0.25">
      <c r="A24060" t="s">
        <v>22611</v>
      </c>
    </row>
    <row r="24062" spans="1:1" x14ac:dyDescent="0.25">
      <c r="A24062" t="s">
        <v>22612</v>
      </c>
    </row>
    <row r="24063" spans="1:1" x14ac:dyDescent="0.25">
      <c r="A24063" t="s">
        <v>22613</v>
      </c>
    </row>
    <row r="24064" spans="1:1" x14ac:dyDescent="0.25">
      <c r="A24064" t="s">
        <v>22614</v>
      </c>
    </row>
    <row r="24065" spans="1:1" x14ac:dyDescent="0.25">
      <c r="A24065" t="s">
        <v>22615</v>
      </c>
    </row>
    <row r="24066" spans="1:1" x14ac:dyDescent="0.25">
      <c r="A24066" t="s">
        <v>22616</v>
      </c>
    </row>
    <row r="24067" spans="1:1" x14ac:dyDescent="0.25">
      <c r="A24067" t="s">
        <v>22617</v>
      </c>
    </row>
    <row r="24068" spans="1:1" x14ac:dyDescent="0.25">
      <c r="A24068" t="s">
        <v>22618</v>
      </c>
    </row>
    <row r="24069" spans="1:1" x14ac:dyDescent="0.25">
      <c r="A24069" t="s">
        <v>22619</v>
      </c>
    </row>
    <row r="24070" spans="1:1" x14ac:dyDescent="0.25">
      <c r="A24070" t="s">
        <v>22620</v>
      </c>
    </row>
    <row r="24071" spans="1:1" x14ac:dyDescent="0.25">
      <c r="A24071" t="s">
        <v>22621</v>
      </c>
    </row>
    <row r="24072" spans="1:1" x14ac:dyDescent="0.25">
      <c r="A24072" t="s">
        <v>22622</v>
      </c>
    </row>
    <row r="24073" spans="1:1" x14ac:dyDescent="0.25">
      <c r="A24073" t="s">
        <v>22623</v>
      </c>
    </row>
    <row r="24074" spans="1:1" x14ac:dyDescent="0.25">
      <c r="A24074" t="s">
        <v>22624</v>
      </c>
    </row>
    <row r="24075" spans="1:1" x14ac:dyDescent="0.25">
      <c r="A24075" t="s">
        <v>22625</v>
      </c>
    </row>
    <row r="24076" spans="1:1" x14ac:dyDescent="0.25">
      <c r="A24076" t="s">
        <v>22626</v>
      </c>
    </row>
    <row r="24077" spans="1:1" x14ac:dyDescent="0.25">
      <c r="A24077" t="s">
        <v>22627</v>
      </c>
    </row>
    <row r="24078" spans="1:1" x14ac:dyDescent="0.25">
      <c r="A24078" t="s">
        <v>22628</v>
      </c>
    </row>
    <row r="24079" spans="1:1" x14ac:dyDescent="0.25">
      <c r="A24079" t="s">
        <v>22629</v>
      </c>
    </row>
    <row r="24080" spans="1:1" x14ac:dyDescent="0.25">
      <c r="A24080" t="s">
        <v>22630</v>
      </c>
    </row>
    <row r="24081" spans="1:1" x14ac:dyDescent="0.25">
      <c r="A24081" t="s">
        <v>22631</v>
      </c>
    </row>
    <row r="24082" spans="1:1" x14ac:dyDescent="0.25">
      <c r="A24082" t="s">
        <v>22632</v>
      </c>
    </row>
    <row r="24083" spans="1:1" x14ac:dyDescent="0.25">
      <c r="A24083" t="s">
        <v>22633</v>
      </c>
    </row>
    <row r="24084" spans="1:1" x14ac:dyDescent="0.25">
      <c r="A24084" t="s">
        <v>22634</v>
      </c>
    </row>
    <row r="24085" spans="1:1" x14ac:dyDescent="0.25">
      <c r="A24085" t="s">
        <v>22635</v>
      </c>
    </row>
    <row r="24087" spans="1:1" x14ac:dyDescent="0.25">
      <c r="A24087" t="s">
        <v>22636</v>
      </c>
    </row>
    <row r="24088" spans="1:1" x14ac:dyDescent="0.25">
      <c r="A24088" t="s">
        <v>22637</v>
      </c>
    </row>
    <row r="24089" spans="1:1" x14ac:dyDescent="0.25">
      <c r="A24089" t="s">
        <v>22638</v>
      </c>
    </row>
    <row r="24090" spans="1:1" x14ac:dyDescent="0.25">
      <c r="A24090" t="s">
        <v>22639</v>
      </c>
    </row>
    <row r="24091" spans="1:1" x14ac:dyDescent="0.25">
      <c r="A24091" t="s">
        <v>22640</v>
      </c>
    </row>
    <row r="24092" spans="1:1" x14ac:dyDescent="0.25">
      <c r="A24092" t="s">
        <v>22641</v>
      </c>
    </row>
    <row r="24093" spans="1:1" x14ac:dyDescent="0.25">
      <c r="A24093" t="s">
        <v>22642</v>
      </c>
    </row>
    <row r="24094" spans="1:1" x14ac:dyDescent="0.25">
      <c r="A24094" t="s">
        <v>22643</v>
      </c>
    </row>
    <row r="24095" spans="1:1" x14ac:dyDescent="0.25">
      <c r="A24095" t="s">
        <v>22644</v>
      </c>
    </row>
    <row r="24096" spans="1:1" x14ac:dyDescent="0.25">
      <c r="A24096" t="s">
        <v>22645</v>
      </c>
    </row>
    <row r="24097" spans="1:1" x14ac:dyDescent="0.25">
      <c r="A24097" t="s">
        <v>22646</v>
      </c>
    </row>
    <row r="24098" spans="1:1" x14ac:dyDescent="0.25">
      <c r="A24098" t="s">
        <v>22647</v>
      </c>
    </row>
    <row r="24099" spans="1:1" x14ac:dyDescent="0.25">
      <c r="A24099" t="s">
        <v>22648</v>
      </c>
    </row>
    <row r="24100" spans="1:1" x14ac:dyDescent="0.25">
      <c r="A24100" t="s">
        <v>22649</v>
      </c>
    </row>
    <row r="24101" spans="1:1" x14ac:dyDescent="0.25">
      <c r="A24101" t="s">
        <v>22650</v>
      </c>
    </row>
    <row r="24102" spans="1:1" x14ac:dyDescent="0.25">
      <c r="A24102" t="s">
        <v>22651</v>
      </c>
    </row>
    <row r="24103" spans="1:1" x14ac:dyDescent="0.25">
      <c r="A24103" t="s">
        <v>22652</v>
      </c>
    </row>
    <row r="24104" spans="1:1" x14ac:dyDescent="0.25">
      <c r="A24104" t="s">
        <v>22653</v>
      </c>
    </row>
    <row r="24105" spans="1:1" x14ac:dyDescent="0.25">
      <c r="A24105" t="s">
        <v>22654</v>
      </c>
    </row>
    <row r="24106" spans="1:1" x14ac:dyDescent="0.25">
      <c r="A24106" t="s">
        <v>22655</v>
      </c>
    </row>
    <row r="24107" spans="1:1" x14ac:dyDescent="0.25">
      <c r="A24107" t="s">
        <v>22656</v>
      </c>
    </row>
    <row r="24108" spans="1:1" x14ac:dyDescent="0.25">
      <c r="A24108" t="s">
        <v>22657</v>
      </c>
    </row>
    <row r="24109" spans="1:1" x14ac:dyDescent="0.25">
      <c r="A24109" t="s">
        <v>22658</v>
      </c>
    </row>
    <row r="24110" spans="1:1" x14ac:dyDescent="0.25">
      <c r="A24110" t="s">
        <v>22659</v>
      </c>
    </row>
    <row r="24111" spans="1:1" x14ac:dyDescent="0.25">
      <c r="A24111" t="s">
        <v>22660</v>
      </c>
    </row>
    <row r="24112" spans="1:1" x14ac:dyDescent="0.25">
      <c r="A24112" t="s">
        <v>22661</v>
      </c>
    </row>
    <row r="24113" spans="1:1" x14ac:dyDescent="0.25">
      <c r="A24113" t="s">
        <v>22662</v>
      </c>
    </row>
    <row r="24114" spans="1:1" x14ac:dyDescent="0.25">
      <c r="A24114" t="s">
        <v>22663</v>
      </c>
    </row>
    <row r="24115" spans="1:1" x14ac:dyDescent="0.25">
      <c r="A24115" t="s">
        <v>22664</v>
      </c>
    </row>
    <row r="24116" spans="1:1" x14ac:dyDescent="0.25">
      <c r="A24116" t="s">
        <v>22665</v>
      </c>
    </row>
    <row r="24117" spans="1:1" x14ac:dyDescent="0.25">
      <c r="A24117" t="s">
        <v>22666</v>
      </c>
    </row>
    <row r="24118" spans="1:1" x14ac:dyDescent="0.25">
      <c r="A24118" t="s">
        <v>22667</v>
      </c>
    </row>
    <row r="24119" spans="1:1" x14ac:dyDescent="0.25">
      <c r="A24119" t="s">
        <v>22668</v>
      </c>
    </row>
    <row r="24120" spans="1:1" x14ac:dyDescent="0.25">
      <c r="A24120" t="s">
        <v>22669</v>
      </c>
    </row>
    <row r="24121" spans="1:1" x14ac:dyDescent="0.25">
      <c r="A24121" t="s">
        <v>22670</v>
      </c>
    </row>
    <row r="24122" spans="1:1" x14ac:dyDescent="0.25">
      <c r="A24122" t="s">
        <v>22671</v>
      </c>
    </row>
    <row r="24123" spans="1:1" x14ac:dyDescent="0.25">
      <c r="A24123" t="s">
        <v>22672</v>
      </c>
    </row>
    <row r="24124" spans="1:1" x14ac:dyDescent="0.25">
      <c r="A24124" t="s">
        <v>22673</v>
      </c>
    </row>
    <row r="24125" spans="1:1" x14ac:dyDescent="0.25">
      <c r="A24125" t="s">
        <v>22674</v>
      </c>
    </row>
    <row r="24126" spans="1:1" x14ac:dyDescent="0.25">
      <c r="A24126" t="s">
        <v>22675</v>
      </c>
    </row>
    <row r="24127" spans="1:1" x14ac:dyDescent="0.25">
      <c r="A24127" t="s">
        <v>22676</v>
      </c>
    </row>
    <row r="24128" spans="1:1" x14ac:dyDescent="0.25">
      <c r="A24128" t="s">
        <v>22677</v>
      </c>
    </row>
    <row r="24129" spans="1:1" x14ac:dyDescent="0.25">
      <c r="A24129" t="s">
        <v>22678</v>
      </c>
    </row>
    <row r="24130" spans="1:1" x14ac:dyDescent="0.25">
      <c r="A24130" t="s">
        <v>22679</v>
      </c>
    </row>
    <row r="24131" spans="1:1" x14ac:dyDescent="0.25">
      <c r="A24131" t="s">
        <v>22680</v>
      </c>
    </row>
    <row r="24132" spans="1:1" x14ac:dyDescent="0.25">
      <c r="A24132" t="s">
        <v>22681</v>
      </c>
    </row>
    <row r="24133" spans="1:1" x14ac:dyDescent="0.25">
      <c r="A24133" t="s">
        <v>22682</v>
      </c>
    </row>
    <row r="24134" spans="1:1" x14ac:dyDescent="0.25">
      <c r="A24134" t="s">
        <v>22683</v>
      </c>
    </row>
    <row r="24135" spans="1:1" x14ac:dyDescent="0.25">
      <c r="A24135" t="s">
        <v>22684</v>
      </c>
    </row>
    <row r="24136" spans="1:1" x14ac:dyDescent="0.25">
      <c r="A24136" t="s">
        <v>22685</v>
      </c>
    </row>
    <row r="24137" spans="1:1" x14ac:dyDescent="0.25">
      <c r="A24137" t="s">
        <v>22686</v>
      </c>
    </row>
    <row r="24138" spans="1:1" x14ac:dyDescent="0.25">
      <c r="A24138" t="s">
        <v>22687</v>
      </c>
    </row>
    <row r="24139" spans="1:1" x14ac:dyDescent="0.25">
      <c r="A24139" t="s">
        <v>22688</v>
      </c>
    </row>
    <row r="24140" spans="1:1" x14ac:dyDescent="0.25">
      <c r="A24140" t="s">
        <v>22689</v>
      </c>
    </row>
    <row r="24141" spans="1:1" x14ac:dyDescent="0.25">
      <c r="A24141" t="s">
        <v>22690</v>
      </c>
    </row>
    <row r="24142" spans="1:1" x14ac:dyDescent="0.25">
      <c r="A24142" t="s">
        <v>22691</v>
      </c>
    </row>
    <row r="24143" spans="1:1" x14ac:dyDescent="0.25">
      <c r="A24143" t="s">
        <v>22692</v>
      </c>
    </row>
    <row r="24144" spans="1:1" x14ac:dyDescent="0.25">
      <c r="A24144" t="s">
        <v>22693</v>
      </c>
    </row>
    <row r="24145" spans="1:1" x14ac:dyDescent="0.25">
      <c r="A24145" t="s">
        <v>22694</v>
      </c>
    </row>
    <row r="24146" spans="1:1" x14ac:dyDescent="0.25">
      <c r="A24146" t="s">
        <v>22695</v>
      </c>
    </row>
    <row r="24147" spans="1:1" x14ac:dyDescent="0.25">
      <c r="A24147" t="s">
        <v>22696</v>
      </c>
    </row>
    <row r="24148" spans="1:1" x14ac:dyDescent="0.25">
      <c r="A24148" t="s">
        <v>22697</v>
      </c>
    </row>
    <row r="24149" spans="1:1" x14ac:dyDescent="0.25">
      <c r="A24149" t="s">
        <v>22698</v>
      </c>
    </row>
    <row r="24150" spans="1:1" x14ac:dyDescent="0.25">
      <c r="A24150" t="s">
        <v>22699</v>
      </c>
    </row>
    <row r="24151" spans="1:1" x14ac:dyDescent="0.25">
      <c r="A24151" t="s">
        <v>22700</v>
      </c>
    </row>
    <row r="24152" spans="1:1" x14ac:dyDescent="0.25">
      <c r="A24152" t="s">
        <v>22701</v>
      </c>
    </row>
    <row r="24153" spans="1:1" x14ac:dyDescent="0.25">
      <c r="A24153" t="s">
        <v>22702</v>
      </c>
    </row>
    <row r="24154" spans="1:1" x14ac:dyDescent="0.25">
      <c r="A24154" t="s">
        <v>22703</v>
      </c>
    </row>
    <row r="24155" spans="1:1" x14ac:dyDescent="0.25">
      <c r="A24155" t="s">
        <v>22704</v>
      </c>
    </row>
    <row r="24156" spans="1:1" x14ac:dyDescent="0.25">
      <c r="A24156" t="s">
        <v>22705</v>
      </c>
    </row>
    <row r="24157" spans="1:1" x14ac:dyDescent="0.25">
      <c r="A24157" t="s">
        <v>22706</v>
      </c>
    </row>
    <row r="24158" spans="1:1" x14ac:dyDescent="0.25">
      <c r="A24158" t="s">
        <v>22707</v>
      </c>
    </row>
    <row r="24159" spans="1:1" x14ac:dyDescent="0.25">
      <c r="A24159" t="s">
        <v>22708</v>
      </c>
    </row>
    <row r="24160" spans="1:1" x14ac:dyDescent="0.25">
      <c r="A24160" t="s">
        <v>22709</v>
      </c>
    </row>
    <row r="24161" spans="1:1" x14ac:dyDescent="0.25">
      <c r="A24161" t="s">
        <v>22710</v>
      </c>
    </row>
    <row r="24162" spans="1:1" x14ac:dyDescent="0.25">
      <c r="A24162" t="s">
        <v>22711</v>
      </c>
    </row>
    <row r="24163" spans="1:1" x14ac:dyDescent="0.25">
      <c r="A24163" t="s">
        <v>22712</v>
      </c>
    </row>
    <row r="24164" spans="1:1" x14ac:dyDescent="0.25">
      <c r="A24164" t="s">
        <v>22713</v>
      </c>
    </row>
    <row r="24165" spans="1:1" x14ac:dyDescent="0.25">
      <c r="A24165" t="s">
        <v>22714</v>
      </c>
    </row>
    <row r="24166" spans="1:1" x14ac:dyDescent="0.25">
      <c r="A24166" t="s">
        <v>22715</v>
      </c>
    </row>
    <row r="24167" spans="1:1" x14ac:dyDescent="0.25">
      <c r="A24167" t="s">
        <v>22716</v>
      </c>
    </row>
    <row r="24168" spans="1:1" x14ac:dyDescent="0.25">
      <c r="A24168" t="s">
        <v>22717</v>
      </c>
    </row>
    <row r="24169" spans="1:1" x14ac:dyDescent="0.25">
      <c r="A24169" t="s">
        <v>22718</v>
      </c>
    </row>
    <row r="24170" spans="1:1" x14ac:dyDescent="0.25">
      <c r="A24170" t="s">
        <v>22719</v>
      </c>
    </row>
    <row r="24171" spans="1:1" x14ac:dyDescent="0.25">
      <c r="A24171" t="s">
        <v>22720</v>
      </c>
    </row>
    <row r="24172" spans="1:1" x14ac:dyDescent="0.25">
      <c r="A24172" t="s">
        <v>22721</v>
      </c>
    </row>
    <row r="24173" spans="1:1" x14ac:dyDescent="0.25">
      <c r="A24173" t="s">
        <v>22722</v>
      </c>
    </row>
    <row r="24174" spans="1:1" x14ac:dyDescent="0.25">
      <c r="A24174" t="s">
        <v>22723</v>
      </c>
    </row>
    <row r="24175" spans="1:1" x14ac:dyDescent="0.25">
      <c r="A24175" t="s">
        <v>22724</v>
      </c>
    </row>
    <row r="24176" spans="1:1" x14ac:dyDescent="0.25">
      <c r="A24176" t="s">
        <v>22725</v>
      </c>
    </row>
    <row r="24177" spans="1:1" x14ac:dyDescent="0.25">
      <c r="A24177" t="s">
        <v>22726</v>
      </c>
    </row>
    <row r="24178" spans="1:1" x14ac:dyDescent="0.25">
      <c r="A24178" t="s">
        <v>22727</v>
      </c>
    </row>
    <row r="24179" spans="1:1" x14ac:dyDescent="0.25">
      <c r="A24179" t="s">
        <v>22728</v>
      </c>
    </row>
    <row r="24180" spans="1:1" x14ac:dyDescent="0.25">
      <c r="A24180" t="s">
        <v>22729</v>
      </c>
    </row>
    <row r="24181" spans="1:1" x14ac:dyDescent="0.25">
      <c r="A24181" t="s">
        <v>22730</v>
      </c>
    </row>
    <row r="24182" spans="1:1" x14ac:dyDescent="0.25">
      <c r="A24182" t="s">
        <v>22731</v>
      </c>
    </row>
    <row r="24183" spans="1:1" x14ac:dyDescent="0.25">
      <c r="A24183" t="s">
        <v>22732</v>
      </c>
    </row>
    <row r="24184" spans="1:1" x14ac:dyDescent="0.25">
      <c r="A24184" t="s">
        <v>22733</v>
      </c>
    </row>
    <row r="24185" spans="1:1" x14ac:dyDescent="0.25">
      <c r="A24185" t="s">
        <v>22734</v>
      </c>
    </row>
    <row r="24186" spans="1:1" x14ac:dyDescent="0.25">
      <c r="A24186" t="s">
        <v>22735</v>
      </c>
    </row>
    <row r="24187" spans="1:1" x14ac:dyDescent="0.25">
      <c r="A24187" t="s">
        <v>22736</v>
      </c>
    </row>
    <row r="24188" spans="1:1" x14ac:dyDescent="0.25">
      <c r="A24188" t="s">
        <v>22737</v>
      </c>
    </row>
    <row r="24189" spans="1:1" x14ac:dyDescent="0.25">
      <c r="A24189" t="s">
        <v>22738</v>
      </c>
    </row>
    <row r="24190" spans="1:1" x14ac:dyDescent="0.25">
      <c r="A24190" t="s">
        <v>22739</v>
      </c>
    </row>
    <row r="24191" spans="1:1" x14ac:dyDescent="0.25">
      <c r="A24191" t="s">
        <v>22740</v>
      </c>
    </row>
    <row r="24192" spans="1:1" x14ac:dyDescent="0.25">
      <c r="A24192" t="s">
        <v>22741</v>
      </c>
    </row>
    <row r="24193" spans="1:1" x14ac:dyDescent="0.25">
      <c r="A24193" t="s">
        <v>22742</v>
      </c>
    </row>
    <row r="24194" spans="1:1" x14ac:dyDescent="0.25">
      <c r="A24194" t="s">
        <v>22743</v>
      </c>
    </row>
    <row r="24195" spans="1:1" x14ac:dyDescent="0.25">
      <c r="A24195" t="s">
        <v>22744</v>
      </c>
    </row>
    <row r="24196" spans="1:1" x14ac:dyDescent="0.25">
      <c r="A24196" t="s">
        <v>22745</v>
      </c>
    </row>
    <row r="24197" spans="1:1" x14ac:dyDescent="0.25">
      <c r="A24197" t="s">
        <v>22746</v>
      </c>
    </row>
    <row r="24198" spans="1:1" x14ac:dyDescent="0.25">
      <c r="A24198" t="s">
        <v>22747</v>
      </c>
    </row>
    <row r="24199" spans="1:1" x14ac:dyDescent="0.25">
      <c r="A24199" t="s">
        <v>22748</v>
      </c>
    </row>
    <row r="24200" spans="1:1" x14ac:dyDescent="0.25">
      <c r="A24200" t="s">
        <v>22749</v>
      </c>
    </row>
    <row r="24201" spans="1:1" x14ac:dyDescent="0.25">
      <c r="A24201" t="s">
        <v>22750</v>
      </c>
    </row>
    <row r="24202" spans="1:1" x14ac:dyDescent="0.25">
      <c r="A24202" t="s">
        <v>22751</v>
      </c>
    </row>
    <row r="24203" spans="1:1" x14ac:dyDescent="0.25">
      <c r="A24203" t="s">
        <v>22752</v>
      </c>
    </row>
    <row r="24204" spans="1:1" x14ac:dyDescent="0.25">
      <c r="A24204" t="s">
        <v>22753</v>
      </c>
    </row>
    <row r="24205" spans="1:1" x14ac:dyDescent="0.25">
      <c r="A24205" t="s">
        <v>22754</v>
      </c>
    </row>
    <row r="24206" spans="1:1" x14ac:dyDescent="0.25">
      <c r="A24206" t="s">
        <v>22755</v>
      </c>
    </row>
    <row r="24207" spans="1:1" x14ac:dyDescent="0.25">
      <c r="A24207" t="s">
        <v>22756</v>
      </c>
    </row>
    <row r="24208" spans="1:1" x14ac:dyDescent="0.25">
      <c r="A24208" t="s">
        <v>22757</v>
      </c>
    </row>
    <row r="24209" spans="1:1" x14ac:dyDescent="0.25">
      <c r="A24209" t="s">
        <v>22758</v>
      </c>
    </row>
    <row r="24210" spans="1:1" x14ac:dyDescent="0.25">
      <c r="A24210" t="s">
        <v>22759</v>
      </c>
    </row>
    <row r="24211" spans="1:1" x14ac:dyDescent="0.25">
      <c r="A24211" t="s">
        <v>22760</v>
      </c>
    </row>
    <row r="24212" spans="1:1" x14ac:dyDescent="0.25">
      <c r="A24212" t="s">
        <v>22761</v>
      </c>
    </row>
    <row r="24213" spans="1:1" x14ac:dyDescent="0.25">
      <c r="A24213" t="s">
        <v>22762</v>
      </c>
    </row>
    <row r="24214" spans="1:1" x14ac:dyDescent="0.25">
      <c r="A24214" t="s">
        <v>22763</v>
      </c>
    </row>
    <row r="24215" spans="1:1" x14ac:dyDescent="0.25">
      <c r="A24215" t="s">
        <v>22764</v>
      </c>
    </row>
    <row r="24216" spans="1:1" x14ac:dyDescent="0.25">
      <c r="A24216" t="s">
        <v>22765</v>
      </c>
    </row>
    <row r="24217" spans="1:1" x14ac:dyDescent="0.25">
      <c r="A24217" t="s">
        <v>22766</v>
      </c>
    </row>
    <row r="24218" spans="1:1" x14ac:dyDescent="0.25">
      <c r="A24218" t="s">
        <v>22767</v>
      </c>
    </row>
    <row r="24219" spans="1:1" x14ac:dyDescent="0.25">
      <c r="A24219" t="s">
        <v>22768</v>
      </c>
    </row>
    <row r="24220" spans="1:1" x14ac:dyDescent="0.25">
      <c r="A24220" t="s">
        <v>22769</v>
      </c>
    </row>
    <row r="24221" spans="1:1" x14ac:dyDescent="0.25">
      <c r="A24221" t="s">
        <v>22770</v>
      </c>
    </row>
    <row r="24222" spans="1:1" x14ac:dyDescent="0.25">
      <c r="A24222" t="s">
        <v>22771</v>
      </c>
    </row>
    <row r="24223" spans="1:1" x14ac:dyDescent="0.25">
      <c r="A24223" t="s">
        <v>22772</v>
      </c>
    </row>
    <row r="24224" spans="1:1" x14ac:dyDescent="0.25">
      <c r="A24224" t="s">
        <v>22773</v>
      </c>
    </row>
    <row r="24225" spans="1:1" x14ac:dyDescent="0.25">
      <c r="A24225" t="s">
        <v>22774</v>
      </c>
    </row>
    <row r="24226" spans="1:1" x14ac:dyDescent="0.25">
      <c r="A24226" t="s">
        <v>22775</v>
      </c>
    </row>
    <row r="24227" spans="1:1" x14ac:dyDescent="0.25">
      <c r="A24227" t="s">
        <v>22776</v>
      </c>
    </row>
    <row r="24228" spans="1:1" x14ac:dyDescent="0.25">
      <c r="A24228" t="s">
        <v>22777</v>
      </c>
    </row>
    <row r="24229" spans="1:1" x14ac:dyDescent="0.25">
      <c r="A24229" t="s">
        <v>22778</v>
      </c>
    </row>
    <row r="24230" spans="1:1" x14ac:dyDescent="0.25">
      <c r="A24230" t="s">
        <v>22779</v>
      </c>
    </row>
    <row r="24231" spans="1:1" x14ac:dyDescent="0.25">
      <c r="A24231" t="s">
        <v>22780</v>
      </c>
    </row>
    <row r="24232" spans="1:1" x14ac:dyDescent="0.25">
      <c r="A24232" t="s">
        <v>22781</v>
      </c>
    </row>
    <row r="24233" spans="1:1" x14ac:dyDescent="0.25">
      <c r="A24233" t="s">
        <v>22782</v>
      </c>
    </row>
    <row r="24234" spans="1:1" x14ac:dyDescent="0.25">
      <c r="A24234" t="s">
        <v>22783</v>
      </c>
    </row>
    <row r="24235" spans="1:1" x14ac:dyDescent="0.25">
      <c r="A24235" t="s">
        <v>22784</v>
      </c>
    </row>
    <row r="24236" spans="1:1" x14ac:dyDescent="0.25">
      <c r="A24236" t="s">
        <v>22785</v>
      </c>
    </row>
    <row r="24237" spans="1:1" x14ac:dyDescent="0.25">
      <c r="A24237" t="s">
        <v>22786</v>
      </c>
    </row>
    <row r="24238" spans="1:1" x14ac:dyDescent="0.25">
      <c r="A24238" t="s">
        <v>22787</v>
      </c>
    </row>
    <row r="24239" spans="1:1" x14ac:dyDescent="0.25">
      <c r="A24239" t="s">
        <v>22788</v>
      </c>
    </row>
    <row r="24240" spans="1:1" x14ac:dyDescent="0.25">
      <c r="A24240" t="s">
        <v>22785</v>
      </c>
    </row>
    <row r="24241" spans="1:1" x14ac:dyDescent="0.25">
      <c r="A24241" t="s">
        <v>22786</v>
      </c>
    </row>
    <row r="24242" spans="1:1" x14ac:dyDescent="0.25">
      <c r="A24242" t="s">
        <v>22789</v>
      </c>
    </row>
    <row r="24243" spans="1:1" x14ac:dyDescent="0.25">
      <c r="A24243" t="s">
        <v>22790</v>
      </c>
    </row>
    <row r="24244" spans="1:1" x14ac:dyDescent="0.25">
      <c r="A24244" t="s">
        <v>22791</v>
      </c>
    </row>
    <row r="24245" spans="1:1" x14ac:dyDescent="0.25">
      <c r="A24245" t="s">
        <v>22792</v>
      </c>
    </row>
    <row r="24246" spans="1:1" x14ac:dyDescent="0.25">
      <c r="A24246" t="s">
        <v>22793</v>
      </c>
    </row>
    <row r="24247" spans="1:1" x14ac:dyDescent="0.25">
      <c r="A24247" t="s">
        <v>22794</v>
      </c>
    </row>
    <row r="24248" spans="1:1" x14ac:dyDescent="0.25">
      <c r="A24248" t="s">
        <v>22795</v>
      </c>
    </row>
    <row r="24249" spans="1:1" x14ac:dyDescent="0.25">
      <c r="A24249" t="s">
        <v>22796</v>
      </c>
    </row>
    <row r="24250" spans="1:1" x14ac:dyDescent="0.25">
      <c r="A24250" t="s">
        <v>22797</v>
      </c>
    </row>
    <row r="24251" spans="1:1" x14ac:dyDescent="0.25">
      <c r="A24251" t="s">
        <v>22798</v>
      </c>
    </row>
    <row r="24252" spans="1:1" x14ac:dyDescent="0.25">
      <c r="A24252" t="s">
        <v>4128</v>
      </c>
    </row>
    <row r="24253" spans="1:1" x14ac:dyDescent="0.25">
      <c r="A24253" t="s">
        <v>22799</v>
      </c>
    </row>
    <row r="24254" spans="1:1" x14ac:dyDescent="0.25">
      <c r="A24254" t="s">
        <v>22800</v>
      </c>
    </row>
    <row r="24255" spans="1:1" x14ac:dyDescent="0.25">
      <c r="A24255" t="s">
        <v>22801</v>
      </c>
    </row>
    <row r="24256" spans="1:1" x14ac:dyDescent="0.25">
      <c r="A24256" t="s">
        <v>22802</v>
      </c>
    </row>
    <row r="24257" spans="1:1" x14ac:dyDescent="0.25">
      <c r="A24257" t="s">
        <v>22803</v>
      </c>
    </row>
    <row r="24258" spans="1:1" x14ac:dyDescent="0.25">
      <c r="A24258" t="s">
        <v>22804</v>
      </c>
    </row>
    <row r="24260" spans="1:1" x14ac:dyDescent="0.25">
      <c r="A24260" t="s">
        <v>22805</v>
      </c>
    </row>
    <row r="24261" spans="1:1" x14ac:dyDescent="0.25">
      <c r="A24261" t="s">
        <v>22806</v>
      </c>
    </row>
    <row r="24262" spans="1:1" x14ac:dyDescent="0.25">
      <c r="A24262" t="s">
        <v>22807</v>
      </c>
    </row>
    <row r="24263" spans="1:1" x14ac:dyDescent="0.25">
      <c r="A24263" t="s">
        <v>22808</v>
      </c>
    </row>
    <row r="24264" spans="1:1" x14ac:dyDescent="0.25">
      <c r="A24264" t="s">
        <v>22809</v>
      </c>
    </row>
    <row r="24265" spans="1:1" x14ac:dyDescent="0.25">
      <c r="A24265" t="s">
        <v>22810</v>
      </c>
    </row>
    <row r="24266" spans="1:1" x14ac:dyDescent="0.25">
      <c r="A24266" t="s">
        <v>22811</v>
      </c>
    </row>
    <row r="24267" spans="1:1" x14ac:dyDescent="0.25">
      <c r="A24267" t="s">
        <v>22812</v>
      </c>
    </row>
    <row r="24268" spans="1:1" x14ac:dyDescent="0.25">
      <c r="A24268" t="s">
        <v>22813</v>
      </c>
    </row>
    <row r="24269" spans="1:1" x14ac:dyDescent="0.25">
      <c r="A24269" t="s">
        <v>22814</v>
      </c>
    </row>
    <row r="24270" spans="1:1" x14ac:dyDescent="0.25">
      <c r="A24270" t="s">
        <v>22815</v>
      </c>
    </row>
    <row r="24271" spans="1:1" x14ac:dyDescent="0.25">
      <c r="A24271" t="s">
        <v>22816</v>
      </c>
    </row>
    <row r="24272" spans="1:1" x14ac:dyDescent="0.25">
      <c r="A24272" t="s">
        <v>22817</v>
      </c>
    </row>
    <row r="24273" spans="1:1" x14ac:dyDescent="0.25">
      <c r="A24273" t="s">
        <v>22818</v>
      </c>
    </row>
    <row r="24274" spans="1:1" x14ac:dyDescent="0.25">
      <c r="A24274" t="s">
        <v>22819</v>
      </c>
    </row>
    <row r="24275" spans="1:1" x14ac:dyDescent="0.25">
      <c r="A24275" t="s">
        <v>22820</v>
      </c>
    </row>
    <row r="24276" spans="1:1" x14ac:dyDescent="0.25">
      <c r="A24276" t="s">
        <v>22821</v>
      </c>
    </row>
    <row r="24277" spans="1:1" x14ac:dyDescent="0.25">
      <c r="A24277" t="s">
        <v>22822</v>
      </c>
    </row>
    <row r="24278" spans="1:1" x14ac:dyDescent="0.25">
      <c r="A24278" t="s">
        <v>22823</v>
      </c>
    </row>
    <row r="24279" spans="1:1" x14ac:dyDescent="0.25">
      <c r="A24279" t="s">
        <v>22824</v>
      </c>
    </row>
    <row r="24280" spans="1:1" x14ac:dyDescent="0.25">
      <c r="A24280" t="s">
        <v>22825</v>
      </c>
    </row>
    <row r="24281" spans="1:1" x14ac:dyDescent="0.25">
      <c r="A24281" t="s">
        <v>22826</v>
      </c>
    </row>
    <row r="24282" spans="1:1" x14ac:dyDescent="0.25">
      <c r="A24282" t="s">
        <v>22827</v>
      </c>
    </row>
    <row r="24283" spans="1:1" x14ac:dyDescent="0.25">
      <c r="A24283" t="s">
        <v>22828</v>
      </c>
    </row>
    <row r="24284" spans="1:1" x14ac:dyDescent="0.25">
      <c r="A24284" t="s">
        <v>22829</v>
      </c>
    </row>
    <row r="24285" spans="1:1" x14ac:dyDescent="0.25">
      <c r="A24285" t="s">
        <v>22830</v>
      </c>
    </row>
    <row r="24286" spans="1:1" x14ac:dyDescent="0.25">
      <c r="A24286" t="s">
        <v>22831</v>
      </c>
    </row>
    <row r="24287" spans="1:1" x14ac:dyDescent="0.25">
      <c r="A24287" t="s">
        <v>22832</v>
      </c>
    </row>
    <row r="24288" spans="1:1" x14ac:dyDescent="0.25">
      <c r="A24288" t="s">
        <v>13361</v>
      </c>
    </row>
    <row r="24289" spans="1:1" x14ac:dyDescent="0.25">
      <c r="A24289" t="s">
        <v>22833</v>
      </c>
    </row>
    <row r="24290" spans="1:1" x14ac:dyDescent="0.25">
      <c r="A24290" t="s">
        <v>22834</v>
      </c>
    </row>
    <row r="24291" spans="1:1" x14ac:dyDescent="0.25">
      <c r="A24291" t="s">
        <v>22835</v>
      </c>
    </row>
    <row r="24292" spans="1:1" x14ac:dyDescent="0.25">
      <c r="A24292" t="s">
        <v>22836</v>
      </c>
    </row>
    <row r="24293" spans="1:1" x14ac:dyDescent="0.25">
      <c r="A24293" t="s">
        <v>22837</v>
      </c>
    </row>
    <row r="24294" spans="1:1" x14ac:dyDescent="0.25">
      <c r="A24294" t="s">
        <v>22838</v>
      </c>
    </row>
    <row r="24295" spans="1:1" x14ac:dyDescent="0.25">
      <c r="A24295" t="s">
        <v>22839</v>
      </c>
    </row>
    <row r="24296" spans="1:1" x14ac:dyDescent="0.25">
      <c r="A24296" t="s">
        <v>22840</v>
      </c>
    </row>
    <row r="24297" spans="1:1" x14ac:dyDescent="0.25">
      <c r="A24297" t="s">
        <v>22841</v>
      </c>
    </row>
    <row r="24298" spans="1:1" x14ac:dyDescent="0.25">
      <c r="A24298" t="s">
        <v>22842</v>
      </c>
    </row>
    <row r="24299" spans="1:1" x14ac:dyDescent="0.25">
      <c r="A24299" t="s">
        <v>22843</v>
      </c>
    </row>
    <row r="24300" spans="1:1" x14ac:dyDescent="0.25">
      <c r="A24300" t="s">
        <v>22844</v>
      </c>
    </row>
    <row r="24301" spans="1:1" x14ac:dyDescent="0.25">
      <c r="A24301" t="s">
        <v>22845</v>
      </c>
    </row>
    <row r="24302" spans="1:1" x14ac:dyDescent="0.25">
      <c r="A24302" t="s">
        <v>22846</v>
      </c>
    </row>
    <row r="24303" spans="1:1" x14ac:dyDescent="0.25">
      <c r="A24303" t="s">
        <v>22847</v>
      </c>
    </row>
    <row r="24304" spans="1:1" x14ac:dyDescent="0.25">
      <c r="A24304" t="s">
        <v>22848</v>
      </c>
    </row>
    <row r="24305" spans="1:1" x14ac:dyDescent="0.25">
      <c r="A24305" t="s">
        <v>22849</v>
      </c>
    </row>
    <row r="24306" spans="1:1" x14ac:dyDescent="0.25">
      <c r="A24306" t="s">
        <v>22850</v>
      </c>
    </row>
    <row r="24307" spans="1:1" x14ac:dyDescent="0.25">
      <c r="A24307" t="s">
        <v>22851</v>
      </c>
    </row>
    <row r="24308" spans="1:1" x14ac:dyDescent="0.25">
      <c r="A24308" t="s">
        <v>22852</v>
      </c>
    </row>
    <row r="24309" spans="1:1" x14ac:dyDescent="0.25">
      <c r="A24309" t="s">
        <v>22853</v>
      </c>
    </row>
    <row r="24310" spans="1:1" x14ac:dyDescent="0.25">
      <c r="A24310" t="s">
        <v>22854</v>
      </c>
    </row>
    <row r="24311" spans="1:1" x14ac:dyDescent="0.25">
      <c r="A24311" t="s">
        <v>22855</v>
      </c>
    </row>
    <row r="24312" spans="1:1" x14ac:dyDescent="0.25">
      <c r="A24312" t="s">
        <v>22856</v>
      </c>
    </row>
    <row r="24313" spans="1:1" x14ac:dyDescent="0.25">
      <c r="A24313" t="s">
        <v>22857</v>
      </c>
    </row>
    <row r="24314" spans="1:1" x14ac:dyDescent="0.25">
      <c r="A24314" t="s">
        <v>22858</v>
      </c>
    </row>
    <row r="24315" spans="1:1" x14ac:dyDescent="0.25">
      <c r="A24315" t="s">
        <v>22859</v>
      </c>
    </row>
    <row r="24316" spans="1:1" x14ac:dyDescent="0.25">
      <c r="A24316" t="s">
        <v>22860</v>
      </c>
    </row>
    <row r="24317" spans="1:1" x14ac:dyDescent="0.25">
      <c r="A24317" t="s">
        <v>8840</v>
      </c>
    </row>
    <row r="24318" spans="1:1" x14ac:dyDescent="0.25">
      <c r="A24318" t="s">
        <v>22861</v>
      </c>
    </row>
    <row r="24319" spans="1:1" x14ac:dyDescent="0.25">
      <c r="A24319" t="s">
        <v>22862</v>
      </c>
    </row>
    <row r="24320" spans="1:1" x14ac:dyDescent="0.25">
      <c r="A24320" t="s">
        <v>22863</v>
      </c>
    </row>
    <row r="24321" spans="1:1" x14ac:dyDescent="0.25">
      <c r="A24321" t="s">
        <v>3253</v>
      </c>
    </row>
    <row r="24322" spans="1:1" x14ac:dyDescent="0.25">
      <c r="A24322" t="s">
        <v>22864</v>
      </c>
    </row>
    <row r="24323" spans="1:1" x14ac:dyDescent="0.25">
      <c r="A24323" t="s">
        <v>22865</v>
      </c>
    </row>
    <row r="24324" spans="1:1" x14ac:dyDescent="0.25">
      <c r="A24324" t="s">
        <v>22866</v>
      </c>
    </row>
    <row r="24325" spans="1:1" x14ac:dyDescent="0.25">
      <c r="A24325" t="s">
        <v>22867</v>
      </c>
    </row>
    <row r="24326" spans="1:1" x14ac:dyDescent="0.25">
      <c r="A24326" t="s">
        <v>22868</v>
      </c>
    </row>
    <row r="24327" spans="1:1" x14ac:dyDescent="0.25">
      <c r="A24327" t="s">
        <v>22869</v>
      </c>
    </row>
    <row r="24328" spans="1:1" x14ac:dyDescent="0.25">
      <c r="A24328" t="s">
        <v>22870</v>
      </c>
    </row>
    <row r="24329" spans="1:1" x14ac:dyDescent="0.25">
      <c r="A24329" t="s">
        <v>22871</v>
      </c>
    </row>
    <row r="24330" spans="1:1" x14ac:dyDescent="0.25">
      <c r="A24330" t="s">
        <v>22872</v>
      </c>
    </row>
    <row r="24331" spans="1:1" x14ac:dyDescent="0.25">
      <c r="A24331" t="s">
        <v>22873</v>
      </c>
    </row>
    <row r="24332" spans="1:1" x14ac:dyDescent="0.25">
      <c r="A24332" t="s">
        <v>22874</v>
      </c>
    </row>
    <row r="24333" spans="1:1" x14ac:dyDescent="0.25">
      <c r="A24333" t="s">
        <v>22875</v>
      </c>
    </row>
    <row r="24334" spans="1:1" x14ac:dyDescent="0.25">
      <c r="A24334" t="s">
        <v>22876</v>
      </c>
    </row>
    <row r="24335" spans="1:1" x14ac:dyDescent="0.25">
      <c r="A24335" t="s">
        <v>22877</v>
      </c>
    </row>
    <row r="24336" spans="1:1" x14ac:dyDescent="0.25">
      <c r="A24336" t="s">
        <v>22878</v>
      </c>
    </row>
    <row r="24337" spans="1:1" x14ac:dyDescent="0.25">
      <c r="A24337" t="s">
        <v>22879</v>
      </c>
    </row>
    <row r="24338" spans="1:1" x14ac:dyDescent="0.25">
      <c r="A24338" t="s">
        <v>22880</v>
      </c>
    </row>
    <row r="24339" spans="1:1" x14ac:dyDescent="0.25">
      <c r="A24339" t="s">
        <v>22881</v>
      </c>
    </row>
    <row r="24340" spans="1:1" x14ac:dyDescent="0.25">
      <c r="A24340" t="s">
        <v>22882</v>
      </c>
    </row>
    <row r="24341" spans="1:1" x14ac:dyDescent="0.25">
      <c r="A24341" t="s">
        <v>22883</v>
      </c>
    </row>
    <row r="24342" spans="1:1" x14ac:dyDescent="0.25">
      <c r="A24342" t="s">
        <v>22884</v>
      </c>
    </row>
    <row r="24343" spans="1:1" x14ac:dyDescent="0.25">
      <c r="A24343" t="s">
        <v>22885</v>
      </c>
    </row>
    <row r="24344" spans="1:1" x14ac:dyDescent="0.25">
      <c r="A24344" t="s">
        <v>22886</v>
      </c>
    </row>
    <row r="24345" spans="1:1" x14ac:dyDescent="0.25">
      <c r="A24345" t="s">
        <v>22887</v>
      </c>
    </row>
    <row r="24346" spans="1:1" x14ac:dyDescent="0.25">
      <c r="A24346" t="s">
        <v>22888</v>
      </c>
    </row>
    <row r="24347" spans="1:1" x14ac:dyDescent="0.25">
      <c r="A24347" t="s">
        <v>22889</v>
      </c>
    </row>
    <row r="24348" spans="1:1" x14ac:dyDescent="0.25">
      <c r="A24348" t="s">
        <v>22890</v>
      </c>
    </row>
    <row r="24349" spans="1:1" x14ac:dyDescent="0.25">
      <c r="A24349" t="s">
        <v>22891</v>
      </c>
    </row>
    <row r="24350" spans="1:1" x14ac:dyDescent="0.25">
      <c r="A24350" t="s">
        <v>22892</v>
      </c>
    </row>
    <row r="24351" spans="1:1" x14ac:dyDescent="0.25">
      <c r="A24351" t="s">
        <v>22893</v>
      </c>
    </row>
    <row r="24352" spans="1:1" x14ac:dyDescent="0.25">
      <c r="A24352" t="s">
        <v>22894</v>
      </c>
    </row>
    <row r="24353" spans="1:1" x14ac:dyDescent="0.25">
      <c r="A24353" t="s">
        <v>22895</v>
      </c>
    </row>
    <row r="24354" spans="1:1" x14ac:dyDescent="0.25">
      <c r="A24354" t="s">
        <v>22896</v>
      </c>
    </row>
    <row r="24355" spans="1:1" x14ac:dyDescent="0.25">
      <c r="A24355" t="s">
        <v>22897</v>
      </c>
    </row>
    <row r="24356" spans="1:1" x14ac:dyDescent="0.25">
      <c r="A24356" t="s">
        <v>22898</v>
      </c>
    </row>
    <row r="24357" spans="1:1" x14ac:dyDescent="0.25">
      <c r="A24357" t="s">
        <v>22899</v>
      </c>
    </row>
    <row r="24358" spans="1:1" x14ac:dyDescent="0.25">
      <c r="A24358" t="s">
        <v>22900</v>
      </c>
    </row>
    <row r="24359" spans="1:1" x14ac:dyDescent="0.25">
      <c r="A24359" t="s">
        <v>22901</v>
      </c>
    </row>
    <row r="24360" spans="1:1" x14ac:dyDescent="0.25">
      <c r="A24360" t="s">
        <v>22902</v>
      </c>
    </row>
    <row r="24361" spans="1:1" x14ac:dyDescent="0.25">
      <c r="A24361" t="s">
        <v>22903</v>
      </c>
    </row>
    <row r="24362" spans="1:1" x14ac:dyDescent="0.25">
      <c r="A24362" t="s">
        <v>22904</v>
      </c>
    </row>
    <row r="24363" spans="1:1" x14ac:dyDescent="0.25">
      <c r="A24363" t="s">
        <v>22905</v>
      </c>
    </row>
    <row r="24364" spans="1:1" x14ac:dyDescent="0.25">
      <c r="A24364" t="s">
        <v>22906</v>
      </c>
    </row>
    <row r="24365" spans="1:1" x14ac:dyDescent="0.25">
      <c r="A24365" t="s">
        <v>22907</v>
      </c>
    </row>
    <row r="24366" spans="1:1" x14ac:dyDescent="0.25">
      <c r="A24366" t="s">
        <v>22908</v>
      </c>
    </row>
    <row r="24367" spans="1:1" x14ac:dyDescent="0.25">
      <c r="A24367" t="s">
        <v>22909</v>
      </c>
    </row>
    <row r="24368" spans="1:1" x14ac:dyDescent="0.25">
      <c r="A24368" t="s">
        <v>22910</v>
      </c>
    </row>
    <row r="24369" spans="1:1" x14ac:dyDescent="0.25">
      <c r="A24369" t="s">
        <v>22911</v>
      </c>
    </row>
    <row r="24370" spans="1:1" x14ac:dyDescent="0.25">
      <c r="A24370" t="s">
        <v>22912</v>
      </c>
    </row>
    <row r="24371" spans="1:1" x14ac:dyDescent="0.25">
      <c r="A24371" t="s">
        <v>22913</v>
      </c>
    </row>
    <row r="24372" spans="1:1" x14ac:dyDescent="0.25">
      <c r="A24372" t="s">
        <v>22914</v>
      </c>
    </row>
    <row r="24373" spans="1:1" x14ac:dyDescent="0.25">
      <c r="A24373" t="s">
        <v>22915</v>
      </c>
    </row>
    <row r="24374" spans="1:1" x14ac:dyDescent="0.25">
      <c r="A24374" t="s">
        <v>22916</v>
      </c>
    </row>
    <row r="24375" spans="1:1" x14ac:dyDescent="0.25">
      <c r="A24375" t="s">
        <v>22917</v>
      </c>
    </row>
    <row r="24376" spans="1:1" x14ac:dyDescent="0.25">
      <c r="A24376" t="s">
        <v>22918</v>
      </c>
    </row>
    <row r="24377" spans="1:1" x14ac:dyDescent="0.25">
      <c r="A24377" t="s">
        <v>22919</v>
      </c>
    </row>
    <row r="24378" spans="1:1" x14ac:dyDescent="0.25">
      <c r="A24378" t="s">
        <v>22920</v>
      </c>
    </row>
    <row r="24379" spans="1:1" x14ac:dyDescent="0.25">
      <c r="A24379" t="s">
        <v>22921</v>
      </c>
    </row>
    <row r="24380" spans="1:1" x14ac:dyDescent="0.25">
      <c r="A24380" t="s">
        <v>22922</v>
      </c>
    </row>
    <row r="24381" spans="1:1" x14ac:dyDescent="0.25">
      <c r="A24381" t="s">
        <v>22923</v>
      </c>
    </row>
    <row r="24382" spans="1:1" x14ac:dyDescent="0.25">
      <c r="A24382" t="s">
        <v>22924</v>
      </c>
    </row>
    <row r="24383" spans="1:1" x14ac:dyDescent="0.25">
      <c r="A24383" t="s">
        <v>22925</v>
      </c>
    </row>
    <row r="24384" spans="1:1" x14ac:dyDescent="0.25">
      <c r="A24384" t="s">
        <v>22926</v>
      </c>
    </row>
    <row r="24385" spans="1:1" x14ac:dyDescent="0.25">
      <c r="A24385" t="s">
        <v>22927</v>
      </c>
    </row>
    <row r="24386" spans="1:1" x14ac:dyDescent="0.25">
      <c r="A24386" t="s">
        <v>22928</v>
      </c>
    </row>
    <row r="24387" spans="1:1" x14ac:dyDescent="0.25">
      <c r="A24387" t="s">
        <v>22929</v>
      </c>
    </row>
    <row r="24388" spans="1:1" x14ac:dyDescent="0.25">
      <c r="A24388" t="s">
        <v>22930</v>
      </c>
    </row>
    <row r="24389" spans="1:1" x14ac:dyDescent="0.25">
      <c r="A24389" t="s">
        <v>22931</v>
      </c>
    </row>
    <row r="24390" spans="1:1" x14ac:dyDescent="0.25">
      <c r="A24390" t="s">
        <v>22932</v>
      </c>
    </row>
    <row r="24391" spans="1:1" x14ac:dyDescent="0.25">
      <c r="A24391" t="s">
        <v>22933</v>
      </c>
    </row>
    <row r="24392" spans="1:1" x14ac:dyDescent="0.25">
      <c r="A24392" t="s">
        <v>22934</v>
      </c>
    </row>
    <row r="24393" spans="1:1" x14ac:dyDescent="0.25">
      <c r="A24393" t="s">
        <v>22935</v>
      </c>
    </row>
    <row r="24394" spans="1:1" x14ac:dyDescent="0.25">
      <c r="A24394" t="s">
        <v>22936</v>
      </c>
    </row>
    <row r="24395" spans="1:1" x14ac:dyDescent="0.25">
      <c r="A24395" t="s">
        <v>22937</v>
      </c>
    </row>
    <row r="24396" spans="1:1" x14ac:dyDescent="0.25">
      <c r="A24396" t="s">
        <v>22938</v>
      </c>
    </row>
    <row r="24397" spans="1:1" x14ac:dyDescent="0.25">
      <c r="A24397" t="s">
        <v>22939</v>
      </c>
    </row>
    <row r="24398" spans="1:1" x14ac:dyDescent="0.25">
      <c r="A24398" t="s">
        <v>22940</v>
      </c>
    </row>
    <row r="24399" spans="1:1" x14ac:dyDescent="0.25">
      <c r="A24399" t="s">
        <v>22941</v>
      </c>
    </row>
    <row r="24400" spans="1:1" x14ac:dyDescent="0.25">
      <c r="A24400" t="s">
        <v>22942</v>
      </c>
    </row>
    <row r="24401" spans="1:1" x14ac:dyDescent="0.25">
      <c r="A24401" t="s">
        <v>22943</v>
      </c>
    </row>
    <row r="24402" spans="1:1" x14ac:dyDescent="0.25">
      <c r="A24402" t="s">
        <v>22944</v>
      </c>
    </row>
    <row r="24403" spans="1:1" x14ac:dyDescent="0.25">
      <c r="A24403" t="s">
        <v>22945</v>
      </c>
    </row>
    <row r="24404" spans="1:1" x14ac:dyDescent="0.25">
      <c r="A24404" t="s">
        <v>22946</v>
      </c>
    </row>
    <row r="24405" spans="1:1" x14ac:dyDescent="0.25">
      <c r="A24405" t="s">
        <v>22947</v>
      </c>
    </row>
    <row r="24406" spans="1:1" x14ac:dyDescent="0.25">
      <c r="A24406" t="s">
        <v>22948</v>
      </c>
    </row>
    <row r="24407" spans="1:1" x14ac:dyDescent="0.25">
      <c r="A24407" t="s">
        <v>22949</v>
      </c>
    </row>
    <row r="24408" spans="1:1" x14ac:dyDescent="0.25">
      <c r="A24408" t="s">
        <v>22950</v>
      </c>
    </row>
    <row r="24409" spans="1:1" x14ac:dyDescent="0.25">
      <c r="A24409" t="s">
        <v>22951</v>
      </c>
    </row>
    <row r="24410" spans="1:1" x14ac:dyDescent="0.25">
      <c r="A24410" t="s">
        <v>22952</v>
      </c>
    </row>
    <row r="24411" spans="1:1" x14ac:dyDescent="0.25">
      <c r="A24411" t="s">
        <v>22953</v>
      </c>
    </row>
    <row r="24412" spans="1:1" x14ac:dyDescent="0.25">
      <c r="A24412" t="s">
        <v>22954</v>
      </c>
    </row>
    <row r="24413" spans="1:1" x14ac:dyDescent="0.25">
      <c r="A24413" t="s">
        <v>22955</v>
      </c>
    </row>
    <row r="24414" spans="1:1" x14ac:dyDescent="0.25">
      <c r="A24414" t="s">
        <v>22956</v>
      </c>
    </row>
    <row r="24415" spans="1:1" x14ac:dyDescent="0.25">
      <c r="A24415" t="s">
        <v>22957</v>
      </c>
    </row>
    <row r="24416" spans="1:1" x14ac:dyDescent="0.25">
      <c r="A24416" t="s">
        <v>22958</v>
      </c>
    </row>
    <row r="24417" spans="1:1" x14ac:dyDescent="0.25">
      <c r="A24417" t="s">
        <v>22959</v>
      </c>
    </row>
    <row r="24418" spans="1:1" x14ac:dyDescent="0.25">
      <c r="A24418" t="s">
        <v>22960</v>
      </c>
    </row>
    <row r="24419" spans="1:1" x14ac:dyDescent="0.25">
      <c r="A24419" t="s">
        <v>22961</v>
      </c>
    </row>
    <row r="24420" spans="1:1" x14ac:dyDescent="0.25">
      <c r="A24420" t="s">
        <v>22962</v>
      </c>
    </row>
    <row r="24421" spans="1:1" x14ac:dyDescent="0.25">
      <c r="A24421" t="s">
        <v>22963</v>
      </c>
    </row>
    <row r="24422" spans="1:1" x14ac:dyDescent="0.25">
      <c r="A24422" t="s">
        <v>22964</v>
      </c>
    </row>
    <row r="24423" spans="1:1" x14ac:dyDescent="0.25">
      <c r="A24423" t="s">
        <v>22965</v>
      </c>
    </row>
    <row r="24424" spans="1:1" x14ac:dyDescent="0.25">
      <c r="A24424" t="s">
        <v>22966</v>
      </c>
    </row>
    <row r="24425" spans="1:1" x14ac:dyDescent="0.25">
      <c r="A24425" t="s">
        <v>22967</v>
      </c>
    </row>
    <row r="24426" spans="1:1" x14ac:dyDescent="0.25">
      <c r="A24426" t="s">
        <v>22968</v>
      </c>
    </row>
    <row r="24427" spans="1:1" x14ac:dyDescent="0.25">
      <c r="A24427" t="s">
        <v>22969</v>
      </c>
    </row>
    <row r="24428" spans="1:1" x14ac:dyDescent="0.25">
      <c r="A24428" t="s">
        <v>22970</v>
      </c>
    </row>
    <row r="24429" spans="1:1" x14ac:dyDescent="0.25">
      <c r="A24429" t="s">
        <v>22971</v>
      </c>
    </row>
    <row r="24430" spans="1:1" x14ac:dyDescent="0.25">
      <c r="A24430" t="s">
        <v>22972</v>
      </c>
    </row>
    <row r="24431" spans="1:1" x14ac:dyDescent="0.25">
      <c r="A24431" t="s">
        <v>22973</v>
      </c>
    </row>
    <row r="24432" spans="1:1" x14ac:dyDescent="0.25">
      <c r="A24432" t="s">
        <v>22974</v>
      </c>
    </row>
    <row r="24433" spans="1:1" x14ac:dyDescent="0.25">
      <c r="A24433" t="s">
        <v>22975</v>
      </c>
    </row>
    <row r="24434" spans="1:1" x14ac:dyDescent="0.25">
      <c r="A24434" t="s">
        <v>22976</v>
      </c>
    </row>
    <row r="24435" spans="1:1" x14ac:dyDescent="0.25">
      <c r="A24435" t="s">
        <v>22977</v>
      </c>
    </row>
    <row r="24436" spans="1:1" x14ac:dyDescent="0.25">
      <c r="A24436" t="s">
        <v>22978</v>
      </c>
    </row>
    <row r="24437" spans="1:1" x14ac:dyDescent="0.25">
      <c r="A24437" t="s">
        <v>22979</v>
      </c>
    </row>
    <row r="24438" spans="1:1" x14ac:dyDescent="0.25">
      <c r="A24438" t="s">
        <v>22980</v>
      </c>
    </row>
    <row r="24439" spans="1:1" x14ac:dyDescent="0.25">
      <c r="A24439" t="s">
        <v>22981</v>
      </c>
    </row>
    <row r="24440" spans="1:1" x14ac:dyDescent="0.25">
      <c r="A24440" t="s">
        <v>22982</v>
      </c>
    </row>
    <row r="24441" spans="1:1" x14ac:dyDescent="0.25">
      <c r="A24441" t="s">
        <v>22983</v>
      </c>
    </row>
    <row r="24442" spans="1:1" x14ac:dyDescent="0.25">
      <c r="A24442" t="s">
        <v>22984</v>
      </c>
    </row>
    <row r="24443" spans="1:1" x14ac:dyDescent="0.25">
      <c r="A24443" t="s">
        <v>22985</v>
      </c>
    </row>
    <row r="24444" spans="1:1" x14ac:dyDescent="0.25">
      <c r="A24444" t="s">
        <v>22986</v>
      </c>
    </row>
    <row r="24445" spans="1:1" x14ac:dyDescent="0.25">
      <c r="A24445" t="s">
        <v>22987</v>
      </c>
    </row>
    <row r="24446" spans="1:1" x14ac:dyDescent="0.25">
      <c r="A24446" t="s">
        <v>22988</v>
      </c>
    </row>
    <row r="24447" spans="1:1" x14ac:dyDescent="0.25">
      <c r="A24447" t="s">
        <v>22989</v>
      </c>
    </row>
    <row r="24448" spans="1:1" x14ac:dyDescent="0.25">
      <c r="A24448" t="s">
        <v>22990</v>
      </c>
    </row>
    <row r="24449" spans="1:1" x14ac:dyDescent="0.25">
      <c r="A24449" t="s">
        <v>6281</v>
      </c>
    </row>
    <row r="24450" spans="1:1" x14ac:dyDescent="0.25">
      <c r="A24450" t="s">
        <v>22991</v>
      </c>
    </row>
    <row r="24451" spans="1:1" x14ac:dyDescent="0.25">
      <c r="A24451" t="s">
        <v>1463</v>
      </c>
    </row>
    <row r="24452" spans="1:1" x14ac:dyDescent="0.25">
      <c r="A24452" t="s">
        <v>22992</v>
      </c>
    </row>
    <row r="24453" spans="1:1" x14ac:dyDescent="0.25">
      <c r="A24453" t="s">
        <v>22993</v>
      </c>
    </row>
    <row r="24454" spans="1:1" x14ac:dyDescent="0.25">
      <c r="A24454" t="s">
        <v>22994</v>
      </c>
    </row>
    <row r="24455" spans="1:1" x14ac:dyDescent="0.25">
      <c r="A24455" t="s">
        <v>22995</v>
      </c>
    </row>
    <row r="24456" spans="1:1" x14ac:dyDescent="0.25">
      <c r="A24456" t="s">
        <v>22996</v>
      </c>
    </row>
    <row r="24457" spans="1:1" x14ac:dyDescent="0.25">
      <c r="A24457" t="s">
        <v>22997</v>
      </c>
    </row>
    <row r="24458" spans="1:1" x14ac:dyDescent="0.25">
      <c r="A24458" t="s">
        <v>22998</v>
      </c>
    </row>
    <row r="24459" spans="1:1" x14ac:dyDescent="0.25">
      <c r="A24459" t="s">
        <v>1463</v>
      </c>
    </row>
    <row r="24460" spans="1:1" x14ac:dyDescent="0.25">
      <c r="A24460" t="s">
        <v>22999</v>
      </c>
    </row>
    <row r="24461" spans="1:1" x14ac:dyDescent="0.25">
      <c r="A24461" t="s">
        <v>23000</v>
      </c>
    </row>
    <row r="24462" spans="1:1" x14ac:dyDescent="0.25">
      <c r="A24462" t="s">
        <v>23001</v>
      </c>
    </row>
    <row r="24463" spans="1:1" x14ac:dyDescent="0.25">
      <c r="A24463" t="s">
        <v>23002</v>
      </c>
    </row>
    <row r="24464" spans="1:1" x14ac:dyDescent="0.25">
      <c r="A24464" t="s">
        <v>1463</v>
      </c>
    </row>
    <row r="24465" spans="1:1" x14ac:dyDescent="0.25">
      <c r="A24465" t="s">
        <v>23003</v>
      </c>
    </row>
    <row r="24466" spans="1:1" x14ac:dyDescent="0.25">
      <c r="A24466" t="s">
        <v>23004</v>
      </c>
    </row>
    <row r="24467" spans="1:1" x14ac:dyDescent="0.25">
      <c r="A24467" t="s">
        <v>23001</v>
      </c>
    </row>
    <row r="24468" spans="1:1" x14ac:dyDescent="0.25">
      <c r="A24468" t="s">
        <v>23005</v>
      </c>
    </row>
    <row r="24469" spans="1:1" x14ac:dyDescent="0.25">
      <c r="A24469" t="s">
        <v>1463</v>
      </c>
    </row>
    <row r="24470" spans="1:1" x14ac:dyDescent="0.25">
      <c r="A24470" t="s">
        <v>23006</v>
      </c>
    </row>
    <row r="24471" spans="1:1" x14ac:dyDescent="0.25">
      <c r="A24471" t="s">
        <v>23007</v>
      </c>
    </row>
    <row r="24472" spans="1:1" x14ac:dyDescent="0.25">
      <c r="A24472" t="s">
        <v>23008</v>
      </c>
    </row>
    <row r="24473" spans="1:1" x14ac:dyDescent="0.25">
      <c r="A24473" t="s">
        <v>6438</v>
      </c>
    </row>
    <row r="24474" spans="1:1" x14ac:dyDescent="0.25">
      <c r="A24474" t="s">
        <v>23009</v>
      </c>
    </row>
    <row r="24475" spans="1:1" x14ac:dyDescent="0.25">
      <c r="A24475" t="s">
        <v>23010</v>
      </c>
    </row>
    <row r="24476" spans="1:1" x14ac:dyDescent="0.25">
      <c r="A24476" t="s">
        <v>6382</v>
      </c>
    </row>
    <row r="24477" spans="1:1" x14ac:dyDescent="0.25">
      <c r="A24477" t="s">
        <v>23011</v>
      </c>
    </row>
    <row r="24478" spans="1:1" x14ac:dyDescent="0.25">
      <c r="A24478" t="s">
        <v>1463</v>
      </c>
    </row>
    <row r="24479" spans="1:1" x14ac:dyDescent="0.25">
      <c r="A24479" t="s">
        <v>23012</v>
      </c>
    </row>
    <row r="24480" spans="1:1" x14ac:dyDescent="0.25">
      <c r="A24480" t="s">
        <v>23013</v>
      </c>
    </row>
    <row r="24481" spans="1:1" x14ac:dyDescent="0.25">
      <c r="A24481" t="s">
        <v>23014</v>
      </c>
    </row>
    <row r="24482" spans="1:1" x14ac:dyDescent="0.25">
      <c r="A24482" t="s">
        <v>23015</v>
      </c>
    </row>
    <row r="24483" spans="1:1" x14ac:dyDescent="0.25">
      <c r="A24483" t="s">
        <v>23016</v>
      </c>
    </row>
    <row r="24484" spans="1:1" x14ac:dyDescent="0.25">
      <c r="A24484" t="s">
        <v>23017</v>
      </c>
    </row>
    <row r="24485" spans="1:1" x14ac:dyDescent="0.25">
      <c r="A24485" t="s">
        <v>23018</v>
      </c>
    </row>
    <row r="24486" spans="1:1" x14ac:dyDescent="0.25">
      <c r="A24486" t="s">
        <v>23019</v>
      </c>
    </row>
    <row r="24487" spans="1:1" x14ac:dyDescent="0.25">
      <c r="A24487" t="s">
        <v>23020</v>
      </c>
    </row>
    <row r="24488" spans="1:1" x14ac:dyDescent="0.25">
      <c r="A24488" t="s">
        <v>23021</v>
      </c>
    </row>
    <row r="24489" spans="1:1" x14ac:dyDescent="0.25">
      <c r="A24489" t="s">
        <v>23022</v>
      </c>
    </row>
    <row r="24490" spans="1:1" x14ac:dyDescent="0.25">
      <c r="A24490" t="s">
        <v>23023</v>
      </c>
    </row>
    <row r="24491" spans="1:1" x14ac:dyDescent="0.25">
      <c r="A24491" t="s">
        <v>23024</v>
      </c>
    </row>
    <row r="24492" spans="1:1" x14ac:dyDescent="0.25">
      <c r="A24492" t="s">
        <v>23025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F9D8A-AFBD-4C72-A98E-05DCF043B081}">
  <dimension ref="A2:DP1026"/>
  <sheetViews>
    <sheetView topLeftCell="AU1" zoomScale="70" zoomScaleNormal="70" workbookViewId="0">
      <selection activeCell="BI24" sqref="BI24"/>
    </sheetView>
  </sheetViews>
  <sheetFormatPr baseColWidth="10" defaultRowHeight="15" x14ac:dyDescent="0.25"/>
  <cols>
    <col min="7" max="7" width="17.85546875" bestFit="1" customWidth="1"/>
    <col min="9" max="9" width="15.7109375" customWidth="1"/>
    <col min="93" max="93" width="15.140625" customWidth="1"/>
    <col min="94" max="94" width="16.5703125" customWidth="1"/>
    <col min="95" max="95" width="14.140625" customWidth="1"/>
    <col min="96" max="96" width="15.85546875" customWidth="1"/>
    <col min="97" max="97" width="30" customWidth="1"/>
    <col min="98" max="98" width="19" customWidth="1"/>
    <col min="99" max="99" width="19.42578125" customWidth="1"/>
    <col min="100" max="100" width="24.28515625" customWidth="1"/>
    <col min="101" max="101" width="16.5703125" customWidth="1"/>
    <col min="102" max="102" width="41.28515625" customWidth="1"/>
    <col min="103" max="103" width="28.140625" customWidth="1"/>
    <col min="104" max="104" width="25.7109375" customWidth="1"/>
    <col min="105" max="105" width="27.5703125" customWidth="1"/>
    <col min="106" max="106" width="32.85546875" customWidth="1"/>
    <col min="107" max="107" width="20.140625" customWidth="1"/>
    <col min="108" max="108" width="20.42578125" customWidth="1"/>
    <col min="109" max="109" width="25.7109375" customWidth="1"/>
    <col min="110" max="110" width="20.85546875" customWidth="1"/>
    <col min="111" max="111" width="26.7109375" customWidth="1"/>
    <col min="112" max="112" width="13.7109375" customWidth="1"/>
    <col min="113" max="113" width="15.5703125" customWidth="1"/>
    <col min="114" max="114" width="20.5703125" customWidth="1"/>
    <col min="115" max="115" width="21.28515625" customWidth="1"/>
    <col min="116" max="116" width="19.85546875" customWidth="1"/>
    <col min="117" max="117" width="22.85546875" customWidth="1"/>
    <col min="118" max="118" width="23.85546875" customWidth="1"/>
    <col min="119" max="119" width="15.5703125" customWidth="1"/>
    <col min="120" max="120" width="22.28515625" customWidth="1"/>
  </cols>
  <sheetData>
    <row r="2" spans="1:120"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120" ht="26.25" x14ac:dyDescent="0.4">
      <c r="A3" s="61" t="s">
        <v>602</v>
      </c>
      <c r="B3" s="61" t="s">
        <v>17</v>
      </c>
      <c r="C3" s="61" t="e">
        <v>#N/A</v>
      </c>
      <c r="D3" s="62"/>
      <c r="E3" s="62" t="s">
        <v>602</v>
      </c>
      <c r="F3" s="61" t="s">
        <v>17</v>
      </c>
      <c r="G3" s="61"/>
      <c r="H3" s="61">
        <v>70876605</v>
      </c>
      <c r="I3" s="63">
        <v>44886</v>
      </c>
      <c r="J3" s="63" t="s">
        <v>602</v>
      </c>
      <c r="K3" s="63" t="s">
        <v>602</v>
      </c>
      <c r="L3" s="55"/>
      <c r="M3" s="33">
        <v>2026</v>
      </c>
      <c r="N3" s="33" t="s">
        <v>143</v>
      </c>
      <c r="O3" s="33">
        <v>21</v>
      </c>
    </row>
    <row r="4" spans="1:120" x14ac:dyDescent="0.25">
      <c r="A4" s="61" t="s">
        <v>500</v>
      </c>
      <c r="B4" s="61" t="s">
        <v>38</v>
      </c>
      <c r="C4" s="61" t="e">
        <v>#N/A</v>
      </c>
      <c r="D4" s="62"/>
      <c r="E4" s="62" t="s">
        <v>500</v>
      </c>
      <c r="F4" s="61" t="s">
        <v>38</v>
      </c>
      <c r="G4" s="61"/>
      <c r="H4" s="61">
        <v>47411966</v>
      </c>
      <c r="I4" s="63">
        <v>45800</v>
      </c>
      <c r="J4" s="63" t="s">
        <v>500</v>
      </c>
      <c r="K4" s="63" t="s">
        <v>500</v>
      </c>
      <c r="L4" s="55"/>
      <c r="N4" s="5"/>
      <c r="S4" s="45"/>
    </row>
    <row r="5" spans="1:120" x14ac:dyDescent="0.25">
      <c r="A5" s="61" t="s">
        <v>500</v>
      </c>
      <c r="B5" s="61" t="s">
        <v>15</v>
      </c>
      <c r="C5" s="61" t="e">
        <v>#N/A</v>
      </c>
      <c r="D5" s="62"/>
      <c r="E5" s="62" t="s">
        <v>500</v>
      </c>
      <c r="F5" s="61" t="s">
        <v>15</v>
      </c>
      <c r="G5" s="61"/>
      <c r="H5" s="61">
        <v>47587400</v>
      </c>
      <c r="I5" s="63">
        <v>44733</v>
      </c>
      <c r="J5" s="63" t="s">
        <v>500</v>
      </c>
      <c r="K5" s="63" t="s">
        <v>500</v>
      </c>
      <c r="L5" s="55"/>
      <c r="N5" s="5"/>
      <c r="S5" s="45"/>
      <c r="CA5" s="45"/>
    </row>
    <row r="6" spans="1:120" x14ac:dyDescent="0.25">
      <c r="A6" s="65" t="s">
        <v>500</v>
      </c>
      <c r="B6" s="65" t="s">
        <v>50</v>
      </c>
      <c r="C6" s="61" t="e">
        <v>#N/A</v>
      </c>
      <c r="D6" s="62"/>
      <c r="E6" s="66" t="s">
        <v>500</v>
      </c>
      <c r="F6" s="65" t="s">
        <v>50</v>
      </c>
      <c r="G6" s="72"/>
      <c r="H6" s="65">
        <v>72733809</v>
      </c>
      <c r="I6" s="67">
        <v>45789</v>
      </c>
      <c r="J6" s="67" t="s">
        <v>500</v>
      </c>
      <c r="K6" s="67" t="s">
        <v>500</v>
      </c>
      <c r="L6" s="55"/>
      <c r="N6" s="5"/>
      <c r="S6" s="45"/>
    </row>
    <row r="7" spans="1:120" x14ac:dyDescent="0.25">
      <c r="A7" s="65" t="s">
        <v>500</v>
      </c>
      <c r="B7" s="65" t="s">
        <v>73</v>
      </c>
      <c r="C7" s="65" t="e">
        <v>#N/A</v>
      </c>
      <c r="D7" s="66" t="s">
        <v>548</v>
      </c>
      <c r="E7" s="66" t="s">
        <v>500</v>
      </c>
      <c r="F7" s="65" t="s">
        <v>73</v>
      </c>
      <c r="G7" s="72"/>
      <c r="H7" s="65">
        <v>40318129</v>
      </c>
      <c r="I7" s="67">
        <v>45141</v>
      </c>
      <c r="J7" s="67" t="s">
        <v>500</v>
      </c>
      <c r="K7" s="67" t="s">
        <v>500</v>
      </c>
      <c r="L7" s="55"/>
      <c r="M7" s="1"/>
      <c r="N7" s="5"/>
      <c r="CI7" t="s">
        <v>626</v>
      </c>
      <c r="CJ7" t="s">
        <v>140</v>
      </c>
      <c r="CK7" t="s">
        <v>141</v>
      </c>
      <c r="CL7" t="s">
        <v>142</v>
      </c>
      <c r="CM7" t="s">
        <v>143</v>
      </c>
    </row>
    <row r="8" spans="1:120" ht="15.75" thickBot="1" x14ac:dyDescent="0.3">
      <c r="A8" s="34" t="str" cm="1">
        <f t="array" ref="A8">IFERROR(VLOOKUP(D1_MAYO_202681[[#This Row],[ASESOR_CRR]],_xlfn._xlws.FILTER(PLANTILLA[[ASESOR]:[FECHA DE CESE]],PLANTILLA[FECHA]=_xlfn.CONCAT($M$3,"_",_xlfn.IFS($N$3="ENERO","1",$N$3="FEBRERO","2",$N$3="MARZO","3",$N$3="ABRIL","4",$N$3="MAYO","5",$N$3="JUNIO","6",$N$3="JULIO","7",$N$3="AGOSTO","8",$N$3="SETIEMBRE","9",$N$3="OCTUBRE","10",$N$3="NOVIEMBRE","11",$N$3="DICIEMBRE","12"))),3,0),"")</f>
        <v>JORGE</v>
      </c>
      <c r="B8" s="34" t="str" cm="1">
        <f t="array" ref="B8">TRIM(IFERROR(_xlfn.IFS(D1_MAYO_202681[[#This Row],[ASESOR]]="ELVIS GUERRA","ELVIS GUERRERA",D1_MAYO_202681[[#This Row],[ASESOR]]="GENESIS VICUÑA","GENESIS VICUNA",D1_MAYO_202681[[#This Row],[ASESOR]]="JENY QUIÑONES","JENY QUINONES",D1_MAYO_202681[[#This Row],[ASESOR]]="NICOLE CAURURO","NICOLE CAURURO"),D1_MAYO_202681[[#This Row],[ASESOR]]))</f>
        <v>GIANFRANCO PINEDO</v>
      </c>
      <c r="C8" s="34" cm="1">
        <f t="array" ref="C8">_xlfn.XLOOKUP(1,(TablaMeta[CONCAT]=$M$3&amp;$N$3&amp;D1_MAYO_202681[[#This Row],[SUPER]])*(TablaMeta[SEGG]=D1_MAYO_202681[[#This Row],[SEGMENTO]]),TablaMeta[Meta_Asesor])</f>
        <v>44700</v>
      </c>
      <c r="D8" s="35">
        <f>IF(D1_MAYO_202681[[#This Row],[RECUPERO]]="VACACIONES","VACACIONES",IFERROR(D1_MAYO_202681[[#This Row],[RECUPERO]]/D1_MAYO_202681[[#This Row],[META]],""))</f>
        <v>1.2533333333333334</v>
      </c>
      <c r="E8" s="35" t="str">
        <f>D1_MAYO_202681[[#This Row],[SUPER]]</f>
        <v>JORGE</v>
      </c>
      <c r="F8" s="34" t="s">
        <v>13</v>
      </c>
      <c r="G8" s="36">
        <v>56024</v>
      </c>
      <c r="H8" s="34" cm="1">
        <f t="array" ref="H8">IFERROR(VLOOKUP(D1_MAYO_202681[[#This Row],[ASESOR_CRR]],_xlfn._xlws.FILTER(PLANTILLA[[ASESOR]:[FECHA DE CESE]],PLANTILLA[FECHA]=_xlfn.CONCAT($M$3,"_",_xlfn.IFS($N$3="ENERO","1",$N$3="FEBRERO","2",$N$3="MARZO","3",$N$3="ABRIL","4",$N$3="MAYO","5",$N$3="JUNIO","6",$N$3="JULIO","7",$N$3="AGOSTO","8",$N$3="SETIEMBRE","9",$N$3="OCTUBRE","10",$N$3="NOVIEMBRE","11",$N$3="DICIEMBRE","12"))),2,0),"")</f>
        <v>72512391</v>
      </c>
      <c r="I8" s="60" cm="1">
        <f t="array" ref="I8">IFERROR(VLOOKUP(D1_MAYO_202681[[#This Row],[ASESOR_CRR]],_xlfn._xlws.FILTER(PLANTILLA[[ASESOR]:[FECHA DE CESE]],PLANTILLA[FECHA]=_xlfn.CONCAT($M$3,"_",_xlfn.IFS($N$3="ENERO","1",$N$3="FEBRERO","2",$N$3="MARZO","3",$N$3="ABRIL","4",$N$3="MAYO","5",$N$3="JUNIO","6",$N$3="JULIO","7",$N$3="AGOSTO","8",$N$3="SETIEMBRE","9",$N$3="OCTUBRE","10",$N$3="NOVIEMBRE","11",$N$3="DICIEMBRE","12"))),6,0),"")</f>
        <v>44809</v>
      </c>
      <c r="J8" s="60" t="str" cm="1">
        <f t="array" ref="J8">IFERROR(VLOOKUP(D1_MAYO_202681[[#This Row],[ASESOR_CRR]],_xlfn._xlws.FILTER(PLANTILLA[[ASESOR]:[FECHA DE CESE]],PLANTILLA[FECHA]=_xlfn.CONCAT($M$3,"_",_xlfn.IFS($N$3="ENERO","1",$N$3="FEBRERO","2",$N$3="MARZO","3",$N$3="ABRIL","4",$N$3="MAYO","5",$N$3="JUNIO","6",$N$3="JULIO","7",$N$3="AGOSTO","8",$N$3="SETIEMBRE","9",$N$3="OCTUBRE","10",$N$3="NOVIEMBRE","11",$N$3="DICIEMBRE","12"))),4,0),"")</f>
        <v>CALL</v>
      </c>
      <c r="K8" s="60" t="str" cm="1">
        <f t="array" ref="K8">IFERROR(VLOOKUP(D1_MAYO_202681[[#This Row],[ASESOR_CRR]],_xlfn._xlws.FILTER(PLANTILLA[[ASESOR]:[FECHA DE CESE]],PLANTILLA[FECHA]=_xlfn.CONCAT($M$3,"_",_xlfn.IFS($N$3="ENERO","1",$N$3="FEBRERO","2",$N$3="MARZO","3",$N$3="ABRIL","4",$N$3="MAYO","5",$N$3="JUNIO","6",$N$3="JULIO","7",$N$3="AGOSTO","8",$N$3="SETIEMBRE","9",$N$3="OCTUBRE","10",$N$3="NOVIEMBRE","11",$N$3="DICIEMBRE","12"))),8,0),"")</f>
        <v>S1</v>
      </c>
      <c r="L8" s="55"/>
      <c r="M8" s="38" t="s">
        <v>87</v>
      </c>
      <c r="N8" s="15" t="s">
        <v>1133</v>
      </c>
      <c r="O8" s="14" t="s">
        <v>133</v>
      </c>
      <c r="P8" s="14" t="s">
        <v>95</v>
      </c>
      <c r="Q8" s="14" t="s">
        <v>90</v>
      </c>
      <c r="R8" s="13" t="s">
        <v>88</v>
      </c>
      <c r="S8" s="13" t="s">
        <v>503</v>
      </c>
      <c r="T8" s="13" t="s">
        <v>525</v>
      </c>
      <c r="U8" s="13" t="s">
        <v>529</v>
      </c>
      <c r="V8" s="13" t="s">
        <v>504</v>
      </c>
      <c r="W8" s="13" t="s">
        <v>505</v>
      </c>
      <c r="X8" s="13" t="s">
        <v>506</v>
      </c>
      <c r="Y8" s="13" t="s">
        <v>507</v>
      </c>
      <c r="Z8" s="13" t="s">
        <v>508</v>
      </c>
      <c r="AA8" s="13" t="s">
        <v>526</v>
      </c>
      <c r="AB8" s="13" t="s">
        <v>530</v>
      </c>
      <c r="AC8" s="13" t="s">
        <v>509</v>
      </c>
      <c r="AD8" s="13" t="s">
        <v>510</v>
      </c>
      <c r="AE8" s="13" t="s">
        <v>511</v>
      </c>
      <c r="AF8" s="13" t="s">
        <v>512</v>
      </c>
      <c r="AG8" s="13" t="s">
        <v>513</v>
      </c>
      <c r="AH8" s="13" t="s">
        <v>527</v>
      </c>
      <c r="AI8" s="13" t="s">
        <v>531</v>
      </c>
      <c r="AJ8" s="13" t="s">
        <v>514</v>
      </c>
      <c r="AK8" s="13" t="s">
        <v>515</v>
      </c>
      <c r="AL8" s="13" t="s">
        <v>516</v>
      </c>
      <c r="AM8" s="13" t="s">
        <v>517</v>
      </c>
      <c r="AN8" s="13" t="s">
        <v>518</v>
      </c>
      <c r="AO8" s="13" t="s">
        <v>528</v>
      </c>
      <c r="AP8" s="13" t="s">
        <v>532</v>
      </c>
      <c r="AQ8" s="13" t="s">
        <v>519</v>
      </c>
      <c r="AR8" s="13" t="s">
        <v>520</v>
      </c>
      <c r="AS8" s="13" t="s">
        <v>521</v>
      </c>
      <c r="AT8" s="13" t="s">
        <v>522</v>
      </c>
      <c r="AU8" s="13" t="s">
        <v>523</v>
      </c>
      <c r="AV8" s="13" t="s">
        <v>524</v>
      </c>
      <c r="AW8" s="14" t="s">
        <v>502</v>
      </c>
      <c r="AY8" s="18" t="s">
        <v>135</v>
      </c>
      <c r="AZ8" s="18" t="s">
        <v>137</v>
      </c>
      <c r="BA8" s="18" t="s">
        <v>138</v>
      </c>
      <c r="BB8" s="19" t="s">
        <v>94</v>
      </c>
      <c r="BC8" s="19" t="s">
        <v>503</v>
      </c>
      <c r="BD8" s="19" t="s">
        <v>525</v>
      </c>
      <c r="BE8" s="19" t="s">
        <v>529</v>
      </c>
      <c r="BF8" s="19" t="s">
        <v>504</v>
      </c>
      <c r="BG8" s="19" t="s">
        <v>505</v>
      </c>
      <c r="BH8" s="19" t="s">
        <v>506</v>
      </c>
      <c r="BI8" s="19" t="s">
        <v>507</v>
      </c>
      <c r="BJ8" s="19" t="s">
        <v>508</v>
      </c>
      <c r="BK8" s="19" t="s">
        <v>526</v>
      </c>
      <c r="BL8" s="19" t="s">
        <v>530</v>
      </c>
      <c r="BM8" s="19" t="s">
        <v>509</v>
      </c>
      <c r="BN8" s="19" t="s">
        <v>510</v>
      </c>
      <c r="BO8" s="19" t="s">
        <v>511</v>
      </c>
      <c r="BP8" s="19" t="s">
        <v>512</v>
      </c>
      <c r="BQ8" s="19" t="s">
        <v>513</v>
      </c>
      <c r="BR8" s="19" t="s">
        <v>527</v>
      </c>
      <c r="BS8" s="19" t="s">
        <v>531</v>
      </c>
      <c r="BT8" s="19" t="s">
        <v>514</v>
      </c>
      <c r="BU8" s="19" t="s">
        <v>515</v>
      </c>
      <c r="BV8" s="19" t="s">
        <v>516</v>
      </c>
      <c r="BW8" s="19" t="s">
        <v>517</v>
      </c>
      <c r="BX8" s="19" t="s">
        <v>518</v>
      </c>
      <c r="BY8" s="19" t="s">
        <v>528</v>
      </c>
      <c r="BZ8" s="19" t="s">
        <v>532</v>
      </c>
      <c r="CA8" s="19" t="s">
        <v>519</v>
      </c>
      <c r="CB8" s="19" t="s">
        <v>520</v>
      </c>
      <c r="CC8" s="19" t="s">
        <v>521</v>
      </c>
      <c r="CD8" s="19" t="s">
        <v>522</v>
      </c>
      <c r="CE8" s="19" t="s">
        <v>523</v>
      </c>
      <c r="CF8" s="19" t="s">
        <v>524</v>
      </c>
      <c r="CG8" s="18" t="s">
        <v>134</v>
      </c>
      <c r="CI8" s="73" t="s">
        <v>627</v>
      </c>
      <c r="CJ8" s="73" t="s">
        <v>533</v>
      </c>
      <c r="CK8" s="73" t="s">
        <v>503</v>
      </c>
      <c r="CL8" s="73" t="s">
        <v>525</v>
      </c>
      <c r="CM8" s="73" t="s">
        <v>529</v>
      </c>
      <c r="CO8" s="84" t="s">
        <v>639</v>
      </c>
      <c r="CP8" s="84" t="s">
        <v>640</v>
      </c>
      <c r="CQ8" s="84" t="s">
        <v>641</v>
      </c>
      <c r="CR8" s="84" t="s">
        <v>642</v>
      </c>
      <c r="CS8" s="84" t="s">
        <v>643</v>
      </c>
      <c r="CT8" s="84" t="s">
        <v>668</v>
      </c>
      <c r="CU8" s="84" t="s">
        <v>644</v>
      </c>
      <c r="CV8" s="84" t="s">
        <v>645</v>
      </c>
      <c r="CW8" s="84" t="s">
        <v>646</v>
      </c>
      <c r="CX8" s="84" t="s">
        <v>647</v>
      </c>
      <c r="CY8" s="84" t="s">
        <v>648</v>
      </c>
      <c r="CZ8" s="84" t="s">
        <v>649</v>
      </c>
      <c r="DA8" s="84" t="s">
        <v>650</v>
      </c>
      <c r="DB8" s="84" t="s">
        <v>651</v>
      </c>
      <c r="DC8" s="84" t="s">
        <v>652</v>
      </c>
      <c r="DD8" s="84" t="s">
        <v>653</v>
      </c>
      <c r="DE8" s="84" t="s">
        <v>654</v>
      </c>
      <c r="DF8" s="84" t="s">
        <v>655</v>
      </c>
      <c r="DG8" s="84" t="s">
        <v>656</v>
      </c>
      <c r="DH8" s="84" t="s">
        <v>657</v>
      </c>
      <c r="DI8" s="84" t="s">
        <v>658</v>
      </c>
      <c r="DJ8" s="84" t="s">
        <v>669</v>
      </c>
      <c r="DK8" s="84" t="s">
        <v>659</v>
      </c>
      <c r="DL8" s="84" t="s">
        <v>660</v>
      </c>
      <c r="DM8" s="84" t="s">
        <v>662</v>
      </c>
      <c r="DN8" s="84" t="s">
        <v>663</v>
      </c>
      <c r="DO8" s="84" t="s">
        <v>664</v>
      </c>
      <c r="DP8" s="84" t="s">
        <v>661</v>
      </c>
    </row>
    <row r="9" spans="1:120" x14ac:dyDescent="0.25">
      <c r="A9" s="34" t="str" cm="1">
        <f t="array" ref="A9">IFERROR(VLOOKUP(D1_MAYO_202681[[#This Row],[ASESOR_CRR]],_xlfn._xlws.FILTER(PLANTILLA[[ASESOR]:[FECHA DE CESE]],PLANTILLA[FECHA]=_xlfn.CONCAT($M$3,"_",_xlfn.IFS($N$3="ENERO","1",$N$3="FEBRERO","2",$N$3="MARZO","3",$N$3="ABRIL","4",$N$3="MAYO","5",$N$3="JUNIO","6",$N$3="JULIO","7",$N$3="AGOSTO","8",$N$3="SETIEMBRE","9",$N$3="OCTUBRE","10",$N$3="NOVIEMBRE","11",$N$3="DICIEMBRE","12"))),3,0),"")</f>
        <v>JORGE</v>
      </c>
      <c r="B9" s="34" t="str" cm="1">
        <f t="array" ref="B9">TRIM(IFERROR(_xlfn.IFS(D1_MAYO_202681[[#This Row],[ASESOR]]="ELVIS GUERRA","ELVIS GUERRERA",D1_MAYO_202681[[#This Row],[ASESOR]]="GENESIS VICUÑA","GENESIS VICUNA",D1_MAYO_202681[[#This Row],[ASESOR]]="JENY QUIÑONES","JENY QUINONES",D1_MAYO_202681[[#This Row],[ASESOR]]="NICOLE CAURURO","NICOLE CAURURO"),D1_MAYO_202681[[#This Row],[ASESOR]]))</f>
        <v>FRANCO HUAMANI</v>
      </c>
      <c r="C9" s="34" cm="1">
        <f t="array" ref="C9">_xlfn.XLOOKUP(1,(TablaMeta[CONCAT]=$M$3&amp;$N$3&amp;D1_MAYO_202681[[#This Row],[SUPER]])*(TablaMeta[SEGG]=D1_MAYO_202681[[#This Row],[SEGMENTO]]),TablaMeta[Meta_Asesor])</f>
        <v>44700</v>
      </c>
      <c r="D9" s="35">
        <f>IF(D1_MAYO_202681[[#This Row],[RECUPERO]]="VACACIONES","VACACIONES",IFERROR(D1_MAYO_202681[[#This Row],[RECUPERO]]/D1_MAYO_202681[[#This Row],[META]],""))</f>
        <v>1.1901118568232663</v>
      </c>
      <c r="E9" s="35" t="str">
        <f>D1_MAYO_202681[[#This Row],[SUPER]]</f>
        <v>JORGE</v>
      </c>
      <c r="F9" s="34" t="s">
        <v>24</v>
      </c>
      <c r="G9" s="36">
        <v>53198</v>
      </c>
      <c r="H9" s="34" cm="1">
        <f t="array" ref="H9">IFERROR(VLOOKUP(D1_MAYO_202681[[#This Row],[ASESOR_CRR]],_xlfn._xlws.FILTER(PLANTILLA[[ASESOR]:[FECHA DE CESE]],PLANTILLA[FECHA]=_xlfn.CONCAT($M$3,"_",_xlfn.IFS($N$3="ENERO","1",$N$3="FEBRERO","2",$N$3="MARZO","3",$N$3="ABRIL","4",$N$3="MAYO","5",$N$3="JUNIO","6",$N$3="JULIO","7",$N$3="AGOSTO","8",$N$3="SETIEMBRE","9",$N$3="OCTUBRE","10",$N$3="NOVIEMBRE","11",$N$3="DICIEMBRE","12"))),2,0),"")</f>
        <v>43614775</v>
      </c>
      <c r="I9" s="60" cm="1">
        <f t="array" ref="I9">IFERROR(VLOOKUP(D1_MAYO_202681[[#This Row],[ASESOR_CRR]],_xlfn._xlws.FILTER(PLANTILLA[[ASESOR]:[FECHA DE CESE]],PLANTILLA[FECHA]=_xlfn.CONCAT($M$3,"_",_xlfn.IFS($N$3="ENERO","1",$N$3="FEBRERO","2",$N$3="MARZO","3",$N$3="ABRIL","4",$N$3="MAYO","5",$N$3="JUNIO","6",$N$3="JULIO","7",$N$3="AGOSTO","8",$N$3="SETIEMBRE","9",$N$3="OCTUBRE","10",$N$3="NOVIEMBRE","11",$N$3="DICIEMBRE","12"))),6,0),"")</f>
        <v>45334</v>
      </c>
      <c r="J9" s="60" t="str" cm="1">
        <f t="array" ref="J9">IFERROR(VLOOKUP(D1_MAYO_202681[[#This Row],[ASESOR_CRR]],_xlfn._xlws.FILTER(PLANTILLA[[ASESOR]:[FECHA DE CESE]],PLANTILLA[FECHA]=_xlfn.CONCAT($M$3,"_",_xlfn.IFS($N$3="ENERO","1",$N$3="FEBRERO","2",$N$3="MARZO","3",$N$3="ABRIL","4",$N$3="MAYO","5",$N$3="JUNIO","6",$N$3="JULIO","7",$N$3="AGOSTO","8",$N$3="SETIEMBRE","9",$N$3="OCTUBRE","10",$N$3="NOVIEMBRE","11",$N$3="DICIEMBRE","12"))),4,0),"")</f>
        <v>CALL</v>
      </c>
      <c r="K9" s="60" t="str" cm="1">
        <f t="array" ref="K9">IFERROR(VLOOKUP(D1_MAYO_202681[[#This Row],[ASESOR_CRR]],_xlfn._xlws.FILTER(PLANTILLA[[ASESOR]:[FECHA DE CESE]],PLANTILLA[FECHA]=_xlfn.CONCAT($M$3,"_",_xlfn.IFS($N$3="ENERO","1",$N$3="FEBRERO","2",$N$3="MARZO","3",$N$3="ABRIL","4",$N$3="MAYO","5",$N$3="JUNIO","6",$N$3="JULIO","7",$N$3="AGOSTO","8",$N$3="SETIEMBRE","9",$N$3="OCTUBRE","10",$N$3="NOVIEMBRE","11",$N$3="DICIEMBRE","12"))),8,0),"")</f>
        <v>S1</v>
      </c>
      <c r="L9" s="55"/>
      <c r="M9" s="5">
        <f>DATA_MAYO_202684[[#This Row],[RECUPERO]]/DATA_MAYO_202684[[#This Row],[META]]</f>
        <v>0.8530201342281879</v>
      </c>
      <c r="N9" s="5">
        <f>6-ROUNDUP(_xlfn.RANK.EQ(DATA_MAYO_202684[[#This Row],[AL_AC]],DATA_MAYO_202684[AL_AC],0)/(COUNTA(DATA_MAYO_202684[AL_AC])/5),0)</f>
        <v>3</v>
      </c>
      <c r="O9" s="54" t="str">
        <f>IFERROR(VLOOKUP(DATA_MAYO_202684[[#This Row],[ASER_]],$B:$G,4,0),"")</f>
        <v>LEONOR</v>
      </c>
      <c r="P9" s="6">
        <f>SUM(DATA_MAYO_202684[[#This Row],[2]:[31]])</f>
        <v>38130</v>
      </c>
      <c r="Q9" s="6">
        <f>VLOOKUP(DATA_MAYO_202684[[#This Row],[ASER_]],D1_MAYO_202681[[ASESOR_CRR]:[META]],2,0)</f>
        <v>44700</v>
      </c>
      <c r="R9" t="s">
        <v>18</v>
      </c>
      <c r="U9">
        <v>350</v>
      </c>
      <c r="V9">
        <v>2700</v>
      </c>
      <c r="W9">
        <v>3000</v>
      </c>
      <c r="X9">
        <v>5800</v>
      </c>
      <c r="AF9">
        <v>3300</v>
      </c>
      <c r="AJ9">
        <v>500</v>
      </c>
      <c r="AM9">
        <v>4500</v>
      </c>
      <c r="AQ9">
        <v>6300</v>
      </c>
      <c r="AR9">
        <v>6000</v>
      </c>
      <c r="AS9">
        <v>2200</v>
      </c>
      <c r="AT9">
        <v>1625</v>
      </c>
      <c r="AU9">
        <v>855</v>
      </c>
      <c r="AV9">
        <v>1000</v>
      </c>
      <c r="AW9" s="54" t="str" cm="1">
        <f t="array" ref="AW9">IFERROR(VLOOKUP(DATA_MAYO_202684[[#This Row],[ASER_]],_xlfn._xlws.FILTER(PLANTILLA[[ASESOR]:[FECHA DE CESE]],PLANTILLA[FECHA]=_xlfn.CONCAT($M$3,"_",_xlfn.IFS($N$3="ENERO","1",$N$3="FEBRERO","2",$N$3="MARZO","3",$N$3="ABRIL","4",$N$3="MAYO","5",$N$3="JUNIO","6",$N$3="JULIO","7",$N$3="AGOSTO","8",$N$3="SETIEMBRE","9",$N$3="OCTUBRE","10",$N$3="NOVIEMBRE","11",$N$3="DICIEMBRE","12"))),8,0),"")</f>
        <v>S1</v>
      </c>
      <c r="AY9" s="10">
        <f>SUMIFS(TablaMeta[Meta_Equipo],TablaMeta[CONCAT],$M$3&amp;$N$3&amp;DITE_MAYO_202685[[#This Row],[SUPER]])</f>
        <v>384414</v>
      </c>
      <c r="AZ9" s="10">
        <f>MAX(DITE_MAYO_202685[[#This Row],[SUPER]:[CARTERA]])</f>
        <v>355023.8</v>
      </c>
      <c r="BA9" s="16">
        <f>IFERROR(DITE_MAYO_202685[[#This Row],[RECUPERO SUPERVISOR]]/DITE_MAYO_202685[[#This Row],[META SUPER]],"")</f>
        <v>0.92354544839678054</v>
      </c>
      <c r="BB9" s="10" t="s">
        <v>3</v>
      </c>
      <c r="BC9" s="46"/>
      <c r="BD9" s="46">
        <v>0</v>
      </c>
      <c r="BE9" s="46">
        <v>7553.8</v>
      </c>
      <c r="BF9" s="46">
        <v>27065.8</v>
      </c>
      <c r="BG9" s="46">
        <v>51000.800000000003</v>
      </c>
      <c r="BH9" s="46">
        <v>57178.8</v>
      </c>
      <c r="BI9" s="46">
        <v>63253.8</v>
      </c>
      <c r="BJ9" s="46">
        <v>63543.8</v>
      </c>
      <c r="BK9" s="46">
        <v>63955.8</v>
      </c>
      <c r="BL9" s="46">
        <v>80859.8</v>
      </c>
      <c r="BM9" s="46">
        <v>83880.800000000003</v>
      </c>
      <c r="BN9" s="46">
        <v>90625.8</v>
      </c>
      <c r="BO9" s="46">
        <v>107715.8</v>
      </c>
      <c r="BP9" s="46">
        <v>112827.8</v>
      </c>
      <c r="BQ9" s="46">
        <v>113677.8</v>
      </c>
      <c r="BR9" s="46">
        <v>113677.8</v>
      </c>
      <c r="BS9" s="46">
        <v>134127.79999999999</v>
      </c>
      <c r="BT9" s="46">
        <v>143555.79999999999</v>
      </c>
      <c r="BU9" s="46">
        <v>171539.8</v>
      </c>
      <c r="BV9" s="46">
        <v>190529.8</v>
      </c>
      <c r="BW9" s="46">
        <v>206754.8</v>
      </c>
      <c r="BX9" s="46">
        <v>207134.8</v>
      </c>
      <c r="BY9" s="46">
        <v>207134.8</v>
      </c>
      <c r="BZ9" s="46">
        <v>225196.79999999999</v>
      </c>
      <c r="CA9" s="46">
        <v>272696.8</v>
      </c>
      <c r="CB9" s="46">
        <v>283266.8</v>
      </c>
      <c r="CC9" s="46">
        <v>301309.8</v>
      </c>
      <c r="CD9" s="46">
        <v>346952.8</v>
      </c>
      <c r="CE9" s="46">
        <v>354023.8</v>
      </c>
      <c r="CF9" s="46">
        <v>355023.8</v>
      </c>
      <c r="CG9" s="10" t="s">
        <v>209</v>
      </c>
      <c r="CI9" t="s">
        <v>3</v>
      </c>
      <c r="CJ9" t="s">
        <v>2</v>
      </c>
      <c r="CK9" t="s">
        <v>3</v>
      </c>
      <c r="CL9" t="s">
        <v>3</v>
      </c>
      <c r="CM9" t="s">
        <v>3</v>
      </c>
      <c r="CO9" t="s">
        <v>636</v>
      </c>
      <c r="CP9" t="s">
        <v>7</v>
      </c>
      <c r="CQ9" t="s">
        <v>18</v>
      </c>
      <c r="CR9">
        <v>46149</v>
      </c>
      <c r="CS9">
        <v>1</v>
      </c>
      <c r="CT9">
        <v>1</v>
      </c>
      <c r="CV9">
        <v>1</v>
      </c>
      <c r="CX9">
        <v>2.4074074074074076E-3</v>
      </c>
      <c r="CY9">
        <v>2.4074074074074076E-3</v>
      </c>
      <c r="CZ9">
        <v>0.23184027777777777</v>
      </c>
      <c r="DA9">
        <v>0.12172453703703703</v>
      </c>
      <c r="DB9">
        <v>143</v>
      </c>
      <c r="DC9">
        <v>316</v>
      </c>
      <c r="DD9">
        <v>17</v>
      </c>
      <c r="DE9" t="s">
        <v>670</v>
      </c>
      <c r="DF9">
        <v>30445</v>
      </c>
      <c r="DG9">
        <v>0.11890000000000001</v>
      </c>
      <c r="DH9">
        <v>3</v>
      </c>
      <c r="DI9">
        <v>0.17649999999999999</v>
      </c>
      <c r="DJ9">
        <v>6600</v>
      </c>
      <c r="DK9">
        <v>2200</v>
      </c>
      <c r="DL9">
        <v>5800</v>
      </c>
      <c r="DM9">
        <v>0.87880000000000003</v>
      </c>
      <c r="DN9">
        <v>0.1666</v>
      </c>
      <c r="DO9">
        <v>100</v>
      </c>
      <c r="DP9">
        <v>2900</v>
      </c>
    </row>
    <row r="10" spans="1:120" x14ac:dyDescent="0.25">
      <c r="A10" s="34" t="str" cm="1">
        <f t="array" ref="A10">IFERROR(VLOOKUP(D1_MAYO_202681[[#This Row],[ASESOR_CRR]],_xlfn._xlws.FILTER(PLANTILLA[[ASESOR]:[FECHA DE CESE]],PLANTILLA[FECHA]=_xlfn.CONCAT($M$3,"_",_xlfn.IFS($N$3="ENERO","1",$N$3="FEBRERO","2",$N$3="MARZO","3",$N$3="ABRIL","4",$N$3="MAYO","5",$N$3="JUNIO","6",$N$3="JULIO","7",$N$3="AGOSTO","8",$N$3="SETIEMBRE","9",$N$3="OCTUBRE","10",$N$3="NOVIEMBRE","11",$N$3="DICIEMBRE","12"))),3,0),"")</f>
        <v>JORGE</v>
      </c>
      <c r="B10" s="34" t="str" cm="1">
        <f t="array" ref="B10">TRIM(IFERROR(_xlfn.IFS(D1_MAYO_202681[[#This Row],[ASESOR]]="ELVIS GUERRA","ELVIS GUERRERA",D1_MAYO_202681[[#This Row],[ASESOR]]="GENESIS VICUÑA","GENESIS VICUNA",D1_MAYO_202681[[#This Row],[ASESOR]]="JENY QUIÑONES","JENY QUINONES",D1_MAYO_202681[[#This Row],[ASESOR]]="NICOLE CAURURO","NICOLE CAURURO"),D1_MAYO_202681[[#This Row],[ASESOR]]))</f>
        <v>EVELY TENORIO</v>
      </c>
      <c r="C10" s="34" cm="1">
        <f t="array" ref="C10">_xlfn.XLOOKUP(1,(TablaMeta[CONCAT]=$M$3&amp;$N$3&amp;D1_MAYO_202681[[#This Row],[SUPER]])*(TablaMeta[SEGG]=D1_MAYO_202681[[#This Row],[SEGMENTO]]),TablaMeta[Meta_Asesor])</f>
        <v>44700</v>
      </c>
      <c r="D10" s="35">
        <f>IF(D1_MAYO_202681[[#This Row],[RECUPERO]]="VACACIONES","VACACIONES",IFERROR(D1_MAYO_202681[[#This Row],[RECUPERO]]/D1_MAYO_202681[[#This Row],[META]],""))</f>
        <v>1.1412498881431767</v>
      </c>
      <c r="E10" s="35" t="str">
        <f>D1_MAYO_202681[[#This Row],[SUPER]]</f>
        <v>JORGE</v>
      </c>
      <c r="F10" s="34" t="s">
        <v>22</v>
      </c>
      <c r="G10" s="36">
        <v>51013.869999999995</v>
      </c>
      <c r="H10" s="34" cm="1">
        <f t="array" ref="H10">IFERROR(VLOOKUP(D1_MAYO_202681[[#This Row],[ASESOR_CRR]],_xlfn._xlws.FILTER(PLANTILLA[[ASESOR]:[FECHA DE CESE]],PLANTILLA[FECHA]=_xlfn.CONCAT($M$3,"_",_xlfn.IFS($N$3="ENERO","1",$N$3="FEBRERO","2",$N$3="MARZO","3",$N$3="ABRIL","4",$N$3="MAYO","5",$N$3="JUNIO","6",$N$3="JULIO","7",$N$3="AGOSTO","8",$N$3="SETIEMBRE","9",$N$3="OCTUBRE","10",$N$3="NOVIEMBRE","11",$N$3="DICIEMBRE","12"))),2,0),"")</f>
        <v>70551168</v>
      </c>
      <c r="I10" s="60" cm="1">
        <f t="array" ref="I10">IFERROR(VLOOKUP(D1_MAYO_202681[[#This Row],[ASESOR_CRR]],_xlfn._xlws.FILTER(PLANTILLA[[ASESOR]:[FECHA DE CESE]],PLANTILLA[FECHA]=_xlfn.CONCAT($M$3,"_",_xlfn.IFS($N$3="ENERO","1",$N$3="FEBRERO","2",$N$3="MARZO","3",$N$3="ABRIL","4",$N$3="MAYO","5",$N$3="JUNIO","6",$N$3="JULIO","7",$N$3="AGOSTO","8",$N$3="SETIEMBRE","9",$N$3="OCTUBRE","10",$N$3="NOVIEMBRE","11",$N$3="DICIEMBRE","12"))),6,0),"")</f>
        <v>45295</v>
      </c>
      <c r="J10" s="60" t="str" cm="1">
        <f t="array" ref="J10">IFERROR(VLOOKUP(D1_MAYO_202681[[#This Row],[ASESOR_CRR]],_xlfn._xlws.FILTER(PLANTILLA[[ASESOR]:[FECHA DE CESE]],PLANTILLA[FECHA]=_xlfn.CONCAT($M$3,"_",_xlfn.IFS($N$3="ENERO","1",$N$3="FEBRERO","2",$N$3="MARZO","3",$N$3="ABRIL","4",$N$3="MAYO","5",$N$3="JUNIO","6",$N$3="JULIO","7",$N$3="AGOSTO","8",$N$3="SETIEMBRE","9",$N$3="OCTUBRE","10",$N$3="NOVIEMBRE","11",$N$3="DICIEMBRE","12"))),4,0),"")</f>
        <v>CALL</v>
      </c>
      <c r="K10" s="60" t="str" cm="1">
        <f t="array" ref="K10">IFERROR(VLOOKUP(D1_MAYO_202681[[#This Row],[ASESOR_CRR]],_xlfn._xlws.FILTER(PLANTILLA[[ASESOR]:[FECHA DE CESE]],PLANTILLA[FECHA]=_xlfn.CONCAT($M$3,"_",_xlfn.IFS($N$3="ENERO","1",$N$3="FEBRERO","2",$N$3="MARZO","3",$N$3="ABRIL","4",$N$3="MAYO","5",$N$3="JUNIO","6",$N$3="JULIO","7",$N$3="AGOSTO","8",$N$3="SETIEMBRE","9",$N$3="OCTUBRE","10",$N$3="NOVIEMBRE","11",$N$3="DICIEMBRE","12"))),8,0),"")</f>
        <v>S1</v>
      </c>
      <c r="L10" s="55"/>
      <c r="M10" s="5">
        <f>DATA_MAYO_202684[[#This Row],[RECUPERO]]/DATA_MAYO_202684[[#This Row],[META]]</f>
        <v>0.8433506493506493</v>
      </c>
      <c r="N10" s="5">
        <f>6-ROUNDUP(_xlfn.RANK.EQ(DATA_MAYO_202684[[#This Row],[AL_AC]],DATA_MAYO_202684[AL_AC],0)/(COUNTA(DATA_MAYO_202684[AL_AC])/5),0)</f>
        <v>3</v>
      </c>
      <c r="O10" s="54" t="str">
        <f>IFERROR(VLOOKUP(DATA_MAYO_202684[[#This Row],[ASER_]],$B:$G,4,0),"")</f>
        <v>SANDY</v>
      </c>
      <c r="P10" s="6">
        <f>SUM(DATA_MAYO_202684[[#This Row],[2]:[31]])</f>
        <v>32469</v>
      </c>
      <c r="Q10" s="6">
        <f>VLOOKUP(DATA_MAYO_202684[[#This Row],[ASER_]],D1_MAYO_202681[[ASESOR_CRR]:[META]],2,0)</f>
        <v>38500</v>
      </c>
      <c r="R10" t="s">
        <v>58</v>
      </c>
      <c r="U10">
        <v>3100</v>
      </c>
      <c r="V10">
        <v>100</v>
      </c>
      <c r="Z10">
        <v>290</v>
      </c>
      <c r="AB10">
        <v>1250</v>
      </c>
      <c r="AF10">
        <v>2500</v>
      </c>
      <c r="AI10">
        <v>200</v>
      </c>
      <c r="AJ10">
        <v>150</v>
      </c>
      <c r="AK10">
        <v>3000</v>
      </c>
      <c r="AL10">
        <v>600</v>
      </c>
      <c r="AM10">
        <v>200</v>
      </c>
      <c r="AP10">
        <v>3200</v>
      </c>
      <c r="AQ10">
        <v>1000</v>
      </c>
      <c r="AR10">
        <v>4000</v>
      </c>
      <c r="AS10">
        <v>9313</v>
      </c>
      <c r="AU10">
        <v>3566</v>
      </c>
      <c r="AW10" s="54" t="str" cm="1">
        <f t="array" ref="AW10">IFERROR(VLOOKUP(DATA_MAYO_202684[[#This Row],[ASER_]],_xlfn._xlws.FILTER(PLANTILLA[[ASESOR]:[FECHA DE CESE]],PLANTILLA[FECHA]=_xlfn.CONCAT($M$3,"_",_xlfn.IFS($N$3="ENERO","1",$N$3="FEBRERO","2",$N$3="MARZO","3",$N$3="ABRIL","4",$N$3="MAYO","5",$N$3="JUNIO","6",$N$3="JULIO","7",$N$3="AGOSTO","8",$N$3="SETIEMBRE","9",$N$3="OCTUBRE","10",$N$3="NOVIEMBRE","11",$N$3="DICIEMBRE","12"))),8,0),"")</f>
        <v>S0</v>
      </c>
      <c r="AY10" s="10">
        <f>SUMIFS(TablaMeta[Meta_Equipo],TablaMeta[CONCAT],$M$3&amp;$N$3&amp;DITE_MAYO_202685[[#This Row],[SUPER]])</f>
        <v>429088</v>
      </c>
      <c r="AZ10" s="10">
        <f>MAX(DITE_MAYO_202685[[#This Row],[SUPER]:[CARTERA]])</f>
        <v>350806.17</v>
      </c>
      <c r="BA10" s="16">
        <f>IFERROR(DITE_MAYO_202685[[#This Row],[RECUPERO SUPERVISOR]]/DITE_MAYO_202685[[#This Row],[META SUPER]],"")</f>
        <v>0.81756229491386379</v>
      </c>
      <c r="BB10" s="11" t="s">
        <v>6</v>
      </c>
      <c r="BC10" s="46"/>
      <c r="BD10" s="46">
        <v>0</v>
      </c>
      <c r="BE10" s="46">
        <v>8950</v>
      </c>
      <c r="BF10" s="46">
        <v>14935</v>
      </c>
      <c r="BG10" s="46">
        <v>17405</v>
      </c>
      <c r="BH10" s="46">
        <v>38890</v>
      </c>
      <c r="BI10" s="46">
        <v>46695</v>
      </c>
      <c r="BJ10" s="46">
        <v>47075</v>
      </c>
      <c r="BK10" s="46">
        <v>47075</v>
      </c>
      <c r="BL10" s="46">
        <v>72900</v>
      </c>
      <c r="BM10" s="46">
        <v>94105</v>
      </c>
      <c r="BN10" s="46">
        <v>108901.17</v>
      </c>
      <c r="BO10" s="46">
        <v>122751.17</v>
      </c>
      <c r="BP10" s="46">
        <v>151106.16999999998</v>
      </c>
      <c r="BQ10" s="46">
        <v>151416.16999999998</v>
      </c>
      <c r="BR10" s="46">
        <v>151416.16999999998</v>
      </c>
      <c r="BS10" s="46">
        <v>159586.16999999998</v>
      </c>
      <c r="BT10" s="46">
        <v>172116.16999999998</v>
      </c>
      <c r="BU10" s="46">
        <v>179194.16999999998</v>
      </c>
      <c r="BV10" s="46">
        <v>186774.16999999998</v>
      </c>
      <c r="BW10" s="46">
        <v>204924.16999999998</v>
      </c>
      <c r="BX10" s="46">
        <v>205534.16999999998</v>
      </c>
      <c r="BY10" s="46">
        <v>205534.16999999998</v>
      </c>
      <c r="BZ10" s="46">
        <v>213174.16999999998</v>
      </c>
      <c r="CA10" s="46">
        <v>246174.16999999998</v>
      </c>
      <c r="CB10" s="46">
        <v>253770.16999999998</v>
      </c>
      <c r="CC10" s="46">
        <v>264530.17</v>
      </c>
      <c r="CD10" s="46">
        <v>325795.17</v>
      </c>
      <c r="CE10" s="46">
        <v>350139.17</v>
      </c>
      <c r="CF10" s="46">
        <v>350806.17</v>
      </c>
      <c r="CG10" s="11" t="s">
        <v>209</v>
      </c>
      <c r="CI10" t="s">
        <v>6</v>
      </c>
      <c r="CJ10" t="s">
        <v>6</v>
      </c>
      <c r="CK10" t="s">
        <v>6</v>
      </c>
      <c r="CL10" t="s">
        <v>6</v>
      </c>
      <c r="CM10" t="s">
        <v>6</v>
      </c>
      <c r="CO10" t="s">
        <v>636</v>
      </c>
      <c r="CP10" t="s">
        <v>7</v>
      </c>
      <c r="CQ10" t="s">
        <v>18</v>
      </c>
      <c r="CR10">
        <v>46155</v>
      </c>
      <c r="CS10">
        <v>1</v>
      </c>
      <c r="CT10">
        <v>1</v>
      </c>
      <c r="CV10">
        <v>1</v>
      </c>
      <c r="CX10">
        <v>0</v>
      </c>
      <c r="CY10">
        <v>0</v>
      </c>
      <c r="CZ10">
        <v>0.170625</v>
      </c>
      <c r="DA10">
        <v>0.14782407407407408</v>
      </c>
      <c r="DB10">
        <v>138</v>
      </c>
      <c r="DC10">
        <v>268</v>
      </c>
      <c r="DD10">
        <v>20</v>
      </c>
      <c r="DE10">
        <v>1.3</v>
      </c>
      <c r="DF10">
        <v>22534</v>
      </c>
      <c r="DG10">
        <v>0.1449</v>
      </c>
      <c r="DO10">
        <v>100</v>
      </c>
    </row>
    <row r="11" spans="1:120" x14ac:dyDescent="0.25">
      <c r="A11" s="34" t="str" cm="1">
        <f t="array" ref="A11">IFERROR(VLOOKUP(D1_MAYO_202681[[#This Row],[ASESOR_CRR]],_xlfn._xlws.FILTER(PLANTILLA[[ASESOR]:[FECHA DE CESE]],PLANTILLA[FECHA]=_xlfn.CONCAT($M$3,"_",_xlfn.IFS($N$3="ENERO","1",$N$3="FEBRERO","2",$N$3="MARZO","3",$N$3="ABRIL","4",$N$3="MAYO","5",$N$3="JUNIO","6",$N$3="JULIO","7",$N$3="AGOSTO","8",$N$3="SETIEMBRE","9",$N$3="OCTUBRE","10",$N$3="NOVIEMBRE","11",$N$3="DICIEMBRE","12"))),3,0),"")</f>
        <v>JORGE</v>
      </c>
      <c r="B11" s="34" t="str" cm="1">
        <f t="array" ref="B11">TRIM(IFERROR(_xlfn.IFS(D1_MAYO_202681[[#This Row],[ASESOR]]="ELVIS GUERRA","ELVIS GUERRERA",D1_MAYO_202681[[#This Row],[ASESOR]]="GENESIS VICUÑA","GENESIS VICUNA",D1_MAYO_202681[[#This Row],[ASESOR]]="JENY QUIÑONES","JENY QUINONES",D1_MAYO_202681[[#This Row],[ASESOR]]="NICOLE CAURURO","NICOLE CAURURO"),D1_MAYO_202681[[#This Row],[ASESOR]]))</f>
        <v>VERONICA TASAYCO</v>
      </c>
      <c r="C11" s="34" cm="1">
        <f t="array" ref="C11">_xlfn.XLOOKUP(1,(TablaMeta[CONCAT]=$M$3&amp;$N$3&amp;D1_MAYO_202681[[#This Row],[SUPER]])*(TablaMeta[SEGG]=D1_MAYO_202681[[#This Row],[SEGMENTO]]),TablaMeta[Meta_Asesor])</f>
        <v>44700</v>
      </c>
      <c r="D11" s="35">
        <f>IF(D1_MAYO_202681[[#This Row],[RECUPERO]]="VACACIONES","VACACIONES",IFERROR(D1_MAYO_202681[[#This Row],[RECUPERO]]/D1_MAYO_202681[[#This Row],[META]],""))</f>
        <v>0.94208053691275173</v>
      </c>
      <c r="E11" s="35" t="str">
        <f>D1_MAYO_202681[[#This Row],[SUPER]]</f>
        <v>JORGE</v>
      </c>
      <c r="F11" t="s">
        <v>10</v>
      </c>
      <c r="G11" s="36">
        <v>42111</v>
      </c>
      <c r="H11" s="34" cm="1">
        <f t="array" ref="H11">IFERROR(VLOOKUP(D1_MAYO_202681[[#This Row],[ASESOR_CRR]],_xlfn._xlws.FILTER(PLANTILLA[[ASESOR]:[FECHA DE CESE]],PLANTILLA[FECHA]=_xlfn.CONCAT($M$3,"_",_xlfn.IFS($N$3="ENERO","1",$N$3="FEBRERO","2",$N$3="MARZO","3",$N$3="ABRIL","4",$N$3="MAYO","5",$N$3="JUNIO","6",$N$3="JULIO","7",$N$3="AGOSTO","8",$N$3="SETIEMBRE","9",$N$3="OCTUBRE","10",$N$3="NOVIEMBRE","11",$N$3="DICIEMBRE","12"))),2,0),"")</f>
        <v>40980108</v>
      </c>
      <c r="I11" s="60" cm="1">
        <f t="array" ref="I11">IFERROR(VLOOKUP(D1_MAYO_202681[[#This Row],[ASESOR_CRR]],_xlfn._xlws.FILTER(PLANTILLA[[ASESOR]:[FECHA DE CESE]],PLANTILLA[FECHA]=_xlfn.CONCAT($M$3,"_",_xlfn.IFS($N$3="ENERO","1",$N$3="FEBRERO","2",$N$3="MARZO","3",$N$3="ABRIL","4",$N$3="MAYO","5",$N$3="JUNIO","6",$N$3="JULIO","7",$N$3="AGOSTO","8",$N$3="SETIEMBRE","9",$N$3="OCTUBRE","10",$N$3="NOVIEMBRE","11",$N$3="DICIEMBRE","12"))),6,0),"")</f>
        <v>44704</v>
      </c>
      <c r="J11" s="60" t="str" cm="1">
        <f t="array" ref="J11">IFERROR(VLOOKUP(D1_MAYO_202681[[#This Row],[ASESOR_CRR]],_xlfn._xlws.FILTER(PLANTILLA[[ASESOR]:[FECHA DE CESE]],PLANTILLA[FECHA]=_xlfn.CONCAT($M$3,"_",_xlfn.IFS($N$3="ENERO","1",$N$3="FEBRERO","2",$N$3="MARZO","3",$N$3="ABRIL","4",$N$3="MAYO","5",$N$3="JUNIO","6",$N$3="JULIO","7",$N$3="AGOSTO","8",$N$3="SETIEMBRE","9",$N$3="OCTUBRE","10",$N$3="NOVIEMBRE","11",$N$3="DICIEMBRE","12"))),4,0),"")</f>
        <v>CALL</v>
      </c>
      <c r="K11" s="60" t="str" cm="1">
        <f t="array" ref="K11">IFERROR(VLOOKUP(D1_MAYO_202681[[#This Row],[ASESOR_CRR]],_xlfn._xlws.FILTER(PLANTILLA[[ASESOR]:[FECHA DE CESE]],PLANTILLA[FECHA]=_xlfn.CONCAT($M$3,"_",_xlfn.IFS($N$3="ENERO","1",$N$3="FEBRERO","2",$N$3="MARZO","3",$N$3="ABRIL","4",$N$3="MAYO","5",$N$3="JUNIO","6",$N$3="JULIO","7",$N$3="AGOSTO","8",$N$3="SETIEMBRE","9",$N$3="OCTUBRE","10",$N$3="NOVIEMBRE","11",$N$3="DICIEMBRE","12"))),8,0),"")</f>
        <v>S1</v>
      </c>
      <c r="L11" s="55"/>
      <c r="M11" s="5">
        <f>DATA_MAYO_202684[[#This Row],[RECUPERO]]/DATA_MAYO_202684[[#This Row],[META]]</f>
        <v>1.0237719298245613</v>
      </c>
      <c r="N11" s="5">
        <f>6-ROUNDUP(_xlfn.RANK.EQ(DATA_MAYO_202684[[#This Row],[AL_AC]],DATA_MAYO_202684[AL_AC],0)/(COUNTA(DATA_MAYO_202684[AL_AC])/5),0)</f>
        <v>4</v>
      </c>
      <c r="O11" s="54" t="str">
        <f>IFERROR(VLOOKUP(DATA_MAYO_202684[[#This Row],[ASER_]],$B:$G,4,0),"")</f>
        <v>LISELY</v>
      </c>
      <c r="P11" s="6">
        <f>SUM(DATA_MAYO_202684[[#This Row],[2]:[31]])</f>
        <v>23342</v>
      </c>
      <c r="Q11" s="6">
        <f>VLOOKUP(DATA_MAYO_202684[[#This Row],[ASER_]],D1_MAYO_202681[[ASESOR_CRR]:[META]],2,0)</f>
        <v>22800</v>
      </c>
      <c r="R11" t="s">
        <v>109</v>
      </c>
      <c r="AE11">
        <v>405</v>
      </c>
      <c r="AF11">
        <v>1400</v>
      </c>
      <c r="AH11">
        <v>2500</v>
      </c>
      <c r="AJ11">
        <v>273</v>
      </c>
      <c r="AL11">
        <v>802</v>
      </c>
      <c r="AP11">
        <v>802</v>
      </c>
      <c r="AQ11">
        <v>7800</v>
      </c>
      <c r="AR11">
        <v>3500</v>
      </c>
      <c r="AS11">
        <v>4100</v>
      </c>
      <c r="AT11">
        <v>1500</v>
      </c>
      <c r="AU11">
        <v>260</v>
      </c>
      <c r="AW11" s="54" t="str" cm="1">
        <f t="array" ref="AW11">IFERROR(VLOOKUP(DATA_MAYO_202684[[#This Row],[ASER_]],_xlfn._xlws.FILTER(PLANTILLA[[ASESOR]:[FECHA DE CESE]],PLANTILLA[FECHA]=_xlfn.CONCAT($M$3,"_",_xlfn.IFS($N$3="ENERO","1",$N$3="FEBRERO","2",$N$3="MARZO","3",$N$3="ABRIL","4",$N$3="MAYO","5",$N$3="JUNIO","6",$N$3="JULIO","7",$N$3="AGOSTO","8",$N$3="SETIEMBRE","9",$N$3="OCTUBRE","10",$N$3="NOVIEMBRE","11",$N$3="DICIEMBRE","12"))),8,0),"")</f>
        <v>S2-3-4 BANCO</v>
      </c>
      <c r="AY11" s="10">
        <f>SUMIFS(TablaMeta[Meta_Equipo],TablaMeta[CONCAT],$M$3&amp;$N$3&amp;DITE_MAYO_202685[[#This Row],[SUPER]])</f>
        <v>446424</v>
      </c>
      <c r="AZ11" s="10">
        <f>MAX(DITE_MAYO_202685[[#This Row],[SUPER]:[CARTERA]])</f>
        <v>384489.87</v>
      </c>
      <c r="BA11" s="16">
        <f>IFERROR(DITE_MAYO_202685[[#This Row],[RECUPERO SUPERVISOR]]/DITE_MAYO_202685[[#This Row],[META SUPER]],"")</f>
        <v>0.86126612816515236</v>
      </c>
      <c r="BB11" s="10" t="s">
        <v>2</v>
      </c>
      <c r="BC11" s="46">
        <v>1224</v>
      </c>
      <c r="BD11" s="46">
        <v>1924</v>
      </c>
      <c r="BE11" s="46">
        <v>6889</v>
      </c>
      <c r="BF11" s="46">
        <v>15589</v>
      </c>
      <c r="BG11" s="46">
        <v>51005</v>
      </c>
      <c r="BH11" s="46">
        <v>58705</v>
      </c>
      <c r="BI11" s="46">
        <v>66378.87</v>
      </c>
      <c r="BJ11" s="46">
        <v>66378.87</v>
      </c>
      <c r="BK11" s="46">
        <v>66378.87</v>
      </c>
      <c r="BL11" s="46">
        <v>81219.87</v>
      </c>
      <c r="BM11" s="46">
        <v>91894.87</v>
      </c>
      <c r="BN11" s="46">
        <v>106969.87</v>
      </c>
      <c r="BO11" s="46">
        <v>123460.87</v>
      </c>
      <c r="BP11" s="46">
        <v>144403.87</v>
      </c>
      <c r="BQ11" s="46">
        <v>146978.87</v>
      </c>
      <c r="BR11" s="46">
        <v>146978.87</v>
      </c>
      <c r="BS11" s="46">
        <v>159156.87</v>
      </c>
      <c r="BT11" s="46">
        <v>172122.87</v>
      </c>
      <c r="BU11" s="46">
        <v>181947.87</v>
      </c>
      <c r="BV11" s="46">
        <v>209356.87</v>
      </c>
      <c r="BW11" s="46">
        <v>222948.87</v>
      </c>
      <c r="BX11" s="46">
        <v>222948.87</v>
      </c>
      <c r="BY11" s="46">
        <v>223753.87</v>
      </c>
      <c r="BZ11" s="46">
        <v>243313.87</v>
      </c>
      <c r="CA11" s="46">
        <v>264665.87</v>
      </c>
      <c r="CB11" s="46">
        <v>278935.87</v>
      </c>
      <c r="CC11" s="46">
        <v>305439.87</v>
      </c>
      <c r="CD11" s="46">
        <v>356511.87</v>
      </c>
      <c r="CE11" s="46">
        <v>384307.87</v>
      </c>
      <c r="CF11" s="46">
        <v>384489.87</v>
      </c>
      <c r="CG11" s="10" t="s">
        <v>159</v>
      </c>
      <c r="CI11" t="s">
        <v>2</v>
      </c>
      <c r="CJ11" t="s">
        <v>3</v>
      </c>
      <c r="CK11" t="s">
        <v>2</v>
      </c>
      <c r="CL11" t="s">
        <v>2</v>
      </c>
      <c r="CM11" t="s">
        <v>2</v>
      </c>
      <c r="CO11" t="s">
        <v>636</v>
      </c>
      <c r="CP11" t="s">
        <v>7</v>
      </c>
      <c r="CQ11" t="s">
        <v>18</v>
      </c>
      <c r="CR11">
        <v>46162</v>
      </c>
      <c r="CS11">
        <v>1</v>
      </c>
      <c r="CT11">
        <v>1</v>
      </c>
      <c r="CV11">
        <v>1</v>
      </c>
      <c r="CX11">
        <v>1.7361111111111112E-4</v>
      </c>
      <c r="CY11">
        <v>1.7361111111111112E-4</v>
      </c>
      <c r="CZ11">
        <v>0.24234953703703704</v>
      </c>
      <c r="DA11">
        <v>0.13480324074074074</v>
      </c>
      <c r="DB11">
        <v>165</v>
      </c>
      <c r="DC11">
        <v>293</v>
      </c>
      <c r="DD11">
        <v>15</v>
      </c>
      <c r="DE11">
        <v>1.4</v>
      </c>
      <c r="DF11">
        <v>29929</v>
      </c>
      <c r="DG11">
        <v>9.0899999999999995E-2</v>
      </c>
      <c r="DO11">
        <v>100</v>
      </c>
    </row>
    <row r="12" spans="1:120" x14ac:dyDescent="0.25">
      <c r="A12" s="34" t="str" cm="1">
        <f t="array" ref="A12">IFERROR(VLOOKUP(D1_MAYO_202681[[#This Row],[ASESOR_CRR]],_xlfn._xlws.FILTER(PLANTILLA[[ASESOR]:[FECHA DE CESE]],PLANTILLA[FECHA]=_xlfn.CONCAT($M$3,"_",_xlfn.IFS($N$3="ENERO","1",$N$3="FEBRERO","2",$N$3="MARZO","3",$N$3="ABRIL","4",$N$3="MAYO","5",$N$3="JUNIO","6",$N$3="JULIO","7",$N$3="AGOSTO","8",$N$3="SETIEMBRE","9",$N$3="OCTUBRE","10",$N$3="NOVIEMBRE","11",$N$3="DICIEMBRE","12"))),3,0),"")</f>
        <v>JORGE</v>
      </c>
      <c r="B12" s="34" t="str" cm="1">
        <f t="array" ref="B12">TRIM(IFERROR(_xlfn.IFS(D1_MAYO_202681[[#This Row],[ASESOR]]="ELVIS GUERRA","ELVIS GUERRERA",D1_MAYO_202681[[#This Row],[ASESOR]]="GENESIS VICUÑA","GENESIS VICUNA",D1_MAYO_202681[[#This Row],[ASESOR]]="JENY QUIÑONES","JENY QUINONES",D1_MAYO_202681[[#This Row],[ASESOR]]="NICOLE CAURURO","NICOLE CAURURO"),D1_MAYO_202681[[#This Row],[ASESOR]]))</f>
        <v>MALORY MONTEBLANCO</v>
      </c>
      <c r="C12" s="34" cm="1">
        <f t="array" ref="C12">_xlfn.XLOOKUP(1,(TablaMeta[CONCAT]=$M$3&amp;$N$3&amp;D1_MAYO_202681[[#This Row],[SUPER]])*(TablaMeta[SEGG]=D1_MAYO_202681[[#This Row],[SEGMENTO]]),TablaMeta[Meta_Asesor])</f>
        <v>44700</v>
      </c>
      <c r="D12" s="35">
        <f>IF(D1_MAYO_202681[[#This Row],[RECUPERO]]="VACACIONES","VACACIONES",IFERROR(D1_MAYO_202681[[#This Row],[RECUPERO]]/D1_MAYO_202681[[#This Row],[META]],""))</f>
        <v>0.88145413870246081</v>
      </c>
      <c r="E12" s="35" t="str">
        <f>D1_MAYO_202681[[#This Row],[SUPER]]</f>
        <v>JORGE</v>
      </c>
      <c r="F12" t="s">
        <v>25</v>
      </c>
      <c r="G12" s="36">
        <v>39401</v>
      </c>
      <c r="H12" s="34" cm="1">
        <f t="array" ref="H12">IFERROR(VLOOKUP(D1_MAYO_202681[[#This Row],[ASESOR_CRR]],_xlfn._xlws.FILTER(PLANTILLA[[ASESOR]:[FECHA DE CESE]],PLANTILLA[FECHA]=_xlfn.CONCAT($M$3,"_",_xlfn.IFS($N$3="ENERO","1",$N$3="FEBRERO","2",$N$3="MARZO","3",$N$3="ABRIL","4",$N$3="MAYO","5",$N$3="JUNIO","6",$N$3="JULIO","7",$N$3="AGOSTO","8",$N$3="SETIEMBRE","9",$N$3="OCTUBRE","10",$N$3="NOVIEMBRE","11",$N$3="DICIEMBRE","12"))),2,0),"")</f>
        <v>72373931</v>
      </c>
      <c r="I12" s="60" cm="1">
        <f t="array" ref="I12">IFERROR(VLOOKUP(D1_MAYO_202681[[#This Row],[ASESOR_CRR]],_xlfn._xlws.FILTER(PLANTILLA[[ASESOR]:[FECHA DE CESE]],PLANTILLA[FECHA]=_xlfn.CONCAT($M$3,"_",_xlfn.IFS($N$3="ENERO","1",$N$3="FEBRERO","2",$N$3="MARZO","3",$N$3="ABRIL","4",$N$3="MAYO","5",$N$3="JUNIO","6",$N$3="JULIO","7",$N$3="AGOSTO","8",$N$3="SETIEMBRE","9",$N$3="OCTUBRE","10",$N$3="NOVIEMBRE","11",$N$3="DICIEMBRE","12"))),6,0),"")</f>
        <v>44818</v>
      </c>
      <c r="J12" s="60" t="str" cm="1">
        <f t="array" ref="J12">IFERROR(VLOOKUP(D1_MAYO_202681[[#This Row],[ASESOR_CRR]],_xlfn._xlws.FILTER(PLANTILLA[[ASESOR]:[FECHA DE CESE]],PLANTILLA[FECHA]=_xlfn.CONCAT($M$3,"_",_xlfn.IFS($N$3="ENERO","1",$N$3="FEBRERO","2",$N$3="MARZO","3",$N$3="ABRIL","4",$N$3="MAYO","5",$N$3="JUNIO","6",$N$3="JULIO","7",$N$3="AGOSTO","8",$N$3="SETIEMBRE","9",$N$3="OCTUBRE","10",$N$3="NOVIEMBRE","11",$N$3="DICIEMBRE","12"))),4,0),"")</f>
        <v>CALL</v>
      </c>
      <c r="K12" s="60" t="str" cm="1">
        <f t="array" ref="K12">IFERROR(VLOOKUP(D1_MAYO_202681[[#This Row],[ASESOR_CRR]],_xlfn._xlws.FILTER(PLANTILLA[[ASESOR]:[FECHA DE CESE]],PLANTILLA[FECHA]=_xlfn.CONCAT($M$3,"_",_xlfn.IFS($N$3="ENERO","1",$N$3="FEBRERO","2",$N$3="MARZO","3",$N$3="ABRIL","4",$N$3="MAYO","5",$N$3="JUNIO","6",$N$3="JULIO","7",$N$3="AGOSTO","8",$N$3="SETIEMBRE","9",$N$3="OCTUBRE","10",$N$3="NOVIEMBRE","11",$N$3="DICIEMBRE","12"))),8,0),"")</f>
        <v>S1</v>
      </c>
      <c r="L12" s="55"/>
      <c r="M12" s="5">
        <f>DATA_MAYO_202684[[#This Row],[RECUPERO]]/DATA_MAYO_202684[[#This Row],[META]]</f>
        <v>0.7966319910514541</v>
      </c>
      <c r="N12" s="5">
        <f>6-ROUNDUP(_xlfn.RANK.EQ(DATA_MAYO_202684[[#This Row],[AL_AC]],DATA_MAYO_202684[AL_AC],0)/(COUNTA(DATA_MAYO_202684[AL_AC])/5),0)</f>
        <v>3</v>
      </c>
      <c r="O12" s="54" t="str">
        <f>IFERROR(VLOOKUP(DATA_MAYO_202684[[#This Row],[ASER_]],$B:$G,4,0),"")</f>
        <v>LEONOR</v>
      </c>
      <c r="P12" s="6">
        <f>SUM(DATA_MAYO_202684[[#This Row],[2]:[31]])</f>
        <v>35609.449999999997</v>
      </c>
      <c r="Q12" s="6">
        <f>VLOOKUP(DATA_MAYO_202684[[#This Row],[ASER_]],D1_MAYO_202681[[ASESOR_CRR]:[META]],2,0)</f>
        <v>44700</v>
      </c>
      <c r="R12" t="s">
        <v>60</v>
      </c>
      <c r="S12">
        <v>570</v>
      </c>
      <c r="V12">
        <v>300</v>
      </c>
      <c r="W12">
        <v>8000</v>
      </c>
      <c r="X12">
        <v>1867</v>
      </c>
      <c r="AF12">
        <v>500</v>
      </c>
      <c r="AJ12">
        <v>300</v>
      </c>
      <c r="AL12">
        <v>8733</v>
      </c>
      <c r="AM12">
        <v>3116.45</v>
      </c>
      <c r="AO12">
        <v>700</v>
      </c>
      <c r="AQ12">
        <v>1600</v>
      </c>
      <c r="AS12">
        <v>636</v>
      </c>
      <c r="AT12">
        <v>8087</v>
      </c>
      <c r="AU12">
        <v>1200</v>
      </c>
      <c r="AW12" s="54" t="str" cm="1">
        <f t="array" ref="AW12">IFERROR(VLOOKUP(DATA_MAYO_202684[[#This Row],[ASER_]],_xlfn._xlws.FILTER(PLANTILLA[[ASESOR]:[FECHA DE CESE]],PLANTILLA[FECHA]=_xlfn.CONCAT($M$3,"_",_xlfn.IFS($N$3="ENERO","1",$N$3="FEBRERO","2",$N$3="MARZO","3",$N$3="ABRIL","4",$N$3="MAYO","5",$N$3="JUNIO","6",$N$3="JULIO","7",$N$3="AGOSTO","8",$N$3="SETIEMBRE","9",$N$3="OCTUBRE","10",$N$3="NOVIEMBRE","11",$N$3="DICIEMBRE","12"))),8,0),"")</f>
        <v>S1</v>
      </c>
      <c r="AY12" s="10">
        <f>SUMIFS(TablaMeta[Meta_Equipo],TablaMeta[CONCAT],$M$3&amp;$N$3&amp;DITE_MAYO_202685[[#This Row],[SUPER]])</f>
        <v>290167</v>
      </c>
      <c r="AZ12" s="10">
        <f>MAX(DITE_MAYO_202685[[#This Row],[SUPER]:[CARTERA]])</f>
        <v>240731</v>
      </c>
      <c r="BA12" s="16">
        <f>IFERROR(DITE_MAYO_202685[[#This Row],[RECUPERO SUPERVISOR]]/DITE_MAYO_202685[[#This Row],[META SUPER]],"")</f>
        <v>0.82962914459604298</v>
      </c>
      <c r="BB12" s="11" t="s">
        <v>604</v>
      </c>
      <c r="BC12" s="46"/>
      <c r="BD12" s="46">
        <v>0</v>
      </c>
      <c r="BE12" s="46">
        <v>11974</v>
      </c>
      <c r="BF12" s="46">
        <v>44399</v>
      </c>
      <c r="BG12" s="46">
        <v>58633</v>
      </c>
      <c r="BH12" s="46">
        <v>60883</v>
      </c>
      <c r="BI12" s="46">
        <v>77679</v>
      </c>
      <c r="BJ12" s="46">
        <v>77899</v>
      </c>
      <c r="BK12" s="46">
        <v>77899</v>
      </c>
      <c r="BL12" s="46">
        <v>79634</v>
      </c>
      <c r="BM12" s="46">
        <v>81704</v>
      </c>
      <c r="BN12" s="46">
        <v>86444</v>
      </c>
      <c r="BO12" s="46">
        <v>92299</v>
      </c>
      <c r="BP12" s="46">
        <v>99539</v>
      </c>
      <c r="BQ12" s="46">
        <v>100283</v>
      </c>
      <c r="BR12" s="46">
        <v>102783</v>
      </c>
      <c r="BS12" s="46">
        <v>110039</v>
      </c>
      <c r="BT12" s="46">
        <v>114892</v>
      </c>
      <c r="BU12" s="46">
        <v>123152</v>
      </c>
      <c r="BV12" s="46">
        <v>140804</v>
      </c>
      <c r="BW12" s="46">
        <v>152104</v>
      </c>
      <c r="BX12" s="46">
        <v>152454</v>
      </c>
      <c r="BY12" s="46">
        <v>152994</v>
      </c>
      <c r="BZ12" s="46">
        <v>163426</v>
      </c>
      <c r="CA12" s="46">
        <v>181154</v>
      </c>
      <c r="CB12" s="46">
        <v>193181</v>
      </c>
      <c r="CC12" s="46">
        <v>221047</v>
      </c>
      <c r="CD12" s="46">
        <v>231637</v>
      </c>
      <c r="CE12" s="46">
        <v>240731</v>
      </c>
      <c r="CF12" s="46">
        <v>240731</v>
      </c>
      <c r="CG12" s="11" t="s">
        <v>175</v>
      </c>
      <c r="CI12" t="s">
        <v>604</v>
      </c>
      <c r="CJ12" t="s">
        <v>124</v>
      </c>
      <c r="CK12" t="s">
        <v>7</v>
      </c>
      <c r="CL12" t="s">
        <v>7</v>
      </c>
      <c r="CM12" t="s">
        <v>604</v>
      </c>
      <c r="CO12" t="s">
        <v>636</v>
      </c>
      <c r="CP12" t="s">
        <v>7</v>
      </c>
      <c r="CQ12" t="s">
        <v>60</v>
      </c>
      <c r="CR12">
        <v>46148</v>
      </c>
      <c r="CS12">
        <v>1</v>
      </c>
      <c r="CT12">
        <v>1</v>
      </c>
      <c r="CV12">
        <v>1</v>
      </c>
      <c r="CX12">
        <v>1.8518518518518518E-4</v>
      </c>
      <c r="CY12">
        <v>1.8518518518518518E-4</v>
      </c>
      <c r="CZ12">
        <v>0.22231481481481483</v>
      </c>
      <c r="DA12">
        <v>7.1331018518518516E-2</v>
      </c>
      <c r="DB12">
        <v>133</v>
      </c>
      <c r="DC12">
        <v>211</v>
      </c>
      <c r="DD12">
        <v>11</v>
      </c>
      <c r="DE12" t="s">
        <v>671</v>
      </c>
      <c r="DF12">
        <v>20486</v>
      </c>
      <c r="DG12">
        <v>8.2699999999999996E-2</v>
      </c>
      <c r="DH12">
        <v>1</v>
      </c>
      <c r="DI12">
        <v>9.0899999999999995E-2</v>
      </c>
      <c r="DJ12">
        <v>8000</v>
      </c>
      <c r="DK12">
        <v>8000</v>
      </c>
      <c r="DL12">
        <v>8000</v>
      </c>
      <c r="DM12">
        <v>1</v>
      </c>
      <c r="DN12">
        <v>0.20050000000000001</v>
      </c>
      <c r="DO12">
        <v>100</v>
      </c>
      <c r="DP12">
        <v>8000</v>
      </c>
    </row>
    <row r="13" spans="1:120" x14ac:dyDescent="0.25">
      <c r="A13" s="34" t="str" cm="1">
        <f t="array" ref="A13">IFERROR(VLOOKUP(D1_MAYO_202681[[#This Row],[ASESOR_CRR]],_xlfn._xlws.FILTER(PLANTILLA[[ASESOR]:[FECHA DE CESE]],PLANTILLA[FECHA]=_xlfn.CONCAT($M$3,"_",_xlfn.IFS($N$3="ENERO","1",$N$3="FEBRERO","2",$N$3="MARZO","3",$N$3="ABRIL","4",$N$3="MAYO","5",$N$3="JUNIO","6",$N$3="JULIO","7",$N$3="AGOSTO","8",$N$3="SETIEMBRE","9",$N$3="OCTUBRE","10",$N$3="NOVIEMBRE","11",$N$3="DICIEMBRE","12"))),3,0),"")</f>
        <v>JORGE</v>
      </c>
      <c r="B13" s="34" t="str" cm="1">
        <f t="array" ref="B13">TRIM(IFERROR(_xlfn.IFS(D1_MAYO_202681[[#This Row],[ASESOR]]="ELVIS GUERRA","ELVIS GUERRERA",D1_MAYO_202681[[#This Row],[ASESOR]]="GENESIS VICUÑA","GENESIS VICUNA",D1_MAYO_202681[[#This Row],[ASESOR]]="JENY QUIÑONES","JENY QUINONES",D1_MAYO_202681[[#This Row],[ASESOR]]="NICOLE CAURURO","NICOLE CAURURO"),D1_MAYO_202681[[#This Row],[ASESOR]]))</f>
        <v>JHONATAN CHAVEZ</v>
      </c>
      <c r="C13" s="34" cm="1">
        <f t="array" ref="C13">_xlfn.XLOOKUP(1,(TablaMeta[CONCAT]=$M$3&amp;$N$3&amp;D1_MAYO_202681[[#This Row],[SUPER]])*(TablaMeta[SEGG]=D1_MAYO_202681[[#This Row],[SEGMENTO]]),TablaMeta[Meta_Asesor])</f>
        <v>44700</v>
      </c>
      <c r="D13" s="35">
        <f>IF(D1_MAYO_202681[[#This Row],[RECUPERO]]="VACACIONES","VACACIONES",IFERROR(D1_MAYO_202681[[#This Row],[RECUPERO]]/D1_MAYO_202681[[#This Row],[META]],""))</f>
        <v>0.85384787472035795</v>
      </c>
      <c r="E13" s="35" t="str">
        <f>D1_MAYO_202681[[#This Row],[SUPER]]</f>
        <v>JORGE</v>
      </c>
      <c r="F13" t="s">
        <v>65</v>
      </c>
      <c r="G13" s="36">
        <v>38167</v>
      </c>
      <c r="H13" s="34" cm="1">
        <f t="array" ref="H13">IFERROR(VLOOKUP(D1_MAYO_202681[[#This Row],[ASESOR_CRR]],_xlfn._xlws.FILTER(PLANTILLA[[ASESOR]:[FECHA DE CESE]],PLANTILLA[FECHA]=_xlfn.CONCAT($M$3,"_",_xlfn.IFS($N$3="ENERO","1",$N$3="FEBRERO","2",$N$3="MARZO","3",$N$3="ABRIL","4",$N$3="MAYO","5",$N$3="JUNIO","6",$N$3="JULIO","7",$N$3="AGOSTO","8",$N$3="SETIEMBRE","9",$N$3="OCTUBRE","10",$N$3="NOVIEMBRE","11",$N$3="DICIEMBRE","12"))),2,0),"")</f>
        <v>47659267</v>
      </c>
      <c r="I13" s="60" cm="1">
        <f t="array" ref="I13">IFERROR(VLOOKUP(D1_MAYO_202681[[#This Row],[ASESOR_CRR]],_xlfn._xlws.FILTER(PLANTILLA[[ASESOR]:[FECHA DE CESE]],PLANTILLA[FECHA]=_xlfn.CONCAT($M$3,"_",_xlfn.IFS($N$3="ENERO","1",$N$3="FEBRERO","2",$N$3="MARZO","3",$N$3="ABRIL","4",$N$3="MAYO","5",$N$3="JUNIO","6",$N$3="JULIO","7",$N$3="AGOSTO","8",$N$3="SETIEMBRE","9",$N$3="OCTUBRE","10",$N$3="NOVIEMBRE","11",$N$3="DICIEMBRE","12"))),6,0),"")</f>
        <v>45019</v>
      </c>
      <c r="J13" s="60" t="str" cm="1">
        <f t="array" ref="J13">IFERROR(VLOOKUP(D1_MAYO_202681[[#This Row],[ASESOR_CRR]],_xlfn._xlws.FILTER(PLANTILLA[[ASESOR]:[FECHA DE CESE]],PLANTILLA[FECHA]=_xlfn.CONCAT($M$3,"_",_xlfn.IFS($N$3="ENERO","1",$N$3="FEBRERO","2",$N$3="MARZO","3",$N$3="ABRIL","4",$N$3="MAYO","5",$N$3="JUNIO","6",$N$3="JULIO","7",$N$3="AGOSTO","8",$N$3="SETIEMBRE","9",$N$3="OCTUBRE","10",$N$3="NOVIEMBRE","11",$N$3="DICIEMBRE","12"))),4,0),"")</f>
        <v>CALL</v>
      </c>
      <c r="K13" s="60" t="str" cm="1">
        <f t="array" ref="K13">IFERROR(VLOOKUP(D1_MAYO_202681[[#This Row],[ASESOR_CRR]],_xlfn._xlws.FILTER(PLANTILLA[[ASESOR]:[FECHA DE CESE]],PLANTILLA[FECHA]=_xlfn.CONCAT($M$3,"_",_xlfn.IFS($N$3="ENERO","1",$N$3="FEBRERO","2",$N$3="MARZO","3",$N$3="ABRIL","4",$N$3="MAYO","5",$N$3="JUNIO","6",$N$3="JULIO","7",$N$3="AGOSTO","8",$N$3="SETIEMBRE","9",$N$3="OCTUBRE","10",$N$3="NOVIEMBRE","11",$N$3="DICIEMBRE","12"))),8,0),"")</f>
        <v>S1</v>
      </c>
      <c r="L13" s="55"/>
      <c r="M13" s="5">
        <f>DATA_MAYO_202684[[#This Row],[RECUPERO]]/DATA_MAYO_202684[[#This Row],[META]]</f>
        <v>0.61436363636363633</v>
      </c>
      <c r="N13" s="5">
        <f>6-ROUNDUP(_xlfn.RANK.EQ(DATA_MAYO_202684[[#This Row],[AL_AC]],DATA_MAYO_202684[AL_AC],0)/(COUNTA(DATA_MAYO_202684[AL_AC])/5),0)</f>
        <v>2</v>
      </c>
      <c r="O13" s="54" t="str">
        <f>IFERROR(VLOOKUP(DATA_MAYO_202684[[#This Row],[ASER_]],$B:$G,4,0),"")</f>
        <v>SANDY</v>
      </c>
      <c r="P13" s="6">
        <f>SUM(DATA_MAYO_202684[[#This Row],[2]:[31]])</f>
        <v>23653</v>
      </c>
      <c r="Q13" s="6">
        <f>VLOOKUP(DATA_MAYO_202684[[#This Row],[ASER_]],D1_MAYO_202681[[ASESOR_CRR]:[META]],2,0)</f>
        <v>38500</v>
      </c>
      <c r="R13" t="s">
        <v>85</v>
      </c>
      <c r="U13">
        <v>250</v>
      </c>
      <c r="V13">
        <v>700</v>
      </c>
      <c r="W13">
        <v>10000</v>
      </c>
      <c r="AB13">
        <v>270</v>
      </c>
      <c r="AC13">
        <v>280</v>
      </c>
      <c r="AF13">
        <v>170</v>
      </c>
      <c r="AI13">
        <v>300</v>
      </c>
      <c r="AJ13">
        <v>348</v>
      </c>
      <c r="AK13">
        <v>2785</v>
      </c>
      <c r="AM13">
        <v>2000</v>
      </c>
      <c r="AT13">
        <v>5550</v>
      </c>
      <c r="AU13">
        <v>1000</v>
      </c>
      <c r="AW13" s="54" t="str" cm="1">
        <f t="array" ref="AW13">IFERROR(VLOOKUP(DATA_MAYO_202684[[#This Row],[ASER_]],_xlfn._xlws.FILTER(PLANTILLA[[ASESOR]:[FECHA DE CESE]],PLANTILLA[FECHA]=_xlfn.CONCAT($M$3,"_",_xlfn.IFS($N$3="ENERO","1",$N$3="FEBRERO","2",$N$3="MARZO","3",$N$3="ABRIL","4",$N$3="MAYO","5",$N$3="JUNIO","6",$N$3="JULIO","7",$N$3="AGOSTO","8",$N$3="SETIEMBRE","9",$N$3="OCTUBRE","10",$N$3="NOVIEMBRE","11",$N$3="DICIEMBRE","12"))),8,0),"")</f>
        <v>S0</v>
      </c>
      <c r="AY13" s="10">
        <f>SUMIFS(TablaMeta[Meta_Equipo],TablaMeta[CONCAT],$M$3&amp;$N$3&amp;DITE_MAYO_202685[[#This Row],[SUPER]])</f>
        <v>446424</v>
      </c>
      <c r="AZ13" s="10">
        <f>MAX(DITE_MAYO_202685[[#This Row],[SUPER]:[CARTERA]])</f>
        <v>340543.95</v>
      </c>
      <c r="BA13" s="16">
        <f>IFERROR(DITE_MAYO_202685[[#This Row],[RECUPERO SUPERVISOR]]/DITE_MAYO_202685[[#This Row],[META SUPER]],"")</f>
        <v>0.76282625934089565</v>
      </c>
      <c r="BB13" s="10" t="s">
        <v>7</v>
      </c>
      <c r="BC13" s="46">
        <v>570</v>
      </c>
      <c r="BD13" s="45">
        <v>570</v>
      </c>
      <c r="BE13" s="46">
        <v>11923</v>
      </c>
      <c r="BF13" s="46">
        <v>23423</v>
      </c>
      <c r="BG13" s="46">
        <v>47243</v>
      </c>
      <c r="BH13" s="46">
        <v>62581</v>
      </c>
      <c r="BI13" s="46">
        <v>65001</v>
      </c>
      <c r="BJ13" s="46">
        <v>65301</v>
      </c>
      <c r="BK13" s="46">
        <v>65301</v>
      </c>
      <c r="BL13" s="46">
        <v>70701</v>
      </c>
      <c r="BM13" s="46">
        <v>81681</v>
      </c>
      <c r="BN13" s="46">
        <v>84069</v>
      </c>
      <c r="BO13" s="46">
        <v>85769</v>
      </c>
      <c r="BP13" s="46">
        <v>97399</v>
      </c>
      <c r="BQ13" s="46">
        <v>97627</v>
      </c>
      <c r="BR13" s="46">
        <v>97627</v>
      </c>
      <c r="BS13" s="45">
        <v>112227</v>
      </c>
      <c r="BT13" s="46">
        <v>126537</v>
      </c>
      <c r="BU13" s="46">
        <v>134587</v>
      </c>
      <c r="BV13" s="46">
        <v>145394</v>
      </c>
      <c r="BW13" s="45">
        <v>158110.45000000001</v>
      </c>
      <c r="BX13" s="46">
        <v>158798.45000000001</v>
      </c>
      <c r="BY13" s="46">
        <v>159498.45000000001</v>
      </c>
      <c r="BZ13" s="46">
        <v>162853.45000000001</v>
      </c>
      <c r="CA13" s="46">
        <v>192125.45</v>
      </c>
      <c r="CB13" s="46">
        <v>233525.45</v>
      </c>
      <c r="CC13" s="46">
        <v>254033.45</v>
      </c>
      <c r="CD13" s="46">
        <v>319477.45</v>
      </c>
      <c r="CE13" s="46">
        <v>339543.95</v>
      </c>
      <c r="CF13" s="46">
        <v>340543.95</v>
      </c>
      <c r="CG13" s="10" t="s">
        <v>159</v>
      </c>
      <c r="CI13" t="s">
        <v>7</v>
      </c>
      <c r="CJ13" t="s">
        <v>125</v>
      </c>
      <c r="CK13" t="s">
        <v>125</v>
      </c>
      <c r="CL13" t="s">
        <v>125</v>
      </c>
      <c r="CM13" t="s">
        <v>7</v>
      </c>
      <c r="CO13" t="s">
        <v>636</v>
      </c>
      <c r="CP13" t="s">
        <v>7</v>
      </c>
      <c r="CQ13" t="s">
        <v>60</v>
      </c>
      <c r="CR13">
        <v>46155</v>
      </c>
      <c r="CS13">
        <v>1</v>
      </c>
      <c r="CT13">
        <v>1</v>
      </c>
      <c r="CV13">
        <v>1</v>
      </c>
      <c r="CX13">
        <v>2.3148148148148147E-5</v>
      </c>
      <c r="CY13">
        <v>2.3148148148148147E-5</v>
      </c>
      <c r="CZ13">
        <v>0.1741087962962963</v>
      </c>
      <c r="DA13">
        <v>0.11233796296296296</v>
      </c>
      <c r="DB13">
        <v>126</v>
      </c>
      <c r="DC13">
        <v>168</v>
      </c>
      <c r="DD13">
        <v>20</v>
      </c>
      <c r="DE13">
        <v>1.85</v>
      </c>
      <c r="DF13">
        <v>16225</v>
      </c>
      <c r="DG13">
        <v>0.15870000000000001</v>
      </c>
      <c r="DO13">
        <v>100</v>
      </c>
    </row>
    <row r="14" spans="1:120" x14ac:dyDescent="0.25">
      <c r="A14" s="34" t="str" cm="1">
        <f t="array" ref="A14">IFERROR(VLOOKUP(D1_MAYO_202681[[#This Row],[ASESOR_CRR]],_xlfn._xlws.FILTER(PLANTILLA[[ASESOR]:[FECHA DE CESE]],PLANTILLA[FECHA]=_xlfn.CONCAT($M$3,"_",_xlfn.IFS($N$3="ENERO","1",$N$3="FEBRERO","2",$N$3="MARZO","3",$N$3="ABRIL","4",$N$3="MAYO","5",$N$3="JUNIO","6",$N$3="JULIO","7",$N$3="AGOSTO","8",$N$3="SETIEMBRE","9",$N$3="OCTUBRE","10",$N$3="NOVIEMBRE","11",$N$3="DICIEMBRE","12"))),3,0),"")</f>
        <v>JORGE</v>
      </c>
      <c r="B14" s="34" t="str" cm="1">
        <f t="array" ref="B14">TRIM(IFERROR(_xlfn.IFS(D1_MAYO_202681[[#This Row],[ASESOR]]="ELVIS GUERRA","ELVIS GUERRERA",D1_MAYO_202681[[#This Row],[ASESOR]]="GENESIS VICUÑA","GENESIS VICUNA",D1_MAYO_202681[[#This Row],[ASESOR]]="JENY QUIÑONES","JENY QUINONES",D1_MAYO_202681[[#This Row],[ASESOR]]="NICOLE CAURURO","NICOLE CAURURO"),D1_MAYO_202681[[#This Row],[ASESOR]]))</f>
        <v>HAROLD FLORES</v>
      </c>
      <c r="C14" s="34" cm="1">
        <f t="array" ref="C14">_xlfn.XLOOKUP(1,(TablaMeta[CONCAT]=$M$3&amp;$N$3&amp;D1_MAYO_202681[[#This Row],[SUPER]])*(TablaMeta[SEGG]=D1_MAYO_202681[[#This Row],[SEGMENTO]]),TablaMeta[Meta_Asesor])</f>
        <v>44700</v>
      </c>
      <c r="D14" s="35">
        <f>IF(D1_MAYO_202681[[#This Row],[RECUPERO]]="VACACIONES","VACACIONES",IFERROR(D1_MAYO_202681[[#This Row],[RECUPERO]]/D1_MAYO_202681[[#This Row],[META]],""))</f>
        <v>0.78812080536912754</v>
      </c>
      <c r="E14" s="35" t="str">
        <f>D1_MAYO_202681[[#This Row],[SUPER]]</f>
        <v>JORGE</v>
      </c>
      <c r="F14" t="s">
        <v>42</v>
      </c>
      <c r="G14" s="36">
        <v>35229</v>
      </c>
      <c r="H14" s="34" cm="1">
        <f t="array" ref="H14">IFERROR(VLOOKUP(D1_MAYO_202681[[#This Row],[ASESOR_CRR]],_xlfn._xlws.FILTER(PLANTILLA[[ASESOR]:[FECHA DE CESE]],PLANTILLA[FECHA]=_xlfn.CONCAT($M$3,"_",_xlfn.IFS($N$3="ENERO","1",$N$3="FEBRERO","2",$N$3="MARZO","3",$N$3="ABRIL","4",$N$3="MAYO","5",$N$3="JUNIO","6",$N$3="JULIO","7",$N$3="AGOSTO","8",$N$3="SETIEMBRE","9",$N$3="OCTUBRE","10",$N$3="NOVIEMBRE","11",$N$3="DICIEMBRE","12"))),2,0),"")</f>
        <v>73725129</v>
      </c>
      <c r="I14" s="60" cm="1">
        <f t="array" ref="I14">IFERROR(VLOOKUP(D1_MAYO_202681[[#This Row],[ASESOR_CRR]],_xlfn._xlws.FILTER(PLANTILLA[[ASESOR]:[FECHA DE CESE]],PLANTILLA[FECHA]=_xlfn.CONCAT($M$3,"_",_xlfn.IFS($N$3="ENERO","1",$N$3="FEBRERO","2",$N$3="MARZO","3",$N$3="ABRIL","4",$N$3="MAYO","5",$N$3="JUNIO","6",$N$3="JULIO","7",$N$3="AGOSTO","8",$N$3="SETIEMBRE","9",$N$3="OCTUBRE","10",$N$3="NOVIEMBRE","11",$N$3="DICIEMBRE","12"))),6,0),"")</f>
        <v>45398</v>
      </c>
      <c r="J14" s="60" t="str" cm="1">
        <f t="array" ref="J14">IFERROR(VLOOKUP(D1_MAYO_202681[[#This Row],[ASESOR_CRR]],_xlfn._xlws.FILTER(PLANTILLA[[ASESOR]:[FECHA DE CESE]],PLANTILLA[FECHA]=_xlfn.CONCAT($M$3,"_",_xlfn.IFS($N$3="ENERO","1",$N$3="FEBRERO","2",$N$3="MARZO","3",$N$3="ABRIL","4",$N$3="MAYO","5",$N$3="JUNIO","6",$N$3="JULIO","7",$N$3="AGOSTO","8",$N$3="SETIEMBRE","9",$N$3="OCTUBRE","10",$N$3="NOVIEMBRE","11",$N$3="DICIEMBRE","12"))),4,0),"")</f>
        <v>CALL</v>
      </c>
      <c r="K14" s="60" t="str" cm="1">
        <f t="array" ref="K14">IFERROR(VLOOKUP(D1_MAYO_202681[[#This Row],[ASESOR_CRR]],_xlfn._xlws.FILTER(PLANTILLA[[ASESOR]:[FECHA DE CESE]],PLANTILLA[FECHA]=_xlfn.CONCAT($M$3,"_",_xlfn.IFS($N$3="ENERO","1",$N$3="FEBRERO","2",$N$3="MARZO","3",$N$3="ABRIL","4",$N$3="MAYO","5",$N$3="JUNIO","6",$N$3="JULIO","7",$N$3="AGOSTO","8",$N$3="SETIEMBRE","9",$N$3="OCTUBRE","10",$N$3="NOVIEMBRE","11",$N$3="DICIEMBRE","12"))),8,0),"")</f>
        <v>S1</v>
      </c>
      <c r="L14" s="55"/>
      <c r="M14" s="5">
        <f>DATA_MAYO_202684[[#This Row],[RECUPERO]]/DATA_MAYO_202684[[#This Row],[META]]</f>
        <v>0.12168831168831169</v>
      </c>
      <c r="N14" s="5">
        <f>6-ROUNDUP(_xlfn.RANK.EQ(DATA_MAYO_202684[[#This Row],[AL_AC]],DATA_MAYO_202684[AL_AC],0)/(COUNTA(DATA_MAYO_202684[AL_AC])/5),0)</f>
        <v>1</v>
      </c>
      <c r="O14" s="54" t="str">
        <f>IFERROR(VLOOKUP(DATA_MAYO_202684[[#This Row],[ASER_]],$B:$G,4,0),"")</f>
        <v>SANDY</v>
      </c>
      <c r="P14" s="6">
        <f>SUM(DATA_MAYO_202684[[#This Row],[2]:[31]])</f>
        <v>4685</v>
      </c>
      <c r="Q14" s="6">
        <f>VLOOKUP(DATA_MAYO_202684[[#This Row],[ASER_]],D1_MAYO_202681[[ASESOR_CRR]:[META]],2,0)</f>
        <v>38500</v>
      </c>
      <c r="R14" t="s">
        <v>174</v>
      </c>
      <c r="U14">
        <v>210</v>
      </c>
      <c r="X14">
        <v>800</v>
      </c>
      <c r="Y14">
        <v>1100</v>
      </c>
      <c r="AD14">
        <v>2000</v>
      </c>
      <c r="AE14">
        <v>575</v>
      </c>
      <c r="AW14" s="54" t="str" cm="1">
        <f t="array" ref="AW14">IFERROR(VLOOKUP(DATA_MAYO_202684[[#This Row],[ASER_]],_xlfn._xlws.FILTER(PLANTILLA[[ASESOR]:[FECHA DE CESE]],PLANTILLA[FECHA]=_xlfn.CONCAT($M$3,"_",_xlfn.IFS($N$3="ENERO","1",$N$3="FEBRERO","2",$N$3="MARZO","3",$N$3="ABRIL","4",$N$3="MAYO","5",$N$3="JUNIO","6",$N$3="JULIO","7",$N$3="AGOSTO","8",$N$3="SETIEMBRE","9",$N$3="OCTUBRE","10",$N$3="NOVIEMBRE","11",$N$3="DICIEMBRE","12"))),8,0),"")</f>
        <v>S0</v>
      </c>
      <c r="CO14" t="s">
        <v>636</v>
      </c>
      <c r="CP14" t="s">
        <v>7</v>
      </c>
      <c r="CQ14" t="s">
        <v>60</v>
      </c>
      <c r="CR14">
        <v>46162</v>
      </c>
      <c r="CS14">
        <v>1</v>
      </c>
      <c r="CT14">
        <v>1</v>
      </c>
      <c r="CV14">
        <v>1</v>
      </c>
      <c r="CX14">
        <v>5.7870370370370373E-5</v>
      </c>
      <c r="CY14">
        <v>5.7870370370370373E-5</v>
      </c>
      <c r="CZ14">
        <v>0.24589120370370371</v>
      </c>
      <c r="DA14">
        <v>0.12664351851851852</v>
      </c>
      <c r="DB14">
        <v>160</v>
      </c>
      <c r="DC14">
        <v>241</v>
      </c>
      <c r="DD14">
        <v>10</v>
      </c>
      <c r="DE14">
        <v>2.2999999999999998</v>
      </c>
      <c r="DF14">
        <v>18025</v>
      </c>
      <c r="DG14">
        <v>6.25E-2</v>
      </c>
      <c r="DO14">
        <v>100</v>
      </c>
    </row>
    <row r="15" spans="1:120" x14ac:dyDescent="0.25">
      <c r="A15" s="34" t="str" cm="1">
        <f t="array" ref="A15">IFERROR(VLOOKUP(D1_MAYO_202681[[#This Row],[ASESOR_CRR]],_xlfn._xlws.FILTER(PLANTILLA[[ASESOR]:[FECHA DE CESE]],PLANTILLA[FECHA]=_xlfn.CONCAT($M$3,"_",_xlfn.IFS($N$3="ENERO","1",$N$3="FEBRERO","2",$N$3="MARZO","3",$N$3="ABRIL","4",$N$3="MAYO","5",$N$3="JUNIO","6",$N$3="JULIO","7",$N$3="AGOSTO","8",$N$3="SETIEMBRE","9",$N$3="OCTUBRE","10",$N$3="NOVIEMBRE","11",$N$3="DICIEMBRE","12"))),3,0),"")</f>
        <v>JORGE</v>
      </c>
      <c r="B15" s="34" t="str" cm="1">
        <f t="array" ref="B15">TRIM(IFERROR(_xlfn.IFS(D1_MAYO_202681[[#This Row],[ASESOR]]="ELVIS GUERRA","ELVIS GUERRERA",D1_MAYO_202681[[#This Row],[ASESOR]]="GENESIS VICUÑA","GENESIS VICUNA",D1_MAYO_202681[[#This Row],[ASESOR]]="JENY QUIÑONES","JENY QUINONES",D1_MAYO_202681[[#This Row],[ASESOR]]="NICOLE CAURURO","NICOLE CAURURO"),D1_MAYO_202681[[#This Row],[ASESOR]]))</f>
        <v>JIMENA MEDINA</v>
      </c>
      <c r="C15" s="34" cm="1">
        <f t="array" ref="C15">_xlfn.XLOOKUP(1,(TablaMeta[CONCAT]=$M$3&amp;$N$3&amp;D1_MAYO_202681[[#This Row],[SUPER]])*(TablaMeta[SEGG]=D1_MAYO_202681[[#This Row],[SEGMENTO]]),TablaMeta[Meta_Asesor])</f>
        <v>44700</v>
      </c>
      <c r="D15" s="35">
        <f>IF(D1_MAYO_202681[[#This Row],[RECUPERO]]="VACACIONES","VACACIONES",IFERROR(D1_MAYO_202681[[#This Row],[RECUPERO]]/D1_MAYO_202681[[#This Row],[META]],""))</f>
        <v>0.70691275167785239</v>
      </c>
      <c r="E15" s="35" t="str">
        <f>D1_MAYO_202681[[#This Row],[SUPER]]</f>
        <v>JORGE</v>
      </c>
      <c r="F15" t="s">
        <v>37</v>
      </c>
      <c r="G15" s="36">
        <v>31599</v>
      </c>
      <c r="H15" s="34" cm="1">
        <f t="array" ref="H15">IFERROR(VLOOKUP(D1_MAYO_202681[[#This Row],[ASESOR_CRR]],_xlfn._xlws.FILTER(PLANTILLA[[ASESOR]:[FECHA DE CESE]],PLANTILLA[FECHA]=_xlfn.CONCAT($M$3,"_",_xlfn.IFS($N$3="ENERO","1",$N$3="FEBRERO","2",$N$3="MARZO","3",$N$3="ABRIL","4",$N$3="MAYO","5",$N$3="JUNIO","6",$N$3="JULIO","7",$N$3="AGOSTO","8",$N$3="SETIEMBRE","9",$N$3="OCTUBRE","10",$N$3="NOVIEMBRE","11",$N$3="DICIEMBRE","12"))),2,0),"")</f>
        <v>70988976</v>
      </c>
      <c r="I15" s="60" cm="1">
        <f t="array" ref="I15">IFERROR(VLOOKUP(D1_MAYO_202681[[#This Row],[ASESOR_CRR]],_xlfn._xlws.FILTER(PLANTILLA[[ASESOR]:[FECHA DE CESE]],PLANTILLA[FECHA]=_xlfn.CONCAT($M$3,"_",_xlfn.IFS($N$3="ENERO","1",$N$3="FEBRERO","2",$N$3="MARZO","3",$N$3="ABRIL","4",$N$3="MAYO","5",$N$3="JUNIO","6",$N$3="JULIO","7",$N$3="AGOSTO","8",$N$3="SETIEMBRE","9",$N$3="OCTUBRE","10",$N$3="NOVIEMBRE","11",$N$3="DICIEMBRE","12"))),6,0),"")</f>
        <v>45112</v>
      </c>
      <c r="J15" s="60" t="str" cm="1">
        <f t="array" ref="J15">IFERROR(VLOOKUP(D1_MAYO_202681[[#This Row],[ASESOR_CRR]],_xlfn._xlws.FILTER(PLANTILLA[[ASESOR]:[FECHA DE CESE]],PLANTILLA[FECHA]=_xlfn.CONCAT($M$3,"_",_xlfn.IFS($N$3="ENERO","1",$N$3="FEBRERO","2",$N$3="MARZO","3",$N$3="ABRIL","4",$N$3="MAYO","5",$N$3="JUNIO","6",$N$3="JULIO","7",$N$3="AGOSTO","8",$N$3="SETIEMBRE","9",$N$3="OCTUBRE","10",$N$3="NOVIEMBRE","11",$N$3="DICIEMBRE","12"))),4,0),"")</f>
        <v>CALL</v>
      </c>
      <c r="K15" s="60" t="str" cm="1">
        <f t="array" ref="K15">IFERROR(VLOOKUP(D1_MAYO_202681[[#This Row],[ASESOR_CRR]],_xlfn._xlws.FILTER(PLANTILLA[[ASESOR]:[FECHA DE CESE]],PLANTILLA[FECHA]=_xlfn.CONCAT($M$3,"_",_xlfn.IFS($N$3="ENERO","1",$N$3="FEBRERO","2",$N$3="MARZO","3",$N$3="ABRIL","4",$N$3="MAYO","5",$N$3="JUNIO","6",$N$3="JULIO","7",$N$3="AGOSTO","8",$N$3="SETIEMBRE","9",$N$3="OCTUBRE","10",$N$3="NOVIEMBRE","11",$N$3="DICIEMBRE","12"))),8,0),"")</f>
        <v>S1</v>
      </c>
      <c r="L15" s="55"/>
      <c r="M15" s="5">
        <f>DATA_MAYO_202684[[#This Row],[RECUPERO]]/DATA_MAYO_202684[[#This Row],[META]]</f>
        <v>0.60342577487765092</v>
      </c>
      <c r="N15" s="5">
        <f>6-ROUNDUP(_xlfn.RANK.EQ(DATA_MAYO_202684[[#This Row],[AL_AC]],DATA_MAYO_202684[AL_AC],0)/(COUNTA(DATA_MAYO_202684[AL_AC])/5),0)</f>
        <v>1</v>
      </c>
      <c r="O15" s="54" t="str">
        <f>IFERROR(VLOOKUP(DATA_MAYO_202684[[#This Row],[ASER_]],$B:$G,4,0),"")</f>
        <v>KENNETH</v>
      </c>
      <c r="P15" s="6">
        <f>SUM(DATA_MAYO_202684[[#This Row],[2]:[31]])</f>
        <v>36990</v>
      </c>
      <c r="Q15" s="6">
        <f>VLOOKUP(DATA_MAYO_202684[[#This Row],[ASER_]],D1_MAYO_202681[[ASESOR_CRR]:[META]],2,0)</f>
        <v>61300</v>
      </c>
      <c r="R15" t="s">
        <v>19</v>
      </c>
      <c r="U15">
        <v>700</v>
      </c>
      <c r="X15">
        <v>700</v>
      </c>
      <c r="AB15">
        <v>15000</v>
      </c>
      <c r="AC15">
        <v>655</v>
      </c>
      <c r="AD15">
        <v>1670</v>
      </c>
      <c r="AH15" s="45"/>
      <c r="AJ15">
        <v>1050</v>
      </c>
      <c r="AK15">
        <v>300</v>
      </c>
      <c r="AM15">
        <v>3000</v>
      </c>
      <c r="AP15">
        <v>480</v>
      </c>
      <c r="AQ15">
        <v>7600</v>
      </c>
      <c r="AR15">
        <v>2585</v>
      </c>
      <c r="AT15">
        <v>3250</v>
      </c>
      <c r="AW15" s="54" t="str" cm="1">
        <f t="array" ref="AW15">IFERROR(VLOOKUP(DATA_MAYO_202684[[#This Row],[ASER_]],_xlfn._xlws.FILTER(PLANTILLA[[ASESOR]:[FECHA DE CESE]],PLANTILLA[FECHA]=_xlfn.CONCAT($M$3,"_",_xlfn.IFS($N$3="ENERO","1",$N$3="FEBRERO","2",$N$3="MARZO","3",$N$3="ABRIL","4",$N$3="MAYO","5",$N$3="JUNIO","6",$N$3="JULIO","7",$N$3="AGOSTO","8",$N$3="SETIEMBRE","9",$N$3="OCTUBRE","10",$N$3="NOVIEMBRE","11",$N$3="DICIEMBRE","12"))),8,0),"")</f>
        <v>S0</v>
      </c>
      <c r="BR15" s="45"/>
      <c r="BT15" s="45"/>
      <c r="BU15" s="45"/>
      <c r="BW15" s="45"/>
      <c r="CO15" t="s">
        <v>636</v>
      </c>
      <c r="CP15" t="s">
        <v>7</v>
      </c>
      <c r="CQ15" t="s">
        <v>61</v>
      </c>
      <c r="CR15">
        <v>46154</v>
      </c>
      <c r="CS15">
        <v>1</v>
      </c>
      <c r="CT15">
        <v>1</v>
      </c>
      <c r="CV15">
        <v>1</v>
      </c>
      <c r="CX15">
        <v>1.8518518518518518E-4</v>
      </c>
      <c r="CY15">
        <v>1.8518518518518518E-4</v>
      </c>
      <c r="CZ15">
        <v>0.26784722222222224</v>
      </c>
      <c r="DA15">
        <v>0.14839120370370371</v>
      </c>
      <c r="DB15">
        <v>122</v>
      </c>
      <c r="DC15">
        <v>303</v>
      </c>
      <c r="DD15">
        <v>30</v>
      </c>
      <c r="DE15" t="s">
        <v>672</v>
      </c>
      <c r="DF15">
        <v>28725</v>
      </c>
      <c r="DG15">
        <v>0.24590000000000001</v>
      </c>
      <c r="DH15">
        <v>4</v>
      </c>
      <c r="DI15">
        <v>0.1333</v>
      </c>
      <c r="DJ15">
        <v>7868</v>
      </c>
      <c r="DK15">
        <v>1967</v>
      </c>
      <c r="DL15">
        <v>6668</v>
      </c>
      <c r="DM15">
        <v>0.84750000000000003</v>
      </c>
      <c r="DN15">
        <v>0.1082</v>
      </c>
      <c r="DO15">
        <v>100</v>
      </c>
      <c r="DP15">
        <v>3334</v>
      </c>
    </row>
    <row r="16" spans="1:120" x14ac:dyDescent="0.25">
      <c r="A16" s="34" t="str" cm="1">
        <f t="array" ref="A16">IFERROR(VLOOKUP(D1_MAYO_202681[[#This Row],[ASESOR_CRR]],_xlfn._xlws.FILTER(PLANTILLA[[ASESOR]:[FECHA DE CESE]],PLANTILLA[FECHA]=_xlfn.CONCAT($M$3,"_",_xlfn.IFS($N$3="ENERO","1",$N$3="FEBRERO","2",$N$3="MARZO","3",$N$3="ABRIL","4",$N$3="MAYO","5",$N$3="JUNIO","6",$N$3="JULIO","7",$N$3="AGOSTO","8",$N$3="SETIEMBRE","9",$N$3="OCTUBRE","10",$N$3="NOVIEMBRE","11",$N$3="DICIEMBRE","12"))),3,0),"")</f>
        <v>JORGE</v>
      </c>
      <c r="B16" s="34" t="str" cm="1">
        <f t="array" ref="B16">TRIM(IFERROR(_xlfn.IFS(D1_MAYO_202681[[#This Row],[ASESOR]]="ELVIS GUERRA","ELVIS GUERRERA",D1_MAYO_202681[[#This Row],[ASESOR]]="GENESIS VICUÑA","GENESIS VICUNA",D1_MAYO_202681[[#This Row],[ASESOR]]="JENY QUIÑONES","JENY QUINONES",D1_MAYO_202681[[#This Row],[ASESOR]]="NICOLE CAURURO","NICOLE CAURURO"),D1_MAYO_202681[[#This Row],[ASESOR]]))</f>
        <v>LUIS CENTENO</v>
      </c>
      <c r="C16" s="34" cm="1">
        <f t="array" ref="C16">_xlfn.XLOOKUP(1,(TablaMeta[CONCAT]=$M$3&amp;$N$3&amp;D1_MAYO_202681[[#This Row],[SUPER]])*(TablaMeta[SEGG]=D1_MAYO_202681[[#This Row],[SEGMENTO]]),TablaMeta[Meta_Asesor])</f>
        <v>44700</v>
      </c>
      <c r="D16" s="35">
        <f>IF(D1_MAYO_202681[[#This Row],[RECUPERO]]="VACACIONES","VACACIONES",IFERROR(D1_MAYO_202681[[#This Row],[RECUPERO]]/D1_MAYO_202681[[#This Row],[META]],""))</f>
        <v>0.59116331096196872</v>
      </c>
      <c r="E16" s="35" t="str">
        <f>D1_MAYO_202681[[#This Row],[SUPER]]</f>
        <v>JORGE</v>
      </c>
      <c r="F16" t="s">
        <v>31</v>
      </c>
      <c r="G16" s="36">
        <v>26425</v>
      </c>
      <c r="H16" s="34" cm="1">
        <f t="array" ref="H16">IFERROR(VLOOKUP(D1_MAYO_202681[[#This Row],[ASESOR_CRR]],_xlfn._xlws.FILTER(PLANTILLA[[ASESOR]:[FECHA DE CESE]],PLANTILLA[FECHA]=_xlfn.CONCAT($M$3,"_",_xlfn.IFS($N$3="ENERO","1",$N$3="FEBRERO","2",$N$3="MARZO","3",$N$3="ABRIL","4",$N$3="MAYO","5",$N$3="JUNIO","6",$N$3="JULIO","7",$N$3="AGOSTO","8",$N$3="SETIEMBRE","9",$N$3="OCTUBRE","10",$N$3="NOVIEMBRE","11",$N$3="DICIEMBRE","12"))),2,0),"")</f>
        <v>75882265</v>
      </c>
      <c r="I16" s="60" cm="1">
        <f t="array" ref="I16">IFERROR(VLOOKUP(D1_MAYO_202681[[#This Row],[ASESOR_CRR]],_xlfn._xlws.FILTER(PLANTILLA[[ASESOR]:[FECHA DE CESE]],PLANTILLA[FECHA]=_xlfn.CONCAT($M$3,"_",_xlfn.IFS($N$3="ENERO","1",$N$3="FEBRERO","2",$N$3="MARZO","3",$N$3="ABRIL","4",$N$3="MAYO","5",$N$3="JUNIO","6",$N$3="JULIO","7",$N$3="AGOSTO","8",$N$3="SETIEMBRE","9",$N$3="OCTUBRE","10",$N$3="NOVIEMBRE","11",$N$3="DICIEMBRE","12"))),6,0),"")</f>
        <v>46141</v>
      </c>
      <c r="J16" s="60" t="str" cm="1">
        <f t="array" ref="J16">IFERROR(VLOOKUP(D1_MAYO_202681[[#This Row],[ASESOR_CRR]],_xlfn._xlws.FILTER(PLANTILLA[[ASESOR]:[FECHA DE CESE]],PLANTILLA[FECHA]=_xlfn.CONCAT($M$3,"_",_xlfn.IFS($N$3="ENERO","1",$N$3="FEBRERO","2",$N$3="MARZO","3",$N$3="ABRIL","4",$N$3="MAYO","5",$N$3="JUNIO","6",$N$3="JULIO","7",$N$3="AGOSTO","8",$N$3="SETIEMBRE","9",$N$3="OCTUBRE","10",$N$3="NOVIEMBRE","11",$N$3="DICIEMBRE","12"))),4,0),"")</f>
        <v>CALL</v>
      </c>
      <c r="K16" s="60" t="str" cm="1">
        <f t="array" ref="K16">IFERROR(VLOOKUP(D1_MAYO_202681[[#This Row],[ASESOR_CRR]],_xlfn._xlws.FILTER(PLANTILLA[[ASESOR]:[FECHA DE CESE]],PLANTILLA[FECHA]=_xlfn.CONCAT($M$3,"_",_xlfn.IFS($N$3="ENERO","1",$N$3="FEBRERO","2",$N$3="MARZO","3",$N$3="ABRIL","4",$N$3="MAYO","5",$N$3="JUNIO","6",$N$3="JULIO","7",$N$3="AGOSTO","8",$N$3="SETIEMBRE","9",$N$3="OCTUBRE","10",$N$3="NOVIEMBRE","11",$N$3="DICIEMBRE","12"))),8,0),"")</f>
        <v>S1</v>
      </c>
      <c r="L16" s="55"/>
      <c r="M16" s="5">
        <f>DATA_MAYO_202684[[#This Row],[RECUPERO]]/DATA_MAYO_202684[[#This Row],[META]]</f>
        <v>1.071878453038674</v>
      </c>
      <c r="N16" s="5">
        <f>6-ROUNDUP(_xlfn.RANK.EQ(DATA_MAYO_202684[[#This Row],[AL_AC]],DATA_MAYO_202684[AL_AC],0)/(COUNTA(DATA_MAYO_202684[AL_AC])/5),0)</f>
        <v>4</v>
      </c>
      <c r="O16" s="54" t="str">
        <f>IFERROR(VLOOKUP(DATA_MAYO_202684[[#This Row],[ASER_]],$B:$G,4,0),"")</f>
        <v>LISELY</v>
      </c>
      <c r="P16" s="6">
        <f>SUM(DATA_MAYO_202684[[#This Row],[2]:[31]])</f>
        <v>19401</v>
      </c>
      <c r="Q16" s="6">
        <f>VLOOKUP(DATA_MAYO_202684[[#This Row],[ASER_]],D1_MAYO_202681[[ASESOR_CRR]:[META]],2,0)</f>
        <v>18100</v>
      </c>
      <c r="R16" t="s">
        <v>41</v>
      </c>
      <c r="V16">
        <v>6900</v>
      </c>
      <c r="W16">
        <v>1500</v>
      </c>
      <c r="X16">
        <v>500</v>
      </c>
      <c r="Y16">
        <v>351</v>
      </c>
      <c r="AC16">
        <v>550</v>
      </c>
      <c r="AJ16">
        <v>2000</v>
      </c>
      <c r="AK16">
        <v>1000</v>
      </c>
      <c r="AL16">
        <v>350</v>
      </c>
      <c r="AM16">
        <v>300</v>
      </c>
      <c r="AN16">
        <v>350</v>
      </c>
      <c r="AP16">
        <v>700</v>
      </c>
      <c r="AQ16">
        <v>1500</v>
      </c>
      <c r="AR16">
        <v>500</v>
      </c>
      <c r="AS16">
        <v>1900</v>
      </c>
      <c r="AU16">
        <v>1000</v>
      </c>
      <c r="AW16" s="54" t="str" cm="1">
        <f t="array" ref="AW16">IFERROR(VLOOKUP(DATA_MAYO_202684[[#This Row],[ASER_]],_xlfn._xlws.FILTER(PLANTILLA[[ASESOR]:[FECHA DE CESE]],PLANTILLA[FECHA]=_xlfn.CONCAT($M$3,"_",_xlfn.IFS($N$3="ENERO","1",$N$3="FEBRERO","2",$N$3="MARZO","3",$N$3="ABRIL","4",$N$3="MAYO","5",$N$3="JUNIO","6",$N$3="JULIO","7",$N$3="AGOSTO","8",$N$3="SETIEMBRE","9",$N$3="OCTUBRE","10",$N$3="NOVIEMBRE","11",$N$3="DICIEMBRE","12"))),8,0),"")</f>
        <v>S2-3-4 MIX</v>
      </c>
      <c r="BR16" s="45"/>
      <c r="BS16" s="45"/>
      <c r="BT16" s="45"/>
      <c r="BU16" s="45"/>
      <c r="BW16" s="45"/>
      <c r="BX16" s="45"/>
      <c r="BY16" s="45"/>
      <c r="CG16" s="45"/>
      <c r="CO16" t="s">
        <v>636</v>
      </c>
      <c r="CP16" t="s">
        <v>7</v>
      </c>
      <c r="CQ16" t="s">
        <v>61</v>
      </c>
      <c r="CR16">
        <v>46162</v>
      </c>
      <c r="CS16">
        <v>1</v>
      </c>
      <c r="CT16">
        <v>1</v>
      </c>
      <c r="CV16">
        <v>1</v>
      </c>
      <c r="CX16">
        <v>8.1018518518518516E-5</v>
      </c>
      <c r="CY16">
        <v>8.1018518518518516E-5</v>
      </c>
      <c r="CZ16">
        <v>0.27274305555555556</v>
      </c>
      <c r="DA16">
        <v>0.10339120370370371</v>
      </c>
      <c r="DB16">
        <v>133</v>
      </c>
      <c r="DC16">
        <v>257</v>
      </c>
      <c r="DD16">
        <v>22</v>
      </c>
      <c r="DE16" t="s">
        <v>673</v>
      </c>
      <c r="DF16">
        <v>44525</v>
      </c>
      <c r="DG16">
        <v>0.16539999999999999</v>
      </c>
      <c r="DO16">
        <v>100</v>
      </c>
    </row>
    <row r="17" spans="1:120" x14ac:dyDescent="0.25">
      <c r="A17" s="34" t="str" cm="1">
        <f t="array" ref="A17">IFERROR(VLOOKUP(D1_MAYO_202681[[#This Row],[ASESOR_CRR]],_xlfn._xlws.FILTER(PLANTILLA[[ASESOR]:[FECHA DE CESE]],PLANTILLA[FECHA]=_xlfn.CONCAT($M$3,"_",_xlfn.IFS($N$3="ENERO","1",$N$3="FEBRERO","2",$N$3="MARZO","3",$N$3="ABRIL","4",$N$3="MAYO","5",$N$3="JUNIO","6",$N$3="JULIO","7",$N$3="AGOSTO","8",$N$3="SETIEMBRE","9",$N$3="OCTUBRE","10",$N$3="NOVIEMBRE","11",$N$3="DICIEMBRE","12"))),3,0),"")</f>
        <v>KENNETH</v>
      </c>
      <c r="B17" s="34" t="str" cm="1">
        <f t="array" ref="B17">TRIM(IFERROR(_xlfn.IFS(D1_MAYO_202681[[#This Row],[ASESOR]]="ELVIS GUERRA","ELVIS GUERRERA",D1_MAYO_202681[[#This Row],[ASESOR]]="GENESIS VICUÑA","GENESIS VICUNA",D1_MAYO_202681[[#This Row],[ASESOR]]="JENY QUIÑONES","JENY QUINONES",D1_MAYO_202681[[#This Row],[ASESOR]]="NICOLE CAURURO","NICOLE CAURURO"),D1_MAYO_202681[[#This Row],[ASESOR]]))</f>
        <v>NOEMI CHUQUILIN</v>
      </c>
      <c r="C17" s="34" cm="1">
        <f t="array" ref="C17">_xlfn.XLOOKUP(1,(TablaMeta[CONCAT]=$M$3&amp;$N$3&amp;D1_MAYO_202681[[#This Row],[SUPER]])*(TablaMeta[SEGG]=D1_MAYO_202681[[#This Row],[SEGMENTO]]),TablaMeta[Meta_Asesor])</f>
        <v>61300</v>
      </c>
      <c r="D17" s="35">
        <f>IF(D1_MAYO_202681[[#This Row],[RECUPERO]]="VACACIONES","VACACIONES",IFERROR(D1_MAYO_202681[[#This Row],[RECUPERO]]/D1_MAYO_202681[[#This Row],[META]],""))</f>
        <v>1.1421071778140293</v>
      </c>
      <c r="E17" s="35" t="str">
        <f>D1_MAYO_202681[[#This Row],[SUPER]]</f>
        <v>KENNETH</v>
      </c>
      <c r="F17" t="s">
        <v>97</v>
      </c>
      <c r="G17" s="36">
        <v>70011.17</v>
      </c>
      <c r="H17" s="34" cm="1">
        <f t="array" ref="H17">IFERROR(VLOOKUP(D1_MAYO_202681[[#This Row],[ASESOR_CRR]],_xlfn._xlws.FILTER(PLANTILLA[[ASESOR]:[FECHA DE CESE]],PLANTILLA[FECHA]=_xlfn.CONCAT($M$3,"_",_xlfn.IFS($N$3="ENERO","1",$N$3="FEBRERO","2",$N$3="MARZO","3",$N$3="ABRIL","4",$N$3="MAYO","5",$N$3="JUNIO","6",$N$3="JULIO","7",$N$3="AGOSTO","8",$N$3="SETIEMBRE","9",$N$3="OCTUBRE","10",$N$3="NOVIEMBRE","11",$N$3="DICIEMBRE","12"))),2,0),"")</f>
        <v>74602206</v>
      </c>
      <c r="I17" s="60" cm="1">
        <f t="array" ref="I17">IFERROR(VLOOKUP(D1_MAYO_202681[[#This Row],[ASESOR_CRR]],_xlfn._xlws.FILTER(PLANTILLA[[ASESOR]:[FECHA DE CESE]],PLANTILLA[FECHA]=_xlfn.CONCAT($M$3,"_",_xlfn.IFS($N$3="ENERO","1",$N$3="FEBRERO","2",$N$3="MARZO","3",$N$3="ABRIL","4",$N$3="MAYO","5",$N$3="JUNIO","6",$N$3="JULIO","7",$N$3="AGOSTO","8",$N$3="SETIEMBRE","9",$N$3="OCTUBRE","10",$N$3="NOVIEMBRE","11",$N$3="DICIEMBRE","12"))),6,0),"")</f>
        <v>45884</v>
      </c>
      <c r="J17" s="60" t="str" cm="1">
        <f t="array" ref="J17">IFERROR(VLOOKUP(D1_MAYO_202681[[#This Row],[ASESOR_CRR]],_xlfn._xlws.FILTER(PLANTILLA[[ASESOR]:[FECHA DE CESE]],PLANTILLA[FECHA]=_xlfn.CONCAT($M$3,"_",_xlfn.IFS($N$3="ENERO","1",$N$3="FEBRERO","2",$N$3="MARZO","3",$N$3="ABRIL","4",$N$3="MAYO","5",$N$3="JUNIO","6",$N$3="JULIO","7",$N$3="AGOSTO","8",$N$3="SETIEMBRE","9",$N$3="OCTUBRE","10",$N$3="NOVIEMBRE","11",$N$3="DICIEMBRE","12"))),4,0),"")</f>
        <v>CALL</v>
      </c>
      <c r="K17" s="60" t="str" cm="1">
        <f t="array" ref="K17">IFERROR(VLOOKUP(D1_MAYO_202681[[#This Row],[ASESOR_CRR]],_xlfn._xlws.FILTER(PLANTILLA[[ASESOR]:[FECHA DE CESE]],PLANTILLA[FECHA]=_xlfn.CONCAT($M$3,"_",_xlfn.IFS($N$3="ENERO","1",$N$3="FEBRERO","2",$N$3="MARZO","3",$N$3="ABRIL","4",$N$3="MAYO","5",$N$3="JUNIO","6",$N$3="JULIO","7",$N$3="AGOSTO","8",$N$3="SETIEMBRE","9",$N$3="OCTUBRE","10",$N$3="NOVIEMBRE","11",$N$3="DICIEMBRE","12"))),8,0),"")</f>
        <v>S0</v>
      </c>
      <c r="L17" s="55"/>
      <c r="M17" s="5">
        <f>DATA_MAYO_202684[[#This Row],[RECUPERO]]/DATA_MAYO_202684[[#This Row],[META]]</f>
        <v>1.0455480984340044</v>
      </c>
      <c r="N17" s="5">
        <f>6-ROUNDUP(_xlfn.RANK.EQ(DATA_MAYO_202684[[#This Row],[AL_AC]],DATA_MAYO_202684[AL_AC],0)/(COUNTA(DATA_MAYO_202684[AL_AC])/5),0)</f>
        <v>4</v>
      </c>
      <c r="O17" s="54" t="str">
        <f>IFERROR(VLOOKUP(DATA_MAYO_202684[[#This Row],[ASER_]],$B:$G,4,0),"")</f>
        <v>LEONOR</v>
      </c>
      <c r="P17" s="6">
        <f>SUM(DATA_MAYO_202684[[#This Row],[2]:[31]])</f>
        <v>46736</v>
      </c>
      <c r="Q17" s="6">
        <f>VLOOKUP(DATA_MAYO_202684[[#This Row],[ASER_]],D1_MAYO_202681[[ASESOR_CRR]:[META]],2,0)</f>
        <v>44700</v>
      </c>
      <c r="R17" t="s">
        <v>61</v>
      </c>
      <c r="U17">
        <v>1503</v>
      </c>
      <c r="V17">
        <v>900</v>
      </c>
      <c r="W17">
        <v>750</v>
      </c>
      <c r="X17">
        <v>4621</v>
      </c>
      <c r="Y17">
        <v>2000</v>
      </c>
      <c r="AB17">
        <v>2700</v>
      </c>
      <c r="AC17">
        <v>6080</v>
      </c>
      <c r="AD17">
        <v>588</v>
      </c>
      <c r="AF17">
        <v>130</v>
      </c>
      <c r="AJ17">
        <v>2700</v>
      </c>
      <c r="AL17">
        <v>614</v>
      </c>
      <c r="AM17">
        <v>300</v>
      </c>
      <c r="AP17">
        <v>400</v>
      </c>
      <c r="AQ17">
        <v>8000</v>
      </c>
      <c r="AR17">
        <v>7200</v>
      </c>
      <c r="AS17">
        <v>3400</v>
      </c>
      <c r="AT17">
        <v>4000</v>
      </c>
      <c r="AU17">
        <v>850</v>
      </c>
      <c r="AW17" s="54" t="str" cm="1">
        <f t="array" ref="AW17">IFERROR(VLOOKUP(DATA_MAYO_202684[[#This Row],[ASER_]],_xlfn._xlws.FILTER(PLANTILLA[[ASESOR]:[FECHA DE CESE]],PLANTILLA[FECHA]=_xlfn.CONCAT($M$3,"_",_xlfn.IFS($N$3="ENERO","1",$N$3="FEBRERO","2",$N$3="MARZO","3",$N$3="ABRIL","4",$N$3="MAYO","5",$N$3="JUNIO","6",$N$3="JULIO","7",$N$3="AGOSTO","8",$N$3="SETIEMBRE","9",$N$3="OCTUBRE","10",$N$3="NOVIEMBRE","11",$N$3="DICIEMBRE","12"))),8,0),"")</f>
        <v>S1</v>
      </c>
      <c r="BG17" s="45"/>
      <c r="BH17" s="45"/>
      <c r="BI17" s="45"/>
      <c r="BJ17" s="45"/>
      <c r="BK17" s="45"/>
      <c r="BL17" s="45"/>
      <c r="BM17" s="45"/>
      <c r="BN17" s="45"/>
      <c r="BO17" s="45"/>
      <c r="BP17" s="45"/>
      <c r="BQ17" s="45"/>
      <c r="BS17" s="45"/>
      <c r="BT17" s="47"/>
      <c r="BU17" s="47"/>
      <c r="BW17" s="47"/>
      <c r="BX17" s="45"/>
      <c r="BY17" s="45"/>
      <c r="CA17" s="45"/>
      <c r="CF17" s="45"/>
      <c r="CG17" s="45"/>
      <c r="CO17" t="s">
        <v>636</v>
      </c>
      <c r="CP17" t="s">
        <v>7</v>
      </c>
      <c r="CQ17" t="s">
        <v>80</v>
      </c>
      <c r="CR17">
        <v>46155</v>
      </c>
      <c r="CS17">
        <v>1</v>
      </c>
      <c r="CT17">
        <v>1</v>
      </c>
      <c r="CV17">
        <v>1</v>
      </c>
      <c r="CX17">
        <v>0</v>
      </c>
      <c r="CY17">
        <v>0</v>
      </c>
      <c r="CZ17">
        <v>0.16493055555555555</v>
      </c>
      <c r="DA17">
        <v>0.13972222222222222</v>
      </c>
      <c r="DB17">
        <v>83</v>
      </c>
      <c r="DC17">
        <v>176</v>
      </c>
      <c r="DD17">
        <v>12</v>
      </c>
      <c r="DE17" t="s">
        <v>674</v>
      </c>
      <c r="DF17">
        <v>15067</v>
      </c>
      <c r="DG17">
        <v>0.14460000000000001</v>
      </c>
      <c r="DO17">
        <v>100</v>
      </c>
    </row>
    <row r="18" spans="1:120" x14ac:dyDescent="0.25">
      <c r="A18" s="34" t="str" cm="1">
        <f t="array" ref="A18">IFERROR(VLOOKUP(D1_MAYO_202681[[#This Row],[ASESOR_CRR]],_xlfn._xlws.FILTER(PLANTILLA[[ASESOR]:[FECHA DE CESE]],PLANTILLA[FECHA]=_xlfn.CONCAT($M$3,"_",_xlfn.IFS($N$3="ENERO","1",$N$3="FEBRERO","2",$N$3="MARZO","3",$N$3="ABRIL","4",$N$3="MAYO","5",$N$3="JUNIO","6",$N$3="JULIO","7",$N$3="AGOSTO","8",$N$3="SETIEMBRE","9",$N$3="OCTUBRE","10",$N$3="NOVIEMBRE","11",$N$3="DICIEMBRE","12"))),3,0),"")</f>
        <v>KENNETH</v>
      </c>
      <c r="B18" s="34" t="str" cm="1">
        <f t="array" ref="B18">TRIM(IFERROR(_xlfn.IFS(D1_MAYO_202681[[#This Row],[ASESOR]]="ELVIS GUERRA","ELVIS GUERRERA",D1_MAYO_202681[[#This Row],[ASESOR]]="GENESIS VICUÑA","GENESIS VICUNA",D1_MAYO_202681[[#This Row],[ASESOR]]="JENY QUIÑONES","JENY QUINONES",D1_MAYO_202681[[#This Row],[ASESOR]]="NICOLE CAURURO","NICOLE CAURURO"),D1_MAYO_202681[[#This Row],[ASESOR]]))</f>
        <v>STWUAR MACURI</v>
      </c>
      <c r="C18" s="34" cm="1">
        <f t="array" ref="C18">_xlfn.XLOOKUP(1,(TablaMeta[CONCAT]=$M$3&amp;$N$3&amp;D1_MAYO_202681[[#This Row],[SUPER]])*(TablaMeta[SEGG]=D1_MAYO_202681[[#This Row],[SEGMENTO]]),TablaMeta[Meta_Asesor])</f>
        <v>61300</v>
      </c>
      <c r="D18" s="35">
        <f>IF(D1_MAYO_202681[[#This Row],[RECUPERO]]="VACACIONES","VACACIONES",IFERROR(D1_MAYO_202681[[#This Row],[RECUPERO]]/D1_MAYO_202681[[#This Row],[META]],""))</f>
        <v>1.1226753670473084</v>
      </c>
      <c r="E18" s="35" t="str">
        <f>D1_MAYO_202681[[#This Row],[SUPER]]</f>
        <v>KENNETH</v>
      </c>
      <c r="F18" t="s">
        <v>34</v>
      </c>
      <c r="G18" s="36">
        <v>68820</v>
      </c>
      <c r="H18" s="34" cm="1">
        <f t="array" ref="H18">IFERROR(VLOOKUP(D1_MAYO_202681[[#This Row],[ASESOR_CRR]],_xlfn._xlws.FILTER(PLANTILLA[[ASESOR]:[FECHA DE CESE]],PLANTILLA[FECHA]=_xlfn.CONCAT($M$3,"_",_xlfn.IFS($N$3="ENERO","1",$N$3="FEBRERO","2",$N$3="MARZO","3",$N$3="ABRIL","4",$N$3="MAYO","5",$N$3="JUNIO","6",$N$3="JULIO","7",$N$3="AGOSTO","8",$N$3="SETIEMBRE","9",$N$3="OCTUBRE","10",$N$3="NOVIEMBRE","11",$N$3="DICIEMBRE","12"))),2,0),"")</f>
        <v>76824571</v>
      </c>
      <c r="I18" s="60" cm="1">
        <f t="array" ref="I18">IFERROR(VLOOKUP(D1_MAYO_202681[[#This Row],[ASESOR_CRR]],_xlfn._xlws.FILTER(PLANTILLA[[ASESOR]:[FECHA DE CESE]],PLANTILLA[FECHA]=_xlfn.CONCAT($M$3,"_",_xlfn.IFS($N$3="ENERO","1",$N$3="FEBRERO","2",$N$3="MARZO","3",$N$3="ABRIL","4",$N$3="MAYO","5",$N$3="JUNIO","6",$N$3="JULIO","7",$N$3="AGOSTO","8",$N$3="SETIEMBRE","9",$N$3="OCTUBRE","10",$N$3="NOVIEMBRE","11",$N$3="DICIEMBRE","12"))),6,0),"")</f>
        <v>45173</v>
      </c>
      <c r="J18" s="60" t="str" cm="1">
        <f t="array" ref="J18">IFERROR(VLOOKUP(D1_MAYO_202681[[#This Row],[ASESOR_CRR]],_xlfn._xlws.FILTER(PLANTILLA[[ASESOR]:[FECHA DE CESE]],PLANTILLA[FECHA]=_xlfn.CONCAT($M$3,"_",_xlfn.IFS($N$3="ENERO","1",$N$3="FEBRERO","2",$N$3="MARZO","3",$N$3="ABRIL","4",$N$3="MAYO","5",$N$3="JUNIO","6",$N$3="JULIO","7",$N$3="AGOSTO","8",$N$3="SETIEMBRE","9",$N$3="OCTUBRE","10",$N$3="NOVIEMBRE","11",$N$3="DICIEMBRE","12"))),4,0),"")</f>
        <v>CALL</v>
      </c>
      <c r="K18" s="60" t="str" cm="1">
        <f t="array" ref="K18">IFERROR(VLOOKUP(D1_MAYO_202681[[#This Row],[ASESOR_CRR]],_xlfn._xlws.FILTER(PLANTILLA[[ASESOR]:[FECHA DE CESE]],PLANTILLA[FECHA]=_xlfn.CONCAT($M$3,"_",_xlfn.IFS($N$3="ENERO","1",$N$3="FEBRERO","2",$N$3="MARZO","3",$N$3="ABRIL","4",$N$3="MAYO","5",$N$3="JUNIO","6",$N$3="JULIO","7",$N$3="AGOSTO","8",$N$3="SETIEMBRE","9",$N$3="OCTUBRE","10",$N$3="NOVIEMBRE","11",$N$3="DICIEMBRE","12"))),8,0),"")</f>
        <v>S0</v>
      </c>
      <c r="L18" s="55"/>
      <c r="M18" s="5">
        <f>DATA_MAYO_202684[[#This Row],[RECUPERO]]/DATA_MAYO_202684[[#This Row],[META]]</f>
        <v>0.85134228187919458</v>
      </c>
      <c r="N18" s="5">
        <f>6-ROUNDUP(_xlfn.RANK.EQ(DATA_MAYO_202684[[#This Row],[AL_AC]],DATA_MAYO_202684[AL_AC],0)/(COUNTA(DATA_MAYO_202684[AL_AC])/5),0)</f>
        <v>3</v>
      </c>
      <c r="O18" s="54" t="str">
        <f>IFERROR(VLOOKUP(DATA_MAYO_202684[[#This Row],[ASER_]],$B:$G,4,0),"")</f>
        <v>LEONOR</v>
      </c>
      <c r="P18" s="6">
        <f>SUM(DATA_MAYO_202684[[#This Row],[2]:[31]])</f>
        <v>38055</v>
      </c>
      <c r="Q18" s="6">
        <f>VLOOKUP(DATA_MAYO_202684[[#This Row],[ASER_]],D1_MAYO_202681[[ASESOR_CRR]:[META]],2,0)</f>
        <v>44700</v>
      </c>
      <c r="R18" t="s">
        <v>80</v>
      </c>
      <c r="U18">
        <v>5000</v>
      </c>
      <c r="AC18">
        <v>600</v>
      </c>
      <c r="AK18">
        <v>6000</v>
      </c>
      <c r="AM18">
        <v>1200</v>
      </c>
      <c r="AP18">
        <v>2155</v>
      </c>
      <c r="AR18">
        <v>8500</v>
      </c>
      <c r="AS18">
        <v>335</v>
      </c>
      <c r="AT18">
        <v>14265</v>
      </c>
      <c r="AW18" s="54" t="str" cm="1">
        <f t="array" ref="AW18">IFERROR(VLOOKUP(DATA_MAYO_202684[[#This Row],[ASER_]],_xlfn._xlws.FILTER(PLANTILLA[[ASESOR]:[FECHA DE CESE]],PLANTILLA[FECHA]=_xlfn.CONCAT($M$3,"_",_xlfn.IFS($N$3="ENERO","1",$N$3="FEBRERO","2",$N$3="MARZO","3",$N$3="ABRIL","4",$N$3="MAYO","5",$N$3="JUNIO","6",$N$3="JULIO","7",$N$3="AGOSTO","8",$N$3="SETIEMBRE","9",$N$3="OCTUBRE","10",$N$3="NOVIEMBRE","11",$N$3="DICIEMBRE","12"))),8,0),"")</f>
        <v>S1</v>
      </c>
      <c r="BS18" s="47"/>
      <c r="BT18" s="45"/>
      <c r="BU18" s="45"/>
      <c r="BW18" s="45"/>
      <c r="BX18" s="47"/>
      <c r="BY18" s="47"/>
      <c r="CA18" s="45"/>
      <c r="CB18" s="45"/>
      <c r="CF18" s="45"/>
      <c r="CG18" s="47"/>
      <c r="CO18" t="s">
        <v>636</v>
      </c>
      <c r="CP18" t="s">
        <v>7</v>
      </c>
      <c r="CQ18" t="s">
        <v>80</v>
      </c>
      <c r="CR18">
        <v>46162</v>
      </c>
      <c r="CS18">
        <v>1</v>
      </c>
      <c r="CT18">
        <v>1</v>
      </c>
      <c r="CV18">
        <v>1</v>
      </c>
      <c r="CX18">
        <v>1.0416666666666667E-4</v>
      </c>
      <c r="CY18">
        <v>1.0416666666666667E-4</v>
      </c>
      <c r="CZ18">
        <v>0.25482638888888887</v>
      </c>
      <c r="DA18">
        <v>0.11952546296296296</v>
      </c>
      <c r="DB18">
        <v>98</v>
      </c>
      <c r="DC18">
        <v>180</v>
      </c>
      <c r="DD18">
        <v>8</v>
      </c>
      <c r="DE18">
        <v>2</v>
      </c>
      <c r="DF18">
        <v>58772</v>
      </c>
      <c r="DG18">
        <v>8.1600000000000006E-2</v>
      </c>
      <c r="DO18">
        <v>100</v>
      </c>
    </row>
    <row r="19" spans="1:120" x14ac:dyDescent="0.25">
      <c r="A19" s="34" t="str" cm="1">
        <f t="array" ref="A19">IFERROR(VLOOKUP(D1_MAYO_202681[[#This Row],[ASESOR_CRR]],_xlfn._xlws.FILTER(PLANTILLA[[ASESOR]:[FECHA DE CESE]],PLANTILLA[FECHA]=_xlfn.CONCAT($M$3,"_",_xlfn.IFS($N$3="ENERO","1",$N$3="FEBRERO","2",$N$3="MARZO","3",$N$3="ABRIL","4",$N$3="MAYO","5",$N$3="JUNIO","6",$N$3="JULIO","7",$N$3="AGOSTO","8",$N$3="SETIEMBRE","9",$N$3="OCTUBRE","10",$N$3="NOVIEMBRE","11",$N$3="DICIEMBRE","12"))),3,0),"")</f>
        <v>KENNETH</v>
      </c>
      <c r="B19" s="34" t="str" cm="1">
        <f t="array" ref="B19">TRIM(IFERROR(_xlfn.IFS(D1_MAYO_202681[[#This Row],[ASESOR]]="ELVIS GUERRA","ELVIS GUERRERA",D1_MAYO_202681[[#This Row],[ASESOR]]="GENESIS VICUÑA","GENESIS VICUNA",D1_MAYO_202681[[#This Row],[ASESOR]]="JENY QUIÑONES","JENY QUINONES",D1_MAYO_202681[[#This Row],[ASESOR]]="NICOLE CAURURO","NICOLE CAURURO"),D1_MAYO_202681[[#This Row],[ASESOR]]))</f>
        <v>MILAGROS QUIO</v>
      </c>
      <c r="C19" s="34" cm="1">
        <f t="array" ref="C19">_xlfn.XLOOKUP(1,(TablaMeta[CONCAT]=$M$3&amp;$N$3&amp;D1_MAYO_202681[[#This Row],[SUPER]])*(TablaMeta[SEGG]=D1_MAYO_202681[[#This Row],[SEGMENTO]]),TablaMeta[Meta_Asesor])</f>
        <v>61300</v>
      </c>
      <c r="D19" s="35">
        <f>IF(D1_MAYO_202681[[#This Row],[RECUPERO]]="VACACIONES","VACACIONES",IFERROR(D1_MAYO_202681[[#This Row],[RECUPERO]]/D1_MAYO_202681[[#This Row],[META]],""))</f>
        <v>1.1106362153344209</v>
      </c>
      <c r="E19" s="35" t="str">
        <f>D1_MAYO_202681[[#This Row],[SUPER]]</f>
        <v>KENNETH</v>
      </c>
      <c r="F19" t="s">
        <v>11</v>
      </c>
      <c r="G19" s="36">
        <v>68082</v>
      </c>
      <c r="H19" s="34" cm="1">
        <f t="array" ref="H19">IFERROR(VLOOKUP(D1_MAYO_202681[[#This Row],[ASESOR_CRR]],_xlfn._xlws.FILTER(PLANTILLA[[ASESOR]:[FECHA DE CESE]],PLANTILLA[FECHA]=_xlfn.CONCAT($M$3,"_",_xlfn.IFS($N$3="ENERO","1",$N$3="FEBRERO","2",$N$3="MARZO","3",$N$3="ABRIL","4",$N$3="MAYO","5",$N$3="JUNIO","6",$N$3="JULIO","7",$N$3="AGOSTO","8",$N$3="SETIEMBRE","9",$N$3="OCTUBRE","10",$N$3="NOVIEMBRE","11",$N$3="DICIEMBRE","12"))),2,0),"")</f>
        <v>45139159</v>
      </c>
      <c r="I19" s="60" cm="1">
        <f t="array" ref="I19">IFERROR(VLOOKUP(D1_MAYO_202681[[#This Row],[ASESOR_CRR]],_xlfn._xlws.FILTER(PLANTILLA[[ASESOR]:[FECHA DE CESE]],PLANTILLA[FECHA]=_xlfn.CONCAT($M$3,"_",_xlfn.IFS($N$3="ENERO","1",$N$3="FEBRERO","2",$N$3="MARZO","3",$N$3="ABRIL","4",$N$3="MAYO","5",$N$3="JUNIO","6",$N$3="JULIO","7",$N$3="AGOSTO","8",$N$3="SETIEMBRE","9",$N$3="OCTUBRE","10",$N$3="NOVIEMBRE","11",$N$3="DICIEMBRE","12"))),6,0),"")</f>
        <v>45369</v>
      </c>
      <c r="J19" s="60" t="str" cm="1">
        <f t="array" ref="J19">IFERROR(VLOOKUP(D1_MAYO_202681[[#This Row],[ASESOR_CRR]],_xlfn._xlws.FILTER(PLANTILLA[[ASESOR]:[FECHA DE CESE]],PLANTILLA[FECHA]=_xlfn.CONCAT($M$3,"_",_xlfn.IFS($N$3="ENERO","1",$N$3="FEBRERO","2",$N$3="MARZO","3",$N$3="ABRIL","4",$N$3="MAYO","5",$N$3="JUNIO","6",$N$3="JULIO","7",$N$3="AGOSTO","8",$N$3="SETIEMBRE","9",$N$3="OCTUBRE","10",$N$3="NOVIEMBRE","11",$N$3="DICIEMBRE","12"))),4,0),"")</f>
        <v>CALL</v>
      </c>
      <c r="K19" s="60" t="str" cm="1">
        <f t="array" ref="K19">IFERROR(VLOOKUP(D1_MAYO_202681[[#This Row],[ASESOR_CRR]],_xlfn._xlws.FILTER(PLANTILLA[[ASESOR]:[FECHA DE CESE]],PLANTILLA[FECHA]=_xlfn.CONCAT($M$3,"_",_xlfn.IFS($N$3="ENERO","1",$N$3="FEBRERO","2",$N$3="MARZO","3",$N$3="ABRIL","4",$N$3="MAYO","5",$N$3="JUNIO","6",$N$3="JULIO","7",$N$3="AGOSTO","8",$N$3="SETIEMBRE","9",$N$3="OCTUBRE","10",$N$3="NOVIEMBRE","11",$N$3="DICIEMBRE","12"))),8,0),"")</f>
        <v>S0</v>
      </c>
      <c r="L19" s="55"/>
      <c r="M19" s="5">
        <f>DATA_MAYO_202684[[#This Row],[RECUPERO]]/DATA_MAYO_202684[[#This Row],[META]]</f>
        <v>0.98333333333333328</v>
      </c>
      <c r="N19" s="5">
        <f>6-ROUNDUP(_xlfn.RANK.EQ(DATA_MAYO_202684[[#This Row],[AL_AC]],DATA_MAYO_202684[AL_AC],0)/(COUNTA(DATA_MAYO_202684[AL_AC])/5),0)</f>
        <v>4</v>
      </c>
      <c r="O19" s="54" t="str">
        <f>IFERROR(VLOOKUP(DATA_MAYO_202684[[#This Row],[ASER_]],$B:$G,4,0),"")</f>
        <v>LISELY</v>
      </c>
      <c r="P19" s="6">
        <f>SUM(DATA_MAYO_202684[[#This Row],[2]:[31]])</f>
        <v>22420</v>
      </c>
      <c r="Q19" s="6">
        <f>VLOOKUP(DATA_MAYO_202684[[#This Row],[ASER_]],D1_MAYO_202681[[ASESOR_CRR]:[META]],2,0)</f>
        <v>22800</v>
      </c>
      <c r="R19" t="s">
        <v>495</v>
      </c>
      <c r="U19">
        <v>600</v>
      </c>
      <c r="V19">
        <v>2000</v>
      </c>
      <c r="X19">
        <v>1200</v>
      </c>
      <c r="Y19">
        <v>1500</v>
      </c>
      <c r="AB19">
        <v>400</v>
      </c>
      <c r="AD19">
        <v>2000</v>
      </c>
      <c r="AE19">
        <v>250</v>
      </c>
      <c r="AF19">
        <v>410</v>
      </c>
      <c r="AI19">
        <v>1600</v>
      </c>
      <c r="AK19">
        <v>2000</v>
      </c>
      <c r="AM19">
        <v>5500</v>
      </c>
      <c r="AP19">
        <v>250</v>
      </c>
      <c r="AQ19">
        <v>1650</v>
      </c>
      <c r="AS19">
        <v>1200</v>
      </c>
      <c r="AT19">
        <v>1010</v>
      </c>
      <c r="AU19">
        <v>850</v>
      </c>
      <c r="AW19" s="54" t="str" cm="1">
        <f t="array" ref="AW19">IFERROR(VLOOKUP(DATA_MAYO_202684[[#This Row],[ASER_]],_xlfn._xlws.FILTER(PLANTILLA[[ASESOR]:[FECHA DE CESE]],PLANTILLA[FECHA]=_xlfn.CONCAT($M$3,"_",_xlfn.IFS($N$3="ENERO","1",$N$3="FEBRERO","2",$N$3="MARZO","3",$N$3="ABRIL","4",$N$3="MAYO","5",$N$3="JUNIO","6",$N$3="JULIO","7",$N$3="AGOSTO","8",$N$3="SETIEMBRE","9",$N$3="OCTUBRE","10",$N$3="NOVIEMBRE","11",$N$3="DICIEMBRE","12"))),8,0),"")</f>
        <v>S2-3-4 BANCO</v>
      </c>
      <c r="BC19" s="45"/>
      <c r="BS19" s="47"/>
      <c r="BT19" s="45"/>
      <c r="BU19" s="45"/>
      <c r="BW19" s="45"/>
      <c r="BX19" s="47"/>
      <c r="BY19" s="47"/>
      <c r="CA19" s="45"/>
      <c r="CB19" s="45"/>
      <c r="CF19" s="47"/>
      <c r="CG19" s="47"/>
      <c r="CO19" t="s">
        <v>636</v>
      </c>
      <c r="CP19" t="s">
        <v>7</v>
      </c>
      <c r="CQ19" t="s">
        <v>80</v>
      </c>
      <c r="CR19">
        <v>46167</v>
      </c>
      <c r="CS19">
        <v>1</v>
      </c>
      <c r="CT19">
        <v>1</v>
      </c>
      <c r="CV19">
        <v>1</v>
      </c>
      <c r="CX19">
        <v>0</v>
      </c>
      <c r="CY19">
        <v>0</v>
      </c>
      <c r="CZ19">
        <v>0.15589120370370371</v>
      </c>
      <c r="DA19">
        <v>0.17841435185185187</v>
      </c>
      <c r="DB19">
        <v>66</v>
      </c>
      <c r="DC19">
        <v>138</v>
      </c>
      <c r="DD19">
        <v>10</v>
      </c>
      <c r="DE19">
        <v>2.4</v>
      </c>
      <c r="DF19">
        <v>28677</v>
      </c>
      <c r="DG19">
        <v>0.1515</v>
      </c>
      <c r="DH19">
        <v>2</v>
      </c>
      <c r="DI19">
        <v>0.2</v>
      </c>
      <c r="DJ19">
        <v>2155</v>
      </c>
      <c r="DK19">
        <v>1078</v>
      </c>
      <c r="DL19">
        <v>2155</v>
      </c>
      <c r="DM19">
        <v>1</v>
      </c>
      <c r="DN19">
        <v>0.12429999999999999</v>
      </c>
      <c r="DO19">
        <v>100</v>
      </c>
      <c r="DP19">
        <v>1078</v>
      </c>
    </row>
    <row r="20" spans="1:120" x14ac:dyDescent="0.25">
      <c r="A20" s="34" t="str" cm="1">
        <f t="array" ref="A20">IFERROR(VLOOKUP(D1_MAYO_202681[[#This Row],[ASESOR_CRR]],_xlfn._xlws.FILTER(PLANTILLA[[ASESOR]:[FECHA DE CESE]],PLANTILLA[FECHA]=_xlfn.CONCAT($M$3,"_",_xlfn.IFS($N$3="ENERO","1",$N$3="FEBRERO","2",$N$3="MARZO","3",$N$3="ABRIL","4",$N$3="MAYO","5",$N$3="JUNIO","6",$N$3="JULIO","7",$N$3="AGOSTO","8",$N$3="SETIEMBRE","9",$N$3="OCTUBRE","10",$N$3="NOVIEMBRE","11",$N$3="DICIEMBRE","12"))),3,0),"")</f>
        <v>KENNETH</v>
      </c>
      <c r="B20" s="34" t="str" cm="1">
        <f t="array" ref="B20">TRIM(IFERROR(_xlfn.IFS(D1_MAYO_202681[[#This Row],[ASESOR]]="ELVIS GUERRA","ELVIS GUERRERA",D1_MAYO_202681[[#This Row],[ASESOR]]="GENESIS VICUÑA","GENESIS VICUNA",D1_MAYO_202681[[#This Row],[ASESOR]]="JENY QUIÑONES","JENY QUINONES",D1_MAYO_202681[[#This Row],[ASESOR]]="NICOLE CAURURO","NICOLE CAURURO"),D1_MAYO_202681[[#This Row],[ASESOR]]))</f>
        <v>JUAN LOZA</v>
      </c>
      <c r="C20" s="34" cm="1">
        <f t="array" ref="C20">_xlfn.XLOOKUP(1,(TablaMeta[CONCAT]=$M$3&amp;$N$3&amp;D1_MAYO_202681[[#This Row],[SUPER]])*(TablaMeta[SEGG]=D1_MAYO_202681[[#This Row],[SEGMENTO]]),TablaMeta[Meta_Asesor])</f>
        <v>61300</v>
      </c>
      <c r="D20" s="35">
        <f>IF(D1_MAYO_202681[[#This Row],[RECUPERO]]="VACACIONES","VACACIONES",IFERROR(D1_MAYO_202681[[#This Row],[RECUPERO]]/D1_MAYO_202681[[#This Row],[META]],""))</f>
        <v>0.85006525285481238</v>
      </c>
      <c r="E20" s="35" t="str">
        <f>D1_MAYO_202681[[#This Row],[SUPER]]</f>
        <v>KENNETH</v>
      </c>
      <c r="F20" t="s">
        <v>35</v>
      </c>
      <c r="G20" s="36">
        <v>52109</v>
      </c>
      <c r="H20" s="34" cm="1">
        <f t="array" ref="H20">IFERROR(VLOOKUP(D1_MAYO_202681[[#This Row],[ASESOR_CRR]],_xlfn._xlws.FILTER(PLANTILLA[[ASESOR]:[FECHA DE CESE]],PLANTILLA[FECHA]=_xlfn.CONCAT($M$3,"_",_xlfn.IFS($N$3="ENERO","1",$N$3="FEBRERO","2",$N$3="MARZO","3",$N$3="ABRIL","4",$N$3="MAYO","5",$N$3="JUNIO","6",$N$3="JULIO","7",$N$3="AGOSTO","8",$N$3="SETIEMBRE","9",$N$3="OCTUBRE","10",$N$3="NOVIEMBRE","11",$N$3="DICIEMBRE","12"))),2,0),"")</f>
        <v>10491198</v>
      </c>
      <c r="I20" s="60" cm="1">
        <f t="array" ref="I20">IFERROR(VLOOKUP(D1_MAYO_202681[[#This Row],[ASESOR_CRR]],_xlfn._xlws.FILTER(PLANTILLA[[ASESOR]:[FECHA DE CESE]],PLANTILLA[FECHA]=_xlfn.CONCAT($M$3,"_",_xlfn.IFS($N$3="ENERO","1",$N$3="FEBRERO","2",$N$3="MARZO","3",$N$3="ABRIL","4",$N$3="MAYO","5",$N$3="JUNIO","6",$N$3="JULIO","7",$N$3="AGOSTO","8",$N$3="SETIEMBRE","9",$N$3="OCTUBRE","10",$N$3="NOVIEMBRE","11",$N$3="DICIEMBRE","12"))),6,0),"")</f>
        <v>44746</v>
      </c>
      <c r="J20" s="60" t="str" cm="1">
        <f t="array" ref="J20">IFERROR(VLOOKUP(D1_MAYO_202681[[#This Row],[ASESOR_CRR]],_xlfn._xlws.FILTER(PLANTILLA[[ASESOR]:[FECHA DE CESE]],PLANTILLA[FECHA]=_xlfn.CONCAT($M$3,"_",_xlfn.IFS($N$3="ENERO","1",$N$3="FEBRERO","2",$N$3="MARZO","3",$N$3="ABRIL","4",$N$3="MAYO","5",$N$3="JUNIO","6",$N$3="JULIO","7",$N$3="AGOSTO","8",$N$3="SETIEMBRE","9",$N$3="OCTUBRE","10",$N$3="NOVIEMBRE","11",$N$3="DICIEMBRE","12"))),4,0),"")</f>
        <v>CALL</v>
      </c>
      <c r="K20" s="60" t="str" cm="1">
        <f t="array" ref="K20">IFERROR(VLOOKUP(D1_MAYO_202681[[#This Row],[ASESOR_CRR]],_xlfn._xlws.FILTER(PLANTILLA[[ASESOR]:[FECHA DE CESE]],PLANTILLA[FECHA]=_xlfn.CONCAT($M$3,"_",_xlfn.IFS($N$3="ENERO","1",$N$3="FEBRERO","2",$N$3="MARZO","3",$N$3="ABRIL","4",$N$3="MAYO","5",$N$3="JUNIO","6",$N$3="JULIO","7",$N$3="AGOSTO","8",$N$3="SETIEMBRE","9",$N$3="OCTUBRE","10",$N$3="NOVIEMBRE","11",$N$3="DICIEMBRE","12"))),8,0),"")</f>
        <v>S0</v>
      </c>
      <c r="L20" s="55"/>
      <c r="M20" s="5">
        <f>DATA_MAYO_202684[[#This Row],[RECUPERO]]/DATA_MAYO_202684[[#This Row],[META]]</f>
        <v>0.76570469798657714</v>
      </c>
      <c r="N20" s="5">
        <f>6-ROUNDUP(_xlfn.RANK.EQ(DATA_MAYO_202684[[#This Row],[AL_AC]],DATA_MAYO_202684[AL_AC],0)/(COUNTA(DATA_MAYO_202684[AL_AC])/5),0)</f>
        <v>2</v>
      </c>
      <c r="O20" s="54" t="str">
        <f>IFERROR(VLOOKUP(DATA_MAYO_202684[[#This Row],[ASER_]],$B:$G,4,0),"")</f>
        <v>LEONOR</v>
      </c>
      <c r="P20" s="6">
        <f>SUM(DATA_MAYO_202684[[#This Row],[2]:[31]])</f>
        <v>34227</v>
      </c>
      <c r="Q20" s="6">
        <f>VLOOKUP(DATA_MAYO_202684[[#This Row],[ASER_]],D1_MAYO_202681[[ASESOR_CRR]:[META]],2,0)</f>
        <v>44700</v>
      </c>
      <c r="R20" t="s">
        <v>72</v>
      </c>
      <c r="W20">
        <v>11600</v>
      </c>
      <c r="Y20">
        <v>420</v>
      </c>
      <c r="AF20">
        <v>2500</v>
      </c>
      <c r="AS20">
        <v>307</v>
      </c>
      <c r="AT20">
        <v>19400</v>
      </c>
      <c r="AW20" s="54" t="str" cm="1">
        <f t="array" ref="AW20">IFERROR(VLOOKUP(DATA_MAYO_202684[[#This Row],[ASER_]],_xlfn._xlws.FILTER(PLANTILLA[[ASESOR]:[FECHA DE CESE]],PLANTILLA[FECHA]=_xlfn.CONCAT($M$3,"_",_xlfn.IFS($N$3="ENERO","1",$N$3="FEBRERO","2",$N$3="MARZO","3",$N$3="ABRIL","4",$N$3="MAYO","5",$N$3="JUNIO","6",$N$3="JULIO","7",$N$3="AGOSTO","8",$N$3="SETIEMBRE","9",$N$3="OCTUBRE","10",$N$3="NOVIEMBRE","11",$N$3="DICIEMBRE","12"))),8,0),"")</f>
        <v>S1</v>
      </c>
      <c r="BC20" s="47"/>
      <c r="BS20" s="45"/>
      <c r="BY20" s="45"/>
      <c r="CA20" s="45"/>
      <c r="CB20" s="47"/>
      <c r="CE20" s="45"/>
      <c r="CF20" s="47"/>
      <c r="CG20" s="45"/>
      <c r="CO20" t="s">
        <v>636</v>
      </c>
      <c r="CP20" t="s">
        <v>7</v>
      </c>
      <c r="CQ20" t="s">
        <v>72</v>
      </c>
      <c r="CR20">
        <v>46155</v>
      </c>
      <c r="CS20">
        <v>1</v>
      </c>
      <c r="CT20">
        <v>1</v>
      </c>
      <c r="CV20">
        <v>1</v>
      </c>
      <c r="CX20">
        <v>1.7361111111111112E-4</v>
      </c>
      <c r="CY20">
        <v>1.7361111111111112E-4</v>
      </c>
      <c r="CZ20">
        <v>0.17987268518518518</v>
      </c>
      <c r="DA20">
        <v>0.1323148148148148</v>
      </c>
      <c r="DB20">
        <v>155</v>
      </c>
      <c r="DC20">
        <v>333</v>
      </c>
      <c r="DD20">
        <v>31</v>
      </c>
      <c r="DE20" t="s">
        <v>675</v>
      </c>
      <c r="DF20">
        <v>34671</v>
      </c>
      <c r="DG20">
        <v>0.2</v>
      </c>
      <c r="DO20">
        <v>100</v>
      </c>
    </row>
    <row r="21" spans="1:120" x14ac:dyDescent="0.25">
      <c r="A21" s="34" t="str" cm="1">
        <f t="array" ref="A21">IFERROR(VLOOKUP(D1_MAYO_202681[[#This Row],[ASESOR_CRR]],_xlfn._xlws.FILTER(PLANTILLA[[ASESOR]:[FECHA DE CESE]],PLANTILLA[FECHA]=_xlfn.CONCAT($M$3,"_",_xlfn.IFS($N$3="ENERO","1",$N$3="FEBRERO","2",$N$3="MARZO","3",$N$3="ABRIL","4",$N$3="MAYO","5",$N$3="JUNIO","6",$N$3="JULIO","7",$N$3="AGOSTO","8",$N$3="SETIEMBRE","9",$N$3="OCTUBRE","10",$N$3="NOVIEMBRE","11",$N$3="DICIEMBRE","12"))),3,0),"")</f>
        <v>KENNETH</v>
      </c>
      <c r="B21" s="34" t="str" cm="1">
        <f t="array" ref="B21">TRIM(IFERROR(_xlfn.IFS(D1_MAYO_202681[[#This Row],[ASESOR]]="ELVIS GUERRA","ELVIS GUERRERA",D1_MAYO_202681[[#This Row],[ASESOR]]="GENESIS VICUÑA","GENESIS VICUNA",D1_MAYO_202681[[#This Row],[ASESOR]]="JENY QUIÑONES","JENY QUINONES",D1_MAYO_202681[[#This Row],[ASESOR]]="NICOLE CAURURO","NICOLE CAURURO"),D1_MAYO_202681[[#This Row],[ASESOR]]))</f>
        <v>FRANK PACORA</v>
      </c>
      <c r="C21" s="34" cm="1">
        <f t="array" ref="C21">_xlfn.XLOOKUP(1,(TablaMeta[CONCAT]=$M$3&amp;$N$3&amp;D1_MAYO_202681[[#This Row],[SUPER]])*(TablaMeta[SEGG]=D1_MAYO_202681[[#This Row],[SEGMENTO]]),TablaMeta[Meta_Asesor])</f>
        <v>61300</v>
      </c>
      <c r="D21" s="35">
        <f>IF(D1_MAYO_202681[[#This Row],[RECUPERO]]="VACACIONES","VACACIONES",IFERROR(D1_MAYO_202681[[#This Row],[RECUPERO]]/D1_MAYO_202681[[#This Row],[META]],""))</f>
        <v>0.71125611745513861</v>
      </c>
      <c r="E21" s="35" t="str">
        <f>D1_MAYO_202681[[#This Row],[SUPER]]</f>
        <v>KENNETH</v>
      </c>
      <c r="F21" t="s">
        <v>105</v>
      </c>
      <c r="G21" s="36">
        <v>43600</v>
      </c>
      <c r="H21" s="34" cm="1">
        <f t="array" ref="H21">IFERROR(VLOOKUP(D1_MAYO_202681[[#This Row],[ASESOR_CRR]],_xlfn._xlws.FILTER(PLANTILLA[[ASESOR]:[FECHA DE CESE]],PLANTILLA[FECHA]=_xlfn.CONCAT($M$3,"_",_xlfn.IFS($N$3="ENERO","1",$N$3="FEBRERO","2",$N$3="MARZO","3",$N$3="ABRIL","4",$N$3="MAYO","5",$N$3="JUNIO","6",$N$3="JULIO","7",$N$3="AGOSTO","8",$N$3="SETIEMBRE","9",$N$3="OCTUBRE","10",$N$3="NOVIEMBRE","11",$N$3="DICIEMBRE","12"))),2,0),"")</f>
        <v>48344037</v>
      </c>
      <c r="I21" s="60" cm="1">
        <f t="array" ref="I21">IFERROR(VLOOKUP(D1_MAYO_202681[[#This Row],[ASESOR_CRR]],_xlfn._xlws.FILTER(PLANTILLA[[ASESOR]:[FECHA DE CESE]],PLANTILLA[FECHA]=_xlfn.CONCAT($M$3,"_",_xlfn.IFS($N$3="ENERO","1",$N$3="FEBRERO","2",$N$3="MARZO","3",$N$3="ABRIL","4",$N$3="MAYO","5",$N$3="JUNIO","6",$N$3="JULIO","7",$N$3="AGOSTO","8",$N$3="SETIEMBRE","9",$N$3="OCTUBRE","10",$N$3="NOVIEMBRE","11",$N$3="DICIEMBRE","12"))),6,0),"")</f>
        <v>46027</v>
      </c>
      <c r="J21" s="60" t="str" cm="1">
        <f t="array" ref="J21">IFERROR(VLOOKUP(D1_MAYO_202681[[#This Row],[ASESOR_CRR]],_xlfn._xlws.FILTER(PLANTILLA[[ASESOR]:[FECHA DE CESE]],PLANTILLA[FECHA]=_xlfn.CONCAT($M$3,"_",_xlfn.IFS($N$3="ENERO","1",$N$3="FEBRERO","2",$N$3="MARZO","3",$N$3="ABRIL","4",$N$3="MAYO","5",$N$3="JUNIO","6",$N$3="JULIO","7",$N$3="AGOSTO","8",$N$3="SETIEMBRE","9",$N$3="OCTUBRE","10",$N$3="NOVIEMBRE","11",$N$3="DICIEMBRE","12"))),4,0),"")</f>
        <v>CALL</v>
      </c>
      <c r="K21" s="60" t="str" cm="1">
        <f t="array" ref="K21">IFERROR(VLOOKUP(D1_MAYO_202681[[#This Row],[ASESOR_CRR]],_xlfn._xlws.FILTER(PLANTILLA[[ASESOR]:[FECHA DE CESE]],PLANTILLA[FECHA]=_xlfn.CONCAT($M$3,"_",_xlfn.IFS($N$3="ENERO","1",$N$3="FEBRERO","2",$N$3="MARZO","3",$N$3="ABRIL","4",$N$3="MAYO","5",$N$3="JUNIO","6",$N$3="JULIO","7",$N$3="AGOSTO","8",$N$3="SETIEMBRE","9",$N$3="OCTUBRE","10",$N$3="NOVIEMBRE","11",$N$3="DICIEMBRE","12"))),8,0),"")</f>
        <v>S0</v>
      </c>
      <c r="L21" s="55"/>
      <c r="M21" s="5">
        <f>DATA_MAYO_202684[[#This Row],[RECUPERO]]/DATA_MAYO_202684[[#This Row],[META]]</f>
        <v>1.1412498881431767</v>
      </c>
      <c r="N21" s="5">
        <f>6-ROUNDUP(_xlfn.RANK.EQ(DATA_MAYO_202684[[#This Row],[AL_AC]],DATA_MAYO_202684[AL_AC],0)/(COUNTA(DATA_MAYO_202684[AL_AC])/5),0)</f>
        <v>5</v>
      </c>
      <c r="O21" s="54" t="str">
        <f>IFERROR(VLOOKUP(DATA_MAYO_202684[[#This Row],[ASER_]],$B:$G,4,0),"")</f>
        <v>JORGE</v>
      </c>
      <c r="P21" s="6">
        <f>SUM(DATA_MAYO_202684[[#This Row],[2]:[31]])</f>
        <v>51013.869999999995</v>
      </c>
      <c r="Q21" s="6">
        <f>VLOOKUP(DATA_MAYO_202684[[#This Row],[ASER_]],D1_MAYO_202681[[ASESOR_CRR]:[META]],2,0)</f>
        <v>44700</v>
      </c>
      <c r="R21" t="s">
        <v>22</v>
      </c>
      <c r="U21">
        <v>2000</v>
      </c>
      <c r="Y21">
        <v>4713.87</v>
      </c>
      <c r="AF21">
        <v>8300</v>
      </c>
      <c r="AG21">
        <v>2000</v>
      </c>
      <c r="AI21">
        <v>500</v>
      </c>
      <c r="AJ21">
        <v>400</v>
      </c>
      <c r="AL21">
        <v>3100</v>
      </c>
      <c r="AP21">
        <v>3000</v>
      </c>
      <c r="AQ21">
        <v>2800</v>
      </c>
      <c r="AR21">
        <v>1800</v>
      </c>
      <c r="AT21">
        <v>10600</v>
      </c>
      <c r="AU21">
        <v>11800</v>
      </c>
      <c r="AW21" s="54" t="str" cm="1">
        <f t="array" ref="AW21">IFERROR(VLOOKUP(DATA_MAYO_202684[[#This Row],[ASER_]],_xlfn._xlws.FILTER(PLANTILLA[[ASESOR]:[FECHA DE CESE]],PLANTILLA[FECHA]=_xlfn.CONCAT($M$3,"_",_xlfn.IFS($N$3="ENERO","1",$N$3="FEBRERO","2",$N$3="MARZO","3",$N$3="ABRIL","4",$N$3="MAYO","5",$N$3="JUNIO","6",$N$3="JULIO","7",$N$3="AGOSTO","8",$N$3="SETIEMBRE","9",$N$3="OCTUBRE","10",$N$3="NOVIEMBRE","11",$N$3="DICIEMBRE","12"))),8,0),"")</f>
        <v>S1</v>
      </c>
      <c r="BC21" s="45"/>
      <c r="CA21" s="45"/>
      <c r="CB21" s="47"/>
      <c r="CE21" s="45"/>
      <c r="CF21" s="45"/>
      <c r="CO21" t="s">
        <v>636</v>
      </c>
      <c r="CP21" t="s">
        <v>7</v>
      </c>
      <c r="CQ21" t="s">
        <v>72</v>
      </c>
      <c r="CR21">
        <v>46162</v>
      </c>
      <c r="CS21">
        <v>1</v>
      </c>
      <c r="CT21">
        <v>1</v>
      </c>
      <c r="CV21">
        <v>1</v>
      </c>
      <c r="CX21">
        <v>1.6203703703703703E-4</v>
      </c>
      <c r="CY21">
        <v>1.6203703703703703E-4</v>
      </c>
      <c r="CZ21">
        <v>0.19116898148148148</v>
      </c>
      <c r="DA21">
        <v>0.16295138888888888</v>
      </c>
      <c r="DB21">
        <v>120</v>
      </c>
      <c r="DC21">
        <v>274</v>
      </c>
      <c r="DD21">
        <v>27</v>
      </c>
      <c r="DE21" t="s">
        <v>676</v>
      </c>
      <c r="DF21">
        <v>31051</v>
      </c>
      <c r="DG21">
        <v>0.22500000000000001</v>
      </c>
      <c r="DO21">
        <v>100</v>
      </c>
    </row>
    <row r="22" spans="1:120" x14ac:dyDescent="0.25">
      <c r="A22" s="34" t="str" cm="1">
        <f t="array" ref="A22">IFERROR(VLOOKUP(D1_MAYO_202681[[#This Row],[ASESOR_CRR]],_xlfn._xlws.FILTER(PLANTILLA[[ASESOR]:[FECHA DE CESE]],PLANTILLA[FECHA]=_xlfn.CONCAT($M$3,"_",_xlfn.IFS($N$3="ENERO","1",$N$3="FEBRERO","2",$N$3="MARZO","3",$N$3="ABRIL","4",$N$3="MAYO","5",$N$3="JUNIO","6",$N$3="JULIO","7",$N$3="AGOSTO","8",$N$3="SETIEMBRE","9",$N$3="OCTUBRE","10",$N$3="NOVIEMBRE","11",$N$3="DICIEMBRE","12"))),3,0),"")</f>
        <v>KENNETH</v>
      </c>
      <c r="B22" s="34" t="str" cm="1">
        <f t="array" ref="B22">TRIM(IFERROR(_xlfn.IFS(D1_MAYO_202681[[#This Row],[ASESOR]]="ELVIS GUERRA","ELVIS GUERRERA",D1_MAYO_202681[[#This Row],[ASESOR]]="GENESIS VICUÑA","GENESIS VICUNA",D1_MAYO_202681[[#This Row],[ASESOR]]="JENY QUIÑONES","JENY QUINONES",D1_MAYO_202681[[#This Row],[ASESOR]]="NICOLE CAURURO","NICOLE CAURURO"),D1_MAYO_202681[[#This Row],[ASESOR]]))</f>
        <v>CARMEN PUMA</v>
      </c>
      <c r="C22" s="34" cm="1">
        <f t="array" ref="C22">_xlfn.XLOOKUP(1,(TablaMeta[CONCAT]=$M$3&amp;$N$3&amp;D1_MAYO_202681[[#This Row],[SUPER]])*(TablaMeta[SEGG]=D1_MAYO_202681[[#This Row],[SEGMENTO]]),TablaMeta[Meta_Asesor])</f>
        <v>61300</v>
      </c>
      <c r="D22" s="35">
        <f>IF(D1_MAYO_202681[[#This Row],[RECUPERO]]="VACACIONES","VACACIONES",IFERROR(D1_MAYO_202681[[#This Row],[RECUPERO]]/D1_MAYO_202681[[#This Row],[META]],""))</f>
        <v>0.60342577487765092</v>
      </c>
      <c r="E22" s="35" t="str">
        <f>D1_MAYO_202681[[#This Row],[SUPER]]</f>
        <v>KENNETH</v>
      </c>
      <c r="F22" t="s">
        <v>19</v>
      </c>
      <c r="G22" s="36">
        <v>36990</v>
      </c>
      <c r="H22" s="34" cm="1">
        <f t="array" ref="H22">IFERROR(VLOOKUP(D1_MAYO_202681[[#This Row],[ASESOR_CRR]],_xlfn._xlws.FILTER(PLANTILLA[[ASESOR]:[FECHA DE CESE]],PLANTILLA[FECHA]=_xlfn.CONCAT($M$3,"_",_xlfn.IFS($N$3="ENERO","1",$N$3="FEBRERO","2",$N$3="MARZO","3",$N$3="ABRIL","4",$N$3="MAYO","5",$N$3="JUNIO","6",$N$3="JULIO","7",$N$3="AGOSTO","8",$N$3="SETIEMBRE","9",$N$3="OCTUBRE","10",$N$3="NOVIEMBRE","11",$N$3="DICIEMBRE","12"))),2,0),"")</f>
        <v>76656128</v>
      </c>
      <c r="I22" s="60" cm="1">
        <f t="array" ref="I22">IFERROR(VLOOKUP(D1_MAYO_202681[[#This Row],[ASESOR_CRR]],_xlfn._xlws.FILTER(PLANTILLA[[ASESOR]:[FECHA DE CESE]],PLANTILLA[FECHA]=_xlfn.CONCAT($M$3,"_",_xlfn.IFS($N$3="ENERO","1",$N$3="FEBRERO","2",$N$3="MARZO","3",$N$3="ABRIL","4",$N$3="MAYO","5",$N$3="JUNIO","6",$N$3="JULIO","7",$N$3="AGOSTO","8",$N$3="SETIEMBRE","9",$N$3="OCTUBRE","10",$N$3="NOVIEMBRE","11",$N$3="DICIEMBRE","12"))),6,0),"")</f>
        <v>44671</v>
      </c>
      <c r="J22" s="60" t="str" cm="1">
        <f t="array" ref="J22">IFERROR(VLOOKUP(D1_MAYO_202681[[#This Row],[ASESOR_CRR]],_xlfn._xlws.FILTER(PLANTILLA[[ASESOR]:[FECHA DE CESE]],PLANTILLA[FECHA]=_xlfn.CONCAT($M$3,"_",_xlfn.IFS($N$3="ENERO","1",$N$3="FEBRERO","2",$N$3="MARZO","3",$N$3="ABRIL","4",$N$3="MAYO","5",$N$3="JUNIO","6",$N$3="JULIO","7",$N$3="AGOSTO","8",$N$3="SETIEMBRE","9",$N$3="OCTUBRE","10",$N$3="NOVIEMBRE","11",$N$3="DICIEMBRE","12"))),4,0),"")</f>
        <v>CALL</v>
      </c>
      <c r="K22" s="60" t="str" cm="1">
        <f t="array" ref="K22">IFERROR(VLOOKUP(D1_MAYO_202681[[#This Row],[ASESOR_CRR]],_xlfn._xlws.FILTER(PLANTILLA[[ASESOR]:[FECHA DE CESE]],PLANTILLA[FECHA]=_xlfn.CONCAT($M$3,"_",_xlfn.IFS($N$3="ENERO","1",$N$3="FEBRERO","2",$N$3="MARZO","3",$N$3="ABRIL","4",$N$3="MAYO","5",$N$3="JUNIO","6",$N$3="JULIO","7",$N$3="AGOSTO","8",$N$3="SETIEMBRE","9",$N$3="OCTUBRE","10",$N$3="NOVIEMBRE","11",$N$3="DICIEMBRE","12"))),8,0),"")</f>
        <v>S0</v>
      </c>
      <c r="L22" s="55"/>
      <c r="M22" s="5">
        <f>DATA_MAYO_202684[[#This Row],[RECUPERO]]/DATA_MAYO_202684[[#This Row],[META]]</f>
        <v>0.87850877192982457</v>
      </c>
      <c r="N22" s="5">
        <f>6-ROUNDUP(_xlfn.RANK.EQ(DATA_MAYO_202684[[#This Row],[AL_AC]],DATA_MAYO_202684[AL_AC],0)/(COUNTA(DATA_MAYO_202684[AL_AC])/5),0)</f>
        <v>3</v>
      </c>
      <c r="O22" s="54" t="str">
        <f>IFERROR(VLOOKUP(DATA_MAYO_202684[[#This Row],[ASER_]],$B:$G,4,0),"")</f>
        <v>LISELY</v>
      </c>
      <c r="P22" s="6">
        <f>SUM(DATA_MAYO_202684[[#This Row],[2]:[31]])</f>
        <v>20030</v>
      </c>
      <c r="Q22" s="6">
        <f>VLOOKUP(DATA_MAYO_202684[[#This Row],[ASER_]],D1_MAYO_202681[[ASESOR_CRR]:[META]],2,0)</f>
        <v>22800</v>
      </c>
      <c r="R22" t="s">
        <v>600</v>
      </c>
      <c r="AD22">
        <v>1000</v>
      </c>
      <c r="AE22">
        <v>2700</v>
      </c>
      <c r="AL22">
        <v>13000</v>
      </c>
      <c r="AQ22">
        <v>530</v>
      </c>
      <c r="AS22">
        <v>2800</v>
      </c>
      <c r="AW22" s="54" t="str" cm="1">
        <f t="array" ref="AW22">IFERROR(VLOOKUP(DATA_MAYO_202684[[#This Row],[ASER_]],_xlfn._xlws.FILTER(PLANTILLA[[ASESOR]:[FECHA DE CESE]],PLANTILLA[FECHA]=_xlfn.CONCAT($M$3,"_",_xlfn.IFS($N$3="ENERO","1",$N$3="FEBRERO","2",$N$3="MARZO","3",$N$3="ABRIL","4",$N$3="MAYO","5",$N$3="JUNIO","6",$N$3="JULIO","7",$N$3="AGOSTO","8",$N$3="SETIEMBRE","9",$N$3="OCTUBRE","10",$N$3="NOVIEMBRE","11",$N$3="DICIEMBRE","12"))),8,0),"")</f>
        <v>S2-3-4 BANCO</v>
      </c>
      <c r="BC22" s="47"/>
      <c r="CA22" s="47"/>
      <c r="CB22" s="45"/>
      <c r="CE22" s="45"/>
      <c r="CO22" t="s">
        <v>636</v>
      </c>
      <c r="CP22" t="s">
        <v>7</v>
      </c>
      <c r="CQ22" t="s">
        <v>72</v>
      </c>
      <c r="CR22">
        <v>46167</v>
      </c>
      <c r="CS22">
        <v>1</v>
      </c>
      <c r="CT22">
        <v>1</v>
      </c>
      <c r="CV22">
        <v>1</v>
      </c>
      <c r="CX22">
        <v>2.0833333333333335E-4</v>
      </c>
      <c r="CY22">
        <v>2.0833333333333335E-4</v>
      </c>
      <c r="CZ22">
        <v>0.18241898148148147</v>
      </c>
      <c r="DA22">
        <v>0.15589120370370371</v>
      </c>
      <c r="DB22">
        <v>129</v>
      </c>
      <c r="DC22">
        <v>299</v>
      </c>
      <c r="DD22">
        <v>22</v>
      </c>
      <c r="DE22" t="s">
        <v>673</v>
      </c>
      <c r="DF22">
        <v>39496</v>
      </c>
      <c r="DG22">
        <v>0.17050000000000001</v>
      </c>
      <c r="DH22">
        <v>1</v>
      </c>
      <c r="DI22">
        <v>4.5499999999999999E-2</v>
      </c>
      <c r="DJ22">
        <v>18000</v>
      </c>
      <c r="DK22">
        <v>18000</v>
      </c>
      <c r="DL22">
        <v>18000</v>
      </c>
      <c r="DM22">
        <v>1</v>
      </c>
      <c r="DN22">
        <v>0.2019</v>
      </c>
      <c r="DO22">
        <v>100</v>
      </c>
      <c r="DP22">
        <v>18000</v>
      </c>
    </row>
    <row r="23" spans="1:120" x14ac:dyDescent="0.25">
      <c r="A23" s="34" t="str" cm="1">
        <f t="array" ref="A23">IFERROR(VLOOKUP(D1_MAYO_202681[[#This Row],[ASESOR_CRR]],_xlfn._xlws.FILTER(PLANTILLA[[ASESOR]:[FECHA DE CESE]],PLANTILLA[FECHA]=_xlfn.CONCAT($M$3,"_",_xlfn.IFS($N$3="ENERO","1",$N$3="FEBRERO","2",$N$3="MARZO","3",$N$3="ABRIL","4",$N$3="MAYO","5",$N$3="JUNIO","6",$N$3="JULIO","7",$N$3="AGOSTO","8",$N$3="SETIEMBRE","9",$N$3="OCTUBRE","10",$N$3="NOVIEMBRE","11",$N$3="DICIEMBRE","12"))),3,0),"")</f>
        <v>KENNETH</v>
      </c>
      <c r="B23" s="34" t="str" cm="1">
        <f t="array" ref="B23">TRIM(IFERROR(_xlfn.IFS(D1_MAYO_202681[[#This Row],[ASESOR]]="ELVIS GUERRA","ELVIS GUERRERA",D1_MAYO_202681[[#This Row],[ASESOR]]="GENESIS VICUÑA","GENESIS VICUNA",D1_MAYO_202681[[#This Row],[ASESOR]]="JENY QUIÑONES","JENY QUINONES",D1_MAYO_202681[[#This Row],[ASESOR]]="NICOLE CAURURO","NICOLE CAURURO"),D1_MAYO_202681[[#This Row],[ASESOR]]))</f>
        <v>VICTOR RAMIREZ</v>
      </c>
      <c r="C23" s="34" cm="1">
        <f t="array" ref="C23">_xlfn.XLOOKUP(1,(TablaMeta[CONCAT]=$M$3&amp;$N$3&amp;D1_MAYO_202681[[#This Row],[SUPER]])*(TablaMeta[SEGG]=D1_MAYO_202681[[#This Row],[SEGMENTO]]),TablaMeta[Meta_Asesor])</f>
        <v>61300</v>
      </c>
      <c r="D23" s="35">
        <f>IF(D1_MAYO_202681[[#This Row],[RECUPERO]]="VACACIONES","VACACIONES",IFERROR(D1_MAYO_202681[[#This Row],[RECUPERO]]/D1_MAYO_202681[[#This Row],[META]],""))</f>
        <v>0.18261011419249593</v>
      </c>
      <c r="E23" s="35" t="str">
        <f>D1_MAYO_202681[[#This Row],[SUPER]]</f>
        <v>KENNETH</v>
      </c>
      <c r="F23" t="s">
        <v>76</v>
      </c>
      <c r="G23" s="36">
        <v>11194</v>
      </c>
      <c r="H23" s="34" cm="1">
        <f t="array" ref="H23">IFERROR(VLOOKUP(D1_MAYO_202681[[#This Row],[ASESOR_CRR]],_xlfn._xlws.FILTER(PLANTILLA[[ASESOR]:[FECHA DE CESE]],PLANTILLA[FECHA]=_xlfn.CONCAT($M$3,"_",_xlfn.IFS($N$3="ENERO","1",$N$3="FEBRERO","2",$N$3="MARZO","3",$N$3="ABRIL","4",$N$3="MAYO","5",$N$3="JUNIO","6",$N$3="JULIO","7",$N$3="AGOSTO","8",$N$3="SETIEMBRE","9",$N$3="OCTUBRE","10",$N$3="NOVIEMBRE","11",$N$3="DICIEMBRE","12"))),2,0),"")</f>
        <v>60914051</v>
      </c>
      <c r="I23" s="60" cm="1">
        <f t="array" ref="I23">IFERROR(VLOOKUP(D1_MAYO_202681[[#This Row],[ASESOR_CRR]],_xlfn._xlws.FILTER(PLANTILLA[[ASESOR]:[FECHA DE CESE]],PLANTILLA[FECHA]=_xlfn.CONCAT($M$3,"_",_xlfn.IFS($N$3="ENERO","1",$N$3="FEBRERO","2",$N$3="MARZO","3",$N$3="ABRIL","4",$N$3="MAYO","5",$N$3="JUNIO","6",$N$3="JULIO","7",$N$3="AGOSTO","8",$N$3="SETIEMBRE","9",$N$3="OCTUBRE","10",$N$3="NOVIEMBRE","11",$N$3="DICIEMBRE","12"))),6,0),"")</f>
        <v>44817</v>
      </c>
      <c r="J23" s="60" t="str" cm="1">
        <f t="array" ref="J23">IFERROR(VLOOKUP(D1_MAYO_202681[[#This Row],[ASESOR_CRR]],_xlfn._xlws.FILTER(PLANTILLA[[ASESOR]:[FECHA DE CESE]],PLANTILLA[FECHA]=_xlfn.CONCAT($M$3,"_",_xlfn.IFS($N$3="ENERO","1",$N$3="FEBRERO","2",$N$3="MARZO","3",$N$3="ABRIL","4",$N$3="MAYO","5",$N$3="JUNIO","6",$N$3="JULIO","7",$N$3="AGOSTO","8",$N$3="SETIEMBRE","9",$N$3="OCTUBRE","10",$N$3="NOVIEMBRE","11",$N$3="DICIEMBRE","12"))),4,0),"")</f>
        <v>CALL</v>
      </c>
      <c r="K23" s="60" t="str" cm="1">
        <f t="array" ref="K23">IFERROR(VLOOKUP(D1_MAYO_202681[[#This Row],[ASESOR_CRR]],_xlfn._xlws.FILTER(PLANTILLA[[ASESOR]:[FECHA DE CESE]],PLANTILLA[FECHA]=_xlfn.CONCAT($M$3,"_",_xlfn.IFS($N$3="ENERO","1",$N$3="FEBRERO","2",$N$3="MARZO","3",$N$3="ABRIL","4",$N$3="MAYO","5",$N$3="JUNIO","6",$N$3="JULIO","7",$N$3="AGOSTO","8",$N$3="SETIEMBRE","9",$N$3="OCTUBRE","10",$N$3="NOVIEMBRE","11",$N$3="DICIEMBRE","12"))),8,0),"")</f>
        <v>S0</v>
      </c>
      <c r="L23" s="55"/>
      <c r="M23" s="5">
        <f>DATA_MAYO_202684[[#This Row],[RECUPERO]]/DATA_MAYO_202684[[#This Row],[META]]</f>
        <v>1.1901118568232663</v>
      </c>
      <c r="N23" s="5">
        <f>6-ROUNDUP(_xlfn.RANK.EQ(DATA_MAYO_202684[[#This Row],[AL_AC]],DATA_MAYO_202684[AL_AC],0)/(COUNTA(DATA_MAYO_202684[AL_AC])/5),0)</f>
        <v>5</v>
      </c>
      <c r="O23" s="54" t="str">
        <f>IFERROR(VLOOKUP(DATA_MAYO_202684[[#This Row],[ASER_]],$B:$G,4,0),"")</f>
        <v>JORGE</v>
      </c>
      <c r="P23" s="6">
        <f>SUM(DATA_MAYO_202684[[#This Row],[2]:[31]])</f>
        <v>53198</v>
      </c>
      <c r="Q23" s="6">
        <f>VLOOKUP(DATA_MAYO_202684[[#This Row],[ASER_]],D1_MAYO_202681[[ASESOR_CRR]:[META]],2,0)</f>
        <v>44700</v>
      </c>
      <c r="R23" t="s">
        <v>24</v>
      </c>
      <c r="V23">
        <v>700</v>
      </c>
      <c r="X23">
        <v>6250</v>
      </c>
      <c r="AD23">
        <v>5290</v>
      </c>
      <c r="AE23">
        <v>2600</v>
      </c>
      <c r="AI23">
        <v>10100</v>
      </c>
      <c r="AJ23">
        <v>4000</v>
      </c>
      <c r="AK23">
        <v>450</v>
      </c>
      <c r="AL23">
        <v>1085</v>
      </c>
      <c r="AM23">
        <v>780</v>
      </c>
      <c r="AP23">
        <v>5950</v>
      </c>
      <c r="AR23">
        <v>1000</v>
      </c>
      <c r="AS23">
        <v>750</v>
      </c>
      <c r="AT23">
        <v>4000</v>
      </c>
      <c r="AU23">
        <v>10243</v>
      </c>
      <c r="AW23" s="54" t="str" cm="1">
        <f t="array" ref="AW23">IFERROR(VLOOKUP(DATA_MAYO_202684[[#This Row],[ASER_]],_xlfn._xlws.FILTER(PLANTILLA[[ASESOR]:[FECHA DE CESE]],PLANTILLA[FECHA]=_xlfn.CONCAT($M$3,"_",_xlfn.IFS($N$3="ENERO","1",$N$3="FEBRERO","2",$N$3="MARZO","3",$N$3="ABRIL","4",$N$3="MAYO","5",$N$3="JUNIO","6",$N$3="JULIO","7",$N$3="AGOSTO","8",$N$3="SETIEMBRE","9",$N$3="OCTUBRE","10",$N$3="NOVIEMBRE","11",$N$3="DICIEMBRE","12"))),8,0),"")</f>
        <v>S1</v>
      </c>
      <c r="CA23" s="45"/>
      <c r="CO23" t="s">
        <v>636</v>
      </c>
      <c r="CP23" t="s">
        <v>7</v>
      </c>
      <c r="CQ23" t="s">
        <v>12</v>
      </c>
      <c r="CR23">
        <v>46155</v>
      </c>
      <c r="CS23">
        <v>1</v>
      </c>
      <c r="CT23">
        <v>1</v>
      </c>
      <c r="CV23">
        <v>1</v>
      </c>
      <c r="CX23">
        <v>3.2407407407407406E-4</v>
      </c>
      <c r="CY23">
        <v>3.2407407407407406E-4</v>
      </c>
      <c r="CZ23">
        <v>0.16515046296296296</v>
      </c>
      <c r="DA23">
        <v>0.14200231481481482</v>
      </c>
      <c r="DB23">
        <v>92</v>
      </c>
      <c r="DC23">
        <v>258</v>
      </c>
      <c r="DD23">
        <v>17</v>
      </c>
      <c r="DE23" t="s">
        <v>677</v>
      </c>
      <c r="DF23">
        <v>17302</v>
      </c>
      <c r="DG23">
        <v>0.18479999999999999</v>
      </c>
      <c r="DO23">
        <v>100</v>
      </c>
    </row>
    <row r="24" spans="1:120" x14ac:dyDescent="0.25">
      <c r="A24" s="34" t="str" cm="1">
        <f t="array" ref="A24">IFERROR(VLOOKUP(D1_MAYO_202681[[#This Row],[ASESOR_CRR]],_xlfn._xlws.FILTER(PLANTILLA[[ASESOR]:[FECHA DE CESE]],PLANTILLA[FECHA]=_xlfn.CONCAT($M$3,"_",_xlfn.IFS($N$3="ENERO","1",$N$3="FEBRERO","2",$N$3="MARZO","3",$N$3="ABRIL","4",$N$3="MAYO","5",$N$3="JUNIO","6",$N$3="JULIO","7",$N$3="AGOSTO","8",$N$3="SETIEMBRE","9",$N$3="OCTUBRE","10",$N$3="NOVIEMBRE","11",$N$3="DICIEMBRE","12"))),3,0),"")</f>
        <v>SANDY</v>
      </c>
      <c r="B24" s="34" t="str" cm="1">
        <f t="array" ref="B24">TRIM(IFERROR(_xlfn.IFS(D1_MAYO_202681[[#This Row],[ASESOR]]="ELVIS GUERRA","ELVIS GUERRERA",D1_MAYO_202681[[#This Row],[ASESOR]]="GENESIS VICUÑA","GENESIS VICUNA",D1_MAYO_202681[[#This Row],[ASESOR]]="JENY QUIÑONES","JENY QUINONES",D1_MAYO_202681[[#This Row],[ASESOR]]="NICOLE CAURURO","NICOLE CAURURO"),D1_MAYO_202681[[#This Row],[ASESOR]]))</f>
        <v>NATALIA MARIN</v>
      </c>
      <c r="C24" s="34" cm="1">
        <f t="array" ref="C24">_xlfn.XLOOKUP(1,(TablaMeta[CONCAT]=$M$3&amp;$N$3&amp;D1_MAYO_202681[[#This Row],[SUPER]])*(TablaMeta[SEGG]=D1_MAYO_202681[[#This Row],[SEGMENTO]]),TablaMeta[Meta_Asesor])</f>
        <v>38500</v>
      </c>
      <c r="D24" s="35">
        <f>IF(D1_MAYO_202681[[#This Row],[RECUPERO]]="VACACIONES","VACACIONES",IFERROR(D1_MAYO_202681[[#This Row],[RECUPERO]]/D1_MAYO_202681[[#This Row],[META]],""))</f>
        <v>1.484935064935065</v>
      </c>
      <c r="E24" s="35" t="str">
        <f>D1_MAYO_202681[[#This Row],[SUPER]]</f>
        <v>SANDY</v>
      </c>
      <c r="F24" t="s">
        <v>79</v>
      </c>
      <c r="G24" s="36">
        <v>57170</v>
      </c>
      <c r="H24" s="34" cm="1">
        <f t="array" ref="H24">IFERROR(VLOOKUP(D1_MAYO_202681[[#This Row],[ASESOR_CRR]],_xlfn._xlws.FILTER(PLANTILLA[[ASESOR]:[FECHA DE CESE]],PLANTILLA[FECHA]=_xlfn.CONCAT($M$3,"_",_xlfn.IFS($N$3="ENERO","1",$N$3="FEBRERO","2",$N$3="MARZO","3",$N$3="ABRIL","4",$N$3="MAYO","5",$N$3="JUNIO","6",$N$3="JULIO","7",$N$3="AGOSTO","8",$N$3="SETIEMBRE","9",$N$3="OCTUBRE","10",$N$3="NOVIEMBRE","11",$N$3="DICIEMBRE","12"))),2,0),"")</f>
        <v>71262377</v>
      </c>
      <c r="I24" s="60" cm="1">
        <f t="array" ref="I24">IFERROR(VLOOKUP(D1_MAYO_202681[[#This Row],[ASESOR_CRR]],_xlfn._xlws.FILTER(PLANTILLA[[ASESOR]:[FECHA DE CESE]],PLANTILLA[FECHA]=_xlfn.CONCAT($M$3,"_",_xlfn.IFS($N$3="ENERO","1",$N$3="FEBRERO","2",$N$3="MARZO","3",$N$3="ABRIL","4",$N$3="MAYO","5",$N$3="JUNIO","6",$N$3="JULIO","7",$N$3="AGOSTO","8",$N$3="SETIEMBRE","9",$N$3="OCTUBRE","10",$N$3="NOVIEMBRE","11",$N$3="DICIEMBRE","12"))),6,0),"")</f>
        <v>45145</v>
      </c>
      <c r="J24" s="60" t="str" cm="1">
        <f t="array" ref="J24">IFERROR(VLOOKUP(D1_MAYO_202681[[#This Row],[ASESOR_CRR]],_xlfn._xlws.FILTER(PLANTILLA[[ASESOR]:[FECHA DE CESE]],PLANTILLA[FECHA]=_xlfn.CONCAT($M$3,"_",_xlfn.IFS($N$3="ENERO","1",$N$3="FEBRERO","2",$N$3="MARZO","3",$N$3="ABRIL","4",$N$3="MAYO","5",$N$3="JUNIO","6",$N$3="JULIO","7",$N$3="AGOSTO","8",$N$3="SETIEMBRE","9",$N$3="OCTUBRE","10",$N$3="NOVIEMBRE","11",$N$3="DICIEMBRE","12"))),4,0),"")</f>
        <v>CALL</v>
      </c>
      <c r="K24" s="60" t="str" cm="1">
        <f t="array" ref="K24">IFERROR(VLOOKUP(D1_MAYO_202681[[#This Row],[ASESOR_CRR]],_xlfn._xlws.FILTER(PLANTILLA[[ASESOR]:[FECHA DE CESE]],PLANTILLA[FECHA]=_xlfn.CONCAT($M$3,"_",_xlfn.IFS($N$3="ENERO","1",$N$3="FEBRERO","2",$N$3="MARZO","3",$N$3="ABRIL","4",$N$3="MAYO","5",$N$3="JUNIO","6",$N$3="JULIO","7",$N$3="AGOSTO","8",$N$3="SETIEMBRE","9",$N$3="OCTUBRE","10",$N$3="NOVIEMBRE","11",$N$3="DICIEMBRE","12"))),8,0),"")</f>
        <v>S0</v>
      </c>
      <c r="L24" s="55"/>
      <c r="M24" s="5">
        <f>DATA_MAYO_202684[[#This Row],[RECUPERO]]/DATA_MAYO_202684[[#This Row],[META]]</f>
        <v>0.71125611745513861</v>
      </c>
      <c r="N24" s="5">
        <f>6-ROUNDUP(_xlfn.RANK.EQ(DATA_MAYO_202684[[#This Row],[AL_AC]],DATA_MAYO_202684[AL_AC],0)/(COUNTA(DATA_MAYO_202684[AL_AC])/5),0)</f>
        <v>2</v>
      </c>
      <c r="O24" s="54" t="str">
        <f>IFERROR(VLOOKUP(DATA_MAYO_202684[[#This Row],[ASER_]],$B:$G,4,0),"")</f>
        <v>KENNETH</v>
      </c>
      <c r="P24" s="6">
        <f>SUM(DATA_MAYO_202684[[#This Row],[2]:[31]])</f>
        <v>43600</v>
      </c>
      <c r="Q24" s="6">
        <f>VLOOKUP(DATA_MAYO_202684[[#This Row],[ASER_]],D1_MAYO_202681[[ASESOR_CRR]:[META]],2,0)</f>
        <v>61300</v>
      </c>
      <c r="R24" t="s">
        <v>105</v>
      </c>
      <c r="X24">
        <v>12000</v>
      </c>
      <c r="Y24">
        <v>1000</v>
      </c>
      <c r="AF24">
        <v>20000</v>
      </c>
      <c r="AK24">
        <v>100</v>
      </c>
      <c r="AQ24">
        <v>2000</v>
      </c>
      <c r="AS24">
        <v>5000</v>
      </c>
      <c r="AT24">
        <v>3500</v>
      </c>
      <c r="AW24" s="54" t="str" cm="1">
        <f t="array" ref="AW24">IFERROR(VLOOKUP(DATA_MAYO_202684[[#This Row],[ASER_]],_xlfn._xlws.FILTER(PLANTILLA[[ASESOR]:[FECHA DE CESE]],PLANTILLA[FECHA]=_xlfn.CONCAT($M$3,"_",_xlfn.IFS($N$3="ENERO","1",$N$3="FEBRERO","2",$N$3="MARZO","3",$N$3="ABRIL","4",$N$3="MAYO","5",$N$3="JUNIO","6",$N$3="JULIO","7",$N$3="AGOSTO","8",$N$3="SETIEMBRE","9",$N$3="OCTUBRE","10",$N$3="NOVIEMBRE","11",$N$3="DICIEMBRE","12"))),8,0),"")</f>
        <v>S0</v>
      </c>
      <c r="CE24" s="45"/>
      <c r="CO24" t="s">
        <v>636</v>
      </c>
      <c r="CP24" t="s">
        <v>7</v>
      </c>
      <c r="CQ24" t="s">
        <v>12</v>
      </c>
      <c r="CR24">
        <v>46162</v>
      </c>
      <c r="CS24">
        <v>1</v>
      </c>
      <c r="CT24">
        <v>1</v>
      </c>
      <c r="CV24">
        <v>1</v>
      </c>
      <c r="CX24">
        <v>3.4722222222222224E-4</v>
      </c>
      <c r="CY24">
        <v>3.4722222222222224E-4</v>
      </c>
      <c r="CZ24">
        <v>0.22952546296296297</v>
      </c>
      <c r="DA24">
        <v>0.15074074074074073</v>
      </c>
      <c r="DB24">
        <v>96</v>
      </c>
      <c r="DC24">
        <v>235</v>
      </c>
      <c r="DD24">
        <v>21</v>
      </c>
      <c r="DE24" t="s">
        <v>678</v>
      </c>
      <c r="DF24">
        <v>21453</v>
      </c>
      <c r="DG24">
        <v>0.21879999999999999</v>
      </c>
      <c r="DH24">
        <v>1</v>
      </c>
      <c r="DI24">
        <v>4.7600000000000003E-2</v>
      </c>
      <c r="DJ24">
        <v>350</v>
      </c>
      <c r="DK24">
        <v>350</v>
      </c>
      <c r="DL24">
        <v>350</v>
      </c>
      <c r="DM24">
        <v>1</v>
      </c>
      <c r="DN24">
        <v>0.3896</v>
      </c>
      <c r="DO24">
        <v>100</v>
      </c>
      <c r="DP24">
        <v>350</v>
      </c>
    </row>
    <row r="25" spans="1:120" x14ac:dyDescent="0.25">
      <c r="A25" s="34" t="str" cm="1">
        <f t="array" ref="A25">IFERROR(VLOOKUP(D1_MAYO_202681[[#This Row],[ASESOR_CRR]],_xlfn._xlws.FILTER(PLANTILLA[[ASESOR]:[FECHA DE CESE]],PLANTILLA[FECHA]=_xlfn.CONCAT($M$3,"_",_xlfn.IFS($N$3="ENERO","1",$N$3="FEBRERO","2",$N$3="MARZO","3",$N$3="ABRIL","4",$N$3="MAYO","5",$N$3="JUNIO","6",$N$3="JULIO","7",$N$3="AGOSTO","8",$N$3="SETIEMBRE","9",$N$3="OCTUBRE","10",$N$3="NOVIEMBRE","11",$N$3="DICIEMBRE","12"))),3,0),"")</f>
        <v>SANDY</v>
      </c>
      <c r="B25" s="34" t="str" cm="1">
        <f t="array" ref="B25">TRIM(IFERROR(_xlfn.IFS(D1_MAYO_202681[[#This Row],[ASESOR]]="ELVIS GUERRA","ELVIS GUERRERA",D1_MAYO_202681[[#This Row],[ASESOR]]="GENESIS VICUÑA","GENESIS VICUNA",D1_MAYO_202681[[#This Row],[ASESOR]]="JENY QUIÑONES","JENY QUINONES",D1_MAYO_202681[[#This Row],[ASESOR]]="NICOLE CAURURO","NICOLE CAURURO"),D1_MAYO_202681[[#This Row],[ASESOR]]))</f>
        <v>LUIS VALLADARES</v>
      </c>
      <c r="C25" s="34" cm="1">
        <f t="array" ref="C25">_xlfn.XLOOKUP(1,(TablaMeta[CONCAT]=$M$3&amp;$N$3&amp;D1_MAYO_202681[[#This Row],[SUPER]])*(TablaMeta[SEGG]=D1_MAYO_202681[[#This Row],[SEGMENTO]]),TablaMeta[Meta_Asesor])</f>
        <v>38500</v>
      </c>
      <c r="D25" s="35">
        <f>IF(D1_MAYO_202681[[#This Row],[RECUPERO]]="VACACIONES","VACACIONES",IFERROR(D1_MAYO_202681[[#This Row],[RECUPERO]]/D1_MAYO_202681[[#This Row],[META]],""))</f>
        <v>1.0765402597402598</v>
      </c>
      <c r="E25" s="35" t="str">
        <f>D1_MAYO_202681[[#This Row],[SUPER]]</f>
        <v>SANDY</v>
      </c>
      <c r="F25" t="s">
        <v>29</v>
      </c>
      <c r="G25" s="36">
        <v>41446.800000000003</v>
      </c>
      <c r="H25" s="34" cm="1">
        <f t="array" ref="H25">IFERROR(VLOOKUP(D1_MAYO_202681[[#This Row],[ASESOR_CRR]],_xlfn._xlws.FILTER(PLANTILLA[[ASESOR]:[FECHA DE CESE]],PLANTILLA[FECHA]=_xlfn.CONCAT($M$3,"_",_xlfn.IFS($N$3="ENERO","1",$N$3="FEBRERO","2",$N$3="MARZO","3",$N$3="ABRIL","4",$N$3="MAYO","5",$N$3="JUNIO","6",$N$3="JULIO","7",$N$3="AGOSTO","8",$N$3="SETIEMBRE","9",$N$3="OCTUBRE","10",$N$3="NOVIEMBRE","11",$N$3="DICIEMBRE","12"))),2,0),"")</f>
        <v>72758956</v>
      </c>
      <c r="I25" s="60" cm="1">
        <f t="array" ref="I25">IFERROR(VLOOKUP(D1_MAYO_202681[[#This Row],[ASESOR_CRR]],_xlfn._xlws.FILTER(PLANTILLA[[ASESOR]:[FECHA DE CESE]],PLANTILLA[FECHA]=_xlfn.CONCAT($M$3,"_",_xlfn.IFS($N$3="ENERO","1",$N$3="FEBRERO","2",$N$3="MARZO","3",$N$3="ABRIL","4",$N$3="MAYO","5",$N$3="JUNIO","6",$N$3="JULIO","7",$N$3="AGOSTO","8",$N$3="SETIEMBRE","9",$N$3="OCTUBRE","10",$N$3="NOVIEMBRE","11",$N$3="DICIEMBRE","12"))),6,0),"")</f>
        <v>44685</v>
      </c>
      <c r="J25" s="60" t="str" cm="1">
        <f t="array" ref="J25">IFERROR(VLOOKUP(D1_MAYO_202681[[#This Row],[ASESOR_CRR]],_xlfn._xlws.FILTER(PLANTILLA[[ASESOR]:[FECHA DE CESE]],PLANTILLA[FECHA]=_xlfn.CONCAT($M$3,"_",_xlfn.IFS($N$3="ENERO","1",$N$3="FEBRERO","2",$N$3="MARZO","3",$N$3="ABRIL","4",$N$3="MAYO","5",$N$3="JUNIO","6",$N$3="JULIO","7",$N$3="AGOSTO","8",$N$3="SETIEMBRE","9",$N$3="OCTUBRE","10",$N$3="NOVIEMBRE","11",$N$3="DICIEMBRE","12"))),4,0),"")</f>
        <v>CALL</v>
      </c>
      <c r="K25" s="60" t="str" cm="1">
        <f t="array" ref="K25">IFERROR(VLOOKUP(D1_MAYO_202681[[#This Row],[ASESOR_CRR]],_xlfn._xlws.FILTER(PLANTILLA[[ASESOR]:[FECHA DE CESE]],PLANTILLA[FECHA]=_xlfn.CONCAT($M$3,"_",_xlfn.IFS($N$3="ENERO","1",$N$3="FEBRERO","2",$N$3="MARZO","3",$N$3="ABRIL","4",$N$3="MAYO","5",$N$3="JUNIO","6",$N$3="JULIO","7",$N$3="AGOSTO","8",$N$3="SETIEMBRE","9",$N$3="OCTUBRE","10",$N$3="NOVIEMBRE","11",$N$3="DICIEMBRE","12"))),8,0),"")</f>
        <v>S0</v>
      </c>
      <c r="L25" s="55"/>
      <c r="M25" s="5">
        <f>DATA_MAYO_202684[[#This Row],[RECUPERO]]/DATA_MAYO_202684[[#This Row],[META]]</f>
        <v>0.91488311688311685</v>
      </c>
      <c r="N25" s="5">
        <f>6-ROUNDUP(_xlfn.RANK.EQ(DATA_MAYO_202684[[#This Row],[AL_AC]],DATA_MAYO_202684[AL_AC],0)/(COUNTA(DATA_MAYO_202684[AL_AC])/5),0)</f>
        <v>4</v>
      </c>
      <c r="O25" s="54" t="str">
        <f>IFERROR(VLOOKUP(DATA_MAYO_202684[[#This Row],[ASER_]],$B:$G,4,0),"")</f>
        <v>SANDY</v>
      </c>
      <c r="P25" s="6">
        <f>SUM(DATA_MAYO_202684[[#This Row],[2]:[31]])</f>
        <v>35223</v>
      </c>
      <c r="Q25" s="6">
        <f>VLOOKUP(DATA_MAYO_202684[[#This Row],[ASER_]],D1_MAYO_202681[[ASESOR_CRR]:[META]],2,0)</f>
        <v>38500</v>
      </c>
      <c r="R25" t="s">
        <v>493</v>
      </c>
      <c r="U25">
        <v>750</v>
      </c>
      <c r="V25">
        <v>2000</v>
      </c>
      <c r="W25">
        <v>2400</v>
      </c>
      <c r="Y25">
        <v>4200</v>
      </c>
      <c r="AB25">
        <v>7000</v>
      </c>
      <c r="AC25">
        <v>450</v>
      </c>
      <c r="AD25">
        <v>360</v>
      </c>
      <c r="AE25">
        <v>3150</v>
      </c>
      <c r="AJ25">
        <v>250</v>
      </c>
      <c r="AK25">
        <v>500</v>
      </c>
      <c r="AM25">
        <v>300</v>
      </c>
      <c r="AP25">
        <v>713</v>
      </c>
      <c r="AR25">
        <v>2650</v>
      </c>
      <c r="AS25">
        <v>500</v>
      </c>
      <c r="AT25">
        <v>10000</v>
      </c>
      <c r="AW25" s="54" t="str" cm="1">
        <f t="array" ref="AW25">IFERROR(VLOOKUP(DATA_MAYO_202684[[#This Row],[ASER_]],_xlfn._xlws.FILTER(PLANTILLA[[ASESOR]:[FECHA DE CESE]],PLANTILLA[FECHA]=_xlfn.CONCAT($M$3,"_",_xlfn.IFS($N$3="ENERO","1",$N$3="FEBRERO","2",$N$3="MARZO","3",$N$3="ABRIL","4",$N$3="MAYO","5",$N$3="JUNIO","6",$N$3="JULIO","7",$N$3="AGOSTO","8",$N$3="SETIEMBRE","9",$N$3="OCTUBRE","10",$N$3="NOVIEMBRE","11",$N$3="DICIEMBRE","12"))),8,0),"")</f>
        <v>S0</v>
      </c>
      <c r="CO25" t="s">
        <v>636</v>
      </c>
      <c r="CP25" t="s">
        <v>7</v>
      </c>
      <c r="CQ25" t="s">
        <v>51</v>
      </c>
      <c r="CR25">
        <v>46162</v>
      </c>
      <c r="CS25">
        <v>1</v>
      </c>
      <c r="CT25">
        <v>1</v>
      </c>
      <c r="CV25">
        <v>1</v>
      </c>
      <c r="CX25">
        <v>3.3564814814814812E-4</v>
      </c>
      <c r="CY25">
        <v>3.3564814814814812E-4</v>
      </c>
      <c r="CZ25">
        <v>0.26068287037037036</v>
      </c>
      <c r="DA25">
        <v>0.10210648148148148</v>
      </c>
      <c r="DB25">
        <v>96</v>
      </c>
      <c r="DC25">
        <v>309</v>
      </c>
      <c r="DD25">
        <v>7</v>
      </c>
      <c r="DE25" t="s">
        <v>679</v>
      </c>
      <c r="DF25">
        <v>23952</v>
      </c>
      <c r="DG25">
        <v>7.2900000000000006E-2</v>
      </c>
      <c r="DO25">
        <v>100</v>
      </c>
    </row>
    <row r="26" spans="1:120" x14ac:dyDescent="0.25">
      <c r="A26" s="34" t="str" cm="1">
        <f t="array" ref="A26">IFERROR(VLOOKUP(D1_MAYO_202681[[#This Row],[ASESOR_CRR]],_xlfn._xlws.FILTER(PLANTILLA[[ASESOR]:[FECHA DE CESE]],PLANTILLA[FECHA]=_xlfn.CONCAT($M$3,"_",_xlfn.IFS($N$3="ENERO","1",$N$3="FEBRERO","2",$N$3="MARZO","3",$N$3="ABRIL","4",$N$3="MAYO","5",$N$3="JUNIO","6",$N$3="JULIO","7",$N$3="AGOSTO","8",$N$3="SETIEMBRE","9",$N$3="OCTUBRE","10",$N$3="NOVIEMBRE","11",$N$3="DICIEMBRE","12"))),3,0),"")</f>
        <v>SANDY</v>
      </c>
      <c r="B26" s="34" t="str" cm="1">
        <f t="array" ref="B26">TRIM(IFERROR(_xlfn.IFS(D1_MAYO_202681[[#This Row],[ASESOR]]="ELVIS GUERRA","ELVIS GUERRERA",D1_MAYO_202681[[#This Row],[ASESOR]]="GENESIS VICUÑA","GENESIS VICUNA",D1_MAYO_202681[[#This Row],[ASESOR]]="JENY QUIÑONES","JENY QUINONES",D1_MAYO_202681[[#This Row],[ASESOR]]="NICOLE CAURURO","NICOLE CAURURO"),D1_MAYO_202681[[#This Row],[ASESOR]]))</f>
        <v>JENY QUINONES</v>
      </c>
      <c r="C26" s="34" cm="1">
        <f t="array" ref="C26">_xlfn.XLOOKUP(1,(TablaMeta[CONCAT]=$M$3&amp;$N$3&amp;D1_MAYO_202681[[#This Row],[SUPER]])*(TablaMeta[SEGG]=D1_MAYO_202681[[#This Row],[SEGMENTO]]),TablaMeta[Meta_Asesor])</f>
        <v>38500</v>
      </c>
      <c r="D26" s="35">
        <f>IF(D1_MAYO_202681[[#This Row],[RECUPERO]]="VACACIONES","VACACIONES",IFERROR(D1_MAYO_202681[[#This Row],[RECUPERO]]/D1_MAYO_202681[[#This Row],[META]],""))</f>
        <v>1.0003116883116883</v>
      </c>
      <c r="E26" s="35" t="str">
        <f>D1_MAYO_202681[[#This Row],[SUPER]]</f>
        <v>SANDY</v>
      </c>
      <c r="F26" t="s">
        <v>564</v>
      </c>
      <c r="G26" s="36">
        <v>38512</v>
      </c>
      <c r="H26" s="34" cm="1">
        <f t="array" ref="H26">IFERROR(VLOOKUP(D1_MAYO_202681[[#This Row],[ASESOR_CRR]],_xlfn._xlws.FILTER(PLANTILLA[[ASESOR]:[FECHA DE CESE]],PLANTILLA[FECHA]=_xlfn.CONCAT($M$3,"_",_xlfn.IFS($N$3="ENERO","1",$N$3="FEBRERO","2",$N$3="MARZO","3",$N$3="ABRIL","4",$N$3="MAYO","5",$N$3="JUNIO","6",$N$3="JULIO","7",$N$3="AGOSTO","8",$N$3="SETIEMBRE","9",$N$3="OCTUBRE","10",$N$3="NOVIEMBRE","11",$N$3="DICIEMBRE","12"))),2,0),"")</f>
        <v>43184866</v>
      </c>
      <c r="I26" s="60" cm="1">
        <f t="array" ref="I26">IFERROR(VLOOKUP(D1_MAYO_202681[[#This Row],[ASESOR_CRR]],_xlfn._xlws.FILTER(PLANTILLA[[ASESOR]:[FECHA DE CESE]],PLANTILLA[FECHA]=_xlfn.CONCAT($M$3,"_",_xlfn.IFS($N$3="ENERO","1",$N$3="FEBRERO","2",$N$3="MARZO","3",$N$3="ABRIL","4",$N$3="MAYO","5",$N$3="JUNIO","6",$N$3="JULIO","7",$N$3="AGOSTO","8",$N$3="SETIEMBRE","9",$N$3="OCTUBRE","10",$N$3="NOVIEMBRE","11",$N$3="DICIEMBRE","12"))),6,0),"")</f>
        <v>46083</v>
      </c>
      <c r="J26" s="60" t="str" cm="1">
        <f t="array" ref="J26">IFERROR(VLOOKUP(D1_MAYO_202681[[#This Row],[ASESOR_CRR]],_xlfn._xlws.FILTER(PLANTILLA[[ASESOR]:[FECHA DE CESE]],PLANTILLA[FECHA]=_xlfn.CONCAT($M$3,"_",_xlfn.IFS($N$3="ENERO","1",$N$3="FEBRERO","2",$N$3="MARZO","3",$N$3="ABRIL","4",$N$3="MAYO","5",$N$3="JUNIO","6",$N$3="JULIO","7",$N$3="AGOSTO","8",$N$3="SETIEMBRE","9",$N$3="OCTUBRE","10",$N$3="NOVIEMBRE","11",$N$3="DICIEMBRE","12"))),4,0),"")</f>
        <v>CALL</v>
      </c>
      <c r="K26" s="60" t="str" cm="1">
        <f t="array" ref="K26">IFERROR(VLOOKUP(D1_MAYO_202681[[#This Row],[ASESOR_CRR]],_xlfn._xlws.FILTER(PLANTILLA[[ASESOR]:[FECHA DE CESE]],PLANTILLA[FECHA]=_xlfn.CONCAT($M$3,"_",_xlfn.IFS($N$3="ENERO","1",$N$3="FEBRERO","2",$N$3="MARZO","3",$N$3="ABRIL","4",$N$3="MAYO","5",$N$3="JUNIO","6",$N$3="JULIO","7",$N$3="AGOSTO","8",$N$3="SETIEMBRE","9",$N$3="OCTUBRE","10",$N$3="NOVIEMBRE","11",$N$3="DICIEMBRE","12"))),8,0),"")</f>
        <v>S0</v>
      </c>
      <c r="L26" s="55"/>
      <c r="M26" s="5">
        <f>DATA_MAYO_202684[[#This Row],[RECUPERO]]/DATA_MAYO_202684[[#This Row],[META]]</f>
        <v>0.73328859060402685</v>
      </c>
      <c r="N26" s="5">
        <f>6-ROUNDUP(_xlfn.RANK.EQ(DATA_MAYO_202684[[#This Row],[AL_AC]],DATA_MAYO_202684[AL_AC],0)/(COUNTA(DATA_MAYO_202684[AL_AC])/5),0)</f>
        <v>2</v>
      </c>
      <c r="O26" s="54" t="str">
        <f>IFERROR(VLOOKUP(DATA_MAYO_202684[[#This Row],[ASER_]],$B:$G,4,0),"")</f>
        <v>LEONOR</v>
      </c>
      <c r="P26" s="6">
        <f>SUM(DATA_MAYO_202684[[#This Row],[2]:[31]])</f>
        <v>32778</v>
      </c>
      <c r="Q26" s="6">
        <f>VLOOKUP(DATA_MAYO_202684[[#This Row],[ASER_]],D1_MAYO_202681[[ASESOR_CRR]:[META]],2,0)</f>
        <v>44700</v>
      </c>
      <c r="R26" t="s">
        <v>12</v>
      </c>
      <c r="AC26">
        <v>800</v>
      </c>
      <c r="AE26">
        <v>300</v>
      </c>
      <c r="AG26">
        <v>228</v>
      </c>
      <c r="AI26">
        <v>8900</v>
      </c>
      <c r="AJ26">
        <v>5000</v>
      </c>
      <c r="AK26">
        <v>350</v>
      </c>
      <c r="AR26">
        <v>8200</v>
      </c>
      <c r="AT26">
        <v>8000</v>
      </c>
      <c r="AU26">
        <v>1000</v>
      </c>
      <c r="AW26" s="54" t="str" cm="1">
        <f t="array" ref="AW26">IFERROR(VLOOKUP(DATA_MAYO_202684[[#This Row],[ASER_]],_xlfn._xlws.FILTER(PLANTILLA[[ASESOR]:[FECHA DE CESE]],PLANTILLA[FECHA]=_xlfn.CONCAT($M$3,"_",_xlfn.IFS($N$3="ENERO","1",$N$3="FEBRERO","2",$N$3="MARZO","3",$N$3="ABRIL","4",$N$3="MAYO","5",$N$3="JUNIO","6",$N$3="JULIO","7",$N$3="AGOSTO","8",$N$3="SETIEMBRE","9",$N$3="OCTUBRE","10",$N$3="NOVIEMBRE","11",$N$3="DICIEMBRE","12"))),8,0),"")</f>
        <v>S1</v>
      </c>
      <c r="CO26" t="s">
        <v>636</v>
      </c>
      <c r="CP26" t="s">
        <v>7</v>
      </c>
      <c r="CQ26" t="s">
        <v>26</v>
      </c>
      <c r="CR26">
        <v>46155</v>
      </c>
      <c r="CS26">
        <v>1</v>
      </c>
      <c r="CT26">
        <v>1</v>
      </c>
      <c r="CV26">
        <v>1</v>
      </c>
      <c r="CX26">
        <v>1.0416666666666667E-4</v>
      </c>
      <c r="CY26">
        <v>1.0416666666666667E-4</v>
      </c>
      <c r="CZ26">
        <v>0.1705787037037037</v>
      </c>
      <c r="DA26">
        <v>0.12865740740740741</v>
      </c>
      <c r="DB26">
        <v>168</v>
      </c>
      <c r="DC26">
        <v>298</v>
      </c>
      <c r="DD26">
        <v>22</v>
      </c>
      <c r="DE26" t="s">
        <v>680</v>
      </c>
      <c r="DF26">
        <v>21891</v>
      </c>
      <c r="DG26">
        <v>0.13100000000000001</v>
      </c>
      <c r="DO26">
        <v>100</v>
      </c>
    </row>
    <row r="27" spans="1:120" x14ac:dyDescent="0.25">
      <c r="A27" s="34" t="str" cm="1">
        <f t="array" ref="A27">IFERROR(VLOOKUP(D1_MAYO_202681[[#This Row],[ASESOR_CRR]],_xlfn._xlws.FILTER(PLANTILLA[[ASESOR]:[FECHA DE CESE]],PLANTILLA[FECHA]=_xlfn.CONCAT($M$3,"_",_xlfn.IFS($N$3="ENERO","1",$N$3="FEBRERO","2",$N$3="MARZO","3",$N$3="ABRIL","4",$N$3="MAYO","5",$N$3="JUNIO","6",$N$3="JULIO","7",$N$3="AGOSTO","8",$N$3="SETIEMBRE","9",$N$3="OCTUBRE","10",$N$3="NOVIEMBRE","11",$N$3="DICIEMBRE","12"))),3,0),"")</f>
        <v>SANDY</v>
      </c>
      <c r="B27" s="34" t="str" cm="1">
        <f t="array" ref="B27">TRIM(IFERROR(_xlfn.IFS(D1_MAYO_202681[[#This Row],[ASESOR]]="ELVIS GUERRA","ELVIS GUERRERA",D1_MAYO_202681[[#This Row],[ASESOR]]="GENESIS VICUÑA","GENESIS VICUNA",D1_MAYO_202681[[#This Row],[ASESOR]]="JENY QUIÑONES","JENY QUINONES",D1_MAYO_202681[[#This Row],[ASESOR]]="NICOLE CAURURO","NICOLE CAURURO"),D1_MAYO_202681[[#This Row],[ASESOR]]))</f>
        <v>GENESIS PALACIOS</v>
      </c>
      <c r="C27" s="34" cm="1">
        <f t="array" ref="C27">_xlfn.XLOOKUP(1,(TablaMeta[CONCAT]=$M$3&amp;$N$3&amp;D1_MAYO_202681[[#This Row],[SUPER]])*(TablaMeta[SEGG]=D1_MAYO_202681[[#This Row],[SEGMENTO]]),TablaMeta[Meta_Asesor])</f>
        <v>38500</v>
      </c>
      <c r="D27" s="35">
        <f>IF(D1_MAYO_202681[[#This Row],[RECUPERO]]="VACACIONES","VACACIONES",IFERROR(D1_MAYO_202681[[#This Row],[RECUPERO]]/D1_MAYO_202681[[#This Row],[META]],""))</f>
        <v>0.91488311688311685</v>
      </c>
      <c r="E27" s="35" t="str">
        <f>D1_MAYO_202681[[#This Row],[SUPER]]</f>
        <v>SANDY</v>
      </c>
      <c r="F27" t="s">
        <v>493</v>
      </c>
      <c r="G27" s="36">
        <v>35223</v>
      </c>
      <c r="H27" s="34" cm="1">
        <f t="array" ref="H27">IFERROR(VLOOKUP(D1_MAYO_202681[[#This Row],[ASESOR_CRR]],_xlfn._xlws.FILTER(PLANTILLA[[ASESOR]:[FECHA DE CESE]],PLANTILLA[FECHA]=_xlfn.CONCAT($M$3,"_",_xlfn.IFS($N$3="ENERO","1",$N$3="FEBRERO","2",$N$3="MARZO","3",$N$3="ABRIL","4",$N$3="MAYO","5",$N$3="JUNIO","6",$N$3="JULIO","7",$N$3="AGOSTO","8",$N$3="SETIEMBRE","9",$N$3="OCTUBRE","10",$N$3="NOVIEMBRE","11",$N$3="DICIEMBRE","12"))),2,0),"")</f>
        <v>75026229</v>
      </c>
      <c r="I27" s="60" cm="1">
        <f t="array" ref="I27">IFERROR(VLOOKUP(D1_MAYO_202681[[#This Row],[ASESOR_CRR]],_xlfn._xlws.FILTER(PLANTILLA[[ASESOR]:[FECHA DE CESE]],PLANTILLA[FECHA]=_xlfn.CONCAT($M$3,"_",_xlfn.IFS($N$3="ENERO","1",$N$3="FEBRERO","2",$N$3="MARZO","3",$N$3="ABRIL","4",$N$3="MAYO","5",$N$3="JUNIO","6",$N$3="JULIO","7",$N$3="AGOSTO","8",$N$3="SETIEMBRE","9",$N$3="OCTUBRE","10",$N$3="NOVIEMBRE","11",$N$3="DICIEMBRE","12"))),6,0),"")</f>
        <v>46052</v>
      </c>
      <c r="J27" s="60" t="str" cm="1">
        <f t="array" ref="J27">IFERROR(VLOOKUP(D1_MAYO_202681[[#This Row],[ASESOR_CRR]],_xlfn._xlws.FILTER(PLANTILLA[[ASESOR]:[FECHA DE CESE]],PLANTILLA[FECHA]=_xlfn.CONCAT($M$3,"_",_xlfn.IFS($N$3="ENERO","1",$N$3="FEBRERO","2",$N$3="MARZO","3",$N$3="ABRIL","4",$N$3="MAYO","5",$N$3="JUNIO","6",$N$3="JULIO","7",$N$3="AGOSTO","8",$N$3="SETIEMBRE","9",$N$3="OCTUBRE","10",$N$3="NOVIEMBRE","11",$N$3="DICIEMBRE","12"))),4,0),"")</f>
        <v>CALL</v>
      </c>
      <c r="K27" s="60" t="str" cm="1">
        <f t="array" ref="K27">IFERROR(VLOOKUP(D1_MAYO_202681[[#This Row],[ASESOR_CRR]],_xlfn._xlws.FILTER(PLANTILLA[[ASESOR]:[FECHA DE CESE]],PLANTILLA[FECHA]=_xlfn.CONCAT($M$3,"_",_xlfn.IFS($N$3="ENERO","1",$N$3="FEBRERO","2",$N$3="MARZO","3",$N$3="ABRIL","4",$N$3="MAYO","5",$N$3="JUNIO","6",$N$3="JULIO","7",$N$3="AGOSTO","8",$N$3="SETIEMBRE","9",$N$3="OCTUBRE","10",$N$3="NOVIEMBRE","11",$N$3="DICIEMBRE","12"))),8,0),"")</f>
        <v>S0</v>
      </c>
      <c r="L27" s="55"/>
      <c r="M27" s="5">
        <f>DATA_MAYO_202684[[#This Row],[RECUPERO]]/DATA_MAYO_202684[[#This Row],[META]]</f>
        <v>0.1360178970917226</v>
      </c>
      <c r="N27" s="5">
        <f>6-ROUNDUP(_xlfn.RANK.EQ(DATA_MAYO_202684[[#This Row],[AL_AC]],DATA_MAYO_202684[AL_AC],0)/(COUNTA(DATA_MAYO_202684[AL_AC])/5),0)</f>
        <v>1</v>
      </c>
      <c r="O27" s="54" t="str">
        <f>IFERROR(VLOOKUP(DATA_MAYO_202684[[#This Row],[ASER_]],$B:$G,4,0),"")</f>
        <v>LEONOR</v>
      </c>
      <c r="P27" s="6">
        <f>SUM(DATA_MAYO_202684[[#This Row],[2]:[31]])</f>
        <v>6080</v>
      </c>
      <c r="Q27" s="6">
        <f>VLOOKUP(DATA_MAYO_202684[[#This Row],[ASER_]],D1_MAYO_202681[[ASESOR_CRR]:[META]],2,0)</f>
        <v>44700</v>
      </c>
      <c r="R27" t="s">
        <v>51</v>
      </c>
      <c r="U27">
        <v>500</v>
      </c>
      <c r="AB27">
        <v>1400</v>
      </c>
      <c r="AF27">
        <v>2250</v>
      </c>
      <c r="AJ27">
        <v>250</v>
      </c>
      <c r="AL27">
        <v>180</v>
      </c>
      <c r="AS27">
        <v>1500</v>
      </c>
      <c r="AW27" s="54" t="str" cm="1">
        <f t="array" ref="AW27">IFERROR(VLOOKUP(DATA_MAYO_202684[[#This Row],[ASER_]],_xlfn._xlws.FILTER(PLANTILLA[[ASESOR]:[FECHA DE CESE]],PLANTILLA[FECHA]=_xlfn.CONCAT($M$3,"_",_xlfn.IFS($N$3="ENERO","1",$N$3="FEBRERO","2",$N$3="MARZO","3",$N$3="ABRIL","4",$N$3="MAYO","5",$N$3="JUNIO","6",$N$3="JULIO","7",$N$3="AGOSTO","8",$N$3="SETIEMBRE","9",$N$3="OCTUBRE","10",$N$3="NOVIEMBRE","11",$N$3="DICIEMBRE","12"))),8,0),"")</f>
        <v>S1</v>
      </c>
      <c r="CO27" t="s">
        <v>636</v>
      </c>
      <c r="CP27" t="s">
        <v>7</v>
      </c>
      <c r="CQ27" t="s">
        <v>26</v>
      </c>
      <c r="CR27">
        <v>46162</v>
      </c>
      <c r="CS27">
        <v>1</v>
      </c>
      <c r="CT27">
        <v>1</v>
      </c>
      <c r="CV27">
        <v>1</v>
      </c>
      <c r="CX27">
        <v>8.1018518518518516E-5</v>
      </c>
      <c r="CY27">
        <v>8.1018518518518516E-5</v>
      </c>
      <c r="CZ27">
        <v>0.22746527777777778</v>
      </c>
      <c r="DA27">
        <v>0.17071759259259259</v>
      </c>
      <c r="DB27">
        <v>108</v>
      </c>
      <c r="DC27">
        <v>246</v>
      </c>
      <c r="DD27">
        <v>22</v>
      </c>
      <c r="DE27" t="s">
        <v>681</v>
      </c>
      <c r="DF27">
        <v>41391</v>
      </c>
      <c r="DG27">
        <v>0.20369999999999999</v>
      </c>
      <c r="DO27">
        <v>100</v>
      </c>
    </row>
    <row r="28" spans="1:120" x14ac:dyDescent="0.25">
      <c r="A28" s="34" t="str" cm="1">
        <f t="array" ref="A28">IFERROR(VLOOKUP(D1_MAYO_202681[[#This Row],[ASESOR_CRR]],_xlfn._xlws.FILTER(PLANTILLA[[ASESOR]:[FECHA DE CESE]],PLANTILLA[FECHA]=_xlfn.CONCAT($M$3,"_",_xlfn.IFS($N$3="ENERO","1",$N$3="FEBRERO","2",$N$3="MARZO","3",$N$3="ABRIL","4",$N$3="MAYO","5",$N$3="JUNIO","6",$N$3="JULIO","7",$N$3="AGOSTO","8",$N$3="SETIEMBRE","9",$N$3="OCTUBRE","10",$N$3="NOVIEMBRE","11",$N$3="DICIEMBRE","12"))),3,0),"")</f>
        <v>SANDY</v>
      </c>
      <c r="B28" s="34" t="str" cm="1">
        <f t="array" ref="B28">TRIM(IFERROR(_xlfn.IFS(D1_MAYO_202681[[#This Row],[ASESOR]]="ELVIS GUERRA","ELVIS GUERRERA",D1_MAYO_202681[[#This Row],[ASESOR]]="GENESIS VICUÑA","GENESIS VICUNA",D1_MAYO_202681[[#This Row],[ASESOR]]="JENY QUIÑONES","JENY QUINONES",D1_MAYO_202681[[#This Row],[ASESOR]]="NICOLE CAURURO","NICOLE CAURURO"),D1_MAYO_202681[[#This Row],[ASESOR]]))</f>
        <v>JESSICA MELGAREJO</v>
      </c>
      <c r="C28" s="34" cm="1">
        <f t="array" ref="C28">_xlfn.XLOOKUP(1,(TablaMeta[CONCAT]=$M$3&amp;$N$3&amp;D1_MAYO_202681[[#This Row],[SUPER]])*(TablaMeta[SEGG]=D1_MAYO_202681[[#This Row],[SEGMENTO]]),TablaMeta[Meta_Asesor])</f>
        <v>38500</v>
      </c>
      <c r="D28" s="35">
        <f>IF(D1_MAYO_202681[[#This Row],[RECUPERO]]="VACACIONES","VACACIONES",IFERROR(D1_MAYO_202681[[#This Row],[RECUPERO]]/D1_MAYO_202681[[#This Row],[META]],""))</f>
        <v>0.8836623376623377</v>
      </c>
      <c r="E28" s="35" t="str">
        <f>D1_MAYO_202681[[#This Row],[SUPER]]</f>
        <v>SANDY</v>
      </c>
      <c r="F28" t="s">
        <v>96</v>
      </c>
      <c r="G28" s="36">
        <v>34021</v>
      </c>
      <c r="H28" s="34" cm="1">
        <f t="array" ref="H28">IFERROR(VLOOKUP(D1_MAYO_202681[[#This Row],[ASESOR_CRR]],_xlfn._xlws.FILTER(PLANTILLA[[ASESOR]:[FECHA DE CESE]],PLANTILLA[FECHA]=_xlfn.CONCAT($M$3,"_",_xlfn.IFS($N$3="ENERO","1",$N$3="FEBRERO","2",$N$3="MARZO","3",$N$3="ABRIL","4",$N$3="MAYO","5",$N$3="JUNIO","6",$N$3="JULIO","7",$N$3="AGOSTO","8",$N$3="SETIEMBRE","9",$N$3="OCTUBRE","10",$N$3="NOVIEMBRE","11",$N$3="DICIEMBRE","12"))),2,0),"")</f>
        <v>46793103</v>
      </c>
      <c r="I28" s="60" cm="1">
        <f t="array" ref="I28">IFERROR(VLOOKUP(D1_MAYO_202681[[#This Row],[ASESOR_CRR]],_xlfn._xlws.FILTER(PLANTILLA[[ASESOR]:[FECHA DE CESE]],PLANTILLA[FECHA]=_xlfn.CONCAT($M$3,"_",_xlfn.IFS($N$3="ENERO","1",$N$3="FEBRERO","2",$N$3="MARZO","3",$N$3="ABRIL","4",$N$3="MAYO","5",$N$3="JUNIO","6",$N$3="JULIO","7",$N$3="AGOSTO","8",$N$3="SETIEMBRE","9",$N$3="OCTUBRE","10",$N$3="NOVIEMBRE","11",$N$3="DICIEMBRE","12"))),6,0),"")</f>
        <v>45882</v>
      </c>
      <c r="J28" s="60" t="str" cm="1">
        <f t="array" ref="J28">IFERROR(VLOOKUP(D1_MAYO_202681[[#This Row],[ASESOR_CRR]],_xlfn._xlws.FILTER(PLANTILLA[[ASESOR]:[FECHA DE CESE]],PLANTILLA[FECHA]=_xlfn.CONCAT($M$3,"_",_xlfn.IFS($N$3="ENERO","1",$N$3="FEBRERO","2",$N$3="MARZO","3",$N$3="ABRIL","4",$N$3="MAYO","5",$N$3="JUNIO","6",$N$3="JULIO","7",$N$3="AGOSTO","8",$N$3="SETIEMBRE","9",$N$3="OCTUBRE","10",$N$3="NOVIEMBRE","11",$N$3="DICIEMBRE","12"))),4,0),"")</f>
        <v>CALL</v>
      </c>
      <c r="K28" s="60" t="str" cm="1">
        <f t="array" ref="K28">IFERROR(VLOOKUP(D1_MAYO_202681[[#This Row],[ASESOR_CRR]],_xlfn._xlws.FILTER(PLANTILLA[[ASESOR]:[FECHA DE CESE]],PLANTILLA[FECHA]=_xlfn.CONCAT($M$3,"_",_xlfn.IFS($N$3="ENERO","1",$N$3="FEBRERO","2",$N$3="MARZO","3",$N$3="ABRIL","4",$N$3="MAYO","5",$N$3="JUNIO","6",$N$3="JULIO","7",$N$3="AGOSTO","8",$N$3="SETIEMBRE","9",$N$3="OCTUBRE","10",$N$3="NOVIEMBRE","11",$N$3="DICIEMBRE","12"))),8,0),"")</f>
        <v>S0</v>
      </c>
      <c r="L28" s="55"/>
      <c r="M28" s="5">
        <f>DATA_MAYO_202684[[#This Row],[RECUPERO]]/DATA_MAYO_202684[[#This Row],[META]]</f>
        <v>1.2533333333333334</v>
      </c>
      <c r="N28" s="5">
        <f>6-ROUNDUP(_xlfn.RANK.EQ(DATA_MAYO_202684[[#This Row],[AL_AC]],DATA_MAYO_202684[AL_AC],0)/(COUNTA(DATA_MAYO_202684[AL_AC])/5),0)</f>
        <v>5</v>
      </c>
      <c r="O28" s="54" t="str">
        <f>IFERROR(VLOOKUP(DATA_MAYO_202684[[#This Row],[ASER_]],$B:$G,4,0),"")</f>
        <v>JORGE</v>
      </c>
      <c r="P28" s="6">
        <f>SUM(DATA_MAYO_202684[[#This Row],[2]:[31]])</f>
        <v>56024</v>
      </c>
      <c r="Q28" s="6">
        <f>VLOOKUP(DATA_MAYO_202684[[#This Row],[ASER_]],D1_MAYO_202681[[ASESOR_CRR]:[META]],2,0)</f>
        <v>44700</v>
      </c>
      <c r="R28" t="s">
        <v>13</v>
      </c>
      <c r="T28" s="45"/>
      <c r="U28" s="45">
        <v>1600</v>
      </c>
      <c r="V28" s="45"/>
      <c r="W28" s="45"/>
      <c r="X28" s="45"/>
      <c r="Y28" s="45"/>
      <c r="Z28" s="45"/>
      <c r="AA28" s="45"/>
      <c r="AB28" s="45">
        <v>2001</v>
      </c>
      <c r="AC28" s="45">
        <v>10000</v>
      </c>
      <c r="AD28" s="45">
        <v>500</v>
      </c>
      <c r="AE28">
        <v>1500</v>
      </c>
      <c r="AF28">
        <v>700</v>
      </c>
      <c r="AK28">
        <v>1300</v>
      </c>
      <c r="AL28">
        <v>9000</v>
      </c>
      <c r="AM28">
        <v>3250</v>
      </c>
      <c r="AP28">
        <v>8550</v>
      </c>
      <c r="AQ28">
        <v>1000</v>
      </c>
      <c r="AS28">
        <v>8000</v>
      </c>
      <c r="AT28">
        <v>7500</v>
      </c>
      <c r="AU28">
        <v>1123</v>
      </c>
      <c r="AW28" s="54" t="str" cm="1">
        <f t="array" ref="AW28">IFERROR(VLOOKUP(DATA_MAYO_202684[[#This Row],[ASER_]],_xlfn._xlws.FILTER(PLANTILLA[[ASESOR]:[FECHA DE CESE]],PLANTILLA[FECHA]=_xlfn.CONCAT($M$3,"_",_xlfn.IFS($N$3="ENERO","1",$N$3="FEBRERO","2",$N$3="MARZO","3",$N$3="ABRIL","4",$N$3="MAYO","5",$N$3="JUNIO","6",$N$3="JULIO","7",$N$3="AGOSTO","8",$N$3="SETIEMBRE","9",$N$3="OCTUBRE","10",$N$3="NOVIEMBRE","11",$N$3="DICIEMBRE","12"))),8,0),"")</f>
        <v>S1</v>
      </c>
      <c r="CO28" t="s">
        <v>636</v>
      </c>
      <c r="CP28" t="s">
        <v>7</v>
      </c>
      <c r="CQ28" t="s">
        <v>26</v>
      </c>
      <c r="CR28">
        <v>46172</v>
      </c>
      <c r="CS28">
        <v>1</v>
      </c>
      <c r="CT28">
        <v>1</v>
      </c>
      <c r="CV28">
        <v>1</v>
      </c>
      <c r="CX28">
        <v>1.273148148148148E-4</v>
      </c>
      <c r="CY28">
        <v>1.273148148148148E-4</v>
      </c>
      <c r="CZ28">
        <v>4.2754629629629629E-2</v>
      </c>
      <c r="DA28">
        <v>0.21635416666666665</v>
      </c>
      <c r="DB28">
        <v>69</v>
      </c>
      <c r="DC28">
        <v>150</v>
      </c>
      <c r="DD28">
        <v>19</v>
      </c>
      <c r="DE28" t="s">
        <v>682</v>
      </c>
      <c r="DF28">
        <v>33475</v>
      </c>
      <c r="DG28">
        <v>0.27539999999999998</v>
      </c>
      <c r="DH28">
        <v>1</v>
      </c>
      <c r="DI28">
        <v>5.2600000000000001E-2</v>
      </c>
      <c r="DJ28">
        <v>2500</v>
      </c>
      <c r="DK28">
        <v>2500</v>
      </c>
      <c r="DO28">
        <v>100</v>
      </c>
    </row>
    <row r="29" spans="1:120" x14ac:dyDescent="0.25">
      <c r="A29" s="34" t="str" cm="1">
        <f t="array" ref="A29">IFERROR(VLOOKUP(D1_MAYO_202681[[#This Row],[ASESOR_CRR]],_xlfn._xlws.FILTER(PLANTILLA[[ASESOR]:[FECHA DE CESE]],PLANTILLA[FECHA]=_xlfn.CONCAT($M$3,"_",_xlfn.IFS($N$3="ENERO","1",$N$3="FEBRERO","2",$N$3="MARZO","3",$N$3="ABRIL","4",$N$3="MAYO","5",$N$3="JUNIO","6",$N$3="JULIO","7",$N$3="AGOSTO","8",$N$3="SETIEMBRE","9",$N$3="OCTUBRE","10",$N$3="NOVIEMBRE","11",$N$3="DICIEMBRE","12"))),3,0),"")</f>
        <v>SANDY</v>
      </c>
      <c r="B29" s="34" t="str" cm="1">
        <f t="array" ref="B29">TRIM(IFERROR(_xlfn.IFS(D1_MAYO_202681[[#This Row],[ASESOR]]="ELVIS GUERRA","ELVIS GUERRERA",D1_MAYO_202681[[#This Row],[ASESOR]]="GENESIS VICUÑA","GENESIS VICUNA",D1_MAYO_202681[[#This Row],[ASESOR]]="JENY QUIÑONES","JENY QUINONES",D1_MAYO_202681[[#This Row],[ASESOR]]="NICOLE CAURURO","NICOLE CAURURO"),D1_MAYO_202681[[#This Row],[ASESOR]]))</f>
        <v>LUCERO JORDAN</v>
      </c>
      <c r="C29" s="34" cm="1">
        <f t="array" ref="C29">_xlfn.XLOOKUP(1,(TablaMeta[CONCAT]=$M$3&amp;$N$3&amp;D1_MAYO_202681[[#This Row],[SUPER]])*(TablaMeta[SEGG]=D1_MAYO_202681[[#This Row],[SEGMENTO]]),TablaMeta[Meta_Asesor])</f>
        <v>38500</v>
      </c>
      <c r="D29" s="35">
        <f>IF(D1_MAYO_202681[[#This Row],[RECUPERO]]="VACACIONES","VACACIONES",IFERROR(D1_MAYO_202681[[#This Row],[RECUPERO]]/D1_MAYO_202681[[#This Row],[META]],""))</f>
        <v>0.8617402597402597</v>
      </c>
      <c r="E29" s="35" t="str">
        <f>D1_MAYO_202681[[#This Row],[SUPER]]</f>
        <v>SANDY</v>
      </c>
      <c r="F29" t="s">
        <v>68</v>
      </c>
      <c r="G29" s="36">
        <v>33177</v>
      </c>
      <c r="H29" s="34" cm="1">
        <f t="array" ref="H29">IFERROR(VLOOKUP(D1_MAYO_202681[[#This Row],[ASESOR_CRR]],_xlfn._xlws.FILTER(PLANTILLA[[ASESOR]:[FECHA DE CESE]],PLANTILLA[FECHA]=_xlfn.CONCAT($M$3,"_",_xlfn.IFS($N$3="ENERO","1",$N$3="FEBRERO","2",$N$3="MARZO","3",$N$3="ABRIL","4",$N$3="MAYO","5",$N$3="JUNIO","6",$N$3="JULIO","7",$N$3="AGOSTO","8",$N$3="SETIEMBRE","9",$N$3="OCTUBRE","10",$N$3="NOVIEMBRE","11",$N$3="DICIEMBRE","12"))),2,0),"")</f>
        <v>73257316</v>
      </c>
      <c r="I29" s="60" cm="1">
        <f t="array" ref="I29">IFERROR(VLOOKUP(D1_MAYO_202681[[#This Row],[ASESOR_CRR]],_xlfn._xlws.FILTER(PLANTILLA[[ASESOR]:[FECHA DE CESE]],PLANTILLA[FECHA]=_xlfn.CONCAT($M$3,"_",_xlfn.IFS($N$3="ENERO","1",$N$3="FEBRERO","2",$N$3="MARZO","3",$N$3="ABRIL","4",$N$3="MAYO","5",$N$3="JUNIO","6",$N$3="JULIO","7",$N$3="AGOSTO","8",$N$3="SETIEMBRE","9",$N$3="OCTUBRE","10",$N$3="NOVIEMBRE","11",$N$3="DICIEMBRE","12"))),6,0),"")</f>
        <v>45363</v>
      </c>
      <c r="J29" s="60" t="str" cm="1">
        <f t="array" ref="J29">IFERROR(VLOOKUP(D1_MAYO_202681[[#This Row],[ASESOR_CRR]],_xlfn._xlws.FILTER(PLANTILLA[[ASESOR]:[FECHA DE CESE]],PLANTILLA[FECHA]=_xlfn.CONCAT($M$3,"_",_xlfn.IFS($N$3="ENERO","1",$N$3="FEBRERO","2",$N$3="MARZO","3",$N$3="ABRIL","4",$N$3="MAYO","5",$N$3="JUNIO","6",$N$3="JULIO","7",$N$3="AGOSTO","8",$N$3="SETIEMBRE","9",$N$3="OCTUBRE","10",$N$3="NOVIEMBRE","11",$N$3="DICIEMBRE","12"))),4,0),"")</f>
        <v>CALL</v>
      </c>
      <c r="K29" s="60" t="str" cm="1">
        <f t="array" ref="K29">IFERROR(VLOOKUP(D1_MAYO_202681[[#This Row],[ASESOR_CRR]],_xlfn._xlws.FILTER(PLANTILLA[[ASESOR]:[FECHA DE CESE]],PLANTILLA[FECHA]=_xlfn.CONCAT($M$3,"_",_xlfn.IFS($N$3="ENERO","1",$N$3="FEBRERO","2",$N$3="MARZO","3",$N$3="ABRIL","4",$N$3="MAYO","5",$N$3="JUNIO","6",$N$3="JULIO","7",$N$3="AGOSTO","8",$N$3="SETIEMBRE","9",$N$3="OCTUBRE","10",$N$3="NOVIEMBRE","11",$N$3="DICIEMBRE","12"))),8,0),"")</f>
        <v>S0</v>
      </c>
      <c r="L29" s="55"/>
      <c r="M29" s="5">
        <f>DATA_MAYO_202684[[#This Row],[RECUPERO]]/DATA_MAYO_202684[[#This Row],[META]]</f>
        <v>0.78355844155844157</v>
      </c>
      <c r="N29" s="5">
        <f>6-ROUNDUP(_xlfn.RANK.EQ(DATA_MAYO_202684[[#This Row],[AL_AC]],DATA_MAYO_202684[AL_AC],0)/(COUNTA(DATA_MAYO_202684[AL_AC])/5),0)</f>
        <v>2</v>
      </c>
      <c r="O29" s="54" t="str">
        <f>IFERROR(VLOOKUP(DATA_MAYO_202684[[#This Row],[ASER_]],$B:$G,4,0),"")</f>
        <v>SANDY</v>
      </c>
      <c r="P29" s="6">
        <f>SUM(DATA_MAYO_202684[[#This Row],[2]:[31]])</f>
        <v>30167</v>
      </c>
      <c r="Q29" s="6">
        <f>VLOOKUP(DATA_MAYO_202684[[#This Row],[ASER_]],D1_MAYO_202681[[ASESOR_CRR]:[META]],2,0)</f>
        <v>38500</v>
      </c>
      <c r="R29" t="s">
        <v>32</v>
      </c>
      <c r="W29">
        <v>3000</v>
      </c>
      <c r="AA29">
        <v>412</v>
      </c>
      <c r="AB29">
        <v>5000</v>
      </c>
      <c r="AC29">
        <v>190</v>
      </c>
      <c r="AI29">
        <v>4000</v>
      </c>
      <c r="AK29">
        <v>1180</v>
      </c>
      <c r="AM29">
        <v>1450</v>
      </c>
      <c r="AP29">
        <v>10080</v>
      </c>
      <c r="AR29">
        <v>300</v>
      </c>
      <c r="AT29">
        <v>2400</v>
      </c>
      <c r="AU29">
        <v>1155</v>
      </c>
      <c r="AV29">
        <v>1000</v>
      </c>
      <c r="AW29" s="54" t="str" cm="1">
        <f t="array" ref="AW29">IFERROR(VLOOKUP(DATA_MAYO_202684[[#This Row],[ASER_]],_xlfn._xlws.FILTER(PLANTILLA[[ASESOR]:[FECHA DE CESE]],PLANTILLA[FECHA]=_xlfn.CONCAT($M$3,"_",_xlfn.IFS($N$3="ENERO","1",$N$3="FEBRERO","2",$N$3="MARZO","3",$N$3="ABRIL","4",$N$3="MAYO","5",$N$3="JUNIO","6",$N$3="JULIO","7",$N$3="AGOSTO","8",$N$3="SETIEMBRE","9",$N$3="OCTUBRE","10",$N$3="NOVIEMBRE","11",$N$3="DICIEMBRE","12"))),8,0),"")</f>
        <v>S0</v>
      </c>
      <c r="CO29" t="s">
        <v>636</v>
      </c>
      <c r="CP29" t="s">
        <v>7</v>
      </c>
      <c r="CQ29" t="s">
        <v>75</v>
      </c>
      <c r="CR29">
        <v>46155</v>
      </c>
      <c r="CS29">
        <v>1</v>
      </c>
      <c r="CT29">
        <v>1</v>
      </c>
      <c r="CV29">
        <v>1</v>
      </c>
      <c r="CX29">
        <v>3.0092592592592595E-4</v>
      </c>
      <c r="CY29">
        <v>3.0092592592592595E-4</v>
      </c>
      <c r="CZ29">
        <v>0.17956018518518518</v>
      </c>
      <c r="DA29">
        <v>0.13024305555555554</v>
      </c>
      <c r="DB29">
        <v>85</v>
      </c>
      <c r="DC29">
        <v>186</v>
      </c>
      <c r="DD29">
        <v>19</v>
      </c>
      <c r="DE29" t="s">
        <v>683</v>
      </c>
      <c r="DF29">
        <v>17583</v>
      </c>
      <c r="DG29">
        <v>0.2235</v>
      </c>
      <c r="DO29">
        <v>100</v>
      </c>
    </row>
    <row r="30" spans="1:120" x14ac:dyDescent="0.25">
      <c r="A30" s="34" t="str" cm="1">
        <f t="array" ref="A30">IFERROR(VLOOKUP(D1_MAYO_202681[[#This Row],[ASESOR_CRR]],_xlfn._xlws.FILTER(PLANTILLA[[ASESOR]:[FECHA DE CESE]],PLANTILLA[FECHA]=_xlfn.CONCAT($M$3,"_",_xlfn.IFS($N$3="ENERO","1",$N$3="FEBRERO","2",$N$3="MARZO","3",$N$3="ABRIL","4",$N$3="MAYO","5",$N$3="JUNIO","6",$N$3="JULIO","7",$N$3="AGOSTO","8",$N$3="SETIEMBRE","9",$N$3="OCTUBRE","10",$N$3="NOVIEMBRE","11",$N$3="DICIEMBRE","12"))),3,0),"")</f>
        <v>SANDY</v>
      </c>
      <c r="B30" s="34" t="str" cm="1">
        <f t="array" ref="B30">TRIM(IFERROR(_xlfn.IFS(D1_MAYO_202681[[#This Row],[ASESOR]]="ELVIS GUERRA","ELVIS GUERRERA",D1_MAYO_202681[[#This Row],[ASESOR]]="GENESIS VICUÑA","GENESIS VICUNA",D1_MAYO_202681[[#This Row],[ASESOR]]="JENY QUIÑONES","JENY QUINONES",D1_MAYO_202681[[#This Row],[ASESOR]]="NICOLE CAURURO","NICOLE CAURURO"),D1_MAYO_202681[[#This Row],[ASESOR]]))</f>
        <v>ALEJANDRA QUISPE</v>
      </c>
      <c r="C30" s="34" cm="1">
        <f t="array" ref="C30">_xlfn.XLOOKUP(1,(TablaMeta[CONCAT]=$M$3&amp;$N$3&amp;D1_MAYO_202681[[#This Row],[SUPER]])*(TablaMeta[SEGG]=D1_MAYO_202681[[#This Row],[SEGMENTO]]),TablaMeta[Meta_Asesor])</f>
        <v>38500</v>
      </c>
      <c r="D30" s="35">
        <f>IF(D1_MAYO_202681[[#This Row],[RECUPERO]]="VACACIONES","VACACIONES",IFERROR(D1_MAYO_202681[[#This Row],[RECUPERO]]/D1_MAYO_202681[[#This Row],[META]],""))</f>
        <v>0.8433506493506493</v>
      </c>
      <c r="E30" s="35" t="str">
        <f>D1_MAYO_202681[[#This Row],[SUPER]]</f>
        <v>SANDY</v>
      </c>
      <c r="F30" t="s">
        <v>58</v>
      </c>
      <c r="G30" s="36">
        <v>32469</v>
      </c>
      <c r="H30" s="34" cm="1">
        <f t="array" ref="H30">IFERROR(VLOOKUP(D1_MAYO_202681[[#This Row],[ASESOR_CRR]],_xlfn._xlws.FILTER(PLANTILLA[[ASESOR]:[FECHA DE CESE]],PLANTILLA[FECHA]=_xlfn.CONCAT($M$3,"_",_xlfn.IFS($N$3="ENERO","1",$N$3="FEBRERO","2",$N$3="MARZO","3",$N$3="ABRIL","4",$N$3="MAYO","5",$N$3="JUNIO","6",$N$3="JULIO","7",$N$3="AGOSTO","8",$N$3="SETIEMBRE","9",$N$3="OCTUBRE","10",$N$3="NOVIEMBRE","11",$N$3="DICIEMBRE","12"))),2,0),"")</f>
        <v>72519113</v>
      </c>
      <c r="I30" s="60" cm="1">
        <f t="array" ref="I30">IFERROR(VLOOKUP(D1_MAYO_202681[[#This Row],[ASESOR_CRR]],_xlfn._xlws.FILTER(PLANTILLA[[ASESOR]:[FECHA DE CESE]],PLANTILLA[FECHA]=_xlfn.CONCAT($M$3,"_",_xlfn.IFS($N$3="ENERO","1",$N$3="FEBRERO","2",$N$3="MARZO","3",$N$3="ABRIL","4",$N$3="MAYO","5",$N$3="JUNIO","6",$N$3="JULIO","7",$N$3="AGOSTO","8",$N$3="SETIEMBRE","9",$N$3="OCTUBRE","10",$N$3="NOVIEMBRE","11",$N$3="DICIEMBRE","12"))),6,0),"")</f>
        <v>43119</v>
      </c>
      <c r="J30" s="60" t="str" cm="1">
        <f t="array" ref="J30">IFERROR(VLOOKUP(D1_MAYO_202681[[#This Row],[ASESOR_CRR]],_xlfn._xlws.FILTER(PLANTILLA[[ASESOR]:[FECHA DE CESE]],PLANTILLA[FECHA]=_xlfn.CONCAT($M$3,"_",_xlfn.IFS($N$3="ENERO","1",$N$3="FEBRERO","2",$N$3="MARZO","3",$N$3="ABRIL","4",$N$3="MAYO","5",$N$3="JUNIO","6",$N$3="JULIO","7",$N$3="AGOSTO","8",$N$3="SETIEMBRE","9",$N$3="OCTUBRE","10",$N$3="NOVIEMBRE","11",$N$3="DICIEMBRE","12"))),4,0),"")</f>
        <v>CALL</v>
      </c>
      <c r="K30" s="60" t="str" cm="1">
        <f t="array" ref="K30">IFERROR(VLOOKUP(D1_MAYO_202681[[#This Row],[ASESOR_CRR]],_xlfn._xlws.FILTER(PLANTILLA[[ASESOR]:[FECHA DE CESE]],PLANTILLA[FECHA]=_xlfn.CONCAT($M$3,"_",_xlfn.IFS($N$3="ENERO","1",$N$3="FEBRERO","2",$N$3="MARZO","3",$N$3="ABRIL","4",$N$3="MAYO","5",$N$3="JUNIO","6",$N$3="JULIO","7",$N$3="AGOSTO","8",$N$3="SETIEMBRE","9",$N$3="OCTUBRE","10",$N$3="NOVIEMBRE","11",$N$3="DICIEMBRE","12"))),8,0),"")</f>
        <v>S0</v>
      </c>
      <c r="L30" s="55"/>
      <c r="M30" s="5">
        <f>DATA_MAYO_202684[[#This Row],[RECUPERO]]/DATA_MAYO_202684[[#This Row],[META]]</f>
        <v>0.78812080536912754</v>
      </c>
      <c r="N30" s="5">
        <f>6-ROUNDUP(_xlfn.RANK.EQ(DATA_MAYO_202684[[#This Row],[AL_AC]],DATA_MAYO_202684[AL_AC],0)/(COUNTA(DATA_MAYO_202684[AL_AC])/5),0)</f>
        <v>2</v>
      </c>
      <c r="O30" s="54" t="str">
        <f>IFERROR(VLOOKUP(DATA_MAYO_202684[[#This Row],[ASER_]],$B:$G,4,0),"")</f>
        <v>JORGE</v>
      </c>
      <c r="P30" s="6">
        <f>SUM(DATA_MAYO_202684[[#This Row],[2]:[31]])</f>
        <v>35229</v>
      </c>
      <c r="Q30" s="6">
        <f>VLOOKUP(DATA_MAYO_202684[[#This Row],[ASER_]],D1_MAYO_202681[[ASESOR_CRR]:[META]],2,0)</f>
        <v>44700</v>
      </c>
      <c r="R30" t="s">
        <v>42</v>
      </c>
      <c r="S30">
        <v>400</v>
      </c>
      <c r="W30">
        <v>1300</v>
      </c>
      <c r="Y30">
        <v>875</v>
      </c>
      <c r="AD30">
        <v>1885</v>
      </c>
      <c r="AE30">
        <v>300</v>
      </c>
      <c r="AF30">
        <v>2000</v>
      </c>
      <c r="AM30">
        <v>5550</v>
      </c>
      <c r="AP30">
        <v>1560</v>
      </c>
      <c r="AR30">
        <v>10850</v>
      </c>
      <c r="AS30">
        <v>400</v>
      </c>
      <c r="AT30">
        <v>10109</v>
      </c>
      <c r="AW30" s="54" t="str" cm="1">
        <f t="array" ref="AW30">IFERROR(VLOOKUP(DATA_MAYO_202684[[#This Row],[ASER_]],_xlfn._xlws.FILTER(PLANTILLA[[ASESOR]:[FECHA DE CESE]],PLANTILLA[FECHA]=_xlfn.CONCAT($M$3,"_",_xlfn.IFS($N$3="ENERO","1",$N$3="FEBRERO","2",$N$3="MARZO","3",$N$3="ABRIL","4",$N$3="MAYO","5",$N$3="JUNIO","6",$N$3="JULIO","7",$N$3="AGOSTO","8",$N$3="SETIEMBRE","9",$N$3="OCTUBRE","10",$N$3="NOVIEMBRE","11",$N$3="DICIEMBRE","12"))),8,0),"")</f>
        <v>S1</v>
      </c>
      <c r="CO30" t="s">
        <v>636</v>
      </c>
      <c r="CP30" t="s">
        <v>7</v>
      </c>
      <c r="CQ30" t="s">
        <v>75</v>
      </c>
      <c r="CR30">
        <v>46162</v>
      </c>
      <c r="CS30">
        <v>1</v>
      </c>
      <c r="CT30">
        <v>1</v>
      </c>
      <c r="CV30">
        <v>1</v>
      </c>
      <c r="CX30">
        <v>9.2592592592592588E-5</v>
      </c>
      <c r="CY30">
        <v>9.2592592592592588E-5</v>
      </c>
      <c r="CZ30">
        <v>0.2446875</v>
      </c>
      <c r="DA30">
        <v>0.12939814814814815</v>
      </c>
      <c r="DB30">
        <v>106</v>
      </c>
      <c r="DC30">
        <v>204</v>
      </c>
      <c r="DD30">
        <v>15</v>
      </c>
      <c r="DE30" t="s">
        <v>674</v>
      </c>
      <c r="DF30">
        <v>15749</v>
      </c>
      <c r="DG30">
        <v>0.14149999999999999</v>
      </c>
      <c r="DO30">
        <v>100</v>
      </c>
    </row>
    <row r="31" spans="1:120" x14ac:dyDescent="0.25">
      <c r="A31" s="34" t="str" cm="1">
        <f t="array" ref="A31">IFERROR(VLOOKUP(D1_MAYO_202681[[#This Row],[ASESOR_CRR]],_xlfn._xlws.FILTER(PLANTILLA[[ASESOR]:[FECHA DE CESE]],PLANTILLA[FECHA]=_xlfn.CONCAT($M$3,"_",_xlfn.IFS($N$3="ENERO","1",$N$3="FEBRERO","2",$N$3="MARZO","3",$N$3="ABRIL","4",$N$3="MAYO","5",$N$3="JUNIO","6",$N$3="JULIO","7",$N$3="AGOSTO","8",$N$3="SETIEMBRE","9",$N$3="OCTUBRE","10",$N$3="NOVIEMBRE","11",$N$3="DICIEMBRE","12"))),3,0),"")</f>
        <v>SANDY</v>
      </c>
      <c r="B31" s="34" t="str" cm="1">
        <f t="array" ref="B31">TRIM(IFERROR(_xlfn.IFS(D1_MAYO_202681[[#This Row],[ASESOR]]="ELVIS GUERRA","ELVIS GUERRERA",D1_MAYO_202681[[#This Row],[ASESOR]]="GENESIS VICUÑA","GENESIS VICUNA",D1_MAYO_202681[[#This Row],[ASESOR]]="JENY QUIÑONES","JENY QUINONES",D1_MAYO_202681[[#This Row],[ASESOR]]="NICOLE CAURURO","NICOLE CAURURO"),D1_MAYO_202681[[#This Row],[ASESOR]]))</f>
        <v>GIANNINA AGUILAR</v>
      </c>
      <c r="C31" s="34" cm="1">
        <f t="array" ref="C31">_xlfn.XLOOKUP(1,(TablaMeta[CONCAT]=$M$3&amp;$N$3&amp;D1_MAYO_202681[[#This Row],[SUPER]])*(TablaMeta[SEGG]=D1_MAYO_202681[[#This Row],[SEGMENTO]]),TablaMeta[Meta_Asesor])</f>
        <v>38500</v>
      </c>
      <c r="D31" s="35">
        <f>IF(D1_MAYO_202681[[#This Row],[RECUPERO]]="VACACIONES","VACACIONES",IFERROR(D1_MAYO_202681[[#This Row],[RECUPERO]]/D1_MAYO_202681[[#This Row],[META]],""))</f>
        <v>0.78355844155844157</v>
      </c>
      <c r="E31" s="35" t="str">
        <f>D1_MAYO_202681[[#This Row],[SUPER]]</f>
        <v>SANDY</v>
      </c>
      <c r="F31" t="s">
        <v>32</v>
      </c>
      <c r="G31" s="36">
        <v>30167</v>
      </c>
      <c r="H31" s="34" cm="1">
        <f t="array" ref="H31">IFERROR(VLOOKUP(D1_MAYO_202681[[#This Row],[ASESOR_CRR]],_xlfn._xlws.FILTER(PLANTILLA[[ASESOR]:[FECHA DE CESE]],PLANTILLA[FECHA]=_xlfn.CONCAT($M$3,"_",_xlfn.IFS($N$3="ENERO","1",$N$3="FEBRERO","2",$N$3="MARZO","3",$N$3="ABRIL","4",$N$3="MAYO","5",$N$3="JUNIO","6",$N$3="JULIO","7",$N$3="AGOSTO","8",$N$3="SETIEMBRE","9",$N$3="OCTUBRE","10",$N$3="NOVIEMBRE","11",$N$3="DICIEMBRE","12"))),2,0),"")</f>
        <v>48584670</v>
      </c>
      <c r="I31" s="60" cm="1">
        <f t="array" ref="I31">IFERROR(VLOOKUP(D1_MAYO_202681[[#This Row],[ASESOR_CRR]],_xlfn._xlws.FILTER(PLANTILLA[[ASESOR]:[FECHA DE CESE]],PLANTILLA[FECHA]=_xlfn.CONCAT($M$3,"_",_xlfn.IFS($N$3="ENERO","1",$N$3="FEBRERO","2",$N$3="MARZO","3",$N$3="ABRIL","4",$N$3="MAYO","5",$N$3="JUNIO","6",$N$3="JULIO","7",$N$3="AGOSTO","8",$N$3="SETIEMBRE","9",$N$3="OCTUBRE","10",$N$3="NOVIEMBRE","11",$N$3="DICIEMBRE","12"))),6,0),"")</f>
        <v>45526</v>
      </c>
      <c r="J31" s="60" t="str" cm="1">
        <f t="array" ref="J31">IFERROR(VLOOKUP(D1_MAYO_202681[[#This Row],[ASESOR_CRR]],_xlfn._xlws.FILTER(PLANTILLA[[ASESOR]:[FECHA DE CESE]],PLANTILLA[FECHA]=_xlfn.CONCAT($M$3,"_",_xlfn.IFS($N$3="ENERO","1",$N$3="FEBRERO","2",$N$3="MARZO","3",$N$3="ABRIL","4",$N$3="MAYO","5",$N$3="JUNIO","6",$N$3="JULIO","7",$N$3="AGOSTO","8",$N$3="SETIEMBRE","9",$N$3="OCTUBRE","10",$N$3="NOVIEMBRE","11",$N$3="DICIEMBRE","12"))),4,0),"")</f>
        <v>CALL</v>
      </c>
      <c r="K31" s="60" t="str" cm="1">
        <f t="array" ref="K31">IFERROR(VLOOKUP(D1_MAYO_202681[[#This Row],[ASESOR_CRR]],_xlfn._xlws.FILTER(PLANTILLA[[ASESOR]:[FECHA DE CESE]],PLANTILLA[FECHA]=_xlfn.CONCAT($M$3,"_",_xlfn.IFS($N$3="ENERO","1",$N$3="FEBRERO","2",$N$3="MARZO","3",$N$3="ABRIL","4",$N$3="MAYO","5",$N$3="JUNIO","6",$N$3="JULIO","7",$N$3="AGOSTO","8",$N$3="SETIEMBRE","9",$N$3="OCTUBRE","10",$N$3="NOVIEMBRE","11",$N$3="DICIEMBRE","12"))),8,0),"")</f>
        <v>S0</v>
      </c>
      <c r="L31" s="55"/>
      <c r="M31" s="5">
        <f>DATA_MAYO_202684[[#This Row],[RECUPERO]]/DATA_MAYO_202684[[#This Row],[META]]</f>
        <v>0.76166666666666671</v>
      </c>
      <c r="N31" s="5">
        <f>6-ROUNDUP(_xlfn.RANK.EQ(DATA_MAYO_202684[[#This Row],[AL_AC]],DATA_MAYO_202684[AL_AC],0)/(COUNTA(DATA_MAYO_202684[AL_AC])/5),0)</f>
        <v>2</v>
      </c>
      <c r="O31" s="54" t="str">
        <f>IFERROR(VLOOKUP(DATA_MAYO_202684[[#This Row],[ASER_]],$B:$G,4,0),"")</f>
        <v>LISELY</v>
      </c>
      <c r="P31" s="6">
        <f>SUM(DATA_MAYO_202684[[#This Row],[2]:[31]])</f>
        <v>17366</v>
      </c>
      <c r="Q31" s="6">
        <f>VLOOKUP(DATA_MAYO_202684[[#This Row],[ASER_]],D1_MAYO_202681[[ASESOR_CRR]:[META]],2,0)</f>
        <v>22800</v>
      </c>
      <c r="R31" t="s">
        <v>49</v>
      </c>
      <c r="U31">
        <v>5800</v>
      </c>
      <c r="AF31">
        <v>600</v>
      </c>
      <c r="AG31">
        <v>744</v>
      </c>
      <c r="AI31">
        <v>3706</v>
      </c>
      <c r="AL31">
        <v>400</v>
      </c>
      <c r="AQ31">
        <v>308</v>
      </c>
      <c r="AR31">
        <v>2000</v>
      </c>
      <c r="AS31">
        <v>2500</v>
      </c>
      <c r="AT31">
        <v>1000</v>
      </c>
      <c r="AU31">
        <v>308</v>
      </c>
      <c r="AW31" s="54" t="str" cm="1">
        <f t="array" ref="AW31">IFERROR(VLOOKUP(DATA_MAYO_202684[[#This Row],[ASER_]],_xlfn._xlws.FILTER(PLANTILLA[[ASESOR]:[FECHA DE CESE]],PLANTILLA[FECHA]=_xlfn.CONCAT($M$3,"_",_xlfn.IFS($N$3="ENERO","1",$N$3="FEBRERO","2",$N$3="MARZO","3",$N$3="ABRIL","4",$N$3="MAYO","5",$N$3="JUNIO","6",$N$3="JULIO","7",$N$3="AGOSTO","8",$N$3="SETIEMBRE","9",$N$3="OCTUBRE","10",$N$3="NOVIEMBRE","11",$N$3="DICIEMBRE","12"))),8,0),"")</f>
        <v>S2-3-4 BANCO</v>
      </c>
      <c r="CO31" t="s">
        <v>636</v>
      </c>
      <c r="CP31" t="s">
        <v>7</v>
      </c>
      <c r="CQ31" t="s">
        <v>59</v>
      </c>
      <c r="CR31">
        <v>46155</v>
      </c>
      <c r="CS31">
        <v>1</v>
      </c>
      <c r="CT31">
        <v>1</v>
      </c>
      <c r="CV31">
        <v>1</v>
      </c>
      <c r="CX31">
        <v>1.1574074074074073E-5</v>
      </c>
      <c r="CY31">
        <v>1.1574074074074073E-5</v>
      </c>
      <c r="CZ31">
        <v>0.14414351851851853</v>
      </c>
      <c r="DA31">
        <v>0.18930555555555556</v>
      </c>
      <c r="DB31">
        <v>179</v>
      </c>
      <c r="DC31">
        <v>348</v>
      </c>
      <c r="DD31">
        <v>25</v>
      </c>
      <c r="DE31">
        <v>1.84</v>
      </c>
      <c r="DF31">
        <v>33088</v>
      </c>
      <c r="DG31">
        <v>0.13969999999999999</v>
      </c>
      <c r="DH31">
        <v>2</v>
      </c>
      <c r="DI31">
        <v>0.08</v>
      </c>
      <c r="DJ31">
        <v>3800</v>
      </c>
      <c r="DK31">
        <v>1900</v>
      </c>
      <c r="DO31">
        <v>100</v>
      </c>
    </row>
    <row r="32" spans="1:120" x14ac:dyDescent="0.25">
      <c r="A32" s="34" t="str" cm="1">
        <f t="array" ref="A32">IFERROR(VLOOKUP(D1_MAYO_202681[[#This Row],[ASESOR_CRR]],_xlfn._xlws.FILTER(PLANTILLA[[ASESOR]:[FECHA DE CESE]],PLANTILLA[FECHA]=_xlfn.CONCAT($M$3,"_",_xlfn.IFS($N$3="ENERO","1",$N$3="FEBRERO","2",$N$3="MARZO","3",$N$3="ABRIL","4",$N$3="MAYO","5",$N$3="JUNIO","6",$N$3="JULIO","7",$N$3="AGOSTO","8",$N$3="SETIEMBRE","9",$N$3="OCTUBRE","10",$N$3="NOVIEMBRE","11",$N$3="DICIEMBRE","12"))),3,0),"")</f>
        <v>SANDY</v>
      </c>
      <c r="B32" s="34" t="str" cm="1">
        <f t="array" ref="B32">TRIM(IFERROR(_xlfn.IFS(D1_MAYO_202681[[#This Row],[ASESOR]]="ELVIS GUERRA","ELVIS GUERRERA",D1_MAYO_202681[[#This Row],[ASESOR]]="GENESIS VICUÑA","GENESIS VICUNA",D1_MAYO_202681[[#This Row],[ASESOR]]="JENY QUIÑONES","JENY QUINONES",D1_MAYO_202681[[#This Row],[ASESOR]]="NICOLE CAURURO","NICOLE CAURURO"),D1_MAYO_202681[[#This Row],[ASESOR]]))</f>
        <v>ANTHONY VICENTE</v>
      </c>
      <c r="C32" s="34" cm="1">
        <f t="array" ref="C32">_xlfn.XLOOKUP(1,(TablaMeta[CONCAT]=$M$3&amp;$N$3&amp;D1_MAYO_202681[[#This Row],[SUPER]])*(TablaMeta[SEGG]=D1_MAYO_202681[[#This Row],[SEGMENTO]]),TablaMeta[Meta_Asesor])</f>
        <v>38500</v>
      </c>
      <c r="D32" s="35">
        <f>IF(D1_MAYO_202681[[#This Row],[RECUPERO]]="VACACIONES","VACACIONES",IFERROR(D1_MAYO_202681[[#This Row],[RECUPERO]]/D1_MAYO_202681[[#This Row],[META]],""))</f>
        <v>0.61436363636363633</v>
      </c>
      <c r="E32" s="35" t="str">
        <f>D1_MAYO_202681[[#This Row],[SUPER]]</f>
        <v>SANDY</v>
      </c>
      <c r="F32" t="s">
        <v>85</v>
      </c>
      <c r="G32" s="36">
        <v>23653</v>
      </c>
      <c r="H32" s="34" cm="1">
        <f t="array" ref="H32">IFERROR(VLOOKUP(D1_MAYO_202681[[#This Row],[ASESOR_CRR]],_xlfn._xlws.FILTER(PLANTILLA[[ASESOR]:[FECHA DE CESE]],PLANTILLA[FECHA]=_xlfn.CONCAT($M$3,"_",_xlfn.IFS($N$3="ENERO","1",$N$3="FEBRERO","2",$N$3="MARZO","3",$N$3="ABRIL","4",$N$3="MAYO","5",$N$3="JUNIO","6",$N$3="JULIO","7",$N$3="AGOSTO","8",$N$3="SETIEMBRE","9",$N$3="OCTUBRE","10",$N$3="NOVIEMBRE","11",$N$3="DICIEMBRE","12"))),2,0),"")</f>
        <v>70477743</v>
      </c>
      <c r="I32" s="60" cm="1">
        <f t="array" ref="I32">IFERROR(VLOOKUP(D1_MAYO_202681[[#This Row],[ASESOR_CRR]],_xlfn._xlws.FILTER(PLANTILLA[[ASESOR]:[FECHA DE CESE]],PLANTILLA[FECHA]=_xlfn.CONCAT($M$3,"_",_xlfn.IFS($N$3="ENERO","1",$N$3="FEBRERO","2",$N$3="MARZO","3",$N$3="ABRIL","4",$N$3="MAYO","5",$N$3="JUNIO","6",$N$3="JULIO","7",$N$3="AGOSTO","8",$N$3="SETIEMBRE","9",$N$3="OCTUBRE","10",$N$3="NOVIEMBRE","11",$N$3="DICIEMBRE","12"))),6,0),"")</f>
        <v>46055</v>
      </c>
      <c r="J32" s="60" t="str" cm="1">
        <f t="array" ref="J32">IFERROR(VLOOKUP(D1_MAYO_202681[[#This Row],[ASESOR_CRR]],_xlfn._xlws.FILTER(PLANTILLA[[ASESOR]:[FECHA DE CESE]],PLANTILLA[FECHA]=_xlfn.CONCAT($M$3,"_",_xlfn.IFS($N$3="ENERO","1",$N$3="FEBRERO","2",$N$3="MARZO","3",$N$3="ABRIL","4",$N$3="MAYO","5",$N$3="JUNIO","6",$N$3="JULIO","7",$N$3="AGOSTO","8",$N$3="SETIEMBRE","9",$N$3="OCTUBRE","10",$N$3="NOVIEMBRE","11",$N$3="DICIEMBRE","12"))),4,0),"")</f>
        <v>CALL</v>
      </c>
      <c r="K32" s="60" t="str" cm="1">
        <f t="array" ref="K32">IFERROR(VLOOKUP(D1_MAYO_202681[[#This Row],[ASESOR_CRR]],_xlfn._xlws.FILTER(PLANTILLA[[ASESOR]:[FECHA DE CESE]],PLANTILLA[FECHA]=_xlfn.CONCAT($M$3,"_",_xlfn.IFS($N$3="ENERO","1",$N$3="FEBRERO","2",$N$3="MARZO","3",$N$3="ABRIL","4",$N$3="MAYO","5",$N$3="JUNIO","6",$N$3="JULIO","7",$N$3="AGOSTO","8",$N$3="SETIEMBRE","9",$N$3="OCTUBRE","10",$N$3="NOVIEMBRE","11",$N$3="DICIEMBRE","12"))),8,0),"")</f>
        <v>S0</v>
      </c>
      <c r="L32" s="55"/>
      <c r="M32" s="5">
        <f>DATA_MAYO_202684[[#This Row],[RECUPERO]]/DATA_MAYO_202684[[#This Row],[META]]</f>
        <v>0.48143176733780763</v>
      </c>
      <c r="N32" s="5">
        <f>6-ROUNDUP(_xlfn.RANK.EQ(DATA_MAYO_202684[[#This Row],[AL_AC]],DATA_MAYO_202684[AL_AC],0)/(COUNTA(DATA_MAYO_202684[AL_AC])/5),0)</f>
        <v>1</v>
      </c>
      <c r="O32" s="54" t="str">
        <f>IFERROR(VLOOKUP(DATA_MAYO_202684[[#This Row],[ASER_]],$B:$G,4,0),"")</f>
        <v>LEONOR</v>
      </c>
      <c r="P32" s="6">
        <f>SUM(DATA_MAYO_202684[[#This Row],[2]:[31]])</f>
        <v>21520</v>
      </c>
      <c r="Q32" s="6">
        <f>VLOOKUP(DATA_MAYO_202684[[#This Row],[ASER_]],D1_MAYO_202681[[ASESOR_CRR]:[META]],2,0)</f>
        <v>44700</v>
      </c>
      <c r="R32" t="s">
        <v>26</v>
      </c>
      <c r="U32">
        <v>1000</v>
      </c>
      <c r="W32">
        <v>470</v>
      </c>
      <c r="Z32">
        <v>300</v>
      </c>
      <c r="AB32">
        <v>200</v>
      </c>
      <c r="AE32">
        <v>200</v>
      </c>
      <c r="AF32">
        <v>250</v>
      </c>
      <c r="AI32">
        <v>3000</v>
      </c>
      <c r="AK32" s="6">
        <v>200</v>
      </c>
      <c r="AL32" s="6">
        <v>1280</v>
      </c>
      <c r="AM32" s="6"/>
      <c r="AN32" s="6"/>
      <c r="AO32" s="6"/>
      <c r="AP32" s="6"/>
      <c r="AQ32" s="6"/>
      <c r="AR32">
        <v>7500</v>
      </c>
      <c r="AT32">
        <v>7120</v>
      </c>
      <c r="AW32" s="54" t="str" cm="1">
        <f t="array" ref="AW32">IFERROR(VLOOKUP(DATA_MAYO_202684[[#This Row],[ASER_]],_xlfn._xlws.FILTER(PLANTILLA[[ASESOR]:[FECHA DE CESE]],PLANTILLA[FECHA]=_xlfn.CONCAT($M$3,"_",_xlfn.IFS($N$3="ENERO","1",$N$3="FEBRERO","2",$N$3="MARZO","3",$N$3="ABRIL","4",$N$3="MAYO","5",$N$3="JUNIO","6",$N$3="JULIO","7",$N$3="AGOSTO","8",$N$3="SETIEMBRE","9",$N$3="OCTUBRE","10",$N$3="NOVIEMBRE","11",$N$3="DICIEMBRE","12"))),8,0),"")</f>
        <v>S1</v>
      </c>
      <c r="CO32" t="s">
        <v>636</v>
      </c>
      <c r="CP32" t="s">
        <v>7</v>
      </c>
      <c r="CQ32" t="s">
        <v>59</v>
      </c>
      <c r="CR32">
        <v>46162</v>
      </c>
      <c r="CS32">
        <v>1</v>
      </c>
      <c r="CT32">
        <v>1</v>
      </c>
      <c r="CV32">
        <v>1</v>
      </c>
      <c r="CX32">
        <v>1.1574074074074073E-5</v>
      </c>
      <c r="CY32">
        <v>1.1574074074074073E-5</v>
      </c>
      <c r="CZ32">
        <v>0.18239583333333334</v>
      </c>
      <c r="DA32">
        <v>0.19712962962962963</v>
      </c>
      <c r="DB32">
        <v>193</v>
      </c>
      <c r="DC32">
        <v>331</v>
      </c>
      <c r="DD32">
        <v>10</v>
      </c>
      <c r="DE32">
        <v>1.9</v>
      </c>
      <c r="DF32">
        <v>28698</v>
      </c>
      <c r="DG32">
        <v>5.1799999999999999E-2</v>
      </c>
      <c r="DO32">
        <v>100</v>
      </c>
    </row>
    <row r="33" spans="1:120" x14ac:dyDescent="0.25">
      <c r="A33" s="34" t="str" cm="1">
        <f t="array" ref="A33">IFERROR(VLOOKUP(D1_MAYO_202681[[#This Row],[ASESOR_CRR]],_xlfn._xlws.FILTER(PLANTILLA[[ASESOR]:[FECHA DE CESE]],PLANTILLA[FECHA]=_xlfn.CONCAT($M$3,"_",_xlfn.IFS($N$3="ENERO","1",$N$3="FEBRERO","2",$N$3="MARZO","3",$N$3="ABRIL","4",$N$3="MAYO","5",$N$3="JUNIO","6",$N$3="JULIO","7",$N$3="AGOSTO","8",$N$3="SETIEMBRE","9",$N$3="OCTUBRE","10",$N$3="NOVIEMBRE","11",$N$3="DICIEMBRE","12"))),3,0),"")</f>
        <v>LISELY</v>
      </c>
      <c r="B33" s="34" t="str" cm="1">
        <f t="array" ref="B33">TRIM(IFERROR(_xlfn.IFS(D1_MAYO_202681[[#This Row],[ASESOR]]="ELVIS GUERRA","ELVIS GUERRERA",D1_MAYO_202681[[#This Row],[ASESOR]]="GENESIS VICUÑA","GENESIS VICUNA",D1_MAYO_202681[[#This Row],[ASESOR]]="JENY QUIÑONES","JENY QUINONES",D1_MAYO_202681[[#This Row],[ASESOR]]="NICOLE CAURURO","NICOLE CAURURO"),D1_MAYO_202681[[#This Row],[ASESOR]]))</f>
        <v>MAYRA AVALOS</v>
      </c>
      <c r="C33" s="34" cm="1">
        <f t="array" ref="C33">_xlfn.XLOOKUP(1,(TablaMeta[CONCAT]=$M$3&amp;$N$3&amp;D1_MAYO_202681[[#This Row],[SUPER]])*(TablaMeta[SEGG]=D1_MAYO_202681[[#This Row],[SEGMENTO]]),TablaMeta[Meta_Asesor])</f>
        <v>18100</v>
      </c>
      <c r="D33" s="35">
        <f>IF(D1_MAYO_202681[[#This Row],[RECUPERO]]="VACACIONES","VACACIONES",IFERROR(D1_MAYO_202681[[#This Row],[RECUPERO]]/D1_MAYO_202681[[#This Row],[META]],""))</f>
        <v>1.1293922651933701</v>
      </c>
      <c r="E33" s="35" t="str">
        <f>D1_MAYO_202681[[#This Row],[SUPER]]</f>
        <v>LISELY</v>
      </c>
      <c r="F33" t="s">
        <v>55</v>
      </c>
      <c r="G33" s="36">
        <v>20442</v>
      </c>
      <c r="H33" s="34" cm="1">
        <f t="array" ref="H33">IFERROR(VLOOKUP(D1_MAYO_202681[[#This Row],[ASESOR_CRR]],_xlfn._xlws.FILTER(PLANTILLA[[ASESOR]:[FECHA DE CESE]],PLANTILLA[FECHA]=_xlfn.CONCAT($M$3,"_",_xlfn.IFS($N$3="ENERO","1",$N$3="FEBRERO","2",$N$3="MARZO","3",$N$3="ABRIL","4",$N$3="MAYO","5",$N$3="JUNIO","6",$N$3="JULIO","7",$N$3="AGOSTO","8",$N$3="SETIEMBRE","9",$N$3="OCTUBRE","10",$N$3="NOVIEMBRE","11",$N$3="DICIEMBRE","12"))),2,0),"")</f>
        <v>45119892</v>
      </c>
      <c r="I33" s="60" cm="1">
        <f t="array" ref="I33">IFERROR(VLOOKUP(D1_MAYO_202681[[#This Row],[ASESOR_CRR]],_xlfn._xlws.FILTER(PLANTILLA[[ASESOR]:[FECHA DE CESE]],PLANTILLA[FECHA]=_xlfn.CONCAT($M$3,"_",_xlfn.IFS($N$3="ENERO","1",$N$3="FEBRERO","2",$N$3="MARZO","3",$N$3="ABRIL","4",$N$3="MAYO","5",$N$3="JUNIO","6",$N$3="JULIO","7",$N$3="AGOSTO","8",$N$3="SETIEMBRE","9",$N$3="OCTUBRE","10",$N$3="NOVIEMBRE","11",$N$3="DICIEMBRE","12"))),6,0),"")</f>
        <v>45813</v>
      </c>
      <c r="J33" s="60" t="str" cm="1">
        <f t="array" ref="J33">IFERROR(VLOOKUP(D1_MAYO_202681[[#This Row],[ASESOR_CRR]],_xlfn._xlws.FILTER(PLANTILLA[[ASESOR]:[FECHA DE CESE]],PLANTILLA[FECHA]=_xlfn.CONCAT($M$3,"_",_xlfn.IFS($N$3="ENERO","1",$N$3="FEBRERO","2",$N$3="MARZO","3",$N$3="ABRIL","4",$N$3="MAYO","5",$N$3="JUNIO","6",$N$3="JULIO","7",$N$3="AGOSTO","8",$N$3="SETIEMBRE","9",$N$3="OCTUBRE","10",$N$3="NOVIEMBRE","11",$N$3="DICIEMBRE","12"))),4,0),"")</f>
        <v>CALL</v>
      </c>
      <c r="K33" s="60" t="str" cm="1">
        <f t="array" ref="K33">IFERROR(VLOOKUP(D1_MAYO_202681[[#This Row],[ASESOR_CRR]],_xlfn._xlws.FILTER(PLANTILLA[[ASESOR]:[FECHA DE CESE]],PLANTILLA[FECHA]=_xlfn.CONCAT($M$3,"_",_xlfn.IFS($N$3="ENERO","1",$N$3="FEBRERO","2",$N$3="MARZO","3",$N$3="ABRIL","4",$N$3="MAYO","5",$N$3="JUNIO","6",$N$3="JULIO","7",$N$3="AGOSTO","8",$N$3="SETIEMBRE","9",$N$3="OCTUBRE","10",$N$3="NOVIEMBRE","11",$N$3="DICIEMBRE","12"))),8,0),"")</f>
        <v>S2-3-4 MIX</v>
      </c>
      <c r="L33" s="55"/>
      <c r="M33" s="5">
        <f>DATA_MAYO_202684[[#This Row],[RECUPERO]]/DATA_MAYO_202684[[#This Row],[META]]</f>
        <v>1.0003116883116883</v>
      </c>
      <c r="N33" s="5">
        <f>6-ROUNDUP(_xlfn.RANK.EQ(DATA_MAYO_202684[[#This Row],[AL_AC]],DATA_MAYO_202684[AL_AC],0)/(COUNTA(DATA_MAYO_202684[AL_AC])/5),0)</f>
        <v>4</v>
      </c>
      <c r="O33" s="54" t="str">
        <f>IFERROR(VLOOKUP(DATA_MAYO_202684[[#This Row],[ASER_]],$B:$G,4,0),"")</f>
        <v>SANDY</v>
      </c>
      <c r="P33" s="6">
        <f>SUM(DATA_MAYO_202684[[#This Row],[2]:[31]])</f>
        <v>38512</v>
      </c>
      <c r="Q33" s="6">
        <f>VLOOKUP(DATA_MAYO_202684[[#This Row],[ASER_]],D1_MAYO_202681[[ASESOR_CRR]:[META]],2,0)</f>
        <v>38500</v>
      </c>
      <c r="R33" t="s">
        <v>564</v>
      </c>
      <c r="W33">
        <v>1000</v>
      </c>
      <c r="X33">
        <v>1405</v>
      </c>
      <c r="AB33">
        <v>250</v>
      </c>
      <c r="AD33">
        <v>1800</v>
      </c>
      <c r="AE33">
        <v>1000</v>
      </c>
      <c r="AF33">
        <v>1562</v>
      </c>
      <c r="AJ33">
        <v>4500</v>
      </c>
      <c r="AK33" s="6"/>
      <c r="AL33" s="6">
        <v>4000</v>
      </c>
      <c r="AM33" s="6">
        <v>1800</v>
      </c>
      <c r="AN33" s="6"/>
      <c r="AO33" s="6"/>
      <c r="AP33" s="6"/>
      <c r="AQ33" s="6">
        <v>18300</v>
      </c>
      <c r="AR33">
        <v>400</v>
      </c>
      <c r="AT33">
        <v>1970</v>
      </c>
      <c r="AU33">
        <v>525</v>
      </c>
      <c r="AW33" s="54" t="str" cm="1">
        <f t="array" ref="AW33">IFERROR(VLOOKUP(DATA_MAYO_202684[[#This Row],[ASER_]],_xlfn._xlws.FILTER(PLANTILLA[[ASESOR]:[FECHA DE CESE]],PLANTILLA[FECHA]=_xlfn.CONCAT($M$3,"_",_xlfn.IFS($N$3="ENERO","1",$N$3="FEBRERO","2",$N$3="MARZO","3",$N$3="ABRIL","4",$N$3="MAYO","5",$N$3="JUNIO","6",$N$3="JULIO","7",$N$3="AGOSTO","8",$N$3="SETIEMBRE","9",$N$3="OCTUBRE","10",$N$3="NOVIEMBRE","11",$N$3="DICIEMBRE","12"))),8,0),"")</f>
        <v>S0</v>
      </c>
      <c r="CO33" t="s">
        <v>636</v>
      </c>
      <c r="CP33" t="s">
        <v>7</v>
      </c>
      <c r="CQ33" t="s">
        <v>59</v>
      </c>
      <c r="CR33">
        <v>46172</v>
      </c>
      <c r="CS33">
        <v>1</v>
      </c>
      <c r="CT33">
        <v>1</v>
      </c>
      <c r="CV33">
        <v>1</v>
      </c>
      <c r="CX33">
        <v>2.3148148148148147E-5</v>
      </c>
      <c r="CY33">
        <v>2.3148148148148147E-5</v>
      </c>
      <c r="CZ33">
        <v>8.1516203703703702E-2</v>
      </c>
      <c r="DA33">
        <v>0.10903935185185185</v>
      </c>
      <c r="DB33">
        <v>27</v>
      </c>
      <c r="DC33">
        <v>53</v>
      </c>
      <c r="DD33">
        <v>7</v>
      </c>
      <c r="DE33" t="s">
        <v>684</v>
      </c>
      <c r="DF33">
        <v>37763</v>
      </c>
      <c r="DG33">
        <v>0.25929999999999997</v>
      </c>
      <c r="DH33">
        <v>1</v>
      </c>
      <c r="DI33">
        <v>0.1429</v>
      </c>
      <c r="DJ33">
        <v>12162</v>
      </c>
      <c r="DK33">
        <v>12162</v>
      </c>
      <c r="DL33">
        <v>12162</v>
      </c>
      <c r="DM33">
        <v>1</v>
      </c>
      <c r="DN33">
        <v>8.1000000000000003E-2</v>
      </c>
      <c r="DO33">
        <v>100</v>
      </c>
      <c r="DP33">
        <v>12162</v>
      </c>
    </row>
    <row r="34" spans="1:120" x14ac:dyDescent="0.25">
      <c r="A34" s="34" t="str" cm="1">
        <f t="array" ref="A34">IFERROR(VLOOKUP(D1_MAYO_202681[[#This Row],[ASESOR_CRR]],_xlfn._xlws.FILTER(PLANTILLA[[ASESOR]:[FECHA DE CESE]],PLANTILLA[FECHA]=_xlfn.CONCAT($M$3,"_",_xlfn.IFS($N$3="ENERO","1",$N$3="FEBRERO","2",$N$3="MARZO","3",$N$3="ABRIL","4",$N$3="MAYO","5",$N$3="JUNIO","6",$N$3="JULIO","7",$N$3="AGOSTO","8",$N$3="SETIEMBRE","9",$N$3="OCTUBRE","10",$N$3="NOVIEMBRE","11",$N$3="DICIEMBRE","12"))),3,0),"")</f>
        <v>LISELY</v>
      </c>
      <c r="B34" s="34" t="str" cm="1">
        <f t="array" ref="B34">TRIM(IFERROR(_xlfn.IFS(D1_MAYO_202681[[#This Row],[ASESOR]]="ELVIS GUERRA","ELVIS GUERRERA",D1_MAYO_202681[[#This Row],[ASESOR]]="GENESIS VICUÑA","GENESIS VICUNA",D1_MAYO_202681[[#This Row],[ASESOR]]="JENY QUIÑONES","JENY QUINONES",D1_MAYO_202681[[#This Row],[ASESOR]]="NICOLE CAURURO","NICOLE CAURURO"),D1_MAYO_202681[[#This Row],[ASESOR]]))</f>
        <v>CHRISTIAN ALVARADO</v>
      </c>
      <c r="C34" s="34" cm="1">
        <f t="array" ref="C34">_xlfn.XLOOKUP(1,(TablaMeta[CONCAT]=$M$3&amp;$N$3&amp;D1_MAYO_202681[[#This Row],[SUPER]])*(TablaMeta[SEGG]=D1_MAYO_202681[[#This Row],[SEGMENTO]]),TablaMeta[Meta_Asesor])</f>
        <v>18100</v>
      </c>
      <c r="D34" s="35">
        <f>IF(D1_MAYO_202681[[#This Row],[RECUPERO]]="VACACIONES","VACACIONES",IFERROR(D1_MAYO_202681[[#This Row],[RECUPERO]]/D1_MAYO_202681[[#This Row],[META]],""))</f>
        <v>1.071878453038674</v>
      </c>
      <c r="E34" s="35" t="str">
        <f>D1_MAYO_202681[[#This Row],[SUPER]]</f>
        <v>LISELY</v>
      </c>
      <c r="F34" t="s">
        <v>41</v>
      </c>
      <c r="G34" s="36">
        <v>19401</v>
      </c>
      <c r="H34" s="34" cm="1">
        <f t="array" ref="H34">IFERROR(VLOOKUP(D1_MAYO_202681[[#This Row],[ASESOR_CRR]],_xlfn._xlws.FILTER(PLANTILLA[[ASESOR]:[FECHA DE CESE]],PLANTILLA[FECHA]=_xlfn.CONCAT($M$3,"_",_xlfn.IFS($N$3="ENERO","1",$N$3="FEBRERO","2",$N$3="MARZO","3",$N$3="ABRIL","4",$N$3="MAYO","5",$N$3="JUNIO","6",$N$3="JULIO","7",$N$3="AGOSTO","8",$N$3="SETIEMBRE","9",$N$3="OCTUBRE","10",$N$3="NOVIEMBRE","11",$N$3="DICIEMBRE","12"))),2,0),"")</f>
        <v>46461021</v>
      </c>
      <c r="I34" s="60" cm="1">
        <f t="array" ref="I34">IFERROR(VLOOKUP(D1_MAYO_202681[[#This Row],[ASESOR_CRR]],_xlfn._xlws.FILTER(PLANTILLA[[ASESOR]:[FECHA DE CESE]],PLANTILLA[FECHA]=_xlfn.CONCAT($M$3,"_",_xlfn.IFS($N$3="ENERO","1",$N$3="FEBRERO","2",$N$3="MARZO","3",$N$3="ABRIL","4",$N$3="MAYO","5",$N$3="JUNIO","6",$N$3="JULIO","7",$N$3="AGOSTO","8",$N$3="SETIEMBRE","9",$N$3="OCTUBRE","10",$N$3="NOVIEMBRE","11",$N$3="DICIEMBRE","12"))),6,0),"")</f>
        <v>45302</v>
      </c>
      <c r="J34" s="60" t="str" cm="1">
        <f t="array" ref="J34">IFERROR(VLOOKUP(D1_MAYO_202681[[#This Row],[ASESOR_CRR]],_xlfn._xlws.FILTER(PLANTILLA[[ASESOR]:[FECHA DE CESE]],PLANTILLA[FECHA]=_xlfn.CONCAT($M$3,"_",_xlfn.IFS($N$3="ENERO","1",$N$3="FEBRERO","2",$N$3="MARZO","3",$N$3="ABRIL","4",$N$3="MAYO","5",$N$3="JUNIO","6",$N$3="JULIO","7",$N$3="AGOSTO","8",$N$3="SETIEMBRE","9",$N$3="OCTUBRE","10",$N$3="NOVIEMBRE","11",$N$3="DICIEMBRE","12"))),4,0),"")</f>
        <v>CALL</v>
      </c>
      <c r="K34" s="60" t="str" cm="1">
        <f t="array" ref="K34">IFERROR(VLOOKUP(D1_MAYO_202681[[#This Row],[ASESOR_CRR]],_xlfn._xlws.FILTER(PLANTILLA[[ASESOR]:[FECHA DE CESE]],PLANTILLA[FECHA]=_xlfn.CONCAT($M$3,"_",_xlfn.IFS($N$3="ENERO","1",$N$3="FEBRERO","2",$N$3="MARZO","3",$N$3="ABRIL","4",$N$3="MAYO","5",$N$3="JUNIO","6",$N$3="JULIO","7",$N$3="AGOSTO","8",$N$3="SETIEMBRE","9",$N$3="OCTUBRE","10",$N$3="NOVIEMBRE","11",$N$3="DICIEMBRE","12"))),8,0),"")</f>
        <v>S2-3-4 MIX</v>
      </c>
      <c r="L34" s="55"/>
      <c r="M34" s="5">
        <f>DATA_MAYO_202684[[#This Row],[RECUPERO]]/DATA_MAYO_202684[[#This Row],[META]]</f>
        <v>0.15497237569060773</v>
      </c>
      <c r="N34" s="5">
        <f>6-ROUNDUP(_xlfn.RANK.EQ(DATA_MAYO_202684[[#This Row],[AL_AC]],DATA_MAYO_202684[AL_AC],0)/(COUNTA(DATA_MAYO_202684[AL_AC])/5),0)</f>
        <v>1</v>
      </c>
      <c r="O34" s="54" t="str">
        <f>IFERROR(VLOOKUP(DATA_MAYO_202684[[#This Row],[ASER_]],$B:$G,4,0),"")</f>
        <v>LISELY</v>
      </c>
      <c r="P34" s="6">
        <f>SUM(DATA_MAYO_202684[[#This Row],[2]:[31]])</f>
        <v>2805</v>
      </c>
      <c r="Q34" s="6">
        <f>VLOOKUP(DATA_MAYO_202684[[#This Row],[ASER_]],D1_MAYO_202681[[ASESOR_CRR]:[META]],2,0)</f>
        <v>18100</v>
      </c>
      <c r="R34" t="s">
        <v>599</v>
      </c>
      <c r="Y34">
        <v>1225</v>
      </c>
      <c r="AC34">
        <v>400</v>
      </c>
      <c r="AD34">
        <v>180</v>
      </c>
      <c r="AF34" s="5"/>
      <c r="AG34" s="6"/>
      <c r="AH34" s="6"/>
      <c r="AI34" s="6">
        <v>500</v>
      </c>
      <c r="AJ34" s="6"/>
      <c r="AK34" s="6"/>
      <c r="AL34" s="6"/>
      <c r="AM34" s="6"/>
      <c r="AN34" s="6"/>
      <c r="AO34" s="6"/>
      <c r="AP34" s="6">
        <v>300</v>
      </c>
      <c r="AQ34" s="6"/>
      <c r="AR34" s="6"/>
      <c r="AS34" s="6">
        <v>200</v>
      </c>
      <c r="AT34" s="6"/>
      <c r="AU34" s="6"/>
      <c r="AV34" s="6"/>
      <c r="AW34" s="54" t="str" cm="1">
        <f t="array" ref="AW34">IFERROR(VLOOKUP(DATA_MAYO_202684[[#This Row],[ASER_]],_xlfn._xlws.FILTER(PLANTILLA[[ASESOR]:[FECHA DE CESE]],PLANTILLA[FECHA]=_xlfn.CONCAT($M$3,"_",_xlfn.IFS($N$3="ENERO","1",$N$3="FEBRERO","2",$N$3="MARZO","3",$N$3="ABRIL","4",$N$3="MAYO","5",$N$3="JUNIO","6",$N$3="JULIO","7",$N$3="AGOSTO","8",$N$3="SETIEMBRE","9",$N$3="OCTUBRE","10",$N$3="NOVIEMBRE","11",$N$3="DICIEMBRE","12"))),8,0),"")</f>
        <v>S2-3-4 MIX</v>
      </c>
      <c r="CO34" t="s">
        <v>636</v>
      </c>
      <c r="CP34" t="s">
        <v>604</v>
      </c>
      <c r="CQ34" t="s">
        <v>41</v>
      </c>
      <c r="CR34">
        <v>46147</v>
      </c>
      <c r="CS34">
        <v>1</v>
      </c>
      <c r="CT34">
        <v>1</v>
      </c>
      <c r="CV34">
        <v>1</v>
      </c>
      <c r="CX34">
        <v>2.3148148148148147E-5</v>
      </c>
      <c r="CY34">
        <v>2.3148148148148147E-5</v>
      </c>
      <c r="CZ34">
        <v>0.26881944444444444</v>
      </c>
      <c r="DA34">
        <v>8.4826388888888896E-2</v>
      </c>
      <c r="DB34">
        <v>103</v>
      </c>
      <c r="DC34">
        <v>215</v>
      </c>
      <c r="DD34">
        <v>38</v>
      </c>
      <c r="DE34" t="s">
        <v>685</v>
      </c>
      <c r="DF34">
        <v>8179</v>
      </c>
      <c r="DG34">
        <v>0.36890000000000001</v>
      </c>
      <c r="DH34">
        <v>5</v>
      </c>
      <c r="DI34">
        <v>0.13159999999999999</v>
      </c>
      <c r="DJ34">
        <v>9111</v>
      </c>
      <c r="DK34">
        <v>1822</v>
      </c>
      <c r="DL34">
        <v>8751</v>
      </c>
      <c r="DM34">
        <v>0.96050000000000002</v>
      </c>
      <c r="DN34">
        <v>0.19040000000000001</v>
      </c>
      <c r="DO34">
        <v>100</v>
      </c>
      <c r="DP34">
        <v>2917</v>
      </c>
    </row>
    <row r="35" spans="1:120" x14ac:dyDescent="0.25">
      <c r="A35" s="34" t="str" cm="1">
        <f t="array" ref="A35">IFERROR(VLOOKUP(D1_MAYO_202681[[#This Row],[ASESOR_CRR]],_xlfn._xlws.FILTER(PLANTILLA[[ASESOR]:[FECHA DE CESE]],PLANTILLA[FECHA]=_xlfn.CONCAT($M$3,"_",_xlfn.IFS($N$3="ENERO","1",$N$3="FEBRERO","2",$N$3="MARZO","3",$N$3="ABRIL","4",$N$3="MAYO","5",$N$3="JUNIO","6",$N$3="JULIO","7",$N$3="AGOSTO","8",$N$3="SETIEMBRE","9",$N$3="OCTUBRE","10",$N$3="NOVIEMBRE","11",$N$3="DICIEMBRE","12"))),3,0),"")</f>
        <v>LISELY</v>
      </c>
      <c r="B35" s="34" t="str" cm="1">
        <f t="array" ref="B35">TRIM(IFERROR(_xlfn.IFS(D1_MAYO_202681[[#This Row],[ASESOR]]="ELVIS GUERRA","ELVIS GUERRERA",D1_MAYO_202681[[#This Row],[ASESOR]]="GENESIS VICUÑA","GENESIS VICUNA",D1_MAYO_202681[[#This Row],[ASESOR]]="JENY QUIÑONES","JENY QUINONES",D1_MAYO_202681[[#This Row],[ASESOR]]="NICOLE CAURURO","NICOLE CAURURO"),D1_MAYO_202681[[#This Row],[ASESOR]]))</f>
        <v>JOSELIN MONTALVO</v>
      </c>
      <c r="C35" s="34" cm="1">
        <f t="array" ref="C35">_xlfn.XLOOKUP(1,(TablaMeta[CONCAT]=$M$3&amp;$N$3&amp;D1_MAYO_202681[[#This Row],[SUPER]])*(TablaMeta[SEGG]=D1_MAYO_202681[[#This Row],[SEGMENTO]]),TablaMeta[Meta_Asesor])</f>
        <v>18100</v>
      </c>
      <c r="D35" s="35">
        <f>IF(D1_MAYO_202681[[#This Row],[RECUPERO]]="VACACIONES","VACACIONES",IFERROR(D1_MAYO_202681[[#This Row],[RECUPERO]]/D1_MAYO_202681[[#This Row],[META]],""))</f>
        <v>0.78088397790055253</v>
      </c>
      <c r="E35" s="35" t="str">
        <f>D1_MAYO_202681[[#This Row],[SUPER]]</f>
        <v>LISELY</v>
      </c>
      <c r="F35" t="s">
        <v>549</v>
      </c>
      <c r="G35" s="36">
        <v>14134</v>
      </c>
      <c r="H35" s="34" cm="1">
        <f t="array" ref="H35">IFERROR(VLOOKUP(D1_MAYO_202681[[#This Row],[ASESOR_CRR]],_xlfn._xlws.FILTER(PLANTILLA[[ASESOR]:[FECHA DE CESE]],PLANTILLA[FECHA]=_xlfn.CONCAT($M$3,"_",_xlfn.IFS($N$3="ENERO","1",$N$3="FEBRERO","2",$N$3="MARZO","3",$N$3="ABRIL","4",$N$3="MAYO","5",$N$3="JUNIO","6",$N$3="JULIO","7",$N$3="AGOSTO","8",$N$3="SETIEMBRE","9",$N$3="OCTUBRE","10",$N$3="NOVIEMBRE","11",$N$3="DICIEMBRE","12"))),2,0),"")</f>
        <v>73233992</v>
      </c>
      <c r="I35" s="60" cm="1">
        <f t="array" ref="I35">IFERROR(VLOOKUP(D1_MAYO_202681[[#This Row],[ASESOR_CRR]],_xlfn._xlws.FILTER(PLANTILLA[[ASESOR]:[FECHA DE CESE]],PLANTILLA[FECHA]=_xlfn.CONCAT($M$3,"_",_xlfn.IFS($N$3="ENERO","1",$N$3="FEBRERO","2",$N$3="MARZO","3",$N$3="ABRIL","4",$N$3="MAYO","5",$N$3="JUNIO","6",$N$3="JULIO","7",$N$3="AGOSTO","8",$N$3="SETIEMBRE","9",$N$3="OCTUBRE","10",$N$3="NOVIEMBRE","11",$N$3="DICIEMBRE","12"))),6,0),"")</f>
        <v>46065</v>
      </c>
      <c r="J35" s="60" t="str" cm="1">
        <f t="array" ref="J35">IFERROR(VLOOKUP(D1_MAYO_202681[[#This Row],[ASESOR_CRR]],_xlfn._xlws.FILTER(PLANTILLA[[ASESOR]:[FECHA DE CESE]],PLANTILLA[FECHA]=_xlfn.CONCAT($M$3,"_",_xlfn.IFS($N$3="ENERO","1",$N$3="FEBRERO","2",$N$3="MARZO","3",$N$3="ABRIL","4",$N$3="MAYO","5",$N$3="JUNIO","6",$N$3="JULIO","7",$N$3="AGOSTO","8",$N$3="SETIEMBRE","9",$N$3="OCTUBRE","10",$N$3="NOVIEMBRE","11",$N$3="DICIEMBRE","12"))),4,0),"")</f>
        <v>CALL</v>
      </c>
      <c r="K35" s="60" t="str" cm="1">
        <f t="array" ref="K35">IFERROR(VLOOKUP(D1_MAYO_202681[[#This Row],[ASESOR_CRR]],_xlfn._xlws.FILTER(PLANTILLA[[ASESOR]:[FECHA DE CESE]],PLANTILLA[FECHA]=_xlfn.CONCAT($M$3,"_",_xlfn.IFS($N$3="ENERO","1",$N$3="FEBRERO","2",$N$3="MARZO","3",$N$3="ABRIL","4",$N$3="MAYO","5",$N$3="JUNIO","6",$N$3="JULIO","7",$N$3="AGOSTO","8",$N$3="SETIEMBRE","9",$N$3="OCTUBRE","10",$N$3="NOVIEMBRE","11",$N$3="DICIEMBRE","12"))),8,0),"")</f>
        <v>S2-3-4 MIX</v>
      </c>
      <c r="L35" s="55"/>
      <c r="M35" s="5">
        <f>DATA_MAYO_202684[[#This Row],[RECUPERO]]/DATA_MAYO_202684[[#This Row],[META]]</f>
        <v>0.8836623376623377</v>
      </c>
      <c r="N35" s="5">
        <f>6-ROUNDUP(_xlfn.RANK.EQ(DATA_MAYO_202684[[#This Row],[AL_AC]],DATA_MAYO_202684[AL_AC],0)/(COUNTA(DATA_MAYO_202684[AL_AC])/5),0)</f>
        <v>3</v>
      </c>
      <c r="O35" s="54" t="str">
        <f>IFERROR(VLOOKUP(DATA_MAYO_202684[[#This Row],[ASER_]],$B:$G,4,0),"")</f>
        <v>SANDY</v>
      </c>
      <c r="P35" s="6">
        <f>SUM(DATA_MAYO_202684[[#This Row],[2]:[31]])</f>
        <v>34021</v>
      </c>
      <c r="Q35" s="6">
        <f>VLOOKUP(DATA_MAYO_202684[[#This Row],[ASER_]],D1_MAYO_202681[[ASESOR_CRR]:[META]],2,0)</f>
        <v>38500</v>
      </c>
      <c r="R35" t="s">
        <v>96</v>
      </c>
      <c r="V35">
        <v>976</v>
      </c>
      <c r="W35">
        <v>2500</v>
      </c>
      <c r="AB35">
        <v>1510</v>
      </c>
      <c r="AC35">
        <v>660</v>
      </c>
      <c r="AD35">
        <v>900</v>
      </c>
      <c r="AE35">
        <v>600</v>
      </c>
      <c r="AF35" s="5"/>
      <c r="AG35" s="6"/>
      <c r="AH35" s="6"/>
      <c r="AI35" s="6">
        <v>7650</v>
      </c>
      <c r="AJ35" s="6">
        <v>300</v>
      </c>
      <c r="AK35" s="6">
        <v>500</v>
      </c>
      <c r="AL35" s="6">
        <v>3000</v>
      </c>
      <c r="AM35" s="6">
        <v>1200</v>
      </c>
      <c r="AN35" s="6"/>
      <c r="AO35" s="6"/>
      <c r="AP35" s="6">
        <v>1200</v>
      </c>
      <c r="AQ35" s="6">
        <v>8000</v>
      </c>
      <c r="AR35" s="6"/>
      <c r="AS35" s="6">
        <v>500</v>
      </c>
      <c r="AT35" s="6">
        <v>4000</v>
      </c>
      <c r="AU35" s="6">
        <v>525</v>
      </c>
      <c r="AV35" s="6"/>
      <c r="AW35" s="54" t="str" cm="1">
        <f t="array" ref="AW35">IFERROR(VLOOKUP(DATA_MAYO_202684[[#This Row],[ASER_]],_xlfn._xlws.FILTER(PLANTILLA[[ASESOR]:[FECHA DE CESE]],PLANTILLA[FECHA]=_xlfn.CONCAT($M$3,"_",_xlfn.IFS($N$3="ENERO","1",$N$3="FEBRERO","2",$N$3="MARZO","3",$N$3="ABRIL","4",$N$3="MAYO","5",$N$3="JUNIO","6",$N$3="JULIO","7",$N$3="AGOSTO","8",$N$3="SETIEMBRE","9",$N$3="OCTUBRE","10",$N$3="NOVIEMBRE","11",$N$3="DICIEMBRE","12"))),8,0),"")</f>
        <v>S0</v>
      </c>
      <c r="CO35" t="s">
        <v>636</v>
      </c>
      <c r="CP35" t="s">
        <v>604</v>
      </c>
      <c r="CQ35" t="s">
        <v>495</v>
      </c>
      <c r="CR35">
        <v>46149</v>
      </c>
      <c r="CS35">
        <v>1</v>
      </c>
      <c r="CT35">
        <v>1</v>
      </c>
      <c r="CV35">
        <v>1</v>
      </c>
      <c r="CX35">
        <v>2.7777777777777778E-4</v>
      </c>
      <c r="CY35">
        <v>2.7777777777777778E-4</v>
      </c>
      <c r="CZ35">
        <v>0.20370370370370369</v>
      </c>
      <c r="DA35">
        <v>0.15265046296296297</v>
      </c>
      <c r="DB35">
        <v>76</v>
      </c>
      <c r="DC35">
        <v>185</v>
      </c>
      <c r="DD35">
        <v>17</v>
      </c>
      <c r="DE35" t="s">
        <v>686</v>
      </c>
      <c r="DF35">
        <v>16411</v>
      </c>
      <c r="DG35">
        <v>0.22370000000000001</v>
      </c>
      <c r="DH35">
        <v>3</v>
      </c>
      <c r="DI35">
        <v>0.17649999999999999</v>
      </c>
      <c r="DJ35">
        <v>2400</v>
      </c>
      <c r="DK35">
        <v>800</v>
      </c>
      <c r="DL35">
        <v>2100</v>
      </c>
      <c r="DM35">
        <v>0.875</v>
      </c>
      <c r="DN35">
        <v>0.1376</v>
      </c>
      <c r="DO35">
        <v>100</v>
      </c>
      <c r="DP35">
        <v>1050</v>
      </c>
    </row>
    <row r="36" spans="1:120" x14ac:dyDescent="0.25">
      <c r="A36" s="34" t="str" cm="1">
        <f t="array" ref="A36">IFERROR(VLOOKUP(D1_MAYO_202681[[#This Row],[ASESOR_CRR]],_xlfn._xlws.FILTER(PLANTILLA[[ASESOR]:[FECHA DE CESE]],PLANTILLA[FECHA]=_xlfn.CONCAT($M$3,"_",_xlfn.IFS($N$3="ENERO","1",$N$3="FEBRERO","2",$N$3="MARZO","3",$N$3="ABRIL","4",$N$3="MAYO","5",$N$3="JUNIO","6",$N$3="JULIO","7",$N$3="AGOSTO","8",$N$3="SETIEMBRE","9",$N$3="OCTUBRE","10",$N$3="NOVIEMBRE","11",$N$3="DICIEMBRE","12"))),3,0),"")</f>
        <v>LISELY</v>
      </c>
      <c r="B36" s="34" t="str" cm="1">
        <f t="array" ref="B36">TRIM(IFERROR(_xlfn.IFS(D1_MAYO_202681[[#This Row],[ASESOR]]="ELVIS GUERRA","ELVIS GUERRERA",D1_MAYO_202681[[#This Row],[ASESOR]]="GENESIS VICUÑA","GENESIS VICUNA",D1_MAYO_202681[[#This Row],[ASESOR]]="JENY QUIÑONES","JENY QUINONES",D1_MAYO_202681[[#This Row],[ASESOR]]="NICOLE CAURURO","NICOLE CAURURO"),D1_MAYO_202681[[#This Row],[ASESOR]]))</f>
        <v>ZAYDA CORTEZ</v>
      </c>
      <c r="C36" s="34" cm="1">
        <f t="array" ref="C36">_xlfn.XLOOKUP(1,(TablaMeta[CONCAT]=$M$3&amp;$N$3&amp;D1_MAYO_202681[[#This Row],[SUPER]])*(TablaMeta[SEGG]=D1_MAYO_202681[[#This Row],[SEGMENTO]]),TablaMeta[Meta_Asesor])</f>
        <v>18100</v>
      </c>
      <c r="D36" s="35">
        <f>IF(D1_MAYO_202681[[#This Row],[RECUPERO]]="VACACIONES","VACACIONES",IFERROR(D1_MAYO_202681[[#This Row],[RECUPERO]]/D1_MAYO_202681[[#This Row],[META]],""))</f>
        <v>0.16850828729281769</v>
      </c>
      <c r="E36" s="35" t="str">
        <f>D1_MAYO_202681[[#This Row],[SUPER]]</f>
        <v>LISELY</v>
      </c>
      <c r="F36" t="s">
        <v>601</v>
      </c>
      <c r="G36" s="36">
        <v>3050</v>
      </c>
      <c r="H36" s="34" cm="1">
        <f t="array" ref="H36">IFERROR(VLOOKUP(D1_MAYO_202681[[#This Row],[ASESOR_CRR]],_xlfn._xlws.FILTER(PLANTILLA[[ASESOR]:[FECHA DE CESE]],PLANTILLA[FECHA]=_xlfn.CONCAT($M$3,"_",_xlfn.IFS($N$3="ENERO","1",$N$3="FEBRERO","2",$N$3="MARZO","3",$N$3="ABRIL","4",$N$3="MAYO","5",$N$3="JUNIO","6",$N$3="JULIO","7",$N$3="AGOSTO","8",$N$3="SETIEMBRE","9",$N$3="OCTUBRE","10",$N$3="NOVIEMBRE","11",$N$3="DICIEMBRE","12"))),2,0),"")</f>
        <v>77710185</v>
      </c>
      <c r="I36" s="60" cm="1">
        <f t="array" ref="I36">IFERROR(VLOOKUP(D1_MAYO_202681[[#This Row],[ASESOR_CRR]],_xlfn._xlws.FILTER(PLANTILLA[[ASESOR]:[FECHA DE CESE]],PLANTILLA[FECHA]=_xlfn.CONCAT($M$3,"_",_xlfn.IFS($N$3="ENERO","1",$N$3="FEBRERO","2",$N$3="MARZO","3",$N$3="ABRIL","4",$N$3="MAYO","5",$N$3="JUNIO","6",$N$3="JULIO","7",$N$3="AGOSTO","8",$N$3="SETIEMBRE","9",$N$3="OCTUBRE","10",$N$3="NOVIEMBRE","11",$N$3="DICIEMBRE","12"))),6,0),"")</f>
        <v>46141</v>
      </c>
      <c r="J36" s="60" t="str" cm="1">
        <f t="array" ref="J36">IFERROR(VLOOKUP(D1_MAYO_202681[[#This Row],[ASESOR_CRR]],_xlfn._xlws.FILTER(PLANTILLA[[ASESOR]:[FECHA DE CESE]],PLANTILLA[FECHA]=_xlfn.CONCAT($M$3,"_",_xlfn.IFS($N$3="ENERO","1",$N$3="FEBRERO","2",$N$3="MARZO","3",$N$3="ABRIL","4",$N$3="MAYO","5",$N$3="JUNIO","6",$N$3="JULIO","7",$N$3="AGOSTO","8",$N$3="SETIEMBRE","9",$N$3="OCTUBRE","10",$N$3="NOVIEMBRE","11",$N$3="DICIEMBRE","12"))),4,0),"")</f>
        <v>CESADO</v>
      </c>
      <c r="K36" s="60" t="str" cm="1">
        <f t="array" ref="K36">IFERROR(VLOOKUP(D1_MAYO_202681[[#This Row],[ASESOR_CRR]],_xlfn._xlws.FILTER(PLANTILLA[[ASESOR]:[FECHA DE CESE]],PLANTILLA[FECHA]=_xlfn.CONCAT($M$3,"_",_xlfn.IFS($N$3="ENERO","1",$N$3="FEBRERO","2",$N$3="MARZO","3",$N$3="ABRIL","4",$N$3="MAYO","5",$N$3="JUNIO","6",$N$3="JULIO","7",$N$3="AGOSTO","8",$N$3="SETIEMBRE","9",$N$3="OCTUBRE","10",$N$3="NOVIEMBRE","11",$N$3="DICIEMBRE","12"))),8,0),"")</f>
        <v>S2-3-4 MIX</v>
      </c>
      <c r="L36" s="55"/>
      <c r="M36" s="5">
        <f>DATA_MAYO_202684[[#This Row],[RECUPERO]]/DATA_MAYO_202684[[#This Row],[META]]</f>
        <v>0.85384787472035795</v>
      </c>
      <c r="N36" s="5">
        <f>6-ROUNDUP(_xlfn.RANK.EQ(DATA_MAYO_202684[[#This Row],[AL_AC]],DATA_MAYO_202684[AL_AC],0)/(COUNTA(DATA_MAYO_202684[AL_AC])/5),0)</f>
        <v>3</v>
      </c>
      <c r="O36" s="54" t="str">
        <f>IFERROR(VLOOKUP(DATA_MAYO_202684[[#This Row],[ASER_]],$B:$G,4,0),"")</f>
        <v>JORGE</v>
      </c>
      <c r="P36" s="6">
        <f>SUM(DATA_MAYO_202684[[#This Row],[2]:[31]])</f>
        <v>38167</v>
      </c>
      <c r="Q36" s="6">
        <f>VLOOKUP(DATA_MAYO_202684[[#This Row],[ASER_]],D1_MAYO_202681[[ASESOR_CRR]:[META]],2,0)</f>
        <v>44700</v>
      </c>
      <c r="R36" t="s">
        <v>65</v>
      </c>
      <c r="S36">
        <v>824</v>
      </c>
      <c r="T36">
        <v>700</v>
      </c>
      <c r="U36">
        <v>265</v>
      </c>
      <c r="W36">
        <v>2785</v>
      </c>
      <c r="Y36">
        <v>1685</v>
      </c>
      <c r="AB36">
        <v>618</v>
      </c>
      <c r="AD36">
        <v>3550</v>
      </c>
      <c r="AF36" s="5">
        <v>6443</v>
      </c>
      <c r="AG36" s="6"/>
      <c r="AH36" s="6"/>
      <c r="AI36" s="6">
        <v>578</v>
      </c>
      <c r="AJ36" s="6">
        <v>1440</v>
      </c>
      <c r="AK36" s="6">
        <v>1450</v>
      </c>
      <c r="AL36" s="6">
        <v>2439</v>
      </c>
      <c r="AM36" s="6"/>
      <c r="AN36" s="6"/>
      <c r="AO36" s="6">
        <v>805</v>
      </c>
      <c r="AP36" s="6">
        <v>500</v>
      </c>
      <c r="AQ36" s="6">
        <v>4800</v>
      </c>
      <c r="AR36" s="6">
        <v>290</v>
      </c>
      <c r="AS36" s="6">
        <v>3000</v>
      </c>
      <c r="AT36" s="6">
        <v>5274</v>
      </c>
      <c r="AU36" s="6">
        <v>721</v>
      </c>
      <c r="AV36" s="6"/>
      <c r="AW36" s="54" t="str" cm="1">
        <f t="array" ref="AW36">IFERROR(VLOOKUP(DATA_MAYO_202684[[#This Row],[ASER_]],_xlfn._xlws.FILTER(PLANTILLA[[ASESOR]:[FECHA DE CESE]],PLANTILLA[FECHA]=_xlfn.CONCAT($M$3,"_",_xlfn.IFS($N$3="ENERO","1",$N$3="FEBRERO","2",$N$3="MARZO","3",$N$3="ABRIL","4",$N$3="MAYO","5",$N$3="JUNIO","6",$N$3="JULIO","7",$N$3="AGOSTO","8",$N$3="SETIEMBRE","9",$N$3="OCTUBRE","10",$N$3="NOVIEMBRE","11",$N$3="DICIEMBRE","12"))),8,0),"")</f>
        <v>S1</v>
      </c>
      <c r="CO36" t="s">
        <v>636</v>
      </c>
      <c r="CP36" t="s">
        <v>604</v>
      </c>
      <c r="CQ36" t="s">
        <v>495</v>
      </c>
      <c r="CR36">
        <v>46172</v>
      </c>
      <c r="CS36">
        <v>1</v>
      </c>
      <c r="CT36">
        <v>1</v>
      </c>
      <c r="CV36">
        <v>1</v>
      </c>
      <c r="CX36">
        <v>8.1018518518518516E-5</v>
      </c>
      <c r="CY36">
        <v>8.1018518518518516E-5</v>
      </c>
      <c r="CZ36">
        <v>8.7418981481481486E-2</v>
      </c>
      <c r="DA36">
        <v>0.11278935185185185</v>
      </c>
      <c r="DB36">
        <v>26</v>
      </c>
      <c r="DC36">
        <v>48</v>
      </c>
      <c r="DD36">
        <v>11</v>
      </c>
      <c r="DE36">
        <v>2</v>
      </c>
      <c r="DF36">
        <v>20436</v>
      </c>
      <c r="DG36">
        <v>0.42309999999999998</v>
      </c>
      <c r="DH36">
        <v>1</v>
      </c>
      <c r="DI36">
        <v>9.0899999999999995E-2</v>
      </c>
      <c r="DJ36">
        <v>250</v>
      </c>
      <c r="DK36">
        <v>250</v>
      </c>
      <c r="DL36">
        <v>250</v>
      </c>
      <c r="DM36">
        <v>1</v>
      </c>
      <c r="DO36">
        <v>100</v>
      </c>
      <c r="DP36">
        <v>250</v>
      </c>
    </row>
    <row r="37" spans="1:120" x14ac:dyDescent="0.25">
      <c r="A37" s="34" t="str" cm="1">
        <f t="array" ref="A37">IFERROR(VLOOKUP(D1_MAYO_202681[[#This Row],[ASESOR_CRR]],_xlfn._xlws.FILTER(PLANTILLA[[ASESOR]:[FECHA DE CESE]],PLANTILLA[FECHA]=_xlfn.CONCAT($M$3,"_",_xlfn.IFS($N$3="ENERO","1",$N$3="FEBRERO","2",$N$3="MARZO","3",$N$3="ABRIL","4",$N$3="MAYO","5",$N$3="JUNIO","6",$N$3="JULIO","7",$N$3="AGOSTO","8",$N$3="SETIEMBRE","9",$N$3="OCTUBRE","10",$N$3="NOVIEMBRE","11",$N$3="DICIEMBRE","12"))),3,0),"")</f>
        <v>LISELY</v>
      </c>
      <c r="B37" s="34" t="str" cm="1">
        <f t="array" ref="B37">TRIM(IFERROR(_xlfn.IFS(D1_MAYO_202681[[#This Row],[ASESOR]]="ELVIS GUERRA","ELVIS GUERRERA",D1_MAYO_202681[[#This Row],[ASESOR]]="GENESIS VICUÑA","GENESIS VICUNA",D1_MAYO_202681[[#This Row],[ASESOR]]="JENY QUIÑONES","JENY QUINONES",D1_MAYO_202681[[#This Row],[ASESOR]]="NICOLE CAURURO","NICOLE CAURURO"),D1_MAYO_202681[[#This Row],[ASESOR]]))</f>
        <v>JEREMY RODRIGUEZ</v>
      </c>
      <c r="C37" s="34" cm="1">
        <f t="array" ref="C37">_xlfn.XLOOKUP(1,(TablaMeta[CONCAT]=$M$3&amp;$N$3&amp;D1_MAYO_202681[[#This Row],[SUPER]])*(TablaMeta[SEGG]=D1_MAYO_202681[[#This Row],[SEGMENTO]]),TablaMeta[Meta_Asesor])</f>
        <v>18100</v>
      </c>
      <c r="D37" s="35">
        <f>IF(D1_MAYO_202681[[#This Row],[RECUPERO]]="VACACIONES","VACACIONES",IFERROR(D1_MAYO_202681[[#This Row],[RECUPERO]]/D1_MAYO_202681[[#This Row],[META]],""))</f>
        <v>0.15497237569060773</v>
      </c>
      <c r="E37" s="35" t="str">
        <f>D1_MAYO_202681[[#This Row],[SUPER]]</f>
        <v>LISELY</v>
      </c>
      <c r="F37" t="s">
        <v>599</v>
      </c>
      <c r="G37" s="36">
        <v>2805</v>
      </c>
      <c r="H37" s="34" cm="1">
        <f t="array" ref="H37">IFERROR(VLOOKUP(D1_MAYO_202681[[#This Row],[ASESOR_CRR]],_xlfn._xlws.FILTER(PLANTILLA[[ASESOR]:[FECHA DE CESE]],PLANTILLA[FECHA]=_xlfn.CONCAT($M$3,"_",_xlfn.IFS($N$3="ENERO","1",$N$3="FEBRERO","2",$N$3="MARZO","3",$N$3="ABRIL","4",$N$3="MAYO","5",$N$3="JUNIO","6",$N$3="JULIO","7",$N$3="AGOSTO","8",$N$3="SETIEMBRE","9",$N$3="OCTUBRE","10",$N$3="NOVIEMBRE","11",$N$3="DICIEMBRE","12"))),2,0),"")</f>
        <v>42227234</v>
      </c>
      <c r="I37" s="60" cm="1">
        <f t="array" ref="I37">IFERROR(VLOOKUP(D1_MAYO_202681[[#This Row],[ASESOR_CRR]],_xlfn._xlws.FILTER(PLANTILLA[[ASESOR]:[FECHA DE CESE]],PLANTILLA[FECHA]=_xlfn.CONCAT($M$3,"_",_xlfn.IFS($N$3="ENERO","1",$N$3="FEBRERO","2",$N$3="MARZO","3",$N$3="ABRIL","4",$N$3="MAYO","5",$N$3="JUNIO","6",$N$3="JULIO","7",$N$3="AGOSTO","8",$N$3="SETIEMBRE","9",$N$3="OCTUBRE","10",$N$3="NOVIEMBRE","11",$N$3="DICIEMBRE","12"))),6,0),"")</f>
        <v>46121</v>
      </c>
      <c r="J37" s="60" t="str" cm="1">
        <f t="array" ref="J37">IFERROR(VLOOKUP(D1_MAYO_202681[[#This Row],[ASESOR_CRR]],_xlfn._xlws.FILTER(PLANTILLA[[ASESOR]:[FECHA DE CESE]],PLANTILLA[FECHA]=_xlfn.CONCAT($M$3,"_",_xlfn.IFS($N$3="ENERO","1",$N$3="FEBRERO","2",$N$3="MARZO","3",$N$3="ABRIL","4",$N$3="MAYO","5",$N$3="JUNIO","6",$N$3="JULIO","7",$N$3="AGOSTO","8",$N$3="SETIEMBRE","9",$N$3="OCTUBRE","10",$N$3="NOVIEMBRE","11",$N$3="DICIEMBRE","12"))),4,0),"")</f>
        <v>CALL</v>
      </c>
      <c r="K37" s="60" t="str" cm="1">
        <f t="array" ref="K37">IFERROR(VLOOKUP(D1_MAYO_202681[[#This Row],[ASESOR_CRR]],_xlfn._xlws.FILTER(PLANTILLA[[ASESOR]:[FECHA DE CESE]],PLANTILLA[FECHA]=_xlfn.CONCAT($M$3,"_",_xlfn.IFS($N$3="ENERO","1",$N$3="FEBRERO","2",$N$3="MARZO","3",$N$3="ABRIL","4",$N$3="MAYO","5",$N$3="JUNIO","6",$N$3="JULIO","7",$N$3="AGOSTO","8",$N$3="SETIEMBRE","9",$N$3="OCTUBRE","10",$N$3="NOVIEMBRE","11",$N$3="DICIEMBRE","12"))),8,0),"")</f>
        <v>S2-3-4 MIX</v>
      </c>
      <c r="L37" s="55"/>
      <c r="M37" s="5">
        <f>DATA_MAYO_202684[[#This Row],[RECUPERO]]/DATA_MAYO_202684[[#This Row],[META]]</f>
        <v>0.70691275167785239</v>
      </c>
      <c r="N37" s="5">
        <f>6-ROUNDUP(_xlfn.RANK.EQ(DATA_MAYO_202684[[#This Row],[AL_AC]],DATA_MAYO_202684[AL_AC],0)/(COUNTA(DATA_MAYO_202684[AL_AC])/5),0)</f>
        <v>2</v>
      </c>
      <c r="O37" s="54" t="str">
        <f>IFERROR(VLOOKUP(DATA_MAYO_202684[[#This Row],[ASER_]],$B:$G,4,0),"")</f>
        <v>JORGE</v>
      </c>
      <c r="P37" s="6">
        <f>SUM(DATA_MAYO_202684[[#This Row],[2]:[31]])</f>
        <v>31599</v>
      </c>
      <c r="Q37" s="6">
        <f>VLOOKUP(DATA_MAYO_202684[[#This Row],[ASER_]],D1_MAYO_202681[[ASESOR_CRR]:[META]],2,0)</f>
        <v>44700</v>
      </c>
      <c r="R37" t="s">
        <v>37</v>
      </c>
      <c r="V37">
        <v>6000</v>
      </c>
      <c r="X37">
        <v>950</v>
      </c>
      <c r="AC37">
        <v>150</v>
      </c>
      <c r="AD37">
        <v>350</v>
      </c>
      <c r="AE37">
        <v>1191</v>
      </c>
      <c r="AF37" s="5">
        <v>500</v>
      </c>
      <c r="AG37" s="6">
        <v>350</v>
      </c>
      <c r="AH37" s="6"/>
      <c r="AI37" s="6"/>
      <c r="AJ37" s="6"/>
      <c r="AK37" s="6">
        <v>1925</v>
      </c>
      <c r="AL37" s="6"/>
      <c r="AM37" s="6"/>
      <c r="AN37" s="6"/>
      <c r="AO37" s="6"/>
      <c r="AP37" s="6"/>
      <c r="AQ37" s="6">
        <v>2500</v>
      </c>
      <c r="AR37" s="6">
        <v>330</v>
      </c>
      <c r="AS37" s="6">
        <v>13619</v>
      </c>
      <c r="AT37" s="6">
        <v>1100</v>
      </c>
      <c r="AU37" s="6">
        <v>2634</v>
      </c>
      <c r="AV37" s="6"/>
      <c r="AW37" s="54" t="str" cm="1">
        <f t="array" ref="AW37">IFERROR(VLOOKUP(DATA_MAYO_202684[[#This Row],[ASER_]],_xlfn._xlws.FILTER(PLANTILLA[[ASESOR]:[FECHA DE CESE]],PLANTILLA[FECHA]=_xlfn.CONCAT($M$3,"_",_xlfn.IFS($N$3="ENERO","1",$N$3="FEBRERO","2",$N$3="MARZO","3",$N$3="ABRIL","4",$N$3="MAYO","5",$N$3="JUNIO","6",$N$3="JULIO","7",$N$3="AGOSTO","8",$N$3="SETIEMBRE","9",$N$3="OCTUBRE","10",$N$3="NOVIEMBRE","11",$N$3="DICIEMBRE","12"))),8,0),"")</f>
        <v>S1</v>
      </c>
      <c r="CO37" t="s">
        <v>636</v>
      </c>
      <c r="CP37" t="s">
        <v>604</v>
      </c>
      <c r="CQ37" t="s">
        <v>77</v>
      </c>
      <c r="CR37">
        <v>46170</v>
      </c>
      <c r="CS37">
        <v>1</v>
      </c>
      <c r="CT37">
        <v>1</v>
      </c>
      <c r="CV37">
        <v>1</v>
      </c>
      <c r="CX37">
        <v>0</v>
      </c>
      <c r="CY37">
        <v>0</v>
      </c>
      <c r="CZ37">
        <v>0.14184027777777777</v>
      </c>
      <c r="DA37">
        <v>0.20199074074074075</v>
      </c>
      <c r="DB37">
        <v>73</v>
      </c>
      <c r="DC37">
        <v>127</v>
      </c>
      <c r="DD37">
        <v>21</v>
      </c>
      <c r="DE37" t="s">
        <v>687</v>
      </c>
      <c r="DF37">
        <v>29346</v>
      </c>
      <c r="DG37">
        <v>0.28770000000000001</v>
      </c>
      <c r="DH37">
        <v>3</v>
      </c>
      <c r="DI37">
        <v>0.1429</v>
      </c>
      <c r="DJ37">
        <v>10994</v>
      </c>
      <c r="DK37">
        <v>3665</v>
      </c>
      <c r="DL37">
        <v>10994</v>
      </c>
      <c r="DM37">
        <v>1</v>
      </c>
      <c r="DN37">
        <v>0.16980000000000001</v>
      </c>
      <c r="DO37">
        <v>100</v>
      </c>
      <c r="DP37">
        <v>3665</v>
      </c>
    </row>
    <row r="38" spans="1:120" x14ac:dyDescent="0.25">
      <c r="A38" s="34" t="str" cm="1">
        <f t="array" ref="A38">IFERROR(VLOOKUP(D1_MAYO_202681[[#This Row],[ASESOR_CRR]],_xlfn._xlws.FILTER(PLANTILLA[[ASESOR]:[FECHA DE CESE]],PLANTILLA[FECHA]=_xlfn.CONCAT($M$3,"_",_xlfn.IFS($N$3="ENERO","1",$N$3="FEBRERO","2",$N$3="MARZO","3",$N$3="ABRIL","4",$N$3="MAYO","5",$N$3="JUNIO","6",$N$3="JULIO","7",$N$3="AGOSTO","8",$N$3="SETIEMBRE","9",$N$3="OCTUBRE","10",$N$3="NOVIEMBRE","11",$N$3="DICIEMBRE","12"))),3,0),"")</f>
        <v>LISELY</v>
      </c>
      <c r="B38" s="34" t="str" cm="1">
        <f t="array" ref="B38">TRIM(IFERROR(_xlfn.IFS(D1_MAYO_202681[[#This Row],[ASESOR]]="ELVIS GUERRA","ELVIS GUERRERA",D1_MAYO_202681[[#This Row],[ASESOR]]="GENESIS VICUÑA","GENESIS VICUNA",D1_MAYO_202681[[#This Row],[ASESOR]]="JENY QUIÑONES","JENY QUINONES",D1_MAYO_202681[[#This Row],[ASESOR]]="NICOLE CAURURO","NICOLE CAURURO"),D1_MAYO_202681[[#This Row],[ASESOR]]))</f>
        <v>NICOLE CAURURO</v>
      </c>
      <c r="C38" s="34" cm="1">
        <f t="array" ref="C38">_xlfn.XLOOKUP(1,(TablaMeta[CONCAT]=$M$3&amp;$N$3&amp;D1_MAYO_202681[[#This Row],[SUPER]])*(TablaMeta[SEGG]=D1_MAYO_202681[[#This Row],[SEGMENTO]]),TablaMeta[Meta_Asesor])</f>
        <v>18100</v>
      </c>
      <c r="D38" s="35">
        <f>IF(D1_MAYO_202681[[#This Row],[RECUPERO]]="VACACIONES","VACACIONES",IFERROR(D1_MAYO_202681[[#This Row],[RECUPERO]]/D1_MAYO_202681[[#This Row],[META]],""))</f>
        <v>0.11906077348066299</v>
      </c>
      <c r="E38" s="35" t="str">
        <f>D1_MAYO_202681[[#This Row],[SUPER]]</f>
        <v>LISELY</v>
      </c>
      <c r="F38" t="s">
        <v>566</v>
      </c>
      <c r="G38" s="36">
        <v>2155</v>
      </c>
      <c r="H38" s="34" cm="1">
        <f t="array" ref="H38">IFERROR(VLOOKUP(D1_MAYO_202681[[#This Row],[ASESOR_CRR]],_xlfn._xlws.FILTER(PLANTILLA[[ASESOR]:[FECHA DE CESE]],PLANTILLA[FECHA]=_xlfn.CONCAT($M$3,"_",_xlfn.IFS($N$3="ENERO","1",$N$3="FEBRERO","2",$N$3="MARZO","3",$N$3="ABRIL","4",$N$3="MAYO","5",$N$3="JUNIO","6",$N$3="JULIO","7",$N$3="AGOSTO","8",$N$3="SETIEMBRE","9",$N$3="OCTUBRE","10",$N$3="NOVIEMBRE","11",$N$3="DICIEMBRE","12"))),2,0),"")</f>
        <v>75693756</v>
      </c>
      <c r="I38" s="60" cm="1">
        <f t="array" ref="I38">IFERROR(VLOOKUP(D1_MAYO_202681[[#This Row],[ASESOR_CRR]],_xlfn._xlws.FILTER(PLANTILLA[[ASESOR]:[FECHA DE CESE]],PLANTILLA[FECHA]=_xlfn.CONCAT($M$3,"_",_xlfn.IFS($N$3="ENERO","1",$N$3="FEBRERO","2",$N$3="MARZO","3",$N$3="ABRIL","4",$N$3="MAYO","5",$N$3="JUNIO","6",$N$3="JULIO","7",$N$3="AGOSTO","8",$N$3="SETIEMBRE","9",$N$3="OCTUBRE","10",$N$3="NOVIEMBRE","11",$N$3="DICIEMBRE","12"))),6,0),"")</f>
        <v>46084</v>
      </c>
      <c r="J38" s="60" t="str" cm="1">
        <f t="array" ref="J38">IFERROR(VLOOKUP(D1_MAYO_202681[[#This Row],[ASESOR_CRR]],_xlfn._xlws.FILTER(PLANTILLA[[ASESOR]:[FECHA DE CESE]],PLANTILLA[FECHA]=_xlfn.CONCAT($M$3,"_",_xlfn.IFS($N$3="ENERO","1",$N$3="FEBRERO","2",$N$3="MARZO","3",$N$3="ABRIL","4",$N$3="MAYO","5",$N$3="JUNIO","6",$N$3="JULIO","7",$N$3="AGOSTO","8",$N$3="SETIEMBRE","9",$N$3="OCTUBRE","10",$N$3="NOVIEMBRE","11",$N$3="DICIEMBRE","12"))),4,0),"")</f>
        <v>CESADO</v>
      </c>
      <c r="K38" s="60" t="str" cm="1">
        <f t="array" ref="K38">IFERROR(VLOOKUP(D1_MAYO_202681[[#This Row],[ASESOR_CRR]],_xlfn._xlws.FILTER(PLANTILLA[[ASESOR]:[FECHA DE CESE]],PLANTILLA[FECHA]=_xlfn.CONCAT($M$3,"_",_xlfn.IFS($N$3="ENERO","1",$N$3="FEBRERO","2",$N$3="MARZO","3",$N$3="ABRIL","4",$N$3="MAYO","5",$N$3="JUNIO","6",$N$3="JULIO","7",$N$3="AGOSTO","8",$N$3="SETIEMBRE","9",$N$3="OCTUBRE","10",$N$3="NOVIEMBRE","11",$N$3="DICIEMBRE","12"))),8,0),"")</f>
        <v>S2-3-4 MIX</v>
      </c>
      <c r="L38" s="55"/>
      <c r="M38" s="5">
        <f>DATA_MAYO_202684[[#This Row],[RECUPERO]]/DATA_MAYO_202684[[#This Row],[META]]</f>
        <v>0.78088397790055253</v>
      </c>
      <c r="N38" s="5">
        <f>6-ROUNDUP(_xlfn.RANK.EQ(DATA_MAYO_202684[[#This Row],[AL_AC]],DATA_MAYO_202684[AL_AC],0)/(COUNTA(DATA_MAYO_202684[AL_AC])/5),0)</f>
        <v>2</v>
      </c>
      <c r="O38" s="54" t="str">
        <f>IFERROR(VLOOKUP(DATA_MAYO_202684[[#This Row],[ASER_]],$B:$G,4,0),"")</f>
        <v>LISELY</v>
      </c>
      <c r="P38" s="6">
        <f>SUM(DATA_MAYO_202684[[#This Row],[2]:[31]])</f>
        <v>14134</v>
      </c>
      <c r="Q38" s="6">
        <f>VLOOKUP(DATA_MAYO_202684[[#This Row],[ASER_]],D1_MAYO_202681[[ASESOR_CRR]:[META]],2,0)</f>
        <v>18100</v>
      </c>
      <c r="R38" t="s">
        <v>549</v>
      </c>
      <c r="U38">
        <v>350</v>
      </c>
      <c r="V38">
        <v>660</v>
      </c>
      <c r="W38">
        <v>734</v>
      </c>
      <c r="AC38">
        <v>90</v>
      </c>
      <c r="AD38">
        <v>500</v>
      </c>
      <c r="AE38">
        <v>700</v>
      </c>
      <c r="AF38" s="5">
        <v>300</v>
      </c>
      <c r="AG38" s="6"/>
      <c r="AH38" s="6"/>
      <c r="AI38" s="6"/>
      <c r="AJ38" s="6">
        <v>2400</v>
      </c>
      <c r="AK38" s="6">
        <v>800</v>
      </c>
      <c r="AL38" s="6"/>
      <c r="AM38" s="6">
        <v>1300</v>
      </c>
      <c r="AN38" s="6"/>
      <c r="AO38" s="6"/>
      <c r="AP38" s="6"/>
      <c r="AQ38" s="6"/>
      <c r="AR38" s="6">
        <v>5300</v>
      </c>
      <c r="AS38" s="6"/>
      <c r="AT38" s="6">
        <v>1000</v>
      </c>
      <c r="AU38" s="6"/>
      <c r="AV38" s="6"/>
      <c r="AW38" s="54" t="str" cm="1">
        <f t="array" ref="AW38">IFERROR(VLOOKUP(DATA_MAYO_202684[[#This Row],[ASER_]],_xlfn._xlws.FILTER(PLANTILLA[[ASESOR]:[FECHA DE CESE]],PLANTILLA[FECHA]=_xlfn.CONCAT($M$3,"_",_xlfn.IFS($N$3="ENERO","1",$N$3="FEBRERO","2",$N$3="MARZO","3",$N$3="ABRIL","4",$N$3="MAYO","5",$N$3="JUNIO","6",$N$3="JULIO","7",$N$3="AGOSTO","8",$N$3="SETIEMBRE","9",$N$3="OCTUBRE","10",$N$3="NOVIEMBRE","11",$N$3="DICIEMBRE","12"))),8,0),"")</f>
        <v>S2-3-4 MIX</v>
      </c>
      <c r="CO38" t="s">
        <v>636</v>
      </c>
      <c r="CP38" t="s">
        <v>3</v>
      </c>
      <c r="CQ38" t="s">
        <v>58</v>
      </c>
      <c r="CR38">
        <v>46172</v>
      </c>
      <c r="CS38">
        <v>1</v>
      </c>
      <c r="CT38">
        <v>1</v>
      </c>
      <c r="CV38">
        <v>1</v>
      </c>
      <c r="CX38">
        <v>5.7870370370370373E-5</v>
      </c>
      <c r="CY38">
        <v>5.7870370370370373E-5</v>
      </c>
      <c r="CZ38">
        <v>0.10315972222222222</v>
      </c>
      <c r="DA38">
        <v>0.10755787037037037</v>
      </c>
      <c r="DB38">
        <v>33</v>
      </c>
      <c r="DC38">
        <v>96</v>
      </c>
      <c r="DD38">
        <v>17</v>
      </c>
      <c r="DE38" t="s">
        <v>688</v>
      </c>
      <c r="DF38">
        <v>18790</v>
      </c>
      <c r="DG38">
        <v>0.51519999999999999</v>
      </c>
      <c r="DO38">
        <v>100</v>
      </c>
    </row>
    <row r="39" spans="1:120" x14ac:dyDescent="0.25">
      <c r="A39" s="34" t="str" cm="1">
        <f t="array" ref="A39">IFERROR(VLOOKUP(D1_MAYO_202681[[#This Row],[ASESOR_CRR]],_xlfn._xlws.FILTER(PLANTILLA[[ASESOR]:[FECHA DE CESE]],PLANTILLA[FECHA]=_xlfn.CONCAT($M$3,"_",_xlfn.IFS($N$3="ENERO","1",$N$3="FEBRERO","2",$N$3="MARZO","3",$N$3="ABRIL","4",$N$3="MAYO","5",$N$3="JUNIO","6",$N$3="JULIO","7",$N$3="AGOSTO","8",$N$3="SETIEMBRE","9",$N$3="OCTUBRE","10",$N$3="NOVIEMBRE","11",$N$3="DICIEMBRE","12"))),3,0),"")</f>
        <v>LISELY</v>
      </c>
      <c r="B39" s="34" t="str" cm="1">
        <f t="array" ref="B39">TRIM(IFERROR(_xlfn.IFS(D1_MAYO_202681[[#This Row],[ASESOR]]="ELVIS GUERRA","ELVIS GUERRERA",D1_MAYO_202681[[#This Row],[ASESOR]]="GENESIS VICUÑA","GENESIS VICUNA",D1_MAYO_202681[[#This Row],[ASESOR]]="JENY QUIÑONES","JENY QUINONES",D1_MAYO_202681[[#This Row],[ASESOR]]="NICOLE CAURURO","NICOLE CAURURO"),D1_MAYO_202681[[#This Row],[ASESOR]]))</f>
        <v>JUAN ALANOCCA</v>
      </c>
      <c r="C39" s="34" cm="1">
        <f t="array" ref="C39">_xlfn.XLOOKUP(1,(TablaMeta[CONCAT]=$M$3&amp;$N$3&amp;D1_MAYO_202681[[#This Row],[SUPER]])*(TablaMeta[SEGG]=D1_MAYO_202681[[#This Row],[SEGMENTO]]),TablaMeta[Meta_Asesor])</f>
        <v>22800</v>
      </c>
      <c r="D39" s="35">
        <f>IF(D1_MAYO_202681[[#This Row],[RECUPERO]]="VACACIONES","VACACIONES",IFERROR(D1_MAYO_202681[[#This Row],[RECUPERO]]/D1_MAYO_202681[[#This Row],[META]],""))</f>
        <v>1.3173245614035087</v>
      </c>
      <c r="E39" s="35" t="str">
        <f>D1_MAYO_202681[[#This Row],[SUPER]]</f>
        <v>LISELY</v>
      </c>
      <c r="F39" t="s">
        <v>77</v>
      </c>
      <c r="G39" s="36">
        <v>30035</v>
      </c>
      <c r="H39" s="34" cm="1">
        <f t="array" ref="H39">IFERROR(VLOOKUP(D1_MAYO_202681[[#This Row],[ASESOR_CRR]],_xlfn._xlws.FILTER(PLANTILLA[[ASESOR]:[FECHA DE CESE]],PLANTILLA[FECHA]=_xlfn.CONCAT($M$3,"_",_xlfn.IFS($N$3="ENERO","1",$N$3="FEBRERO","2",$N$3="MARZO","3",$N$3="ABRIL","4",$N$3="MAYO","5",$N$3="JUNIO","6",$N$3="JULIO","7",$N$3="AGOSTO","8",$N$3="SETIEMBRE","9",$N$3="OCTUBRE","10",$N$3="NOVIEMBRE","11",$N$3="DICIEMBRE","12"))),2,0),"")</f>
        <v>42251780</v>
      </c>
      <c r="I39" s="60" cm="1">
        <f t="array" ref="I39">IFERROR(VLOOKUP(D1_MAYO_202681[[#This Row],[ASESOR_CRR]],_xlfn._xlws.FILTER(PLANTILLA[[ASESOR]:[FECHA DE CESE]],PLANTILLA[FECHA]=_xlfn.CONCAT($M$3,"_",_xlfn.IFS($N$3="ENERO","1",$N$3="FEBRERO","2",$N$3="MARZO","3",$N$3="ABRIL","4",$N$3="MAYO","5",$N$3="JUNIO","6",$N$3="JULIO","7",$N$3="AGOSTO","8",$N$3="SETIEMBRE","9",$N$3="OCTUBRE","10",$N$3="NOVIEMBRE","11",$N$3="DICIEMBRE","12"))),6,0),"")</f>
        <v>44838</v>
      </c>
      <c r="J39" s="60" t="str" cm="1">
        <f t="array" ref="J39">IFERROR(VLOOKUP(D1_MAYO_202681[[#This Row],[ASESOR_CRR]],_xlfn._xlws.FILTER(PLANTILLA[[ASESOR]:[FECHA DE CESE]],PLANTILLA[FECHA]=_xlfn.CONCAT($M$3,"_",_xlfn.IFS($N$3="ENERO","1",$N$3="FEBRERO","2",$N$3="MARZO","3",$N$3="ABRIL","4",$N$3="MAYO","5",$N$3="JUNIO","6",$N$3="JULIO","7",$N$3="AGOSTO","8",$N$3="SETIEMBRE","9",$N$3="OCTUBRE","10",$N$3="NOVIEMBRE","11",$N$3="DICIEMBRE","12"))),4,0),"")</f>
        <v>CALL</v>
      </c>
      <c r="K39" s="60" t="str" cm="1">
        <f t="array" ref="K39">IFERROR(VLOOKUP(D1_MAYO_202681[[#This Row],[ASESOR_CRR]],_xlfn._xlws.FILTER(PLANTILLA[[ASESOR]:[FECHA DE CESE]],PLANTILLA[FECHA]=_xlfn.CONCAT($M$3,"_",_xlfn.IFS($N$3="ENERO","1",$N$3="FEBRERO","2",$N$3="MARZO","3",$N$3="ABRIL","4",$N$3="MAYO","5",$N$3="JUNIO","6",$N$3="JULIO","7",$N$3="AGOSTO","8",$N$3="SETIEMBRE","9",$N$3="OCTUBRE","10",$N$3="NOVIEMBRE","11",$N$3="DICIEMBRE","12"))),8,0),"")</f>
        <v>S2-3-4 BANCO</v>
      </c>
      <c r="L39" s="55"/>
      <c r="M39" s="5">
        <f>DATA_MAYO_202684[[#This Row],[RECUPERO]]/DATA_MAYO_202684[[#This Row],[META]]</f>
        <v>1.3173245614035087</v>
      </c>
      <c r="N39" s="5">
        <f>6-ROUNDUP(_xlfn.RANK.EQ(DATA_MAYO_202684[[#This Row],[AL_AC]],DATA_MAYO_202684[AL_AC],0)/(COUNTA(DATA_MAYO_202684[AL_AC])/5),0)</f>
        <v>5</v>
      </c>
      <c r="O39" s="54" t="str">
        <f>IFERROR(VLOOKUP(DATA_MAYO_202684[[#This Row],[ASER_]],$B:$G,4,0),"")</f>
        <v>LISELY</v>
      </c>
      <c r="P39" s="6">
        <f>SUM(DATA_MAYO_202684[[#This Row],[2]:[31]])</f>
        <v>30035</v>
      </c>
      <c r="Q39" s="6">
        <f>VLOOKUP(DATA_MAYO_202684[[#This Row],[ASER_]],D1_MAYO_202681[[ASESOR_CRR]:[META]],2,0)</f>
        <v>22800</v>
      </c>
      <c r="R39" t="s">
        <v>77</v>
      </c>
      <c r="U39">
        <v>4924</v>
      </c>
      <c r="V39">
        <v>865</v>
      </c>
      <c r="W39">
        <v>3500</v>
      </c>
      <c r="Z39">
        <v>220</v>
      </c>
      <c r="AD39">
        <v>160</v>
      </c>
      <c r="AF39">
        <v>2100</v>
      </c>
      <c r="AG39" s="5"/>
      <c r="AH39" s="76"/>
      <c r="AI39" s="6"/>
      <c r="AJ39" s="6"/>
      <c r="AK39" s="6"/>
      <c r="AL39" s="6"/>
      <c r="AM39" s="6"/>
      <c r="AN39" s="6"/>
      <c r="AO39" s="6"/>
      <c r="AP39" s="6">
        <v>420</v>
      </c>
      <c r="AQ39" s="6"/>
      <c r="AR39" s="6"/>
      <c r="AS39" s="6">
        <v>12016</v>
      </c>
      <c r="AT39" s="6">
        <v>2000</v>
      </c>
      <c r="AU39" s="6">
        <v>3830</v>
      </c>
      <c r="AV39" s="6"/>
      <c r="AW39" s="54" t="str" cm="1">
        <f t="array" ref="AW39">IFERROR(VLOOKUP(DATA_MAYO_202684[[#This Row],[ASER_]],_xlfn._xlws.FILTER(PLANTILLA[[ASESOR]:[FECHA DE CESE]],PLANTILLA[FECHA]=_xlfn.CONCAT($M$3,"_",_xlfn.IFS($N$3="ENERO","1",$N$3="FEBRERO","2",$N$3="MARZO","3",$N$3="ABRIL","4",$N$3="MAYO","5",$N$3="JUNIO","6",$N$3="JULIO","7",$N$3="AGOSTO","8",$N$3="SETIEMBRE","9",$N$3="OCTUBRE","10",$N$3="NOVIEMBRE","11",$N$3="DICIEMBRE","12"))),8,0),"")</f>
        <v>S2-3-4 BANCO</v>
      </c>
      <c r="CO39" t="s">
        <v>636</v>
      </c>
      <c r="CP39" t="s">
        <v>3</v>
      </c>
      <c r="CQ39" t="s">
        <v>174</v>
      </c>
      <c r="CR39">
        <v>46150</v>
      </c>
      <c r="CS39">
        <v>1</v>
      </c>
      <c r="CT39">
        <v>1</v>
      </c>
      <c r="CV39">
        <v>1</v>
      </c>
      <c r="CX39">
        <v>1.1574074074074073E-5</v>
      </c>
      <c r="CY39">
        <v>1.1574074074074073E-5</v>
      </c>
      <c r="CZ39">
        <v>0.24071759259259259</v>
      </c>
      <c r="DA39">
        <v>6.446759259259259E-2</v>
      </c>
      <c r="DB39">
        <v>161</v>
      </c>
      <c r="DC39">
        <v>220</v>
      </c>
      <c r="DD39">
        <v>12</v>
      </c>
      <c r="DE39" t="s">
        <v>689</v>
      </c>
      <c r="DF39">
        <v>8184</v>
      </c>
      <c r="DG39">
        <v>7.4499999999999997E-2</v>
      </c>
      <c r="DH39">
        <v>1</v>
      </c>
      <c r="DI39">
        <v>8.3299999999999999E-2</v>
      </c>
      <c r="DJ39">
        <v>1100</v>
      </c>
      <c r="DK39">
        <v>1100</v>
      </c>
      <c r="DL39">
        <v>1100</v>
      </c>
      <c r="DM39">
        <v>1</v>
      </c>
      <c r="DN39">
        <v>0.24740000000000001</v>
      </c>
      <c r="DO39">
        <v>100</v>
      </c>
      <c r="DP39">
        <v>1100</v>
      </c>
    </row>
    <row r="40" spans="1:120" x14ac:dyDescent="0.25">
      <c r="A40" s="34" t="str" cm="1">
        <f t="array" ref="A40">IFERROR(VLOOKUP(D1_MAYO_202681[[#This Row],[ASESOR_CRR]],_xlfn._xlws.FILTER(PLANTILLA[[ASESOR]:[FECHA DE CESE]],PLANTILLA[FECHA]=_xlfn.CONCAT($M$3,"_",_xlfn.IFS($N$3="ENERO","1",$N$3="FEBRERO","2",$N$3="MARZO","3",$N$3="ABRIL","4",$N$3="MAYO","5",$N$3="JUNIO","6",$N$3="JULIO","7",$N$3="AGOSTO","8",$N$3="SETIEMBRE","9",$N$3="OCTUBRE","10",$N$3="NOVIEMBRE","11",$N$3="DICIEMBRE","12"))),3,0),"")</f>
        <v>LISELY</v>
      </c>
      <c r="B40" s="34" t="str" cm="1">
        <f t="array" ref="B40">TRIM(IFERROR(_xlfn.IFS(D1_MAYO_202681[[#This Row],[ASESOR]]="ELVIS GUERRA","ELVIS GUERRERA",D1_MAYO_202681[[#This Row],[ASESOR]]="GENESIS VICUÑA","GENESIS VICUNA",D1_MAYO_202681[[#This Row],[ASESOR]]="JENY QUIÑONES","JENY QUINONES",D1_MAYO_202681[[#This Row],[ASESOR]]="NICOLE CAURURO","NICOLE CAURURO"),D1_MAYO_202681[[#This Row],[ASESOR]]))</f>
        <v>VERONICA HUARCA</v>
      </c>
      <c r="C40" s="34" cm="1">
        <f t="array" ref="C40">_xlfn.XLOOKUP(1,(TablaMeta[CONCAT]=$M$3&amp;$N$3&amp;D1_MAYO_202681[[#This Row],[SUPER]])*(TablaMeta[SEGG]=D1_MAYO_202681[[#This Row],[SEGMENTO]]),TablaMeta[Meta_Asesor])</f>
        <v>22800</v>
      </c>
      <c r="D40" s="35">
        <f>IF(D1_MAYO_202681[[#This Row],[RECUPERO]]="VACACIONES","VACACIONES",IFERROR(D1_MAYO_202681[[#This Row],[RECUPERO]]/D1_MAYO_202681[[#This Row],[META]],""))</f>
        <v>1.1355701754385965</v>
      </c>
      <c r="E40" s="35" t="str">
        <f>D1_MAYO_202681[[#This Row],[SUPER]]</f>
        <v>LISELY</v>
      </c>
      <c r="F40" t="s">
        <v>48</v>
      </c>
      <c r="G40" s="36">
        <v>25891</v>
      </c>
      <c r="H40" s="34" cm="1">
        <f t="array" ref="H40">IFERROR(VLOOKUP(D1_MAYO_202681[[#This Row],[ASESOR_CRR]],_xlfn._xlws.FILTER(PLANTILLA[[ASESOR]:[FECHA DE CESE]],PLANTILLA[FECHA]=_xlfn.CONCAT($M$3,"_",_xlfn.IFS($N$3="ENERO","1",$N$3="FEBRERO","2",$N$3="MARZO","3",$N$3="ABRIL","4",$N$3="MAYO","5",$N$3="JUNIO","6",$N$3="JULIO","7",$N$3="AGOSTO","8",$N$3="SETIEMBRE","9",$N$3="OCTUBRE","10",$N$3="NOVIEMBRE","11",$N$3="DICIEMBRE","12"))),2,0),"")</f>
        <v>43307898</v>
      </c>
      <c r="I40" s="60" cm="1">
        <f t="array" ref="I40">IFERROR(VLOOKUP(D1_MAYO_202681[[#This Row],[ASESOR_CRR]],_xlfn._xlws.FILTER(PLANTILLA[[ASESOR]:[FECHA DE CESE]],PLANTILLA[FECHA]=_xlfn.CONCAT($M$3,"_",_xlfn.IFS($N$3="ENERO","1",$N$3="FEBRERO","2",$N$3="MARZO","3",$N$3="ABRIL","4",$N$3="MAYO","5",$N$3="JUNIO","6",$N$3="JULIO","7",$N$3="AGOSTO","8",$N$3="SETIEMBRE","9",$N$3="OCTUBRE","10",$N$3="NOVIEMBRE","11",$N$3="DICIEMBRE","12"))),6,0),"")</f>
        <v>44746</v>
      </c>
      <c r="J40" s="60" t="str" cm="1">
        <f t="array" ref="J40">IFERROR(VLOOKUP(D1_MAYO_202681[[#This Row],[ASESOR_CRR]],_xlfn._xlws.FILTER(PLANTILLA[[ASESOR]:[FECHA DE CESE]],PLANTILLA[FECHA]=_xlfn.CONCAT($M$3,"_",_xlfn.IFS($N$3="ENERO","1",$N$3="FEBRERO","2",$N$3="MARZO","3",$N$3="ABRIL","4",$N$3="MAYO","5",$N$3="JUNIO","6",$N$3="JULIO","7",$N$3="AGOSTO","8",$N$3="SETIEMBRE","9",$N$3="OCTUBRE","10",$N$3="NOVIEMBRE","11",$N$3="DICIEMBRE","12"))),4,0),"")</f>
        <v>CALL</v>
      </c>
      <c r="K40" s="60" t="str" cm="1">
        <f t="array" ref="K40">IFERROR(VLOOKUP(D1_MAYO_202681[[#This Row],[ASESOR_CRR]],_xlfn._xlws.FILTER(PLANTILLA[[ASESOR]:[FECHA DE CESE]],PLANTILLA[FECHA]=_xlfn.CONCAT($M$3,"_",_xlfn.IFS($N$3="ENERO","1",$N$3="FEBRERO","2",$N$3="MARZO","3",$N$3="ABRIL","4",$N$3="MAYO","5",$N$3="JUNIO","6",$N$3="JULIO","7",$N$3="AGOSTO","8",$N$3="SETIEMBRE","9",$N$3="OCTUBRE","10",$N$3="NOVIEMBRE","11",$N$3="DICIEMBRE","12"))),8,0),"")</f>
        <v>S2-3-4 BANCO</v>
      </c>
      <c r="L40" s="55"/>
      <c r="M40" s="5">
        <f>DATA_MAYO_202684[[#This Row],[RECUPERO]]/DATA_MAYO_202684[[#This Row],[META]]</f>
        <v>0.85006525285481238</v>
      </c>
      <c r="N40" s="5">
        <f>6-ROUNDUP(_xlfn.RANK.EQ(DATA_MAYO_202684[[#This Row],[AL_AC]],DATA_MAYO_202684[AL_AC],0)/(COUNTA(DATA_MAYO_202684[AL_AC])/5),0)</f>
        <v>3</v>
      </c>
      <c r="O40" s="54" t="str">
        <f>IFERROR(VLOOKUP(DATA_MAYO_202684[[#This Row],[ASER_]],$B:$G,4,0),"")</f>
        <v>KENNETH</v>
      </c>
      <c r="P40" s="6">
        <f>SUM(DATA_MAYO_202684[[#This Row],[2]:[31]])</f>
        <v>52109</v>
      </c>
      <c r="Q40" s="6">
        <f>VLOOKUP(DATA_MAYO_202684[[#This Row],[ASER_]],D1_MAYO_202681[[ASESOR_CRR]:[META]],2,0)</f>
        <v>61300</v>
      </c>
      <c r="R40" t="s">
        <v>35</v>
      </c>
      <c r="U40">
        <v>500</v>
      </c>
      <c r="W40">
        <v>480</v>
      </c>
      <c r="X40">
        <v>2000</v>
      </c>
      <c r="Z40">
        <v>380</v>
      </c>
      <c r="AB40">
        <v>2600</v>
      </c>
      <c r="AE40">
        <v>5850</v>
      </c>
      <c r="AF40">
        <v>2930</v>
      </c>
      <c r="AG40" s="5"/>
      <c r="AH40" s="6"/>
      <c r="AI40" s="6">
        <v>1500</v>
      </c>
      <c r="AJ40" s="6">
        <v>3160</v>
      </c>
      <c r="AK40" s="6">
        <v>3178</v>
      </c>
      <c r="AL40" s="6"/>
      <c r="AM40" s="6">
        <v>5500</v>
      </c>
      <c r="AN40" s="6"/>
      <c r="AO40" s="6"/>
      <c r="AP40" s="6">
        <v>900</v>
      </c>
      <c r="AQ40" s="6"/>
      <c r="AR40" s="6">
        <v>500</v>
      </c>
      <c r="AS40" s="6">
        <v>1401</v>
      </c>
      <c r="AT40" s="6">
        <v>12960</v>
      </c>
      <c r="AU40" s="6">
        <v>8270</v>
      </c>
      <c r="AV40" s="6"/>
      <c r="AW40" s="54" t="str" cm="1">
        <f t="array" ref="AW40">IFERROR(VLOOKUP(DATA_MAYO_202684[[#This Row],[ASER_]],_xlfn._xlws.FILTER(PLANTILLA[[ASESOR]:[FECHA DE CESE]],PLANTILLA[FECHA]=_xlfn.CONCAT($M$3,"_",_xlfn.IFS($N$3="ENERO","1",$N$3="FEBRERO","2",$N$3="MARZO","3",$N$3="ABRIL","4",$N$3="MAYO","5",$N$3="JUNIO","6",$N$3="JULIO","7",$N$3="AGOSTO","8",$N$3="SETIEMBRE","9",$N$3="OCTUBRE","10",$N$3="NOVIEMBRE","11",$N$3="DICIEMBRE","12"))),8,0),"")</f>
        <v>S0</v>
      </c>
      <c r="CO40" t="s">
        <v>636</v>
      </c>
      <c r="CP40" t="s">
        <v>3</v>
      </c>
      <c r="CQ40" t="s">
        <v>493</v>
      </c>
      <c r="CR40">
        <v>46172</v>
      </c>
      <c r="CS40">
        <v>1</v>
      </c>
      <c r="CT40">
        <v>1</v>
      </c>
      <c r="CV40">
        <v>1</v>
      </c>
      <c r="CX40">
        <v>0</v>
      </c>
      <c r="CY40">
        <v>0</v>
      </c>
      <c r="CZ40">
        <v>0.13621527777777778</v>
      </c>
      <c r="DA40">
        <v>5.8506944444444445E-2</v>
      </c>
      <c r="DB40">
        <v>52</v>
      </c>
      <c r="DC40">
        <v>56</v>
      </c>
      <c r="DD40">
        <v>21</v>
      </c>
      <c r="DE40">
        <v>1</v>
      </c>
      <c r="DF40">
        <v>24791</v>
      </c>
      <c r="DG40">
        <v>0.40379999999999999</v>
      </c>
      <c r="DO40">
        <v>100</v>
      </c>
    </row>
    <row r="41" spans="1:120" x14ac:dyDescent="0.25">
      <c r="A41" s="34" t="str" cm="1">
        <f t="array" ref="A41">IFERROR(VLOOKUP(D1_MAYO_202681[[#This Row],[ASESOR_CRR]],_xlfn._xlws.FILTER(PLANTILLA[[ASESOR]:[FECHA DE CESE]],PLANTILLA[FECHA]=_xlfn.CONCAT($M$3,"_",_xlfn.IFS($N$3="ENERO","1",$N$3="FEBRERO","2",$N$3="MARZO","3",$N$3="ABRIL","4",$N$3="MAYO","5",$N$3="JUNIO","6",$N$3="JULIO","7",$N$3="AGOSTO","8",$N$3="SETIEMBRE","9",$N$3="OCTUBRE","10",$N$3="NOVIEMBRE","11",$N$3="DICIEMBRE","12"))),3,0),"")</f>
        <v>LISELY</v>
      </c>
      <c r="B41" s="34" t="str" cm="1">
        <f t="array" ref="B41">TRIM(IFERROR(_xlfn.IFS(D1_MAYO_202681[[#This Row],[ASESOR]]="ELVIS GUERRA","ELVIS GUERRERA",D1_MAYO_202681[[#This Row],[ASESOR]]="GENESIS VICUÑA","GENESIS VICUNA",D1_MAYO_202681[[#This Row],[ASESOR]]="JENY QUIÑONES","JENY QUINONES",D1_MAYO_202681[[#This Row],[ASESOR]]="NICOLE CAURURO","NICOLE CAURURO"),D1_MAYO_202681[[#This Row],[ASESOR]]))</f>
        <v>ALEJANDRO GONZALES</v>
      </c>
      <c r="C41" s="34" cm="1">
        <f t="array" ref="C41">_xlfn.XLOOKUP(1,(TablaMeta[CONCAT]=$M$3&amp;$N$3&amp;D1_MAYO_202681[[#This Row],[SUPER]])*(TablaMeta[SEGG]=D1_MAYO_202681[[#This Row],[SEGMENTO]]),TablaMeta[Meta_Asesor])</f>
        <v>22800</v>
      </c>
      <c r="D41" s="35">
        <f>IF(D1_MAYO_202681[[#This Row],[RECUPERO]]="VACACIONES","VACACIONES",IFERROR(D1_MAYO_202681[[#This Row],[RECUPERO]]/D1_MAYO_202681[[#This Row],[META]],""))</f>
        <v>1.0237719298245613</v>
      </c>
      <c r="E41" s="35" t="str">
        <f>D1_MAYO_202681[[#This Row],[SUPER]]</f>
        <v>LISELY</v>
      </c>
      <c r="F41" t="s">
        <v>109</v>
      </c>
      <c r="G41" s="36">
        <v>23342</v>
      </c>
      <c r="H41" s="34" cm="1">
        <f t="array" ref="H41">IFERROR(VLOOKUP(D1_MAYO_202681[[#This Row],[ASESOR_CRR]],_xlfn._xlws.FILTER(PLANTILLA[[ASESOR]:[FECHA DE CESE]],PLANTILLA[FECHA]=_xlfn.CONCAT($M$3,"_",_xlfn.IFS($N$3="ENERO","1",$N$3="FEBRERO","2",$N$3="MARZO","3",$N$3="ABRIL","4",$N$3="MAYO","5",$N$3="JUNIO","6",$N$3="JULIO","7",$N$3="AGOSTO","8",$N$3="SETIEMBRE","9",$N$3="OCTUBRE","10",$N$3="NOVIEMBRE","11",$N$3="DICIEMBRE","12"))),2,0),"")</f>
        <v>74626735</v>
      </c>
      <c r="I41" s="60" cm="1">
        <f t="array" ref="I41">IFERROR(VLOOKUP(D1_MAYO_202681[[#This Row],[ASESOR_CRR]],_xlfn._xlws.FILTER(PLANTILLA[[ASESOR]:[FECHA DE CESE]],PLANTILLA[FECHA]=_xlfn.CONCAT($M$3,"_",_xlfn.IFS($N$3="ENERO","1",$N$3="FEBRERO","2",$N$3="MARZO","3",$N$3="ABRIL","4",$N$3="MAYO","5",$N$3="JUNIO","6",$N$3="JULIO","7",$N$3="AGOSTO","8",$N$3="SETIEMBRE","9",$N$3="OCTUBRE","10",$N$3="NOVIEMBRE","11",$N$3="DICIEMBRE","12"))),6,0),"")</f>
        <v>46024</v>
      </c>
      <c r="J41" s="60" t="str" cm="1">
        <f t="array" ref="J41">IFERROR(VLOOKUP(D1_MAYO_202681[[#This Row],[ASESOR_CRR]],_xlfn._xlws.FILTER(PLANTILLA[[ASESOR]:[FECHA DE CESE]],PLANTILLA[FECHA]=_xlfn.CONCAT($M$3,"_",_xlfn.IFS($N$3="ENERO","1",$N$3="FEBRERO","2",$N$3="MARZO","3",$N$3="ABRIL","4",$N$3="MAYO","5",$N$3="JUNIO","6",$N$3="JULIO","7",$N$3="AGOSTO","8",$N$3="SETIEMBRE","9",$N$3="OCTUBRE","10",$N$3="NOVIEMBRE","11",$N$3="DICIEMBRE","12"))),4,0),"")</f>
        <v>CALL</v>
      </c>
      <c r="K41" s="60" t="str" cm="1">
        <f t="array" ref="K41">IFERROR(VLOOKUP(D1_MAYO_202681[[#This Row],[ASESOR_CRR]],_xlfn._xlws.FILTER(PLANTILLA[[ASESOR]:[FECHA DE CESE]],PLANTILLA[FECHA]=_xlfn.CONCAT($M$3,"_",_xlfn.IFS($N$3="ENERO","1",$N$3="FEBRERO","2",$N$3="MARZO","3",$N$3="ABRIL","4",$N$3="MAYO","5",$N$3="JUNIO","6",$N$3="JULIO","7",$N$3="AGOSTO","8",$N$3="SETIEMBRE","9",$N$3="OCTUBRE","10",$N$3="NOVIEMBRE","11",$N$3="DICIEMBRE","12"))),8,0),"")</f>
        <v>S2-3-4 BANCO</v>
      </c>
      <c r="L41" s="55"/>
      <c r="M41" s="5">
        <f>DATA_MAYO_202684[[#This Row],[RECUPERO]]/DATA_MAYO_202684[[#This Row],[META]]</f>
        <v>0.8617402597402597</v>
      </c>
      <c r="N41" s="5">
        <f>6-ROUNDUP(_xlfn.RANK.EQ(DATA_MAYO_202684[[#This Row],[AL_AC]],DATA_MAYO_202684[AL_AC],0)/(COUNTA(DATA_MAYO_202684[AL_AC])/5),0)</f>
        <v>3</v>
      </c>
      <c r="O41" s="54" t="str">
        <f>IFERROR(VLOOKUP(DATA_MAYO_202684[[#This Row],[ASER_]],$B:$G,4,0),"")</f>
        <v>SANDY</v>
      </c>
      <c r="P41" s="6">
        <f>SUM(DATA_MAYO_202684[[#This Row],[2]:[31]])</f>
        <v>33177</v>
      </c>
      <c r="Q41" s="6">
        <f>VLOOKUP(DATA_MAYO_202684[[#This Row],[ASER_]],D1_MAYO_202681[[ASESOR_CRR]:[META]],2,0)</f>
        <v>38500</v>
      </c>
      <c r="R41" t="s">
        <v>68</v>
      </c>
      <c r="U41">
        <v>2900</v>
      </c>
      <c r="W41">
        <v>2000</v>
      </c>
      <c r="X41">
        <v>2973</v>
      </c>
      <c r="Y41">
        <v>500</v>
      </c>
      <c r="AB41">
        <v>103</v>
      </c>
      <c r="AC41">
        <v>341</v>
      </c>
      <c r="AD41">
        <v>485</v>
      </c>
      <c r="AE41">
        <v>650</v>
      </c>
      <c r="AF41">
        <v>350</v>
      </c>
      <c r="AG41" s="5"/>
      <c r="AH41" s="6"/>
      <c r="AI41" s="6">
        <v>500</v>
      </c>
      <c r="AJ41" s="6"/>
      <c r="AK41" s="6">
        <v>4435</v>
      </c>
      <c r="AL41" s="6">
        <v>7410</v>
      </c>
      <c r="AM41" s="6">
        <v>1200</v>
      </c>
      <c r="AN41" s="6"/>
      <c r="AO41" s="6"/>
      <c r="AP41" s="6">
        <v>890</v>
      </c>
      <c r="AQ41" s="6">
        <v>2200</v>
      </c>
      <c r="AR41" s="6"/>
      <c r="AS41" s="6"/>
      <c r="AT41" s="6">
        <v>6240</v>
      </c>
      <c r="AU41" s="6"/>
      <c r="AV41" s="6"/>
      <c r="AW41" s="54" t="str" cm="1">
        <f t="array" ref="AW41">IFERROR(VLOOKUP(DATA_MAYO_202684[[#This Row],[ASER_]],_xlfn._xlws.FILTER(PLANTILLA[[ASESOR]:[FECHA DE CESE]],PLANTILLA[FECHA]=_xlfn.CONCAT($M$3,"_",_xlfn.IFS($N$3="ENERO","1",$N$3="FEBRERO","2",$N$3="MARZO","3",$N$3="ABRIL","4",$N$3="MAYO","5",$N$3="JUNIO","6",$N$3="JULIO","7",$N$3="AGOSTO","8",$N$3="SETIEMBRE","9",$N$3="OCTUBRE","10",$N$3="NOVIEMBRE","11",$N$3="DICIEMBRE","12"))),8,0),"")</f>
        <v>S0</v>
      </c>
      <c r="CO41" t="s">
        <v>636</v>
      </c>
      <c r="CP41" t="s">
        <v>3</v>
      </c>
      <c r="CQ41" t="s">
        <v>32</v>
      </c>
      <c r="CR41">
        <v>46167</v>
      </c>
      <c r="CS41">
        <v>1</v>
      </c>
      <c r="CT41">
        <v>1</v>
      </c>
      <c r="CV41">
        <v>1</v>
      </c>
      <c r="CX41">
        <v>4.1666666666666669E-4</v>
      </c>
      <c r="CY41">
        <v>4.1666666666666669E-4</v>
      </c>
      <c r="CZ41">
        <v>0.17945601851851853</v>
      </c>
      <c r="DA41">
        <v>0.19190972222222222</v>
      </c>
      <c r="DB41">
        <v>115</v>
      </c>
      <c r="DC41">
        <v>243</v>
      </c>
      <c r="DD41">
        <v>36</v>
      </c>
      <c r="DE41" t="s">
        <v>690</v>
      </c>
      <c r="DF41">
        <v>35774</v>
      </c>
      <c r="DG41">
        <v>0.313</v>
      </c>
      <c r="DH41">
        <v>3</v>
      </c>
      <c r="DI41">
        <v>8.3299999999999999E-2</v>
      </c>
      <c r="DJ41">
        <v>8400</v>
      </c>
      <c r="DK41">
        <v>2800</v>
      </c>
      <c r="DL41">
        <v>8400</v>
      </c>
      <c r="DM41">
        <v>1</v>
      </c>
      <c r="DN41">
        <v>0.18079999999999999</v>
      </c>
      <c r="DO41">
        <v>100</v>
      </c>
      <c r="DP41">
        <v>2800</v>
      </c>
    </row>
    <row r="42" spans="1:120" x14ac:dyDescent="0.25">
      <c r="A42" s="34" t="str" cm="1">
        <f t="array" ref="A42">IFERROR(VLOOKUP(D1_MAYO_202681[[#This Row],[ASESOR_CRR]],_xlfn._xlws.FILTER(PLANTILLA[[ASESOR]:[FECHA DE CESE]],PLANTILLA[FECHA]=_xlfn.CONCAT($M$3,"_",_xlfn.IFS($N$3="ENERO","1",$N$3="FEBRERO","2",$N$3="MARZO","3",$N$3="ABRIL","4",$N$3="MAYO","5",$N$3="JUNIO","6",$N$3="JULIO","7",$N$3="AGOSTO","8",$N$3="SETIEMBRE","9",$N$3="OCTUBRE","10",$N$3="NOVIEMBRE","11",$N$3="DICIEMBRE","12"))),3,0),"")</f>
        <v>LISELY</v>
      </c>
      <c r="B42" s="34" t="str" cm="1">
        <f t="array" ref="B42">TRIM(IFERROR(_xlfn.IFS(D1_MAYO_202681[[#This Row],[ASESOR]]="ELVIS GUERRA","ELVIS GUERRERA",D1_MAYO_202681[[#This Row],[ASESOR]]="GENESIS VICUÑA","GENESIS VICUNA",D1_MAYO_202681[[#This Row],[ASESOR]]="JENY QUIÑONES","JENY QUINONES",D1_MAYO_202681[[#This Row],[ASESOR]]="NICOLE CAURURO","NICOLE CAURURO"),D1_MAYO_202681[[#This Row],[ASESOR]]))</f>
        <v>ERIKA PANTA</v>
      </c>
      <c r="C42" s="34" cm="1">
        <f t="array" ref="C42">_xlfn.XLOOKUP(1,(TablaMeta[CONCAT]=$M$3&amp;$N$3&amp;D1_MAYO_202681[[#This Row],[SUPER]])*(TablaMeta[SEGG]=D1_MAYO_202681[[#This Row],[SEGMENTO]]),TablaMeta[Meta_Asesor])</f>
        <v>22800</v>
      </c>
      <c r="D42" s="35">
        <f>IF(D1_MAYO_202681[[#This Row],[RECUPERO]]="VACACIONES","VACACIONES",IFERROR(D1_MAYO_202681[[#This Row],[RECUPERO]]/D1_MAYO_202681[[#This Row],[META]],""))</f>
        <v>0.98333333333333328</v>
      </c>
      <c r="E42" s="35" t="str">
        <f>D1_MAYO_202681[[#This Row],[SUPER]]</f>
        <v>LISELY</v>
      </c>
      <c r="F42" t="s">
        <v>495</v>
      </c>
      <c r="G42" s="36">
        <v>22420</v>
      </c>
      <c r="H42" s="34" cm="1">
        <f t="array" ref="H42">IFERROR(VLOOKUP(D1_MAYO_202681[[#This Row],[ASESOR_CRR]],_xlfn._xlws.FILTER(PLANTILLA[[ASESOR]:[FECHA DE CESE]],PLANTILLA[FECHA]=_xlfn.CONCAT($M$3,"_",_xlfn.IFS($N$3="ENERO","1",$N$3="FEBRERO","2",$N$3="MARZO","3",$N$3="ABRIL","4",$N$3="MAYO","5",$N$3="JUNIO","6",$N$3="JULIO","7",$N$3="AGOSTO","8",$N$3="SETIEMBRE","9",$N$3="OCTUBRE","10",$N$3="NOVIEMBRE","11",$N$3="DICIEMBRE","12"))),2,0),"")</f>
        <v>62792399</v>
      </c>
      <c r="I42" s="60" cm="1">
        <f t="array" ref="I42">IFERROR(VLOOKUP(D1_MAYO_202681[[#This Row],[ASESOR_CRR]],_xlfn._xlws.FILTER(PLANTILLA[[ASESOR]:[FECHA DE CESE]],PLANTILLA[FECHA]=_xlfn.CONCAT($M$3,"_",_xlfn.IFS($N$3="ENERO","1",$N$3="FEBRERO","2",$N$3="MARZO","3",$N$3="ABRIL","4",$N$3="MAYO","5",$N$3="JUNIO","6",$N$3="JULIO","7",$N$3="AGOSTO","8",$N$3="SETIEMBRE","9",$N$3="OCTUBRE","10",$N$3="NOVIEMBRE","11",$N$3="DICIEMBRE","12"))),6,0),"")</f>
        <v>46052</v>
      </c>
      <c r="J42" s="60" t="str" cm="1">
        <f t="array" ref="J42">IFERROR(VLOOKUP(D1_MAYO_202681[[#This Row],[ASESOR_CRR]],_xlfn._xlws.FILTER(PLANTILLA[[ASESOR]:[FECHA DE CESE]],PLANTILLA[FECHA]=_xlfn.CONCAT($M$3,"_",_xlfn.IFS($N$3="ENERO","1",$N$3="FEBRERO","2",$N$3="MARZO","3",$N$3="ABRIL","4",$N$3="MAYO","5",$N$3="JUNIO","6",$N$3="JULIO","7",$N$3="AGOSTO","8",$N$3="SETIEMBRE","9",$N$3="OCTUBRE","10",$N$3="NOVIEMBRE","11",$N$3="DICIEMBRE","12"))),4,0),"")</f>
        <v>CALL</v>
      </c>
      <c r="K42" s="60" t="str" cm="1">
        <f t="array" ref="K42">IFERROR(VLOOKUP(D1_MAYO_202681[[#This Row],[ASESOR_CRR]],_xlfn._xlws.FILTER(PLANTILLA[[ASESOR]:[FECHA DE CESE]],PLANTILLA[FECHA]=_xlfn.CONCAT($M$3,"_",_xlfn.IFS($N$3="ENERO","1",$N$3="FEBRERO","2",$N$3="MARZO","3",$N$3="ABRIL","4",$N$3="MAYO","5",$N$3="JUNIO","6",$N$3="JULIO","7",$N$3="AGOSTO","8",$N$3="SETIEMBRE","9",$N$3="OCTUBRE","10",$N$3="NOVIEMBRE","11",$N$3="DICIEMBRE","12"))),8,0),"")</f>
        <v>S2-3-4 BANCO</v>
      </c>
      <c r="L42" s="55"/>
      <c r="M42" s="5">
        <f>DATA_MAYO_202684[[#This Row],[RECUPERO]]/DATA_MAYO_202684[[#This Row],[META]]</f>
        <v>0.59116331096196872</v>
      </c>
      <c r="N42" s="5">
        <f>6-ROUNDUP(_xlfn.RANK.EQ(DATA_MAYO_202684[[#This Row],[AL_AC]],DATA_MAYO_202684[AL_AC],0)/(COUNTA(DATA_MAYO_202684[AL_AC])/5),0)</f>
        <v>1</v>
      </c>
      <c r="O42" s="54" t="str">
        <f>IFERROR(VLOOKUP(DATA_MAYO_202684[[#This Row],[ASER_]],$B:$G,4,0),"")</f>
        <v>JORGE</v>
      </c>
      <c r="P42" s="6">
        <f>SUM(DATA_MAYO_202684[[#This Row],[2]:[31]])</f>
        <v>26425</v>
      </c>
      <c r="Q42" s="6">
        <f>VLOOKUP(DATA_MAYO_202684[[#This Row],[ASER_]],D1_MAYO_202681[[ASESOR_CRR]:[META]],2,0)</f>
        <v>44700</v>
      </c>
      <c r="R42" t="s">
        <v>31</v>
      </c>
      <c r="V42">
        <v>2000</v>
      </c>
      <c r="W42">
        <v>11264</v>
      </c>
      <c r="AD42">
        <v>2000</v>
      </c>
      <c r="AG42" s="5">
        <v>225</v>
      </c>
      <c r="AH42" s="6"/>
      <c r="AI42" s="6"/>
      <c r="AJ42" s="6">
        <v>6736</v>
      </c>
      <c r="AK42" s="6"/>
      <c r="AL42" s="6"/>
      <c r="AM42" s="6">
        <v>1800</v>
      </c>
      <c r="AN42" s="6"/>
      <c r="AO42" s="6"/>
      <c r="AP42" s="6"/>
      <c r="AQ42" s="6"/>
      <c r="AR42" s="6"/>
      <c r="AS42" s="6"/>
      <c r="AT42" s="6">
        <v>2400</v>
      </c>
      <c r="AU42" s="6"/>
      <c r="AV42" s="6"/>
      <c r="AW42" s="54" t="str" cm="1">
        <f t="array" ref="AW42">IFERROR(VLOOKUP(DATA_MAYO_202684[[#This Row],[ASER_]],_xlfn._xlws.FILTER(PLANTILLA[[ASESOR]:[FECHA DE CESE]],PLANTILLA[FECHA]=_xlfn.CONCAT($M$3,"_",_xlfn.IFS($N$3="ENERO","1",$N$3="FEBRERO","2",$N$3="MARZO","3",$N$3="ABRIL","4",$N$3="MAYO","5",$N$3="JUNIO","6",$N$3="JULIO","7",$N$3="AGOSTO","8",$N$3="SETIEMBRE","9",$N$3="OCTUBRE","10",$N$3="NOVIEMBRE","11",$N$3="DICIEMBRE","12"))),8,0),"")</f>
        <v>S1</v>
      </c>
      <c r="CO42" t="s">
        <v>636</v>
      </c>
      <c r="CP42" t="s">
        <v>3</v>
      </c>
      <c r="CQ42" t="s">
        <v>564</v>
      </c>
      <c r="CR42">
        <v>46156</v>
      </c>
      <c r="CS42">
        <v>1</v>
      </c>
      <c r="CT42">
        <v>1</v>
      </c>
      <c r="CV42">
        <v>1</v>
      </c>
      <c r="CX42">
        <v>0</v>
      </c>
      <c r="CY42">
        <v>0</v>
      </c>
      <c r="CZ42">
        <v>0.17059027777777777</v>
      </c>
      <c r="DA42">
        <v>0.14466435185185186</v>
      </c>
      <c r="DB42">
        <v>106</v>
      </c>
      <c r="DC42">
        <v>178</v>
      </c>
      <c r="DD42">
        <v>19</v>
      </c>
      <c r="DE42" t="s">
        <v>691</v>
      </c>
      <c r="DF42">
        <v>14181</v>
      </c>
      <c r="DG42">
        <v>0.1792</v>
      </c>
      <c r="DH42">
        <v>1</v>
      </c>
      <c r="DI42">
        <v>5.2600000000000001E-2</v>
      </c>
      <c r="DJ42">
        <v>1500</v>
      </c>
      <c r="DK42">
        <v>1500</v>
      </c>
      <c r="DL42">
        <v>1500</v>
      </c>
      <c r="DM42">
        <v>1</v>
      </c>
      <c r="DN42">
        <v>0.1134</v>
      </c>
      <c r="DO42">
        <v>100</v>
      </c>
      <c r="DP42">
        <v>1500</v>
      </c>
    </row>
    <row r="43" spans="1:120" x14ac:dyDescent="0.25">
      <c r="A43" s="34" t="str" cm="1">
        <f t="array" ref="A43">IFERROR(VLOOKUP(D1_MAYO_202681[[#This Row],[ASESOR_CRR]],_xlfn._xlws.FILTER(PLANTILLA[[ASESOR]:[FECHA DE CESE]],PLANTILLA[FECHA]=_xlfn.CONCAT($M$3,"_",_xlfn.IFS($N$3="ENERO","1",$N$3="FEBRERO","2",$N$3="MARZO","3",$N$3="ABRIL","4",$N$3="MAYO","5",$N$3="JUNIO","6",$N$3="JULIO","7",$N$3="AGOSTO","8",$N$3="SETIEMBRE","9",$N$3="OCTUBRE","10",$N$3="NOVIEMBRE","11",$N$3="DICIEMBRE","12"))),3,0),"")</f>
        <v>LISELY</v>
      </c>
      <c r="B43" s="34" t="str" cm="1">
        <f t="array" ref="B43">TRIM(IFERROR(_xlfn.IFS(D1_MAYO_202681[[#This Row],[ASESOR]]="ELVIS GUERRA","ELVIS GUERRERA",D1_MAYO_202681[[#This Row],[ASESOR]]="GENESIS VICUÑA","GENESIS VICUNA",D1_MAYO_202681[[#This Row],[ASESOR]]="JENY QUIÑONES","JENY QUINONES",D1_MAYO_202681[[#This Row],[ASESOR]]="NICOLE CAURURO","NICOLE CAURURO"),D1_MAYO_202681[[#This Row],[ASESOR]]))</f>
        <v>FERNANDA APAZA</v>
      </c>
      <c r="C43" s="34" cm="1">
        <f t="array" ref="C43">_xlfn.XLOOKUP(1,(TablaMeta[CONCAT]=$M$3&amp;$N$3&amp;D1_MAYO_202681[[#This Row],[SUPER]])*(TablaMeta[SEGG]=D1_MAYO_202681[[#This Row],[SEGMENTO]]),TablaMeta[Meta_Asesor])</f>
        <v>22800</v>
      </c>
      <c r="D43" s="35">
        <f>IF(D1_MAYO_202681[[#This Row],[RECUPERO]]="VACACIONES","VACACIONES",IFERROR(D1_MAYO_202681[[#This Row],[RECUPERO]]/D1_MAYO_202681[[#This Row],[META]],""))</f>
        <v>0.87850877192982457</v>
      </c>
      <c r="E43" s="35" t="str">
        <f>D1_MAYO_202681[[#This Row],[SUPER]]</f>
        <v>LISELY</v>
      </c>
      <c r="F43" t="s">
        <v>600</v>
      </c>
      <c r="G43" s="36">
        <v>20030</v>
      </c>
      <c r="H43" s="34" cm="1">
        <f t="array" ref="H43">IFERROR(VLOOKUP(D1_MAYO_202681[[#This Row],[ASESOR_CRR]],_xlfn._xlws.FILTER(PLANTILLA[[ASESOR]:[FECHA DE CESE]],PLANTILLA[FECHA]=_xlfn.CONCAT($M$3,"_",_xlfn.IFS($N$3="ENERO","1",$N$3="FEBRERO","2",$N$3="MARZO","3",$N$3="ABRIL","4",$N$3="MAYO","5",$N$3="JUNIO","6",$N$3="JULIO","7",$N$3="AGOSTO","8",$N$3="SETIEMBRE","9",$N$3="OCTUBRE","10",$N$3="NOVIEMBRE","11",$N$3="DICIEMBRE","12"))),2,0),"")</f>
        <v>73623874</v>
      </c>
      <c r="I43" s="60" cm="1">
        <f t="array" ref="I43">IFERROR(VLOOKUP(D1_MAYO_202681[[#This Row],[ASESOR_CRR]],_xlfn._xlws.FILTER(PLANTILLA[[ASESOR]:[FECHA DE CESE]],PLANTILLA[FECHA]=_xlfn.CONCAT($M$3,"_",_xlfn.IFS($N$3="ENERO","1",$N$3="FEBRERO","2",$N$3="MARZO","3",$N$3="ABRIL","4",$N$3="MAYO","5",$N$3="JUNIO","6",$N$3="JULIO","7",$N$3="AGOSTO","8",$N$3="SETIEMBRE","9",$N$3="OCTUBRE","10",$N$3="NOVIEMBRE","11",$N$3="DICIEMBRE","12"))),6,0),"")</f>
        <v>46139</v>
      </c>
      <c r="J43" s="60" t="str" cm="1">
        <f t="array" ref="J43">IFERROR(VLOOKUP(D1_MAYO_202681[[#This Row],[ASESOR_CRR]],_xlfn._xlws.FILTER(PLANTILLA[[ASESOR]:[FECHA DE CESE]],PLANTILLA[FECHA]=_xlfn.CONCAT($M$3,"_",_xlfn.IFS($N$3="ENERO","1",$N$3="FEBRERO","2",$N$3="MARZO","3",$N$3="ABRIL","4",$N$3="MAYO","5",$N$3="JUNIO","6",$N$3="JULIO","7",$N$3="AGOSTO","8",$N$3="SETIEMBRE","9",$N$3="OCTUBRE","10",$N$3="NOVIEMBRE","11",$N$3="DICIEMBRE","12"))),4,0),"")</f>
        <v>CALL</v>
      </c>
      <c r="K43" s="60" t="str" cm="1">
        <f t="array" ref="K43">IFERROR(VLOOKUP(D1_MAYO_202681[[#This Row],[ASESOR_CRR]],_xlfn._xlws.FILTER(PLANTILLA[[ASESOR]:[FECHA DE CESE]],PLANTILLA[FECHA]=_xlfn.CONCAT($M$3,"_",_xlfn.IFS($N$3="ENERO","1",$N$3="FEBRERO","2",$N$3="MARZO","3",$N$3="ABRIL","4",$N$3="MAYO","5",$N$3="JUNIO","6",$N$3="JULIO","7",$N$3="AGOSTO","8",$N$3="SETIEMBRE","9",$N$3="OCTUBRE","10",$N$3="NOVIEMBRE","11",$N$3="DICIEMBRE","12"))),8,0),"")</f>
        <v>S2-3-4 BANCO</v>
      </c>
      <c r="L43" s="55"/>
      <c r="M43" s="5">
        <f>DATA_MAYO_202684[[#This Row],[RECUPERO]]/DATA_MAYO_202684[[#This Row],[META]]</f>
        <v>1.0765402597402598</v>
      </c>
      <c r="N43" s="5">
        <f>6-ROUNDUP(_xlfn.RANK.EQ(DATA_MAYO_202684[[#This Row],[AL_AC]],DATA_MAYO_202684[AL_AC],0)/(COUNTA(DATA_MAYO_202684[AL_AC])/5),0)</f>
        <v>4</v>
      </c>
      <c r="O43" s="54" t="str">
        <f>IFERROR(VLOOKUP(DATA_MAYO_202684[[#This Row],[ASER_]],$B:$G,4,0),"")</f>
        <v>SANDY</v>
      </c>
      <c r="P43" s="6">
        <f>SUM(DATA_MAYO_202684[[#This Row],[2]:[31]])</f>
        <v>41446.800000000003</v>
      </c>
      <c r="Q43" s="6">
        <f>VLOOKUP(DATA_MAYO_202684[[#This Row],[ASER_]],D1_MAYO_202681[[ASESOR_CRR]:[META]],2,0)</f>
        <v>38500</v>
      </c>
      <c r="R43" t="s">
        <v>29</v>
      </c>
      <c r="U43">
        <v>343.8</v>
      </c>
      <c r="V43">
        <v>236</v>
      </c>
      <c r="W43">
        <v>1885</v>
      </c>
      <c r="X43">
        <v>1000</v>
      </c>
      <c r="Y43">
        <v>275</v>
      </c>
      <c r="AB43">
        <v>1521</v>
      </c>
      <c r="AC43">
        <v>100</v>
      </c>
      <c r="AD43">
        <v>650</v>
      </c>
      <c r="AE43">
        <v>1115</v>
      </c>
      <c r="AF43">
        <v>530</v>
      </c>
      <c r="AG43" s="5">
        <v>850</v>
      </c>
      <c r="AH43" s="6"/>
      <c r="AI43" s="6">
        <v>5200</v>
      </c>
      <c r="AJ43" s="6">
        <v>1360</v>
      </c>
      <c r="AK43" s="6">
        <v>584</v>
      </c>
      <c r="AL43" s="6">
        <v>3980</v>
      </c>
      <c r="AM43" s="6">
        <v>1075</v>
      </c>
      <c r="AN43" s="6">
        <v>380</v>
      </c>
      <c r="AO43" s="6"/>
      <c r="AP43" s="6">
        <v>1979</v>
      </c>
      <c r="AQ43" s="6">
        <v>3500</v>
      </c>
      <c r="AR43" s="6">
        <v>2700</v>
      </c>
      <c r="AS43" s="6">
        <v>5650</v>
      </c>
      <c r="AT43" s="6">
        <v>6533</v>
      </c>
      <c r="AU43" s="6"/>
      <c r="AV43" s="6"/>
      <c r="AW43" s="54" t="str" cm="1">
        <f t="array" ref="AW43">IFERROR(VLOOKUP(DATA_MAYO_202684[[#This Row],[ASER_]],_xlfn._xlws.FILTER(PLANTILLA[[ASESOR]:[FECHA DE CESE]],PLANTILLA[FECHA]=_xlfn.CONCAT($M$3,"_",_xlfn.IFS($N$3="ENERO","1",$N$3="FEBRERO","2",$N$3="MARZO","3",$N$3="ABRIL","4",$N$3="MAYO","5",$N$3="JUNIO","6",$N$3="JULIO","7",$N$3="AGOSTO","8",$N$3="SETIEMBRE","9",$N$3="OCTUBRE","10",$N$3="NOVIEMBRE","11",$N$3="DICIEMBRE","12"))),8,0),"")</f>
        <v>S0</v>
      </c>
      <c r="CO43" t="s">
        <v>636</v>
      </c>
      <c r="CP43" t="s">
        <v>3</v>
      </c>
      <c r="CQ43" t="s">
        <v>564</v>
      </c>
      <c r="CR43">
        <v>46172</v>
      </c>
      <c r="CS43">
        <v>1</v>
      </c>
      <c r="CT43">
        <v>1</v>
      </c>
      <c r="CV43">
        <v>1</v>
      </c>
      <c r="CX43">
        <v>2.7777777777777778E-4</v>
      </c>
      <c r="CY43">
        <v>2.7777777777777778E-4</v>
      </c>
      <c r="CZ43">
        <v>0.15480324074074073</v>
      </c>
      <c r="DA43">
        <v>3.7997685185185183E-2</v>
      </c>
      <c r="DB43">
        <v>52</v>
      </c>
      <c r="DC43">
        <v>59</v>
      </c>
      <c r="DD43">
        <v>23</v>
      </c>
      <c r="DE43" t="s">
        <v>692</v>
      </c>
      <c r="DF43">
        <v>21718</v>
      </c>
      <c r="DG43">
        <v>0.44230000000000003</v>
      </c>
      <c r="DO43">
        <v>100</v>
      </c>
    </row>
    <row r="44" spans="1:120" x14ac:dyDescent="0.25">
      <c r="A44" s="34" t="str" cm="1">
        <f t="array" ref="A44">IFERROR(VLOOKUP(D1_MAYO_202681[[#This Row],[ASESOR_CRR]],_xlfn._xlws.FILTER(PLANTILLA[[ASESOR]:[FECHA DE CESE]],PLANTILLA[FECHA]=_xlfn.CONCAT($M$3,"_",_xlfn.IFS($N$3="ENERO","1",$N$3="FEBRERO","2",$N$3="MARZO","3",$N$3="ABRIL","4",$N$3="MAYO","5",$N$3="JUNIO","6",$N$3="JULIO","7",$N$3="AGOSTO","8",$N$3="SETIEMBRE","9",$N$3="OCTUBRE","10",$N$3="NOVIEMBRE","11",$N$3="DICIEMBRE","12"))),3,0),"")</f>
        <v>LISELY</v>
      </c>
      <c r="B44" s="34" t="str" cm="1">
        <f t="array" ref="B44">TRIM(IFERROR(_xlfn.IFS(D1_MAYO_202681[[#This Row],[ASESOR]]="ELVIS GUERRA","ELVIS GUERRERA",D1_MAYO_202681[[#This Row],[ASESOR]]="GENESIS VICUÑA","GENESIS VICUNA",D1_MAYO_202681[[#This Row],[ASESOR]]="JENY QUIÑONES","JENY QUINONES",D1_MAYO_202681[[#This Row],[ASESOR]]="NICOLE CAURURO","NICOLE CAURURO"),D1_MAYO_202681[[#This Row],[ASESOR]]))</f>
        <v>JANETH PORTOCARRERO</v>
      </c>
      <c r="C44" s="34" cm="1">
        <f t="array" ref="C44">_xlfn.XLOOKUP(1,(TablaMeta[CONCAT]=$M$3&amp;$N$3&amp;D1_MAYO_202681[[#This Row],[SUPER]])*(TablaMeta[SEGG]=D1_MAYO_202681[[#This Row],[SEGMENTO]]),TablaMeta[Meta_Asesor])</f>
        <v>22800</v>
      </c>
      <c r="D44" s="35">
        <f>IF(D1_MAYO_202681[[#This Row],[RECUPERO]]="VACACIONES","VACACIONES",IFERROR(D1_MAYO_202681[[#This Row],[RECUPERO]]/D1_MAYO_202681[[#This Row],[META]],""))</f>
        <v>0.76166666666666671</v>
      </c>
      <c r="E44" s="35" t="str">
        <f>D1_MAYO_202681[[#This Row],[SUPER]]</f>
        <v>LISELY</v>
      </c>
      <c r="F44" t="s">
        <v>49</v>
      </c>
      <c r="G44" s="36">
        <v>17366</v>
      </c>
      <c r="H44" s="34" cm="1">
        <f t="array" ref="H44">IFERROR(VLOOKUP(D1_MAYO_202681[[#This Row],[ASESOR_CRR]],_xlfn._xlws.FILTER(PLANTILLA[[ASESOR]:[FECHA DE CESE]],PLANTILLA[FECHA]=_xlfn.CONCAT($M$3,"_",_xlfn.IFS($N$3="ENERO","1",$N$3="FEBRERO","2",$N$3="MARZO","3",$N$3="ABRIL","4",$N$3="MAYO","5",$N$3="JUNIO","6",$N$3="JULIO","7",$N$3="AGOSTO","8",$N$3="SETIEMBRE","9",$N$3="OCTUBRE","10",$N$3="NOVIEMBRE","11",$N$3="DICIEMBRE","12"))),2,0),"")</f>
        <v>40702064</v>
      </c>
      <c r="I44" s="60" cm="1">
        <f t="array" ref="I44">IFERROR(VLOOKUP(D1_MAYO_202681[[#This Row],[ASESOR_CRR]],_xlfn._xlws.FILTER(PLANTILLA[[ASESOR]:[FECHA DE CESE]],PLANTILLA[FECHA]=_xlfn.CONCAT($M$3,"_",_xlfn.IFS($N$3="ENERO","1",$N$3="FEBRERO","2",$N$3="MARZO","3",$N$3="ABRIL","4",$N$3="MAYO","5",$N$3="JUNIO","6",$N$3="JULIO","7",$N$3="AGOSTO","8",$N$3="SETIEMBRE","9",$N$3="OCTUBRE","10",$N$3="NOVIEMBRE","11",$N$3="DICIEMBRE","12"))),6,0),"")</f>
        <v>43313</v>
      </c>
      <c r="J44" s="60" t="str" cm="1">
        <f t="array" ref="J44">IFERROR(VLOOKUP(D1_MAYO_202681[[#This Row],[ASESOR_CRR]],_xlfn._xlws.FILTER(PLANTILLA[[ASESOR]:[FECHA DE CESE]],PLANTILLA[FECHA]=_xlfn.CONCAT($M$3,"_",_xlfn.IFS($N$3="ENERO","1",$N$3="FEBRERO","2",$N$3="MARZO","3",$N$3="ABRIL","4",$N$3="MAYO","5",$N$3="JUNIO","6",$N$3="JULIO","7",$N$3="AGOSTO","8",$N$3="SETIEMBRE","9",$N$3="OCTUBRE","10",$N$3="NOVIEMBRE","11",$N$3="DICIEMBRE","12"))),4,0),"")</f>
        <v>CALL</v>
      </c>
      <c r="K44" s="60" t="str" cm="1">
        <f t="array" ref="K44">IFERROR(VLOOKUP(D1_MAYO_202681[[#This Row],[ASESOR_CRR]],_xlfn._xlws.FILTER(PLANTILLA[[ASESOR]:[FECHA DE CESE]],PLANTILLA[FECHA]=_xlfn.CONCAT($M$3,"_",_xlfn.IFS($N$3="ENERO","1",$N$3="FEBRERO","2",$N$3="MARZO","3",$N$3="ABRIL","4",$N$3="MAYO","5",$N$3="JUNIO","6",$N$3="JULIO","7",$N$3="AGOSTO","8",$N$3="SETIEMBRE","9",$N$3="OCTUBRE","10",$N$3="NOVIEMBRE","11",$N$3="DICIEMBRE","12"))),8,0),"")</f>
        <v>S2-3-4 BANCO</v>
      </c>
      <c r="L44" s="55"/>
      <c r="M44" s="5">
        <f>DATA_MAYO_202684[[#This Row],[RECUPERO]]/DATA_MAYO_202684[[#This Row],[META]]</f>
        <v>0.88145413870246081</v>
      </c>
      <c r="N44" s="5">
        <f>6-ROUNDUP(_xlfn.RANK.EQ(DATA_MAYO_202684[[#This Row],[AL_AC]],DATA_MAYO_202684[AL_AC],0)/(COUNTA(DATA_MAYO_202684[AL_AC])/5),0)</f>
        <v>3</v>
      </c>
      <c r="O44" s="54" t="str">
        <f>IFERROR(VLOOKUP(DATA_MAYO_202684[[#This Row],[ASER_]],$B:$G,4,0),"")</f>
        <v>JORGE</v>
      </c>
      <c r="P44" s="6">
        <f>SUM(DATA_MAYO_202684[[#This Row],[2]:[31]])</f>
        <v>39401</v>
      </c>
      <c r="Q44" s="6">
        <f>VLOOKUP(DATA_MAYO_202684[[#This Row],[ASER_]],D1_MAYO_202681[[ASESOR_CRR]:[META]],2,0)</f>
        <v>44700</v>
      </c>
      <c r="R44" t="s">
        <v>25</v>
      </c>
      <c r="U44">
        <v>1100</v>
      </c>
      <c r="W44">
        <v>3080</v>
      </c>
      <c r="X44">
        <v>500</v>
      </c>
      <c r="Y44">
        <v>400</v>
      </c>
      <c r="AB44">
        <v>2000</v>
      </c>
      <c r="AC44">
        <v>525</v>
      </c>
      <c r="AD44">
        <v>1500</v>
      </c>
      <c r="AG44" s="5"/>
      <c r="AH44" s="6"/>
      <c r="AI44" s="6"/>
      <c r="AJ44" s="6">
        <v>390</v>
      </c>
      <c r="AK44" s="6">
        <v>500</v>
      </c>
      <c r="AL44" s="6">
        <v>11785</v>
      </c>
      <c r="AM44" s="6">
        <v>1400</v>
      </c>
      <c r="AN44" s="6"/>
      <c r="AO44" s="6"/>
      <c r="AP44" s="6"/>
      <c r="AQ44" s="6">
        <v>10252</v>
      </c>
      <c r="AR44" s="6"/>
      <c r="AS44" s="6">
        <v>300</v>
      </c>
      <c r="AT44" s="6">
        <v>4212</v>
      </c>
      <c r="AU44" s="6">
        <v>1275</v>
      </c>
      <c r="AV44" s="6">
        <v>182</v>
      </c>
      <c r="AW44" s="54" t="str" cm="1">
        <f t="array" ref="AW44">IFERROR(VLOOKUP(DATA_MAYO_202684[[#This Row],[ASER_]],_xlfn._xlws.FILTER(PLANTILLA[[ASESOR]:[FECHA DE CESE]],PLANTILLA[FECHA]=_xlfn.CONCAT($M$3,"_",_xlfn.IFS($N$3="ENERO","1",$N$3="FEBRERO","2",$N$3="MARZO","3",$N$3="ABRIL","4",$N$3="MAYO","5",$N$3="JUNIO","6",$N$3="JULIO","7",$N$3="AGOSTO","8",$N$3="SETIEMBRE","9",$N$3="OCTUBRE","10",$N$3="NOVIEMBRE","11",$N$3="DICIEMBRE","12"))),8,0),"")</f>
        <v>S1</v>
      </c>
      <c r="CO44" t="s">
        <v>636</v>
      </c>
      <c r="CP44" t="s">
        <v>3</v>
      </c>
      <c r="CQ44" t="s">
        <v>96</v>
      </c>
      <c r="CR44">
        <v>46172</v>
      </c>
      <c r="CS44">
        <v>1</v>
      </c>
      <c r="CT44">
        <v>1</v>
      </c>
      <c r="CV44">
        <v>1</v>
      </c>
      <c r="CX44">
        <v>0</v>
      </c>
      <c r="CY44">
        <v>0</v>
      </c>
      <c r="CZ44">
        <v>0.10788194444444445</v>
      </c>
      <c r="DA44">
        <v>7.8275462962962963E-2</v>
      </c>
      <c r="DB44">
        <v>20</v>
      </c>
      <c r="DC44">
        <v>34</v>
      </c>
      <c r="DD44">
        <v>11</v>
      </c>
      <c r="DE44" t="s">
        <v>693</v>
      </c>
      <c r="DF44">
        <v>9469</v>
      </c>
      <c r="DG44">
        <v>0.55000000000000004</v>
      </c>
      <c r="DO44">
        <v>100</v>
      </c>
    </row>
    <row r="45" spans="1:120" x14ac:dyDescent="0.25">
      <c r="A45" s="34" t="str" cm="1">
        <f t="array" ref="A45">IFERROR(VLOOKUP(D1_MAYO_202681[[#This Row],[ASESOR_CRR]],_xlfn._xlws.FILTER(PLANTILLA[[ASESOR]:[FECHA DE CESE]],PLANTILLA[FECHA]=_xlfn.CONCAT($M$3,"_",_xlfn.IFS($N$3="ENERO","1",$N$3="FEBRERO","2",$N$3="MARZO","3",$N$3="ABRIL","4",$N$3="MAYO","5",$N$3="JUNIO","6",$N$3="JULIO","7",$N$3="AGOSTO","8",$N$3="SETIEMBRE","9",$N$3="OCTUBRE","10",$N$3="NOVIEMBRE","11",$N$3="DICIEMBRE","12"))),3,0),"")</f>
        <v>LISELY</v>
      </c>
      <c r="B45" s="34" t="str" cm="1">
        <f t="array" ref="B45">TRIM(IFERROR(_xlfn.IFS(D1_MAYO_202681[[#This Row],[ASESOR]]="ELVIS GUERRA","ELVIS GUERRERA",D1_MAYO_202681[[#This Row],[ASESOR]]="GENESIS VICUÑA","GENESIS VICUNA",D1_MAYO_202681[[#This Row],[ASESOR]]="JENY QUIÑONES","JENY QUINONES",D1_MAYO_202681[[#This Row],[ASESOR]]="NICOLE CAURURO","NICOLE CAURURO"),D1_MAYO_202681[[#This Row],[ASESOR]]))</f>
        <v>URSULA CENTENO</v>
      </c>
      <c r="C45" s="34" cm="1">
        <f t="array" ref="C45">_xlfn.XLOOKUP(1,(TablaMeta[CONCAT]=$M$3&amp;$N$3&amp;D1_MAYO_202681[[#This Row],[SUPER]])*(TablaMeta[SEGG]=D1_MAYO_202681[[#This Row],[SEGMENTO]]),TablaMeta[Meta_Asesor])</f>
        <v>22800</v>
      </c>
      <c r="D45" s="35">
        <f>IF(D1_MAYO_202681[[#This Row],[RECUPERO]]="VACACIONES","VACACIONES",IFERROR(D1_MAYO_202681[[#This Row],[RECUPERO]]/D1_MAYO_202681[[#This Row],[META]],""))</f>
        <v>0.73070175438596496</v>
      </c>
      <c r="E45" s="35" t="str">
        <f>D1_MAYO_202681[[#This Row],[SUPER]]</f>
        <v>LISELY</v>
      </c>
      <c r="F45" t="s">
        <v>78</v>
      </c>
      <c r="G45" s="36">
        <v>16660</v>
      </c>
      <c r="H45" s="34" cm="1">
        <f t="array" ref="H45">IFERROR(VLOOKUP(D1_MAYO_202681[[#This Row],[ASESOR_CRR]],_xlfn._xlws.FILTER(PLANTILLA[[ASESOR]:[FECHA DE CESE]],PLANTILLA[FECHA]=_xlfn.CONCAT($M$3,"_",_xlfn.IFS($N$3="ENERO","1",$N$3="FEBRERO","2",$N$3="MARZO","3",$N$3="ABRIL","4",$N$3="MAYO","5",$N$3="JUNIO","6",$N$3="JULIO","7",$N$3="AGOSTO","8",$N$3="SETIEMBRE","9",$N$3="OCTUBRE","10",$N$3="NOVIEMBRE","11",$N$3="DICIEMBRE","12"))),2,0),"")</f>
        <v>10706451</v>
      </c>
      <c r="I45" s="60" cm="1">
        <f t="array" ref="I45">IFERROR(VLOOKUP(D1_MAYO_202681[[#This Row],[ASESOR_CRR]],_xlfn._xlws.FILTER(PLANTILLA[[ASESOR]:[FECHA DE CESE]],PLANTILLA[FECHA]=_xlfn.CONCAT($M$3,"_",_xlfn.IFS($N$3="ENERO","1",$N$3="FEBRERO","2",$N$3="MARZO","3",$N$3="ABRIL","4",$N$3="MAYO","5",$N$3="JUNIO","6",$N$3="JULIO","7",$N$3="AGOSTO","8",$N$3="SETIEMBRE","9",$N$3="OCTUBRE","10",$N$3="NOVIEMBRE","11",$N$3="DICIEMBRE","12"))),6,0),"")</f>
        <v>44943</v>
      </c>
      <c r="J45" s="60" t="str" cm="1">
        <f t="array" ref="J45">IFERROR(VLOOKUP(D1_MAYO_202681[[#This Row],[ASESOR_CRR]],_xlfn._xlws.FILTER(PLANTILLA[[ASESOR]:[FECHA DE CESE]],PLANTILLA[FECHA]=_xlfn.CONCAT($M$3,"_",_xlfn.IFS($N$3="ENERO","1",$N$3="FEBRERO","2",$N$3="MARZO","3",$N$3="ABRIL","4",$N$3="MAYO","5",$N$3="JUNIO","6",$N$3="JULIO","7",$N$3="AGOSTO","8",$N$3="SETIEMBRE","9",$N$3="OCTUBRE","10",$N$3="NOVIEMBRE","11",$N$3="DICIEMBRE","12"))),4,0),"")</f>
        <v>CALL</v>
      </c>
      <c r="K45" s="60" t="str" cm="1">
        <f t="array" ref="K45">IFERROR(VLOOKUP(D1_MAYO_202681[[#This Row],[ASESOR_CRR]],_xlfn._xlws.FILTER(PLANTILLA[[ASESOR]:[FECHA DE CESE]],PLANTILLA[FECHA]=_xlfn.CONCAT($M$3,"_",_xlfn.IFS($N$3="ENERO","1",$N$3="FEBRERO","2",$N$3="MARZO","3",$N$3="ABRIL","4",$N$3="MAYO","5",$N$3="JUNIO","6",$N$3="JULIO","7",$N$3="AGOSTO","8",$N$3="SETIEMBRE","9",$N$3="OCTUBRE","10",$N$3="NOVIEMBRE","11",$N$3="DICIEMBRE","12"))),8,0),"")</f>
        <v>S2-3-4 BANCO</v>
      </c>
      <c r="L45" s="55"/>
      <c r="M45" s="5">
        <f>DATA_MAYO_202684[[#This Row],[RECUPERO]]/DATA_MAYO_202684[[#This Row],[META]]</f>
        <v>0.36261744966442955</v>
      </c>
      <c r="N45" s="5">
        <f>6-ROUNDUP(_xlfn.RANK.EQ(DATA_MAYO_202684[[#This Row],[AL_AC]],DATA_MAYO_202684[AL_AC],0)/(COUNTA(DATA_MAYO_202684[AL_AC])/5),0)</f>
        <v>1</v>
      </c>
      <c r="O45" s="54" t="str">
        <f>IFERROR(VLOOKUP(DATA_MAYO_202684[[#This Row],[ASER_]],$B:$G,4,0),"")</f>
        <v>LEONOR</v>
      </c>
      <c r="P45" s="6">
        <f>SUM(DATA_MAYO_202684[[#This Row],[2]:[31]])</f>
        <v>16209</v>
      </c>
      <c r="Q45" s="6">
        <f>VLOOKUP(DATA_MAYO_202684[[#This Row],[ASER_]],D1_MAYO_202681[[ASESOR_CRR]:[META]],2,0)</f>
        <v>44700</v>
      </c>
      <c r="R45" t="s">
        <v>75</v>
      </c>
      <c r="U45">
        <v>2000</v>
      </c>
      <c r="V45">
        <v>2000</v>
      </c>
      <c r="AG45" s="5"/>
      <c r="AH45" s="6"/>
      <c r="AI45" s="6">
        <v>700</v>
      </c>
      <c r="AJ45" s="6"/>
      <c r="AK45" s="6">
        <v>1500</v>
      </c>
      <c r="AL45" s="6"/>
      <c r="AM45" s="6"/>
      <c r="AN45" s="6"/>
      <c r="AO45" s="6"/>
      <c r="AP45" s="6"/>
      <c r="AQ45" s="6">
        <v>7732</v>
      </c>
      <c r="AR45" s="6"/>
      <c r="AS45" s="6">
        <v>430</v>
      </c>
      <c r="AT45" s="6">
        <v>1397</v>
      </c>
      <c r="AU45" s="6">
        <v>450</v>
      </c>
      <c r="AV45" s="6"/>
      <c r="AW45" s="54" t="str" cm="1">
        <f t="array" ref="AW45">IFERROR(VLOOKUP(DATA_MAYO_202684[[#This Row],[ASER_]],_xlfn._xlws.FILTER(PLANTILLA[[ASESOR]:[FECHA DE CESE]],PLANTILLA[FECHA]=_xlfn.CONCAT($M$3,"_",_xlfn.IFS($N$3="ENERO","1",$N$3="FEBRERO","2",$N$3="MARZO","3",$N$3="ABRIL","4",$N$3="MAYO","5",$N$3="JUNIO","6",$N$3="JULIO","7",$N$3="AGOSTO","8",$N$3="SETIEMBRE","9",$N$3="OCTUBRE","10",$N$3="NOVIEMBRE","11",$N$3="DICIEMBRE","12"))),8,0),"")</f>
        <v>S1</v>
      </c>
      <c r="CO45" t="s">
        <v>636</v>
      </c>
      <c r="CP45" t="s">
        <v>3</v>
      </c>
      <c r="CQ45" t="s">
        <v>68</v>
      </c>
      <c r="CR45">
        <v>46149</v>
      </c>
      <c r="CS45">
        <v>1</v>
      </c>
      <c r="CT45">
        <v>1</v>
      </c>
      <c r="CV45">
        <v>1</v>
      </c>
      <c r="CX45">
        <v>1.8518518518518518E-4</v>
      </c>
      <c r="CY45">
        <v>1.8518518518518518E-4</v>
      </c>
      <c r="CZ45">
        <v>0.22195601851851851</v>
      </c>
      <c r="DA45">
        <v>6.9687499999999999E-2</v>
      </c>
      <c r="DB45">
        <v>54</v>
      </c>
      <c r="DC45">
        <v>107</v>
      </c>
      <c r="DD45">
        <v>12</v>
      </c>
      <c r="DE45">
        <v>2.25</v>
      </c>
      <c r="DF45">
        <v>7581</v>
      </c>
      <c r="DG45">
        <v>0.22220000000000001</v>
      </c>
      <c r="DH45">
        <v>3</v>
      </c>
      <c r="DI45">
        <v>0.25</v>
      </c>
      <c r="DJ45">
        <v>4973</v>
      </c>
      <c r="DK45">
        <v>1658</v>
      </c>
      <c r="DL45">
        <v>2973</v>
      </c>
      <c r="DM45">
        <v>0.5978</v>
      </c>
      <c r="DN45">
        <v>0.29149999999999998</v>
      </c>
      <c r="DO45">
        <v>100</v>
      </c>
      <c r="DP45">
        <v>991</v>
      </c>
    </row>
    <row r="46" spans="1:120" x14ac:dyDescent="0.25">
      <c r="A46" s="34" t="str" cm="1">
        <f t="array" ref="A46">IFERROR(VLOOKUP(D1_MAYO_202681[[#This Row],[ASESOR_CRR]],_xlfn._xlws.FILTER(PLANTILLA[[ASESOR]:[FECHA DE CESE]],PLANTILLA[FECHA]=_xlfn.CONCAT($M$3,"_",_xlfn.IFS($N$3="ENERO","1",$N$3="FEBRERO","2",$N$3="MARZO","3",$N$3="ABRIL","4",$N$3="MAYO","5",$N$3="JUNIO","6",$N$3="JULIO","7",$N$3="AGOSTO","8",$N$3="SETIEMBRE","9",$N$3="OCTUBRE","10",$N$3="NOVIEMBRE","11",$N$3="DICIEMBRE","12"))),3,0),"")</f>
        <v>LEONOR</v>
      </c>
      <c r="B46" s="34" t="str" cm="1">
        <f t="array" ref="B46">TRIM(IFERROR(_xlfn.IFS(D1_MAYO_202681[[#This Row],[ASESOR]]="ELVIS GUERRA","ELVIS GUERRERA",D1_MAYO_202681[[#This Row],[ASESOR]]="GENESIS VICUÑA","GENESIS VICUNA",D1_MAYO_202681[[#This Row],[ASESOR]]="JENY QUIÑONES","JENY QUINONES",D1_MAYO_202681[[#This Row],[ASESOR]]="NICOLE CAURURO","NICOLE CAURURO"),D1_MAYO_202681[[#This Row],[ASESOR]]))</f>
        <v>PIERINA TESEN</v>
      </c>
      <c r="C46" s="34" cm="1">
        <f t="array" ref="C46">_xlfn.XLOOKUP(1,(TablaMeta[CONCAT]=$M$3&amp;$N$3&amp;D1_MAYO_202681[[#This Row],[SUPER]])*(TablaMeta[SEGG]=D1_MAYO_202681[[#This Row],[SEGMENTO]]),TablaMeta[Meta_Asesor])</f>
        <v>44700</v>
      </c>
      <c r="D46" s="35">
        <f>IF(D1_MAYO_202681[[#This Row],[RECUPERO]]="VACACIONES","VACACIONES",IFERROR(D1_MAYO_202681[[#This Row],[RECUPERO]]/D1_MAYO_202681[[#This Row],[META]],""))</f>
        <v>1.5928299776286354</v>
      </c>
      <c r="E46" s="35" t="str">
        <f>D1_MAYO_202681[[#This Row],[SUPER]]</f>
        <v>LEONOR</v>
      </c>
      <c r="F46" t="s">
        <v>59</v>
      </c>
      <c r="G46" s="36">
        <v>71199.5</v>
      </c>
      <c r="H46" s="34" cm="1">
        <f t="array" ref="H46">IFERROR(VLOOKUP(D1_MAYO_202681[[#This Row],[ASESOR_CRR]],_xlfn._xlws.FILTER(PLANTILLA[[ASESOR]:[FECHA DE CESE]],PLANTILLA[FECHA]=_xlfn.CONCAT($M$3,"_",_xlfn.IFS($N$3="ENERO","1",$N$3="FEBRERO","2",$N$3="MARZO","3",$N$3="ABRIL","4",$N$3="MAYO","5",$N$3="JUNIO","6",$N$3="JULIO","7",$N$3="AGOSTO","8",$N$3="SETIEMBRE","9",$N$3="OCTUBRE","10",$N$3="NOVIEMBRE","11",$N$3="DICIEMBRE","12"))),2,0),"")</f>
        <v>60870839</v>
      </c>
      <c r="I46" s="60" cm="1">
        <f t="array" ref="I46">IFERROR(VLOOKUP(D1_MAYO_202681[[#This Row],[ASESOR_CRR]],_xlfn._xlws.FILTER(PLANTILLA[[ASESOR]:[FECHA DE CESE]],PLANTILLA[FECHA]=_xlfn.CONCAT($M$3,"_",_xlfn.IFS($N$3="ENERO","1",$N$3="FEBRERO","2",$N$3="MARZO","3",$N$3="ABRIL","4",$N$3="MAYO","5",$N$3="JUNIO","6",$N$3="JULIO","7",$N$3="AGOSTO","8",$N$3="SETIEMBRE","9",$N$3="OCTUBRE","10",$N$3="NOVIEMBRE","11",$N$3="DICIEMBRE","12"))),6,0),"")</f>
        <v>45344</v>
      </c>
      <c r="J46" s="60" t="str" cm="1">
        <f t="array" ref="J46">IFERROR(VLOOKUP(D1_MAYO_202681[[#This Row],[ASESOR_CRR]],_xlfn._xlws.FILTER(PLANTILLA[[ASESOR]:[FECHA DE CESE]],PLANTILLA[FECHA]=_xlfn.CONCAT($M$3,"_",_xlfn.IFS($N$3="ENERO","1",$N$3="FEBRERO","2",$N$3="MARZO","3",$N$3="ABRIL","4",$N$3="MAYO","5",$N$3="JUNIO","6",$N$3="JULIO","7",$N$3="AGOSTO","8",$N$3="SETIEMBRE","9",$N$3="OCTUBRE","10",$N$3="NOVIEMBRE","11",$N$3="DICIEMBRE","12"))),4,0),"")</f>
        <v>CALL</v>
      </c>
      <c r="K46" s="60" t="str" cm="1">
        <f t="array" ref="K46">IFERROR(VLOOKUP(D1_MAYO_202681[[#This Row],[ASESOR_CRR]],_xlfn._xlws.FILTER(PLANTILLA[[ASESOR]:[FECHA DE CESE]],PLANTILLA[FECHA]=_xlfn.CONCAT($M$3,"_",_xlfn.IFS($N$3="ENERO","1",$N$3="FEBRERO","2",$N$3="MARZO","3",$N$3="ABRIL","4",$N$3="MAYO","5",$N$3="JUNIO","6",$N$3="JULIO","7",$N$3="AGOSTO","8",$N$3="SETIEMBRE","9",$N$3="OCTUBRE","10",$N$3="NOVIEMBRE","11",$N$3="DICIEMBRE","12"))),8,0),"")</f>
        <v>S1</v>
      </c>
      <c r="L46" s="55"/>
      <c r="M46" s="5">
        <f>DATA_MAYO_202684[[#This Row],[RECUPERO]]/DATA_MAYO_202684[[#This Row],[META]]</f>
        <v>1.1293922651933701</v>
      </c>
      <c r="N46" s="5">
        <f>6-ROUNDUP(_xlfn.RANK.EQ(DATA_MAYO_202684[[#This Row],[AL_AC]],DATA_MAYO_202684[AL_AC],0)/(COUNTA(DATA_MAYO_202684[AL_AC])/5),0)</f>
        <v>5</v>
      </c>
      <c r="O46" s="54" t="str">
        <f>IFERROR(VLOOKUP(DATA_MAYO_202684[[#This Row],[ASER_]],$B:$G,4,0),"")</f>
        <v>LISELY</v>
      </c>
      <c r="P46" s="6">
        <f>SUM(DATA_MAYO_202684[[#This Row],[2]:[31]])</f>
        <v>20442</v>
      </c>
      <c r="Q46" s="6">
        <f>VLOOKUP(DATA_MAYO_202684[[#This Row],[ASER_]],D1_MAYO_202681[[ASESOR_CRR]:[META]],2,0)</f>
        <v>18100</v>
      </c>
      <c r="R46" t="s">
        <v>55</v>
      </c>
      <c r="W46">
        <v>8500</v>
      </c>
      <c r="Y46">
        <v>305</v>
      </c>
      <c r="AB46">
        <v>1035</v>
      </c>
      <c r="AC46">
        <v>200</v>
      </c>
      <c r="AD46">
        <v>600</v>
      </c>
      <c r="AF46">
        <v>280</v>
      </c>
      <c r="AG46" s="5"/>
      <c r="AH46" s="6"/>
      <c r="AI46" s="6">
        <v>350</v>
      </c>
      <c r="AJ46" s="6"/>
      <c r="AK46" s="6">
        <v>160</v>
      </c>
      <c r="AL46" s="6"/>
      <c r="AM46" s="6"/>
      <c r="AN46" s="6"/>
      <c r="AO46" s="6">
        <v>540</v>
      </c>
      <c r="AP46" s="6">
        <v>580</v>
      </c>
      <c r="AQ46" s="6">
        <v>2440</v>
      </c>
      <c r="AR46" s="6">
        <v>127</v>
      </c>
      <c r="AS46" s="6">
        <v>1450</v>
      </c>
      <c r="AT46" s="6">
        <v>2220</v>
      </c>
      <c r="AU46" s="6">
        <v>1655</v>
      </c>
      <c r="AV46" s="6"/>
      <c r="AW46" s="54" t="str" cm="1">
        <f t="array" ref="AW46">IFERROR(VLOOKUP(DATA_MAYO_202684[[#This Row],[ASER_]],_xlfn._xlws.FILTER(PLANTILLA[[ASESOR]:[FECHA DE CESE]],PLANTILLA[FECHA]=_xlfn.CONCAT($M$3,"_",_xlfn.IFS($N$3="ENERO","1",$N$3="FEBRERO","2",$N$3="MARZO","3",$N$3="ABRIL","4",$N$3="MAYO","5",$N$3="JUNIO","6",$N$3="JULIO","7",$N$3="AGOSTO","8",$N$3="SETIEMBRE","9",$N$3="OCTUBRE","10",$N$3="NOVIEMBRE","11",$N$3="DICIEMBRE","12"))),8,0),"")</f>
        <v>S2-3-4 MIX</v>
      </c>
      <c r="CO46" t="s">
        <v>636</v>
      </c>
      <c r="CP46" t="s">
        <v>3</v>
      </c>
      <c r="CQ46" t="s">
        <v>79</v>
      </c>
      <c r="CR46">
        <v>46172</v>
      </c>
      <c r="CS46">
        <v>1</v>
      </c>
      <c r="CT46">
        <v>1</v>
      </c>
      <c r="CV46">
        <v>1</v>
      </c>
      <c r="CX46">
        <v>5.2083333333333333E-4</v>
      </c>
      <c r="CY46">
        <v>5.2083333333333333E-4</v>
      </c>
      <c r="CZ46">
        <v>0.12523148148148147</v>
      </c>
      <c r="DA46">
        <v>7.2060185185185185E-2</v>
      </c>
      <c r="DB46">
        <v>26</v>
      </c>
      <c r="DC46">
        <v>52</v>
      </c>
      <c r="DD46">
        <v>14</v>
      </c>
      <c r="DE46" t="s">
        <v>694</v>
      </c>
      <c r="DF46">
        <v>29869</v>
      </c>
      <c r="DG46">
        <v>0.53849999999999998</v>
      </c>
      <c r="DO46">
        <v>100</v>
      </c>
    </row>
    <row r="47" spans="1:120" x14ac:dyDescent="0.25">
      <c r="A47" s="34" t="str" cm="1">
        <f t="array" ref="A47">IFERROR(VLOOKUP(D1_MAYO_202681[[#This Row],[ASESOR_CRR]],_xlfn._xlws.FILTER(PLANTILLA[[ASESOR]:[FECHA DE CESE]],PLANTILLA[FECHA]=_xlfn.CONCAT($M$3,"_",_xlfn.IFS($N$3="ENERO","1",$N$3="FEBRERO","2",$N$3="MARZO","3",$N$3="ABRIL","4",$N$3="MAYO","5",$N$3="JUNIO","6",$N$3="JULIO","7",$N$3="AGOSTO","8",$N$3="SETIEMBRE","9",$N$3="OCTUBRE","10",$N$3="NOVIEMBRE","11",$N$3="DICIEMBRE","12"))),3,0),"")</f>
        <v>LEONOR</v>
      </c>
      <c r="B47" s="34" t="str" cm="1">
        <f t="array" ref="B47">TRIM(IFERROR(_xlfn.IFS(D1_MAYO_202681[[#This Row],[ASESOR]]="ELVIS GUERRA","ELVIS GUERRERA",D1_MAYO_202681[[#This Row],[ASESOR]]="GENESIS VICUÑA","GENESIS VICUNA",D1_MAYO_202681[[#This Row],[ASESOR]]="JENY QUIÑONES","JENY QUINONES",D1_MAYO_202681[[#This Row],[ASESOR]]="NICOLE CAURURO","NICOLE CAURURO"),D1_MAYO_202681[[#This Row],[ASESOR]]))</f>
        <v>CRISTINA TICONA</v>
      </c>
      <c r="C47" s="34" cm="1">
        <f t="array" ref="C47">_xlfn.XLOOKUP(1,(TablaMeta[CONCAT]=$M$3&amp;$N$3&amp;D1_MAYO_202681[[#This Row],[SUPER]])*(TablaMeta[SEGG]=D1_MAYO_202681[[#This Row],[SEGMENTO]]),TablaMeta[Meta_Asesor])</f>
        <v>44700</v>
      </c>
      <c r="D47" s="35">
        <f>IF(D1_MAYO_202681[[#This Row],[RECUPERO]]="VACACIONES","VACACIONES",IFERROR(D1_MAYO_202681[[#This Row],[RECUPERO]]/D1_MAYO_202681[[#This Row],[META]],""))</f>
        <v>1.0455480984340044</v>
      </c>
      <c r="E47" s="35" t="str">
        <f>D1_MAYO_202681[[#This Row],[SUPER]]</f>
        <v>LEONOR</v>
      </c>
      <c r="F47" t="s">
        <v>61</v>
      </c>
      <c r="G47" s="36">
        <v>46736</v>
      </c>
      <c r="H47" s="34" cm="1">
        <f t="array" ref="H47">IFERROR(VLOOKUP(D1_MAYO_202681[[#This Row],[ASESOR_CRR]],_xlfn._xlws.FILTER(PLANTILLA[[ASESOR]:[FECHA DE CESE]],PLANTILLA[FECHA]=_xlfn.CONCAT($M$3,"_",_xlfn.IFS($N$3="ENERO","1",$N$3="FEBRERO","2",$N$3="MARZO","3",$N$3="ABRIL","4",$N$3="MAYO","5",$N$3="JUNIO","6",$N$3="JULIO","7",$N$3="AGOSTO","8",$N$3="SETIEMBRE","9",$N$3="OCTUBRE","10",$N$3="NOVIEMBRE","11",$N$3="DICIEMBRE","12"))),2,0),"")</f>
        <v>44001162</v>
      </c>
      <c r="I47" s="60" cm="1">
        <f t="array" ref="I47">IFERROR(VLOOKUP(D1_MAYO_202681[[#This Row],[ASESOR_CRR]],_xlfn._xlws.FILTER(PLANTILLA[[ASESOR]:[FECHA DE CESE]],PLANTILLA[FECHA]=_xlfn.CONCAT($M$3,"_",_xlfn.IFS($N$3="ENERO","1",$N$3="FEBRERO","2",$N$3="MARZO","3",$N$3="ABRIL","4",$N$3="MAYO","5",$N$3="JUNIO","6",$N$3="JULIO","7",$N$3="AGOSTO","8",$N$3="SETIEMBRE","9",$N$3="OCTUBRE","10",$N$3="NOVIEMBRE","11",$N$3="DICIEMBRE","12"))),6,0),"")</f>
        <v>44907</v>
      </c>
      <c r="J47" s="60" t="str" cm="1">
        <f t="array" ref="J47">IFERROR(VLOOKUP(D1_MAYO_202681[[#This Row],[ASESOR_CRR]],_xlfn._xlws.FILTER(PLANTILLA[[ASESOR]:[FECHA DE CESE]],PLANTILLA[FECHA]=_xlfn.CONCAT($M$3,"_",_xlfn.IFS($N$3="ENERO","1",$N$3="FEBRERO","2",$N$3="MARZO","3",$N$3="ABRIL","4",$N$3="MAYO","5",$N$3="JUNIO","6",$N$3="JULIO","7",$N$3="AGOSTO","8",$N$3="SETIEMBRE","9",$N$3="OCTUBRE","10",$N$3="NOVIEMBRE","11",$N$3="DICIEMBRE","12"))),4,0),"")</f>
        <v>CALL</v>
      </c>
      <c r="K47" s="60" t="str" cm="1">
        <f t="array" ref="K47">IFERROR(VLOOKUP(D1_MAYO_202681[[#This Row],[ASESOR_CRR]],_xlfn._xlws.FILTER(PLANTILLA[[ASESOR]:[FECHA DE CESE]],PLANTILLA[FECHA]=_xlfn.CONCAT($M$3,"_",_xlfn.IFS($N$3="ENERO","1",$N$3="FEBRERO","2",$N$3="MARZO","3",$N$3="ABRIL","4",$N$3="MAYO","5",$N$3="JUNIO","6",$N$3="JULIO","7",$N$3="AGOSTO","8",$N$3="SETIEMBRE","9",$N$3="OCTUBRE","10",$N$3="NOVIEMBRE","11",$N$3="DICIEMBRE","12"))),8,0),"")</f>
        <v>S1</v>
      </c>
      <c r="L47" s="55"/>
      <c r="M47" s="5">
        <f>DATA_MAYO_202684[[#This Row],[RECUPERO]]/DATA_MAYO_202684[[#This Row],[META]]</f>
        <v>1.1106362153344209</v>
      </c>
      <c r="N47" s="5">
        <f>6-ROUNDUP(_xlfn.RANK.EQ(DATA_MAYO_202684[[#This Row],[AL_AC]],DATA_MAYO_202684[AL_AC],0)/(COUNTA(DATA_MAYO_202684[AL_AC])/5),0)</f>
        <v>4</v>
      </c>
      <c r="O47" s="54" t="str">
        <f>IFERROR(VLOOKUP(DATA_MAYO_202684[[#This Row],[ASER_]],$B:$G,4,0),"")</f>
        <v>KENNETH</v>
      </c>
      <c r="P47" s="6">
        <f>SUM(DATA_MAYO_202684[[#This Row],[2]:[31]])</f>
        <v>68082</v>
      </c>
      <c r="Q47" s="6">
        <f>VLOOKUP(DATA_MAYO_202684[[#This Row],[ASER_]],D1_MAYO_202681[[ASESOR_CRR]:[META]],2,0)</f>
        <v>61300</v>
      </c>
      <c r="R47" t="s">
        <v>11</v>
      </c>
      <c r="W47">
        <v>150</v>
      </c>
      <c r="X47">
        <v>300</v>
      </c>
      <c r="Y47">
        <v>5500</v>
      </c>
      <c r="AB47">
        <v>1000</v>
      </c>
      <c r="AC47">
        <v>17100</v>
      </c>
      <c r="AE47">
        <v>3000</v>
      </c>
      <c r="AG47" s="5"/>
      <c r="AH47" s="6"/>
      <c r="AI47" s="6"/>
      <c r="AJ47" s="6">
        <v>750</v>
      </c>
      <c r="AK47" s="6">
        <v>500</v>
      </c>
      <c r="AL47" s="6">
        <v>1000</v>
      </c>
      <c r="AM47" s="6">
        <v>7500</v>
      </c>
      <c r="AN47" s="6"/>
      <c r="AO47" s="6"/>
      <c r="AP47" s="6">
        <v>840</v>
      </c>
      <c r="AQ47" s="6">
        <v>9000</v>
      </c>
      <c r="AR47" s="6">
        <v>4111</v>
      </c>
      <c r="AS47" s="6">
        <v>1200</v>
      </c>
      <c r="AT47" s="6">
        <v>12700</v>
      </c>
      <c r="AU47" s="6">
        <v>2764</v>
      </c>
      <c r="AV47" s="6">
        <v>667</v>
      </c>
      <c r="AW47" s="54" t="str" cm="1">
        <f t="array" ref="AW47">IFERROR(VLOOKUP(DATA_MAYO_202684[[#This Row],[ASER_]],_xlfn._xlws.FILTER(PLANTILLA[[ASESOR]:[FECHA DE CESE]],PLANTILLA[FECHA]=_xlfn.CONCAT($M$3,"_",_xlfn.IFS($N$3="ENERO","1",$N$3="FEBRERO","2",$N$3="MARZO","3",$N$3="ABRIL","4",$N$3="MAYO","5",$N$3="JUNIO","6",$N$3="JULIO","7",$N$3="AGOSTO","8",$N$3="SETIEMBRE","9",$N$3="OCTUBRE","10",$N$3="NOVIEMBRE","11",$N$3="DICIEMBRE","12"))),8,0),"")</f>
        <v>S0</v>
      </c>
      <c r="CO47" t="s">
        <v>636</v>
      </c>
      <c r="CP47" t="s">
        <v>2</v>
      </c>
      <c r="CQ47" t="s">
        <v>65</v>
      </c>
      <c r="CR47">
        <v>46157</v>
      </c>
      <c r="CS47">
        <v>1</v>
      </c>
      <c r="CT47">
        <v>1</v>
      </c>
      <c r="CV47">
        <v>1</v>
      </c>
      <c r="CX47">
        <v>1.6203703703703703E-4</v>
      </c>
      <c r="CY47">
        <v>1.6203703703703703E-4</v>
      </c>
      <c r="CZ47">
        <v>0.31050925925925926</v>
      </c>
      <c r="DA47">
        <v>3.3171296296296296E-2</v>
      </c>
      <c r="DB47">
        <v>11</v>
      </c>
      <c r="DC47">
        <v>22</v>
      </c>
      <c r="DD47">
        <v>11</v>
      </c>
      <c r="DE47">
        <v>2</v>
      </c>
      <c r="DF47">
        <v>17250</v>
      </c>
      <c r="DG47">
        <v>1</v>
      </c>
      <c r="DH47">
        <v>3</v>
      </c>
      <c r="DI47">
        <v>0.2727</v>
      </c>
      <c r="DJ47">
        <v>6135</v>
      </c>
      <c r="DK47">
        <v>2045</v>
      </c>
      <c r="DL47">
        <v>6135</v>
      </c>
      <c r="DM47">
        <v>1</v>
      </c>
      <c r="DN47">
        <v>0.1744</v>
      </c>
      <c r="DO47">
        <v>98</v>
      </c>
      <c r="DP47">
        <v>2045</v>
      </c>
    </row>
    <row r="48" spans="1:120" x14ac:dyDescent="0.25">
      <c r="A48" s="34" t="str" cm="1">
        <f t="array" ref="A48">IFERROR(VLOOKUP(D1_MAYO_202681[[#This Row],[ASESOR_CRR]],_xlfn._xlws.FILTER(PLANTILLA[[ASESOR]:[FECHA DE CESE]],PLANTILLA[FECHA]=_xlfn.CONCAT($M$3,"_",_xlfn.IFS($N$3="ENERO","1",$N$3="FEBRERO","2",$N$3="MARZO","3",$N$3="ABRIL","4",$N$3="MAYO","5",$N$3="JUNIO","6",$N$3="JULIO","7",$N$3="AGOSTO","8",$N$3="SETIEMBRE","9",$N$3="OCTUBRE","10",$N$3="NOVIEMBRE","11",$N$3="DICIEMBRE","12"))),3,0),"")</f>
        <v>LEONOR</v>
      </c>
      <c r="B48" s="34" t="str" cm="1">
        <f t="array" ref="B48">TRIM(IFERROR(_xlfn.IFS(D1_MAYO_202681[[#This Row],[ASESOR]]="ELVIS GUERRA","ELVIS GUERRERA",D1_MAYO_202681[[#This Row],[ASESOR]]="GENESIS VICUÑA","GENESIS VICUNA",D1_MAYO_202681[[#This Row],[ASESOR]]="JENY QUIÑONES","JENY QUINONES",D1_MAYO_202681[[#This Row],[ASESOR]]="NICOLE CAURURO","NICOLE CAURURO"),D1_MAYO_202681[[#This Row],[ASESOR]]))</f>
        <v>ALEIDITH GUEVARA</v>
      </c>
      <c r="C48" s="34" cm="1">
        <f t="array" ref="C48">_xlfn.XLOOKUP(1,(TablaMeta[CONCAT]=$M$3&amp;$N$3&amp;D1_MAYO_202681[[#This Row],[SUPER]])*(TablaMeta[SEGG]=D1_MAYO_202681[[#This Row],[SEGMENTO]]),TablaMeta[Meta_Asesor])</f>
        <v>44700</v>
      </c>
      <c r="D48" s="35">
        <f>IF(D1_MAYO_202681[[#This Row],[RECUPERO]]="VACACIONES","VACACIONES",IFERROR(D1_MAYO_202681[[#This Row],[RECUPERO]]/D1_MAYO_202681[[#This Row],[META]],""))</f>
        <v>0.8530201342281879</v>
      </c>
      <c r="E48" s="35" t="str">
        <f>D1_MAYO_202681[[#This Row],[SUPER]]</f>
        <v>LEONOR</v>
      </c>
      <c r="F48" t="s">
        <v>18</v>
      </c>
      <c r="G48" s="36">
        <v>38130</v>
      </c>
      <c r="H48" s="34" cm="1">
        <f t="array" ref="H48">IFERROR(VLOOKUP(D1_MAYO_202681[[#This Row],[ASESOR_CRR]],_xlfn._xlws.FILTER(PLANTILLA[[ASESOR]:[FECHA DE CESE]],PLANTILLA[FECHA]=_xlfn.CONCAT($M$3,"_",_xlfn.IFS($N$3="ENERO","1",$N$3="FEBRERO","2",$N$3="MARZO","3",$N$3="ABRIL","4",$N$3="MAYO","5",$N$3="JUNIO","6",$N$3="JULIO","7",$N$3="AGOSTO","8",$N$3="SETIEMBRE","9",$N$3="OCTUBRE","10",$N$3="NOVIEMBRE","11",$N$3="DICIEMBRE","12"))),2,0),"")</f>
        <v>76214436</v>
      </c>
      <c r="I48" s="60" cm="1">
        <f t="array" ref="I48">IFERROR(VLOOKUP(D1_MAYO_202681[[#This Row],[ASESOR_CRR]],_xlfn._xlws.FILTER(PLANTILLA[[ASESOR]:[FECHA DE CESE]],PLANTILLA[FECHA]=_xlfn.CONCAT($M$3,"_",_xlfn.IFS($N$3="ENERO","1",$N$3="FEBRERO","2",$N$3="MARZO","3",$N$3="ABRIL","4",$N$3="MAYO","5",$N$3="JUNIO","6",$N$3="JULIO","7",$N$3="AGOSTO","8",$N$3="SETIEMBRE","9",$N$3="OCTUBRE","10",$N$3="NOVIEMBRE","11",$N$3="DICIEMBRE","12"))),6,0),"")</f>
        <v>45132</v>
      </c>
      <c r="J48" s="60" t="str" cm="1">
        <f t="array" ref="J48">IFERROR(VLOOKUP(D1_MAYO_202681[[#This Row],[ASESOR_CRR]],_xlfn._xlws.FILTER(PLANTILLA[[ASESOR]:[FECHA DE CESE]],PLANTILLA[FECHA]=_xlfn.CONCAT($M$3,"_",_xlfn.IFS($N$3="ENERO","1",$N$3="FEBRERO","2",$N$3="MARZO","3",$N$3="ABRIL","4",$N$3="MAYO","5",$N$3="JUNIO","6",$N$3="JULIO","7",$N$3="AGOSTO","8",$N$3="SETIEMBRE","9",$N$3="OCTUBRE","10",$N$3="NOVIEMBRE","11",$N$3="DICIEMBRE","12"))),4,0),"")</f>
        <v>CALL</v>
      </c>
      <c r="K48" s="60" t="str" cm="1">
        <f t="array" ref="K48">IFERROR(VLOOKUP(D1_MAYO_202681[[#This Row],[ASESOR_CRR]],_xlfn._xlws.FILTER(PLANTILLA[[ASESOR]:[FECHA DE CESE]],PLANTILLA[FECHA]=_xlfn.CONCAT($M$3,"_",_xlfn.IFS($N$3="ENERO","1",$N$3="FEBRERO","2",$N$3="MARZO","3",$N$3="ABRIL","4",$N$3="MAYO","5",$N$3="JUNIO","6",$N$3="JULIO","7",$N$3="AGOSTO","8",$N$3="SETIEMBRE","9",$N$3="OCTUBRE","10",$N$3="NOVIEMBRE","11",$N$3="DICIEMBRE","12"))),8,0),"")</f>
        <v>S1</v>
      </c>
      <c r="L48" s="55"/>
      <c r="M48" s="5">
        <f>DATA_MAYO_202684[[#This Row],[RECUPERO]]/DATA_MAYO_202684[[#This Row],[META]]</f>
        <v>1.484935064935065</v>
      </c>
      <c r="N48" s="5">
        <f>6-ROUNDUP(_xlfn.RANK.EQ(DATA_MAYO_202684[[#This Row],[AL_AC]],DATA_MAYO_202684[AL_AC],0)/(COUNTA(DATA_MAYO_202684[AL_AC])/5),0)</f>
        <v>5</v>
      </c>
      <c r="O48" s="54" t="str">
        <f>IFERROR(VLOOKUP(DATA_MAYO_202684[[#This Row],[ASER_]],$B:$G,4,0),"")</f>
        <v>SANDY</v>
      </c>
      <c r="P48" s="6">
        <f>SUM(DATA_MAYO_202684[[#This Row],[2]:[31]])</f>
        <v>57170</v>
      </c>
      <c r="Q48" s="6">
        <f>VLOOKUP(DATA_MAYO_202684[[#This Row],[ASER_]],D1_MAYO_202681[[ASESOR_CRR]:[META]],2,0)</f>
        <v>38500</v>
      </c>
      <c r="R48" t="s">
        <v>79</v>
      </c>
      <c r="V48">
        <v>15500</v>
      </c>
      <c r="W48">
        <v>1150</v>
      </c>
      <c r="AC48">
        <v>1000</v>
      </c>
      <c r="AD48">
        <v>550</v>
      </c>
      <c r="AG48" s="5"/>
      <c r="AH48" s="6"/>
      <c r="AI48" s="6">
        <v>2600</v>
      </c>
      <c r="AJ48" s="6">
        <v>2520</v>
      </c>
      <c r="AK48" s="6">
        <v>15000</v>
      </c>
      <c r="AL48" s="6"/>
      <c r="AM48" s="6">
        <v>7000</v>
      </c>
      <c r="AN48" s="6"/>
      <c r="AO48" s="6"/>
      <c r="AP48" s="6"/>
      <c r="AQ48" s="6"/>
      <c r="AR48" s="6">
        <v>520</v>
      </c>
      <c r="AS48" s="6">
        <v>2080</v>
      </c>
      <c r="AT48" s="6">
        <v>8950</v>
      </c>
      <c r="AU48" s="6">
        <v>300</v>
      </c>
      <c r="AV48" s="6"/>
      <c r="AW48" s="54" t="str" cm="1">
        <f t="array" ref="AW48">IFERROR(VLOOKUP(DATA_MAYO_202684[[#This Row],[ASER_]],_xlfn._xlws.FILTER(PLANTILLA[[ASESOR]:[FECHA DE CESE]],PLANTILLA[FECHA]=_xlfn.CONCAT($M$3,"_",_xlfn.IFS($N$3="ENERO","1",$N$3="FEBRERO","2",$N$3="MARZO","3",$N$3="ABRIL","4",$N$3="MAYO","5",$N$3="JUNIO","6",$N$3="JULIO","7",$N$3="AGOSTO","8",$N$3="SETIEMBRE","9",$N$3="OCTUBRE","10",$N$3="NOVIEMBRE","11",$N$3="DICIEMBRE","12"))),8,0),"")</f>
        <v>S0</v>
      </c>
      <c r="CO48" t="s">
        <v>636</v>
      </c>
      <c r="CP48" t="s">
        <v>7</v>
      </c>
      <c r="CQ48" t="s">
        <v>51</v>
      </c>
      <c r="CR48">
        <v>46153</v>
      </c>
      <c r="CS48">
        <v>1</v>
      </c>
      <c r="CT48">
        <v>1</v>
      </c>
      <c r="CV48">
        <v>1</v>
      </c>
      <c r="CX48">
        <v>2.9282407407407408E-3</v>
      </c>
      <c r="CY48">
        <v>2.9282407407407408E-3</v>
      </c>
      <c r="CZ48">
        <v>0.23694444444444446</v>
      </c>
      <c r="DA48">
        <v>9.0821759259259255E-2</v>
      </c>
      <c r="DB48">
        <v>58</v>
      </c>
      <c r="DC48">
        <v>219</v>
      </c>
      <c r="DD48">
        <v>11</v>
      </c>
      <c r="DE48" t="s">
        <v>695</v>
      </c>
      <c r="DF48">
        <v>24642</v>
      </c>
      <c r="DG48">
        <v>0.18970000000000001</v>
      </c>
      <c r="DH48">
        <v>2</v>
      </c>
      <c r="DI48">
        <v>0.18179999999999999</v>
      </c>
      <c r="DJ48">
        <v>1400</v>
      </c>
      <c r="DK48">
        <v>700</v>
      </c>
      <c r="DL48">
        <v>1400</v>
      </c>
      <c r="DM48">
        <v>1</v>
      </c>
      <c r="DN48">
        <v>0.22559999999999999</v>
      </c>
      <c r="DO48">
        <v>98</v>
      </c>
      <c r="DP48">
        <v>700</v>
      </c>
    </row>
    <row r="49" spans="1:120" x14ac:dyDescent="0.25">
      <c r="A49" s="34" t="str" cm="1">
        <f t="array" ref="A49">IFERROR(VLOOKUP(D1_MAYO_202681[[#This Row],[ASESOR_CRR]],_xlfn._xlws.FILTER(PLANTILLA[[ASESOR]:[FECHA DE CESE]],PLANTILLA[FECHA]=_xlfn.CONCAT($M$3,"_",_xlfn.IFS($N$3="ENERO","1",$N$3="FEBRERO","2",$N$3="MARZO","3",$N$3="ABRIL","4",$N$3="MAYO","5",$N$3="JUNIO","6",$N$3="JULIO","7",$N$3="AGOSTO","8",$N$3="SETIEMBRE","9",$N$3="OCTUBRE","10",$N$3="NOVIEMBRE","11",$N$3="DICIEMBRE","12"))),3,0),"")</f>
        <v>LEONOR</v>
      </c>
      <c r="B49" s="34" t="str" cm="1">
        <f t="array" ref="B49">TRIM(IFERROR(_xlfn.IFS(D1_MAYO_202681[[#This Row],[ASESOR]]="ELVIS GUERRA","ELVIS GUERRERA",D1_MAYO_202681[[#This Row],[ASESOR]]="GENESIS VICUÑA","GENESIS VICUNA",D1_MAYO_202681[[#This Row],[ASESOR]]="JENY QUIÑONES","JENY QUINONES",D1_MAYO_202681[[#This Row],[ASESOR]]="NICOLE CAURURO","NICOLE CAURURO"),D1_MAYO_202681[[#This Row],[ASESOR]]))</f>
        <v>DANIEL ZAPATA</v>
      </c>
      <c r="C49" s="34" cm="1">
        <f t="array" ref="C49">_xlfn.XLOOKUP(1,(TablaMeta[CONCAT]=$M$3&amp;$N$3&amp;D1_MAYO_202681[[#This Row],[SUPER]])*(TablaMeta[SEGG]=D1_MAYO_202681[[#This Row],[SEGMENTO]]),TablaMeta[Meta_Asesor])</f>
        <v>44700</v>
      </c>
      <c r="D49" s="35">
        <f>IF(D1_MAYO_202681[[#This Row],[RECUPERO]]="VACACIONES","VACACIONES",IFERROR(D1_MAYO_202681[[#This Row],[RECUPERO]]/D1_MAYO_202681[[#This Row],[META]],""))</f>
        <v>0.85134228187919458</v>
      </c>
      <c r="E49" s="35" t="str">
        <f>D1_MAYO_202681[[#This Row],[SUPER]]</f>
        <v>LEONOR</v>
      </c>
      <c r="F49" t="s">
        <v>80</v>
      </c>
      <c r="G49" s="36">
        <v>38055</v>
      </c>
      <c r="H49" s="34" cm="1">
        <f t="array" ref="H49">IFERROR(VLOOKUP(D1_MAYO_202681[[#This Row],[ASESOR_CRR]],_xlfn._xlws.FILTER(PLANTILLA[[ASESOR]:[FECHA DE CESE]],PLANTILLA[FECHA]=_xlfn.CONCAT($M$3,"_",_xlfn.IFS($N$3="ENERO","1",$N$3="FEBRERO","2",$N$3="MARZO","3",$N$3="ABRIL","4",$N$3="MAYO","5",$N$3="JUNIO","6",$N$3="JULIO","7",$N$3="AGOSTO","8",$N$3="SETIEMBRE","9",$N$3="OCTUBRE","10",$N$3="NOVIEMBRE","11",$N$3="DICIEMBRE","12"))),2,0),"")</f>
        <v>45084594</v>
      </c>
      <c r="I49" s="60" cm="1">
        <f t="array" ref="I49">IFERROR(VLOOKUP(D1_MAYO_202681[[#This Row],[ASESOR_CRR]],_xlfn._xlws.FILTER(PLANTILLA[[ASESOR]:[FECHA DE CESE]],PLANTILLA[FECHA]=_xlfn.CONCAT($M$3,"_",_xlfn.IFS($N$3="ENERO","1",$N$3="FEBRERO","2",$N$3="MARZO","3",$N$3="ABRIL","4",$N$3="MAYO","5",$N$3="JUNIO","6",$N$3="JULIO","7",$N$3="AGOSTO","8",$N$3="SETIEMBRE","9",$N$3="OCTUBRE","10",$N$3="NOVIEMBRE","11",$N$3="DICIEMBRE","12"))),6,0),"")</f>
        <v>45281</v>
      </c>
      <c r="J49" s="60" t="str" cm="1">
        <f t="array" ref="J49">IFERROR(VLOOKUP(D1_MAYO_202681[[#This Row],[ASESOR_CRR]],_xlfn._xlws.FILTER(PLANTILLA[[ASESOR]:[FECHA DE CESE]],PLANTILLA[FECHA]=_xlfn.CONCAT($M$3,"_",_xlfn.IFS($N$3="ENERO","1",$N$3="FEBRERO","2",$N$3="MARZO","3",$N$3="ABRIL","4",$N$3="MAYO","5",$N$3="JUNIO","6",$N$3="JULIO","7",$N$3="AGOSTO","8",$N$3="SETIEMBRE","9",$N$3="OCTUBRE","10",$N$3="NOVIEMBRE","11",$N$3="DICIEMBRE","12"))),4,0),"")</f>
        <v>CALL</v>
      </c>
      <c r="K49" s="60" t="str" cm="1">
        <f t="array" ref="K49">IFERROR(VLOOKUP(D1_MAYO_202681[[#This Row],[ASESOR_CRR]],_xlfn._xlws.FILTER(PLANTILLA[[ASESOR]:[FECHA DE CESE]],PLANTILLA[FECHA]=_xlfn.CONCAT($M$3,"_",_xlfn.IFS($N$3="ENERO","1",$N$3="FEBRERO","2",$N$3="MARZO","3",$N$3="ABRIL","4",$N$3="MAYO","5",$N$3="JUNIO","6",$N$3="JULIO","7",$N$3="AGOSTO","8",$N$3="SETIEMBRE","9",$N$3="OCTUBRE","10",$N$3="NOVIEMBRE","11",$N$3="DICIEMBRE","12"))),8,0),"")</f>
        <v>S1</v>
      </c>
      <c r="L49" s="55"/>
      <c r="M49" s="5">
        <f>DATA_MAYO_202684[[#This Row],[RECUPERO]]/DATA_MAYO_202684[[#This Row],[META]]</f>
        <v>0.11906077348066299</v>
      </c>
      <c r="N49" s="5">
        <f>6-ROUNDUP(_xlfn.RANK.EQ(DATA_MAYO_202684[[#This Row],[AL_AC]],DATA_MAYO_202684[AL_AC],0)/(COUNTA(DATA_MAYO_202684[AL_AC])/5),0)</f>
        <v>1</v>
      </c>
      <c r="O49" s="54" t="str">
        <f>IFERROR(VLOOKUP(DATA_MAYO_202684[[#This Row],[ASER_]],$B:$G,4,0),"")</f>
        <v>LISELY</v>
      </c>
      <c r="P49" s="6">
        <f>SUM(DATA_MAYO_202684[[#This Row],[2]:[31]])</f>
        <v>2155</v>
      </c>
      <c r="Q49" s="6">
        <f>VLOOKUP(DATA_MAYO_202684[[#This Row],[ASER_]],D1_MAYO_202681[[ASESOR_CRR]:[META]],2,0)</f>
        <v>18100</v>
      </c>
      <c r="R49" t="s">
        <v>566</v>
      </c>
      <c r="U49">
        <v>300</v>
      </c>
      <c r="Y49">
        <v>1615</v>
      </c>
      <c r="AC49">
        <v>60</v>
      </c>
      <c r="AG49" s="5"/>
      <c r="AH49" s="6"/>
      <c r="AI49" s="6"/>
      <c r="AJ49" s="6"/>
      <c r="AK49" s="6"/>
      <c r="AL49" s="6"/>
      <c r="AM49" s="6"/>
      <c r="AN49" s="6"/>
      <c r="AO49" s="6"/>
      <c r="AP49" s="6"/>
      <c r="AQ49" s="6"/>
      <c r="AR49" s="6"/>
      <c r="AS49" s="6"/>
      <c r="AT49" s="6">
        <v>180</v>
      </c>
      <c r="AU49" s="6"/>
      <c r="AV49" s="6"/>
      <c r="AW49" s="54" t="str" cm="1">
        <f t="array" ref="AW49">IFERROR(VLOOKUP(DATA_MAYO_202684[[#This Row],[ASER_]],_xlfn._xlws.FILTER(PLANTILLA[[ASESOR]:[FECHA DE CESE]],PLANTILLA[FECHA]=_xlfn.CONCAT($M$3,"_",_xlfn.IFS($N$3="ENERO","1",$N$3="FEBRERO","2",$N$3="MARZO","3",$N$3="ABRIL","4",$N$3="MAYO","5",$N$3="JUNIO","6",$N$3="JULIO","7",$N$3="AGOSTO","8",$N$3="SETIEMBRE","9",$N$3="OCTUBRE","10",$N$3="NOVIEMBRE","11",$N$3="DICIEMBRE","12"))),8,0),"")</f>
        <v>S2-3-4 MIX</v>
      </c>
      <c r="CO49" t="s">
        <v>636</v>
      </c>
      <c r="CP49" t="s">
        <v>604</v>
      </c>
      <c r="CQ49" t="s">
        <v>109</v>
      </c>
      <c r="CR49">
        <v>46161</v>
      </c>
      <c r="CS49">
        <v>1</v>
      </c>
      <c r="CT49">
        <v>1</v>
      </c>
      <c r="CV49">
        <v>1</v>
      </c>
      <c r="CX49">
        <v>3.3564814814814812E-4</v>
      </c>
      <c r="CY49">
        <v>3.3564814814814812E-4</v>
      </c>
      <c r="CZ49">
        <v>0.2202662037037037</v>
      </c>
      <c r="DA49">
        <v>0.12656249999999999</v>
      </c>
      <c r="DB49">
        <v>77</v>
      </c>
      <c r="DC49">
        <v>136</v>
      </c>
      <c r="DD49">
        <v>18</v>
      </c>
      <c r="DE49">
        <v>2</v>
      </c>
      <c r="DF49">
        <v>14789</v>
      </c>
      <c r="DG49">
        <v>0.23380000000000001</v>
      </c>
      <c r="DH49">
        <v>1</v>
      </c>
      <c r="DI49">
        <v>5.5599999999999997E-2</v>
      </c>
      <c r="DJ49">
        <v>1604</v>
      </c>
      <c r="DK49">
        <v>1604</v>
      </c>
      <c r="DL49">
        <v>1604</v>
      </c>
      <c r="DM49">
        <v>1</v>
      </c>
      <c r="DN49">
        <v>0.18</v>
      </c>
      <c r="DO49">
        <v>98</v>
      </c>
      <c r="DP49">
        <v>1604</v>
      </c>
    </row>
    <row r="50" spans="1:120" x14ac:dyDescent="0.25">
      <c r="A50" s="34" t="str" cm="1">
        <f t="array" ref="A50">IFERROR(VLOOKUP(D1_MAYO_202681[[#This Row],[ASESOR_CRR]],_xlfn._xlws.FILTER(PLANTILLA[[ASESOR]:[FECHA DE CESE]],PLANTILLA[FECHA]=_xlfn.CONCAT($M$3,"_",_xlfn.IFS($N$3="ENERO","1",$N$3="FEBRERO","2",$N$3="MARZO","3",$N$3="ABRIL","4",$N$3="MAYO","5",$N$3="JUNIO","6",$N$3="JULIO","7",$N$3="AGOSTO","8",$N$3="SETIEMBRE","9",$N$3="OCTUBRE","10",$N$3="NOVIEMBRE","11",$N$3="DICIEMBRE","12"))),3,0),"")</f>
        <v>LEONOR</v>
      </c>
      <c r="B50" s="34" t="str" cm="1">
        <f t="array" ref="B50">TRIM(IFERROR(_xlfn.IFS(D1_MAYO_202681[[#This Row],[ASESOR]]="ELVIS GUERRA","ELVIS GUERRERA",D1_MAYO_202681[[#This Row],[ASESOR]]="GENESIS VICUÑA","GENESIS VICUNA",D1_MAYO_202681[[#This Row],[ASESOR]]="JENY QUIÑONES","JENY QUINONES",D1_MAYO_202681[[#This Row],[ASESOR]]="NICOLE CAURURO","NICOLE CAURURO"),D1_MAYO_202681[[#This Row],[ASESOR]]))</f>
        <v>ANALUCIA PONCE</v>
      </c>
      <c r="C50" s="34" cm="1">
        <f t="array" ref="C50">_xlfn.XLOOKUP(1,(TablaMeta[CONCAT]=$M$3&amp;$N$3&amp;D1_MAYO_202681[[#This Row],[SUPER]])*(TablaMeta[SEGG]=D1_MAYO_202681[[#This Row],[SEGMENTO]]),TablaMeta[Meta_Asesor])</f>
        <v>44700</v>
      </c>
      <c r="D50" s="35">
        <f>IF(D1_MAYO_202681[[#This Row],[RECUPERO]]="VACACIONES","VACACIONES",IFERROR(D1_MAYO_202681[[#This Row],[RECUPERO]]/D1_MAYO_202681[[#This Row],[META]],""))</f>
        <v>0.7966319910514541</v>
      </c>
      <c r="E50" s="35" t="str">
        <f>D1_MAYO_202681[[#This Row],[SUPER]]</f>
        <v>LEONOR</v>
      </c>
      <c r="F50" t="s">
        <v>60</v>
      </c>
      <c r="G50" s="36">
        <v>35609.449999999997</v>
      </c>
      <c r="H50" s="34" cm="1">
        <f t="array" ref="H50">IFERROR(VLOOKUP(D1_MAYO_202681[[#This Row],[ASESOR_CRR]],_xlfn._xlws.FILTER(PLANTILLA[[ASESOR]:[FECHA DE CESE]],PLANTILLA[FECHA]=_xlfn.CONCAT($M$3,"_",_xlfn.IFS($N$3="ENERO","1",$N$3="FEBRERO","2",$N$3="MARZO","3",$N$3="ABRIL","4",$N$3="MAYO","5",$N$3="JUNIO","6",$N$3="JULIO","7",$N$3="AGOSTO","8",$N$3="SETIEMBRE","9",$N$3="OCTUBRE","10",$N$3="NOVIEMBRE","11",$N$3="DICIEMBRE","12"))),2,0),"")</f>
        <v>72839865</v>
      </c>
      <c r="I50" s="60" cm="1">
        <f t="array" ref="I50">IFERROR(VLOOKUP(D1_MAYO_202681[[#This Row],[ASESOR_CRR]],_xlfn._xlws.FILTER(PLANTILLA[[ASESOR]:[FECHA DE CESE]],PLANTILLA[FECHA]=_xlfn.CONCAT($M$3,"_",_xlfn.IFS($N$3="ENERO","1",$N$3="FEBRERO","2",$N$3="MARZO","3",$N$3="ABRIL","4",$N$3="MAYO","5",$N$3="JUNIO","6",$N$3="JULIO","7",$N$3="AGOSTO","8",$N$3="SETIEMBRE","9",$N$3="OCTUBRE","10",$N$3="NOVIEMBRE","11",$N$3="DICIEMBRE","12"))),6,0),"")</f>
        <v>45854</v>
      </c>
      <c r="J50" s="60" t="str" cm="1">
        <f t="array" ref="J50">IFERROR(VLOOKUP(D1_MAYO_202681[[#This Row],[ASESOR_CRR]],_xlfn._xlws.FILTER(PLANTILLA[[ASESOR]:[FECHA DE CESE]],PLANTILLA[FECHA]=_xlfn.CONCAT($M$3,"_",_xlfn.IFS($N$3="ENERO","1",$N$3="FEBRERO","2",$N$3="MARZO","3",$N$3="ABRIL","4",$N$3="MAYO","5",$N$3="JUNIO","6",$N$3="JULIO","7",$N$3="AGOSTO","8",$N$3="SETIEMBRE","9",$N$3="OCTUBRE","10",$N$3="NOVIEMBRE","11",$N$3="DICIEMBRE","12"))),4,0),"")</f>
        <v>CALL</v>
      </c>
      <c r="K50" s="60" t="str" cm="1">
        <f t="array" ref="K50">IFERROR(VLOOKUP(D1_MAYO_202681[[#This Row],[ASESOR_CRR]],_xlfn._xlws.FILTER(PLANTILLA[[ASESOR]:[FECHA DE CESE]],PLANTILLA[FECHA]=_xlfn.CONCAT($M$3,"_",_xlfn.IFS($N$3="ENERO","1",$N$3="FEBRERO","2",$N$3="MARZO","3",$N$3="ABRIL","4",$N$3="MAYO","5",$N$3="JUNIO","6",$N$3="JULIO","7",$N$3="AGOSTO","8",$N$3="SETIEMBRE","9",$N$3="OCTUBRE","10",$N$3="NOVIEMBRE","11",$N$3="DICIEMBRE","12"))),8,0),"")</f>
        <v>S1</v>
      </c>
      <c r="L50" s="55"/>
      <c r="M50" s="5">
        <f>DATA_MAYO_202684[[#This Row],[RECUPERO]]/DATA_MAYO_202684[[#This Row],[META]]</f>
        <v>1.1421071778140293</v>
      </c>
      <c r="N50" s="5">
        <f>6-ROUNDUP(_xlfn.RANK.EQ(DATA_MAYO_202684[[#This Row],[AL_AC]],DATA_MAYO_202684[AL_AC],0)/(COUNTA(DATA_MAYO_202684[AL_AC])/5),0)</f>
        <v>5</v>
      </c>
      <c r="O50" s="54" t="str">
        <f>IFERROR(VLOOKUP(DATA_MAYO_202684[[#This Row],[ASER_]],$B:$G,4,0),"")</f>
        <v>KENNETH</v>
      </c>
      <c r="P50" s="6">
        <f>SUM(DATA_MAYO_202684[[#This Row],[2]:[31]])</f>
        <v>70011.17</v>
      </c>
      <c r="Q50" s="6">
        <f>VLOOKUP(DATA_MAYO_202684[[#This Row],[ASER_]],D1_MAYO_202681[[ASESOR_CRR]:[META]],2,0)</f>
        <v>61300</v>
      </c>
      <c r="R50" t="s">
        <v>97</v>
      </c>
      <c r="U50">
        <v>2050</v>
      </c>
      <c r="V50">
        <v>985</v>
      </c>
      <c r="W50">
        <v>340</v>
      </c>
      <c r="X50">
        <v>225</v>
      </c>
      <c r="Y50">
        <v>1085</v>
      </c>
      <c r="AB50">
        <v>2225</v>
      </c>
      <c r="AC50">
        <v>3000</v>
      </c>
      <c r="AD50">
        <v>12926.17</v>
      </c>
      <c r="AE50">
        <v>5000</v>
      </c>
      <c r="AF50">
        <v>925</v>
      </c>
      <c r="AG50" s="5">
        <v>310</v>
      </c>
      <c r="AH50" s="6"/>
      <c r="AI50" s="6">
        <v>6070</v>
      </c>
      <c r="AJ50" s="6">
        <v>4220</v>
      </c>
      <c r="AK50" s="6">
        <v>3000</v>
      </c>
      <c r="AL50" s="6">
        <v>500</v>
      </c>
      <c r="AM50" s="6">
        <v>1150</v>
      </c>
      <c r="AN50" s="6">
        <v>610</v>
      </c>
      <c r="AO50" s="6"/>
      <c r="AP50" s="6">
        <v>3820</v>
      </c>
      <c r="AQ50" s="6"/>
      <c r="AR50" s="6">
        <v>400</v>
      </c>
      <c r="AS50" s="6">
        <v>2905</v>
      </c>
      <c r="AT50" s="6">
        <v>5155</v>
      </c>
      <c r="AU50" s="6">
        <v>13110</v>
      </c>
      <c r="AV50" s="6"/>
      <c r="AW50" s="54" t="str" cm="1">
        <f t="array" ref="AW50">IFERROR(VLOOKUP(DATA_MAYO_202684[[#This Row],[ASER_]],_xlfn._xlws.FILTER(PLANTILLA[[ASESOR]:[FECHA DE CESE]],PLANTILLA[FECHA]=_xlfn.CONCAT($M$3,"_",_xlfn.IFS($N$3="ENERO","1",$N$3="FEBRERO","2",$N$3="MARZO","3",$N$3="ABRIL","4",$N$3="MAYO","5",$N$3="JUNIO","6",$N$3="JULIO","7",$N$3="AGOSTO","8",$N$3="SETIEMBRE","9",$N$3="OCTUBRE","10",$N$3="NOVIEMBRE","11",$N$3="DICIEMBRE","12"))),8,0),"")</f>
        <v>S0</v>
      </c>
      <c r="CO50" t="s">
        <v>636</v>
      </c>
      <c r="CP50" t="s">
        <v>604</v>
      </c>
      <c r="CQ50" t="s">
        <v>41</v>
      </c>
      <c r="CR50">
        <v>46149</v>
      </c>
      <c r="CS50">
        <v>1</v>
      </c>
      <c r="CT50">
        <v>1</v>
      </c>
      <c r="CV50">
        <v>1</v>
      </c>
      <c r="CX50">
        <v>1.3888888888888889E-4</v>
      </c>
      <c r="CY50">
        <v>1.3888888888888889E-4</v>
      </c>
      <c r="CZ50">
        <v>0.18399305555555556</v>
      </c>
      <c r="DA50">
        <v>0.10582175925925925</v>
      </c>
      <c r="DB50">
        <v>75</v>
      </c>
      <c r="DC50">
        <v>156</v>
      </c>
      <c r="DD50">
        <v>31</v>
      </c>
      <c r="DE50" t="s">
        <v>696</v>
      </c>
      <c r="DF50">
        <v>7688</v>
      </c>
      <c r="DG50">
        <v>0.4133</v>
      </c>
      <c r="DH50">
        <v>3</v>
      </c>
      <c r="DI50">
        <v>9.6799999999999997E-2</v>
      </c>
      <c r="DJ50">
        <v>1630</v>
      </c>
      <c r="DK50">
        <v>543</v>
      </c>
      <c r="DL50">
        <v>500</v>
      </c>
      <c r="DM50">
        <v>0.30669999999999997</v>
      </c>
      <c r="DN50">
        <v>9.8599999999999993E-2</v>
      </c>
      <c r="DO50">
        <v>98</v>
      </c>
      <c r="DP50">
        <v>500</v>
      </c>
    </row>
    <row r="51" spans="1:120" x14ac:dyDescent="0.25">
      <c r="A51" s="34" t="str" cm="1">
        <f t="array" ref="A51">IFERROR(VLOOKUP(D1_MAYO_202681[[#This Row],[ASESOR_CRR]],_xlfn._xlws.FILTER(PLANTILLA[[ASESOR]:[FECHA DE CESE]],PLANTILLA[FECHA]=_xlfn.CONCAT($M$3,"_",_xlfn.IFS($N$3="ENERO","1",$N$3="FEBRERO","2",$N$3="MARZO","3",$N$3="ABRIL","4",$N$3="MAYO","5",$N$3="JUNIO","6",$N$3="JULIO","7",$N$3="AGOSTO","8",$N$3="SETIEMBRE","9",$N$3="OCTUBRE","10",$N$3="NOVIEMBRE","11",$N$3="DICIEMBRE","12"))),3,0),"")</f>
        <v>LEONOR</v>
      </c>
      <c r="B51" s="34" t="str" cm="1">
        <f t="array" ref="B51">TRIM(IFERROR(_xlfn.IFS(D1_MAYO_202681[[#This Row],[ASESOR]]="ELVIS GUERRA","ELVIS GUERRERA",D1_MAYO_202681[[#This Row],[ASESOR]]="GENESIS VICUÑA","GENESIS VICUNA",D1_MAYO_202681[[#This Row],[ASESOR]]="JENY QUIÑONES","JENY QUINONES",D1_MAYO_202681[[#This Row],[ASESOR]]="NICOLE CAURURO","NICOLE CAURURO"),D1_MAYO_202681[[#This Row],[ASESOR]]))</f>
        <v>ERIKA VILLAR</v>
      </c>
      <c r="C51" s="34" cm="1">
        <f t="array" ref="C51">_xlfn.XLOOKUP(1,(TablaMeta[CONCAT]=$M$3&amp;$N$3&amp;D1_MAYO_202681[[#This Row],[SUPER]])*(TablaMeta[SEGG]=D1_MAYO_202681[[#This Row],[SEGMENTO]]),TablaMeta[Meta_Asesor])</f>
        <v>44700</v>
      </c>
      <c r="D51" s="35">
        <f>IF(D1_MAYO_202681[[#This Row],[RECUPERO]]="VACACIONES","VACACIONES",IFERROR(D1_MAYO_202681[[#This Row],[RECUPERO]]/D1_MAYO_202681[[#This Row],[META]],""))</f>
        <v>0.76570469798657714</v>
      </c>
      <c r="E51" s="35" t="str">
        <f>D1_MAYO_202681[[#This Row],[SUPER]]</f>
        <v>LEONOR</v>
      </c>
      <c r="F51" t="s">
        <v>72</v>
      </c>
      <c r="G51" s="36">
        <v>34227</v>
      </c>
      <c r="H51" s="34" cm="1">
        <f t="array" ref="H51">IFERROR(VLOOKUP(D1_MAYO_202681[[#This Row],[ASESOR_CRR]],_xlfn._xlws.FILTER(PLANTILLA[[ASESOR]:[FECHA DE CESE]],PLANTILLA[FECHA]=_xlfn.CONCAT($M$3,"_",_xlfn.IFS($N$3="ENERO","1",$N$3="FEBRERO","2",$N$3="MARZO","3",$N$3="ABRIL","4",$N$3="MAYO","5",$N$3="JUNIO","6",$N$3="JULIO","7",$N$3="AGOSTO","8",$N$3="SETIEMBRE","9",$N$3="OCTUBRE","10",$N$3="NOVIEMBRE","11",$N$3="DICIEMBRE","12"))),2,0),"")</f>
        <v>47690367</v>
      </c>
      <c r="I51" s="60" cm="1">
        <f t="array" ref="I51">IFERROR(VLOOKUP(D1_MAYO_202681[[#This Row],[ASESOR_CRR]],_xlfn._xlws.FILTER(PLANTILLA[[ASESOR]:[FECHA DE CESE]],PLANTILLA[FECHA]=_xlfn.CONCAT($M$3,"_",_xlfn.IFS($N$3="ENERO","1",$N$3="FEBRERO","2",$N$3="MARZO","3",$N$3="ABRIL","4",$N$3="MAYO","5",$N$3="JUNIO","6",$N$3="JULIO","7",$N$3="AGOSTO","8",$N$3="SETIEMBRE","9",$N$3="OCTUBRE","10",$N$3="NOVIEMBRE","11",$N$3="DICIEMBRE","12"))),6,0),"")</f>
        <v>45691</v>
      </c>
      <c r="J51" s="60" t="str" cm="1">
        <f t="array" ref="J51">IFERROR(VLOOKUP(D1_MAYO_202681[[#This Row],[ASESOR_CRR]],_xlfn._xlws.FILTER(PLANTILLA[[ASESOR]:[FECHA DE CESE]],PLANTILLA[FECHA]=_xlfn.CONCAT($M$3,"_",_xlfn.IFS($N$3="ENERO","1",$N$3="FEBRERO","2",$N$3="MARZO","3",$N$3="ABRIL","4",$N$3="MAYO","5",$N$3="JUNIO","6",$N$3="JULIO","7",$N$3="AGOSTO","8",$N$3="SETIEMBRE","9",$N$3="OCTUBRE","10",$N$3="NOVIEMBRE","11",$N$3="DICIEMBRE","12"))),4,0),"")</f>
        <v>CALL</v>
      </c>
      <c r="K51" s="60" t="str" cm="1">
        <f t="array" ref="K51">IFERROR(VLOOKUP(D1_MAYO_202681[[#This Row],[ASESOR_CRR]],_xlfn._xlws.FILTER(PLANTILLA[[ASESOR]:[FECHA DE CESE]],PLANTILLA[FECHA]=_xlfn.CONCAT($M$3,"_",_xlfn.IFS($N$3="ENERO","1",$N$3="FEBRERO","2",$N$3="MARZO","3",$N$3="ABRIL","4",$N$3="MAYO","5",$N$3="JUNIO","6",$N$3="JULIO","7",$N$3="AGOSTO","8",$N$3="SETIEMBRE","9",$N$3="OCTUBRE","10",$N$3="NOVIEMBRE","11",$N$3="DICIEMBRE","12"))),8,0),"")</f>
        <v>S1</v>
      </c>
      <c r="L51" s="55"/>
      <c r="M51" s="5">
        <f>DATA_MAYO_202684[[#This Row],[RECUPERO]]/DATA_MAYO_202684[[#This Row],[META]]</f>
        <v>1.5928299776286354</v>
      </c>
      <c r="N51" s="5">
        <f>6-ROUNDUP(_xlfn.RANK.EQ(DATA_MAYO_202684[[#This Row],[AL_AC]],DATA_MAYO_202684[AL_AC],0)/(COUNTA(DATA_MAYO_202684[AL_AC])/5),0)</f>
        <v>5</v>
      </c>
      <c r="O51" s="54" t="str">
        <f>IFERROR(VLOOKUP(DATA_MAYO_202684[[#This Row],[ASER_]],$B:$G,4,0),"")</f>
        <v>LEONOR</v>
      </c>
      <c r="P51" s="6">
        <f>SUM(DATA_MAYO_202684[[#This Row],[2]:[31]])</f>
        <v>71199.5</v>
      </c>
      <c r="Q51" s="6">
        <f>VLOOKUP(DATA_MAYO_202684[[#This Row],[ASER_]],D1_MAYO_202681[[ASESOR_CRR]:[META]],2,0)</f>
        <v>44700</v>
      </c>
      <c r="R51" t="s">
        <v>59</v>
      </c>
      <c r="U51">
        <v>1000</v>
      </c>
      <c r="V51">
        <v>5600</v>
      </c>
      <c r="X51">
        <v>3050</v>
      </c>
      <c r="AB51">
        <v>1100</v>
      </c>
      <c r="AC51">
        <v>3500</v>
      </c>
      <c r="AD51">
        <v>1800</v>
      </c>
      <c r="AE51">
        <v>1200</v>
      </c>
      <c r="AF51">
        <v>2700</v>
      </c>
      <c r="AG51" s="5"/>
      <c r="AH51" s="6"/>
      <c r="AI51" s="6">
        <v>2000</v>
      </c>
      <c r="AJ51" s="6">
        <v>5560</v>
      </c>
      <c r="AK51" s="6"/>
      <c r="AL51" s="6"/>
      <c r="AM51" s="6">
        <v>3600</v>
      </c>
      <c r="AN51" s="6">
        <v>688</v>
      </c>
      <c r="AO51" s="6"/>
      <c r="AP51" s="6">
        <v>800</v>
      </c>
      <c r="AQ51" s="6">
        <v>5640</v>
      </c>
      <c r="AR51" s="6">
        <v>4000</v>
      </c>
      <c r="AS51" s="6">
        <v>11700</v>
      </c>
      <c r="AT51" s="6">
        <v>1550</v>
      </c>
      <c r="AU51" s="6">
        <v>15711.5</v>
      </c>
      <c r="AV51" s="6"/>
      <c r="AW51" s="54" t="str" cm="1">
        <f t="array" ref="AW51">IFERROR(VLOOKUP(DATA_MAYO_202684[[#This Row],[ASER_]],_xlfn._xlws.FILTER(PLANTILLA[[ASESOR]:[FECHA DE CESE]],PLANTILLA[FECHA]=_xlfn.CONCAT($M$3,"_",_xlfn.IFS($N$3="ENERO","1",$N$3="FEBRERO","2",$N$3="MARZO","3",$N$3="ABRIL","4",$N$3="MAYO","5",$N$3="JUNIO","6",$N$3="JULIO","7",$N$3="AGOSTO","8",$N$3="SETIEMBRE","9",$N$3="OCTUBRE","10",$N$3="NOVIEMBRE","11",$N$3="DICIEMBRE","12"))),8,0),"")</f>
        <v>S1</v>
      </c>
      <c r="CO51" t="s">
        <v>636</v>
      </c>
      <c r="CP51" t="s">
        <v>604</v>
      </c>
      <c r="CQ51" t="s">
        <v>41</v>
      </c>
      <c r="CR51">
        <v>46163</v>
      </c>
      <c r="CS51">
        <v>1</v>
      </c>
      <c r="CT51">
        <v>1</v>
      </c>
      <c r="CV51">
        <v>1</v>
      </c>
      <c r="CX51">
        <v>2.199074074074074E-4</v>
      </c>
      <c r="CY51">
        <v>2.199074074074074E-4</v>
      </c>
      <c r="CZ51">
        <v>4.87037037037037E-2</v>
      </c>
      <c r="DA51">
        <v>0.25018518518518518</v>
      </c>
      <c r="DB51">
        <v>56</v>
      </c>
      <c r="DC51">
        <v>174</v>
      </c>
      <c r="DD51">
        <v>9</v>
      </c>
      <c r="DE51" t="s">
        <v>697</v>
      </c>
      <c r="DF51">
        <v>23970</v>
      </c>
      <c r="DG51">
        <v>0.16070000000000001</v>
      </c>
      <c r="DH51">
        <v>1</v>
      </c>
      <c r="DI51">
        <v>0.1111</v>
      </c>
      <c r="DJ51">
        <v>700</v>
      </c>
      <c r="DK51">
        <v>700</v>
      </c>
      <c r="DL51">
        <v>700</v>
      </c>
      <c r="DM51">
        <v>1</v>
      </c>
      <c r="DN51">
        <v>0.32240000000000002</v>
      </c>
      <c r="DO51">
        <v>98</v>
      </c>
      <c r="DP51">
        <v>700</v>
      </c>
    </row>
    <row r="52" spans="1:120" x14ac:dyDescent="0.25">
      <c r="A52" s="34" t="str" cm="1">
        <f t="array" ref="A52">IFERROR(VLOOKUP(D1_MAYO_202681[[#This Row],[ASESOR_CRR]],_xlfn._xlws.FILTER(PLANTILLA[[ASESOR]:[FECHA DE CESE]],PLANTILLA[FECHA]=_xlfn.CONCAT($M$3,"_",_xlfn.IFS($N$3="ENERO","1",$N$3="FEBRERO","2",$N$3="MARZO","3",$N$3="ABRIL","4",$N$3="MAYO","5",$N$3="JUNIO","6",$N$3="JULIO","7",$N$3="AGOSTO","8",$N$3="SETIEMBRE","9",$N$3="OCTUBRE","10",$N$3="NOVIEMBRE","11",$N$3="DICIEMBRE","12"))),3,0),"")</f>
        <v>LEONOR</v>
      </c>
      <c r="B52" s="34" t="str" cm="1">
        <f t="array" ref="B52">TRIM(IFERROR(_xlfn.IFS(D1_MAYO_202681[[#This Row],[ASESOR]]="ELVIS GUERRA","ELVIS GUERRERA",D1_MAYO_202681[[#This Row],[ASESOR]]="GENESIS VICUÑA","GENESIS VICUNA",D1_MAYO_202681[[#This Row],[ASESOR]]="JENY QUIÑONES","JENY QUINONES",D1_MAYO_202681[[#This Row],[ASESOR]]="NICOLE CAURURO","NICOLE CAURURO"),D1_MAYO_202681[[#This Row],[ASESOR]]))</f>
        <v>GENESIS VICUNA</v>
      </c>
      <c r="C52" s="34" cm="1">
        <f t="array" ref="C52">_xlfn.XLOOKUP(1,(TablaMeta[CONCAT]=$M$3&amp;$N$3&amp;D1_MAYO_202681[[#This Row],[SUPER]])*(TablaMeta[SEGG]=D1_MAYO_202681[[#This Row],[SEGMENTO]]),TablaMeta[Meta_Asesor])</f>
        <v>44700</v>
      </c>
      <c r="D52" s="35">
        <f>IF(D1_MAYO_202681[[#This Row],[RECUPERO]]="VACACIONES","VACACIONES",IFERROR(D1_MAYO_202681[[#This Row],[RECUPERO]]/D1_MAYO_202681[[#This Row],[META]],""))</f>
        <v>0.73328859060402685</v>
      </c>
      <c r="E52" s="35" t="str">
        <f>D1_MAYO_202681[[#This Row],[SUPER]]</f>
        <v>LEONOR</v>
      </c>
      <c r="F52" t="s">
        <v>12</v>
      </c>
      <c r="G52" s="36">
        <v>32778</v>
      </c>
      <c r="H52" s="34" cm="1">
        <f t="array" ref="H52">IFERROR(VLOOKUP(D1_MAYO_202681[[#This Row],[ASESOR_CRR]],_xlfn._xlws.FILTER(PLANTILLA[[ASESOR]:[FECHA DE CESE]],PLANTILLA[FECHA]=_xlfn.CONCAT($M$3,"_",_xlfn.IFS($N$3="ENERO","1",$N$3="FEBRERO","2",$N$3="MARZO","3",$N$3="ABRIL","4",$N$3="MAYO","5",$N$3="JUNIO","6",$N$3="JULIO","7",$N$3="AGOSTO","8",$N$3="SETIEMBRE","9",$N$3="OCTUBRE","10",$N$3="NOVIEMBRE","11",$N$3="DICIEMBRE","12"))),2,0),"")</f>
        <v>45262585</v>
      </c>
      <c r="I52" s="60" cm="1">
        <f t="array" ref="I52">IFERROR(VLOOKUP(D1_MAYO_202681[[#This Row],[ASESOR_CRR]],_xlfn._xlws.FILTER(PLANTILLA[[ASESOR]:[FECHA DE CESE]],PLANTILLA[FECHA]=_xlfn.CONCAT($M$3,"_",_xlfn.IFS($N$3="ENERO","1",$N$3="FEBRERO","2",$N$3="MARZO","3",$N$3="ABRIL","4",$N$3="MAYO","5",$N$3="JUNIO","6",$N$3="JULIO","7",$N$3="AGOSTO","8",$N$3="SETIEMBRE","9",$N$3="OCTUBRE","10",$N$3="NOVIEMBRE","11",$N$3="DICIEMBRE","12"))),6,0),"")</f>
        <v>44868</v>
      </c>
      <c r="J52" s="60" t="str" cm="1">
        <f t="array" ref="J52">IFERROR(VLOOKUP(D1_MAYO_202681[[#This Row],[ASESOR_CRR]],_xlfn._xlws.FILTER(PLANTILLA[[ASESOR]:[FECHA DE CESE]],PLANTILLA[FECHA]=_xlfn.CONCAT($M$3,"_",_xlfn.IFS($N$3="ENERO","1",$N$3="FEBRERO","2",$N$3="MARZO","3",$N$3="ABRIL","4",$N$3="MAYO","5",$N$3="JUNIO","6",$N$3="JULIO","7",$N$3="AGOSTO","8",$N$3="SETIEMBRE","9",$N$3="OCTUBRE","10",$N$3="NOVIEMBRE","11",$N$3="DICIEMBRE","12"))),4,0),"")</f>
        <v>CALL</v>
      </c>
      <c r="K52" s="60" t="str" cm="1">
        <f t="array" ref="K52">IFERROR(VLOOKUP(D1_MAYO_202681[[#This Row],[ASESOR_CRR]],_xlfn._xlws.FILTER(PLANTILLA[[ASESOR]:[FECHA DE CESE]],PLANTILLA[FECHA]=_xlfn.CONCAT($M$3,"_",_xlfn.IFS($N$3="ENERO","1",$N$3="FEBRERO","2",$N$3="MARZO","3",$N$3="ABRIL","4",$N$3="MAYO","5",$N$3="JUNIO","6",$N$3="JULIO","7",$N$3="AGOSTO","8",$N$3="SETIEMBRE","9",$N$3="OCTUBRE","10",$N$3="NOVIEMBRE","11",$N$3="DICIEMBRE","12"))),8,0),"")</f>
        <v>S1</v>
      </c>
      <c r="L52" s="55"/>
      <c r="M52" s="5">
        <f>DATA_MAYO_202684[[#This Row],[RECUPERO]]/DATA_MAYO_202684[[#This Row],[META]]</f>
        <v>1.1226753670473084</v>
      </c>
      <c r="N52" s="5">
        <f>6-ROUNDUP(_xlfn.RANK.EQ(DATA_MAYO_202684[[#This Row],[AL_AC]],DATA_MAYO_202684[AL_AC],0)/(COUNTA(DATA_MAYO_202684[AL_AC])/5),0)</f>
        <v>4</v>
      </c>
      <c r="O52" s="54" t="str">
        <f>IFERROR(VLOOKUP(DATA_MAYO_202684[[#This Row],[ASER_]],$B:$G,4,0),"")</f>
        <v>KENNETH</v>
      </c>
      <c r="P52" s="6">
        <f>SUM(DATA_MAYO_202684[[#This Row],[2]:[31]])</f>
        <v>68820</v>
      </c>
      <c r="Q52" s="6">
        <f>VLOOKUP(DATA_MAYO_202684[[#This Row],[ASER_]],D1_MAYO_202681[[ASESOR_CRR]:[META]],2,0)</f>
        <v>61300</v>
      </c>
      <c r="R52" t="s">
        <v>34</v>
      </c>
      <c r="U52">
        <v>5700</v>
      </c>
      <c r="V52">
        <v>5000</v>
      </c>
      <c r="W52">
        <v>1000</v>
      </c>
      <c r="X52">
        <v>6000</v>
      </c>
      <c r="Y52">
        <v>220</v>
      </c>
      <c r="AB52">
        <v>5000</v>
      </c>
      <c r="AC52">
        <v>450</v>
      </c>
      <c r="AD52">
        <v>200</v>
      </c>
      <c r="AF52">
        <v>3000</v>
      </c>
      <c r="AI52">
        <v>600</v>
      </c>
      <c r="AJ52">
        <v>3000</v>
      </c>
      <c r="AK52" s="6"/>
      <c r="AL52" s="6">
        <v>3150</v>
      </c>
      <c r="AM52" s="6"/>
      <c r="AN52" s="6"/>
      <c r="AO52" s="6"/>
      <c r="AP52" s="6">
        <v>1600</v>
      </c>
      <c r="AQ52" s="6">
        <v>12500</v>
      </c>
      <c r="AR52" s="6"/>
      <c r="AS52" s="6"/>
      <c r="AT52" s="6">
        <v>21200</v>
      </c>
      <c r="AU52">
        <v>200</v>
      </c>
      <c r="AW52" s="54" t="str" cm="1">
        <f t="array" ref="AW52">IFERROR(VLOOKUP(DATA_MAYO_202684[[#This Row],[ASER_]],_xlfn._xlws.FILTER(PLANTILLA[[ASESOR]:[FECHA DE CESE]],PLANTILLA[FECHA]=_xlfn.CONCAT($M$3,"_",_xlfn.IFS($N$3="ENERO","1",$N$3="FEBRERO","2",$N$3="MARZO","3",$N$3="ABRIL","4",$N$3="MAYO","5",$N$3="JUNIO","6",$N$3="JULIO","7",$N$3="AGOSTO","8",$N$3="SETIEMBRE","9",$N$3="OCTUBRE","10",$N$3="NOVIEMBRE","11",$N$3="DICIEMBRE","12"))),8,0),"")</f>
        <v>S0</v>
      </c>
      <c r="CO52" t="s">
        <v>636</v>
      </c>
      <c r="CP52" t="s">
        <v>604</v>
      </c>
      <c r="CQ52" t="s">
        <v>549</v>
      </c>
      <c r="CR52">
        <v>46162</v>
      </c>
      <c r="CS52">
        <v>1</v>
      </c>
      <c r="CT52">
        <v>1</v>
      </c>
      <c r="CV52">
        <v>1</v>
      </c>
      <c r="CX52">
        <v>4.2824074074074075E-4</v>
      </c>
      <c r="CY52">
        <v>4.2824074074074075E-4</v>
      </c>
      <c r="CZ52">
        <v>0.21483796296296295</v>
      </c>
      <c r="DA52">
        <v>0.16750000000000001</v>
      </c>
      <c r="DB52">
        <v>119</v>
      </c>
      <c r="DC52">
        <v>200</v>
      </c>
      <c r="DD52">
        <v>22</v>
      </c>
      <c r="DE52" t="s">
        <v>698</v>
      </c>
      <c r="DF52">
        <v>7602</v>
      </c>
      <c r="DG52">
        <v>0.18490000000000001</v>
      </c>
      <c r="DH52">
        <v>2</v>
      </c>
      <c r="DI52">
        <v>9.0899999999999995E-2</v>
      </c>
      <c r="DJ52">
        <v>800</v>
      </c>
      <c r="DK52">
        <v>400</v>
      </c>
      <c r="DL52">
        <v>800</v>
      </c>
      <c r="DM52">
        <v>1</v>
      </c>
      <c r="DN52">
        <v>0.14269999999999999</v>
      </c>
      <c r="DO52">
        <v>98</v>
      </c>
      <c r="DP52">
        <v>400</v>
      </c>
    </row>
    <row r="53" spans="1:120" x14ac:dyDescent="0.25">
      <c r="A53" s="34" t="str" cm="1">
        <f t="array" ref="A53">IFERROR(VLOOKUP(D1_MAYO_202681[[#This Row],[ASESOR_CRR]],_xlfn._xlws.FILTER(PLANTILLA[[ASESOR]:[FECHA DE CESE]],PLANTILLA[FECHA]=_xlfn.CONCAT($M$3,"_",_xlfn.IFS($N$3="ENERO","1",$N$3="FEBRERO","2",$N$3="MARZO","3",$N$3="ABRIL","4",$N$3="MAYO","5",$N$3="JUNIO","6",$N$3="JULIO","7",$N$3="AGOSTO","8",$N$3="SETIEMBRE","9",$N$3="OCTUBRE","10",$N$3="NOVIEMBRE","11",$N$3="DICIEMBRE","12"))),3,0),"")</f>
        <v>LEONOR</v>
      </c>
      <c r="B53" s="34" t="str" cm="1">
        <f t="array" ref="B53">TRIM(IFERROR(_xlfn.IFS(D1_MAYO_202681[[#This Row],[ASESOR]]="ELVIS GUERRA","ELVIS GUERRERA",D1_MAYO_202681[[#This Row],[ASESOR]]="GENESIS VICUÑA","GENESIS VICUNA",D1_MAYO_202681[[#This Row],[ASESOR]]="JENY QUIÑONES","JENY QUINONES",D1_MAYO_202681[[#This Row],[ASESOR]]="NICOLE CAURURO","NICOLE CAURURO"),D1_MAYO_202681[[#This Row],[ASESOR]]))</f>
        <v>JENY LAZARO</v>
      </c>
      <c r="C53" s="34" cm="1">
        <f t="array" ref="C53">_xlfn.XLOOKUP(1,(TablaMeta[CONCAT]=$M$3&amp;$N$3&amp;D1_MAYO_202681[[#This Row],[SUPER]])*(TablaMeta[SEGG]=D1_MAYO_202681[[#This Row],[SEGMENTO]]),TablaMeta[Meta_Asesor])</f>
        <v>44700</v>
      </c>
      <c r="D53" s="35">
        <f>IF(D1_MAYO_202681[[#This Row],[RECUPERO]]="VACACIONES","VACACIONES",IFERROR(D1_MAYO_202681[[#This Row],[RECUPERO]]/D1_MAYO_202681[[#This Row],[META]],""))</f>
        <v>0.48143176733780763</v>
      </c>
      <c r="E53" s="35" t="str">
        <f>D1_MAYO_202681[[#This Row],[SUPER]]</f>
        <v>LEONOR</v>
      </c>
      <c r="F53" t="s">
        <v>26</v>
      </c>
      <c r="G53" s="36">
        <v>21520</v>
      </c>
      <c r="H53" s="34" cm="1">
        <f t="array" ref="H53">IFERROR(VLOOKUP(D1_MAYO_202681[[#This Row],[ASESOR_CRR]],_xlfn._xlws.FILTER(PLANTILLA[[ASESOR]:[FECHA DE CESE]],PLANTILLA[FECHA]=_xlfn.CONCAT($M$3,"_",_xlfn.IFS($N$3="ENERO","1",$N$3="FEBRERO","2",$N$3="MARZO","3",$N$3="ABRIL","4",$N$3="MAYO","5",$N$3="JUNIO","6",$N$3="JULIO","7",$N$3="AGOSTO","8",$N$3="SETIEMBRE","9",$N$3="OCTUBRE","10",$N$3="NOVIEMBRE","11",$N$3="DICIEMBRE","12"))),2,0),"")</f>
        <v>41005089</v>
      </c>
      <c r="I53" s="60" cm="1">
        <f t="array" ref="I53">IFERROR(VLOOKUP(D1_MAYO_202681[[#This Row],[ASESOR_CRR]],_xlfn._xlws.FILTER(PLANTILLA[[ASESOR]:[FECHA DE CESE]],PLANTILLA[FECHA]=_xlfn.CONCAT($M$3,"_",_xlfn.IFS($N$3="ENERO","1",$N$3="FEBRERO","2",$N$3="MARZO","3",$N$3="ABRIL","4",$N$3="MAYO","5",$N$3="JUNIO","6",$N$3="JULIO","7",$N$3="AGOSTO","8",$N$3="SETIEMBRE","9",$N$3="OCTUBRE","10",$N$3="NOVIEMBRE","11",$N$3="DICIEMBRE","12"))),6,0),"")</f>
        <v>44257</v>
      </c>
      <c r="J53" s="60" t="str" cm="1">
        <f t="array" ref="J53">IFERROR(VLOOKUP(D1_MAYO_202681[[#This Row],[ASESOR_CRR]],_xlfn._xlws.FILTER(PLANTILLA[[ASESOR]:[FECHA DE CESE]],PLANTILLA[FECHA]=_xlfn.CONCAT($M$3,"_",_xlfn.IFS($N$3="ENERO","1",$N$3="FEBRERO","2",$N$3="MARZO","3",$N$3="ABRIL","4",$N$3="MAYO","5",$N$3="JUNIO","6",$N$3="JULIO","7",$N$3="AGOSTO","8",$N$3="SETIEMBRE","9",$N$3="OCTUBRE","10",$N$3="NOVIEMBRE","11",$N$3="DICIEMBRE","12"))),4,0),"")</f>
        <v>CALL</v>
      </c>
      <c r="K53" s="60" t="str" cm="1">
        <f t="array" ref="K53">IFERROR(VLOOKUP(D1_MAYO_202681[[#This Row],[ASESOR_CRR]],_xlfn._xlws.FILTER(PLANTILLA[[ASESOR]:[FECHA DE CESE]],PLANTILLA[FECHA]=_xlfn.CONCAT($M$3,"_",_xlfn.IFS($N$3="ENERO","1",$N$3="FEBRERO","2",$N$3="MARZO","3",$N$3="ABRIL","4",$N$3="MAYO","5",$N$3="JUNIO","6",$N$3="JULIO","7",$N$3="AGOSTO","8",$N$3="SETIEMBRE","9",$N$3="OCTUBRE","10",$N$3="NOVIEMBRE","11",$N$3="DICIEMBRE","12"))),8,0),"")</f>
        <v>S1</v>
      </c>
      <c r="L53" s="55"/>
      <c r="M53" s="5">
        <f>DATA_MAYO_202684[[#This Row],[RECUPERO]]/DATA_MAYO_202684[[#This Row],[META]]</f>
        <v>0.73070175438596496</v>
      </c>
      <c r="N53" s="5">
        <f>6-ROUNDUP(_xlfn.RANK.EQ(DATA_MAYO_202684[[#This Row],[AL_AC]],DATA_MAYO_202684[AL_AC],0)/(COUNTA(DATA_MAYO_202684[AL_AC])/5),0)</f>
        <v>2</v>
      </c>
      <c r="O53" s="54" t="str">
        <f>IFERROR(VLOOKUP(DATA_MAYO_202684[[#This Row],[ASER_]],$B:$G,4,0),"")</f>
        <v>LISELY</v>
      </c>
      <c r="P53" s="6">
        <f>SUM(DATA_MAYO_202684[[#This Row],[2]:[31]])</f>
        <v>16660</v>
      </c>
      <c r="Q53" s="6">
        <f>VLOOKUP(DATA_MAYO_202684[[#This Row],[ASER_]],D1_MAYO_202681[[ASESOR_CRR]:[META]],2,0)</f>
        <v>22800</v>
      </c>
      <c r="R53" t="s">
        <v>78</v>
      </c>
      <c r="V53">
        <v>2000</v>
      </c>
      <c r="AB53">
        <v>300</v>
      </c>
      <c r="AD53">
        <v>300</v>
      </c>
      <c r="AE53">
        <v>1300</v>
      </c>
      <c r="AI53">
        <v>1100</v>
      </c>
      <c r="AJ53">
        <v>180</v>
      </c>
      <c r="AK53" s="6"/>
      <c r="AL53" s="6">
        <v>2500</v>
      </c>
      <c r="AM53" s="6">
        <v>1700</v>
      </c>
      <c r="AN53" s="6"/>
      <c r="AO53" s="6"/>
      <c r="AP53" s="6"/>
      <c r="AQ53" s="6">
        <v>3500</v>
      </c>
      <c r="AR53" s="6">
        <v>600</v>
      </c>
      <c r="AS53" s="6">
        <v>1700</v>
      </c>
      <c r="AT53" s="6">
        <v>580</v>
      </c>
      <c r="AU53">
        <v>900</v>
      </c>
      <c r="AW53" s="54" t="str" cm="1">
        <f t="array" ref="AW53">IFERROR(VLOOKUP(DATA_MAYO_202684[[#This Row],[ASER_]],_xlfn._xlws.FILTER(PLANTILLA[[ASESOR]:[FECHA DE CESE]],PLANTILLA[FECHA]=_xlfn.CONCAT($M$3,"_",_xlfn.IFS($N$3="ENERO","1",$N$3="FEBRERO","2",$N$3="MARZO","3",$N$3="ABRIL","4",$N$3="MAYO","5",$N$3="JUNIO","6",$N$3="JULIO","7",$N$3="AGOSTO","8",$N$3="SETIEMBRE","9",$N$3="OCTUBRE","10",$N$3="NOVIEMBRE","11",$N$3="DICIEMBRE","12"))),8,0),"")</f>
        <v>S2-3-4 BANCO</v>
      </c>
      <c r="CO53" t="s">
        <v>636</v>
      </c>
      <c r="CP53" t="s">
        <v>604</v>
      </c>
      <c r="CQ53" t="s">
        <v>77</v>
      </c>
      <c r="CR53">
        <v>46157</v>
      </c>
      <c r="CS53">
        <v>1</v>
      </c>
      <c r="CT53">
        <v>1</v>
      </c>
      <c r="CV53">
        <v>1</v>
      </c>
      <c r="CX53">
        <v>0</v>
      </c>
      <c r="CY53">
        <v>0</v>
      </c>
      <c r="CZ53">
        <v>0.22686342592592593</v>
      </c>
      <c r="DA53">
        <v>0.59346064814814814</v>
      </c>
      <c r="DB53">
        <v>75</v>
      </c>
      <c r="DC53">
        <v>112</v>
      </c>
      <c r="DD53">
        <v>17</v>
      </c>
      <c r="DE53" t="s">
        <v>699</v>
      </c>
      <c r="DF53">
        <v>12675</v>
      </c>
      <c r="DG53">
        <v>0.22670000000000001</v>
      </c>
      <c r="DH53">
        <v>2</v>
      </c>
      <c r="DI53">
        <v>0.1176</v>
      </c>
      <c r="DJ53">
        <v>2100</v>
      </c>
      <c r="DK53">
        <v>1050</v>
      </c>
      <c r="DL53">
        <v>2100</v>
      </c>
      <c r="DM53">
        <v>1</v>
      </c>
      <c r="DN53">
        <v>0.1399</v>
      </c>
      <c r="DO53">
        <v>98</v>
      </c>
      <c r="DP53">
        <v>1050</v>
      </c>
    </row>
    <row r="54" spans="1:120" x14ac:dyDescent="0.25">
      <c r="A54" s="34" t="str" cm="1">
        <f t="array" ref="A54">IFERROR(VLOOKUP(D1_MAYO_202681[[#This Row],[ASESOR_CRR]],_xlfn._xlws.FILTER(PLANTILLA[[ASESOR]:[FECHA DE CESE]],PLANTILLA[FECHA]=_xlfn.CONCAT($M$3,"_",_xlfn.IFS($N$3="ENERO","1",$N$3="FEBRERO","2",$N$3="MARZO","3",$N$3="ABRIL","4",$N$3="MAYO","5",$N$3="JUNIO","6",$N$3="JULIO","7",$N$3="AGOSTO","8",$N$3="SETIEMBRE","9",$N$3="OCTUBRE","10",$N$3="NOVIEMBRE","11",$N$3="DICIEMBRE","12"))),3,0),"")</f>
        <v>LEONOR</v>
      </c>
      <c r="B54" s="34" t="str" cm="1">
        <f t="array" ref="B54">TRIM(IFERROR(_xlfn.IFS(D1_MAYO_202681[[#This Row],[ASESOR]]="ELVIS GUERRA","ELVIS GUERRERA",D1_MAYO_202681[[#This Row],[ASESOR]]="GENESIS VICUÑA","GENESIS VICUNA",D1_MAYO_202681[[#This Row],[ASESOR]]="JENY QUIÑONES","JENY QUINONES",D1_MAYO_202681[[#This Row],[ASESOR]]="NICOLE CAURURO","NICOLE CAURURO"),D1_MAYO_202681[[#This Row],[ASESOR]]))</f>
        <v>MARIA TINTAYA</v>
      </c>
      <c r="C54" s="34" cm="1">
        <f t="array" ref="C54">_xlfn.XLOOKUP(1,(TablaMeta[CONCAT]=$M$3&amp;$N$3&amp;D1_MAYO_202681[[#This Row],[SUPER]])*(TablaMeta[SEGG]=D1_MAYO_202681[[#This Row],[SEGMENTO]]),TablaMeta[Meta_Asesor])</f>
        <v>44700</v>
      </c>
      <c r="D54" s="35">
        <f>IF(D1_MAYO_202681[[#This Row],[RECUPERO]]="VACACIONES","VACACIONES",IFERROR(D1_MAYO_202681[[#This Row],[RECUPERO]]/D1_MAYO_202681[[#This Row],[META]],""))</f>
        <v>0.36261744966442955</v>
      </c>
      <c r="E54" s="35" t="str">
        <f>D1_MAYO_202681[[#This Row],[SUPER]]</f>
        <v>LEONOR</v>
      </c>
      <c r="F54" t="s">
        <v>75</v>
      </c>
      <c r="G54" s="36">
        <v>16209</v>
      </c>
      <c r="H54" s="34" cm="1">
        <f t="array" ref="H54">IFERROR(VLOOKUP(D1_MAYO_202681[[#This Row],[ASESOR_CRR]],_xlfn._xlws.FILTER(PLANTILLA[[ASESOR]:[FECHA DE CESE]],PLANTILLA[FECHA]=_xlfn.CONCAT($M$3,"_",_xlfn.IFS($N$3="ENERO","1",$N$3="FEBRERO","2",$N$3="MARZO","3",$N$3="ABRIL","4",$N$3="MAYO","5",$N$3="JUNIO","6",$N$3="JULIO","7",$N$3="AGOSTO","8",$N$3="SETIEMBRE","9",$N$3="OCTUBRE","10",$N$3="NOVIEMBRE","11",$N$3="DICIEMBRE","12"))),2,0),"")</f>
        <v>71264767</v>
      </c>
      <c r="I54" s="60" cm="1">
        <f t="array" ref="I54">IFERROR(VLOOKUP(D1_MAYO_202681[[#This Row],[ASESOR_CRR]],_xlfn._xlws.FILTER(PLANTILLA[[ASESOR]:[FECHA DE CESE]],PLANTILLA[FECHA]=_xlfn.CONCAT($M$3,"_",_xlfn.IFS($N$3="ENERO","1",$N$3="FEBRERO","2",$N$3="MARZO","3",$N$3="ABRIL","4",$N$3="MAYO","5",$N$3="JUNIO","6",$N$3="JULIO","7",$N$3="AGOSTO","8",$N$3="SETIEMBRE","9",$N$3="OCTUBRE","10",$N$3="NOVIEMBRE","11",$N$3="DICIEMBRE","12"))),6,0),"")</f>
        <v>44714</v>
      </c>
      <c r="J54" s="60" t="str" cm="1">
        <f t="array" ref="J54">IFERROR(VLOOKUP(D1_MAYO_202681[[#This Row],[ASESOR_CRR]],_xlfn._xlws.FILTER(PLANTILLA[[ASESOR]:[FECHA DE CESE]],PLANTILLA[FECHA]=_xlfn.CONCAT($M$3,"_",_xlfn.IFS($N$3="ENERO","1",$N$3="FEBRERO","2",$N$3="MARZO","3",$N$3="ABRIL","4",$N$3="MAYO","5",$N$3="JUNIO","6",$N$3="JULIO","7",$N$3="AGOSTO","8",$N$3="SETIEMBRE","9",$N$3="OCTUBRE","10",$N$3="NOVIEMBRE","11",$N$3="DICIEMBRE","12"))),4,0),"")</f>
        <v>CALL</v>
      </c>
      <c r="K54" s="60" t="str" cm="1">
        <f t="array" ref="K54">IFERROR(VLOOKUP(D1_MAYO_202681[[#This Row],[ASESOR_CRR]],_xlfn._xlws.FILTER(PLANTILLA[[ASESOR]:[FECHA DE CESE]],PLANTILLA[FECHA]=_xlfn.CONCAT($M$3,"_",_xlfn.IFS($N$3="ENERO","1",$N$3="FEBRERO","2",$N$3="MARZO","3",$N$3="ABRIL","4",$N$3="MAYO","5",$N$3="JUNIO","6",$N$3="JULIO","7",$N$3="AGOSTO","8",$N$3="SETIEMBRE","9",$N$3="OCTUBRE","10",$N$3="NOVIEMBRE","11",$N$3="DICIEMBRE","12"))),8,0),"")</f>
        <v>S1</v>
      </c>
      <c r="M54" s="5">
        <f>DATA_MAYO_202684[[#This Row],[RECUPERO]]/DATA_MAYO_202684[[#This Row],[META]]</f>
        <v>1.1355701754385965</v>
      </c>
      <c r="N54" s="5">
        <f>6-ROUNDUP(_xlfn.RANK.EQ(DATA_MAYO_202684[[#This Row],[AL_AC]],DATA_MAYO_202684[AL_AC],0)/(COUNTA(DATA_MAYO_202684[AL_AC])/5),0)</f>
        <v>5</v>
      </c>
      <c r="O54" s="54" t="str">
        <f>IFERROR(VLOOKUP(DATA_MAYO_202684[[#This Row],[ASER_]],$B:$G,4,0),"")</f>
        <v>LISELY</v>
      </c>
      <c r="P54" s="6">
        <f>SUM(DATA_MAYO_202684[[#This Row],[2]:[31]])</f>
        <v>25891</v>
      </c>
      <c r="Q54" s="6">
        <f>VLOOKUP(DATA_MAYO_202684[[#This Row],[ASER_]],D1_MAYO_202681[[ASESOR_CRR]:[META]],2,0)</f>
        <v>22800</v>
      </c>
      <c r="R54" t="s">
        <v>48</v>
      </c>
      <c r="X54">
        <v>550</v>
      </c>
      <c r="Y54">
        <v>10000</v>
      </c>
      <c r="AC54">
        <v>770</v>
      </c>
      <c r="AF54">
        <v>1900</v>
      </c>
      <c r="AK54" s="6">
        <v>1300</v>
      </c>
      <c r="AL54" s="6">
        <v>600</v>
      </c>
      <c r="AM54" s="6">
        <v>2500</v>
      </c>
      <c r="AN54" s="6"/>
      <c r="AO54" s="6"/>
      <c r="AP54" s="6">
        <v>6880</v>
      </c>
      <c r="AQ54" s="6"/>
      <c r="AR54" s="6"/>
      <c r="AS54" s="6"/>
      <c r="AT54" s="6">
        <v>1100</v>
      </c>
      <c r="AU54">
        <v>291</v>
      </c>
      <c r="AW54" s="54" t="str" cm="1">
        <f t="array" ref="AW54">IFERROR(VLOOKUP(DATA_MAYO_202684[[#This Row],[ASER_]],_xlfn._xlws.FILTER(PLANTILLA[[ASESOR]:[FECHA DE CESE]],PLANTILLA[FECHA]=_xlfn.CONCAT($M$3,"_",_xlfn.IFS($N$3="ENERO","1",$N$3="FEBRERO","2",$N$3="MARZO","3",$N$3="ABRIL","4",$N$3="MAYO","5",$N$3="JUNIO","6",$N$3="JULIO","7",$N$3="AGOSTO","8",$N$3="SETIEMBRE","9",$N$3="OCTUBRE","10",$N$3="NOVIEMBRE","11",$N$3="DICIEMBRE","12"))),8,0),"")</f>
        <v>S2-3-4 BANCO</v>
      </c>
      <c r="CO54" t="s">
        <v>636</v>
      </c>
      <c r="CP54" t="s">
        <v>604</v>
      </c>
      <c r="CQ54" t="s">
        <v>55</v>
      </c>
      <c r="CR54">
        <v>46162</v>
      </c>
      <c r="CS54">
        <v>1</v>
      </c>
      <c r="CT54">
        <v>1</v>
      </c>
      <c r="CV54">
        <v>1</v>
      </c>
      <c r="CX54">
        <v>2.0833333333333335E-4</v>
      </c>
      <c r="CY54">
        <v>2.0833333333333335E-4</v>
      </c>
      <c r="CZ54">
        <v>0.24733796296296295</v>
      </c>
      <c r="DA54">
        <v>0.13135416666666666</v>
      </c>
      <c r="DB54">
        <v>148</v>
      </c>
      <c r="DC54">
        <v>200</v>
      </c>
      <c r="DD54">
        <v>7</v>
      </c>
      <c r="DE54" t="s">
        <v>700</v>
      </c>
      <c r="DF54">
        <v>8159</v>
      </c>
      <c r="DG54">
        <v>4.7300000000000002E-2</v>
      </c>
      <c r="DH54">
        <v>2</v>
      </c>
      <c r="DI54">
        <v>0.28570000000000001</v>
      </c>
      <c r="DJ54">
        <v>390</v>
      </c>
      <c r="DK54">
        <v>195</v>
      </c>
      <c r="DL54">
        <v>390</v>
      </c>
      <c r="DM54">
        <v>1</v>
      </c>
      <c r="DN54">
        <v>0.1855</v>
      </c>
      <c r="DO54">
        <v>98</v>
      </c>
      <c r="DP54">
        <v>195</v>
      </c>
    </row>
    <row r="55" spans="1:120" x14ac:dyDescent="0.25">
      <c r="A55" s="34" t="str" cm="1">
        <f t="array" ref="A55">IFERROR(VLOOKUP(D1_MAYO_202681[[#This Row],[ASESOR_CRR]],_xlfn._xlws.FILTER(PLANTILLA[[ASESOR]:[FECHA DE CESE]],PLANTILLA[FECHA]=_xlfn.CONCAT($M$3,"_",_xlfn.IFS($N$3="ENERO","1",$N$3="FEBRERO","2",$N$3="MARZO","3",$N$3="ABRIL","4",$N$3="MAYO","5",$N$3="JUNIO","6",$N$3="JULIO","7",$N$3="AGOSTO","8",$N$3="SETIEMBRE","9",$N$3="OCTUBRE","10",$N$3="NOVIEMBRE","11",$N$3="DICIEMBRE","12"))),3,0),"")</f>
        <v>LEONOR</v>
      </c>
      <c r="B55" s="34" t="str" cm="1">
        <f t="array" ref="B55">TRIM(IFERROR(_xlfn.IFS(D1_MAYO_202681[[#This Row],[ASESOR]]="ELVIS GUERRA","ELVIS GUERRERA",D1_MAYO_202681[[#This Row],[ASESOR]]="GENESIS VICUÑA","GENESIS VICUNA",D1_MAYO_202681[[#This Row],[ASESOR]]="JENY QUIÑONES","JENY QUINONES",D1_MAYO_202681[[#This Row],[ASESOR]]="NICOLE CAURURO","NICOLE CAURURO"),D1_MAYO_202681[[#This Row],[ASESOR]]))</f>
        <v>GERALDINE ARROYO</v>
      </c>
      <c r="C55" s="34" cm="1">
        <f t="array" ref="C55">_xlfn.XLOOKUP(1,(TablaMeta[CONCAT]=$M$3&amp;$N$3&amp;D1_MAYO_202681[[#This Row],[SUPER]])*(TablaMeta[SEGG]=D1_MAYO_202681[[#This Row],[SEGMENTO]]),TablaMeta[Meta_Asesor])</f>
        <v>44700</v>
      </c>
      <c r="D55" s="35">
        <f>IF(D1_MAYO_202681[[#This Row],[RECUPERO]]="VACACIONES","VACACIONES",IFERROR(D1_MAYO_202681[[#This Row],[RECUPERO]]/D1_MAYO_202681[[#This Row],[META]],""))</f>
        <v>0.1360178970917226</v>
      </c>
      <c r="E55" s="35" t="str">
        <f>D1_MAYO_202681[[#This Row],[SUPER]]</f>
        <v>LEONOR</v>
      </c>
      <c r="F55" t="s">
        <v>51</v>
      </c>
      <c r="G55" s="36">
        <v>6080</v>
      </c>
      <c r="H55" s="34" cm="1">
        <f t="array" ref="H55">IFERROR(VLOOKUP(D1_MAYO_202681[[#This Row],[ASESOR_CRR]],_xlfn._xlws.FILTER(PLANTILLA[[ASESOR]:[FECHA DE CESE]],PLANTILLA[FECHA]=_xlfn.CONCAT($M$3,"_",_xlfn.IFS($N$3="ENERO","1",$N$3="FEBRERO","2",$N$3="MARZO","3",$N$3="ABRIL","4",$N$3="MAYO","5",$N$3="JUNIO","6",$N$3="JULIO","7",$N$3="AGOSTO","8",$N$3="SETIEMBRE","9",$N$3="OCTUBRE","10",$N$3="NOVIEMBRE","11",$N$3="DICIEMBRE","12"))),2,0),"")</f>
        <v>76089925</v>
      </c>
      <c r="I55" s="60" cm="1">
        <f t="array" ref="I55">IFERROR(VLOOKUP(D1_MAYO_202681[[#This Row],[ASESOR_CRR]],_xlfn._xlws.FILTER(PLANTILLA[[ASESOR]:[FECHA DE CESE]],PLANTILLA[FECHA]=_xlfn.CONCAT($M$3,"_",_xlfn.IFS($N$3="ENERO","1",$N$3="FEBRERO","2",$N$3="MARZO","3",$N$3="ABRIL","4",$N$3="MAYO","5",$N$3="JUNIO","6",$N$3="JULIO","7",$N$3="AGOSTO","8",$N$3="SETIEMBRE","9",$N$3="OCTUBRE","10",$N$3="NOVIEMBRE","11",$N$3="DICIEMBRE","12"))),6,0),"")</f>
        <v>45678</v>
      </c>
      <c r="J55" s="60" t="str" cm="1">
        <f t="array" ref="J55">IFERROR(VLOOKUP(D1_MAYO_202681[[#This Row],[ASESOR_CRR]],_xlfn._xlws.FILTER(PLANTILLA[[ASESOR]:[FECHA DE CESE]],PLANTILLA[FECHA]=_xlfn.CONCAT($M$3,"_",_xlfn.IFS($N$3="ENERO","1",$N$3="FEBRERO","2",$N$3="MARZO","3",$N$3="ABRIL","4",$N$3="MAYO","5",$N$3="JUNIO","6",$N$3="JULIO","7",$N$3="AGOSTO","8",$N$3="SETIEMBRE","9",$N$3="OCTUBRE","10",$N$3="NOVIEMBRE","11",$N$3="DICIEMBRE","12"))),4,0),"")</f>
        <v>CALL</v>
      </c>
      <c r="K55" s="60" t="str" cm="1">
        <f t="array" ref="K55">IFERROR(VLOOKUP(D1_MAYO_202681[[#This Row],[ASESOR_CRR]],_xlfn._xlws.FILTER(PLANTILLA[[ASESOR]:[FECHA DE CESE]],PLANTILLA[FECHA]=_xlfn.CONCAT($M$3,"_",_xlfn.IFS($N$3="ENERO","1",$N$3="FEBRERO","2",$N$3="MARZO","3",$N$3="ABRIL","4",$N$3="MAYO","5",$N$3="JUNIO","6",$N$3="JULIO","7",$N$3="AGOSTO","8",$N$3="SETIEMBRE","9",$N$3="OCTUBRE","10",$N$3="NOVIEMBRE","11",$N$3="DICIEMBRE","12"))),8,0),"")</f>
        <v>S1</v>
      </c>
      <c r="M55" s="5">
        <f>DATA_MAYO_202684[[#This Row],[RECUPERO]]/DATA_MAYO_202684[[#This Row],[META]]</f>
        <v>0.94208053691275173</v>
      </c>
      <c r="N55" s="5">
        <f>6-ROUNDUP(_xlfn.RANK.EQ(DATA_MAYO_202684[[#This Row],[AL_AC]],DATA_MAYO_202684[AL_AC],0)/(COUNTA(DATA_MAYO_202684[AL_AC])/5),0)</f>
        <v>4</v>
      </c>
      <c r="O55" s="54" t="str">
        <f>IFERROR(VLOOKUP(DATA_MAYO_202684[[#This Row],[ASER_]],$B:$G,4,0),"")</f>
        <v>JORGE</v>
      </c>
      <c r="P55" s="6">
        <f>SUM(DATA_MAYO_202684[[#This Row],[2]:[31]])</f>
        <v>42111</v>
      </c>
      <c r="Q55" s="6">
        <f>VLOOKUP(DATA_MAYO_202684[[#This Row],[ASER_]],D1_MAYO_202681[[ASESOR_CRR]:[META]],2,0)</f>
        <v>44700</v>
      </c>
      <c r="R55" t="s">
        <v>10</v>
      </c>
      <c r="W55">
        <v>16987</v>
      </c>
      <c r="AE55">
        <v>10300</v>
      </c>
      <c r="AF55">
        <v>2500</v>
      </c>
      <c r="AI55">
        <v>1000</v>
      </c>
      <c r="AK55" s="6">
        <v>4200</v>
      </c>
      <c r="AL55" s="6"/>
      <c r="AM55" s="6">
        <v>812</v>
      </c>
      <c r="AN55" s="6"/>
      <c r="AO55" s="6"/>
      <c r="AP55" s="6"/>
      <c r="AQ55" s="6"/>
      <c r="AR55" s="6"/>
      <c r="AS55" s="6">
        <v>435</v>
      </c>
      <c r="AT55" s="6">
        <v>5877</v>
      </c>
      <c r="AW55" s="54" t="str" cm="1">
        <f t="array" ref="AW55">IFERROR(VLOOKUP(DATA_MAYO_202684[[#This Row],[ASER_]],_xlfn._xlws.FILTER(PLANTILLA[[ASESOR]:[FECHA DE CESE]],PLANTILLA[FECHA]=_xlfn.CONCAT($M$3,"_",_xlfn.IFS($N$3="ENERO","1",$N$3="FEBRERO","2",$N$3="MARZO","3",$N$3="ABRIL","4",$N$3="MAYO","5",$N$3="JUNIO","6",$N$3="JULIO","7",$N$3="AGOSTO","8",$N$3="SETIEMBRE","9",$N$3="OCTUBRE","10",$N$3="NOVIEMBRE","11",$N$3="DICIEMBRE","12"))),8,0),"")</f>
        <v>S1</v>
      </c>
      <c r="CO55" t="s">
        <v>636</v>
      </c>
      <c r="CP55" t="s">
        <v>3</v>
      </c>
      <c r="CQ55" t="s">
        <v>58</v>
      </c>
      <c r="CR55">
        <v>46168</v>
      </c>
      <c r="CS55">
        <v>1</v>
      </c>
      <c r="CT55">
        <v>1</v>
      </c>
      <c r="CV55">
        <v>1</v>
      </c>
      <c r="CX55">
        <v>4.3981481481481481E-4</v>
      </c>
      <c r="CY55">
        <v>4.3981481481481481E-4</v>
      </c>
      <c r="CZ55">
        <v>0.17812500000000001</v>
      </c>
      <c r="DA55">
        <v>0.17732638888888888</v>
      </c>
      <c r="DB55">
        <v>114</v>
      </c>
      <c r="DC55">
        <v>255</v>
      </c>
      <c r="DD55">
        <v>33</v>
      </c>
      <c r="DE55" t="s">
        <v>701</v>
      </c>
      <c r="DF55">
        <v>30639</v>
      </c>
      <c r="DG55">
        <v>0.28949999999999998</v>
      </c>
      <c r="DH55">
        <v>3</v>
      </c>
      <c r="DI55">
        <v>9.0899999999999995E-2</v>
      </c>
      <c r="DJ55">
        <v>5150</v>
      </c>
      <c r="DK55">
        <v>1717</v>
      </c>
      <c r="DL55">
        <v>5150</v>
      </c>
      <c r="DM55">
        <v>1</v>
      </c>
      <c r="DN55">
        <v>0.17949999999999999</v>
      </c>
      <c r="DO55">
        <v>98</v>
      </c>
      <c r="DP55">
        <v>1717</v>
      </c>
    </row>
    <row r="56" spans="1:120" x14ac:dyDescent="0.25">
      <c r="A56" s="34" t="str" cm="1">
        <f t="array" ref="A56">IFERROR(VLOOKUP(D1_MAYO_202681[[#This Row],[ASESOR_CRR]],_xlfn._xlws.FILTER(PLANTILLA[[ASESOR]:[FECHA DE CESE]],PLANTILLA[FECHA]=_xlfn.CONCAT($M$3,"_",_xlfn.IFS($N$3="ENERO","1",$N$3="FEBRERO","2",$N$3="MARZO","3",$N$3="ABRIL","4",$N$3="MAYO","5",$N$3="JUNIO","6",$N$3="JULIO","7",$N$3="AGOSTO","8",$N$3="SETIEMBRE","9",$N$3="OCTUBRE","10",$N$3="NOVIEMBRE","11",$N$3="DICIEMBRE","12"))),3,0),"")</f>
        <v>SANDY</v>
      </c>
      <c r="B56" s="34" t="str" cm="1">
        <f t="array" ref="B56">TRIM(IFERROR(_xlfn.IFS(D1_MAYO_202681[[#This Row],[ASESOR]]="ELVIS GUERRA","ELVIS GUERRERA",D1_MAYO_202681[[#This Row],[ASESOR]]="GENESIS VICUÑA","GENESIS VICUNA",D1_MAYO_202681[[#This Row],[ASESOR]]="JENY QUIÑONES","JENY QUINONES",D1_MAYO_202681[[#This Row],[ASESOR]]="NICOLE CAURURO","NICOLE CAURURO"),D1_MAYO_202681[[#This Row],[ASESOR]]))</f>
        <v>CARLA VALENCIA</v>
      </c>
      <c r="C56" s="34" cm="1">
        <f t="array" ref="C56">_xlfn.XLOOKUP(1,(TablaMeta[CONCAT]=$M$3&amp;$N$3&amp;D1_MAYO_202681[[#This Row],[SUPER]])*(TablaMeta[SEGG]=D1_MAYO_202681[[#This Row],[SEGMENTO]]),TablaMeta[Meta_Asesor])</f>
        <v>38500</v>
      </c>
      <c r="D56" s="35">
        <f>IF(D1_MAYO_202681[[#This Row],[RECUPERO]]="VACACIONES","VACACIONES",IFERROR(D1_MAYO_202681[[#This Row],[RECUPERO]]/D1_MAYO_202681[[#This Row],[META]],""))</f>
        <v>0.12168831168831169</v>
      </c>
      <c r="E56" s="35" t="str">
        <f>D1_MAYO_202681[[#This Row],[SUPER]]</f>
        <v>SANDY</v>
      </c>
      <c r="F56" t="s">
        <v>174</v>
      </c>
      <c r="G56" s="36">
        <v>4685</v>
      </c>
      <c r="H56" s="34" cm="1">
        <f t="array" ref="H56">IFERROR(VLOOKUP(D1_MAYO_202681[[#This Row],[ASESOR_CRR]],_xlfn._xlws.FILTER(PLANTILLA[[ASESOR]:[FECHA DE CESE]],PLANTILLA[FECHA]=_xlfn.CONCAT($M$3,"_",_xlfn.IFS($N$3="ENERO","1",$N$3="FEBRERO","2",$N$3="MARZO","3",$N$3="ABRIL","4",$N$3="MAYO","5",$N$3="JUNIO","6",$N$3="JULIO","7",$N$3="AGOSTO","8",$N$3="SETIEMBRE","9",$N$3="OCTUBRE","10",$N$3="NOVIEMBRE","11",$N$3="DICIEMBRE","12"))),2,0),"")</f>
        <v>46994661</v>
      </c>
      <c r="I56" s="60" cm="1">
        <f t="array" ref="I56">IFERROR(VLOOKUP(D1_MAYO_202681[[#This Row],[ASESOR_CRR]],_xlfn._xlws.FILTER(PLANTILLA[[ASESOR]:[FECHA DE CESE]],PLANTILLA[FECHA]=_xlfn.CONCAT($M$3,"_",_xlfn.IFS($N$3="ENERO","1",$N$3="FEBRERO","2",$N$3="MARZO","3",$N$3="ABRIL","4",$N$3="MAYO","5",$N$3="JUNIO","6",$N$3="JULIO","7",$N$3="AGOSTO","8",$N$3="SETIEMBRE","9",$N$3="OCTUBRE","10",$N$3="NOVIEMBRE","11",$N$3="DICIEMBRE","12"))),6,0),"")</f>
        <v>45992</v>
      </c>
      <c r="J56" s="60" t="str" cm="1">
        <f t="array" ref="J56">IFERROR(VLOOKUP(D1_MAYO_202681[[#This Row],[ASESOR_CRR]],_xlfn._xlws.FILTER(PLANTILLA[[ASESOR]:[FECHA DE CESE]],PLANTILLA[FECHA]=_xlfn.CONCAT($M$3,"_",_xlfn.IFS($N$3="ENERO","1",$N$3="FEBRERO","2",$N$3="MARZO","3",$N$3="ABRIL","4",$N$3="MAYO","5",$N$3="JUNIO","6",$N$3="JULIO","7",$N$3="AGOSTO","8",$N$3="SETIEMBRE","9",$N$3="OCTUBRE","10",$N$3="NOVIEMBRE","11",$N$3="DICIEMBRE","12"))),4,0),"")</f>
        <v>CESADO</v>
      </c>
      <c r="K56" s="60" t="str" cm="1">
        <f t="array" ref="K56">IFERROR(VLOOKUP(D1_MAYO_202681[[#This Row],[ASESOR_CRR]],_xlfn._xlws.FILTER(PLANTILLA[[ASESOR]:[FECHA DE CESE]],PLANTILLA[FECHA]=_xlfn.CONCAT($M$3,"_",_xlfn.IFS($N$3="ENERO","1",$N$3="FEBRERO","2",$N$3="MARZO","3",$N$3="ABRIL","4",$N$3="MAYO","5",$N$3="JUNIO","6",$N$3="JULIO","7",$N$3="AGOSTO","8",$N$3="SETIEMBRE","9",$N$3="OCTUBRE","10",$N$3="NOVIEMBRE","11",$N$3="DICIEMBRE","12"))),8,0),"")</f>
        <v>S0</v>
      </c>
      <c r="M56" s="5">
        <f>DATA_MAYO_202684[[#This Row],[RECUPERO]]/DATA_MAYO_202684[[#This Row],[META]]</f>
        <v>0.18261011419249593</v>
      </c>
      <c r="N56" s="5">
        <f>6-ROUNDUP(_xlfn.RANK.EQ(DATA_MAYO_202684[[#This Row],[AL_AC]],DATA_MAYO_202684[AL_AC],0)/(COUNTA(DATA_MAYO_202684[AL_AC])/5),0)</f>
        <v>1</v>
      </c>
      <c r="O56" s="54" t="str">
        <f>IFERROR(VLOOKUP(DATA_MAYO_202684[[#This Row],[ASER_]],$B:$G,4,0),"")</f>
        <v>KENNETH</v>
      </c>
      <c r="P56" s="6">
        <f>SUM(DATA_MAYO_202684[[#This Row],[2]:[31]])</f>
        <v>11194</v>
      </c>
      <c r="Q56" s="6">
        <f>VLOOKUP(DATA_MAYO_202684[[#This Row],[ASER_]],D1_MAYO_202681[[ASESOR_CRR]:[META]],2,0)</f>
        <v>61300</v>
      </c>
      <c r="R56" t="s">
        <v>76</v>
      </c>
      <c r="W56">
        <v>500</v>
      </c>
      <c r="X56">
        <v>260</v>
      </c>
      <c r="AF56">
        <v>1500</v>
      </c>
      <c r="AJ56">
        <v>350</v>
      </c>
      <c r="AK56" s="6"/>
      <c r="AL56" s="6">
        <v>2930</v>
      </c>
      <c r="AM56" s="6">
        <v>1000</v>
      </c>
      <c r="AN56" s="6"/>
      <c r="AO56" s="6"/>
      <c r="AP56" s="6"/>
      <c r="AQ56" s="6">
        <v>1900</v>
      </c>
      <c r="AR56" s="6"/>
      <c r="AS56" s="6">
        <v>254</v>
      </c>
      <c r="AT56" s="6">
        <v>2500</v>
      </c>
      <c r="AW56" s="54" t="str" cm="1">
        <f t="array" ref="AW56">IFERROR(VLOOKUP(DATA_MAYO_202684[[#This Row],[ASER_]],_xlfn._xlws.FILTER(PLANTILLA[[ASESOR]:[FECHA DE CESE]],PLANTILLA[FECHA]=_xlfn.CONCAT($M$3,"_",_xlfn.IFS($N$3="ENERO","1",$N$3="FEBRERO","2",$N$3="MARZO","3",$N$3="ABRIL","4",$N$3="MAYO","5",$N$3="JUNIO","6",$N$3="JULIO","7",$N$3="AGOSTO","8",$N$3="SETIEMBRE","9",$N$3="OCTUBRE","10",$N$3="NOVIEMBRE","11",$N$3="DICIEMBRE","12"))),8,0),"")</f>
        <v>S0</v>
      </c>
      <c r="CO56" t="s">
        <v>636</v>
      </c>
      <c r="CP56" t="s">
        <v>3</v>
      </c>
      <c r="CQ56" t="s">
        <v>493</v>
      </c>
      <c r="CR56">
        <v>46156</v>
      </c>
      <c r="CS56">
        <v>1</v>
      </c>
      <c r="CT56">
        <v>1</v>
      </c>
      <c r="CV56">
        <v>1</v>
      </c>
      <c r="CX56">
        <v>1.7361111111111112E-4</v>
      </c>
      <c r="CY56">
        <v>1.7361111111111112E-4</v>
      </c>
      <c r="CZ56">
        <v>0.19256944444444443</v>
      </c>
      <c r="DA56">
        <v>0.13067129629629629</v>
      </c>
      <c r="DB56">
        <v>114</v>
      </c>
      <c r="DC56">
        <v>197</v>
      </c>
      <c r="DD56">
        <v>23</v>
      </c>
      <c r="DE56" t="s">
        <v>702</v>
      </c>
      <c r="DF56">
        <v>9687</v>
      </c>
      <c r="DG56">
        <v>0.20180000000000001</v>
      </c>
      <c r="DH56">
        <v>3</v>
      </c>
      <c r="DI56">
        <v>0.13039999999999999</v>
      </c>
      <c r="DJ56">
        <v>3150</v>
      </c>
      <c r="DK56">
        <v>1050</v>
      </c>
      <c r="DL56">
        <v>3150</v>
      </c>
      <c r="DM56">
        <v>1</v>
      </c>
      <c r="DN56">
        <v>0.1268</v>
      </c>
      <c r="DO56">
        <v>98</v>
      </c>
      <c r="DP56">
        <v>1050</v>
      </c>
    </row>
    <row r="57" spans="1:120" x14ac:dyDescent="0.25">
      <c r="M57" s="5">
        <f>DATA_MAYO_202684[[#This Row],[RECUPERO]]/DATA_MAYO_202684[[#This Row],[META]]</f>
        <v>0.16850828729281769</v>
      </c>
      <c r="N57" s="5">
        <f>6-ROUNDUP(_xlfn.RANK.EQ(DATA_MAYO_202684[[#This Row],[AL_AC]],DATA_MAYO_202684[AL_AC],0)/(COUNTA(DATA_MAYO_202684[AL_AC])/5),0)</f>
        <v>1</v>
      </c>
      <c r="O57" s="54" t="str">
        <f>IFERROR(VLOOKUP(DATA_MAYO_202684[[#This Row],[ASER_]],$B:$G,4,0),"")</f>
        <v>LISELY</v>
      </c>
      <c r="P57" s="6">
        <f>SUM(DATA_MAYO_202684[[#This Row],[2]:[31]])</f>
        <v>3050</v>
      </c>
      <c r="Q57" s="6">
        <f>VLOOKUP(DATA_MAYO_202684[[#This Row],[ASER_]],D1_MAYO_202681[[ASESOR_CRR]:[META]],2,0)</f>
        <v>18100</v>
      </c>
      <c r="R57" t="s">
        <v>601</v>
      </c>
      <c r="Y57">
        <v>1800</v>
      </c>
      <c r="AE57">
        <v>500</v>
      </c>
      <c r="AF57">
        <v>250</v>
      </c>
      <c r="AK57" s="6"/>
      <c r="AL57" s="6"/>
      <c r="AM57" s="6"/>
      <c r="AN57" s="6"/>
      <c r="AO57" s="6"/>
      <c r="AP57" s="6">
        <v>500</v>
      </c>
      <c r="AQ57" s="6"/>
      <c r="AR57" s="6"/>
      <c r="AS57" s="6"/>
      <c r="AT57" s="6"/>
      <c r="AW57" s="54" t="str" cm="1">
        <f t="array" ref="AW57">IFERROR(VLOOKUP(DATA_MAYO_202684[[#This Row],[ASER_]],_xlfn._xlws.FILTER(PLANTILLA[[ASESOR]:[FECHA DE CESE]],PLANTILLA[FECHA]=_xlfn.CONCAT($M$3,"_",_xlfn.IFS($N$3="ENERO","1",$N$3="FEBRERO","2",$N$3="MARZO","3",$N$3="ABRIL","4",$N$3="MAYO","5",$N$3="JUNIO","6",$N$3="JULIO","7",$N$3="AGOSTO","8",$N$3="SETIEMBRE","9",$N$3="OCTUBRE","10",$N$3="NOVIEMBRE","11",$N$3="DICIEMBRE","12"))),8,0),"")</f>
        <v>S2-3-4 MIX</v>
      </c>
      <c r="CO57" t="s">
        <v>636</v>
      </c>
      <c r="CP57" t="s">
        <v>2</v>
      </c>
      <c r="CQ57" t="s">
        <v>24</v>
      </c>
      <c r="CR57">
        <v>46160</v>
      </c>
      <c r="CS57">
        <v>1</v>
      </c>
      <c r="CT57">
        <v>1</v>
      </c>
      <c r="CV57">
        <v>1</v>
      </c>
      <c r="CX57">
        <v>6.9444444444444447E-4</v>
      </c>
      <c r="CY57">
        <v>6.9444444444444447E-4</v>
      </c>
      <c r="CZ57">
        <v>0.17578703703703705</v>
      </c>
      <c r="DA57">
        <v>0.17126157407407408</v>
      </c>
      <c r="DB57">
        <v>37</v>
      </c>
      <c r="DC57">
        <v>86</v>
      </c>
      <c r="DD57">
        <v>16</v>
      </c>
      <c r="DE57">
        <v>2</v>
      </c>
      <c r="DF57">
        <v>30990</v>
      </c>
      <c r="DG57">
        <v>0.43240000000000001</v>
      </c>
      <c r="DH57">
        <v>2</v>
      </c>
      <c r="DI57">
        <v>0.125</v>
      </c>
      <c r="DJ57">
        <v>9500</v>
      </c>
      <c r="DK57">
        <v>4750</v>
      </c>
      <c r="DL57">
        <v>9500</v>
      </c>
      <c r="DM57">
        <v>1</v>
      </c>
      <c r="DN57">
        <v>0.1336</v>
      </c>
      <c r="DO57">
        <v>96</v>
      </c>
      <c r="DP57">
        <v>4750</v>
      </c>
    </row>
    <row r="58" spans="1:120" x14ac:dyDescent="0.25">
      <c r="CO58" t="s">
        <v>636</v>
      </c>
      <c r="CP58" t="s">
        <v>2</v>
      </c>
      <c r="CQ58" t="s">
        <v>65</v>
      </c>
      <c r="CR58">
        <v>46163</v>
      </c>
      <c r="CS58">
        <v>1</v>
      </c>
      <c r="CT58">
        <v>1</v>
      </c>
      <c r="CV58">
        <v>1</v>
      </c>
      <c r="CX58">
        <v>3.3564814814814812E-4</v>
      </c>
      <c r="CY58">
        <v>3.3564814814814812E-4</v>
      </c>
      <c r="CZ58">
        <v>0.20640046296296297</v>
      </c>
      <c r="DA58">
        <v>0.12927083333333333</v>
      </c>
      <c r="DB58">
        <v>46</v>
      </c>
      <c r="DC58">
        <v>100</v>
      </c>
      <c r="DD58">
        <v>12</v>
      </c>
      <c r="DE58" t="s">
        <v>703</v>
      </c>
      <c r="DF58">
        <v>6998</v>
      </c>
      <c r="DG58">
        <v>0.26090000000000002</v>
      </c>
      <c r="DH58">
        <v>3</v>
      </c>
      <c r="DI58">
        <v>0.25</v>
      </c>
      <c r="DJ58">
        <v>2439</v>
      </c>
      <c r="DK58">
        <v>813</v>
      </c>
      <c r="DL58">
        <v>2439</v>
      </c>
      <c r="DM58">
        <v>1</v>
      </c>
      <c r="DN58">
        <v>0.18240000000000001</v>
      </c>
      <c r="DO58">
        <v>96</v>
      </c>
      <c r="DP58">
        <v>813</v>
      </c>
    </row>
    <row r="59" spans="1:120" x14ac:dyDescent="0.25">
      <c r="CO59" t="s">
        <v>636</v>
      </c>
      <c r="CP59" t="s">
        <v>6</v>
      </c>
      <c r="CQ59" t="s">
        <v>35</v>
      </c>
      <c r="CR59">
        <v>46157</v>
      </c>
      <c r="CS59">
        <v>1</v>
      </c>
      <c r="CT59">
        <v>1</v>
      </c>
      <c r="CV59">
        <v>1</v>
      </c>
      <c r="CX59">
        <v>1.273148148148148E-4</v>
      </c>
      <c r="CY59">
        <v>1.273148148148148E-4</v>
      </c>
      <c r="CZ59">
        <v>0.16722222222222222</v>
      </c>
      <c r="DA59">
        <v>0.17499999999999999</v>
      </c>
      <c r="DB59">
        <v>39</v>
      </c>
      <c r="DC59">
        <v>61</v>
      </c>
      <c r="DD59">
        <v>13</v>
      </c>
      <c r="DE59" t="s">
        <v>704</v>
      </c>
      <c r="DF59">
        <v>45181</v>
      </c>
      <c r="DG59">
        <v>0.33329999999999999</v>
      </c>
      <c r="DH59">
        <v>2</v>
      </c>
      <c r="DI59">
        <v>0.15379999999999999</v>
      </c>
      <c r="DJ59">
        <v>2430</v>
      </c>
      <c r="DK59">
        <v>1215</v>
      </c>
      <c r="DL59">
        <v>2430</v>
      </c>
      <c r="DM59">
        <v>1</v>
      </c>
      <c r="DN59">
        <v>0.28870000000000001</v>
      </c>
      <c r="DO59">
        <v>96</v>
      </c>
      <c r="DP59">
        <v>1215</v>
      </c>
    </row>
    <row r="60" spans="1:120" x14ac:dyDescent="0.25">
      <c r="CO60" t="s">
        <v>636</v>
      </c>
      <c r="CP60" t="s">
        <v>6</v>
      </c>
      <c r="CQ60" t="s">
        <v>35</v>
      </c>
      <c r="CR60">
        <v>46170</v>
      </c>
      <c r="CS60">
        <v>1</v>
      </c>
      <c r="CT60">
        <v>1</v>
      </c>
      <c r="CV60">
        <v>1</v>
      </c>
      <c r="CX60">
        <v>2.3148148148148147E-5</v>
      </c>
      <c r="CY60">
        <v>2.3148148148148147E-5</v>
      </c>
      <c r="CZ60">
        <v>0.13620370370370372</v>
      </c>
      <c r="DA60">
        <v>0.20118055555555556</v>
      </c>
      <c r="DB60">
        <v>60</v>
      </c>
      <c r="DC60">
        <v>103</v>
      </c>
      <c r="DD60">
        <v>19</v>
      </c>
      <c r="DE60" t="s">
        <v>691</v>
      </c>
      <c r="DF60">
        <v>36544</v>
      </c>
      <c r="DG60">
        <v>0.31669999999999998</v>
      </c>
      <c r="DH60">
        <v>2</v>
      </c>
      <c r="DI60">
        <v>0.1053</v>
      </c>
      <c r="DJ60">
        <v>1800</v>
      </c>
      <c r="DK60">
        <v>900</v>
      </c>
      <c r="DL60">
        <v>1800</v>
      </c>
      <c r="DM60">
        <v>1</v>
      </c>
      <c r="DN60">
        <v>0.1164</v>
      </c>
      <c r="DO60">
        <v>96</v>
      </c>
      <c r="DP60">
        <v>900</v>
      </c>
    </row>
    <row r="61" spans="1:120" x14ac:dyDescent="0.25">
      <c r="CO61" t="s">
        <v>636</v>
      </c>
      <c r="CP61" t="s">
        <v>6</v>
      </c>
      <c r="CQ61" t="s">
        <v>97</v>
      </c>
      <c r="CR61">
        <v>46164</v>
      </c>
      <c r="CS61">
        <v>1</v>
      </c>
      <c r="CT61">
        <v>1</v>
      </c>
      <c r="CV61">
        <v>1</v>
      </c>
      <c r="CX61">
        <v>2.3148148148148147E-5</v>
      </c>
      <c r="CY61">
        <v>2.3148148148148147E-5</v>
      </c>
      <c r="CZ61">
        <v>0.19712962962962963</v>
      </c>
      <c r="DA61">
        <v>0.1408912037037037</v>
      </c>
      <c r="DB61">
        <v>119</v>
      </c>
      <c r="DC61">
        <v>153</v>
      </c>
      <c r="DD61">
        <v>14</v>
      </c>
      <c r="DE61" t="s">
        <v>705</v>
      </c>
      <c r="DF61">
        <v>14519</v>
      </c>
      <c r="DG61">
        <v>0.1176</v>
      </c>
      <c r="DH61">
        <v>1</v>
      </c>
      <c r="DI61">
        <v>7.1400000000000005E-2</v>
      </c>
      <c r="DJ61">
        <v>130</v>
      </c>
      <c r="DK61">
        <v>130</v>
      </c>
      <c r="DL61">
        <v>130</v>
      </c>
      <c r="DM61">
        <v>1</v>
      </c>
      <c r="DN61">
        <v>0.1855</v>
      </c>
      <c r="DO61">
        <v>96</v>
      </c>
      <c r="DP61">
        <v>130</v>
      </c>
    </row>
    <row r="62" spans="1:120" x14ac:dyDescent="0.25">
      <c r="CO62" t="s">
        <v>636</v>
      </c>
      <c r="CP62" t="s">
        <v>7</v>
      </c>
      <c r="CQ62" t="s">
        <v>60</v>
      </c>
      <c r="CR62">
        <v>46164</v>
      </c>
      <c r="CS62">
        <v>1</v>
      </c>
      <c r="CT62">
        <v>1</v>
      </c>
      <c r="CV62">
        <v>1</v>
      </c>
      <c r="CX62">
        <v>9.2592592592592588E-5</v>
      </c>
      <c r="CY62">
        <v>9.2592592592592588E-5</v>
      </c>
      <c r="CZ62">
        <v>0.18922453703703704</v>
      </c>
      <c r="DA62">
        <v>0.13295138888888888</v>
      </c>
      <c r="DB62">
        <v>116</v>
      </c>
      <c r="DC62">
        <v>141</v>
      </c>
      <c r="DD62">
        <v>5</v>
      </c>
      <c r="DE62">
        <v>2.6</v>
      </c>
      <c r="DF62">
        <v>19922</v>
      </c>
      <c r="DG62">
        <v>4.3099999999999999E-2</v>
      </c>
      <c r="DH62">
        <v>1</v>
      </c>
      <c r="DI62">
        <v>0.2</v>
      </c>
      <c r="DJ62">
        <v>3116</v>
      </c>
      <c r="DK62">
        <v>3116</v>
      </c>
      <c r="DL62">
        <v>3116</v>
      </c>
      <c r="DM62">
        <v>1.0001</v>
      </c>
      <c r="DN62">
        <v>0.18010000000000001</v>
      </c>
      <c r="DO62">
        <v>96</v>
      </c>
      <c r="DP62">
        <v>3116</v>
      </c>
    </row>
    <row r="63" spans="1:120" x14ac:dyDescent="0.25">
      <c r="CO63" t="s">
        <v>636</v>
      </c>
      <c r="CP63" t="s">
        <v>7</v>
      </c>
      <c r="CQ63" t="s">
        <v>60</v>
      </c>
      <c r="CR63">
        <v>46168</v>
      </c>
      <c r="CS63">
        <v>1</v>
      </c>
      <c r="CT63">
        <v>1</v>
      </c>
      <c r="CV63">
        <v>1</v>
      </c>
      <c r="CX63">
        <v>3.3564814814814812E-4</v>
      </c>
      <c r="CY63">
        <v>3.3564814814814812E-4</v>
      </c>
      <c r="CZ63">
        <v>0.19028935185185186</v>
      </c>
      <c r="DA63">
        <v>0.12444444444444444</v>
      </c>
      <c r="DB63">
        <v>153</v>
      </c>
      <c r="DC63">
        <v>213</v>
      </c>
      <c r="DD63">
        <v>9</v>
      </c>
      <c r="DE63" t="s">
        <v>706</v>
      </c>
      <c r="DF63">
        <v>49226</v>
      </c>
      <c r="DG63">
        <v>5.8799999999999998E-2</v>
      </c>
      <c r="DH63">
        <v>1</v>
      </c>
      <c r="DI63">
        <v>0.1111</v>
      </c>
      <c r="DJ63">
        <v>1600</v>
      </c>
      <c r="DK63">
        <v>1600</v>
      </c>
      <c r="DL63">
        <v>1600</v>
      </c>
      <c r="DM63">
        <v>1</v>
      </c>
      <c r="DN63">
        <v>0.2286</v>
      </c>
      <c r="DO63">
        <v>96</v>
      </c>
      <c r="DP63">
        <v>1600</v>
      </c>
    </row>
    <row r="64" spans="1:120" x14ac:dyDescent="0.25">
      <c r="CO64" t="s">
        <v>636</v>
      </c>
      <c r="CP64" t="s">
        <v>7</v>
      </c>
      <c r="CQ64" t="s">
        <v>61</v>
      </c>
      <c r="CR64">
        <v>46150</v>
      </c>
      <c r="CS64">
        <v>1</v>
      </c>
      <c r="CT64">
        <v>1</v>
      </c>
      <c r="CV64">
        <v>1</v>
      </c>
      <c r="CX64">
        <v>3.460648148148148E-3</v>
      </c>
      <c r="CY64">
        <v>3.460648148148148E-3</v>
      </c>
      <c r="CZ64">
        <v>0.18626157407407407</v>
      </c>
      <c r="DA64">
        <v>9.9513888888888888E-2</v>
      </c>
      <c r="DB64">
        <v>80</v>
      </c>
      <c r="DC64">
        <v>171</v>
      </c>
      <c r="DD64">
        <v>9</v>
      </c>
      <c r="DE64">
        <v>2</v>
      </c>
      <c r="DF64">
        <v>24544</v>
      </c>
      <c r="DG64">
        <v>0.1125</v>
      </c>
      <c r="DH64">
        <v>1</v>
      </c>
      <c r="DI64">
        <v>0.1111</v>
      </c>
      <c r="DJ64">
        <v>8000</v>
      </c>
      <c r="DK64">
        <v>8000</v>
      </c>
      <c r="DL64">
        <v>8000</v>
      </c>
      <c r="DM64">
        <v>1</v>
      </c>
      <c r="DN64">
        <v>0.10829999999999999</v>
      </c>
      <c r="DO64">
        <v>96</v>
      </c>
      <c r="DP64">
        <v>8000</v>
      </c>
    </row>
    <row r="65" spans="93:120" x14ac:dyDescent="0.25">
      <c r="CO65" t="s">
        <v>636</v>
      </c>
      <c r="CP65" t="s">
        <v>7</v>
      </c>
      <c r="CQ65" t="s">
        <v>80</v>
      </c>
      <c r="CR65">
        <v>46169</v>
      </c>
      <c r="CS65">
        <v>1</v>
      </c>
      <c r="CT65">
        <v>1</v>
      </c>
      <c r="CV65">
        <v>1</v>
      </c>
      <c r="CX65">
        <v>5.7870370370370373E-5</v>
      </c>
      <c r="CY65">
        <v>5.7870370370370373E-5</v>
      </c>
      <c r="CZ65">
        <v>0.15865740740740741</v>
      </c>
      <c r="DA65">
        <v>0.18075231481481482</v>
      </c>
      <c r="DB65">
        <v>91</v>
      </c>
      <c r="DC65">
        <v>186</v>
      </c>
      <c r="DD65">
        <v>10</v>
      </c>
      <c r="DE65">
        <v>3.1</v>
      </c>
      <c r="DF65">
        <v>32263</v>
      </c>
      <c r="DG65">
        <v>0.1099</v>
      </c>
      <c r="DH65">
        <v>1</v>
      </c>
      <c r="DI65">
        <v>0.1</v>
      </c>
      <c r="DJ65">
        <v>8500</v>
      </c>
      <c r="DK65">
        <v>8500</v>
      </c>
      <c r="DL65">
        <v>8500</v>
      </c>
      <c r="DM65">
        <v>1</v>
      </c>
      <c r="DN65">
        <v>0.13969999999999999</v>
      </c>
      <c r="DO65">
        <v>96</v>
      </c>
      <c r="DP65">
        <v>8500</v>
      </c>
    </row>
    <row r="66" spans="93:120" x14ac:dyDescent="0.25">
      <c r="CO66" t="s">
        <v>636</v>
      </c>
      <c r="CP66" t="s">
        <v>7</v>
      </c>
      <c r="CQ66" t="s">
        <v>80</v>
      </c>
      <c r="CR66">
        <v>46171</v>
      </c>
      <c r="CS66">
        <v>1</v>
      </c>
      <c r="CT66">
        <v>1</v>
      </c>
      <c r="CV66">
        <v>1</v>
      </c>
      <c r="CX66">
        <v>2.3148148148148147E-5</v>
      </c>
      <c r="CY66">
        <v>2.3148148148148147E-5</v>
      </c>
      <c r="CZ66">
        <v>8.6458333333333331E-2</v>
      </c>
      <c r="DA66">
        <v>0.2928472222222222</v>
      </c>
      <c r="DB66">
        <v>68</v>
      </c>
      <c r="DC66">
        <v>150</v>
      </c>
      <c r="DD66">
        <v>9</v>
      </c>
      <c r="DE66" t="s">
        <v>707</v>
      </c>
      <c r="DF66">
        <v>32391</v>
      </c>
      <c r="DG66">
        <v>0.13239999999999999</v>
      </c>
      <c r="DH66">
        <v>2</v>
      </c>
      <c r="DI66">
        <v>0.22220000000000001</v>
      </c>
      <c r="DJ66">
        <v>8260</v>
      </c>
      <c r="DK66">
        <v>4130</v>
      </c>
      <c r="DL66">
        <v>8260</v>
      </c>
      <c r="DM66">
        <v>1</v>
      </c>
      <c r="DN66">
        <v>0.16289999999999999</v>
      </c>
      <c r="DO66">
        <v>96</v>
      </c>
      <c r="DP66">
        <v>4130</v>
      </c>
    </row>
    <row r="67" spans="93:120" x14ac:dyDescent="0.25">
      <c r="CO67" t="s">
        <v>636</v>
      </c>
      <c r="CP67" t="s">
        <v>7</v>
      </c>
      <c r="CQ67" t="s">
        <v>72</v>
      </c>
      <c r="CR67">
        <v>46148</v>
      </c>
      <c r="CS67">
        <v>1</v>
      </c>
      <c r="CT67">
        <v>1</v>
      </c>
      <c r="CV67">
        <v>1</v>
      </c>
      <c r="CX67">
        <v>1.5046296296296297E-4</v>
      </c>
      <c r="CY67">
        <v>1.5046296296296297E-4</v>
      </c>
      <c r="CZ67">
        <v>0.17059027777777777</v>
      </c>
      <c r="DA67">
        <v>0.14596064814814816</v>
      </c>
      <c r="DB67">
        <v>140</v>
      </c>
      <c r="DC67">
        <v>392</v>
      </c>
      <c r="DD67">
        <v>20</v>
      </c>
      <c r="DE67">
        <v>1.65</v>
      </c>
      <c r="DF67">
        <v>19890</v>
      </c>
      <c r="DG67">
        <v>0.1429</v>
      </c>
      <c r="DH67">
        <v>2</v>
      </c>
      <c r="DI67">
        <v>0.1</v>
      </c>
      <c r="DJ67">
        <v>11300</v>
      </c>
      <c r="DK67">
        <v>5650</v>
      </c>
      <c r="DL67">
        <v>11300</v>
      </c>
      <c r="DM67">
        <v>1</v>
      </c>
      <c r="DN67">
        <v>0.1074</v>
      </c>
      <c r="DO67">
        <v>96</v>
      </c>
      <c r="DP67">
        <v>5650</v>
      </c>
    </row>
    <row r="68" spans="93:120" x14ac:dyDescent="0.25">
      <c r="CO68" t="s">
        <v>636</v>
      </c>
      <c r="CP68" t="s">
        <v>7</v>
      </c>
      <c r="CQ68" t="s">
        <v>12</v>
      </c>
      <c r="CR68">
        <v>46156</v>
      </c>
      <c r="CS68">
        <v>1</v>
      </c>
      <c r="CT68">
        <v>1</v>
      </c>
      <c r="CV68">
        <v>1</v>
      </c>
      <c r="CX68">
        <v>5.7870370370370373E-5</v>
      </c>
      <c r="CY68">
        <v>5.7870370370370373E-5</v>
      </c>
      <c r="CZ68">
        <v>0.17006944444444444</v>
      </c>
      <c r="DA68">
        <v>0.16846064814814815</v>
      </c>
      <c r="DB68">
        <v>105</v>
      </c>
      <c r="DC68">
        <v>316</v>
      </c>
      <c r="DD68">
        <v>20</v>
      </c>
      <c r="DE68">
        <v>1.65</v>
      </c>
      <c r="DF68">
        <v>21473</v>
      </c>
      <c r="DG68">
        <v>0.1905</v>
      </c>
      <c r="DH68">
        <v>1</v>
      </c>
      <c r="DI68">
        <v>0.05</v>
      </c>
      <c r="DJ68">
        <v>300</v>
      </c>
      <c r="DK68">
        <v>300</v>
      </c>
      <c r="DL68">
        <v>300</v>
      </c>
      <c r="DM68">
        <v>1</v>
      </c>
      <c r="DN68">
        <v>0.2094</v>
      </c>
      <c r="DO68">
        <v>96</v>
      </c>
      <c r="DP68">
        <v>300</v>
      </c>
    </row>
    <row r="69" spans="93:120" x14ac:dyDescent="0.25">
      <c r="CO69" t="s">
        <v>636</v>
      </c>
      <c r="CP69" t="s">
        <v>7</v>
      </c>
      <c r="CQ69" t="s">
        <v>12</v>
      </c>
      <c r="CR69">
        <v>46160</v>
      </c>
      <c r="CS69">
        <v>1</v>
      </c>
      <c r="CT69">
        <v>1</v>
      </c>
      <c r="CV69">
        <v>1</v>
      </c>
      <c r="CX69">
        <v>2.8935185185185184E-4</v>
      </c>
      <c r="CY69">
        <v>2.8935185185185184E-4</v>
      </c>
      <c r="CZ69">
        <v>0.19226851851851851</v>
      </c>
      <c r="DA69">
        <v>0.14787037037037037</v>
      </c>
      <c r="DB69">
        <v>68</v>
      </c>
      <c r="DC69">
        <v>200</v>
      </c>
      <c r="DD69">
        <v>20</v>
      </c>
      <c r="DE69">
        <v>1.8</v>
      </c>
      <c r="DF69">
        <v>24854</v>
      </c>
      <c r="DG69">
        <v>0.29409999999999997</v>
      </c>
      <c r="DH69">
        <v>3</v>
      </c>
      <c r="DI69">
        <v>0.15</v>
      </c>
      <c r="DJ69">
        <v>9128</v>
      </c>
      <c r="DK69">
        <v>3043</v>
      </c>
      <c r="DL69">
        <v>9128</v>
      </c>
      <c r="DM69">
        <v>1</v>
      </c>
      <c r="DN69">
        <v>0.1113</v>
      </c>
      <c r="DO69">
        <v>96</v>
      </c>
      <c r="DP69">
        <v>3043</v>
      </c>
    </row>
    <row r="70" spans="93:120" x14ac:dyDescent="0.25">
      <c r="CO70" t="s">
        <v>636</v>
      </c>
      <c r="CP70" t="s">
        <v>7</v>
      </c>
      <c r="CQ70" t="s">
        <v>59</v>
      </c>
      <c r="CR70">
        <v>46147</v>
      </c>
      <c r="CS70">
        <v>1</v>
      </c>
      <c r="CT70">
        <v>1</v>
      </c>
      <c r="CV70">
        <v>1</v>
      </c>
      <c r="CX70">
        <v>2.0370370370370369E-3</v>
      </c>
      <c r="CY70">
        <v>2.0370370370370369E-3</v>
      </c>
      <c r="CZ70">
        <v>0.28916666666666668</v>
      </c>
      <c r="DA70">
        <v>0.1340625</v>
      </c>
      <c r="DB70">
        <v>271</v>
      </c>
      <c r="DC70">
        <v>457</v>
      </c>
      <c r="DD70">
        <v>22</v>
      </c>
      <c r="DE70" t="s">
        <v>681</v>
      </c>
      <c r="DF70">
        <v>31931</v>
      </c>
      <c r="DG70">
        <v>8.1199999999999994E-2</v>
      </c>
      <c r="DH70">
        <v>2</v>
      </c>
      <c r="DI70">
        <v>9.0899999999999995E-2</v>
      </c>
      <c r="DJ70">
        <v>6600</v>
      </c>
      <c r="DK70">
        <v>3300</v>
      </c>
      <c r="DL70">
        <v>5600</v>
      </c>
      <c r="DM70">
        <v>0.84850000000000003</v>
      </c>
      <c r="DN70">
        <v>0.10100000000000001</v>
      </c>
      <c r="DO70">
        <v>96</v>
      </c>
      <c r="DP70">
        <v>5600</v>
      </c>
    </row>
    <row r="71" spans="93:120" x14ac:dyDescent="0.25">
      <c r="CO71" t="s">
        <v>636</v>
      </c>
      <c r="CP71" t="s">
        <v>7</v>
      </c>
      <c r="CQ71" t="s">
        <v>59</v>
      </c>
      <c r="CR71">
        <v>46170</v>
      </c>
      <c r="CS71">
        <v>1</v>
      </c>
      <c r="CT71">
        <v>1</v>
      </c>
      <c r="CV71">
        <v>1</v>
      </c>
      <c r="CX71">
        <v>1.3888888888888889E-4</v>
      </c>
      <c r="CY71">
        <v>1.3888888888888889E-4</v>
      </c>
      <c r="CZ71">
        <v>0.10421296296296297</v>
      </c>
      <c r="DA71">
        <v>0.24332175925925925</v>
      </c>
      <c r="DB71">
        <v>86</v>
      </c>
      <c r="DC71">
        <v>167</v>
      </c>
      <c r="DD71">
        <v>11</v>
      </c>
      <c r="DE71" t="s">
        <v>671</v>
      </c>
      <c r="DF71">
        <v>48231</v>
      </c>
      <c r="DG71">
        <v>0.12790000000000001</v>
      </c>
      <c r="DH71">
        <v>2</v>
      </c>
      <c r="DI71">
        <v>0.18179999999999999</v>
      </c>
      <c r="DJ71">
        <v>7200</v>
      </c>
      <c r="DK71">
        <v>3600</v>
      </c>
      <c r="DL71">
        <v>7200</v>
      </c>
      <c r="DM71">
        <v>1</v>
      </c>
      <c r="DN71">
        <v>8.6099999999999996E-2</v>
      </c>
      <c r="DO71">
        <v>96</v>
      </c>
      <c r="DP71">
        <v>3600</v>
      </c>
    </row>
    <row r="72" spans="93:120" x14ac:dyDescent="0.25">
      <c r="CO72" t="s">
        <v>636</v>
      </c>
      <c r="CP72" t="s">
        <v>604</v>
      </c>
      <c r="CQ72" t="s">
        <v>495</v>
      </c>
      <c r="CR72">
        <v>46164</v>
      </c>
      <c r="CS72">
        <v>1</v>
      </c>
      <c r="CT72">
        <v>1</v>
      </c>
      <c r="CV72">
        <v>1</v>
      </c>
      <c r="CX72">
        <v>1.7361111111111112E-4</v>
      </c>
      <c r="CY72">
        <v>1.7361111111111112E-4</v>
      </c>
      <c r="CZ72">
        <v>0.19339120370370369</v>
      </c>
      <c r="DA72">
        <v>0.15710648148148149</v>
      </c>
      <c r="DB72">
        <v>99</v>
      </c>
      <c r="DC72">
        <v>270</v>
      </c>
      <c r="DD72">
        <v>17</v>
      </c>
      <c r="DE72" t="s">
        <v>670</v>
      </c>
      <c r="DF72">
        <v>23997</v>
      </c>
      <c r="DG72">
        <v>0.17169999999999999</v>
      </c>
      <c r="DH72">
        <v>2</v>
      </c>
      <c r="DI72">
        <v>0.1176</v>
      </c>
      <c r="DJ72">
        <v>5500</v>
      </c>
      <c r="DK72">
        <v>2750</v>
      </c>
      <c r="DL72">
        <v>5500</v>
      </c>
      <c r="DM72">
        <v>1</v>
      </c>
      <c r="DN72">
        <v>0.1042</v>
      </c>
      <c r="DO72">
        <v>96</v>
      </c>
      <c r="DP72">
        <v>2750</v>
      </c>
    </row>
    <row r="73" spans="93:120" x14ac:dyDescent="0.25">
      <c r="CO73" t="s">
        <v>636</v>
      </c>
      <c r="CP73" t="s">
        <v>604</v>
      </c>
      <c r="CQ73" t="s">
        <v>599</v>
      </c>
      <c r="CR73">
        <v>46160</v>
      </c>
      <c r="CS73">
        <v>1</v>
      </c>
      <c r="CT73">
        <v>1</v>
      </c>
      <c r="CV73">
        <v>1</v>
      </c>
      <c r="CX73">
        <v>9.2592592592592588E-5</v>
      </c>
      <c r="CY73">
        <v>9.2592592592592588E-5</v>
      </c>
      <c r="CZ73">
        <v>0.19</v>
      </c>
      <c r="DA73">
        <v>0.12989583333333332</v>
      </c>
      <c r="DB73">
        <v>114</v>
      </c>
      <c r="DC73">
        <v>150</v>
      </c>
      <c r="DD73">
        <v>26</v>
      </c>
      <c r="DE73" t="s">
        <v>708</v>
      </c>
      <c r="DF73">
        <v>7631</v>
      </c>
      <c r="DG73">
        <v>0.2281</v>
      </c>
      <c r="DH73">
        <v>3</v>
      </c>
      <c r="DI73">
        <v>0.1154</v>
      </c>
      <c r="DJ73">
        <v>725</v>
      </c>
      <c r="DK73">
        <v>242</v>
      </c>
      <c r="DL73">
        <v>725</v>
      </c>
      <c r="DM73">
        <v>1</v>
      </c>
      <c r="DN73">
        <v>0.42259999999999998</v>
      </c>
      <c r="DO73">
        <v>96</v>
      </c>
      <c r="DP73">
        <v>242</v>
      </c>
    </row>
    <row r="74" spans="93:120" x14ac:dyDescent="0.25">
      <c r="CO74" t="s">
        <v>636</v>
      </c>
      <c r="CP74" t="s">
        <v>3</v>
      </c>
      <c r="CQ74" t="s">
        <v>58</v>
      </c>
      <c r="CR74">
        <v>46169</v>
      </c>
      <c r="CS74">
        <v>1</v>
      </c>
      <c r="CT74">
        <v>1</v>
      </c>
      <c r="CV74">
        <v>1</v>
      </c>
      <c r="CX74">
        <v>5.7870370370370373E-5</v>
      </c>
      <c r="CY74">
        <v>5.7870370370370373E-5</v>
      </c>
      <c r="CZ74">
        <v>0.18001157407407409</v>
      </c>
      <c r="DA74">
        <v>0.15675925925925926</v>
      </c>
      <c r="DB74">
        <v>75</v>
      </c>
      <c r="DC74">
        <v>224</v>
      </c>
      <c r="DD74">
        <v>30</v>
      </c>
      <c r="DE74">
        <v>2</v>
      </c>
      <c r="DF74">
        <v>33576</v>
      </c>
      <c r="DG74">
        <v>0.4</v>
      </c>
      <c r="DH74">
        <v>4</v>
      </c>
      <c r="DI74">
        <v>0.1333</v>
      </c>
      <c r="DJ74">
        <v>4663</v>
      </c>
      <c r="DK74">
        <v>1166</v>
      </c>
      <c r="DL74">
        <v>4063</v>
      </c>
      <c r="DM74">
        <v>0.87129999999999996</v>
      </c>
      <c r="DN74">
        <v>0.1484</v>
      </c>
      <c r="DO74">
        <v>96</v>
      </c>
      <c r="DP74">
        <v>1354</v>
      </c>
    </row>
    <row r="75" spans="93:120" x14ac:dyDescent="0.25">
      <c r="CO75" t="s">
        <v>636</v>
      </c>
      <c r="CP75" t="s">
        <v>3</v>
      </c>
      <c r="CQ75" t="s">
        <v>85</v>
      </c>
      <c r="CR75">
        <v>46172</v>
      </c>
      <c r="CS75">
        <v>1</v>
      </c>
      <c r="CT75">
        <v>1</v>
      </c>
      <c r="CU75">
        <v>1</v>
      </c>
      <c r="CX75">
        <v>2.2256944444444444E-2</v>
      </c>
      <c r="CY75">
        <v>2.2256944444444444E-2</v>
      </c>
      <c r="CZ75">
        <v>0.10614583333333333</v>
      </c>
      <c r="DA75">
        <v>6.8981481481481477E-2</v>
      </c>
      <c r="DB75">
        <v>27</v>
      </c>
      <c r="DC75">
        <v>57</v>
      </c>
      <c r="DD75">
        <v>7</v>
      </c>
      <c r="DE75">
        <v>1</v>
      </c>
      <c r="DF75">
        <v>9954</v>
      </c>
      <c r="DG75">
        <v>0.25929999999999997</v>
      </c>
      <c r="DH75">
        <v>1</v>
      </c>
      <c r="DI75">
        <v>0.1429</v>
      </c>
      <c r="DJ75">
        <v>144</v>
      </c>
      <c r="DK75">
        <v>144</v>
      </c>
      <c r="DO75">
        <v>96</v>
      </c>
    </row>
    <row r="76" spans="93:120" x14ac:dyDescent="0.25">
      <c r="CO76" t="s">
        <v>636</v>
      </c>
      <c r="CP76" t="s">
        <v>3</v>
      </c>
      <c r="CQ76" t="s">
        <v>32</v>
      </c>
      <c r="CR76">
        <v>46172</v>
      </c>
      <c r="CS76">
        <v>1</v>
      </c>
      <c r="CT76">
        <v>1</v>
      </c>
      <c r="CU76">
        <v>1</v>
      </c>
      <c r="CX76">
        <v>1.4409722222222223E-2</v>
      </c>
      <c r="CY76">
        <v>1.4409722222222223E-2</v>
      </c>
      <c r="CZ76">
        <v>0.15818287037037038</v>
      </c>
      <c r="DA76">
        <v>2.0833333333333332E-2</v>
      </c>
      <c r="DB76">
        <v>63</v>
      </c>
      <c r="DC76">
        <v>113</v>
      </c>
      <c r="DD76">
        <v>26</v>
      </c>
      <c r="DE76" t="s">
        <v>709</v>
      </c>
      <c r="DF76">
        <v>25372</v>
      </c>
      <c r="DG76">
        <v>0.41270000000000001</v>
      </c>
      <c r="DO76">
        <v>96</v>
      </c>
    </row>
    <row r="77" spans="93:120" x14ac:dyDescent="0.25">
      <c r="CO77" t="s">
        <v>636</v>
      </c>
      <c r="CP77" t="s">
        <v>3</v>
      </c>
      <c r="CQ77" t="s">
        <v>96</v>
      </c>
      <c r="CR77">
        <v>46163</v>
      </c>
      <c r="CS77">
        <v>1</v>
      </c>
      <c r="CT77">
        <v>1</v>
      </c>
      <c r="CV77">
        <v>1</v>
      </c>
      <c r="CX77">
        <v>0</v>
      </c>
      <c r="CY77">
        <v>0</v>
      </c>
      <c r="CZ77">
        <v>0.2011111111111111</v>
      </c>
      <c r="DA77">
        <v>0.14482638888888888</v>
      </c>
      <c r="DB77">
        <v>78</v>
      </c>
      <c r="DC77">
        <v>185</v>
      </c>
      <c r="DD77">
        <v>13</v>
      </c>
      <c r="DE77">
        <v>2</v>
      </c>
      <c r="DF77">
        <v>25023</v>
      </c>
      <c r="DG77">
        <v>0.16669999999999999</v>
      </c>
      <c r="DH77">
        <v>1</v>
      </c>
      <c r="DI77">
        <v>7.6899999999999996E-2</v>
      </c>
      <c r="DJ77">
        <v>3000</v>
      </c>
      <c r="DK77">
        <v>3000</v>
      </c>
      <c r="DL77">
        <v>3000</v>
      </c>
      <c r="DM77">
        <v>1</v>
      </c>
      <c r="DN77">
        <v>0.18129999999999999</v>
      </c>
      <c r="DO77">
        <v>96</v>
      </c>
      <c r="DP77">
        <v>3000</v>
      </c>
    </row>
    <row r="78" spans="93:120" x14ac:dyDescent="0.25">
      <c r="CO78" t="s">
        <v>636</v>
      </c>
      <c r="CP78" t="s">
        <v>3</v>
      </c>
      <c r="CQ78" t="s">
        <v>68</v>
      </c>
      <c r="CR78">
        <v>46172</v>
      </c>
      <c r="CS78">
        <v>1</v>
      </c>
      <c r="CT78">
        <v>1</v>
      </c>
      <c r="CU78">
        <v>1</v>
      </c>
      <c r="CX78">
        <v>7.4652777777777781E-3</v>
      </c>
      <c r="CY78">
        <v>7.4652777777777781E-3</v>
      </c>
      <c r="CZ78">
        <v>8.9212962962962966E-2</v>
      </c>
      <c r="DA78">
        <v>2.6898148148148147E-2</v>
      </c>
      <c r="DB78">
        <v>31</v>
      </c>
      <c r="DC78">
        <v>54</v>
      </c>
      <c r="DD78">
        <v>18</v>
      </c>
      <c r="DE78">
        <v>1</v>
      </c>
      <c r="DF78">
        <v>31135</v>
      </c>
      <c r="DG78">
        <v>0.5806</v>
      </c>
      <c r="DO78">
        <v>96</v>
      </c>
    </row>
    <row r="79" spans="93:120" x14ac:dyDescent="0.25">
      <c r="CO79" t="s">
        <v>636</v>
      </c>
      <c r="CP79" t="s">
        <v>3</v>
      </c>
      <c r="CQ79" t="s">
        <v>29</v>
      </c>
      <c r="CR79">
        <v>46172</v>
      </c>
      <c r="CS79">
        <v>1</v>
      </c>
      <c r="CT79">
        <v>1</v>
      </c>
      <c r="CU79">
        <v>1</v>
      </c>
      <c r="CX79">
        <v>9.2361111111111116E-3</v>
      </c>
      <c r="CY79">
        <v>9.2361111111111116E-3</v>
      </c>
      <c r="CZ79">
        <v>0.1072337962962963</v>
      </c>
      <c r="DA79">
        <v>6.7152777777777783E-2</v>
      </c>
      <c r="DB79">
        <v>46</v>
      </c>
      <c r="DC79">
        <v>72</v>
      </c>
      <c r="DD79">
        <v>7</v>
      </c>
      <c r="DE79" t="s">
        <v>694</v>
      </c>
      <c r="DF79">
        <v>12552</v>
      </c>
      <c r="DG79">
        <v>0.1522</v>
      </c>
      <c r="DO79">
        <v>96</v>
      </c>
    </row>
    <row r="80" spans="93:120" x14ac:dyDescent="0.25">
      <c r="CO80" t="s">
        <v>636</v>
      </c>
      <c r="CP80" t="s">
        <v>2</v>
      </c>
      <c r="CQ80" t="s">
        <v>22</v>
      </c>
      <c r="CR80">
        <v>46169</v>
      </c>
      <c r="CS80">
        <v>1</v>
      </c>
      <c r="CT80">
        <v>1</v>
      </c>
      <c r="CV80">
        <v>1</v>
      </c>
      <c r="CX80">
        <v>6.018518518518519E-4</v>
      </c>
      <c r="CY80">
        <v>6.018518518518519E-4</v>
      </c>
      <c r="CZ80">
        <v>0.14538194444444444</v>
      </c>
      <c r="DA80">
        <v>0.17972222222222223</v>
      </c>
      <c r="DB80">
        <v>40</v>
      </c>
      <c r="DC80">
        <v>85</v>
      </c>
      <c r="DD80">
        <v>15</v>
      </c>
      <c r="DE80" t="s">
        <v>710</v>
      </c>
      <c r="DF80">
        <v>39143</v>
      </c>
      <c r="DG80">
        <v>0.375</v>
      </c>
      <c r="DH80">
        <v>1</v>
      </c>
      <c r="DI80">
        <v>6.6699999999999995E-2</v>
      </c>
      <c r="DJ80">
        <v>1800</v>
      </c>
      <c r="DK80">
        <v>1800</v>
      </c>
      <c r="DL80">
        <v>1800</v>
      </c>
      <c r="DM80">
        <v>1</v>
      </c>
      <c r="DN80">
        <v>0.1075</v>
      </c>
      <c r="DO80">
        <v>94</v>
      </c>
      <c r="DP80">
        <v>1800</v>
      </c>
    </row>
    <row r="81" spans="93:120" x14ac:dyDescent="0.25">
      <c r="CO81" t="s">
        <v>636</v>
      </c>
      <c r="CP81" t="s">
        <v>2</v>
      </c>
      <c r="CQ81" t="s">
        <v>13</v>
      </c>
      <c r="CR81">
        <v>46153</v>
      </c>
      <c r="CS81">
        <v>1</v>
      </c>
      <c r="CT81">
        <v>1</v>
      </c>
      <c r="CV81">
        <v>1</v>
      </c>
      <c r="CX81">
        <v>3.1250000000000001E-4</v>
      </c>
      <c r="CY81">
        <v>3.1250000000000001E-4</v>
      </c>
      <c r="CZ81">
        <v>0.24606481481481482</v>
      </c>
      <c r="DA81">
        <v>9.481481481481481E-2</v>
      </c>
      <c r="DB81">
        <v>80</v>
      </c>
      <c r="DC81">
        <v>174</v>
      </c>
      <c r="DD81">
        <v>13</v>
      </c>
      <c r="DE81" t="s">
        <v>711</v>
      </c>
      <c r="DF81">
        <v>34632</v>
      </c>
      <c r="DG81">
        <v>0.16250000000000001</v>
      </c>
      <c r="DH81">
        <v>1</v>
      </c>
      <c r="DI81">
        <v>7.6899999999999996E-2</v>
      </c>
      <c r="DJ81">
        <v>2000</v>
      </c>
      <c r="DK81">
        <v>2000</v>
      </c>
      <c r="DL81">
        <v>2001</v>
      </c>
      <c r="DM81">
        <v>1.0004999999999999</v>
      </c>
      <c r="DN81">
        <v>0.17749999999999999</v>
      </c>
      <c r="DO81">
        <v>94</v>
      </c>
      <c r="DP81">
        <v>2001</v>
      </c>
    </row>
    <row r="82" spans="93:120" x14ac:dyDescent="0.25">
      <c r="CO82" t="s">
        <v>636</v>
      </c>
      <c r="CP82" t="s">
        <v>2</v>
      </c>
      <c r="CQ82" t="s">
        <v>42</v>
      </c>
      <c r="CR82">
        <v>46164</v>
      </c>
      <c r="CS82">
        <v>1</v>
      </c>
      <c r="CT82">
        <v>1</v>
      </c>
      <c r="CV82">
        <v>1</v>
      </c>
      <c r="CX82">
        <v>3.8194444444444446E-4</v>
      </c>
      <c r="CY82">
        <v>3.8194444444444446E-4</v>
      </c>
      <c r="CZ82">
        <v>0.15633101851851852</v>
      </c>
      <c r="DA82">
        <v>0.16287037037037036</v>
      </c>
      <c r="DB82">
        <v>45</v>
      </c>
      <c r="DC82">
        <v>84</v>
      </c>
      <c r="DD82">
        <v>12</v>
      </c>
      <c r="DE82">
        <v>2</v>
      </c>
      <c r="DF82">
        <v>32515</v>
      </c>
      <c r="DG82">
        <v>0.26669999999999999</v>
      </c>
      <c r="DH82">
        <v>1</v>
      </c>
      <c r="DI82">
        <v>8.3299999999999999E-2</v>
      </c>
      <c r="DJ82">
        <v>4500</v>
      </c>
      <c r="DK82">
        <v>4500</v>
      </c>
      <c r="DL82">
        <v>4500</v>
      </c>
      <c r="DM82">
        <v>1</v>
      </c>
      <c r="DN82">
        <v>0.11899999999999999</v>
      </c>
      <c r="DO82">
        <v>94</v>
      </c>
      <c r="DP82">
        <v>4500</v>
      </c>
    </row>
    <row r="83" spans="93:120" x14ac:dyDescent="0.25">
      <c r="CO83" t="s">
        <v>636</v>
      </c>
      <c r="CP83" t="s">
        <v>2</v>
      </c>
      <c r="CQ83" t="s">
        <v>65</v>
      </c>
      <c r="CR83">
        <v>46161</v>
      </c>
      <c r="CS83">
        <v>1</v>
      </c>
      <c r="CT83">
        <v>1</v>
      </c>
      <c r="CV83">
        <v>1</v>
      </c>
      <c r="CX83">
        <v>2.6620370370370372E-4</v>
      </c>
      <c r="CY83">
        <v>2.6620370370370372E-4</v>
      </c>
      <c r="CZ83">
        <v>0.19537037037037036</v>
      </c>
      <c r="DA83">
        <v>0.15535879629629629</v>
      </c>
      <c r="DB83">
        <v>33</v>
      </c>
      <c r="DC83">
        <v>73</v>
      </c>
      <c r="DD83">
        <v>12</v>
      </c>
      <c r="DE83" t="s">
        <v>712</v>
      </c>
      <c r="DF83">
        <v>19814</v>
      </c>
      <c r="DG83">
        <v>0.36359999999999998</v>
      </c>
      <c r="DH83">
        <v>2</v>
      </c>
      <c r="DI83">
        <v>0.16669999999999999</v>
      </c>
      <c r="DJ83">
        <v>840</v>
      </c>
      <c r="DK83">
        <v>420</v>
      </c>
      <c r="DL83">
        <v>840</v>
      </c>
      <c r="DM83">
        <v>1</v>
      </c>
      <c r="DN83">
        <v>0.1905</v>
      </c>
      <c r="DO83">
        <v>94</v>
      </c>
      <c r="DP83">
        <v>420</v>
      </c>
    </row>
    <row r="84" spans="93:120" x14ac:dyDescent="0.25">
      <c r="CO84" t="s">
        <v>636</v>
      </c>
      <c r="CP84" t="s">
        <v>2</v>
      </c>
      <c r="CQ84" t="s">
        <v>37</v>
      </c>
      <c r="CR84">
        <v>46169</v>
      </c>
      <c r="CS84">
        <v>1</v>
      </c>
      <c r="CT84">
        <v>1</v>
      </c>
      <c r="CV84">
        <v>1</v>
      </c>
      <c r="CX84">
        <v>2.6620370370370372E-4</v>
      </c>
      <c r="CY84">
        <v>2.6620370370370372E-4</v>
      </c>
      <c r="CZ84">
        <v>0.18739583333333334</v>
      </c>
      <c r="DA84">
        <v>0.1527662037037037</v>
      </c>
      <c r="DB84">
        <v>95</v>
      </c>
      <c r="DC84">
        <v>121</v>
      </c>
      <c r="DD84">
        <v>18</v>
      </c>
      <c r="DE84" t="s">
        <v>690</v>
      </c>
      <c r="DF84">
        <v>22363</v>
      </c>
      <c r="DG84">
        <v>0.1895</v>
      </c>
      <c r="DH84">
        <v>1</v>
      </c>
      <c r="DI84">
        <v>5.5599999999999997E-2</v>
      </c>
      <c r="DJ84">
        <v>12819</v>
      </c>
      <c r="DK84">
        <v>12819</v>
      </c>
      <c r="DL84">
        <v>12819</v>
      </c>
      <c r="DM84">
        <v>1</v>
      </c>
      <c r="DN84">
        <v>0.21590000000000001</v>
      </c>
      <c r="DO84">
        <v>94</v>
      </c>
      <c r="DP84">
        <v>12819</v>
      </c>
    </row>
    <row r="85" spans="93:120" x14ac:dyDescent="0.25">
      <c r="CO85" t="s">
        <v>636</v>
      </c>
      <c r="CP85" t="s">
        <v>6</v>
      </c>
      <c r="CQ85" t="s">
        <v>19</v>
      </c>
      <c r="CR85">
        <v>46164</v>
      </c>
      <c r="CS85">
        <v>1</v>
      </c>
      <c r="CT85">
        <v>1</v>
      </c>
      <c r="CV85">
        <v>1</v>
      </c>
      <c r="CX85">
        <v>3.4722222222222222E-5</v>
      </c>
      <c r="CY85">
        <v>3.4722222222222222E-5</v>
      </c>
      <c r="CZ85">
        <v>0.20136574074074073</v>
      </c>
      <c r="DA85">
        <v>0.14592592592592593</v>
      </c>
      <c r="DB85">
        <v>180</v>
      </c>
      <c r="DC85">
        <v>308</v>
      </c>
      <c r="DD85">
        <v>14</v>
      </c>
      <c r="DE85" t="s">
        <v>679</v>
      </c>
      <c r="DF85">
        <v>17025</v>
      </c>
      <c r="DG85">
        <v>7.7799999999999994E-2</v>
      </c>
      <c r="DH85">
        <v>1</v>
      </c>
      <c r="DI85">
        <v>7.1400000000000005E-2</v>
      </c>
      <c r="DJ85">
        <v>5500</v>
      </c>
      <c r="DK85">
        <v>5500</v>
      </c>
      <c r="DL85">
        <v>5500</v>
      </c>
      <c r="DM85">
        <v>1</v>
      </c>
      <c r="DN85">
        <v>0.10970000000000001</v>
      </c>
      <c r="DO85">
        <v>94</v>
      </c>
      <c r="DP85">
        <v>5500</v>
      </c>
    </row>
    <row r="86" spans="93:120" x14ac:dyDescent="0.25">
      <c r="CO86" t="s">
        <v>636</v>
      </c>
      <c r="CP86" t="s">
        <v>6</v>
      </c>
      <c r="CQ86" t="s">
        <v>35</v>
      </c>
      <c r="CR86">
        <v>46162</v>
      </c>
      <c r="CS86">
        <v>1</v>
      </c>
      <c r="CT86">
        <v>1</v>
      </c>
      <c r="CV86">
        <v>1</v>
      </c>
      <c r="CX86">
        <v>1.1574074074074075E-4</v>
      </c>
      <c r="CY86">
        <v>1.1574074074074075E-4</v>
      </c>
      <c r="CZ86">
        <v>0.21234953703703704</v>
      </c>
      <c r="DA86">
        <v>0.18105324074074075</v>
      </c>
      <c r="DB86">
        <v>64</v>
      </c>
      <c r="DC86">
        <v>135</v>
      </c>
      <c r="DD86">
        <v>17</v>
      </c>
      <c r="DE86" t="s">
        <v>713</v>
      </c>
      <c r="DF86">
        <v>46586</v>
      </c>
      <c r="DG86">
        <v>0.2656</v>
      </c>
      <c r="DH86">
        <v>2</v>
      </c>
      <c r="DI86">
        <v>0.1176</v>
      </c>
      <c r="DJ86">
        <v>3178</v>
      </c>
      <c r="DK86">
        <v>1589</v>
      </c>
      <c r="DL86">
        <v>3178</v>
      </c>
      <c r="DM86">
        <v>1</v>
      </c>
      <c r="DN86">
        <v>0.12790000000000001</v>
      </c>
      <c r="DO86">
        <v>94</v>
      </c>
      <c r="DP86">
        <v>1589</v>
      </c>
    </row>
    <row r="87" spans="93:120" x14ac:dyDescent="0.25">
      <c r="CO87" t="s">
        <v>636</v>
      </c>
      <c r="CP87" t="s">
        <v>6</v>
      </c>
      <c r="CQ87" t="s">
        <v>34</v>
      </c>
      <c r="CR87">
        <v>46163</v>
      </c>
      <c r="CS87">
        <v>1</v>
      </c>
      <c r="CT87">
        <v>1</v>
      </c>
      <c r="CV87">
        <v>1</v>
      </c>
      <c r="CX87">
        <v>4.6296296296296294E-5</v>
      </c>
      <c r="CY87">
        <v>4.6296296296296294E-5</v>
      </c>
      <c r="CZ87">
        <v>0.20033564814814814</v>
      </c>
      <c r="DA87">
        <v>0.10716435185185186</v>
      </c>
      <c r="DB87">
        <v>124</v>
      </c>
      <c r="DC87">
        <v>146</v>
      </c>
      <c r="DD87">
        <v>8</v>
      </c>
      <c r="DE87">
        <v>2.125</v>
      </c>
      <c r="DF87">
        <v>33329</v>
      </c>
      <c r="DG87">
        <v>6.4500000000000002E-2</v>
      </c>
      <c r="DH87">
        <v>1</v>
      </c>
      <c r="DI87">
        <v>0.125</v>
      </c>
      <c r="DJ87">
        <v>2850</v>
      </c>
      <c r="DK87">
        <v>2850</v>
      </c>
      <c r="DL87">
        <v>2850</v>
      </c>
      <c r="DM87">
        <v>1</v>
      </c>
      <c r="DN87">
        <v>0.151</v>
      </c>
      <c r="DO87">
        <v>94</v>
      </c>
      <c r="DP87">
        <v>2850</v>
      </c>
    </row>
    <row r="88" spans="93:120" x14ac:dyDescent="0.25">
      <c r="CO88" t="s">
        <v>636</v>
      </c>
      <c r="CP88" t="s">
        <v>7</v>
      </c>
      <c r="CQ88" t="s">
        <v>18</v>
      </c>
      <c r="CR88">
        <v>46164</v>
      </c>
      <c r="CS88">
        <v>1</v>
      </c>
      <c r="CT88">
        <v>1</v>
      </c>
      <c r="CV88">
        <v>1</v>
      </c>
      <c r="CX88">
        <v>1.9675925925925926E-4</v>
      </c>
      <c r="CY88">
        <v>1.9675925925925926E-4</v>
      </c>
      <c r="CZ88">
        <v>0.24181712962962962</v>
      </c>
      <c r="DA88">
        <v>9.8460648148148144E-2</v>
      </c>
      <c r="DB88">
        <v>112</v>
      </c>
      <c r="DC88">
        <v>198</v>
      </c>
      <c r="DD88">
        <v>8</v>
      </c>
      <c r="DE88">
        <v>1.625</v>
      </c>
      <c r="DF88">
        <v>35307</v>
      </c>
      <c r="DG88">
        <v>7.1400000000000005E-2</v>
      </c>
      <c r="DH88">
        <v>1</v>
      </c>
      <c r="DI88">
        <v>0.125</v>
      </c>
      <c r="DJ88">
        <v>4500</v>
      </c>
      <c r="DK88">
        <v>4500</v>
      </c>
      <c r="DL88">
        <v>4500</v>
      </c>
      <c r="DM88">
        <v>1</v>
      </c>
      <c r="DN88">
        <v>0.28389999999999999</v>
      </c>
      <c r="DO88">
        <v>94</v>
      </c>
      <c r="DP88">
        <v>4500</v>
      </c>
    </row>
    <row r="89" spans="93:120" x14ac:dyDescent="0.25">
      <c r="CO89" t="s">
        <v>636</v>
      </c>
      <c r="CP89" t="s">
        <v>7</v>
      </c>
      <c r="CQ89" t="s">
        <v>61</v>
      </c>
      <c r="CR89">
        <v>46156</v>
      </c>
      <c r="CS89">
        <v>1</v>
      </c>
      <c r="CT89">
        <v>1</v>
      </c>
      <c r="CV89">
        <v>1</v>
      </c>
      <c r="CX89">
        <v>4.6296296296296294E-5</v>
      </c>
      <c r="CY89">
        <v>4.6296296296296294E-5</v>
      </c>
      <c r="CZ89">
        <v>0.21164351851851851</v>
      </c>
      <c r="DA89">
        <v>0.11971064814814815</v>
      </c>
      <c r="DB89">
        <v>108</v>
      </c>
      <c r="DC89">
        <v>266</v>
      </c>
      <c r="DD89">
        <v>23</v>
      </c>
      <c r="DE89" t="s">
        <v>714</v>
      </c>
      <c r="DF89">
        <v>48254</v>
      </c>
      <c r="DG89">
        <v>0.21299999999999999</v>
      </c>
      <c r="DH89">
        <v>2</v>
      </c>
      <c r="DI89">
        <v>8.6999999999999994E-2</v>
      </c>
      <c r="DJ89">
        <v>730</v>
      </c>
      <c r="DK89">
        <v>365</v>
      </c>
      <c r="DL89">
        <v>130</v>
      </c>
      <c r="DM89">
        <v>0.17810000000000001</v>
      </c>
      <c r="DN89">
        <v>0.72640000000000005</v>
      </c>
      <c r="DO89">
        <v>94</v>
      </c>
      <c r="DP89">
        <v>130</v>
      </c>
    </row>
    <row r="90" spans="93:120" x14ac:dyDescent="0.25">
      <c r="CO90" t="s">
        <v>636</v>
      </c>
      <c r="CP90" t="s">
        <v>7</v>
      </c>
      <c r="CQ90" t="s">
        <v>61</v>
      </c>
      <c r="CR90">
        <v>46170</v>
      </c>
      <c r="CS90">
        <v>1</v>
      </c>
      <c r="CT90">
        <v>1</v>
      </c>
      <c r="CU90">
        <v>1</v>
      </c>
      <c r="CX90">
        <v>1.5462962962962963E-2</v>
      </c>
      <c r="CY90">
        <v>1.5462962962962963E-2</v>
      </c>
      <c r="CZ90">
        <v>0.16362268518518519</v>
      </c>
      <c r="DA90">
        <v>0.15392361111111111</v>
      </c>
      <c r="DB90">
        <v>110</v>
      </c>
      <c r="DC90">
        <v>247</v>
      </c>
      <c r="DD90">
        <v>15</v>
      </c>
      <c r="DE90">
        <v>2.2000000000000002</v>
      </c>
      <c r="DF90">
        <v>32256</v>
      </c>
      <c r="DG90">
        <v>0.13639999999999999</v>
      </c>
      <c r="DH90">
        <v>2</v>
      </c>
      <c r="DI90">
        <v>0.1333</v>
      </c>
      <c r="DJ90">
        <v>5400</v>
      </c>
      <c r="DK90">
        <v>2700</v>
      </c>
      <c r="DL90">
        <v>5400</v>
      </c>
      <c r="DM90">
        <v>1</v>
      </c>
      <c r="DN90">
        <v>0.21659999999999999</v>
      </c>
      <c r="DO90">
        <v>94</v>
      </c>
      <c r="DP90">
        <v>2700</v>
      </c>
    </row>
    <row r="91" spans="93:120" x14ac:dyDescent="0.25">
      <c r="CO91" t="s">
        <v>636</v>
      </c>
      <c r="CP91" t="s">
        <v>7</v>
      </c>
      <c r="CQ91" t="s">
        <v>80</v>
      </c>
      <c r="CR91">
        <v>46164</v>
      </c>
      <c r="CS91">
        <v>1</v>
      </c>
      <c r="CT91">
        <v>1</v>
      </c>
      <c r="CV91">
        <v>1</v>
      </c>
      <c r="CX91">
        <v>0</v>
      </c>
      <c r="CY91">
        <v>0</v>
      </c>
      <c r="CZ91">
        <v>0.17342592592592593</v>
      </c>
      <c r="DA91">
        <v>0.1509375</v>
      </c>
      <c r="DB91">
        <v>47</v>
      </c>
      <c r="DC91">
        <v>99</v>
      </c>
      <c r="DD91">
        <v>5</v>
      </c>
      <c r="DE91">
        <v>2.6</v>
      </c>
      <c r="DF91">
        <v>12427</v>
      </c>
      <c r="DG91">
        <v>0.10639999999999999</v>
      </c>
      <c r="DH91">
        <v>1</v>
      </c>
      <c r="DI91">
        <v>0.2</v>
      </c>
      <c r="DJ91">
        <v>1200</v>
      </c>
      <c r="DK91">
        <v>1200</v>
      </c>
      <c r="DL91">
        <v>1200</v>
      </c>
      <c r="DM91">
        <v>1</v>
      </c>
      <c r="DN91">
        <v>0.1246</v>
      </c>
      <c r="DO91">
        <v>94</v>
      </c>
      <c r="DP91">
        <v>1200</v>
      </c>
    </row>
    <row r="92" spans="93:120" x14ac:dyDescent="0.25">
      <c r="CO92" t="s">
        <v>636</v>
      </c>
      <c r="CP92" t="s">
        <v>7</v>
      </c>
      <c r="CQ92" t="s">
        <v>59</v>
      </c>
      <c r="CR92">
        <v>46149</v>
      </c>
      <c r="CS92">
        <v>1</v>
      </c>
      <c r="CT92">
        <v>1</v>
      </c>
      <c r="CV92">
        <v>1</v>
      </c>
      <c r="CX92">
        <v>9.2592592592592588E-5</v>
      </c>
      <c r="CY92">
        <v>9.2592592592592588E-5</v>
      </c>
      <c r="CZ92">
        <v>0.23395833333333332</v>
      </c>
      <c r="DA92">
        <v>0.12157407407407407</v>
      </c>
      <c r="DB92">
        <v>249</v>
      </c>
      <c r="DC92">
        <v>363</v>
      </c>
      <c r="DD92">
        <v>18</v>
      </c>
      <c r="DE92" t="s">
        <v>715</v>
      </c>
      <c r="DF92">
        <v>26436</v>
      </c>
      <c r="DG92">
        <v>7.2300000000000003E-2</v>
      </c>
      <c r="DH92">
        <v>3</v>
      </c>
      <c r="DI92">
        <v>0.16669999999999999</v>
      </c>
      <c r="DJ92">
        <v>3650</v>
      </c>
      <c r="DK92">
        <v>1217</v>
      </c>
      <c r="DL92">
        <v>3150</v>
      </c>
      <c r="DM92">
        <v>0.86299999999999999</v>
      </c>
      <c r="DN92">
        <v>9.9900000000000003E-2</v>
      </c>
      <c r="DO92">
        <v>94</v>
      </c>
      <c r="DP92">
        <v>1050</v>
      </c>
    </row>
    <row r="93" spans="93:120" x14ac:dyDescent="0.25">
      <c r="CO93" t="s">
        <v>636</v>
      </c>
      <c r="CP93" t="s">
        <v>7</v>
      </c>
      <c r="CQ93" t="s">
        <v>59</v>
      </c>
      <c r="CR93">
        <v>46150</v>
      </c>
      <c r="CS93">
        <v>1</v>
      </c>
      <c r="CT93">
        <v>1</v>
      </c>
      <c r="CV93">
        <v>1</v>
      </c>
      <c r="CX93">
        <v>1.1574074074074073E-5</v>
      </c>
      <c r="CY93">
        <v>1.1574074074074073E-5</v>
      </c>
      <c r="CZ93">
        <v>0.18421296296296297</v>
      </c>
      <c r="DA93">
        <v>0.14239583333333333</v>
      </c>
      <c r="DB93">
        <v>183</v>
      </c>
      <c r="DC93">
        <v>318</v>
      </c>
      <c r="DD93">
        <v>16</v>
      </c>
      <c r="DE93">
        <v>1.5</v>
      </c>
      <c r="DF93">
        <v>16336</v>
      </c>
      <c r="DG93">
        <v>8.7400000000000005E-2</v>
      </c>
      <c r="DH93">
        <v>1</v>
      </c>
      <c r="DI93">
        <v>6.25E-2</v>
      </c>
      <c r="DJ93">
        <v>1200</v>
      </c>
      <c r="DK93">
        <v>1200</v>
      </c>
      <c r="DL93">
        <v>1200</v>
      </c>
      <c r="DM93">
        <v>1</v>
      </c>
      <c r="DN93">
        <v>0.25119999999999998</v>
      </c>
      <c r="DO93">
        <v>94</v>
      </c>
      <c r="DP93">
        <v>1200</v>
      </c>
    </row>
    <row r="94" spans="93:120" x14ac:dyDescent="0.25">
      <c r="CO94" t="s">
        <v>636</v>
      </c>
      <c r="CP94" t="s">
        <v>7</v>
      </c>
      <c r="CQ94" t="s">
        <v>59</v>
      </c>
      <c r="CR94">
        <v>46157</v>
      </c>
      <c r="CS94">
        <v>1</v>
      </c>
      <c r="CT94">
        <v>1</v>
      </c>
      <c r="CV94">
        <v>1</v>
      </c>
      <c r="CX94">
        <v>1.1574074074074073E-5</v>
      </c>
      <c r="CY94">
        <v>1.1574074074074073E-5</v>
      </c>
      <c r="CZ94">
        <v>0.24302083333333332</v>
      </c>
      <c r="DA94">
        <v>7.9861111111111105E-2</v>
      </c>
      <c r="DB94">
        <v>32</v>
      </c>
      <c r="DC94">
        <v>61</v>
      </c>
      <c r="DD94">
        <v>12</v>
      </c>
      <c r="DE94" t="s">
        <v>716</v>
      </c>
      <c r="DF94">
        <v>35778</v>
      </c>
      <c r="DG94">
        <v>0.375</v>
      </c>
      <c r="DH94">
        <v>2</v>
      </c>
      <c r="DI94">
        <v>0.16669999999999999</v>
      </c>
      <c r="DJ94">
        <v>2200</v>
      </c>
      <c r="DK94">
        <v>1100</v>
      </c>
      <c r="DL94">
        <v>2200</v>
      </c>
      <c r="DM94">
        <v>1</v>
      </c>
      <c r="DN94">
        <v>0.1295</v>
      </c>
      <c r="DO94">
        <v>94</v>
      </c>
      <c r="DP94">
        <v>1100</v>
      </c>
    </row>
    <row r="95" spans="93:120" x14ac:dyDescent="0.25">
      <c r="CO95" t="s">
        <v>636</v>
      </c>
      <c r="CP95" t="s">
        <v>604</v>
      </c>
      <c r="CQ95" t="s">
        <v>109</v>
      </c>
      <c r="CR95">
        <v>46153</v>
      </c>
      <c r="CS95">
        <v>1</v>
      </c>
      <c r="CT95">
        <v>1</v>
      </c>
      <c r="CV95">
        <v>1</v>
      </c>
      <c r="CX95">
        <v>9.2592592592592588E-5</v>
      </c>
      <c r="CY95">
        <v>9.2592592592592588E-5</v>
      </c>
      <c r="CZ95">
        <v>0.2050925925925926</v>
      </c>
      <c r="DA95">
        <v>0.1013425925925926</v>
      </c>
      <c r="DB95">
        <v>79</v>
      </c>
      <c r="DC95">
        <v>174</v>
      </c>
      <c r="DD95">
        <v>10</v>
      </c>
      <c r="DE95">
        <v>1.6</v>
      </c>
      <c r="DF95">
        <v>9080</v>
      </c>
      <c r="DG95">
        <v>0.12659999999999999</v>
      </c>
      <c r="DH95">
        <v>1</v>
      </c>
      <c r="DI95">
        <v>0.1</v>
      </c>
      <c r="DJ95">
        <v>405</v>
      </c>
      <c r="DK95">
        <v>405</v>
      </c>
      <c r="DL95">
        <v>405</v>
      </c>
      <c r="DM95">
        <v>1</v>
      </c>
      <c r="DO95">
        <v>94</v>
      </c>
      <c r="DP95">
        <v>405</v>
      </c>
    </row>
    <row r="96" spans="93:120" x14ac:dyDescent="0.25">
      <c r="CO96" t="s">
        <v>636</v>
      </c>
      <c r="CP96" t="s">
        <v>604</v>
      </c>
      <c r="CQ96" t="s">
        <v>41</v>
      </c>
      <c r="CR96">
        <v>46153</v>
      </c>
      <c r="CS96">
        <v>1</v>
      </c>
      <c r="CT96">
        <v>1</v>
      </c>
      <c r="CV96">
        <v>1</v>
      </c>
      <c r="CX96">
        <v>9.2592592592592588E-5</v>
      </c>
      <c r="CY96">
        <v>9.2592592592592588E-5</v>
      </c>
      <c r="CZ96">
        <v>0.13137731481481482</v>
      </c>
      <c r="DA96">
        <v>0.16464120370370369</v>
      </c>
      <c r="DB96">
        <v>52</v>
      </c>
      <c r="DC96">
        <v>110</v>
      </c>
      <c r="DD96">
        <v>22</v>
      </c>
      <c r="DE96" t="s">
        <v>717</v>
      </c>
      <c r="DF96">
        <v>4554</v>
      </c>
      <c r="DG96">
        <v>0.42309999999999998</v>
      </c>
      <c r="DH96">
        <v>1</v>
      </c>
      <c r="DI96">
        <v>4.5499999999999999E-2</v>
      </c>
      <c r="DJ96">
        <v>550</v>
      </c>
      <c r="DK96">
        <v>550</v>
      </c>
      <c r="DL96">
        <v>550</v>
      </c>
      <c r="DM96">
        <v>1</v>
      </c>
      <c r="DN96">
        <v>0.307</v>
      </c>
      <c r="DO96">
        <v>94</v>
      </c>
      <c r="DP96">
        <v>550</v>
      </c>
    </row>
    <row r="97" spans="93:120" x14ac:dyDescent="0.25">
      <c r="CO97" t="s">
        <v>636</v>
      </c>
      <c r="CP97" t="s">
        <v>604</v>
      </c>
      <c r="CQ97" t="s">
        <v>495</v>
      </c>
      <c r="CR97">
        <v>46148</v>
      </c>
      <c r="CS97">
        <v>1</v>
      </c>
      <c r="CT97">
        <v>1</v>
      </c>
      <c r="CV97">
        <v>1</v>
      </c>
      <c r="CX97">
        <v>5.7870370370370373E-5</v>
      </c>
      <c r="CY97">
        <v>5.7870370370370373E-5</v>
      </c>
      <c r="CZ97">
        <v>0.23353009259259258</v>
      </c>
      <c r="DA97">
        <v>0.11206018518518518</v>
      </c>
      <c r="DB97">
        <v>102</v>
      </c>
      <c r="DC97">
        <v>287</v>
      </c>
      <c r="DD97">
        <v>22</v>
      </c>
      <c r="DE97" t="s">
        <v>695</v>
      </c>
      <c r="DF97">
        <v>16871</v>
      </c>
      <c r="DG97">
        <v>0.2157</v>
      </c>
      <c r="DH97">
        <v>1</v>
      </c>
      <c r="DI97">
        <v>4.5499999999999999E-2</v>
      </c>
      <c r="DJ97">
        <v>600</v>
      </c>
      <c r="DK97">
        <v>600</v>
      </c>
      <c r="DL97">
        <v>600</v>
      </c>
      <c r="DM97">
        <v>1</v>
      </c>
      <c r="DO97">
        <v>94</v>
      </c>
      <c r="DP97">
        <v>600</v>
      </c>
    </row>
    <row r="98" spans="93:120" x14ac:dyDescent="0.25">
      <c r="CO98" t="s">
        <v>636</v>
      </c>
      <c r="CP98" t="s">
        <v>604</v>
      </c>
      <c r="CQ98" t="s">
        <v>77</v>
      </c>
      <c r="CR98">
        <v>46172</v>
      </c>
      <c r="CS98">
        <v>1</v>
      </c>
      <c r="CT98">
        <v>1</v>
      </c>
      <c r="CX98">
        <v>4.0509259259259257E-3</v>
      </c>
      <c r="CY98">
        <v>4.0509259259259257E-3</v>
      </c>
      <c r="CZ98">
        <v>5.1307870370370372E-2</v>
      </c>
      <c r="DA98">
        <v>8.5949074074074081E-2</v>
      </c>
      <c r="DB98">
        <v>31</v>
      </c>
      <c r="DC98">
        <v>52</v>
      </c>
      <c r="DD98">
        <v>18</v>
      </c>
      <c r="DE98" t="s">
        <v>718</v>
      </c>
      <c r="DF98">
        <v>18831</v>
      </c>
      <c r="DG98">
        <v>0.5806</v>
      </c>
      <c r="DH98">
        <v>1</v>
      </c>
      <c r="DI98">
        <v>5.5599999999999997E-2</v>
      </c>
      <c r="DJ98">
        <v>3100</v>
      </c>
      <c r="DK98">
        <v>3100</v>
      </c>
      <c r="DL98">
        <v>3100</v>
      </c>
      <c r="DM98">
        <v>1</v>
      </c>
      <c r="DN98">
        <v>8.72E-2</v>
      </c>
      <c r="DO98">
        <v>94</v>
      </c>
      <c r="DP98">
        <v>3100</v>
      </c>
    </row>
    <row r="99" spans="93:120" x14ac:dyDescent="0.25">
      <c r="CO99" t="s">
        <v>636</v>
      </c>
      <c r="CP99" t="s">
        <v>604</v>
      </c>
      <c r="CQ99" t="s">
        <v>55</v>
      </c>
      <c r="CR99">
        <v>46148</v>
      </c>
      <c r="CS99">
        <v>1</v>
      </c>
      <c r="CT99">
        <v>1</v>
      </c>
      <c r="CV99">
        <v>1</v>
      </c>
      <c r="CX99">
        <v>6.9444444444444444E-5</v>
      </c>
      <c r="CY99">
        <v>6.9444444444444444E-5</v>
      </c>
      <c r="CZ99">
        <v>0.26267361111111109</v>
      </c>
      <c r="DA99">
        <v>4.7118055555555559E-2</v>
      </c>
      <c r="DB99">
        <v>231</v>
      </c>
      <c r="DC99">
        <v>405</v>
      </c>
      <c r="DD99">
        <v>27</v>
      </c>
      <c r="DE99" t="s">
        <v>719</v>
      </c>
      <c r="DF99">
        <v>6286</v>
      </c>
      <c r="DG99">
        <v>0.1169</v>
      </c>
      <c r="DH99">
        <v>1</v>
      </c>
      <c r="DI99">
        <v>3.6999999999999998E-2</v>
      </c>
      <c r="DJ99">
        <v>8500</v>
      </c>
      <c r="DK99">
        <v>8500</v>
      </c>
      <c r="DL99">
        <v>8625</v>
      </c>
      <c r="DM99">
        <v>1.0146999999999999</v>
      </c>
      <c r="DN99">
        <v>0.29980000000000001</v>
      </c>
      <c r="DO99">
        <v>94</v>
      </c>
      <c r="DP99">
        <v>8625</v>
      </c>
    </row>
    <row r="100" spans="93:120" x14ac:dyDescent="0.25">
      <c r="CO100" t="s">
        <v>636</v>
      </c>
      <c r="CP100" t="s">
        <v>604</v>
      </c>
      <c r="CQ100" t="s">
        <v>55</v>
      </c>
      <c r="CR100">
        <v>46168</v>
      </c>
      <c r="CS100">
        <v>1</v>
      </c>
      <c r="CT100">
        <v>1</v>
      </c>
      <c r="CV100">
        <v>1</v>
      </c>
      <c r="CX100">
        <v>9.2592592592592588E-5</v>
      </c>
      <c r="CY100">
        <v>9.2592592592592588E-5</v>
      </c>
      <c r="CZ100">
        <v>0.19078703703703703</v>
      </c>
      <c r="DA100">
        <v>0.16957175925925927</v>
      </c>
      <c r="DB100">
        <v>188</v>
      </c>
      <c r="DC100">
        <v>267</v>
      </c>
      <c r="DD100">
        <v>28</v>
      </c>
      <c r="DE100" t="s">
        <v>720</v>
      </c>
      <c r="DF100">
        <v>11911</v>
      </c>
      <c r="DG100">
        <v>0.1489</v>
      </c>
      <c r="DH100">
        <v>3</v>
      </c>
      <c r="DI100">
        <v>0.1071</v>
      </c>
      <c r="DJ100">
        <v>2840</v>
      </c>
      <c r="DK100">
        <v>947</v>
      </c>
      <c r="DL100">
        <v>2840</v>
      </c>
      <c r="DM100">
        <v>1</v>
      </c>
      <c r="DN100">
        <v>9.8799999999999999E-2</v>
      </c>
      <c r="DO100">
        <v>94</v>
      </c>
      <c r="DP100">
        <v>947</v>
      </c>
    </row>
    <row r="101" spans="93:120" x14ac:dyDescent="0.25">
      <c r="CO101" t="s">
        <v>636</v>
      </c>
      <c r="CP101" t="s">
        <v>604</v>
      </c>
      <c r="CQ101" t="s">
        <v>78</v>
      </c>
      <c r="CR101">
        <v>46150</v>
      </c>
      <c r="CS101">
        <v>1</v>
      </c>
      <c r="CT101">
        <v>1</v>
      </c>
      <c r="CV101">
        <v>1</v>
      </c>
      <c r="CX101">
        <v>3.3680555555555556E-3</v>
      </c>
      <c r="CY101">
        <v>3.3680555555555556E-3</v>
      </c>
      <c r="CZ101">
        <v>0.18644675925925927</v>
      </c>
      <c r="DA101">
        <v>9.6481481481481488E-2</v>
      </c>
      <c r="DB101">
        <v>51</v>
      </c>
      <c r="DC101">
        <v>113</v>
      </c>
      <c r="DD101">
        <v>19</v>
      </c>
      <c r="DE101" t="s">
        <v>721</v>
      </c>
      <c r="DF101">
        <v>18611</v>
      </c>
      <c r="DG101">
        <v>0.3725</v>
      </c>
      <c r="DH101">
        <v>1</v>
      </c>
      <c r="DI101">
        <v>5.2600000000000001E-2</v>
      </c>
      <c r="DJ101">
        <v>300</v>
      </c>
      <c r="DK101">
        <v>300</v>
      </c>
      <c r="DL101">
        <v>300</v>
      </c>
      <c r="DM101">
        <v>1</v>
      </c>
      <c r="DN101">
        <v>0.31180000000000002</v>
      </c>
      <c r="DO101">
        <v>94</v>
      </c>
      <c r="DP101">
        <v>300</v>
      </c>
    </row>
    <row r="102" spans="93:120" x14ac:dyDescent="0.25">
      <c r="CO102" t="s">
        <v>636</v>
      </c>
      <c r="CP102" t="s">
        <v>604</v>
      </c>
      <c r="CQ102" t="s">
        <v>78</v>
      </c>
      <c r="CR102">
        <v>46163</v>
      </c>
      <c r="CS102">
        <v>1</v>
      </c>
      <c r="CT102">
        <v>1</v>
      </c>
      <c r="CV102">
        <v>1</v>
      </c>
      <c r="CX102">
        <v>1.1574074074074075E-4</v>
      </c>
      <c r="CY102">
        <v>1.1574074074074075E-4</v>
      </c>
      <c r="CZ102">
        <v>0.14960648148148148</v>
      </c>
      <c r="DA102">
        <v>0.13603009259259261</v>
      </c>
      <c r="DB102">
        <v>70</v>
      </c>
      <c r="DC102">
        <v>149</v>
      </c>
      <c r="DD102">
        <v>28</v>
      </c>
      <c r="DE102" t="s">
        <v>722</v>
      </c>
      <c r="DF102">
        <v>23957</v>
      </c>
      <c r="DG102">
        <v>0.4</v>
      </c>
      <c r="DH102">
        <v>3</v>
      </c>
      <c r="DI102">
        <v>0.1071</v>
      </c>
      <c r="DJ102">
        <v>4180</v>
      </c>
      <c r="DK102">
        <v>1393</v>
      </c>
      <c r="DL102">
        <v>3900</v>
      </c>
      <c r="DM102">
        <v>0.93300000000000005</v>
      </c>
      <c r="DN102">
        <v>0.26700000000000002</v>
      </c>
      <c r="DO102">
        <v>94</v>
      </c>
      <c r="DP102">
        <v>1950</v>
      </c>
    </row>
    <row r="103" spans="93:120" x14ac:dyDescent="0.25">
      <c r="CO103" t="s">
        <v>636</v>
      </c>
      <c r="CP103" t="s">
        <v>604</v>
      </c>
      <c r="CQ103" t="s">
        <v>78</v>
      </c>
      <c r="CR103">
        <v>46168</v>
      </c>
      <c r="CS103">
        <v>1</v>
      </c>
      <c r="CT103">
        <v>1</v>
      </c>
      <c r="CV103">
        <v>1</v>
      </c>
      <c r="CX103">
        <v>1.3888888888888889E-4</v>
      </c>
      <c r="CY103">
        <v>1.3888888888888889E-4</v>
      </c>
      <c r="CZ103">
        <v>0.1937962962962963</v>
      </c>
      <c r="DA103">
        <v>0.14196759259259259</v>
      </c>
      <c r="DB103">
        <v>84</v>
      </c>
      <c r="DC103">
        <v>175</v>
      </c>
      <c r="DD103">
        <v>24</v>
      </c>
      <c r="DE103" t="s">
        <v>703</v>
      </c>
      <c r="DF103">
        <v>19681</v>
      </c>
      <c r="DG103">
        <v>0.28570000000000001</v>
      </c>
      <c r="DH103">
        <v>1</v>
      </c>
      <c r="DI103">
        <v>4.1700000000000001E-2</v>
      </c>
      <c r="DJ103">
        <v>3500</v>
      </c>
      <c r="DK103">
        <v>3500</v>
      </c>
      <c r="DL103">
        <v>3500</v>
      </c>
      <c r="DM103">
        <v>1</v>
      </c>
      <c r="DN103">
        <v>0.18990000000000001</v>
      </c>
      <c r="DO103">
        <v>94</v>
      </c>
      <c r="DP103">
        <v>3500</v>
      </c>
    </row>
    <row r="104" spans="93:120" x14ac:dyDescent="0.25">
      <c r="CO104" t="s">
        <v>636</v>
      </c>
      <c r="CP104" t="s">
        <v>604</v>
      </c>
      <c r="CQ104" t="s">
        <v>48</v>
      </c>
      <c r="CR104">
        <v>46150</v>
      </c>
      <c r="CS104">
        <v>1</v>
      </c>
      <c r="CT104">
        <v>1</v>
      </c>
      <c r="CV104">
        <v>1</v>
      </c>
      <c r="CX104">
        <v>0</v>
      </c>
      <c r="CY104">
        <v>0</v>
      </c>
      <c r="CZ104">
        <v>0.19210648148148149</v>
      </c>
      <c r="DA104">
        <v>9.3900462962962963E-2</v>
      </c>
      <c r="DB104">
        <v>80</v>
      </c>
      <c r="DC104">
        <v>113</v>
      </c>
      <c r="DD104">
        <v>20</v>
      </c>
      <c r="DE104">
        <v>1.95</v>
      </c>
      <c r="DF104">
        <v>11681</v>
      </c>
      <c r="DG104">
        <v>0.25</v>
      </c>
      <c r="DH104">
        <v>1</v>
      </c>
      <c r="DI104">
        <v>0.05</v>
      </c>
      <c r="DJ104">
        <v>10000</v>
      </c>
      <c r="DK104">
        <v>10000</v>
      </c>
      <c r="DL104">
        <v>10000</v>
      </c>
      <c r="DM104">
        <v>1</v>
      </c>
      <c r="DN104">
        <v>0.36149999999999999</v>
      </c>
      <c r="DO104">
        <v>94</v>
      </c>
      <c r="DP104">
        <v>10000</v>
      </c>
    </row>
    <row r="105" spans="93:120" x14ac:dyDescent="0.25">
      <c r="CO105" t="s">
        <v>636</v>
      </c>
      <c r="CP105" t="s">
        <v>3</v>
      </c>
      <c r="CQ105" t="s">
        <v>58</v>
      </c>
      <c r="CR105">
        <v>46150</v>
      </c>
      <c r="CS105">
        <v>1</v>
      </c>
      <c r="CT105">
        <v>1</v>
      </c>
      <c r="CX105">
        <v>8.1018518518518516E-5</v>
      </c>
      <c r="CY105">
        <v>8.1018518518518516E-5</v>
      </c>
      <c r="CZ105">
        <v>0.10828703703703704</v>
      </c>
      <c r="DA105">
        <v>4.8344907407407406E-2</v>
      </c>
      <c r="DB105">
        <v>46</v>
      </c>
      <c r="DC105">
        <v>89</v>
      </c>
      <c r="DD105">
        <v>8</v>
      </c>
      <c r="DE105">
        <v>2</v>
      </c>
      <c r="DF105">
        <v>39733</v>
      </c>
      <c r="DG105">
        <v>0.1739</v>
      </c>
      <c r="DH105">
        <v>1</v>
      </c>
      <c r="DI105">
        <v>0.125</v>
      </c>
      <c r="DJ105">
        <v>2500</v>
      </c>
      <c r="DK105">
        <v>2500</v>
      </c>
      <c r="DL105">
        <v>2500</v>
      </c>
      <c r="DM105">
        <v>1</v>
      </c>
      <c r="DN105">
        <v>0.15179999999999999</v>
      </c>
      <c r="DO105">
        <v>94</v>
      </c>
      <c r="DP105">
        <v>2500</v>
      </c>
    </row>
    <row r="106" spans="93:120" x14ac:dyDescent="0.25">
      <c r="CO106" t="s">
        <v>636</v>
      </c>
      <c r="CP106" t="s">
        <v>3</v>
      </c>
      <c r="CQ106" t="s">
        <v>564</v>
      </c>
      <c r="CR106">
        <v>46149</v>
      </c>
      <c r="CS106">
        <v>1</v>
      </c>
      <c r="CT106">
        <v>1</v>
      </c>
      <c r="CV106">
        <v>1</v>
      </c>
      <c r="CX106">
        <v>0</v>
      </c>
      <c r="CY106">
        <v>0</v>
      </c>
      <c r="CZ106">
        <v>0.26004629629629628</v>
      </c>
      <c r="DA106">
        <v>6.4791666666666664E-2</v>
      </c>
      <c r="DB106">
        <v>89</v>
      </c>
      <c r="DC106">
        <v>153</v>
      </c>
      <c r="DD106">
        <v>27</v>
      </c>
      <c r="DE106" t="s">
        <v>676</v>
      </c>
      <c r="DF106">
        <v>10951</v>
      </c>
      <c r="DG106">
        <v>0.3034</v>
      </c>
      <c r="DH106">
        <v>3</v>
      </c>
      <c r="DI106">
        <v>0.1111</v>
      </c>
      <c r="DJ106">
        <v>3350</v>
      </c>
      <c r="DK106">
        <v>1117</v>
      </c>
      <c r="DL106">
        <v>1200</v>
      </c>
      <c r="DM106">
        <v>0.35820000000000002</v>
      </c>
      <c r="DN106">
        <v>0.16020000000000001</v>
      </c>
      <c r="DO106">
        <v>94</v>
      </c>
      <c r="DP106">
        <v>1200</v>
      </c>
    </row>
    <row r="107" spans="93:120" x14ac:dyDescent="0.25">
      <c r="CO107" t="s">
        <v>636</v>
      </c>
      <c r="CP107" t="s">
        <v>3</v>
      </c>
      <c r="CQ107" t="s">
        <v>68</v>
      </c>
      <c r="CR107">
        <v>46153</v>
      </c>
      <c r="CS107">
        <v>1</v>
      </c>
      <c r="CT107">
        <v>1</v>
      </c>
      <c r="CV107">
        <v>1</v>
      </c>
      <c r="CX107">
        <v>1.8287037037037037E-3</v>
      </c>
      <c r="CY107">
        <v>1.8287037037037037E-3</v>
      </c>
      <c r="CZ107">
        <v>0.18087962962962964</v>
      </c>
      <c r="DA107">
        <v>0.12311342592592593</v>
      </c>
      <c r="DB107">
        <v>80</v>
      </c>
      <c r="DC107">
        <v>172</v>
      </c>
      <c r="DD107">
        <v>15</v>
      </c>
      <c r="DE107" t="s">
        <v>723</v>
      </c>
      <c r="DF107">
        <v>57959</v>
      </c>
      <c r="DG107">
        <v>0.1875</v>
      </c>
      <c r="DH107">
        <v>2</v>
      </c>
      <c r="DI107">
        <v>0.1333</v>
      </c>
      <c r="DJ107">
        <v>841</v>
      </c>
      <c r="DK107">
        <v>421</v>
      </c>
      <c r="DL107">
        <v>500</v>
      </c>
      <c r="DM107">
        <v>0.59450000000000003</v>
      </c>
      <c r="DN107">
        <v>0.1318</v>
      </c>
      <c r="DO107">
        <v>94</v>
      </c>
      <c r="DP107">
        <v>500</v>
      </c>
    </row>
    <row r="108" spans="93:120" x14ac:dyDescent="0.25">
      <c r="CO108" t="s">
        <v>636</v>
      </c>
      <c r="CP108" t="s">
        <v>3</v>
      </c>
      <c r="CQ108" t="s">
        <v>29</v>
      </c>
      <c r="CR108">
        <v>46155</v>
      </c>
      <c r="CS108">
        <v>1</v>
      </c>
      <c r="CT108">
        <v>1</v>
      </c>
      <c r="CV108">
        <v>1</v>
      </c>
      <c r="CX108">
        <v>3.2523148148148147E-3</v>
      </c>
      <c r="CY108">
        <v>3.2523148148148147E-3</v>
      </c>
      <c r="CZ108">
        <v>0.17377314814814815</v>
      </c>
      <c r="DA108">
        <v>0.1582638888888889</v>
      </c>
      <c r="DB108">
        <v>101</v>
      </c>
      <c r="DC108">
        <v>177</v>
      </c>
      <c r="DD108">
        <v>23</v>
      </c>
      <c r="DE108" t="s">
        <v>724</v>
      </c>
      <c r="DF108">
        <v>11731</v>
      </c>
      <c r="DG108">
        <v>0.22770000000000001</v>
      </c>
      <c r="DH108">
        <v>3</v>
      </c>
      <c r="DI108">
        <v>0.13039999999999999</v>
      </c>
      <c r="DJ108">
        <v>780</v>
      </c>
      <c r="DK108">
        <v>260</v>
      </c>
      <c r="DL108">
        <v>780</v>
      </c>
      <c r="DM108">
        <v>1</v>
      </c>
      <c r="DN108">
        <v>0.42680000000000001</v>
      </c>
      <c r="DO108">
        <v>94</v>
      </c>
      <c r="DP108">
        <v>260</v>
      </c>
    </row>
    <row r="109" spans="93:120" x14ac:dyDescent="0.25">
      <c r="CO109" t="s">
        <v>636</v>
      </c>
      <c r="CP109" t="s">
        <v>3</v>
      </c>
      <c r="CQ109" t="s">
        <v>29</v>
      </c>
      <c r="CR109">
        <v>46170</v>
      </c>
      <c r="CS109">
        <v>1</v>
      </c>
      <c r="CT109">
        <v>1</v>
      </c>
      <c r="CV109">
        <v>1</v>
      </c>
      <c r="CX109">
        <v>7.0601851851851847E-4</v>
      </c>
      <c r="CY109">
        <v>7.0601851851851847E-4</v>
      </c>
      <c r="CZ109">
        <v>0.18268518518518517</v>
      </c>
      <c r="DA109">
        <v>0.15913194444444445</v>
      </c>
      <c r="DB109">
        <v>100</v>
      </c>
      <c r="DC109">
        <v>191</v>
      </c>
      <c r="DD109">
        <v>19</v>
      </c>
      <c r="DE109" t="s">
        <v>725</v>
      </c>
      <c r="DF109">
        <v>19381</v>
      </c>
      <c r="DG109">
        <v>0.19</v>
      </c>
      <c r="DH109">
        <v>1</v>
      </c>
      <c r="DI109">
        <v>5.2600000000000001E-2</v>
      </c>
      <c r="DJ109">
        <v>5000</v>
      </c>
      <c r="DK109">
        <v>5000</v>
      </c>
      <c r="DL109">
        <v>5000</v>
      </c>
      <c r="DM109">
        <v>1</v>
      </c>
      <c r="DN109">
        <v>0.11070000000000001</v>
      </c>
      <c r="DO109">
        <v>94</v>
      </c>
      <c r="DP109">
        <v>5000</v>
      </c>
    </row>
    <row r="110" spans="93:120" x14ac:dyDescent="0.25">
      <c r="CO110" t="s">
        <v>636</v>
      </c>
      <c r="CP110" t="s">
        <v>2</v>
      </c>
      <c r="CQ110" t="s">
        <v>13</v>
      </c>
      <c r="CR110">
        <v>46154</v>
      </c>
      <c r="CS110">
        <v>1</v>
      </c>
      <c r="CT110">
        <v>1</v>
      </c>
      <c r="CV110">
        <v>1</v>
      </c>
      <c r="CX110">
        <v>1.3888888888888889E-4</v>
      </c>
      <c r="CY110">
        <v>1.3888888888888889E-4</v>
      </c>
      <c r="CZ110">
        <v>0.263125</v>
      </c>
      <c r="DA110">
        <v>0.14119212962962963</v>
      </c>
      <c r="DB110">
        <v>90</v>
      </c>
      <c r="DC110">
        <v>182</v>
      </c>
      <c r="DD110">
        <v>25</v>
      </c>
      <c r="DE110">
        <v>2.2400000000000002</v>
      </c>
      <c r="DF110">
        <v>24015</v>
      </c>
      <c r="DG110">
        <v>0.27779999999999999</v>
      </c>
      <c r="DH110">
        <v>3</v>
      </c>
      <c r="DI110">
        <v>0.12</v>
      </c>
      <c r="DJ110">
        <v>10500</v>
      </c>
      <c r="DK110">
        <v>3500</v>
      </c>
      <c r="DL110">
        <v>10500</v>
      </c>
      <c r="DM110">
        <v>1</v>
      </c>
      <c r="DN110">
        <v>0.1239</v>
      </c>
      <c r="DO110">
        <v>92</v>
      </c>
      <c r="DP110">
        <v>3500</v>
      </c>
    </row>
    <row r="111" spans="93:120" x14ac:dyDescent="0.25">
      <c r="CO111" t="s">
        <v>636</v>
      </c>
      <c r="CP111" t="s">
        <v>2</v>
      </c>
      <c r="CQ111" t="s">
        <v>10</v>
      </c>
      <c r="CR111">
        <v>46160</v>
      </c>
      <c r="CS111">
        <v>1</v>
      </c>
      <c r="CT111">
        <v>1</v>
      </c>
      <c r="CV111">
        <v>1</v>
      </c>
      <c r="CX111">
        <v>2.3148148148148149E-4</v>
      </c>
      <c r="CY111">
        <v>2.3148148148148149E-4</v>
      </c>
      <c r="CZ111">
        <v>0.21690972222222221</v>
      </c>
      <c r="DA111">
        <v>0.12841435185185185</v>
      </c>
      <c r="DB111">
        <v>102</v>
      </c>
      <c r="DC111">
        <v>183</v>
      </c>
      <c r="DD111">
        <v>30</v>
      </c>
      <c r="DE111">
        <v>1.7</v>
      </c>
      <c r="DF111">
        <v>40472</v>
      </c>
      <c r="DG111">
        <v>0.29409999999999997</v>
      </c>
      <c r="DH111">
        <v>1</v>
      </c>
      <c r="DI111">
        <v>3.3300000000000003E-2</v>
      </c>
      <c r="DJ111">
        <v>3467</v>
      </c>
      <c r="DK111">
        <v>3467</v>
      </c>
      <c r="DL111">
        <v>3467</v>
      </c>
      <c r="DM111">
        <v>1</v>
      </c>
      <c r="DN111">
        <v>0.21210000000000001</v>
      </c>
      <c r="DO111">
        <v>92</v>
      </c>
      <c r="DP111">
        <v>3467</v>
      </c>
    </row>
    <row r="112" spans="93:120" x14ac:dyDescent="0.25">
      <c r="CO112" t="s">
        <v>636</v>
      </c>
      <c r="CP112" t="s">
        <v>6</v>
      </c>
      <c r="CQ112" t="s">
        <v>11</v>
      </c>
      <c r="CR112">
        <v>46156</v>
      </c>
      <c r="CS112">
        <v>1</v>
      </c>
      <c r="CT112">
        <v>1</v>
      </c>
      <c r="CV112">
        <v>1</v>
      </c>
      <c r="CX112">
        <v>3.4722222222222222E-5</v>
      </c>
      <c r="CY112">
        <v>3.4722222222222222E-5</v>
      </c>
      <c r="CZ112">
        <v>0.16418981481481482</v>
      </c>
      <c r="DA112">
        <v>0.12113425925925926</v>
      </c>
      <c r="DB112">
        <v>122</v>
      </c>
      <c r="DC112">
        <v>227</v>
      </c>
      <c r="DD112">
        <v>27</v>
      </c>
      <c r="DE112" t="s">
        <v>726</v>
      </c>
      <c r="DF112">
        <v>16036</v>
      </c>
      <c r="DG112">
        <v>0.2213</v>
      </c>
      <c r="DH112">
        <v>1</v>
      </c>
      <c r="DI112">
        <v>3.6999999999999998E-2</v>
      </c>
      <c r="DJ112">
        <v>3000</v>
      </c>
      <c r="DK112">
        <v>3000</v>
      </c>
      <c r="DL112">
        <v>3000</v>
      </c>
      <c r="DM112">
        <v>1</v>
      </c>
      <c r="DN112">
        <v>0.14860000000000001</v>
      </c>
      <c r="DO112">
        <v>92</v>
      </c>
      <c r="DP112">
        <v>3000</v>
      </c>
    </row>
    <row r="113" spans="93:120" x14ac:dyDescent="0.25">
      <c r="CO113" t="s">
        <v>636</v>
      </c>
      <c r="CP113" t="s">
        <v>6</v>
      </c>
      <c r="CQ113" t="s">
        <v>11</v>
      </c>
      <c r="CR113">
        <v>46170</v>
      </c>
      <c r="CS113">
        <v>1</v>
      </c>
      <c r="CT113">
        <v>1</v>
      </c>
      <c r="CV113">
        <v>1</v>
      </c>
      <c r="CX113">
        <v>9.2592592592592588E-5</v>
      </c>
      <c r="CY113">
        <v>9.2592592592592588E-5</v>
      </c>
      <c r="CZ113">
        <v>0.18340277777777778</v>
      </c>
      <c r="DA113">
        <v>0.14960648148148148</v>
      </c>
      <c r="DB113">
        <v>128</v>
      </c>
      <c r="DC113">
        <v>195</v>
      </c>
      <c r="DD113">
        <v>24</v>
      </c>
      <c r="DE113" t="s">
        <v>674</v>
      </c>
      <c r="DF113">
        <v>12091</v>
      </c>
      <c r="DG113">
        <v>0.1875</v>
      </c>
      <c r="DH113">
        <v>1</v>
      </c>
      <c r="DI113">
        <v>4.1700000000000001E-2</v>
      </c>
      <c r="DJ113">
        <v>100</v>
      </c>
      <c r="DK113">
        <v>100</v>
      </c>
      <c r="DL113">
        <v>100</v>
      </c>
      <c r="DM113">
        <v>1</v>
      </c>
      <c r="DN113">
        <v>0.70389999999999997</v>
      </c>
      <c r="DO113">
        <v>92</v>
      </c>
      <c r="DP113">
        <v>100</v>
      </c>
    </row>
    <row r="114" spans="93:120" x14ac:dyDescent="0.25">
      <c r="CO114" t="s">
        <v>636</v>
      </c>
      <c r="CP114" t="s">
        <v>6</v>
      </c>
      <c r="CQ114" t="s">
        <v>97</v>
      </c>
      <c r="CR114">
        <v>46150</v>
      </c>
      <c r="CS114">
        <v>1</v>
      </c>
      <c r="CT114">
        <v>1</v>
      </c>
      <c r="CV114">
        <v>1</v>
      </c>
      <c r="CX114">
        <v>5.7870370370370373E-5</v>
      </c>
      <c r="CY114">
        <v>5.7870370370370373E-5</v>
      </c>
      <c r="CZ114">
        <v>0.23475694444444445</v>
      </c>
      <c r="DA114">
        <v>7.7789351851851846E-2</v>
      </c>
      <c r="DB114">
        <v>175</v>
      </c>
      <c r="DC114">
        <v>201</v>
      </c>
      <c r="DD114">
        <v>13</v>
      </c>
      <c r="DE114" t="s">
        <v>727</v>
      </c>
      <c r="DF114">
        <v>14054</v>
      </c>
      <c r="DG114">
        <v>7.4300000000000005E-2</v>
      </c>
      <c r="DH114">
        <v>2</v>
      </c>
      <c r="DI114">
        <v>0.15379999999999999</v>
      </c>
      <c r="DJ114">
        <v>1025</v>
      </c>
      <c r="DK114">
        <v>513</v>
      </c>
      <c r="DL114">
        <v>1025</v>
      </c>
      <c r="DM114">
        <v>1</v>
      </c>
      <c r="DN114">
        <v>0.18709999999999999</v>
      </c>
      <c r="DO114">
        <v>92</v>
      </c>
      <c r="DP114">
        <v>513</v>
      </c>
    </row>
    <row r="115" spans="93:120" x14ac:dyDescent="0.25">
      <c r="CO115" t="s">
        <v>636</v>
      </c>
      <c r="CP115" t="s">
        <v>6</v>
      </c>
      <c r="CQ115" t="s">
        <v>97</v>
      </c>
      <c r="CR115">
        <v>46172</v>
      </c>
      <c r="CS115">
        <v>1</v>
      </c>
      <c r="CT115">
        <v>1</v>
      </c>
      <c r="CV115">
        <v>1</v>
      </c>
      <c r="CX115">
        <v>9.2592592592592588E-5</v>
      </c>
      <c r="CY115">
        <v>9.2592592592592588E-5</v>
      </c>
      <c r="CZ115">
        <v>0.17363425925925927</v>
      </c>
      <c r="DA115">
        <v>1.3726851851851851E-2</v>
      </c>
      <c r="DB115">
        <v>26</v>
      </c>
      <c r="DC115">
        <v>53</v>
      </c>
      <c r="DD115">
        <v>17</v>
      </c>
      <c r="DE115" t="s">
        <v>728</v>
      </c>
      <c r="DF115">
        <v>8800</v>
      </c>
      <c r="DG115">
        <v>0.65380000000000005</v>
      </c>
      <c r="DH115">
        <v>2</v>
      </c>
      <c r="DI115">
        <v>0.1176</v>
      </c>
      <c r="DJ115">
        <v>11440</v>
      </c>
      <c r="DK115">
        <v>5720</v>
      </c>
      <c r="DL115">
        <v>11300</v>
      </c>
      <c r="DM115">
        <v>0.98780000000000001</v>
      </c>
      <c r="DN115">
        <v>0.4022</v>
      </c>
      <c r="DO115">
        <v>92</v>
      </c>
      <c r="DP115">
        <v>11300</v>
      </c>
    </row>
    <row r="116" spans="93:120" x14ac:dyDescent="0.25">
      <c r="CO116" t="s">
        <v>636</v>
      </c>
      <c r="CP116" t="s">
        <v>7</v>
      </c>
      <c r="CQ116" t="s">
        <v>18</v>
      </c>
      <c r="CR116">
        <v>46148</v>
      </c>
      <c r="CS116">
        <v>1</v>
      </c>
      <c r="CT116">
        <v>1</v>
      </c>
      <c r="CV116">
        <v>1</v>
      </c>
      <c r="CX116">
        <v>2.8587962962962963E-3</v>
      </c>
      <c r="CY116">
        <v>2.8587962962962963E-3</v>
      </c>
      <c r="CZ116">
        <v>0.17777777777777778</v>
      </c>
      <c r="DA116">
        <v>0.12685185185185185</v>
      </c>
      <c r="DB116">
        <v>105</v>
      </c>
      <c r="DC116">
        <v>224</v>
      </c>
      <c r="DD116">
        <v>17</v>
      </c>
      <c r="DE116" t="s">
        <v>728</v>
      </c>
      <c r="DF116">
        <v>27479</v>
      </c>
      <c r="DG116">
        <v>0.16189999999999999</v>
      </c>
      <c r="DH116">
        <v>1</v>
      </c>
      <c r="DI116">
        <v>5.8799999999999998E-2</v>
      </c>
      <c r="DJ116">
        <v>3000</v>
      </c>
      <c r="DK116">
        <v>3000</v>
      </c>
      <c r="DL116">
        <v>3000</v>
      </c>
      <c r="DM116">
        <v>1</v>
      </c>
      <c r="DN116">
        <v>0.17599999999999999</v>
      </c>
      <c r="DO116">
        <v>92</v>
      </c>
      <c r="DP116">
        <v>3000</v>
      </c>
    </row>
    <row r="117" spans="93:120" x14ac:dyDescent="0.25">
      <c r="CO117" t="s">
        <v>636</v>
      </c>
      <c r="CP117" t="s">
        <v>7</v>
      </c>
      <c r="CQ117" t="s">
        <v>18</v>
      </c>
      <c r="CR117">
        <v>46172</v>
      </c>
      <c r="CS117">
        <v>1</v>
      </c>
      <c r="CT117">
        <v>1</v>
      </c>
      <c r="CV117">
        <v>1</v>
      </c>
      <c r="CX117">
        <v>1.8981481481481482E-3</v>
      </c>
      <c r="CY117">
        <v>1.8981481481481482E-3</v>
      </c>
      <c r="CZ117">
        <v>0.14936342592592591</v>
      </c>
      <c r="DA117">
        <v>4.283564814814815E-2</v>
      </c>
      <c r="DB117">
        <v>56</v>
      </c>
      <c r="DC117">
        <v>102</v>
      </c>
      <c r="DD117">
        <v>10</v>
      </c>
      <c r="DE117">
        <v>1</v>
      </c>
      <c r="DF117">
        <v>13742</v>
      </c>
      <c r="DG117">
        <v>0.17860000000000001</v>
      </c>
      <c r="DO117">
        <v>92</v>
      </c>
    </row>
    <row r="118" spans="93:120" x14ac:dyDescent="0.25">
      <c r="CO118" t="s">
        <v>636</v>
      </c>
      <c r="CP118" t="s">
        <v>7</v>
      </c>
      <c r="CQ118" t="s">
        <v>60</v>
      </c>
      <c r="CR118">
        <v>46147</v>
      </c>
      <c r="CS118">
        <v>1</v>
      </c>
      <c r="CT118">
        <v>1</v>
      </c>
      <c r="CV118">
        <v>1</v>
      </c>
      <c r="CX118">
        <v>4.0509259259259258E-4</v>
      </c>
      <c r="CY118">
        <v>4.0509259259259258E-4</v>
      </c>
      <c r="CZ118">
        <v>0.32195601851851852</v>
      </c>
      <c r="DA118">
        <v>7.8055555555555559E-2</v>
      </c>
      <c r="DB118">
        <v>148</v>
      </c>
      <c r="DC118">
        <v>228</v>
      </c>
      <c r="DD118">
        <v>14</v>
      </c>
      <c r="DE118" t="s">
        <v>729</v>
      </c>
      <c r="DF118">
        <v>12694</v>
      </c>
      <c r="DG118">
        <v>9.4600000000000004E-2</v>
      </c>
      <c r="DH118">
        <v>2</v>
      </c>
      <c r="DI118">
        <v>0.1429</v>
      </c>
      <c r="DJ118">
        <v>900</v>
      </c>
      <c r="DK118">
        <v>450</v>
      </c>
      <c r="DL118">
        <v>300</v>
      </c>
      <c r="DM118">
        <v>0.33329999999999999</v>
      </c>
      <c r="DN118">
        <v>0.10340000000000001</v>
      </c>
      <c r="DO118">
        <v>92</v>
      </c>
      <c r="DP118">
        <v>300</v>
      </c>
    </row>
    <row r="119" spans="93:120" x14ac:dyDescent="0.25">
      <c r="CO119" t="s">
        <v>636</v>
      </c>
      <c r="CP119" t="s">
        <v>7</v>
      </c>
      <c r="CQ119" t="s">
        <v>60</v>
      </c>
      <c r="CR119">
        <v>46172</v>
      </c>
      <c r="CS119">
        <v>1</v>
      </c>
      <c r="CT119">
        <v>1</v>
      </c>
      <c r="CV119">
        <v>1</v>
      </c>
      <c r="CX119">
        <v>5.7870370370370373E-5</v>
      </c>
      <c r="CY119">
        <v>5.7870370370370373E-5</v>
      </c>
      <c r="CZ119">
        <v>0.11416666666666667</v>
      </c>
      <c r="DA119">
        <v>7.3981481481481481E-2</v>
      </c>
      <c r="DB119">
        <v>84</v>
      </c>
      <c r="DC119">
        <v>94</v>
      </c>
      <c r="DD119">
        <v>7</v>
      </c>
      <c r="DE119" t="s">
        <v>730</v>
      </c>
      <c r="DF119">
        <v>31145</v>
      </c>
      <c r="DG119">
        <v>8.3299999999999999E-2</v>
      </c>
      <c r="DO119">
        <v>92</v>
      </c>
    </row>
    <row r="120" spans="93:120" x14ac:dyDescent="0.25">
      <c r="CO120" t="s">
        <v>636</v>
      </c>
      <c r="CP120" t="s">
        <v>7</v>
      </c>
      <c r="CQ120" t="s">
        <v>61</v>
      </c>
      <c r="CR120">
        <v>46155</v>
      </c>
      <c r="CS120">
        <v>1</v>
      </c>
      <c r="CT120">
        <v>1</v>
      </c>
      <c r="CU120">
        <v>1</v>
      </c>
      <c r="CX120">
        <v>9.1203703703703707E-3</v>
      </c>
      <c r="CY120">
        <v>9.1203703703703707E-3</v>
      </c>
      <c r="CZ120">
        <v>0.1653587962962963</v>
      </c>
      <c r="DA120">
        <v>0.1300462962962963</v>
      </c>
      <c r="DB120">
        <v>104</v>
      </c>
      <c r="DC120">
        <v>218</v>
      </c>
      <c r="DD120">
        <v>24</v>
      </c>
      <c r="DE120" t="s">
        <v>731</v>
      </c>
      <c r="DF120">
        <v>23998</v>
      </c>
      <c r="DG120">
        <v>0.23080000000000001</v>
      </c>
      <c r="DO120">
        <v>92</v>
      </c>
    </row>
    <row r="121" spans="93:120" x14ac:dyDescent="0.25">
      <c r="CO121" t="s">
        <v>636</v>
      </c>
      <c r="CP121" t="s">
        <v>7</v>
      </c>
      <c r="CQ121" t="s">
        <v>61</v>
      </c>
      <c r="CR121">
        <v>46172</v>
      </c>
      <c r="CS121">
        <v>1</v>
      </c>
      <c r="CT121">
        <v>1</v>
      </c>
      <c r="CV121">
        <v>1</v>
      </c>
      <c r="CX121">
        <v>2.0023148148148148E-3</v>
      </c>
      <c r="CY121">
        <v>2.0023148148148148E-3</v>
      </c>
      <c r="CZ121">
        <v>0.13233796296296296</v>
      </c>
      <c r="DA121">
        <v>5.7187500000000002E-2</v>
      </c>
      <c r="DB121">
        <v>67</v>
      </c>
      <c r="DC121">
        <v>94</v>
      </c>
      <c r="DD121">
        <v>12</v>
      </c>
      <c r="DE121" t="s">
        <v>732</v>
      </c>
      <c r="DF121">
        <v>20042</v>
      </c>
      <c r="DG121">
        <v>0.17910000000000001</v>
      </c>
      <c r="DO121">
        <v>92</v>
      </c>
    </row>
    <row r="122" spans="93:120" x14ac:dyDescent="0.25">
      <c r="CO122" t="s">
        <v>636</v>
      </c>
      <c r="CP122" t="s">
        <v>7</v>
      </c>
      <c r="CQ122" t="s">
        <v>80</v>
      </c>
      <c r="CR122">
        <v>46172</v>
      </c>
      <c r="CS122">
        <v>1</v>
      </c>
      <c r="CT122">
        <v>1</v>
      </c>
      <c r="CV122">
        <v>1</v>
      </c>
      <c r="CX122">
        <v>9.2592592592592588E-5</v>
      </c>
      <c r="CY122">
        <v>9.2592592592592588E-5</v>
      </c>
      <c r="CZ122">
        <v>9.1122685185185182E-2</v>
      </c>
      <c r="DA122">
        <v>9.7152777777777782E-2</v>
      </c>
      <c r="DB122">
        <v>31</v>
      </c>
      <c r="DC122">
        <v>58</v>
      </c>
      <c r="DD122">
        <v>3</v>
      </c>
      <c r="DE122">
        <v>1</v>
      </c>
      <c r="DF122">
        <v>5476</v>
      </c>
      <c r="DG122">
        <v>9.6799999999999997E-2</v>
      </c>
      <c r="DO122">
        <v>92</v>
      </c>
    </row>
    <row r="123" spans="93:120" x14ac:dyDescent="0.25">
      <c r="CO123" t="s">
        <v>636</v>
      </c>
      <c r="CP123" t="s">
        <v>7</v>
      </c>
      <c r="CQ123" t="s">
        <v>72</v>
      </c>
      <c r="CR123">
        <v>46157</v>
      </c>
      <c r="CS123">
        <v>1</v>
      </c>
      <c r="CT123">
        <v>1</v>
      </c>
      <c r="CV123">
        <v>1</v>
      </c>
      <c r="CX123">
        <v>1.1574074074074075E-4</v>
      </c>
      <c r="CY123">
        <v>1.1574074074074075E-4</v>
      </c>
      <c r="CZ123">
        <v>0.25697916666666665</v>
      </c>
      <c r="DA123">
        <v>0.08</v>
      </c>
      <c r="DB123">
        <v>114</v>
      </c>
      <c r="DC123">
        <v>173</v>
      </c>
      <c r="DD123">
        <v>15</v>
      </c>
      <c r="DE123">
        <v>1.8</v>
      </c>
      <c r="DF123">
        <v>30765</v>
      </c>
      <c r="DG123">
        <v>0.13159999999999999</v>
      </c>
      <c r="DH123">
        <v>1</v>
      </c>
      <c r="DI123">
        <v>6.6699999999999995E-2</v>
      </c>
      <c r="DJ123">
        <v>2500</v>
      </c>
      <c r="DK123">
        <v>2500</v>
      </c>
      <c r="DL123">
        <v>2500</v>
      </c>
      <c r="DM123">
        <v>1</v>
      </c>
      <c r="DN123">
        <v>0.1426</v>
      </c>
      <c r="DO123">
        <v>92</v>
      </c>
      <c r="DP123">
        <v>2500</v>
      </c>
    </row>
    <row r="124" spans="93:120" x14ac:dyDescent="0.25">
      <c r="CO124" t="s">
        <v>636</v>
      </c>
      <c r="CP124" t="s">
        <v>7</v>
      </c>
      <c r="CQ124" t="s">
        <v>72</v>
      </c>
      <c r="CR124">
        <v>46172</v>
      </c>
      <c r="CS124">
        <v>1</v>
      </c>
      <c r="CT124">
        <v>1</v>
      </c>
      <c r="CV124">
        <v>1</v>
      </c>
      <c r="CX124">
        <v>1.3888888888888889E-4</v>
      </c>
      <c r="CY124">
        <v>1.3888888888888889E-4</v>
      </c>
      <c r="CZ124">
        <v>4.8055555555555553E-2</v>
      </c>
      <c r="DA124">
        <v>0.13900462962962962</v>
      </c>
      <c r="DB124">
        <v>41</v>
      </c>
      <c r="DC124">
        <v>99</v>
      </c>
      <c r="DD124">
        <v>9</v>
      </c>
      <c r="DE124" t="s">
        <v>718</v>
      </c>
      <c r="DF124">
        <v>23378</v>
      </c>
      <c r="DG124">
        <v>0.2195</v>
      </c>
      <c r="DO124">
        <v>92</v>
      </c>
    </row>
    <row r="125" spans="93:120" x14ac:dyDescent="0.25">
      <c r="CO125" t="s">
        <v>636</v>
      </c>
      <c r="CP125" t="s">
        <v>7</v>
      </c>
      <c r="CQ125" t="s">
        <v>12</v>
      </c>
      <c r="CR125">
        <v>46154</v>
      </c>
      <c r="CS125">
        <v>1</v>
      </c>
      <c r="CT125">
        <v>1</v>
      </c>
      <c r="CV125">
        <v>1</v>
      </c>
      <c r="CX125">
        <v>1.8518518518518518E-4</v>
      </c>
      <c r="CY125">
        <v>1.8518518518518518E-4</v>
      </c>
      <c r="CZ125">
        <v>0.2726851851851852</v>
      </c>
      <c r="DA125">
        <v>0.14902777777777779</v>
      </c>
      <c r="DB125">
        <v>97</v>
      </c>
      <c r="DC125">
        <v>272</v>
      </c>
      <c r="DD125">
        <v>25</v>
      </c>
      <c r="DE125">
        <v>1.76</v>
      </c>
      <c r="DF125">
        <v>17787</v>
      </c>
      <c r="DG125">
        <v>0.25769999999999998</v>
      </c>
      <c r="DH125">
        <v>2</v>
      </c>
      <c r="DI125">
        <v>0.08</v>
      </c>
      <c r="DJ125">
        <v>1028</v>
      </c>
      <c r="DK125">
        <v>514</v>
      </c>
      <c r="DL125">
        <v>800</v>
      </c>
      <c r="DM125">
        <v>0.7782</v>
      </c>
      <c r="DN125">
        <v>0.24010000000000001</v>
      </c>
      <c r="DO125">
        <v>92</v>
      </c>
      <c r="DP125">
        <v>800</v>
      </c>
    </row>
    <row r="126" spans="93:120" x14ac:dyDescent="0.25">
      <c r="CO126" t="s">
        <v>636</v>
      </c>
      <c r="CP126" t="s">
        <v>7</v>
      </c>
      <c r="CQ126" t="s">
        <v>12</v>
      </c>
      <c r="CR126">
        <v>46172</v>
      </c>
      <c r="CS126">
        <v>1</v>
      </c>
      <c r="CT126">
        <v>1</v>
      </c>
      <c r="CV126">
        <v>1</v>
      </c>
      <c r="CX126">
        <v>2.2800925925925927E-3</v>
      </c>
      <c r="CY126">
        <v>2.2800925925925927E-3</v>
      </c>
      <c r="CZ126">
        <v>3.1817129629629633E-2</v>
      </c>
      <c r="DA126">
        <v>0.15959490740740739</v>
      </c>
      <c r="DB126">
        <v>53</v>
      </c>
      <c r="DC126">
        <v>198</v>
      </c>
      <c r="DD126">
        <v>8</v>
      </c>
      <c r="DE126">
        <v>1.125</v>
      </c>
      <c r="DF126">
        <v>16369</v>
      </c>
      <c r="DG126">
        <v>0.15090000000000001</v>
      </c>
      <c r="DO126">
        <v>92</v>
      </c>
    </row>
    <row r="127" spans="93:120" x14ac:dyDescent="0.25">
      <c r="CO127" t="s">
        <v>636</v>
      </c>
      <c r="CP127" t="s">
        <v>7</v>
      </c>
      <c r="CQ127" t="s">
        <v>51</v>
      </c>
      <c r="CR127">
        <v>46155</v>
      </c>
      <c r="CS127">
        <v>1</v>
      </c>
      <c r="CT127">
        <v>1</v>
      </c>
      <c r="CU127">
        <v>1</v>
      </c>
      <c r="CX127">
        <v>8.2407407407407412E-3</v>
      </c>
      <c r="CY127">
        <v>8.2407407407407412E-3</v>
      </c>
      <c r="CZ127">
        <v>0.18251157407407406</v>
      </c>
      <c r="DA127">
        <v>0.11292824074074075</v>
      </c>
      <c r="DB127">
        <v>89</v>
      </c>
      <c r="DC127">
        <v>232</v>
      </c>
      <c r="DD127">
        <v>18</v>
      </c>
      <c r="DE127">
        <v>1.5</v>
      </c>
      <c r="DF127">
        <v>37965</v>
      </c>
      <c r="DG127">
        <v>0.20219999999999999</v>
      </c>
      <c r="DO127">
        <v>92</v>
      </c>
    </row>
    <row r="128" spans="93:120" x14ac:dyDescent="0.25">
      <c r="CO128" t="s">
        <v>636</v>
      </c>
      <c r="CP128" t="s">
        <v>7</v>
      </c>
      <c r="CQ128" t="s">
        <v>26</v>
      </c>
      <c r="CR128">
        <v>46156</v>
      </c>
      <c r="CS128">
        <v>1</v>
      </c>
      <c r="CT128">
        <v>1</v>
      </c>
      <c r="CV128">
        <v>1</v>
      </c>
      <c r="CX128">
        <v>1.273148148148148E-4</v>
      </c>
      <c r="CY128">
        <v>1.273148148148148E-4</v>
      </c>
      <c r="CZ128">
        <v>0.20787037037037037</v>
      </c>
      <c r="DA128">
        <v>0.14777777777777779</v>
      </c>
      <c r="DB128">
        <v>137</v>
      </c>
      <c r="DC128">
        <v>266</v>
      </c>
      <c r="DD128">
        <v>26</v>
      </c>
      <c r="DE128" t="s">
        <v>733</v>
      </c>
      <c r="DF128">
        <v>25180</v>
      </c>
      <c r="DG128">
        <v>0.1898</v>
      </c>
      <c r="DH128">
        <v>1</v>
      </c>
      <c r="DI128">
        <v>3.85E-2</v>
      </c>
      <c r="DJ128">
        <v>200</v>
      </c>
      <c r="DK128">
        <v>200</v>
      </c>
      <c r="DL128">
        <v>200</v>
      </c>
      <c r="DM128">
        <v>1</v>
      </c>
      <c r="DN128">
        <v>0.4486</v>
      </c>
      <c r="DO128">
        <v>92</v>
      </c>
      <c r="DP128">
        <v>200</v>
      </c>
    </row>
    <row r="129" spans="93:120" x14ac:dyDescent="0.25">
      <c r="CO129" t="s">
        <v>636</v>
      </c>
      <c r="CP129" t="s">
        <v>7</v>
      </c>
      <c r="CQ129" t="s">
        <v>75</v>
      </c>
      <c r="CR129">
        <v>46172</v>
      </c>
      <c r="CS129">
        <v>1</v>
      </c>
      <c r="CT129">
        <v>1</v>
      </c>
      <c r="CV129">
        <v>1</v>
      </c>
      <c r="CX129">
        <v>1.7361111111111112E-4</v>
      </c>
      <c r="CY129">
        <v>1.7361111111111112E-4</v>
      </c>
      <c r="CZ129">
        <v>0.10421296296296297</v>
      </c>
      <c r="DA129">
        <v>8.3275462962962968E-2</v>
      </c>
      <c r="DB129">
        <v>46</v>
      </c>
      <c r="DC129">
        <v>110</v>
      </c>
      <c r="DD129">
        <v>13</v>
      </c>
      <c r="DE129" t="s">
        <v>734</v>
      </c>
      <c r="DF129">
        <v>14564</v>
      </c>
      <c r="DG129">
        <v>0.28260000000000002</v>
      </c>
      <c r="DO129">
        <v>92</v>
      </c>
    </row>
    <row r="130" spans="93:120" x14ac:dyDescent="0.25">
      <c r="CO130" t="s">
        <v>636</v>
      </c>
      <c r="CP130" t="s">
        <v>7</v>
      </c>
      <c r="CQ130" t="s">
        <v>59</v>
      </c>
      <c r="CR130">
        <v>46160</v>
      </c>
      <c r="CS130">
        <v>1</v>
      </c>
      <c r="CT130">
        <v>1</v>
      </c>
      <c r="CV130">
        <v>1</v>
      </c>
      <c r="CX130">
        <v>1.1574074074074075E-4</v>
      </c>
      <c r="CY130">
        <v>1.1574074074074075E-4</v>
      </c>
      <c r="CZ130">
        <v>0.18759259259259259</v>
      </c>
      <c r="DA130">
        <v>0.16971064814814815</v>
      </c>
      <c r="DB130">
        <v>162</v>
      </c>
      <c r="DC130">
        <v>365</v>
      </c>
      <c r="DD130">
        <v>25</v>
      </c>
      <c r="DE130">
        <v>1.84</v>
      </c>
      <c r="DF130">
        <v>30026</v>
      </c>
      <c r="DG130">
        <v>0.15429999999999999</v>
      </c>
      <c r="DH130">
        <v>3</v>
      </c>
      <c r="DI130">
        <v>0.12</v>
      </c>
      <c r="DJ130">
        <v>6300</v>
      </c>
      <c r="DK130">
        <v>2100</v>
      </c>
      <c r="DL130">
        <v>6300</v>
      </c>
      <c r="DM130">
        <v>1</v>
      </c>
      <c r="DN130">
        <v>0.1615</v>
      </c>
      <c r="DO130">
        <v>92</v>
      </c>
      <c r="DP130">
        <v>2100</v>
      </c>
    </row>
    <row r="131" spans="93:120" x14ac:dyDescent="0.25">
      <c r="CO131" t="s">
        <v>636</v>
      </c>
      <c r="CP131" t="s">
        <v>604</v>
      </c>
      <c r="CQ131" t="s">
        <v>495</v>
      </c>
      <c r="CR131">
        <v>46153</v>
      </c>
      <c r="CS131">
        <v>1</v>
      </c>
      <c r="CT131">
        <v>1</v>
      </c>
      <c r="CV131">
        <v>1</v>
      </c>
      <c r="CX131">
        <v>1.7592592592592592E-3</v>
      </c>
      <c r="CY131">
        <v>1.7592592592592592E-3</v>
      </c>
      <c r="CZ131">
        <v>0.18313657407407408</v>
      </c>
      <c r="DA131">
        <v>0.12140046296296296</v>
      </c>
      <c r="DB131">
        <v>62</v>
      </c>
      <c r="DC131">
        <v>176</v>
      </c>
      <c r="DD131">
        <v>16</v>
      </c>
      <c r="DE131">
        <v>1.4375</v>
      </c>
      <c r="DF131">
        <v>22221</v>
      </c>
      <c r="DG131">
        <v>0.2581</v>
      </c>
      <c r="DH131">
        <v>1</v>
      </c>
      <c r="DI131">
        <v>6.25E-2</v>
      </c>
      <c r="DJ131">
        <v>400</v>
      </c>
      <c r="DK131">
        <v>400</v>
      </c>
      <c r="DL131">
        <v>400</v>
      </c>
      <c r="DM131">
        <v>1</v>
      </c>
      <c r="DN131">
        <v>0.77849999999999997</v>
      </c>
      <c r="DO131">
        <v>92</v>
      </c>
      <c r="DP131">
        <v>400</v>
      </c>
    </row>
    <row r="132" spans="93:120" x14ac:dyDescent="0.25">
      <c r="CO132" t="s">
        <v>636</v>
      </c>
      <c r="CP132" t="s">
        <v>604</v>
      </c>
      <c r="CQ132" t="s">
        <v>49</v>
      </c>
      <c r="CR132">
        <v>46146</v>
      </c>
      <c r="CS132">
        <v>1</v>
      </c>
      <c r="CT132">
        <v>1</v>
      </c>
      <c r="CU132">
        <v>1</v>
      </c>
      <c r="CX132">
        <v>1.6550925925925927E-2</v>
      </c>
      <c r="CY132">
        <v>1.6550925925925927E-2</v>
      </c>
      <c r="CZ132">
        <v>0.20634259259259261</v>
      </c>
      <c r="DA132">
        <v>7.604166666666666E-2</v>
      </c>
      <c r="DB132">
        <v>61</v>
      </c>
      <c r="DC132">
        <v>86</v>
      </c>
      <c r="DD132">
        <v>10</v>
      </c>
      <c r="DE132">
        <v>1.6</v>
      </c>
      <c r="DF132">
        <v>11822</v>
      </c>
      <c r="DG132">
        <v>0.16389999999999999</v>
      </c>
      <c r="DH132">
        <v>6</v>
      </c>
      <c r="DI132">
        <v>0.6</v>
      </c>
      <c r="DJ132">
        <v>10660</v>
      </c>
      <c r="DK132">
        <v>1777</v>
      </c>
      <c r="DL132">
        <v>10660</v>
      </c>
      <c r="DM132">
        <v>1</v>
      </c>
      <c r="DN132">
        <v>0.16320000000000001</v>
      </c>
      <c r="DO132">
        <v>92</v>
      </c>
      <c r="DP132">
        <v>1777</v>
      </c>
    </row>
    <row r="133" spans="93:120" x14ac:dyDescent="0.25">
      <c r="CO133" t="s">
        <v>636</v>
      </c>
      <c r="CP133" t="s">
        <v>604</v>
      </c>
      <c r="CQ133" t="s">
        <v>49</v>
      </c>
      <c r="CR133">
        <v>46169</v>
      </c>
      <c r="CS133">
        <v>1</v>
      </c>
      <c r="CT133">
        <v>1</v>
      </c>
      <c r="CU133">
        <v>1</v>
      </c>
      <c r="CX133">
        <v>1.4976851851851852E-2</v>
      </c>
      <c r="CY133">
        <v>1.4976851851851852E-2</v>
      </c>
      <c r="CZ133">
        <v>0.15086805555555555</v>
      </c>
      <c r="DA133">
        <v>0.16210648148148149</v>
      </c>
      <c r="DB133">
        <v>43</v>
      </c>
      <c r="DC133">
        <v>71</v>
      </c>
      <c r="DD133">
        <v>6</v>
      </c>
      <c r="DE133" t="s">
        <v>674</v>
      </c>
      <c r="DF133">
        <v>18982</v>
      </c>
      <c r="DG133">
        <v>0.13950000000000001</v>
      </c>
      <c r="DH133">
        <v>1</v>
      </c>
      <c r="DI133">
        <v>0.16669999999999999</v>
      </c>
      <c r="DJ133">
        <v>2000</v>
      </c>
      <c r="DK133">
        <v>2000</v>
      </c>
      <c r="DL133">
        <v>2000</v>
      </c>
      <c r="DM133">
        <v>1</v>
      </c>
      <c r="DN133">
        <v>0.114</v>
      </c>
      <c r="DO133">
        <v>92</v>
      </c>
      <c r="DP133">
        <v>2000</v>
      </c>
    </row>
    <row r="134" spans="93:120" x14ac:dyDescent="0.25">
      <c r="CO134" t="s">
        <v>636</v>
      </c>
      <c r="CP134" t="s">
        <v>604</v>
      </c>
      <c r="CQ134" t="s">
        <v>55</v>
      </c>
      <c r="CR134">
        <v>46167</v>
      </c>
      <c r="CS134">
        <v>1</v>
      </c>
      <c r="CT134">
        <v>1</v>
      </c>
      <c r="CV134">
        <v>1</v>
      </c>
      <c r="CX134">
        <v>1.1574074074074075E-4</v>
      </c>
      <c r="CY134">
        <v>1.1574074074074075E-4</v>
      </c>
      <c r="CZ134">
        <v>0.13649305555555555</v>
      </c>
      <c r="DA134">
        <v>0.18710648148148148</v>
      </c>
      <c r="DB134">
        <v>146</v>
      </c>
      <c r="DC134">
        <v>228</v>
      </c>
      <c r="DD134">
        <v>28</v>
      </c>
      <c r="DE134" t="s">
        <v>735</v>
      </c>
      <c r="DF134">
        <v>13082</v>
      </c>
      <c r="DG134">
        <v>0.1918</v>
      </c>
      <c r="DH134">
        <v>3</v>
      </c>
      <c r="DI134">
        <v>0.1071</v>
      </c>
      <c r="DJ134">
        <v>2350</v>
      </c>
      <c r="DK134">
        <v>783</v>
      </c>
      <c r="DL134">
        <v>2350</v>
      </c>
      <c r="DM134">
        <v>1</v>
      </c>
      <c r="DN134">
        <v>0.439</v>
      </c>
      <c r="DO134">
        <v>92</v>
      </c>
      <c r="DP134">
        <v>783</v>
      </c>
    </row>
    <row r="135" spans="93:120" x14ac:dyDescent="0.25">
      <c r="CO135" t="s">
        <v>636</v>
      </c>
      <c r="CP135" t="s">
        <v>604</v>
      </c>
      <c r="CQ135" t="s">
        <v>601</v>
      </c>
      <c r="CR135">
        <v>46156</v>
      </c>
      <c r="CS135">
        <v>1</v>
      </c>
      <c r="CT135">
        <v>1</v>
      </c>
      <c r="CU135">
        <v>1</v>
      </c>
      <c r="CX135">
        <v>1.0486111111111111E-2</v>
      </c>
      <c r="CY135">
        <v>1.0486111111111111E-2</v>
      </c>
      <c r="CZ135">
        <v>0.19045138888888888</v>
      </c>
      <c r="DA135">
        <v>0.11532407407407408</v>
      </c>
      <c r="DB135">
        <v>120</v>
      </c>
      <c r="DC135">
        <v>171</v>
      </c>
      <c r="DD135">
        <v>48</v>
      </c>
      <c r="DE135" t="s">
        <v>736</v>
      </c>
      <c r="DF135">
        <v>5682</v>
      </c>
      <c r="DG135">
        <v>0.4</v>
      </c>
      <c r="DH135">
        <v>2</v>
      </c>
      <c r="DI135">
        <v>4.1700000000000001E-2</v>
      </c>
      <c r="DJ135">
        <v>1350</v>
      </c>
      <c r="DK135">
        <v>675</v>
      </c>
      <c r="DL135">
        <v>1000</v>
      </c>
      <c r="DM135">
        <v>0.74070000000000003</v>
      </c>
      <c r="DN135">
        <v>0.14510000000000001</v>
      </c>
      <c r="DO135">
        <v>92</v>
      </c>
      <c r="DP135">
        <v>1000</v>
      </c>
    </row>
    <row r="136" spans="93:120" x14ac:dyDescent="0.25">
      <c r="CO136" t="s">
        <v>636</v>
      </c>
      <c r="CP136" t="s">
        <v>3</v>
      </c>
      <c r="CQ136" t="s">
        <v>85</v>
      </c>
      <c r="CR136">
        <v>46171</v>
      </c>
      <c r="CS136">
        <v>1</v>
      </c>
      <c r="CT136">
        <v>1</v>
      </c>
      <c r="CV136">
        <v>1</v>
      </c>
      <c r="CX136">
        <v>1.0416666666666667E-4</v>
      </c>
      <c r="CY136">
        <v>1.0416666666666667E-4</v>
      </c>
      <c r="CZ136">
        <v>0.15188657407407408</v>
      </c>
      <c r="DA136">
        <v>0.21664351851851851</v>
      </c>
      <c r="DB136">
        <v>84</v>
      </c>
      <c r="DC136">
        <v>189</v>
      </c>
      <c r="DD136">
        <v>21</v>
      </c>
      <c r="DE136" t="s">
        <v>737</v>
      </c>
      <c r="DF136">
        <v>36230</v>
      </c>
      <c r="DG136">
        <v>0.25</v>
      </c>
      <c r="DH136">
        <v>3</v>
      </c>
      <c r="DI136">
        <v>0.1429</v>
      </c>
      <c r="DJ136">
        <v>2550</v>
      </c>
      <c r="DK136">
        <v>850</v>
      </c>
      <c r="DL136">
        <v>2550</v>
      </c>
      <c r="DM136">
        <v>1</v>
      </c>
      <c r="DN136">
        <v>0.192</v>
      </c>
      <c r="DO136">
        <v>92</v>
      </c>
      <c r="DP136">
        <v>850</v>
      </c>
    </row>
    <row r="137" spans="93:120" x14ac:dyDescent="0.25">
      <c r="CO137" t="s">
        <v>636</v>
      </c>
      <c r="CP137" t="s">
        <v>3</v>
      </c>
      <c r="CQ137" t="s">
        <v>493</v>
      </c>
      <c r="CR137">
        <v>46171</v>
      </c>
      <c r="CS137">
        <v>1</v>
      </c>
      <c r="CT137">
        <v>1</v>
      </c>
      <c r="CV137">
        <v>1</v>
      </c>
      <c r="CX137">
        <v>3.4722222222222222E-5</v>
      </c>
      <c r="CY137">
        <v>3.4722222222222222E-5</v>
      </c>
      <c r="CZ137">
        <v>0.1763888888888889</v>
      </c>
      <c r="DA137">
        <v>0.18793981481481481</v>
      </c>
      <c r="DB137">
        <v>103</v>
      </c>
      <c r="DC137">
        <v>166</v>
      </c>
      <c r="DD137">
        <v>20</v>
      </c>
      <c r="DE137">
        <v>1.9</v>
      </c>
      <c r="DF137">
        <v>23698</v>
      </c>
      <c r="DG137">
        <v>0.19420000000000001</v>
      </c>
      <c r="DH137">
        <v>3</v>
      </c>
      <c r="DI137">
        <v>0.15</v>
      </c>
      <c r="DJ137">
        <v>10000</v>
      </c>
      <c r="DK137">
        <v>3333</v>
      </c>
      <c r="DL137">
        <v>10000</v>
      </c>
      <c r="DM137">
        <v>1</v>
      </c>
      <c r="DN137">
        <v>0.1633</v>
      </c>
      <c r="DO137">
        <v>92</v>
      </c>
      <c r="DP137">
        <v>3333</v>
      </c>
    </row>
    <row r="138" spans="93:120" x14ac:dyDescent="0.25">
      <c r="CO138" t="s">
        <v>636</v>
      </c>
      <c r="CP138" t="s">
        <v>3</v>
      </c>
      <c r="CQ138" t="s">
        <v>68</v>
      </c>
      <c r="CR138">
        <v>46157</v>
      </c>
      <c r="CS138">
        <v>1</v>
      </c>
      <c r="CT138">
        <v>1</v>
      </c>
      <c r="CV138">
        <v>1</v>
      </c>
      <c r="CX138">
        <v>2.8472222222222223E-3</v>
      </c>
      <c r="CY138">
        <v>2.8472222222222223E-3</v>
      </c>
      <c r="CZ138">
        <v>0.26975694444444442</v>
      </c>
      <c r="DA138">
        <v>4.3321759259259261E-2</v>
      </c>
      <c r="DB138">
        <v>116</v>
      </c>
      <c r="DC138">
        <v>180</v>
      </c>
      <c r="DD138">
        <v>29</v>
      </c>
      <c r="DE138" t="s">
        <v>738</v>
      </c>
      <c r="DF138">
        <v>21743</v>
      </c>
      <c r="DG138">
        <v>0.25</v>
      </c>
      <c r="DH138">
        <v>1</v>
      </c>
      <c r="DI138">
        <v>3.4500000000000003E-2</v>
      </c>
      <c r="DJ138">
        <v>350</v>
      </c>
      <c r="DK138">
        <v>350</v>
      </c>
      <c r="DL138">
        <v>350</v>
      </c>
      <c r="DM138">
        <v>1</v>
      </c>
      <c r="DN138">
        <v>1.0017</v>
      </c>
      <c r="DO138">
        <v>92</v>
      </c>
      <c r="DP138">
        <v>350</v>
      </c>
    </row>
    <row r="139" spans="93:120" x14ac:dyDescent="0.25">
      <c r="CO139" t="s">
        <v>636</v>
      </c>
      <c r="CP139" t="s">
        <v>3</v>
      </c>
      <c r="CQ139" t="s">
        <v>68</v>
      </c>
      <c r="CR139">
        <v>46164</v>
      </c>
      <c r="CS139">
        <v>1</v>
      </c>
      <c r="CT139">
        <v>1</v>
      </c>
      <c r="CV139">
        <v>1</v>
      </c>
      <c r="CX139">
        <v>1.3888888888888889E-4</v>
      </c>
      <c r="CY139">
        <v>1.3888888888888889E-4</v>
      </c>
      <c r="CZ139">
        <v>0.1711226851851852</v>
      </c>
      <c r="DA139">
        <v>0.13371527777777778</v>
      </c>
      <c r="DB139">
        <v>64</v>
      </c>
      <c r="DC139">
        <v>121</v>
      </c>
      <c r="DD139">
        <v>15</v>
      </c>
      <c r="DE139" t="s">
        <v>739</v>
      </c>
      <c r="DF139">
        <v>14930</v>
      </c>
      <c r="DG139">
        <v>0.2344</v>
      </c>
      <c r="DH139">
        <v>1</v>
      </c>
      <c r="DI139">
        <v>6.6699999999999995E-2</v>
      </c>
      <c r="DJ139">
        <v>1200</v>
      </c>
      <c r="DK139">
        <v>1200</v>
      </c>
      <c r="DL139">
        <v>1200</v>
      </c>
      <c r="DM139">
        <v>1</v>
      </c>
      <c r="DN139">
        <v>0.19159999999999999</v>
      </c>
      <c r="DO139">
        <v>92</v>
      </c>
      <c r="DP139">
        <v>1200</v>
      </c>
    </row>
    <row r="140" spans="93:120" x14ac:dyDescent="0.25">
      <c r="CO140" t="s">
        <v>636</v>
      </c>
      <c r="CP140" t="s">
        <v>3</v>
      </c>
      <c r="CQ140" t="s">
        <v>79</v>
      </c>
      <c r="CR140">
        <v>46164</v>
      </c>
      <c r="CS140">
        <v>1</v>
      </c>
      <c r="CT140">
        <v>1</v>
      </c>
      <c r="CV140">
        <v>1</v>
      </c>
      <c r="CX140">
        <v>0</v>
      </c>
      <c r="CY140">
        <v>0</v>
      </c>
      <c r="CZ140">
        <v>0.18325231481481483</v>
      </c>
      <c r="DA140">
        <v>0.13774305555555555</v>
      </c>
      <c r="DB140">
        <v>51</v>
      </c>
      <c r="DC140">
        <v>123</v>
      </c>
      <c r="DD140">
        <v>18</v>
      </c>
      <c r="DE140" t="s">
        <v>689</v>
      </c>
      <c r="DF140">
        <v>27670</v>
      </c>
      <c r="DG140">
        <v>0.35289999999999999</v>
      </c>
      <c r="DH140">
        <v>2</v>
      </c>
      <c r="DI140">
        <v>0.1111</v>
      </c>
      <c r="DJ140">
        <v>13400</v>
      </c>
      <c r="DK140">
        <v>6700</v>
      </c>
      <c r="DL140">
        <v>13400</v>
      </c>
      <c r="DM140">
        <v>1</v>
      </c>
      <c r="DN140">
        <v>0.1014</v>
      </c>
      <c r="DO140">
        <v>92</v>
      </c>
      <c r="DP140">
        <v>6700</v>
      </c>
    </row>
    <row r="141" spans="93:120" x14ac:dyDescent="0.25">
      <c r="CO141" t="s">
        <v>636</v>
      </c>
      <c r="CP141" t="s">
        <v>3</v>
      </c>
      <c r="CQ141" t="s">
        <v>79</v>
      </c>
      <c r="CR141">
        <v>46170</v>
      </c>
      <c r="CS141">
        <v>1</v>
      </c>
      <c r="CT141">
        <v>1</v>
      </c>
      <c r="CU141">
        <v>1</v>
      </c>
      <c r="CX141">
        <v>1.357638888888889E-2</v>
      </c>
      <c r="CY141">
        <v>1.357638888888889E-2</v>
      </c>
      <c r="CZ141">
        <v>0.2165162037037037</v>
      </c>
      <c r="DA141">
        <v>0.10556712962962964</v>
      </c>
      <c r="DB141">
        <v>105</v>
      </c>
      <c r="DC141">
        <v>184</v>
      </c>
      <c r="DD141">
        <v>22</v>
      </c>
      <c r="DE141" t="s">
        <v>740</v>
      </c>
      <c r="DF141">
        <v>35150</v>
      </c>
      <c r="DG141">
        <v>0.20949999999999999</v>
      </c>
      <c r="DH141">
        <v>2</v>
      </c>
      <c r="DI141">
        <v>9.0899999999999995E-2</v>
      </c>
      <c r="DJ141">
        <v>2080</v>
      </c>
      <c r="DK141">
        <v>1040</v>
      </c>
      <c r="DL141">
        <v>2080</v>
      </c>
      <c r="DM141">
        <v>1</v>
      </c>
      <c r="DN141">
        <v>0.14360000000000001</v>
      </c>
      <c r="DO141">
        <v>92</v>
      </c>
      <c r="DP141">
        <v>1040</v>
      </c>
    </row>
    <row r="142" spans="93:120" x14ac:dyDescent="0.25">
      <c r="CO142" t="s">
        <v>636</v>
      </c>
      <c r="CP142" t="s">
        <v>2</v>
      </c>
      <c r="CQ142" t="s">
        <v>22</v>
      </c>
      <c r="CR142">
        <v>46157</v>
      </c>
      <c r="CS142">
        <v>1</v>
      </c>
      <c r="CT142">
        <v>1</v>
      </c>
      <c r="CV142">
        <v>1</v>
      </c>
      <c r="CX142">
        <v>6.4814814814814813E-4</v>
      </c>
      <c r="CY142">
        <v>6.4814814814814813E-4</v>
      </c>
      <c r="CZ142">
        <v>0.26395833333333335</v>
      </c>
      <c r="DA142">
        <v>0.10251157407407407</v>
      </c>
      <c r="DB142">
        <v>74</v>
      </c>
      <c r="DC142">
        <v>115</v>
      </c>
      <c r="DD142">
        <v>13</v>
      </c>
      <c r="DE142" t="s">
        <v>727</v>
      </c>
      <c r="DF142">
        <v>25918</v>
      </c>
      <c r="DG142">
        <v>0.1757</v>
      </c>
      <c r="DH142">
        <v>3</v>
      </c>
      <c r="DI142">
        <v>0.23080000000000001</v>
      </c>
      <c r="DJ142">
        <v>10800</v>
      </c>
      <c r="DK142">
        <v>3600</v>
      </c>
      <c r="DL142">
        <v>10800</v>
      </c>
      <c r="DM142">
        <v>1</v>
      </c>
      <c r="DN142">
        <v>0.11650000000000001</v>
      </c>
      <c r="DO142">
        <v>90</v>
      </c>
      <c r="DP142">
        <v>3600</v>
      </c>
    </row>
    <row r="143" spans="93:120" x14ac:dyDescent="0.25">
      <c r="CO143" t="s">
        <v>636</v>
      </c>
      <c r="CP143" t="s">
        <v>2</v>
      </c>
      <c r="CQ143" t="s">
        <v>65</v>
      </c>
      <c r="CR143">
        <v>46168</v>
      </c>
      <c r="CS143">
        <v>1</v>
      </c>
      <c r="CT143">
        <v>1</v>
      </c>
      <c r="CU143">
        <v>1</v>
      </c>
      <c r="CX143">
        <v>2.0416666666666666E-2</v>
      </c>
      <c r="CY143">
        <v>2.0416666666666666E-2</v>
      </c>
      <c r="CZ143">
        <v>0.17283564814814814</v>
      </c>
      <c r="DA143">
        <v>0.16108796296296296</v>
      </c>
      <c r="DB143">
        <v>27</v>
      </c>
      <c r="DC143">
        <v>60</v>
      </c>
      <c r="DD143">
        <v>7</v>
      </c>
      <c r="DE143" t="s">
        <v>684</v>
      </c>
      <c r="DF143">
        <v>19414</v>
      </c>
      <c r="DG143">
        <v>0.25929999999999997</v>
      </c>
      <c r="DH143">
        <v>3</v>
      </c>
      <c r="DI143">
        <v>0.42859999999999998</v>
      </c>
      <c r="DJ143">
        <v>4800</v>
      </c>
      <c r="DK143">
        <v>1600</v>
      </c>
      <c r="DL143">
        <v>4800</v>
      </c>
      <c r="DM143">
        <v>1</v>
      </c>
      <c r="DN143">
        <v>0.17130000000000001</v>
      </c>
      <c r="DO143">
        <v>90</v>
      </c>
      <c r="DP143">
        <v>1600</v>
      </c>
    </row>
    <row r="144" spans="93:120" x14ac:dyDescent="0.25">
      <c r="CO144" t="s">
        <v>636</v>
      </c>
      <c r="CP144" t="s">
        <v>2</v>
      </c>
      <c r="CQ144" t="s">
        <v>37</v>
      </c>
      <c r="CR144">
        <v>46149</v>
      </c>
      <c r="CS144">
        <v>1</v>
      </c>
      <c r="CT144">
        <v>1</v>
      </c>
      <c r="CV144">
        <v>1</v>
      </c>
      <c r="CX144">
        <v>2.2569444444444442E-3</v>
      </c>
      <c r="CY144">
        <v>2.2569444444444442E-3</v>
      </c>
      <c r="CZ144">
        <v>0.18971064814814814</v>
      </c>
      <c r="DA144">
        <v>8.1736111111111107E-2</v>
      </c>
      <c r="DB144">
        <v>48</v>
      </c>
      <c r="DC144">
        <v>85</v>
      </c>
      <c r="DD144">
        <v>5</v>
      </c>
      <c r="DE144">
        <v>1.4</v>
      </c>
      <c r="DF144">
        <v>7446</v>
      </c>
      <c r="DG144">
        <v>0.1042</v>
      </c>
      <c r="DH144">
        <v>2</v>
      </c>
      <c r="DI144">
        <v>0.4</v>
      </c>
      <c r="DJ144">
        <v>1155</v>
      </c>
      <c r="DK144">
        <v>578</v>
      </c>
      <c r="DL144">
        <v>950</v>
      </c>
      <c r="DM144">
        <v>0.82250000000000001</v>
      </c>
      <c r="DN144">
        <v>0.1802</v>
      </c>
      <c r="DO144">
        <v>90</v>
      </c>
      <c r="DP144">
        <v>950</v>
      </c>
    </row>
    <row r="145" spans="93:120" x14ac:dyDescent="0.25">
      <c r="CO145" t="s">
        <v>636</v>
      </c>
      <c r="CP145" t="s">
        <v>2</v>
      </c>
      <c r="CQ145" t="s">
        <v>37</v>
      </c>
      <c r="CR145">
        <v>46168</v>
      </c>
      <c r="CS145">
        <v>1</v>
      </c>
      <c r="CT145">
        <v>1</v>
      </c>
      <c r="CU145">
        <v>1</v>
      </c>
      <c r="CX145">
        <v>5.2430555555555555E-3</v>
      </c>
      <c r="CY145">
        <v>5.2430555555555555E-3</v>
      </c>
      <c r="CZ145">
        <v>0.11605324074074073</v>
      </c>
      <c r="DA145">
        <v>0.10451388888888889</v>
      </c>
      <c r="DB145">
        <v>39</v>
      </c>
      <c r="DC145">
        <v>60</v>
      </c>
      <c r="DD145">
        <v>8</v>
      </c>
      <c r="DE145">
        <v>2.375</v>
      </c>
      <c r="DF145">
        <v>15118</v>
      </c>
      <c r="DG145">
        <v>0.2051</v>
      </c>
      <c r="DH145">
        <v>1</v>
      </c>
      <c r="DI145">
        <v>0.125</v>
      </c>
      <c r="DJ145">
        <v>2500</v>
      </c>
      <c r="DK145">
        <v>2500</v>
      </c>
      <c r="DL145">
        <v>2500</v>
      </c>
      <c r="DM145">
        <v>1</v>
      </c>
      <c r="DN145">
        <v>0.2056</v>
      </c>
      <c r="DO145">
        <v>90</v>
      </c>
      <c r="DP145">
        <v>2500</v>
      </c>
    </row>
    <row r="146" spans="93:120" x14ac:dyDescent="0.25">
      <c r="CO146" t="s">
        <v>636</v>
      </c>
      <c r="CP146" t="s">
        <v>2</v>
      </c>
      <c r="CQ146" t="s">
        <v>25</v>
      </c>
      <c r="CR146">
        <v>46163</v>
      </c>
      <c r="CS146">
        <v>1</v>
      </c>
      <c r="CT146">
        <v>1</v>
      </c>
      <c r="CV146">
        <v>1</v>
      </c>
      <c r="CX146">
        <v>0</v>
      </c>
      <c r="CY146">
        <v>0</v>
      </c>
      <c r="CZ146">
        <v>0.16491898148148149</v>
      </c>
      <c r="DA146">
        <v>0.17456018518518518</v>
      </c>
      <c r="DB146">
        <v>88</v>
      </c>
      <c r="DC146">
        <v>171</v>
      </c>
      <c r="DD146">
        <v>16</v>
      </c>
      <c r="DE146">
        <v>1.8125</v>
      </c>
      <c r="DF146">
        <v>27060</v>
      </c>
      <c r="DG146">
        <v>0.18179999999999999</v>
      </c>
      <c r="DH146">
        <v>1</v>
      </c>
      <c r="DI146">
        <v>6.25E-2</v>
      </c>
      <c r="DJ146">
        <v>11285</v>
      </c>
      <c r="DK146">
        <v>11285</v>
      </c>
      <c r="DL146">
        <v>11285</v>
      </c>
      <c r="DM146">
        <v>1</v>
      </c>
      <c r="DN146">
        <v>0.1401</v>
      </c>
      <c r="DO146">
        <v>90</v>
      </c>
      <c r="DP146">
        <v>11285</v>
      </c>
    </row>
    <row r="147" spans="93:120" x14ac:dyDescent="0.25">
      <c r="CO147" t="s">
        <v>636</v>
      </c>
      <c r="CP147" t="s">
        <v>6</v>
      </c>
      <c r="CQ147" t="s">
        <v>97</v>
      </c>
      <c r="CR147">
        <v>46155</v>
      </c>
      <c r="CS147">
        <v>1</v>
      </c>
      <c r="CT147">
        <v>1</v>
      </c>
      <c r="CV147">
        <v>1</v>
      </c>
      <c r="CX147">
        <v>2.3148148148148147E-5</v>
      </c>
      <c r="CY147">
        <v>2.3148148148148147E-5</v>
      </c>
      <c r="CZ147">
        <v>0.18849537037037037</v>
      </c>
      <c r="DA147">
        <v>0.19173611111111111</v>
      </c>
      <c r="DB147">
        <v>133</v>
      </c>
      <c r="DC147">
        <v>177</v>
      </c>
      <c r="DD147">
        <v>28</v>
      </c>
      <c r="DE147" t="s">
        <v>741</v>
      </c>
      <c r="DF147">
        <v>12872</v>
      </c>
      <c r="DG147">
        <v>0.21049999999999999</v>
      </c>
      <c r="DH147">
        <v>5</v>
      </c>
      <c r="DI147">
        <v>0.17860000000000001</v>
      </c>
      <c r="DJ147">
        <v>12030</v>
      </c>
      <c r="DK147">
        <v>2406</v>
      </c>
      <c r="DL147">
        <v>12530</v>
      </c>
      <c r="DM147">
        <v>1.0416000000000001</v>
      </c>
      <c r="DN147">
        <v>0.1457</v>
      </c>
      <c r="DO147">
        <v>90</v>
      </c>
      <c r="DP147">
        <v>2506</v>
      </c>
    </row>
    <row r="148" spans="93:120" x14ac:dyDescent="0.25">
      <c r="CO148" t="s">
        <v>636</v>
      </c>
      <c r="CP148" t="s">
        <v>6</v>
      </c>
      <c r="CQ148" t="s">
        <v>34</v>
      </c>
      <c r="CR148">
        <v>46147</v>
      </c>
      <c r="CS148">
        <v>1</v>
      </c>
      <c r="CT148">
        <v>1</v>
      </c>
      <c r="CU148">
        <v>1</v>
      </c>
      <c r="CX148">
        <v>4.7685185185185183E-3</v>
      </c>
      <c r="CY148">
        <v>4.7685185185185183E-3</v>
      </c>
      <c r="CZ148">
        <v>0.25597222222222221</v>
      </c>
      <c r="DA148">
        <v>0.12351851851851851</v>
      </c>
      <c r="DB148">
        <v>162</v>
      </c>
      <c r="DC148">
        <v>203</v>
      </c>
      <c r="DD148">
        <v>14</v>
      </c>
      <c r="DE148" t="s">
        <v>737</v>
      </c>
      <c r="DF148">
        <v>28310</v>
      </c>
      <c r="DG148">
        <v>8.6400000000000005E-2</v>
      </c>
      <c r="DH148">
        <v>2</v>
      </c>
      <c r="DI148">
        <v>0.1429</v>
      </c>
      <c r="DJ148">
        <v>5000</v>
      </c>
      <c r="DK148">
        <v>2500</v>
      </c>
      <c r="DL148">
        <v>5000</v>
      </c>
      <c r="DM148">
        <v>1</v>
      </c>
      <c r="DN148">
        <v>0.2001</v>
      </c>
      <c r="DO148">
        <v>90</v>
      </c>
      <c r="DP148">
        <v>2500</v>
      </c>
    </row>
    <row r="149" spans="93:120" x14ac:dyDescent="0.25">
      <c r="CO149" t="s">
        <v>636</v>
      </c>
      <c r="CP149" t="s">
        <v>7</v>
      </c>
      <c r="CQ149" t="s">
        <v>18</v>
      </c>
      <c r="CR149">
        <v>46157</v>
      </c>
      <c r="CS149">
        <v>1</v>
      </c>
      <c r="CT149">
        <v>1</v>
      </c>
      <c r="CV149">
        <v>1</v>
      </c>
      <c r="CX149">
        <v>5.2083333333333333E-4</v>
      </c>
      <c r="CY149">
        <v>5.2083333333333333E-4</v>
      </c>
      <c r="CZ149">
        <v>0.30005787037037035</v>
      </c>
      <c r="DA149">
        <v>5.6307870370370369E-2</v>
      </c>
      <c r="DB149">
        <v>133</v>
      </c>
      <c r="DC149">
        <v>172</v>
      </c>
      <c r="DD149">
        <v>12</v>
      </c>
      <c r="DE149" t="s">
        <v>703</v>
      </c>
      <c r="DF149">
        <v>24558</v>
      </c>
      <c r="DG149">
        <v>9.0200000000000002E-2</v>
      </c>
      <c r="DH149">
        <v>1</v>
      </c>
      <c r="DI149">
        <v>8.3299999999999999E-2</v>
      </c>
      <c r="DJ149">
        <v>3300</v>
      </c>
      <c r="DK149">
        <v>3300</v>
      </c>
      <c r="DL149">
        <v>3300</v>
      </c>
      <c r="DM149">
        <v>1</v>
      </c>
      <c r="DN149">
        <v>0.1048</v>
      </c>
      <c r="DO149">
        <v>90</v>
      </c>
      <c r="DP149">
        <v>3300</v>
      </c>
    </row>
    <row r="150" spans="93:120" x14ac:dyDescent="0.25">
      <c r="CO150" t="s">
        <v>636</v>
      </c>
      <c r="CP150" t="s">
        <v>7</v>
      </c>
      <c r="CQ150" t="s">
        <v>12</v>
      </c>
      <c r="CR150">
        <v>46169</v>
      </c>
      <c r="CS150">
        <v>1</v>
      </c>
      <c r="CT150">
        <v>1</v>
      </c>
      <c r="CV150">
        <v>1</v>
      </c>
      <c r="CX150">
        <v>4.2824074074074075E-4</v>
      </c>
      <c r="CY150">
        <v>4.2824074074074075E-4</v>
      </c>
      <c r="CZ150">
        <v>0.15706018518518519</v>
      </c>
      <c r="DA150">
        <v>0.18445601851851851</v>
      </c>
      <c r="DB150">
        <v>84</v>
      </c>
      <c r="DC150">
        <v>265</v>
      </c>
      <c r="DD150">
        <v>20</v>
      </c>
      <c r="DE150">
        <v>2.2000000000000002</v>
      </c>
      <c r="DF150">
        <v>38573</v>
      </c>
      <c r="DG150">
        <v>0.23810000000000001</v>
      </c>
      <c r="DH150">
        <v>2</v>
      </c>
      <c r="DI150">
        <v>0.1</v>
      </c>
      <c r="DJ150">
        <v>8200</v>
      </c>
      <c r="DK150">
        <v>4100</v>
      </c>
      <c r="DL150">
        <v>8200</v>
      </c>
      <c r="DM150">
        <v>1</v>
      </c>
      <c r="DN150">
        <v>0.1139</v>
      </c>
      <c r="DO150">
        <v>90</v>
      </c>
      <c r="DP150">
        <v>4100</v>
      </c>
    </row>
    <row r="151" spans="93:120" x14ac:dyDescent="0.25">
      <c r="CO151" t="s">
        <v>636</v>
      </c>
      <c r="CP151" t="s">
        <v>7</v>
      </c>
      <c r="CQ151" t="s">
        <v>51</v>
      </c>
      <c r="CR151">
        <v>46161</v>
      </c>
      <c r="CS151">
        <v>1</v>
      </c>
      <c r="CT151">
        <v>1</v>
      </c>
      <c r="CU151">
        <v>1</v>
      </c>
      <c r="CX151">
        <v>1.5659722222222221E-2</v>
      </c>
      <c r="CY151">
        <v>1.5659722222222221E-2</v>
      </c>
      <c r="CZ151">
        <v>0.20050925925925925</v>
      </c>
      <c r="DA151">
        <v>0.12623842592592593</v>
      </c>
      <c r="DB151">
        <v>87</v>
      </c>
      <c r="DC151">
        <v>256</v>
      </c>
      <c r="DD151">
        <v>15</v>
      </c>
      <c r="DE151" t="s">
        <v>742</v>
      </c>
      <c r="DF151">
        <v>26062</v>
      </c>
      <c r="DG151">
        <v>0.1724</v>
      </c>
      <c r="DH151">
        <v>1</v>
      </c>
      <c r="DI151">
        <v>6.6699999999999995E-2</v>
      </c>
      <c r="DJ151">
        <v>250</v>
      </c>
      <c r="DK151">
        <v>250</v>
      </c>
      <c r="DL151">
        <v>250</v>
      </c>
      <c r="DM151">
        <v>1</v>
      </c>
      <c r="DN151">
        <v>0.26200000000000001</v>
      </c>
      <c r="DO151">
        <v>90</v>
      </c>
      <c r="DP151">
        <v>250</v>
      </c>
    </row>
    <row r="152" spans="93:120" x14ac:dyDescent="0.25">
      <c r="CO152" t="s">
        <v>636</v>
      </c>
      <c r="CP152" t="s">
        <v>7</v>
      </c>
      <c r="CQ152" t="s">
        <v>51</v>
      </c>
      <c r="CR152">
        <v>46163</v>
      </c>
      <c r="CS152">
        <v>1</v>
      </c>
      <c r="CT152">
        <v>1</v>
      </c>
      <c r="CV152">
        <v>1</v>
      </c>
      <c r="CX152">
        <v>1.6782407407407408E-3</v>
      </c>
      <c r="CY152">
        <v>1.6782407407407408E-3</v>
      </c>
      <c r="CZ152">
        <v>0.19891203703703703</v>
      </c>
      <c r="DA152">
        <v>0.12287037037037037</v>
      </c>
      <c r="DB152">
        <v>79</v>
      </c>
      <c r="DC152">
        <v>246</v>
      </c>
      <c r="DD152">
        <v>13</v>
      </c>
      <c r="DE152" t="s">
        <v>743</v>
      </c>
      <c r="DF152">
        <v>14982</v>
      </c>
      <c r="DG152">
        <v>0.1646</v>
      </c>
      <c r="DH152">
        <v>1</v>
      </c>
      <c r="DI152">
        <v>7.6899999999999996E-2</v>
      </c>
      <c r="DJ152">
        <v>180</v>
      </c>
      <c r="DK152">
        <v>180</v>
      </c>
      <c r="DL152">
        <v>180</v>
      </c>
      <c r="DM152">
        <v>1</v>
      </c>
      <c r="DN152">
        <v>0.70299999999999996</v>
      </c>
      <c r="DO152">
        <v>90</v>
      </c>
      <c r="DP152">
        <v>180</v>
      </c>
    </row>
    <row r="153" spans="93:120" x14ac:dyDescent="0.25">
      <c r="CO153" t="s">
        <v>636</v>
      </c>
      <c r="CP153" t="s">
        <v>7</v>
      </c>
      <c r="CQ153" t="s">
        <v>75</v>
      </c>
      <c r="CR153">
        <v>46168</v>
      </c>
      <c r="CS153">
        <v>1</v>
      </c>
      <c r="CT153">
        <v>1</v>
      </c>
      <c r="CV153">
        <v>1</v>
      </c>
      <c r="CX153">
        <v>2.3842592592592591E-3</v>
      </c>
      <c r="CY153">
        <v>2.3842592592592591E-3</v>
      </c>
      <c r="CZ153">
        <v>0.19322916666666667</v>
      </c>
      <c r="DA153">
        <v>0.1260300925925926</v>
      </c>
      <c r="DB153">
        <v>85</v>
      </c>
      <c r="DC153">
        <v>171</v>
      </c>
      <c r="DD153">
        <v>16</v>
      </c>
      <c r="DE153">
        <v>1.9375</v>
      </c>
      <c r="DF153">
        <v>38039</v>
      </c>
      <c r="DG153">
        <v>0.18820000000000001</v>
      </c>
      <c r="DH153">
        <v>1</v>
      </c>
      <c r="DI153">
        <v>6.25E-2</v>
      </c>
      <c r="DJ153">
        <v>5600</v>
      </c>
      <c r="DK153">
        <v>5600</v>
      </c>
      <c r="DL153">
        <v>5600</v>
      </c>
      <c r="DM153">
        <v>1</v>
      </c>
      <c r="DN153">
        <v>0.12479999999999999</v>
      </c>
      <c r="DO153">
        <v>90</v>
      </c>
      <c r="DP153">
        <v>5600</v>
      </c>
    </row>
    <row r="154" spans="93:120" x14ac:dyDescent="0.25">
      <c r="CO154" t="s">
        <v>636</v>
      </c>
      <c r="CP154" t="s">
        <v>7</v>
      </c>
      <c r="CQ154" t="s">
        <v>59</v>
      </c>
      <c r="CR154">
        <v>46163</v>
      </c>
      <c r="CS154">
        <v>1</v>
      </c>
      <c r="CT154">
        <v>1</v>
      </c>
      <c r="CV154">
        <v>1</v>
      </c>
      <c r="CX154">
        <v>1.3888888888888889E-4</v>
      </c>
      <c r="CY154">
        <v>1.3888888888888889E-4</v>
      </c>
      <c r="CZ154">
        <v>7.6400462962962962E-2</v>
      </c>
      <c r="DA154">
        <v>0.28585648148148146</v>
      </c>
      <c r="DB154">
        <v>243</v>
      </c>
      <c r="DC154">
        <v>397</v>
      </c>
      <c r="DD154">
        <v>15</v>
      </c>
      <c r="DE154">
        <v>1.6</v>
      </c>
      <c r="DF154">
        <v>37497</v>
      </c>
      <c r="DG154">
        <v>6.1699999999999998E-2</v>
      </c>
      <c r="DH154">
        <v>1</v>
      </c>
      <c r="DI154">
        <v>6.6699999999999995E-2</v>
      </c>
      <c r="DJ154">
        <v>3050</v>
      </c>
      <c r="DK154">
        <v>3050</v>
      </c>
      <c r="DL154">
        <v>3050</v>
      </c>
      <c r="DM154">
        <v>1</v>
      </c>
      <c r="DN154">
        <v>0.10009999999999999</v>
      </c>
      <c r="DO154">
        <v>90</v>
      </c>
      <c r="DP154">
        <v>3050</v>
      </c>
    </row>
    <row r="155" spans="93:120" x14ac:dyDescent="0.25">
      <c r="CO155" t="s">
        <v>636</v>
      </c>
      <c r="CP155" t="s">
        <v>604</v>
      </c>
      <c r="CQ155" t="s">
        <v>109</v>
      </c>
      <c r="CR155">
        <v>46157</v>
      </c>
      <c r="CS155">
        <v>1</v>
      </c>
      <c r="CT155">
        <v>1</v>
      </c>
      <c r="CV155">
        <v>1</v>
      </c>
      <c r="CX155">
        <v>1.1574074074074075E-4</v>
      </c>
      <c r="CY155">
        <v>1.1574074074074075E-4</v>
      </c>
      <c r="CZ155">
        <v>0.28887731481481482</v>
      </c>
      <c r="DA155">
        <v>6.0069444444444446E-2</v>
      </c>
      <c r="DB155">
        <v>41</v>
      </c>
      <c r="DC155">
        <v>106</v>
      </c>
      <c r="DD155">
        <v>17</v>
      </c>
      <c r="DE155" t="s">
        <v>744</v>
      </c>
      <c r="DF155">
        <v>16787</v>
      </c>
      <c r="DG155">
        <v>0.41460000000000002</v>
      </c>
      <c r="DH155">
        <v>1</v>
      </c>
      <c r="DI155">
        <v>5.8799999999999998E-2</v>
      </c>
      <c r="DJ155">
        <v>1400</v>
      </c>
      <c r="DK155">
        <v>1400</v>
      </c>
      <c r="DL155">
        <v>1400</v>
      </c>
      <c r="DM155">
        <v>1</v>
      </c>
      <c r="DN155">
        <v>0.10050000000000001</v>
      </c>
      <c r="DO155">
        <v>90</v>
      </c>
      <c r="DP155">
        <v>1400</v>
      </c>
    </row>
    <row r="156" spans="93:120" x14ac:dyDescent="0.25">
      <c r="CO156" t="s">
        <v>636</v>
      </c>
      <c r="CP156" t="s">
        <v>604</v>
      </c>
      <c r="CQ156" t="s">
        <v>495</v>
      </c>
      <c r="CR156">
        <v>46162</v>
      </c>
      <c r="CS156">
        <v>1</v>
      </c>
      <c r="CT156">
        <v>1</v>
      </c>
      <c r="CV156">
        <v>1</v>
      </c>
      <c r="CX156">
        <v>1.8749999999999999E-3</v>
      </c>
      <c r="CY156">
        <v>1.8749999999999999E-3</v>
      </c>
      <c r="CZ156">
        <v>0.22918981481481482</v>
      </c>
      <c r="DA156">
        <v>0.14836805555555554</v>
      </c>
      <c r="DB156">
        <v>91</v>
      </c>
      <c r="DC156">
        <v>222</v>
      </c>
      <c r="DD156">
        <v>20</v>
      </c>
      <c r="DE156">
        <v>2.6</v>
      </c>
      <c r="DF156">
        <v>26411</v>
      </c>
      <c r="DG156">
        <v>0.2198</v>
      </c>
      <c r="DH156">
        <v>1</v>
      </c>
      <c r="DI156">
        <v>0.05</v>
      </c>
      <c r="DJ156">
        <v>2000</v>
      </c>
      <c r="DK156">
        <v>2000</v>
      </c>
      <c r="DL156">
        <v>2000</v>
      </c>
      <c r="DM156">
        <v>1</v>
      </c>
      <c r="DN156">
        <v>0.1419</v>
      </c>
      <c r="DO156">
        <v>90</v>
      </c>
      <c r="DP156">
        <v>2000</v>
      </c>
    </row>
    <row r="157" spans="93:120" x14ac:dyDescent="0.25">
      <c r="CO157" t="s">
        <v>636</v>
      </c>
      <c r="CP157" t="s">
        <v>604</v>
      </c>
      <c r="CQ157" t="s">
        <v>600</v>
      </c>
      <c r="CR157">
        <v>46156</v>
      </c>
      <c r="CS157">
        <v>1</v>
      </c>
      <c r="CT157">
        <v>1</v>
      </c>
      <c r="CV157">
        <v>1</v>
      </c>
      <c r="CX157">
        <v>0</v>
      </c>
      <c r="CY157">
        <v>0</v>
      </c>
      <c r="CZ157">
        <v>0.17627314814814815</v>
      </c>
      <c r="DA157">
        <v>0.13211805555555556</v>
      </c>
      <c r="DB157">
        <v>117</v>
      </c>
      <c r="DC157">
        <v>201</v>
      </c>
      <c r="DD157">
        <v>30</v>
      </c>
      <c r="DE157">
        <v>2</v>
      </c>
      <c r="DF157">
        <v>14461</v>
      </c>
      <c r="DG157">
        <v>0.25640000000000002</v>
      </c>
      <c r="DH157">
        <v>2</v>
      </c>
      <c r="DI157">
        <v>6.6699999999999995E-2</v>
      </c>
      <c r="DJ157">
        <v>2700</v>
      </c>
      <c r="DK157">
        <v>1350</v>
      </c>
      <c r="DO157">
        <v>90</v>
      </c>
    </row>
    <row r="158" spans="93:120" x14ac:dyDescent="0.25">
      <c r="CO158" t="s">
        <v>636</v>
      </c>
      <c r="CP158" t="s">
        <v>604</v>
      </c>
      <c r="CQ158" t="s">
        <v>600</v>
      </c>
      <c r="CR158">
        <v>46163</v>
      </c>
      <c r="CS158">
        <v>1</v>
      </c>
      <c r="CT158">
        <v>1</v>
      </c>
      <c r="CV158">
        <v>1</v>
      </c>
      <c r="CX158">
        <v>0</v>
      </c>
      <c r="CY158">
        <v>0</v>
      </c>
      <c r="CZ158">
        <v>0.16155092592592593</v>
      </c>
      <c r="DA158">
        <v>0.15530092592592593</v>
      </c>
      <c r="DB158">
        <v>112</v>
      </c>
      <c r="DC158">
        <v>169</v>
      </c>
      <c r="DD158">
        <v>14</v>
      </c>
      <c r="DE158" t="s">
        <v>745</v>
      </c>
      <c r="DF158">
        <v>24440</v>
      </c>
      <c r="DG158">
        <v>0.125</v>
      </c>
      <c r="DH158">
        <v>1</v>
      </c>
      <c r="DI158">
        <v>7.1400000000000005E-2</v>
      </c>
      <c r="DJ158">
        <v>13000</v>
      </c>
      <c r="DK158">
        <v>13000</v>
      </c>
      <c r="DL158">
        <v>13000</v>
      </c>
      <c r="DM158">
        <v>1</v>
      </c>
      <c r="DN158">
        <v>0.152</v>
      </c>
      <c r="DO158">
        <v>90</v>
      </c>
      <c r="DP158">
        <v>13000</v>
      </c>
    </row>
    <row r="159" spans="93:120" x14ac:dyDescent="0.25">
      <c r="CO159" t="s">
        <v>636</v>
      </c>
      <c r="CP159" t="s">
        <v>604</v>
      </c>
      <c r="CQ159" t="s">
        <v>600</v>
      </c>
      <c r="CR159">
        <v>46168</v>
      </c>
      <c r="CS159">
        <v>1</v>
      </c>
      <c r="CT159">
        <v>1</v>
      </c>
      <c r="CV159">
        <v>1</v>
      </c>
      <c r="CX159">
        <v>2.7777777777777778E-4</v>
      </c>
      <c r="CY159">
        <v>2.7777777777777778E-4</v>
      </c>
      <c r="CZ159">
        <v>0.15512731481481482</v>
      </c>
      <c r="DA159">
        <v>0.20336805555555557</v>
      </c>
      <c r="DB159">
        <v>105</v>
      </c>
      <c r="DC159">
        <v>168</v>
      </c>
      <c r="DD159">
        <v>25</v>
      </c>
      <c r="DE159">
        <v>2</v>
      </c>
      <c r="DF159">
        <v>25571</v>
      </c>
      <c r="DG159">
        <v>0.23810000000000001</v>
      </c>
      <c r="DH159">
        <v>1</v>
      </c>
      <c r="DI159">
        <v>0.04</v>
      </c>
      <c r="DJ159">
        <v>530</v>
      </c>
      <c r="DK159">
        <v>530</v>
      </c>
      <c r="DL159">
        <v>530</v>
      </c>
      <c r="DM159">
        <v>1</v>
      </c>
      <c r="DN159">
        <v>0.17449999999999999</v>
      </c>
      <c r="DO159">
        <v>90</v>
      </c>
      <c r="DP159">
        <v>530</v>
      </c>
    </row>
    <row r="160" spans="93:120" x14ac:dyDescent="0.25">
      <c r="CO160" t="s">
        <v>636</v>
      </c>
      <c r="CP160" t="s">
        <v>604</v>
      </c>
      <c r="CQ160" t="s">
        <v>49</v>
      </c>
      <c r="CR160">
        <v>46153</v>
      </c>
      <c r="CS160">
        <v>1</v>
      </c>
      <c r="CT160">
        <v>1</v>
      </c>
      <c r="CV160">
        <v>1</v>
      </c>
      <c r="CX160">
        <v>2.3842592592592591E-3</v>
      </c>
      <c r="CY160">
        <v>2.3842592592592591E-3</v>
      </c>
      <c r="CZ160">
        <v>0.18644675925925927</v>
      </c>
      <c r="DA160">
        <v>9.8576388888888894E-2</v>
      </c>
      <c r="DB160">
        <v>53</v>
      </c>
      <c r="DC160">
        <v>82</v>
      </c>
      <c r="DD160">
        <v>12</v>
      </c>
      <c r="DE160">
        <v>1.25</v>
      </c>
      <c r="DF160">
        <v>16957</v>
      </c>
      <c r="DG160">
        <v>0.22639999999999999</v>
      </c>
      <c r="DH160">
        <v>1</v>
      </c>
      <c r="DI160">
        <v>8.3299999999999999E-2</v>
      </c>
      <c r="DJ160">
        <v>500</v>
      </c>
      <c r="DK160">
        <v>500</v>
      </c>
      <c r="DO160">
        <v>90</v>
      </c>
    </row>
    <row r="161" spans="93:120" x14ac:dyDescent="0.25">
      <c r="CO161" t="s">
        <v>636</v>
      </c>
      <c r="CP161" t="s">
        <v>604</v>
      </c>
      <c r="CQ161" t="s">
        <v>549</v>
      </c>
      <c r="CR161">
        <v>46169</v>
      </c>
      <c r="CS161">
        <v>1</v>
      </c>
      <c r="CT161">
        <v>1</v>
      </c>
      <c r="CU161">
        <v>1</v>
      </c>
      <c r="CX161">
        <v>6.4236111111111108E-3</v>
      </c>
      <c r="CY161">
        <v>6.4236111111111108E-3</v>
      </c>
      <c r="CZ161">
        <v>0.14232638888888888</v>
      </c>
      <c r="DA161">
        <v>0.20116898148148149</v>
      </c>
      <c r="DB161">
        <v>120</v>
      </c>
      <c r="DC161">
        <v>201</v>
      </c>
      <c r="DD161">
        <v>19</v>
      </c>
      <c r="DE161" t="s">
        <v>746</v>
      </c>
      <c r="DF161">
        <v>16484</v>
      </c>
      <c r="DG161">
        <v>0.1583</v>
      </c>
      <c r="DH161">
        <v>4</v>
      </c>
      <c r="DI161">
        <v>0.21049999999999999</v>
      </c>
      <c r="DJ161">
        <v>5550</v>
      </c>
      <c r="DK161">
        <v>1388</v>
      </c>
      <c r="DL161">
        <v>5734</v>
      </c>
      <c r="DM161">
        <v>1.0331999999999999</v>
      </c>
      <c r="DN161">
        <v>0.1241</v>
      </c>
      <c r="DO161">
        <v>90</v>
      </c>
      <c r="DP161">
        <v>1434</v>
      </c>
    </row>
    <row r="162" spans="93:120" x14ac:dyDescent="0.25">
      <c r="CO162" t="s">
        <v>636</v>
      </c>
      <c r="CP162" t="s">
        <v>604</v>
      </c>
      <c r="CQ162" t="s">
        <v>77</v>
      </c>
      <c r="CR162">
        <v>46148</v>
      </c>
      <c r="CS162">
        <v>1</v>
      </c>
      <c r="CT162">
        <v>1</v>
      </c>
      <c r="CV162">
        <v>1</v>
      </c>
      <c r="CX162">
        <v>0</v>
      </c>
      <c r="CY162">
        <v>0</v>
      </c>
      <c r="CZ162">
        <v>0.22973379629629628</v>
      </c>
      <c r="DA162">
        <v>0.10817129629629629</v>
      </c>
      <c r="DB162">
        <v>132</v>
      </c>
      <c r="DC162">
        <v>331</v>
      </c>
      <c r="DD162">
        <v>21</v>
      </c>
      <c r="DE162" t="s">
        <v>737</v>
      </c>
      <c r="DF162">
        <v>21089</v>
      </c>
      <c r="DG162">
        <v>0.15909999999999999</v>
      </c>
      <c r="DH162">
        <v>2</v>
      </c>
      <c r="DI162">
        <v>9.5200000000000007E-2</v>
      </c>
      <c r="DJ162">
        <v>4229</v>
      </c>
      <c r="DK162">
        <v>2114</v>
      </c>
      <c r="DL162">
        <v>3500</v>
      </c>
      <c r="DM162">
        <v>0.8276</v>
      </c>
      <c r="DN162">
        <v>0.10050000000000001</v>
      </c>
      <c r="DO162">
        <v>90</v>
      </c>
      <c r="DP162">
        <v>3500</v>
      </c>
    </row>
    <row r="163" spans="93:120" x14ac:dyDescent="0.25">
      <c r="CO163" t="s">
        <v>636</v>
      </c>
      <c r="CP163" t="s">
        <v>604</v>
      </c>
      <c r="CQ163" t="s">
        <v>48</v>
      </c>
      <c r="CR163">
        <v>46164</v>
      </c>
      <c r="CS163">
        <v>1</v>
      </c>
      <c r="CT163">
        <v>1</v>
      </c>
      <c r="CV163">
        <v>1</v>
      </c>
      <c r="CX163">
        <v>0</v>
      </c>
      <c r="CY163">
        <v>0</v>
      </c>
      <c r="CZ163">
        <v>0.20038194444444443</v>
      </c>
      <c r="DA163">
        <v>0.13333333333333333</v>
      </c>
      <c r="DB163">
        <v>69</v>
      </c>
      <c r="DC163">
        <v>107</v>
      </c>
      <c r="DD163">
        <v>15</v>
      </c>
      <c r="DE163">
        <v>1.8</v>
      </c>
      <c r="DF163">
        <v>18834</v>
      </c>
      <c r="DG163">
        <v>0.21740000000000001</v>
      </c>
      <c r="DH163">
        <v>1</v>
      </c>
      <c r="DI163">
        <v>6.6699999999999995E-2</v>
      </c>
      <c r="DJ163">
        <v>2500</v>
      </c>
      <c r="DK163">
        <v>2500</v>
      </c>
      <c r="DL163">
        <v>2500</v>
      </c>
      <c r="DM163">
        <v>1</v>
      </c>
      <c r="DN163">
        <v>0.13300000000000001</v>
      </c>
      <c r="DO163">
        <v>90</v>
      </c>
      <c r="DP163">
        <v>2500</v>
      </c>
    </row>
    <row r="164" spans="93:120" x14ac:dyDescent="0.25">
      <c r="CO164" t="s">
        <v>636</v>
      </c>
      <c r="CP164" t="s">
        <v>604</v>
      </c>
      <c r="CQ164" t="s">
        <v>48</v>
      </c>
      <c r="CR164">
        <v>46167</v>
      </c>
      <c r="CS164">
        <v>1</v>
      </c>
      <c r="CT164">
        <v>1</v>
      </c>
      <c r="CV164">
        <v>1</v>
      </c>
      <c r="CX164">
        <v>0</v>
      </c>
      <c r="CY164">
        <v>0</v>
      </c>
      <c r="CZ164">
        <v>0.15695601851851851</v>
      </c>
      <c r="DA164">
        <v>0.15908564814814816</v>
      </c>
      <c r="DB164">
        <v>87</v>
      </c>
      <c r="DC164">
        <v>124</v>
      </c>
      <c r="DD164">
        <v>23</v>
      </c>
      <c r="DE164" t="s">
        <v>747</v>
      </c>
      <c r="DF164">
        <v>23253</v>
      </c>
      <c r="DG164">
        <v>0.26440000000000002</v>
      </c>
      <c r="DH164">
        <v>2</v>
      </c>
      <c r="DI164">
        <v>8.6999999999999994E-2</v>
      </c>
      <c r="DJ164">
        <v>5880</v>
      </c>
      <c r="DK164">
        <v>2940</v>
      </c>
      <c r="DL164">
        <v>5880</v>
      </c>
      <c r="DM164">
        <v>1</v>
      </c>
      <c r="DN164">
        <v>0.12130000000000001</v>
      </c>
      <c r="DO164">
        <v>90</v>
      </c>
      <c r="DP164">
        <v>2940</v>
      </c>
    </row>
    <row r="165" spans="93:120" x14ac:dyDescent="0.25">
      <c r="CO165" t="s">
        <v>636</v>
      </c>
      <c r="CP165" t="s">
        <v>3</v>
      </c>
      <c r="CQ165" t="s">
        <v>58</v>
      </c>
      <c r="CR165">
        <v>46170</v>
      </c>
      <c r="CS165">
        <v>1</v>
      </c>
      <c r="CT165">
        <v>1</v>
      </c>
      <c r="CV165">
        <v>1</v>
      </c>
      <c r="CX165">
        <v>5.7870370370370373E-5</v>
      </c>
      <c r="CY165">
        <v>5.7870370370370373E-5</v>
      </c>
      <c r="CZ165">
        <v>0.16949074074074075</v>
      </c>
      <c r="DA165">
        <v>0.17173611111111112</v>
      </c>
      <c r="DB165">
        <v>87</v>
      </c>
      <c r="DC165">
        <v>215</v>
      </c>
      <c r="DD165">
        <v>23</v>
      </c>
      <c r="DE165" t="s">
        <v>748</v>
      </c>
      <c r="DF165">
        <v>29891</v>
      </c>
      <c r="DG165">
        <v>0.26440000000000002</v>
      </c>
      <c r="DH165">
        <v>3</v>
      </c>
      <c r="DI165">
        <v>0.13039999999999999</v>
      </c>
      <c r="DJ165">
        <v>5700</v>
      </c>
      <c r="DK165">
        <v>1900</v>
      </c>
      <c r="DL165">
        <v>5100</v>
      </c>
      <c r="DM165">
        <v>0.89470000000000005</v>
      </c>
      <c r="DN165">
        <v>0.10150000000000001</v>
      </c>
      <c r="DO165">
        <v>90</v>
      </c>
      <c r="DP165">
        <v>2550</v>
      </c>
    </row>
    <row r="166" spans="93:120" x14ac:dyDescent="0.25">
      <c r="CO166" t="s">
        <v>636</v>
      </c>
      <c r="CP166" t="s">
        <v>3</v>
      </c>
      <c r="CQ166" t="s">
        <v>493</v>
      </c>
      <c r="CR166">
        <v>46167</v>
      </c>
      <c r="CS166">
        <v>1</v>
      </c>
      <c r="CT166">
        <v>1</v>
      </c>
      <c r="CV166">
        <v>1</v>
      </c>
      <c r="CX166">
        <v>1.6203703703703703E-4</v>
      </c>
      <c r="CY166">
        <v>1.6203703703703703E-4</v>
      </c>
      <c r="CZ166">
        <v>0.19942129629629629</v>
      </c>
      <c r="DA166">
        <v>0.14504629629629628</v>
      </c>
      <c r="DB166">
        <v>151</v>
      </c>
      <c r="DC166">
        <v>245</v>
      </c>
      <c r="DD166">
        <v>38</v>
      </c>
      <c r="DE166" t="s">
        <v>683</v>
      </c>
      <c r="DF166">
        <v>18027</v>
      </c>
      <c r="DG166">
        <v>0.25169999999999998</v>
      </c>
      <c r="DH166">
        <v>5</v>
      </c>
      <c r="DI166">
        <v>0.13159999999999999</v>
      </c>
      <c r="DJ166">
        <v>1443</v>
      </c>
      <c r="DK166">
        <v>289</v>
      </c>
      <c r="DL166">
        <v>1213</v>
      </c>
      <c r="DM166">
        <v>0.84060000000000001</v>
      </c>
      <c r="DN166">
        <v>0.26640000000000003</v>
      </c>
      <c r="DO166">
        <v>90</v>
      </c>
      <c r="DP166">
        <v>404</v>
      </c>
    </row>
    <row r="167" spans="93:120" x14ac:dyDescent="0.25">
      <c r="CO167" t="s">
        <v>636</v>
      </c>
      <c r="CP167" t="s">
        <v>3</v>
      </c>
      <c r="CQ167" t="s">
        <v>564</v>
      </c>
      <c r="CR167">
        <v>46171</v>
      </c>
      <c r="CS167">
        <v>1</v>
      </c>
      <c r="CT167">
        <v>1</v>
      </c>
      <c r="CV167">
        <v>1</v>
      </c>
      <c r="CX167">
        <v>0</v>
      </c>
      <c r="CY167">
        <v>0</v>
      </c>
      <c r="CZ167">
        <v>0.17061342592592593</v>
      </c>
      <c r="DA167">
        <v>0.11186342592592592</v>
      </c>
      <c r="DB167">
        <v>101</v>
      </c>
      <c r="DC167">
        <v>178</v>
      </c>
      <c r="DD167">
        <v>25</v>
      </c>
      <c r="DE167">
        <v>1.64</v>
      </c>
      <c r="DF167">
        <v>28342</v>
      </c>
      <c r="DG167">
        <v>0.2475</v>
      </c>
      <c r="DH167">
        <v>2</v>
      </c>
      <c r="DI167">
        <v>0.08</v>
      </c>
      <c r="DJ167">
        <v>970</v>
      </c>
      <c r="DK167">
        <v>485</v>
      </c>
      <c r="DL167">
        <v>1470</v>
      </c>
      <c r="DM167">
        <v>1.5155000000000001</v>
      </c>
      <c r="DN167">
        <v>0.4335</v>
      </c>
      <c r="DO167">
        <v>90</v>
      </c>
      <c r="DP167">
        <v>735</v>
      </c>
    </row>
    <row r="168" spans="93:120" x14ac:dyDescent="0.25">
      <c r="CO168" t="s">
        <v>636</v>
      </c>
      <c r="CP168" t="s">
        <v>3</v>
      </c>
      <c r="CQ168" t="s">
        <v>68</v>
      </c>
      <c r="CR168">
        <v>46146</v>
      </c>
      <c r="CS168">
        <v>1</v>
      </c>
      <c r="CT168">
        <v>1</v>
      </c>
      <c r="CV168">
        <v>1</v>
      </c>
      <c r="CX168">
        <v>1.8518518518518518E-4</v>
      </c>
      <c r="CY168">
        <v>1.8518518518518518E-4</v>
      </c>
      <c r="CZ168">
        <v>0.22885416666666666</v>
      </c>
      <c r="DA168">
        <v>6.4513888888888885E-2</v>
      </c>
      <c r="DB168">
        <v>57</v>
      </c>
      <c r="DC168">
        <v>101</v>
      </c>
      <c r="DD168">
        <v>27</v>
      </c>
      <c r="DE168" t="s">
        <v>749</v>
      </c>
      <c r="DF168">
        <v>35756</v>
      </c>
      <c r="DG168">
        <v>0.47370000000000001</v>
      </c>
      <c r="DH168">
        <v>10</v>
      </c>
      <c r="DI168">
        <v>0.37040000000000001</v>
      </c>
      <c r="DJ168">
        <v>10145</v>
      </c>
      <c r="DK168">
        <v>1015</v>
      </c>
      <c r="DL168">
        <v>9695</v>
      </c>
      <c r="DM168">
        <v>0.9556</v>
      </c>
      <c r="DN168">
        <v>0.19389999999999999</v>
      </c>
      <c r="DO168">
        <v>90</v>
      </c>
      <c r="DP168">
        <v>1077</v>
      </c>
    </row>
    <row r="169" spans="93:120" x14ac:dyDescent="0.25">
      <c r="CO169" t="s">
        <v>636</v>
      </c>
      <c r="CP169" t="s">
        <v>3</v>
      </c>
      <c r="CQ169" t="s">
        <v>68</v>
      </c>
      <c r="CR169">
        <v>46154</v>
      </c>
      <c r="CS169">
        <v>1</v>
      </c>
      <c r="CT169">
        <v>1</v>
      </c>
      <c r="CV169">
        <v>1</v>
      </c>
      <c r="CX169">
        <v>6.9444444444444444E-5</v>
      </c>
      <c r="CY169">
        <v>6.9444444444444444E-5</v>
      </c>
      <c r="CZ169">
        <v>0.25596064814814817</v>
      </c>
      <c r="DA169">
        <v>0.11913194444444444</v>
      </c>
      <c r="DB169">
        <v>89</v>
      </c>
      <c r="DC169">
        <v>194</v>
      </c>
      <c r="DD169">
        <v>26</v>
      </c>
      <c r="DE169" t="s">
        <v>727</v>
      </c>
      <c r="DF169">
        <v>60954</v>
      </c>
      <c r="DG169">
        <v>0.29210000000000003</v>
      </c>
      <c r="DH169">
        <v>1</v>
      </c>
      <c r="DI169">
        <v>3.85E-2</v>
      </c>
      <c r="DJ169">
        <v>341</v>
      </c>
      <c r="DK169">
        <v>341</v>
      </c>
      <c r="DL169">
        <v>341</v>
      </c>
      <c r="DM169">
        <v>1</v>
      </c>
      <c r="DN169">
        <v>1.002</v>
      </c>
      <c r="DO169">
        <v>90</v>
      </c>
      <c r="DP169">
        <v>341</v>
      </c>
    </row>
    <row r="170" spans="93:120" x14ac:dyDescent="0.25">
      <c r="CO170" t="s">
        <v>636</v>
      </c>
      <c r="CP170" t="s">
        <v>3</v>
      </c>
      <c r="CQ170" t="s">
        <v>68</v>
      </c>
      <c r="CR170">
        <v>46162</v>
      </c>
      <c r="CS170">
        <v>1</v>
      </c>
      <c r="CT170">
        <v>1</v>
      </c>
      <c r="CV170">
        <v>1</v>
      </c>
      <c r="CX170">
        <v>2.5462962962962961E-4</v>
      </c>
      <c r="CY170">
        <v>2.5462962962962961E-4</v>
      </c>
      <c r="CZ170">
        <v>0.2104050925925926</v>
      </c>
      <c r="DA170">
        <v>0.13791666666666666</v>
      </c>
      <c r="DB170">
        <v>103</v>
      </c>
      <c r="DC170">
        <v>220</v>
      </c>
      <c r="DD170">
        <v>39</v>
      </c>
      <c r="DE170" t="s">
        <v>704</v>
      </c>
      <c r="DF170">
        <v>33483</v>
      </c>
      <c r="DG170">
        <v>0.37859999999999999</v>
      </c>
      <c r="DH170">
        <v>4</v>
      </c>
      <c r="DI170">
        <v>0.1026</v>
      </c>
      <c r="DJ170">
        <v>5098</v>
      </c>
      <c r="DK170">
        <v>1275</v>
      </c>
      <c r="DL170">
        <v>5098</v>
      </c>
      <c r="DM170">
        <v>1</v>
      </c>
      <c r="DN170">
        <v>0.1991</v>
      </c>
      <c r="DO170">
        <v>90</v>
      </c>
      <c r="DP170">
        <v>1275</v>
      </c>
    </row>
    <row r="171" spans="93:120" x14ac:dyDescent="0.25">
      <c r="CO171" t="s">
        <v>636</v>
      </c>
      <c r="CP171" t="s">
        <v>3</v>
      </c>
      <c r="CQ171" t="s">
        <v>29</v>
      </c>
      <c r="CR171">
        <v>46157</v>
      </c>
      <c r="CS171">
        <v>1</v>
      </c>
      <c r="CT171">
        <v>1</v>
      </c>
      <c r="CV171">
        <v>1</v>
      </c>
      <c r="CX171">
        <v>1.8518518518518518E-4</v>
      </c>
      <c r="CY171">
        <v>1.8518518518518518E-4</v>
      </c>
      <c r="CZ171">
        <v>0.3187962962962963</v>
      </c>
      <c r="DA171">
        <v>1.3333333333333334E-2</v>
      </c>
      <c r="DB171">
        <v>171</v>
      </c>
      <c r="DC171">
        <v>232</v>
      </c>
      <c r="DD171">
        <v>31</v>
      </c>
      <c r="DE171" t="s">
        <v>750</v>
      </c>
      <c r="DF171">
        <v>14482</v>
      </c>
      <c r="DG171">
        <v>0.18129999999999999</v>
      </c>
      <c r="DH171">
        <v>2</v>
      </c>
      <c r="DI171">
        <v>6.4500000000000002E-2</v>
      </c>
      <c r="DJ171">
        <v>1923</v>
      </c>
      <c r="DK171">
        <v>962</v>
      </c>
      <c r="DL171">
        <v>1500</v>
      </c>
      <c r="DM171">
        <v>0.78</v>
      </c>
      <c r="DN171">
        <v>0.22969999999999999</v>
      </c>
      <c r="DO171">
        <v>90</v>
      </c>
      <c r="DP171">
        <v>1500</v>
      </c>
    </row>
    <row r="172" spans="93:120" x14ac:dyDescent="0.25">
      <c r="CO172" t="s">
        <v>636</v>
      </c>
      <c r="CP172" t="s">
        <v>2</v>
      </c>
      <c r="CQ172" t="s">
        <v>22</v>
      </c>
      <c r="CR172">
        <v>46162</v>
      </c>
      <c r="CS172">
        <v>1</v>
      </c>
      <c r="CT172">
        <v>1</v>
      </c>
      <c r="CV172">
        <v>1</v>
      </c>
      <c r="CX172">
        <v>0</v>
      </c>
      <c r="CY172">
        <v>0</v>
      </c>
      <c r="CZ172">
        <v>0.20155092592592594</v>
      </c>
      <c r="DA172">
        <v>0.14756944444444445</v>
      </c>
      <c r="DB172">
        <v>62</v>
      </c>
      <c r="DC172">
        <v>126</v>
      </c>
      <c r="DD172">
        <v>14</v>
      </c>
      <c r="DE172" t="s">
        <v>679</v>
      </c>
      <c r="DF172">
        <v>19708</v>
      </c>
      <c r="DG172">
        <v>0.2258</v>
      </c>
      <c r="DH172">
        <v>2</v>
      </c>
      <c r="DI172">
        <v>0.1429</v>
      </c>
      <c r="DJ172">
        <v>4900</v>
      </c>
      <c r="DK172">
        <v>2450</v>
      </c>
      <c r="DL172">
        <v>4900</v>
      </c>
      <c r="DM172">
        <v>1</v>
      </c>
      <c r="DN172">
        <v>0.19089999999999999</v>
      </c>
      <c r="DO172">
        <v>88</v>
      </c>
      <c r="DP172">
        <v>2450</v>
      </c>
    </row>
    <row r="173" spans="93:120" x14ac:dyDescent="0.25">
      <c r="CO173" t="s">
        <v>636</v>
      </c>
      <c r="CP173" t="s">
        <v>2</v>
      </c>
      <c r="CQ173" t="s">
        <v>24</v>
      </c>
      <c r="CR173">
        <v>46149</v>
      </c>
      <c r="CS173">
        <v>1</v>
      </c>
      <c r="CT173">
        <v>1</v>
      </c>
      <c r="CV173">
        <v>1</v>
      </c>
      <c r="CX173">
        <v>1.6203703703703703E-4</v>
      </c>
      <c r="CY173">
        <v>1.6203703703703703E-4</v>
      </c>
      <c r="CZ173">
        <v>0.16894675925925925</v>
      </c>
      <c r="DA173">
        <v>0.13185185185185186</v>
      </c>
      <c r="DB173">
        <v>29</v>
      </c>
      <c r="DC173">
        <v>75</v>
      </c>
      <c r="DD173">
        <v>16</v>
      </c>
      <c r="DE173">
        <v>2.4375</v>
      </c>
      <c r="DF173">
        <v>13751</v>
      </c>
      <c r="DG173">
        <v>0.55169999999999997</v>
      </c>
      <c r="DH173">
        <v>4</v>
      </c>
      <c r="DI173">
        <v>0.25</v>
      </c>
      <c r="DJ173">
        <v>6750</v>
      </c>
      <c r="DK173">
        <v>1688</v>
      </c>
      <c r="DL173">
        <v>6750</v>
      </c>
      <c r="DM173">
        <v>1</v>
      </c>
      <c r="DN173">
        <v>0.1145</v>
      </c>
      <c r="DO173">
        <v>88</v>
      </c>
      <c r="DP173">
        <v>1688</v>
      </c>
    </row>
    <row r="174" spans="93:120" x14ac:dyDescent="0.25">
      <c r="CO174" t="s">
        <v>636</v>
      </c>
      <c r="CP174" t="s">
        <v>2</v>
      </c>
      <c r="CQ174" t="s">
        <v>24</v>
      </c>
      <c r="CR174">
        <v>46163</v>
      </c>
      <c r="CS174">
        <v>1</v>
      </c>
      <c r="CT174">
        <v>1</v>
      </c>
      <c r="CV174">
        <v>1</v>
      </c>
      <c r="CX174">
        <v>1.0416666666666667E-4</v>
      </c>
      <c r="CY174">
        <v>1.0416666666666667E-4</v>
      </c>
      <c r="CZ174">
        <v>0.17023148148148148</v>
      </c>
      <c r="DA174">
        <v>0.17403935185185185</v>
      </c>
      <c r="DB174">
        <v>55</v>
      </c>
      <c r="DC174">
        <v>116</v>
      </c>
      <c r="DD174">
        <v>18</v>
      </c>
      <c r="DE174" t="s">
        <v>707</v>
      </c>
      <c r="DF174">
        <v>31881</v>
      </c>
      <c r="DG174">
        <v>0.32729999999999998</v>
      </c>
      <c r="DH174">
        <v>1</v>
      </c>
      <c r="DI174">
        <v>5.5599999999999997E-2</v>
      </c>
      <c r="DJ174">
        <v>1085</v>
      </c>
      <c r="DK174">
        <v>1085</v>
      </c>
      <c r="DL174">
        <v>1085</v>
      </c>
      <c r="DM174">
        <v>1</v>
      </c>
      <c r="DN174">
        <v>0.1804</v>
      </c>
      <c r="DO174">
        <v>88</v>
      </c>
      <c r="DP174">
        <v>1085</v>
      </c>
    </row>
    <row r="175" spans="93:120" x14ac:dyDescent="0.25">
      <c r="CO175" t="s">
        <v>636</v>
      </c>
      <c r="CP175" t="s">
        <v>2</v>
      </c>
      <c r="CQ175" t="s">
        <v>42</v>
      </c>
      <c r="CR175">
        <v>46150</v>
      </c>
      <c r="CS175">
        <v>1</v>
      </c>
      <c r="CT175">
        <v>1</v>
      </c>
      <c r="CV175">
        <v>1</v>
      </c>
      <c r="CX175">
        <v>1.1574074074074075E-4</v>
      </c>
      <c r="CY175">
        <v>1.1574074074074075E-4</v>
      </c>
      <c r="CZ175">
        <v>0.1948263888888889</v>
      </c>
      <c r="DA175">
        <v>0.11393518518518518</v>
      </c>
      <c r="DB175">
        <v>105</v>
      </c>
      <c r="DC175">
        <v>138</v>
      </c>
      <c r="DD175">
        <v>25</v>
      </c>
      <c r="DE175">
        <v>1.52</v>
      </c>
      <c r="DF175">
        <v>21109</v>
      </c>
      <c r="DG175">
        <v>0.23810000000000001</v>
      </c>
      <c r="DH175">
        <v>1</v>
      </c>
      <c r="DI175">
        <v>0.04</v>
      </c>
      <c r="DJ175">
        <v>1750</v>
      </c>
      <c r="DK175">
        <v>1750</v>
      </c>
      <c r="DL175">
        <v>1750</v>
      </c>
      <c r="DM175">
        <v>1</v>
      </c>
      <c r="DN175">
        <v>0.20760000000000001</v>
      </c>
      <c r="DO175">
        <v>88</v>
      </c>
      <c r="DP175">
        <v>1750</v>
      </c>
    </row>
    <row r="176" spans="93:120" x14ac:dyDescent="0.25">
      <c r="CO176" t="s">
        <v>636</v>
      </c>
      <c r="CP176" t="s">
        <v>2</v>
      </c>
      <c r="CQ176" t="s">
        <v>65</v>
      </c>
      <c r="CR176">
        <v>46155</v>
      </c>
      <c r="CS176">
        <v>1</v>
      </c>
      <c r="CT176">
        <v>1</v>
      </c>
      <c r="CV176">
        <v>1</v>
      </c>
      <c r="CX176">
        <v>4.6296296296296294E-5</v>
      </c>
      <c r="CY176">
        <v>4.6296296296296294E-5</v>
      </c>
      <c r="CZ176">
        <v>0.21304398148148149</v>
      </c>
      <c r="DA176">
        <v>0.14690972222222223</v>
      </c>
      <c r="DB176">
        <v>40</v>
      </c>
      <c r="DC176">
        <v>92</v>
      </c>
      <c r="DD176">
        <v>15</v>
      </c>
      <c r="DE176">
        <v>2</v>
      </c>
      <c r="DF176">
        <v>16925</v>
      </c>
      <c r="DG176">
        <v>0.375</v>
      </c>
      <c r="DH176">
        <v>1</v>
      </c>
      <c r="DI176">
        <v>6.6699999999999995E-2</v>
      </c>
      <c r="DJ176">
        <v>3550</v>
      </c>
      <c r="DK176">
        <v>3550</v>
      </c>
      <c r="DL176">
        <v>3550</v>
      </c>
      <c r="DM176">
        <v>1</v>
      </c>
      <c r="DN176">
        <v>0.22270000000000001</v>
      </c>
      <c r="DO176">
        <v>88</v>
      </c>
      <c r="DP176">
        <v>3550</v>
      </c>
    </row>
    <row r="177" spans="93:120" x14ac:dyDescent="0.25">
      <c r="CO177" t="s">
        <v>636</v>
      </c>
      <c r="CP177" t="s">
        <v>2</v>
      </c>
      <c r="CQ177" t="s">
        <v>37</v>
      </c>
      <c r="CR177">
        <v>46162</v>
      </c>
      <c r="CS177">
        <v>1</v>
      </c>
      <c r="CT177">
        <v>1</v>
      </c>
      <c r="CV177">
        <v>1</v>
      </c>
      <c r="CX177">
        <v>3.4722222222222222E-5</v>
      </c>
      <c r="CY177">
        <v>3.4722222222222222E-5</v>
      </c>
      <c r="CZ177">
        <v>0.19113425925925925</v>
      </c>
      <c r="DA177">
        <v>0.12939814814814815</v>
      </c>
      <c r="DB177">
        <v>99</v>
      </c>
      <c r="DC177">
        <v>121</v>
      </c>
      <c r="DD177">
        <v>7</v>
      </c>
      <c r="DE177" t="s">
        <v>700</v>
      </c>
      <c r="DF177">
        <v>15045</v>
      </c>
      <c r="DG177">
        <v>7.0699999999999999E-2</v>
      </c>
      <c r="DH177">
        <v>3</v>
      </c>
      <c r="DI177">
        <v>0.42859999999999998</v>
      </c>
      <c r="DJ177">
        <v>1925</v>
      </c>
      <c r="DK177">
        <v>642</v>
      </c>
      <c r="DL177">
        <v>1925</v>
      </c>
      <c r="DM177">
        <v>1</v>
      </c>
      <c r="DN177">
        <v>0.15809999999999999</v>
      </c>
      <c r="DO177">
        <v>88</v>
      </c>
      <c r="DP177">
        <v>642</v>
      </c>
    </row>
    <row r="178" spans="93:120" x14ac:dyDescent="0.25">
      <c r="CO178" t="s">
        <v>636</v>
      </c>
      <c r="CP178" t="s">
        <v>2</v>
      </c>
      <c r="CQ178" t="s">
        <v>31</v>
      </c>
      <c r="CR178">
        <v>46147</v>
      </c>
      <c r="CS178">
        <v>1</v>
      </c>
      <c r="CT178">
        <v>1</v>
      </c>
      <c r="CV178">
        <v>1</v>
      </c>
      <c r="CX178">
        <v>5.7870370370370373E-5</v>
      </c>
      <c r="CY178">
        <v>5.7870370370370373E-5</v>
      </c>
      <c r="CZ178">
        <v>0.3117361111111111</v>
      </c>
      <c r="DA178">
        <v>0.11416666666666667</v>
      </c>
      <c r="DB178">
        <v>58</v>
      </c>
      <c r="DC178">
        <v>152</v>
      </c>
      <c r="DD178">
        <v>20</v>
      </c>
      <c r="DE178">
        <v>2.4500000000000002</v>
      </c>
      <c r="DF178">
        <v>27875</v>
      </c>
      <c r="DG178">
        <v>0.3448</v>
      </c>
      <c r="DH178">
        <v>1</v>
      </c>
      <c r="DI178">
        <v>0.05</v>
      </c>
      <c r="DJ178">
        <v>2000</v>
      </c>
      <c r="DK178">
        <v>2000</v>
      </c>
      <c r="DL178">
        <v>2000</v>
      </c>
      <c r="DM178">
        <v>1</v>
      </c>
      <c r="DN178">
        <v>0.10630000000000001</v>
      </c>
      <c r="DO178">
        <v>88</v>
      </c>
      <c r="DP178">
        <v>2000</v>
      </c>
    </row>
    <row r="179" spans="93:120" x14ac:dyDescent="0.25">
      <c r="CO179" t="s">
        <v>636</v>
      </c>
      <c r="CP179" t="s">
        <v>2</v>
      </c>
      <c r="CQ179" t="s">
        <v>31</v>
      </c>
      <c r="CR179">
        <v>46161</v>
      </c>
      <c r="CS179">
        <v>1</v>
      </c>
      <c r="CT179">
        <v>1</v>
      </c>
      <c r="CV179">
        <v>1</v>
      </c>
      <c r="CX179">
        <v>5.6712962962962967E-4</v>
      </c>
      <c r="CY179">
        <v>5.6712962962962967E-4</v>
      </c>
      <c r="CZ179">
        <v>0.23582175925925927</v>
      </c>
      <c r="DA179">
        <v>0.13505787037037037</v>
      </c>
      <c r="DB179">
        <v>84</v>
      </c>
      <c r="DC179">
        <v>161</v>
      </c>
      <c r="DD179">
        <v>25</v>
      </c>
      <c r="DE179">
        <v>2</v>
      </c>
      <c r="DF179">
        <v>34030</v>
      </c>
      <c r="DG179">
        <v>0.29759999999999998</v>
      </c>
      <c r="DH179">
        <v>1</v>
      </c>
      <c r="DI179">
        <v>0.04</v>
      </c>
      <c r="DJ179">
        <v>6500</v>
      </c>
      <c r="DK179">
        <v>6500</v>
      </c>
      <c r="DL179">
        <v>6500</v>
      </c>
      <c r="DM179">
        <v>1</v>
      </c>
      <c r="DN179">
        <v>0.24440000000000001</v>
      </c>
      <c r="DO179">
        <v>88</v>
      </c>
      <c r="DP179">
        <v>6500</v>
      </c>
    </row>
    <row r="180" spans="93:120" x14ac:dyDescent="0.25">
      <c r="CO180" t="s">
        <v>636</v>
      </c>
      <c r="CP180" t="s">
        <v>2</v>
      </c>
      <c r="CQ180" t="s">
        <v>31</v>
      </c>
      <c r="CR180">
        <v>46164</v>
      </c>
      <c r="CS180">
        <v>1</v>
      </c>
      <c r="CT180">
        <v>1</v>
      </c>
      <c r="CV180">
        <v>1</v>
      </c>
      <c r="CX180">
        <v>5.3240740740740744E-4</v>
      </c>
      <c r="CY180">
        <v>5.3240740740740744E-4</v>
      </c>
      <c r="CZ180">
        <v>0.20880787037037038</v>
      </c>
      <c r="DA180">
        <v>0.13918981481481482</v>
      </c>
      <c r="DB180">
        <v>51</v>
      </c>
      <c r="DC180">
        <v>94</v>
      </c>
      <c r="DD180">
        <v>7</v>
      </c>
      <c r="DE180" t="s">
        <v>700</v>
      </c>
      <c r="DF180">
        <v>19397</v>
      </c>
      <c r="DG180">
        <v>0.13730000000000001</v>
      </c>
      <c r="DH180">
        <v>1</v>
      </c>
      <c r="DI180">
        <v>0.1429</v>
      </c>
      <c r="DJ180">
        <v>1800</v>
      </c>
      <c r="DK180">
        <v>1800</v>
      </c>
      <c r="DL180">
        <v>1800</v>
      </c>
      <c r="DM180">
        <v>1</v>
      </c>
      <c r="DN180">
        <v>0.10290000000000001</v>
      </c>
      <c r="DO180">
        <v>88</v>
      </c>
      <c r="DP180">
        <v>1800</v>
      </c>
    </row>
    <row r="181" spans="93:120" x14ac:dyDescent="0.25">
      <c r="CO181" t="s">
        <v>636</v>
      </c>
      <c r="CP181" t="s">
        <v>2</v>
      </c>
      <c r="CQ181" t="s">
        <v>25</v>
      </c>
      <c r="CR181">
        <v>46168</v>
      </c>
      <c r="CS181">
        <v>1</v>
      </c>
      <c r="CT181">
        <v>1</v>
      </c>
      <c r="CU181">
        <v>1</v>
      </c>
      <c r="CX181">
        <v>7.3726851851851852E-3</v>
      </c>
      <c r="CY181">
        <v>7.3726851851851852E-3</v>
      </c>
      <c r="CZ181">
        <v>0.17737268518518517</v>
      </c>
      <c r="DA181">
        <v>0.15391203703703704</v>
      </c>
      <c r="DB181">
        <v>91</v>
      </c>
      <c r="DC181">
        <v>135</v>
      </c>
      <c r="DD181">
        <v>6</v>
      </c>
      <c r="DE181" t="s">
        <v>687</v>
      </c>
      <c r="DF181">
        <v>32631</v>
      </c>
      <c r="DG181">
        <v>6.59E-2</v>
      </c>
      <c r="DH181">
        <v>1</v>
      </c>
      <c r="DI181">
        <v>0.16669999999999999</v>
      </c>
      <c r="DJ181">
        <v>10252</v>
      </c>
      <c r="DK181">
        <v>10252</v>
      </c>
      <c r="DL181">
        <v>10252</v>
      </c>
      <c r="DM181">
        <v>1</v>
      </c>
      <c r="DN181">
        <v>0.10349999999999999</v>
      </c>
      <c r="DO181">
        <v>88</v>
      </c>
      <c r="DP181">
        <v>10252</v>
      </c>
    </row>
    <row r="182" spans="93:120" x14ac:dyDescent="0.25">
      <c r="CO182" t="s">
        <v>636</v>
      </c>
      <c r="CP182" t="s">
        <v>6</v>
      </c>
      <c r="CQ182" t="s">
        <v>97</v>
      </c>
      <c r="CR182">
        <v>46162</v>
      </c>
      <c r="CS182">
        <v>1</v>
      </c>
      <c r="CT182">
        <v>1</v>
      </c>
      <c r="CV182">
        <v>1</v>
      </c>
      <c r="CX182">
        <v>1.1574074074074075E-4</v>
      </c>
      <c r="CY182">
        <v>1.1574074074074075E-4</v>
      </c>
      <c r="CZ182">
        <v>0.24383101851851852</v>
      </c>
      <c r="DA182">
        <v>0.13575231481481481</v>
      </c>
      <c r="DB182">
        <v>195</v>
      </c>
      <c r="DC182">
        <v>248</v>
      </c>
      <c r="DD182">
        <v>24</v>
      </c>
      <c r="DE182">
        <v>1.625</v>
      </c>
      <c r="DF182">
        <v>18705</v>
      </c>
      <c r="DG182">
        <v>0.1231</v>
      </c>
      <c r="DH182">
        <v>1</v>
      </c>
      <c r="DI182">
        <v>4.1700000000000001E-2</v>
      </c>
      <c r="DJ182">
        <v>3000</v>
      </c>
      <c r="DK182">
        <v>3000</v>
      </c>
      <c r="DL182">
        <v>3000</v>
      </c>
      <c r="DM182">
        <v>1</v>
      </c>
      <c r="DN182">
        <v>0.19489999999999999</v>
      </c>
      <c r="DO182">
        <v>88</v>
      </c>
      <c r="DP182">
        <v>3000</v>
      </c>
    </row>
    <row r="183" spans="93:120" x14ac:dyDescent="0.25">
      <c r="CO183" t="s">
        <v>636</v>
      </c>
      <c r="CP183" t="s">
        <v>6</v>
      </c>
      <c r="CQ183" t="s">
        <v>34</v>
      </c>
      <c r="CR183">
        <v>46150</v>
      </c>
      <c r="CS183">
        <v>1</v>
      </c>
      <c r="CT183">
        <v>1</v>
      </c>
      <c r="CV183">
        <v>1</v>
      </c>
      <c r="CX183">
        <v>2.3148148148148147E-5</v>
      </c>
      <c r="CY183">
        <v>2.3148148148148147E-5</v>
      </c>
      <c r="CZ183">
        <v>0.22137731481481482</v>
      </c>
      <c r="DA183">
        <v>8.7442129629629634E-2</v>
      </c>
      <c r="DB183">
        <v>163</v>
      </c>
      <c r="DC183">
        <v>178</v>
      </c>
      <c r="DD183">
        <v>8</v>
      </c>
      <c r="DE183">
        <v>1.75</v>
      </c>
      <c r="DF183">
        <v>9769</v>
      </c>
      <c r="DG183">
        <v>4.9099999999999998E-2</v>
      </c>
      <c r="DH183">
        <v>1</v>
      </c>
      <c r="DI183">
        <v>0.125</v>
      </c>
      <c r="DJ183">
        <v>220</v>
      </c>
      <c r="DK183">
        <v>220</v>
      </c>
      <c r="DL183">
        <v>220</v>
      </c>
      <c r="DM183">
        <v>1</v>
      </c>
      <c r="DN183">
        <v>0.74670000000000003</v>
      </c>
      <c r="DO183">
        <v>88</v>
      </c>
      <c r="DP183">
        <v>220</v>
      </c>
    </row>
    <row r="184" spans="93:120" x14ac:dyDescent="0.25">
      <c r="CO184" t="s">
        <v>636</v>
      </c>
      <c r="CP184" t="s">
        <v>6</v>
      </c>
      <c r="CQ184" t="s">
        <v>34</v>
      </c>
      <c r="CR184">
        <v>46160</v>
      </c>
      <c r="CS184">
        <v>1</v>
      </c>
      <c r="CT184">
        <v>1</v>
      </c>
      <c r="CU184">
        <v>1</v>
      </c>
      <c r="CX184">
        <v>7.8703703703703696E-3</v>
      </c>
      <c r="CY184">
        <v>7.8703703703703696E-3</v>
      </c>
      <c r="CZ184">
        <v>0.14364583333333333</v>
      </c>
      <c r="DA184">
        <v>0.18428240740740739</v>
      </c>
      <c r="DB184">
        <v>71</v>
      </c>
      <c r="DC184">
        <v>82</v>
      </c>
      <c r="DD184">
        <v>8</v>
      </c>
      <c r="DE184">
        <v>1.875</v>
      </c>
      <c r="DF184">
        <v>42675</v>
      </c>
      <c r="DG184">
        <v>0.11269999999999999</v>
      </c>
      <c r="DH184">
        <v>3</v>
      </c>
      <c r="DI184">
        <v>0.375</v>
      </c>
      <c r="DJ184">
        <v>16800</v>
      </c>
      <c r="DK184">
        <v>5600</v>
      </c>
      <c r="DL184">
        <v>16800</v>
      </c>
      <c r="DM184">
        <v>1</v>
      </c>
      <c r="DN184">
        <v>0.22509999999999999</v>
      </c>
      <c r="DO184">
        <v>88</v>
      </c>
      <c r="DP184">
        <v>5600</v>
      </c>
    </row>
    <row r="185" spans="93:120" x14ac:dyDescent="0.25">
      <c r="CO185" t="s">
        <v>636</v>
      </c>
      <c r="CP185" t="s">
        <v>6</v>
      </c>
      <c r="CQ185" t="s">
        <v>34</v>
      </c>
      <c r="CR185">
        <v>46167</v>
      </c>
      <c r="CS185">
        <v>1</v>
      </c>
      <c r="CT185">
        <v>1</v>
      </c>
      <c r="CV185">
        <v>1</v>
      </c>
      <c r="CX185">
        <v>1.273148148148148E-4</v>
      </c>
      <c r="CY185">
        <v>1.273148148148148E-4</v>
      </c>
      <c r="CZ185">
        <v>0.16063657407407408</v>
      </c>
      <c r="DA185">
        <v>0.15546296296296297</v>
      </c>
      <c r="DB185">
        <v>141</v>
      </c>
      <c r="DC185">
        <v>175</v>
      </c>
      <c r="DD185">
        <v>16</v>
      </c>
      <c r="DE185">
        <v>2.0625</v>
      </c>
      <c r="DF185">
        <v>41216</v>
      </c>
      <c r="DG185">
        <v>0.1135</v>
      </c>
      <c r="DH185">
        <v>2</v>
      </c>
      <c r="DI185">
        <v>0.125</v>
      </c>
      <c r="DJ185">
        <v>2400</v>
      </c>
      <c r="DK185">
        <v>1200</v>
      </c>
      <c r="DL185">
        <v>2400</v>
      </c>
      <c r="DM185">
        <v>1</v>
      </c>
      <c r="DN185">
        <v>0.1832</v>
      </c>
      <c r="DO185">
        <v>88</v>
      </c>
      <c r="DP185">
        <v>1200</v>
      </c>
    </row>
    <row r="186" spans="93:120" x14ac:dyDescent="0.25">
      <c r="CO186" t="s">
        <v>636</v>
      </c>
      <c r="CP186" t="s">
        <v>7</v>
      </c>
      <c r="CQ186" t="s">
        <v>18</v>
      </c>
      <c r="CR186">
        <v>46168</v>
      </c>
      <c r="CS186">
        <v>1</v>
      </c>
      <c r="CT186">
        <v>1</v>
      </c>
      <c r="CV186">
        <v>1</v>
      </c>
      <c r="CX186">
        <v>8.564814814814815E-4</v>
      </c>
      <c r="CY186">
        <v>8.564814814814815E-4</v>
      </c>
      <c r="CZ186">
        <v>0.19354166666666667</v>
      </c>
      <c r="DA186">
        <v>0.12315972222222223</v>
      </c>
      <c r="DB186">
        <v>152</v>
      </c>
      <c r="DC186">
        <v>300</v>
      </c>
      <c r="DD186">
        <v>23</v>
      </c>
      <c r="DE186" t="s">
        <v>747</v>
      </c>
      <c r="DF186">
        <v>30310</v>
      </c>
      <c r="DG186">
        <v>0.15129999999999999</v>
      </c>
      <c r="DH186">
        <v>1</v>
      </c>
      <c r="DI186">
        <v>4.3499999999999997E-2</v>
      </c>
      <c r="DJ186">
        <v>6300</v>
      </c>
      <c r="DK186">
        <v>6300</v>
      </c>
      <c r="DL186">
        <v>6300</v>
      </c>
      <c r="DM186">
        <v>1</v>
      </c>
      <c r="DN186">
        <v>0.16</v>
      </c>
      <c r="DO186">
        <v>88</v>
      </c>
      <c r="DP186">
        <v>6300</v>
      </c>
    </row>
    <row r="187" spans="93:120" x14ac:dyDescent="0.25">
      <c r="CO187" t="s">
        <v>636</v>
      </c>
      <c r="CP187" t="s">
        <v>7</v>
      </c>
      <c r="CQ187" t="s">
        <v>60</v>
      </c>
      <c r="CR187">
        <v>46153</v>
      </c>
      <c r="CS187">
        <v>1</v>
      </c>
      <c r="CT187">
        <v>1</v>
      </c>
      <c r="CV187">
        <v>1</v>
      </c>
      <c r="CX187">
        <v>1.0416666666666667E-4</v>
      </c>
      <c r="CY187">
        <v>1.0416666666666667E-4</v>
      </c>
      <c r="CZ187">
        <v>0.23021990740740741</v>
      </c>
      <c r="DA187">
        <v>9.3912037037037044E-2</v>
      </c>
      <c r="DB187">
        <v>135</v>
      </c>
      <c r="DC187">
        <v>186</v>
      </c>
      <c r="DD187">
        <v>6</v>
      </c>
      <c r="DE187" t="s">
        <v>687</v>
      </c>
      <c r="DF187">
        <v>35597</v>
      </c>
      <c r="DG187">
        <v>4.4400000000000002E-2</v>
      </c>
      <c r="DH187">
        <v>1</v>
      </c>
      <c r="DI187">
        <v>0.16669999999999999</v>
      </c>
      <c r="DJ187">
        <v>725</v>
      </c>
      <c r="DK187">
        <v>725</v>
      </c>
      <c r="DO187">
        <v>88</v>
      </c>
    </row>
    <row r="188" spans="93:120" x14ac:dyDescent="0.25">
      <c r="CO188" t="s">
        <v>636</v>
      </c>
      <c r="CP188" t="s">
        <v>7</v>
      </c>
      <c r="CQ188" t="s">
        <v>60</v>
      </c>
      <c r="CR188">
        <v>46163</v>
      </c>
      <c r="CS188">
        <v>1</v>
      </c>
      <c r="CT188">
        <v>1</v>
      </c>
      <c r="CV188">
        <v>1</v>
      </c>
      <c r="CX188">
        <v>3.425925925925926E-3</v>
      </c>
      <c r="CY188">
        <v>3.425925925925926E-3</v>
      </c>
      <c r="CZ188">
        <v>0.19640046296296296</v>
      </c>
      <c r="DA188">
        <v>0.13090277777777778</v>
      </c>
      <c r="DB188">
        <v>111</v>
      </c>
      <c r="DC188">
        <v>165</v>
      </c>
      <c r="DD188">
        <v>5</v>
      </c>
      <c r="DE188">
        <v>2.6</v>
      </c>
      <c r="DF188">
        <v>17165</v>
      </c>
      <c r="DG188">
        <v>4.4999999999999998E-2</v>
      </c>
      <c r="DH188">
        <v>2</v>
      </c>
      <c r="DI188">
        <v>0.4</v>
      </c>
      <c r="DJ188">
        <v>8813</v>
      </c>
      <c r="DK188">
        <v>4407</v>
      </c>
      <c r="DL188">
        <v>8733</v>
      </c>
      <c r="DM188">
        <v>0.9909</v>
      </c>
      <c r="DN188">
        <v>0.17960000000000001</v>
      </c>
      <c r="DO188">
        <v>88</v>
      </c>
      <c r="DP188">
        <v>8733</v>
      </c>
    </row>
    <row r="189" spans="93:120" x14ac:dyDescent="0.25">
      <c r="CO189" t="s">
        <v>636</v>
      </c>
      <c r="CP189" t="s">
        <v>7</v>
      </c>
      <c r="CQ189" t="s">
        <v>61</v>
      </c>
      <c r="CR189">
        <v>46147</v>
      </c>
      <c r="CS189">
        <v>1</v>
      </c>
      <c r="CT189">
        <v>1</v>
      </c>
      <c r="CV189">
        <v>1</v>
      </c>
      <c r="CX189">
        <v>1.7361111111111112E-4</v>
      </c>
      <c r="CY189">
        <v>1.7361111111111112E-4</v>
      </c>
      <c r="CZ189">
        <v>0.30103009259259261</v>
      </c>
      <c r="DA189">
        <v>0.14302083333333335</v>
      </c>
      <c r="DB189">
        <v>126</v>
      </c>
      <c r="DC189">
        <v>286</v>
      </c>
      <c r="DD189">
        <v>24</v>
      </c>
      <c r="DE189">
        <v>2</v>
      </c>
      <c r="DF189">
        <v>42920</v>
      </c>
      <c r="DG189">
        <v>0.1905</v>
      </c>
      <c r="DH189">
        <v>2</v>
      </c>
      <c r="DI189">
        <v>8.3299999999999999E-2</v>
      </c>
      <c r="DJ189">
        <v>4500</v>
      </c>
      <c r="DK189">
        <v>2250</v>
      </c>
      <c r="DL189">
        <v>500</v>
      </c>
      <c r="DM189">
        <v>0.1111</v>
      </c>
      <c r="DN189">
        <v>0.52139999999999997</v>
      </c>
      <c r="DO189">
        <v>88</v>
      </c>
      <c r="DP189">
        <v>500</v>
      </c>
    </row>
    <row r="190" spans="93:120" x14ac:dyDescent="0.25">
      <c r="CO190" t="s">
        <v>636</v>
      </c>
      <c r="CP190" t="s">
        <v>7</v>
      </c>
      <c r="CQ190" t="s">
        <v>61</v>
      </c>
      <c r="CR190">
        <v>46149</v>
      </c>
      <c r="CS190">
        <v>1</v>
      </c>
      <c r="CT190">
        <v>1</v>
      </c>
      <c r="CV190">
        <v>1</v>
      </c>
      <c r="CX190">
        <v>9.2592592592592596E-4</v>
      </c>
      <c r="CY190">
        <v>9.2592592592592596E-4</v>
      </c>
      <c r="CZ190">
        <v>0.22608796296296296</v>
      </c>
      <c r="DA190">
        <v>0.1090162037037037</v>
      </c>
      <c r="DB190">
        <v>90</v>
      </c>
      <c r="DC190">
        <v>231</v>
      </c>
      <c r="DD190">
        <v>19</v>
      </c>
      <c r="DE190" t="s">
        <v>751</v>
      </c>
      <c r="DF190">
        <v>13277</v>
      </c>
      <c r="DG190">
        <v>0.21110000000000001</v>
      </c>
      <c r="DH190">
        <v>2</v>
      </c>
      <c r="DI190">
        <v>0.1053</v>
      </c>
      <c r="DJ190">
        <v>4200</v>
      </c>
      <c r="DK190">
        <v>2100</v>
      </c>
      <c r="DL190">
        <v>2700</v>
      </c>
      <c r="DM190">
        <v>0.64290000000000003</v>
      </c>
      <c r="DN190">
        <v>0.15920000000000001</v>
      </c>
      <c r="DO190">
        <v>88</v>
      </c>
      <c r="DP190">
        <v>2700</v>
      </c>
    </row>
    <row r="191" spans="93:120" x14ac:dyDescent="0.25">
      <c r="CO191" t="s">
        <v>636</v>
      </c>
      <c r="CP191" t="s">
        <v>7</v>
      </c>
      <c r="CQ191" t="s">
        <v>61</v>
      </c>
      <c r="CR191">
        <v>46153</v>
      </c>
      <c r="CS191">
        <v>1</v>
      </c>
      <c r="CT191">
        <v>1</v>
      </c>
      <c r="CV191">
        <v>1</v>
      </c>
      <c r="CX191">
        <v>2.199074074074074E-4</v>
      </c>
      <c r="CY191">
        <v>2.199074074074074E-4</v>
      </c>
      <c r="CZ191">
        <v>0.21060185185185185</v>
      </c>
      <c r="DA191">
        <v>0.11616898148148148</v>
      </c>
      <c r="DB191">
        <v>115</v>
      </c>
      <c r="DC191">
        <v>265</v>
      </c>
      <c r="DD191">
        <v>21</v>
      </c>
      <c r="DE191" t="s">
        <v>752</v>
      </c>
      <c r="DF191">
        <v>44391</v>
      </c>
      <c r="DG191">
        <v>0.18260000000000001</v>
      </c>
      <c r="DH191">
        <v>1</v>
      </c>
      <c r="DI191">
        <v>4.7600000000000003E-2</v>
      </c>
      <c r="DJ191">
        <v>2000</v>
      </c>
      <c r="DK191">
        <v>2000</v>
      </c>
      <c r="DL191">
        <v>2000</v>
      </c>
      <c r="DM191">
        <v>1</v>
      </c>
      <c r="DN191">
        <v>0.18890000000000001</v>
      </c>
      <c r="DO191">
        <v>88</v>
      </c>
      <c r="DP191">
        <v>2000</v>
      </c>
    </row>
    <row r="192" spans="93:120" x14ac:dyDescent="0.25">
      <c r="CO192" t="s">
        <v>636</v>
      </c>
      <c r="CP192" t="s">
        <v>7</v>
      </c>
      <c r="CQ192" t="s">
        <v>61</v>
      </c>
      <c r="CR192">
        <v>46161</v>
      </c>
      <c r="CS192">
        <v>1</v>
      </c>
      <c r="CT192">
        <v>1</v>
      </c>
      <c r="CU192">
        <v>1</v>
      </c>
      <c r="CX192">
        <v>1.0729166666666666E-2</v>
      </c>
      <c r="CY192">
        <v>1.0729166666666666E-2</v>
      </c>
      <c r="CZ192">
        <v>7.5983796296296299E-2</v>
      </c>
      <c r="DA192">
        <v>1.3541666666666667E-3</v>
      </c>
      <c r="DB192">
        <v>27</v>
      </c>
      <c r="DC192">
        <v>58</v>
      </c>
      <c r="DD192">
        <v>7</v>
      </c>
      <c r="DE192" t="s">
        <v>679</v>
      </c>
      <c r="DF192">
        <v>14535</v>
      </c>
      <c r="DG192">
        <v>0.25929999999999997</v>
      </c>
      <c r="DH192">
        <v>1</v>
      </c>
      <c r="DI192">
        <v>0.1429</v>
      </c>
      <c r="DJ192">
        <v>2700</v>
      </c>
      <c r="DK192">
        <v>2700</v>
      </c>
      <c r="DL192">
        <v>2700</v>
      </c>
      <c r="DM192">
        <v>1</v>
      </c>
      <c r="DN192">
        <v>0.18779999999999999</v>
      </c>
      <c r="DO192">
        <v>88</v>
      </c>
      <c r="DP192">
        <v>2700</v>
      </c>
    </row>
    <row r="193" spans="93:120" x14ac:dyDescent="0.25">
      <c r="CO193" t="s">
        <v>636</v>
      </c>
      <c r="CP193" t="s">
        <v>7</v>
      </c>
      <c r="CQ193" t="s">
        <v>80</v>
      </c>
      <c r="CR193">
        <v>46154</v>
      </c>
      <c r="CS193">
        <v>1</v>
      </c>
      <c r="CT193">
        <v>1</v>
      </c>
      <c r="CV193">
        <v>1</v>
      </c>
      <c r="CX193">
        <v>1.1574074074074075E-4</v>
      </c>
      <c r="CY193">
        <v>1.1574074074074075E-4</v>
      </c>
      <c r="CZ193">
        <v>0.26679398148148148</v>
      </c>
      <c r="DA193">
        <v>0.14319444444444446</v>
      </c>
      <c r="DB193">
        <v>84</v>
      </c>
      <c r="DC193">
        <v>216</v>
      </c>
      <c r="DD193">
        <v>7</v>
      </c>
      <c r="DE193" t="s">
        <v>753</v>
      </c>
      <c r="DF193">
        <v>23489</v>
      </c>
      <c r="DG193">
        <v>8.3299999999999999E-2</v>
      </c>
      <c r="DH193">
        <v>1</v>
      </c>
      <c r="DI193">
        <v>0.1429</v>
      </c>
      <c r="DJ193">
        <v>600</v>
      </c>
      <c r="DK193">
        <v>600</v>
      </c>
      <c r="DO193">
        <v>88</v>
      </c>
    </row>
    <row r="194" spans="93:120" x14ac:dyDescent="0.25">
      <c r="CO194" t="s">
        <v>636</v>
      </c>
      <c r="CP194" t="s">
        <v>7</v>
      </c>
      <c r="CQ194" t="s">
        <v>72</v>
      </c>
      <c r="CR194">
        <v>46150</v>
      </c>
      <c r="CS194">
        <v>1</v>
      </c>
      <c r="CT194">
        <v>1</v>
      </c>
      <c r="CU194">
        <v>1</v>
      </c>
      <c r="CX194">
        <v>4.4444444444444444E-3</v>
      </c>
      <c r="CY194">
        <v>4.4444444444444444E-3</v>
      </c>
      <c r="CZ194">
        <v>0.19473379629629631</v>
      </c>
      <c r="DA194">
        <v>0.11454861111111111</v>
      </c>
      <c r="DB194">
        <v>75</v>
      </c>
      <c r="DC194">
        <v>185</v>
      </c>
      <c r="DD194">
        <v>15</v>
      </c>
      <c r="DE194" t="s">
        <v>739</v>
      </c>
      <c r="DF194">
        <v>28204</v>
      </c>
      <c r="DG194">
        <v>0.2</v>
      </c>
      <c r="DH194">
        <v>2</v>
      </c>
      <c r="DI194">
        <v>0.1333</v>
      </c>
      <c r="DJ194">
        <v>720</v>
      </c>
      <c r="DK194">
        <v>360</v>
      </c>
      <c r="DL194">
        <v>420</v>
      </c>
      <c r="DM194">
        <v>0.58330000000000004</v>
      </c>
      <c r="DN194">
        <v>0.49309999999999998</v>
      </c>
      <c r="DO194">
        <v>88</v>
      </c>
      <c r="DP194">
        <v>210</v>
      </c>
    </row>
    <row r="195" spans="93:120" x14ac:dyDescent="0.25">
      <c r="CO195" t="s">
        <v>636</v>
      </c>
      <c r="CP195" t="s">
        <v>7</v>
      </c>
      <c r="CQ195" t="s">
        <v>59</v>
      </c>
      <c r="CR195">
        <v>46161</v>
      </c>
      <c r="CS195">
        <v>1</v>
      </c>
      <c r="CT195">
        <v>1</v>
      </c>
      <c r="CV195">
        <v>1</v>
      </c>
      <c r="CX195">
        <v>0</v>
      </c>
      <c r="CY195">
        <v>0</v>
      </c>
      <c r="CZ195">
        <v>0.18501157407407406</v>
      </c>
      <c r="DA195">
        <v>0.18335648148148148</v>
      </c>
      <c r="DB195">
        <v>210</v>
      </c>
      <c r="DC195">
        <v>374</v>
      </c>
      <c r="DD195">
        <v>19</v>
      </c>
      <c r="DE195" t="s">
        <v>683</v>
      </c>
      <c r="DF195">
        <v>37898</v>
      </c>
      <c r="DG195">
        <v>9.0499999999999997E-2</v>
      </c>
      <c r="DH195">
        <v>1</v>
      </c>
      <c r="DI195">
        <v>5.2600000000000001E-2</v>
      </c>
      <c r="DJ195">
        <v>4600</v>
      </c>
      <c r="DK195">
        <v>4600</v>
      </c>
      <c r="DL195">
        <v>4600</v>
      </c>
      <c r="DM195">
        <v>1</v>
      </c>
      <c r="DN195">
        <v>0.36259999999999998</v>
      </c>
      <c r="DO195">
        <v>88</v>
      </c>
      <c r="DP195">
        <v>4600</v>
      </c>
    </row>
    <row r="196" spans="93:120" x14ac:dyDescent="0.25">
      <c r="CO196" t="s">
        <v>636</v>
      </c>
      <c r="CP196" t="s">
        <v>7</v>
      </c>
      <c r="CQ196" t="s">
        <v>59</v>
      </c>
      <c r="CR196">
        <v>46168</v>
      </c>
      <c r="CS196">
        <v>1</v>
      </c>
      <c r="CT196">
        <v>1</v>
      </c>
      <c r="CV196">
        <v>1</v>
      </c>
      <c r="CX196">
        <v>1.1574074074074073E-5</v>
      </c>
      <c r="CY196">
        <v>1.1574074074074073E-5</v>
      </c>
      <c r="CZ196">
        <v>0.13826388888888888</v>
      </c>
      <c r="DA196">
        <v>0.18282407407407408</v>
      </c>
      <c r="DB196">
        <v>87</v>
      </c>
      <c r="DC196">
        <v>168</v>
      </c>
      <c r="DD196">
        <v>13</v>
      </c>
      <c r="DE196" t="s">
        <v>754</v>
      </c>
      <c r="DF196">
        <v>28191</v>
      </c>
      <c r="DG196">
        <v>0.14940000000000001</v>
      </c>
      <c r="DH196">
        <v>1</v>
      </c>
      <c r="DI196">
        <v>7.6899999999999996E-2</v>
      </c>
      <c r="DJ196">
        <v>4500</v>
      </c>
      <c r="DK196">
        <v>4500</v>
      </c>
      <c r="DL196">
        <v>4500</v>
      </c>
      <c r="DM196">
        <v>1</v>
      </c>
      <c r="DN196">
        <v>0.1055</v>
      </c>
      <c r="DO196">
        <v>88</v>
      </c>
      <c r="DP196">
        <v>4500</v>
      </c>
    </row>
    <row r="197" spans="93:120" x14ac:dyDescent="0.25">
      <c r="CO197" t="s">
        <v>636</v>
      </c>
      <c r="CP197" t="s">
        <v>604</v>
      </c>
      <c r="CQ197" t="s">
        <v>41</v>
      </c>
      <c r="CR197">
        <v>46161</v>
      </c>
      <c r="CS197">
        <v>1</v>
      </c>
      <c r="CT197">
        <v>1</v>
      </c>
      <c r="CV197">
        <v>1</v>
      </c>
      <c r="CX197">
        <v>1.3888888888888889E-4</v>
      </c>
      <c r="CY197">
        <v>1.3888888888888889E-4</v>
      </c>
      <c r="CZ197">
        <v>0.19033564814814816</v>
      </c>
      <c r="DA197">
        <v>0.14475694444444445</v>
      </c>
      <c r="DB197">
        <v>70</v>
      </c>
      <c r="DC197">
        <v>128</v>
      </c>
      <c r="DD197">
        <v>13</v>
      </c>
      <c r="DE197" t="s">
        <v>708</v>
      </c>
      <c r="DF197">
        <v>12384</v>
      </c>
      <c r="DG197">
        <v>0.1857</v>
      </c>
      <c r="DH197">
        <v>2</v>
      </c>
      <c r="DI197">
        <v>0.15379999999999999</v>
      </c>
      <c r="DJ197">
        <v>3180</v>
      </c>
      <c r="DK197">
        <v>1590</v>
      </c>
      <c r="DL197">
        <v>3000</v>
      </c>
      <c r="DM197">
        <v>0.94340000000000002</v>
      </c>
      <c r="DN197">
        <v>0.14380000000000001</v>
      </c>
      <c r="DO197">
        <v>88</v>
      </c>
      <c r="DP197">
        <v>3000</v>
      </c>
    </row>
    <row r="198" spans="93:120" x14ac:dyDescent="0.25">
      <c r="CO198" t="s">
        <v>636</v>
      </c>
      <c r="CP198" t="s">
        <v>604</v>
      </c>
      <c r="CQ198" t="s">
        <v>41</v>
      </c>
      <c r="CR198">
        <v>46164</v>
      </c>
      <c r="CS198">
        <v>1</v>
      </c>
      <c r="CT198">
        <v>1</v>
      </c>
      <c r="CV198">
        <v>1</v>
      </c>
      <c r="CX198">
        <v>0</v>
      </c>
      <c r="CY198">
        <v>0</v>
      </c>
      <c r="CZ198">
        <v>2.8449074074074075E-2</v>
      </c>
      <c r="DA198">
        <v>0.30319444444444443</v>
      </c>
      <c r="DB198">
        <v>51</v>
      </c>
      <c r="DC198">
        <v>169</v>
      </c>
      <c r="DD198">
        <v>10</v>
      </c>
      <c r="DE198">
        <v>1.4</v>
      </c>
      <c r="DF198">
        <v>9906</v>
      </c>
      <c r="DG198">
        <v>0.1961</v>
      </c>
      <c r="DH198">
        <v>1</v>
      </c>
      <c r="DI198">
        <v>0.1</v>
      </c>
      <c r="DJ198">
        <v>300</v>
      </c>
      <c r="DK198">
        <v>300</v>
      </c>
      <c r="DL198">
        <v>300</v>
      </c>
      <c r="DM198">
        <v>1</v>
      </c>
      <c r="DN198">
        <v>0.1552</v>
      </c>
      <c r="DO198">
        <v>88</v>
      </c>
      <c r="DP198">
        <v>300</v>
      </c>
    </row>
    <row r="199" spans="93:120" x14ac:dyDescent="0.25">
      <c r="CO199" t="s">
        <v>636</v>
      </c>
      <c r="CP199" t="s">
        <v>604</v>
      </c>
      <c r="CQ199" t="s">
        <v>600</v>
      </c>
      <c r="CR199">
        <v>46160</v>
      </c>
      <c r="CS199">
        <v>1</v>
      </c>
      <c r="CT199">
        <v>1</v>
      </c>
      <c r="CV199">
        <v>1</v>
      </c>
      <c r="CX199">
        <v>1.273148148148148E-4</v>
      </c>
      <c r="CY199">
        <v>1.273148148148148E-4</v>
      </c>
      <c r="CZ199">
        <v>0.19003472222222223</v>
      </c>
      <c r="DA199">
        <v>0.13620370370370372</v>
      </c>
      <c r="DB199">
        <v>81</v>
      </c>
      <c r="DC199">
        <v>154</v>
      </c>
      <c r="DD199">
        <v>18</v>
      </c>
      <c r="DE199" t="s">
        <v>755</v>
      </c>
      <c r="DF199">
        <v>19245</v>
      </c>
      <c r="DG199">
        <v>0.22220000000000001</v>
      </c>
      <c r="DH199">
        <v>2</v>
      </c>
      <c r="DI199">
        <v>0.1111</v>
      </c>
      <c r="DJ199">
        <v>2700</v>
      </c>
      <c r="DK199">
        <v>1350</v>
      </c>
      <c r="DL199">
        <v>2700</v>
      </c>
      <c r="DM199">
        <v>1</v>
      </c>
      <c r="DN199">
        <v>0.1898</v>
      </c>
      <c r="DO199">
        <v>88</v>
      </c>
      <c r="DP199">
        <v>1350</v>
      </c>
    </row>
    <row r="200" spans="93:120" x14ac:dyDescent="0.25">
      <c r="CO200" t="s">
        <v>636</v>
      </c>
      <c r="CP200" t="s">
        <v>604</v>
      </c>
      <c r="CQ200" t="s">
        <v>600</v>
      </c>
      <c r="CR200">
        <v>46170</v>
      </c>
      <c r="CS200">
        <v>1</v>
      </c>
      <c r="CT200">
        <v>1</v>
      </c>
      <c r="CV200">
        <v>1</v>
      </c>
      <c r="CX200">
        <v>1.5046296296296297E-4</v>
      </c>
      <c r="CY200">
        <v>1.5046296296296297E-4</v>
      </c>
      <c r="CZ200">
        <v>0.18052083333333332</v>
      </c>
      <c r="DA200">
        <v>0.16027777777777777</v>
      </c>
      <c r="DB200">
        <v>92</v>
      </c>
      <c r="DC200">
        <v>186</v>
      </c>
      <c r="DD200">
        <v>24</v>
      </c>
      <c r="DE200" t="s">
        <v>756</v>
      </c>
      <c r="DF200">
        <v>24704</v>
      </c>
      <c r="DG200">
        <v>0.26090000000000002</v>
      </c>
      <c r="DH200">
        <v>2</v>
      </c>
      <c r="DI200">
        <v>8.3299999999999999E-2</v>
      </c>
      <c r="DJ200">
        <v>2800</v>
      </c>
      <c r="DK200">
        <v>1400</v>
      </c>
      <c r="DL200">
        <v>2800</v>
      </c>
      <c r="DM200">
        <v>1</v>
      </c>
      <c r="DN200">
        <v>0.1091</v>
      </c>
      <c r="DO200">
        <v>88</v>
      </c>
      <c r="DP200">
        <v>1400</v>
      </c>
    </row>
    <row r="201" spans="93:120" x14ac:dyDescent="0.25">
      <c r="CO201" t="s">
        <v>636</v>
      </c>
      <c r="CP201" t="s">
        <v>604</v>
      </c>
      <c r="CQ201" t="s">
        <v>549</v>
      </c>
      <c r="CR201">
        <v>46164</v>
      </c>
      <c r="CS201">
        <v>1</v>
      </c>
      <c r="CT201">
        <v>1</v>
      </c>
      <c r="CV201">
        <v>1</v>
      </c>
      <c r="CX201">
        <v>0</v>
      </c>
      <c r="CY201">
        <v>0</v>
      </c>
      <c r="CZ201">
        <v>0.19968749999999999</v>
      </c>
      <c r="DA201">
        <v>0.14608796296296298</v>
      </c>
      <c r="DB201">
        <v>151</v>
      </c>
      <c r="DC201">
        <v>242</v>
      </c>
      <c r="DD201">
        <v>26</v>
      </c>
      <c r="DE201" t="s">
        <v>757</v>
      </c>
      <c r="DF201">
        <v>11996</v>
      </c>
      <c r="DG201">
        <v>0.17219999999999999</v>
      </c>
      <c r="DH201">
        <v>3</v>
      </c>
      <c r="DI201">
        <v>0.1154</v>
      </c>
      <c r="DJ201">
        <v>2300</v>
      </c>
      <c r="DK201">
        <v>767</v>
      </c>
      <c r="DL201">
        <v>1300</v>
      </c>
      <c r="DM201">
        <v>0.56520000000000004</v>
      </c>
      <c r="DN201">
        <v>7.3099999999999998E-2</v>
      </c>
      <c r="DO201">
        <v>88</v>
      </c>
      <c r="DP201">
        <v>650</v>
      </c>
    </row>
    <row r="202" spans="93:120" x14ac:dyDescent="0.25">
      <c r="CO202" t="s">
        <v>636</v>
      </c>
      <c r="CP202" t="s">
        <v>604</v>
      </c>
      <c r="CQ202" t="s">
        <v>55</v>
      </c>
      <c r="CR202">
        <v>46155</v>
      </c>
      <c r="CS202">
        <v>1</v>
      </c>
      <c r="CT202">
        <v>1</v>
      </c>
      <c r="CV202">
        <v>1</v>
      </c>
      <c r="CX202">
        <v>1.5046296296296297E-4</v>
      </c>
      <c r="CY202">
        <v>1.5046296296296297E-4</v>
      </c>
      <c r="CZ202">
        <v>0.23109953703703703</v>
      </c>
      <c r="DA202">
        <v>0.11002314814814815</v>
      </c>
      <c r="DB202">
        <v>190</v>
      </c>
      <c r="DC202">
        <v>268</v>
      </c>
      <c r="DD202">
        <v>39</v>
      </c>
      <c r="DE202" t="s">
        <v>758</v>
      </c>
      <c r="DF202">
        <v>7074</v>
      </c>
      <c r="DG202">
        <v>0.20530000000000001</v>
      </c>
      <c r="DH202">
        <v>2</v>
      </c>
      <c r="DI202">
        <v>5.1299999999999998E-2</v>
      </c>
      <c r="DJ202">
        <v>820</v>
      </c>
      <c r="DK202">
        <v>410</v>
      </c>
      <c r="DL202">
        <v>820</v>
      </c>
      <c r="DM202">
        <v>1</v>
      </c>
      <c r="DN202">
        <v>0.24629999999999999</v>
      </c>
      <c r="DO202">
        <v>88</v>
      </c>
      <c r="DP202">
        <v>410</v>
      </c>
    </row>
    <row r="203" spans="93:120" x14ac:dyDescent="0.25">
      <c r="CO203" t="s">
        <v>636</v>
      </c>
      <c r="CP203" t="s">
        <v>604</v>
      </c>
      <c r="CQ203" t="s">
        <v>78</v>
      </c>
      <c r="CR203">
        <v>46155</v>
      </c>
      <c r="CS203">
        <v>1</v>
      </c>
      <c r="CT203">
        <v>1</v>
      </c>
      <c r="CV203">
        <v>1</v>
      </c>
      <c r="CX203">
        <v>0</v>
      </c>
      <c r="CY203">
        <v>0</v>
      </c>
      <c r="CZ203">
        <v>0.18849537037037037</v>
      </c>
      <c r="DA203">
        <v>0.13723379629629628</v>
      </c>
      <c r="DB203">
        <v>100</v>
      </c>
      <c r="DC203">
        <v>161</v>
      </c>
      <c r="DD203">
        <v>31</v>
      </c>
      <c r="DE203" t="s">
        <v>759</v>
      </c>
      <c r="DF203">
        <v>13840</v>
      </c>
      <c r="DG203">
        <v>0.31</v>
      </c>
      <c r="DH203">
        <v>4</v>
      </c>
      <c r="DI203">
        <v>0.129</v>
      </c>
      <c r="DJ203">
        <v>2061</v>
      </c>
      <c r="DK203">
        <v>515</v>
      </c>
      <c r="DL203">
        <v>1600</v>
      </c>
      <c r="DM203">
        <v>0.77629999999999999</v>
      </c>
      <c r="DN203">
        <v>0.19450000000000001</v>
      </c>
      <c r="DO203">
        <v>88</v>
      </c>
      <c r="DP203">
        <v>800</v>
      </c>
    </row>
    <row r="204" spans="93:120" x14ac:dyDescent="0.25">
      <c r="CO204" t="s">
        <v>636</v>
      </c>
      <c r="CP204" t="s">
        <v>3</v>
      </c>
      <c r="CQ204" t="s">
        <v>58</v>
      </c>
      <c r="CR204">
        <v>46146</v>
      </c>
      <c r="CS204">
        <v>1</v>
      </c>
      <c r="CT204">
        <v>1</v>
      </c>
      <c r="CV204">
        <v>1</v>
      </c>
      <c r="CX204">
        <v>1.5046296296296297E-4</v>
      </c>
      <c r="CY204">
        <v>1.5046296296296297E-4</v>
      </c>
      <c r="CZ204">
        <v>0.26519675925925928</v>
      </c>
      <c r="DA204">
        <v>7.3113425925925929E-2</v>
      </c>
      <c r="DB204">
        <v>126</v>
      </c>
      <c r="DC204">
        <v>205</v>
      </c>
      <c r="DD204">
        <v>46</v>
      </c>
      <c r="DE204" t="s">
        <v>760</v>
      </c>
      <c r="DF204">
        <v>21521</v>
      </c>
      <c r="DG204">
        <v>0.36509999999999998</v>
      </c>
      <c r="DH204">
        <v>5</v>
      </c>
      <c r="DI204">
        <v>0.1087</v>
      </c>
      <c r="DJ204">
        <v>7826</v>
      </c>
      <c r="DK204">
        <v>1565</v>
      </c>
      <c r="DL204">
        <v>7416</v>
      </c>
      <c r="DM204">
        <v>0.9476</v>
      </c>
      <c r="DN204">
        <v>0.31369999999999998</v>
      </c>
      <c r="DO204">
        <v>88</v>
      </c>
      <c r="DP204">
        <v>1854</v>
      </c>
    </row>
    <row r="205" spans="93:120" x14ac:dyDescent="0.25">
      <c r="CO205" t="s">
        <v>636</v>
      </c>
      <c r="CP205" t="s">
        <v>3</v>
      </c>
      <c r="CQ205" t="s">
        <v>96</v>
      </c>
      <c r="CR205">
        <v>46147</v>
      </c>
      <c r="CS205">
        <v>1</v>
      </c>
      <c r="CT205">
        <v>1</v>
      </c>
      <c r="CV205">
        <v>1</v>
      </c>
      <c r="CX205">
        <v>0</v>
      </c>
      <c r="CY205">
        <v>0</v>
      </c>
      <c r="CZ205">
        <v>0.23314814814814816</v>
      </c>
      <c r="DA205">
        <v>0.10402777777777777</v>
      </c>
      <c r="DB205">
        <v>101</v>
      </c>
      <c r="DC205">
        <v>210</v>
      </c>
      <c r="DD205">
        <v>30</v>
      </c>
      <c r="DE205" t="s">
        <v>687</v>
      </c>
      <c r="DF205">
        <v>13506</v>
      </c>
      <c r="DG205">
        <v>0.29699999999999999</v>
      </c>
      <c r="DH205">
        <v>2</v>
      </c>
      <c r="DI205">
        <v>6.6699999999999995E-2</v>
      </c>
      <c r="DJ205">
        <v>960</v>
      </c>
      <c r="DK205">
        <v>480</v>
      </c>
      <c r="DL205">
        <v>960</v>
      </c>
      <c r="DM205">
        <v>1</v>
      </c>
      <c r="DN205">
        <v>0.65539999999999998</v>
      </c>
      <c r="DO205">
        <v>88</v>
      </c>
      <c r="DP205">
        <v>480</v>
      </c>
    </row>
    <row r="206" spans="93:120" x14ac:dyDescent="0.25">
      <c r="CO206" t="s">
        <v>636</v>
      </c>
      <c r="CP206" t="s">
        <v>3</v>
      </c>
      <c r="CQ206" t="s">
        <v>96</v>
      </c>
      <c r="CR206">
        <v>46161</v>
      </c>
      <c r="CS206">
        <v>1</v>
      </c>
      <c r="CT206">
        <v>1</v>
      </c>
      <c r="CV206">
        <v>1</v>
      </c>
      <c r="CX206">
        <v>6.4814814814814813E-4</v>
      </c>
      <c r="CY206">
        <v>6.4814814814814813E-4</v>
      </c>
      <c r="CZ206">
        <v>0.20510416666666667</v>
      </c>
      <c r="DA206">
        <v>0.13437499999999999</v>
      </c>
      <c r="DB206">
        <v>106</v>
      </c>
      <c r="DC206">
        <v>212</v>
      </c>
      <c r="DD206">
        <v>28</v>
      </c>
      <c r="DE206" t="s">
        <v>761</v>
      </c>
      <c r="DF206">
        <v>20345</v>
      </c>
      <c r="DG206">
        <v>0.26419999999999999</v>
      </c>
      <c r="DH206">
        <v>3</v>
      </c>
      <c r="DI206">
        <v>0.1071</v>
      </c>
      <c r="DJ206">
        <v>1250</v>
      </c>
      <c r="DK206">
        <v>417</v>
      </c>
      <c r="DL206">
        <v>800</v>
      </c>
      <c r="DM206">
        <v>0.64</v>
      </c>
      <c r="DN206">
        <v>0.1346</v>
      </c>
      <c r="DO206">
        <v>88</v>
      </c>
      <c r="DP206">
        <v>400</v>
      </c>
    </row>
    <row r="207" spans="93:120" x14ac:dyDescent="0.25">
      <c r="CO207" t="s">
        <v>636</v>
      </c>
      <c r="CP207" t="s">
        <v>3</v>
      </c>
      <c r="CQ207" t="s">
        <v>29</v>
      </c>
      <c r="CR207">
        <v>46149</v>
      </c>
      <c r="CS207">
        <v>1</v>
      </c>
      <c r="CT207">
        <v>1</v>
      </c>
      <c r="CV207">
        <v>1</v>
      </c>
      <c r="CX207">
        <v>0</v>
      </c>
      <c r="CY207">
        <v>0</v>
      </c>
      <c r="CZ207">
        <v>0.23412037037037037</v>
      </c>
      <c r="DA207">
        <v>7.4907407407407409E-2</v>
      </c>
      <c r="DB207">
        <v>113</v>
      </c>
      <c r="DC207">
        <v>197</v>
      </c>
      <c r="DD207">
        <v>14</v>
      </c>
      <c r="DE207" t="s">
        <v>762</v>
      </c>
      <c r="DF207">
        <v>6985</v>
      </c>
      <c r="DG207">
        <v>0.1239</v>
      </c>
      <c r="DH207">
        <v>1</v>
      </c>
      <c r="DI207">
        <v>7.1400000000000005E-2</v>
      </c>
      <c r="DJ207">
        <v>1000</v>
      </c>
      <c r="DK207">
        <v>1000</v>
      </c>
      <c r="DL207">
        <v>1000</v>
      </c>
      <c r="DM207">
        <v>1</v>
      </c>
      <c r="DN207">
        <v>0.1424</v>
      </c>
      <c r="DO207">
        <v>88</v>
      </c>
      <c r="DP207">
        <v>1000</v>
      </c>
    </row>
    <row r="208" spans="93:120" x14ac:dyDescent="0.25">
      <c r="CO208" t="s">
        <v>636</v>
      </c>
      <c r="CP208" t="s">
        <v>3</v>
      </c>
      <c r="CQ208" t="s">
        <v>29</v>
      </c>
      <c r="CR208">
        <v>46162</v>
      </c>
      <c r="CS208">
        <v>1</v>
      </c>
      <c r="CT208">
        <v>1</v>
      </c>
      <c r="CV208">
        <v>1</v>
      </c>
      <c r="CX208">
        <v>4.7453703703703704E-4</v>
      </c>
      <c r="CY208">
        <v>4.7453703703703704E-4</v>
      </c>
      <c r="CZ208">
        <v>0.20506944444444444</v>
      </c>
      <c r="DA208">
        <v>0.16267361111111112</v>
      </c>
      <c r="DB208">
        <v>98</v>
      </c>
      <c r="DC208">
        <v>220</v>
      </c>
      <c r="DD208">
        <v>28</v>
      </c>
      <c r="DE208" t="s">
        <v>720</v>
      </c>
      <c r="DF208">
        <v>19790</v>
      </c>
      <c r="DG208">
        <v>0.28570000000000001</v>
      </c>
      <c r="DH208">
        <v>2</v>
      </c>
      <c r="DI208">
        <v>7.1400000000000005E-2</v>
      </c>
      <c r="DJ208">
        <v>495</v>
      </c>
      <c r="DK208">
        <v>248</v>
      </c>
      <c r="DL208">
        <v>495</v>
      </c>
      <c r="DM208">
        <v>1</v>
      </c>
      <c r="DN208">
        <v>1.0019</v>
      </c>
      <c r="DO208">
        <v>88</v>
      </c>
      <c r="DP208">
        <v>248</v>
      </c>
    </row>
    <row r="209" spans="93:120" x14ac:dyDescent="0.25">
      <c r="CO209" t="s">
        <v>636</v>
      </c>
      <c r="CP209" t="s">
        <v>3</v>
      </c>
      <c r="CQ209" t="s">
        <v>29</v>
      </c>
      <c r="CR209">
        <v>46171</v>
      </c>
      <c r="CS209">
        <v>1</v>
      </c>
      <c r="CT209">
        <v>1</v>
      </c>
      <c r="CU209">
        <v>1</v>
      </c>
      <c r="CX209">
        <v>4.5405092592592594E-2</v>
      </c>
      <c r="CY209">
        <v>4.5405092592592594E-2</v>
      </c>
      <c r="CZ209">
        <v>0.14065972222222223</v>
      </c>
      <c r="DA209">
        <v>0.16737268518518519</v>
      </c>
      <c r="DB209">
        <v>69</v>
      </c>
      <c r="DC209">
        <v>156</v>
      </c>
      <c r="DD209">
        <v>19</v>
      </c>
      <c r="DE209" t="s">
        <v>763</v>
      </c>
      <c r="DF209">
        <v>13812</v>
      </c>
      <c r="DG209">
        <v>0.27539999999999998</v>
      </c>
      <c r="DH209">
        <v>4</v>
      </c>
      <c r="DI209">
        <v>0.21049999999999999</v>
      </c>
      <c r="DJ209">
        <v>5780</v>
      </c>
      <c r="DK209">
        <v>1445</v>
      </c>
      <c r="DL209">
        <v>5780</v>
      </c>
      <c r="DM209">
        <v>1</v>
      </c>
      <c r="DN209">
        <v>0.16969999999999999</v>
      </c>
      <c r="DO209">
        <v>88</v>
      </c>
      <c r="DP209">
        <v>1445</v>
      </c>
    </row>
    <row r="210" spans="93:120" x14ac:dyDescent="0.25">
      <c r="CO210" t="s">
        <v>636</v>
      </c>
      <c r="CP210" t="s">
        <v>2</v>
      </c>
      <c r="CQ210" t="s">
        <v>13</v>
      </c>
      <c r="CR210">
        <v>46170</v>
      </c>
      <c r="CS210">
        <v>1</v>
      </c>
      <c r="CT210">
        <v>1</v>
      </c>
      <c r="CV210">
        <v>1</v>
      </c>
      <c r="CX210">
        <v>1.3888888888888889E-4</v>
      </c>
      <c r="CY210">
        <v>1.3888888888888889E-4</v>
      </c>
      <c r="CZ210">
        <v>0.19892361111111112</v>
      </c>
      <c r="DA210">
        <v>0.14662037037037037</v>
      </c>
      <c r="DB210">
        <v>71</v>
      </c>
      <c r="DC210">
        <v>114</v>
      </c>
      <c r="DD210">
        <v>13</v>
      </c>
      <c r="DE210" t="s">
        <v>764</v>
      </c>
      <c r="DF210">
        <v>36666</v>
      </c>
      <c r="DG210">
        <v>0.18310000000000001</v>
      </c>
      <c r="DH210">
        <v>1</v>
      </c>
      <c r="DI210">
        <v>7.6899999999999996E-2</v>
      </c>
      <c r="DJ210">
        <v>5000</v>
      </c>
      <c r="DK210">
        <v>5000</v>
      </c>
      <c r="DL210">
        <v>6500</v>
      </c>
      <c r="DM210">
        <v>1.3</v>
      </c>
      <c r="DN210">
        <v>0.1739</v>
      </c>
      <c r="DO210">
        <v>86</v>
      </c>
      <c r="DP210">
        <v>6500</v>
      </c>
    </row>
    <row r="211" spans="93:120" x14ac:dyDescent="0.25">
      <c r="CO211" t="s">
        <v>636</v>
      </c>
      <c r="CP211" t="s">
        <v>2</v>
      </c>
      <c r="CQ211" t="s">
        <v>13</v>
      </c>
      <c r="CR211">
        <v>46171</v>
      </c>
      <c r="CS211">
        <v>1</v>
      </c>
      <c r="CT211">
        <v>1</v>
      </c>
      <c r="CV211">
        <v>1</v>
      </c>
      <c r="CX211">
        <v>3.2407407407407406E-4</v>
      </c>
      <c r="CY211">
        <v>3.2407407407407406E-4</v>
      </c>
      <c r="CZ211">
        <v>0.13263888888888889</v>
      </c>
      <c r="DA211">
        <v>0.23394675925925926</v>
      </c>
      <c r="DB211">
        <v>25</v>
      </c>
      <c r="DC211">
        <v>62</v>
      </c>
      <c r="DD211">
        <v>8</v>
      </c>
      <c r="DE211">
        <v>2.5</v>
      </c>
      <c r="DF211">
        <v>22677</v>
      </c>
      <c r="DG211">
        <v>0.32</v>
      </c>
      <c r="DH211">
        <v>1</v>
      </c>
      <c r="DI211">
        <v>0.125</v>
      </c>
      <c r="DJ211">
        <v>5500</v>
      </c>
      <c r="DK211">
        <v>5500</v>
      </c>
      <c r="DL211">
        <v>5500</v>
      </c>
      <c r="DM211">
        <v>1</v>
      </c>
      <c r="DN211">
        <v>8.7599999999999997E-2</v>
      </c>
      <c r="DO211">
        <v>86</v>
      </c>
      <c r="DP211">
        <v>5500</v>
      </c>
    </row>
    <row r="212" spans="93:120" x14ac:dyDescent="0.25">
      <c r="CO212" t="s">
        <v>636</v>
      </c>
      <c r="CP212" t="s">
        <v>2</v>
      </c>
      <c r="CQ212" t="s">
        <v>42</v>
      </c>
      <c r="CR212">
        <v>46171</v>
      </c>
      <c r="CS212">
        <v>1</v>
      </c>
      <c r="CT212">
        <v>1</v>
      </c>
      <c r="CV212">
        <v>1</v>
      </c>
      <c r="CX212">
        <v>2.8935185185185184E-4</v>
      </c>
      <c r="CY212">
        <v>2.8935185185185184E-4</v>
      </c>
      <c r="CZ212">
        <v>0.18226851851851852</v>
      </c>
      <c r="DA212">
        <v>0.15950231481481481</v>
      </c>
      <c r="DB212">
        <v>69</v>
      </c>
      <c r="DC212">
        <v>113</v>
      </c>
      <c r="DD212">
        <v>19</v>
      </c>
      <c r="DE212" t="s">
        <v>683</v>
      </c>
      <c r="DF212">
        <v>19402</v>
      </c>
      <c r="DG212">
        <v>0.27539999999999998</v>
      </c>
      <c r="DH212">
        <v>1</v>
      </c>
      <c r="DI212">
        <v>5.2600000000000001E-2</v>
      </c>
      <c r="DJ212">
        <v>4000</v>
      </c>
      <c r="DK212">
        <v>4000</v>
      </c>
      <c r="DL212">
        <v>4000</v>
      </c>
      <c r="DM212">
        <v>1</v>
      </c>
      <c r="DN212">
        <v>0.1057</v>
      </c>
      <c r="DO212">
        <v>86</v>
      </c>
      <c r="DP212">
        <v>4000</v>
      </c>
    </row>
    <row r="213" spans="93:120" x14ac:dyDescent="0.25">
      <c r="CO213" t="s">
        <v>636</v>
      </c>
      <c r="CP213" t="s">
        <v>2</v>
      </c>
      <c r="CQ213" t="s">
        <v>65</v>
      </c>
      <c r="CR213">
        <v>46146</v>
      </c>
      <c r="CS213">
        <v>1</v>
      </c>
      <c r="CT213">
        <v>1</v>
      </c>
      <c r="CV213">
        <v>1</v>
      </c>
      <c r="CX213">
        <v>2.3148148148148147E-5</v>
      </c>
      <c r="CY213">
        <v>2.3148148148148147E-5</v>
      </c>
      <c r="CZ213">
        <v>0.2673611111111111</v>
      </c>
      <c r="DA213">
        <v>0.10253472222222222</v>
      </c>
      <c r="DB213">
        <v>46</v>
      </c>
      <c r="DC213">
        <v>78</v>
      </c>
      <c r="DD213">
        <v>21</v>
      </c>
      <c r="DE213" t="s">
        <v>730</v>
      </c>
      <c r="DF213">
        <v>16706</v>
      </c>
      <c r="DG213">
        <v>0.45650000000000002</v>
      </c>
      <c r="DH213">
        <v>16</v>
      </c>
      <c r="DI213">
        <v>0.76190000000000002</v>
      </c>
      <c r="DJ213">
        <v>8973</v>
      </c>
      <c r="DK213">
        <v>561</v>
      </c>
      <c r="DL213">
        <v>8070</v>
      </c>
      <c r="DM213">
        <v>0.89939999999999998</v>
      </c>
      <c r="DO213">
        <v>86</v>
      </c>
      <c r="DP213">
        <v>576</v>
      </c>
    </row>
    <row r="214" spans="93:120" x14ac:dyDescent="0.25">
      <c r="CO214" t="s">
        <v>636</v>
      </c>
      <c r="CP214" t="s">
        <v>2</v>
      </c>
      <c r="CQ214" t="s">
        <v>65</v>
      </c>
      <c r="CR214">
        <v>46148</v>
      </c>
      <c r="CS214">
        <v>1</v>
      </c>
      <c r="CT214">
        <v>1</v>
      </c>
      <c r="CV214">
        <v>1</v>
      </c>
      <c r="CX214">
        <v>2.0833333333333335E-4</v>
      </c>
      <c r="CY214">
        <v>2.0833333333333335E-4</v>
      </c>
      <c r="CZ214">
        <v>0.22768518518518518</v>
      </c>
      <c r="DA214">
        <v>0.10806712962962962</v>
      </c>
      <c r="DB214">
        <v>37</v>
      </c>
      <c r="DC214">
        <v>104</v>
      </c>
      <c r="DD214">
        <v>10</v>
      </c>
      <c r="DE214">
        <v>2</v>
      </c>
      <c r="DF214">
        <v>16440</v>
      </c>
      <c r="DG214">
        <v>0.27029999999999998</v>
      </c>
      <c r="DH214">
        <v>2</v>
      </c>
      <c r="DI214">
        <v>0.2</v>
      </c>
      <c r="DJ214">
        <v>2785</v>
      </c>
      <c r="DK214">
        <v>1393</v>
      </c>
      <c r="DL214">
        <v>2785</v>
      </c>
      <c r="DM214">
        <v>1</v>
      </c>
      <c r="DN214">
        <v>0.19819999999999999</v>
      </c>
      <c r="DO214">
        <v>86</v>
      </c>
      <c r="DP214">
        <v>1393</v>
      </c>
    </row>
    <row r="215" spans="93:120" x14ac:dyDescent="0.25">
      <c r="CO215" t="s">
        <v>636</v>
      </c>
      <c r="CP215" t="s">
        <v>2</v>
      </c>
      <c r="CQ215" t="s">
        <v>37</v>
      </c>
      <c r="CR215">
        <v>46147</v>
      </c>
      <c r="CS215">
        <v>1</v>
      </c>
      <c r="CT215">
        <v>1</v>
      </c>
      <c r="CU215">
        <v>1</v>
      </c>
      <c r="CX215">
        <v>5.9722222222222225E-3</v>
      </c>
      <c r="CY215">
        <v>5.9722222222222225E-3</v>
      </c>
      <c r="CZ215">
        <v>0.29137731481481483</v>
      </c>
      <c r="DA215">
        <v>0.10855324074074074</v>
      </c>
      <c r="DB215">
        <v>107</v>
      </c>
      <c r="DC215">
        <v>153</v>
      </c>
      <c r="DD215">
        <v>12</v>
      </c>
      <c r="DE215" t="s">
        <v>765</v>
      </c>
      <c r="DF215">
        <v>37600</v>
      </c>
      <c r="DG215">
        <v>0.11210000000000001</v>
      </c>
      <c r="DH215">
        <v>1</v>
      </c>
      <c r="DI215">
        <v>8.3299999999999999E-2</v>
      </c>
      <c r="DJ215">
        <v>6000</v>
      </c>
      <c r="DK215">
        <v>6000</v>
      </c>
      <c r="DL215">
        <v>6000</v>
      </c>
      <c r="DM215">
        <v>1</v>
      </c>
      <c r="DN215">
        <v>0.1002</v>
      </c>
      <c r="DO215">
        <v>86</v>
      </c>
      <c r="DP215">
        <v>6000</v>
      </c>
    </row>
    <row r="216" spans="93:120" x14ac:dyDescent="0.25">
      <c r="CO216" t="s">
        <v>636</v>
      </c>
      <c r="CP216" t="s">
        <v>2</v>
      </c>
      <c r="CQ216" t="s">
        <v>37</v>
      </c>
      <c r="CR216">
        <v>46155</v>
      </c>
      <c r="CS216">
        <v>1</v>
      </c>
      <c r="CT216">
        <v>1</v>
      </c>
      <c r="CX216">
        <v>4.1203703703703706E-3</v>
      </c>
      <c r="CY216">
        <v>4.1203703703703706E-3</v>
      </c>
      <c r="CZ216">
        <v>0.18817129629629631</v>
      </c>
      <c r="DA216">
        <v>0.12810185185185186</v>
      </c>
      <c r="DB216">
        <v>61</v>
      </c>
      <c r="DC216">
        <v>96</v>
      </c>
      <c r="DD216">
        <v>11</v>
      </c>
      <c r="DE216" t="s">
        <v>695</v>
      </c>
      <c r="DF216">
        <v>10272</v>
      </c>
      <c r="DG216">
        <v>0.18029999999999999</v>
      </c>
      <c r="DH216">
        <v>1</v>
      </c>
      <c r="DI216">
        <v>9.0899999999999995E-2</v>
      </c>
      <c r="DJ216">
        <v>700</v>
      </c>
      <c r="DK216">
        <v>700</v>
      </c>
      <c r="DL216">
        <v>700</v>
      </c>
      <c r="DM216">
        <v>1</v>
      </c>
      <c r="DN216">
        <v>0.18179999999999999</v>
      </c>
      <c r="DO216">
        <v>86</v>
      </c>
      <c r="DP216">
        <v>700</v>
      </c>
    </row>
    <row r="217" spans="93:120" x14ac:dyDescent="0.25">
      <c r="CO217" t="s">
        <v>636</v>
      </c>
      <c r="CP217" t="s">
        <v>2</v>
      </c>
      <c r="CQ217" t="s">
        <v>37</v>
      </c>
      <c r="CR217">
        <v>46171</v>
      </c>
      <c r="CS217">
        <v>1</v>
      </c>
      <c r="CT217">
        <v>1</v>
      </c>
      <c r="CV217">
        <v>1</v>
      </c>
      <c r="CX217">
        <v>1.5046296296296297E-4</v>
      </c>
      <c r="CY217">
        <v>1.5046296296296297E-4</v>
      </c>
      <c r="CZ217">
        <v>0.12568287037037038</v>
      </c>
      <c r="DA217">
        <v>0.21408564814814815</v>
      </c>
      <c r="DB217">
        <v>72</v>
      </c>
      <c r="DC217">
        <v>109</v>
      </c>
      <c r="DD217">
        <v>14</v>
      </c>
      <c r="DE217" t="s">
        <v>679</v>
      </c>
      <c r="DF217">
        <v>39901</v>
      </c>
      <c r="DG217">
        <v>0.19439999999999999</v>
      </c>
      <c r="DH217">
        <v>1</v>
      </c>
      <c r="DI217">
        <v>7.1400000000000005E-2</v>
      </c>
      <c r="DJ217">
        <v>1100</v>
      </c>
      <c r="DK217">
        <v>1100</v>
      </c>
      <c r="DL217">
        <v>1100</v>
      </c>
      <c r="DM217">
        <v>1</v>
      </c>
      <c r="DN217">
        <v>0.1045</v>
      </c>
      <c r="DO217">
        <v>86</v>
      </c>
      <c r="DP217">
        <v>1100</v>
      </c>
    </row>
    <row r="218" spans="93:120" x14ac:dyDescent="0.25">
      <c r="CO218" t="s">
        <v>636</v>
      </c>
      <c r="CP218" t="s">
        <v>2</v>
      </c>
      <c r="CQ218" t="s">
        <v>37</v>
      </c>
      <c r="CR218">
        <v>46172</v>
      </c>
      <c r="CS218">
        <v>1</v>
      </c>
      <c r="CT218">
        <v>1</v>
      </c>
      <c r="CV218">
        <v>1</v>
      </c>
      <c r="CX218">
        <v>1.1574074074074075E-4</v>
      </c>
      <c r="CY218">
        <v>1.1574074074074075E-4</v>
      </c>
      <c r="CZ218">
        <v>0.10208333333333333</v>
      </c>
      <c r="DA218">
        <v>0.13052083333333334</v>
      </c>
      <c r="DB218">
        <v>15</v>
      </c>
      <c r="DC218">
        <v>51</v>
      </c>
      <c r="DD218">
        <v>9</v>
      </c>
      <c r="DE218" t="s">
        <v>749</v>
      </c>
      <c r="DF218">
        <v>26917</v>
      </c>
      <c r="DG218">
        <v>0.6</v>
      </c>
      <c r="DH218">
        <v>1</v>
      </c>
      <c r="DI218">
        <v>0.1111</v>
      </c>
      <c r="DJ218">
        <v>1200</v>
      </c>
      <c r="DK218">
        <v>1200</v>
      </c>
      <c r="DL218">
        <v>1200</v>
      </c>
      <c r="DM218">
        <v>1</v>
      </c>
      <c r="DN218">
        <v>0.1079</v>
      </c>
      <c r="DO218">
        <v>86</v>
      </c>
      <c r="DP218">
        <v>1200</v>
      </c>
    </row>
    <row r="219" spans="93:120" x14ac:dyDescent="0.25">
      <c r="CO219" t="s">
        <v>636</v>
      </c>
      <c r="CP219" t="s">
        <v>2</v>
      </c>
      <c r="CQ219" t="s">
        <v>31</v>
      </c>
      <c r="CR219">
        <v>46148</v>
      </c>
      <c r="CS219">
        <v>1</v>
      </c>
      <c r="CT219">
        <v>1</v>
      </c>
      <c r="CV219">
        <v>1</v>
      </c>
      <c r="CX219">
        <v>1.0300925925925926E-3</v>
      </c>
      <c r="CY219">
        <v>1.0300925925925926E-3</v>
      </c>
      <c r="CZ219">
        <v>0.25995370370370369</v>
      </c>
      <c r="DA219">
        <v>6.9837962962962963E-2</v>
      </c>
      <c r="DB219">
        <v>54</v>
      </c>
      <c r="DC219">
        <v>120</v>
      </c>
      <c r="DD219">
        <v>14</v>
      </c>
      <c r="DE219" t="s">
        <v>700</v>
      </c>
      <c r="DF219">
        <v>10252</v>
      </c>
      <c r="DG219">
        <v>0.25929999999999997</v>
      </c>
      <c r="DH219">
        <v>4</v>
      </c>
      <c r="DI219">
        <v>0.28570000000000001</v>
      </c>
      <c r="DJ219">
        <v>13925</v>
      </c>
      <c r="DK219">
        <v>3481</v>
      </c>
      <c r="DL219">
        <v>13725</v>
      </c>
      <c r="DM219">
        <v>0.98560000000000003</v>
      </c>
      <c r="DN219">
        <v>0.20669999999999999</v>
      </c>
      <c r="DO219">
        <v>86</v>
      </c>
      <c r="DP219">
        <v>4575</v>
      </c>
    </row>
    <row r="220" spans="93:120" x14ac:dyDescent="0.25">
      <c r="CO220" t="s">
        <v>636</v>
      </c>
      <c r="CP220" t="s">
        <v>6</v>
      </c>
      <c r="CQ220" t="s">
        <v>19</v>
      </c>
      <c r="CR220">
        <v>46153</v>
      </c>
      <c r="CS220">
        <v>1</v>
      </c>
      <c r="CT220">
        <v>1</v>
      </c>
      <c r="CV220">
        <v>1</v>
      </c>
      <c r="CX220">
        <v>8.1018518518518516E-5</v>
      </c>
      <c r="CY220">
        <v>8.1018518518518516E-5</v>
      </c>
      <c r="CZ220">
        <v>0.21535879629629628</v>
      </c>
      <c r="DA220">
        <v>0.13859953703703703</v>
      </c>
      <c r="DB220">
        <v>156</v>
      </c>
      <c r="DC220">
        <v>293</v>
      </c>
      <c r="DD220">
        <v>14</v>
      </c>
      <c r="DE220" t="s">
        <v>753</v>
      </c>
      <c r="DF220">
        <v>25782</v>
      </c>
      <c r="DG220">
        <v>8.9700000000000002E-2</v>
      </c>
      <c r="DH220">
        <v>3</v>
      </c>
      <c r="DI220">
        <v>0.21429999999999999</v>
      </c>
      <c r="DJ220">
        <v>15000</v>
      </c>
      <c r="DK220">
        <v>5000</v>
      </c>
      <c r="DL220">
        <v>15000</v>
      </c>
      <c r="DM220">
        <v>1</v>
      </c>
      <c r="DN220">
        <v>0.1358</v>
      </c>
      <c r="DO220">
        <v>86</v>
      </c>
      <c r="DP220">
        <v>5000</v>
      </c>
    </row>
    <row r="221" spans="93:120" x14ac:dyDescent="0.25">
      <c r="CO221" t="s">
        <v>636</v>
      </c>
      <c r="CP221" t="s">
        <v>6</v>
      </c>
      <c r="CQ221" t="s">
        <v>19</v>
      </c>
      <c r="CR221">
        <v>46154</v>
      </c>
      <c r="CS221">
        <v>1</v>
      </c>
      <c r="CT221">
        <v>1</v>
      </c>
      <c r="CV221">
        <v>1</v>
      </c>
      <c r="CX221">
        <v>0</v>
      </c>
      <c r="CY221">
        <v>0</v>
      </c>
      <c r="CZ221">
        <v>0.3044675925925926</v>
      </c>
      <c r="DA221">
        <v>0.13903935185185184</v>
      </c>
      <c r="DB221">
        <v>214</v>
      </c>
      <c r="DC221">
        <v>336</v>
      </c>
      <c r="DD221">
        <v>33</v>
      </c>
      <c r="DE221" t="s">
        <v>766</v>
      </c>
      <c r="DF221">
        <v>23313</v>
      </c>
      <c r="DG221">
        <v>0.1542</v>
      </c>
      <c r="DH221">
        <v>1</v>
      </c>
      <c r="DI221">
        <v>3.0300000000000001E-2</v>
      </c>
      <c r="DJ221">
        <v>655</v>
      </c>
      <c r="DK221">
        <v>655</v>
      </c>
      <c r="DL221">
        <v>655</v>
      </c>
      <c r="DM221">
        <v>1</v>
      </c>
      <c r="DN221">
        <v>0.78949999999999998</v>
      </c>
      <c r="DO221">
        <v>86</v>
      </c>
      <c r="DP221">
        <v>655</v>
      </c>
    </row>
    <row r="222" spans="93:120" x14ac:dyDescent="0.25">
      <c r="CO222" t="s">
        <v>636</v>
      </c>
      <c r="CP222" t="s">
        <v>6</v>
      </c>
      <c r="CQ222" t="s">
        <v>105</v>
      </c>
      <c r="CR222">
        <v>46157</v>
      </c>
      <c r="CS222">
        <v>1</v>
      </c>
      <c r="CT222">
        <v>1</v>
      </c>
      <c r="CV222">
        <v>1</v>
      </c>
      <c r="CX222">
        <v>6.9444444444444444E-5</v>
      </c>
      <c r="CY222">
        <v>6.9444444444444444E-5</v>
      </c>
      <c r="CZ222">
        <v>0.2504513888888889</v>
      </c>
      <c r="DA222">
        <v>8.6793981481481486E-2</v>
      </c>
      <c r="DB222">
        <v>64</v>
      </c>
      <c r="DC222">
        <v>101</v>
      </c>
      <c r="DD222">
        <v>20</v>
      </c>
      <c r="DE222">
        <v>1.4</v>
      </c>
      <c r="DF222">
        <v>37075</v>
      </c>
      <c r="DG222">
        <v>0.3125</v>
      </c>
      <c r="DH222">
        <v>2</v>
      </c>
      <c r="DI222">
        <v>0.1</v>
      </c>
      <c r="DJ222">
        <v>20000</v>
      </c>
      <c r="DK222">
        <v>10000</v>
      </c>
      <c r="DL222">
        <v>20000</v>
      </c>
      <c r="DM222">
        <v>1</v>
      </c>
      <c r="DN222">
        <v>0.1036</v>
      </c>
      <c r="DO222">
        <v>86</v>
      </c>
      <c r="DP222">
        <v>10000</v>
      </c>
    </row>
    <row r="223" spans="93:120" x14ac:dyDescent="0.25">
      <c r="CO223" t="s">
        <v>636</v>
      </c>
      <c r="CP223" t="s">
        <v>6</v>
      </c>
      <c r="CQ223" t="s">
        <v>105</v>
      </c>
      <c r="CR223">
        <v>46168</v>
      </c>
      <c r="CS223">
        <v>1</v>
      </c>
      <c r="CT223">
        <v>1</v>
      </c>
      <c r="CV223">
        <v>1</v>
      </c>
      <c r="CX223">
        <v>5.7870370370370373E-5</v>
      </c>
      <c r="CY223">
        <v>5.7870370370370373E-5</v>
      </c>
      <c r="CZ223">
        <v>0.16408564814814816</v>
      </c>
      <c r="DA223">
        <v>0.16953703703703704</v>
      </c>
      <c r="DB223">
        <v>57</v>
      </c>
      <c r="DC223">
        <v>127</v>
      </c>
      <c r="DD223">
        <v>10</v>
      </c>
      <c r="DE223">
        <v>2</v>
      </c>
      <c r="DF223">
        <v>19464</v>
      </c>
      <c r="DG223">
        <v>0.1754</v>
      </c>
      <c r="DH223">
        <v>1</v>
      </c>
      <c r="DI223">
        <v>0.1</v>
      </c>
      <c r="DJ223">
        <v>2000</v>
      </c>
      <c r="DK223">
        <v>2000</v>
      </c>
      <c r="DL223">
        <v>2000</v>
      </c>
      <c r="DM223">
        <v>1</v>
      </c>
      <c r="DN223">
        <v>0.20830000000000001</v>
      </c>
      <c r="DO223">
        <v>86</v>
      </c>
      <c r="DP223">
        <v>2000</v>
      </c>
    </row>
    <row r="224" spans="93:120" x14ac:dyDescent="0.25">
      <c r="CO224" t="s">
        <v>636</v>
      </c>
      <c r="CP224" t="s">
        <v>6</v>
      </c>
      <c r="CQ224" t="s">
        <v>35</v>
      </c>
      <c r="CR224">
        <v>46172</v>
      </c>
      <c r="CS224">
        <v>1</v>
      </c>
      <c r="CT224">
        <v>1</v>
      </c>
      <c r="CV224">
        <v>1</v>
      </c>
      <c r="CX224">
        <v>1.3888888888888889E-4</v>
      </c>
      <c r="CY224">
        <v>1.3888888888888889E-4</v>
      </c>
      <c r="CZ224">
        <v>6.9166666666666668E-2</v>
      </c>
      <c r="DA224">
        <v>0.14231481481481481</v>
      </c>
      <c r="DB224">
        <v>12</v>
      </c>
      <c r="DC224">
        <v>20</v>
      </c>
      <c r="DD224">
        <v>9</v>
      </c>
      <c r="DE224" t="s">
        <v>767</v>
      </c>
      <c r="DF224">
        <v>11631</v>
      </c>
      <c r="DG224">
        <v>0.75</v>
      </c>
      <c r="DH224">
        <v>1</v>
      </c>
      <c r="DI224">
        <v>0.1111</v>
      </c>
      <c r="DJ224">
        <v>2320</v>
      </c>
      <c r="DK224">
        <v>2320</v>
      </c>
      <c r="DL224">
        <v>2320</v>
      </c>
      <c r="DM224">
        <v>1</v>
      </c>
      <c r="DN224">
        <v>0.10249999999999999</v>
      </c>
      <c r="DO224">
        <v>86</v>
      </c>
      <c r="DP224">
        <v>2320</v>
      </c>
    </row>
    <row r="225" spans="93:120" x14ac:dyDescent="0.25">
      <c r="CO225" t="s">
        <v>636</v>
      </c>
      <c r="CP225" t="s">
        <v>7</v>
      </c>
      <c r="CQ225" t="s">
        <v>60</v>
      </c>
      <c r="CR225">
        <v>46146</v>
      </c>
      <c r="CS225">
        <v>1</v>
      </c>
      <c r="CT225">
        <v>1</v>
      </c>
      <c r="CV225">
        <v>1</v>
      </c>
      <c r="CX225">
        <v>8.1018518518518516E-5</v>
      </c>
      <c r="CY225">
        <v>8.1018518518518516E-5</v>
      </c>
      <c r="CZ225">
        <v>0.26143518518518516</v>
      </c>
      <c r="DA225">
        <v>6.6331018518518525E-2</v>
      </c>
      <c r="DB225">
        <v>110</v>
      </c>
      <c r="DC225">
        <v>141</v>
      </c>
      <c r="DD225">
        <v>29</v>
      </c>
      <c r="DE225" t="s">
        <v>768</v>
      </c>
      <c r="DF225">
        <v>19655</v>
      </c>
      <c r="DG225">
        <v>0.2636</v>
      </c>
      <c r="DH225">
        <v>9</v>
      </c>
      <c r="DI225">
        <v>0.31030000000000002</v>
      </c>
      <c r="DJ225">
        <v>6019</v>
      </c>
      <c r="DK225">
        <v>669</v>
      </c>
      <c r="DL225">
        <v>6020</v>
      </c>
      <c r="DM225">
        <v>1.0002</v>
      </c>
      <c r="DO225">
        <v>86</v>
      </c>
      <c r="DP225">
        <v>669</v>
      </c>
    </row>
    <row r="226" spans="93:120" x14ac:dyDescent="0.25">
      <c r="CO226" t="s">
        <v>636</v>
      </c>
      <c r="CP226" t="s">
        <v>7</v>
      </c>
      <c r="CQ226" t="s">
        <v>61</v>
      </c>
      <c r="CR226">
        <v>46169</v>
      </c>
      <c r="CS226">
        <v>1</v>
      </c>
      <c r="CT226">
        <v>1</v>
      </c>
      <c r="CV226">
        <v>1</v>
      </c>
      <c r="CX226">
        <v>3.9351851851851852E-4</v>
      </c>
      <c r="CY226">
        <v>3.9351851851851852E-4</v>
      </c>
      <c r="CZ226">
        <v>0.19364583333333332</v>
      </c>
      <c r="DA226">
        <v>0.14936342592592591</v>
      </c>
      <c r="DB226">
        <v>76</v>
      </c>
      <c r="DC226">
        <v>172</v>
      </c>
      <c r="DD226">
        <v>22</v>
      </c>
      <c r="DE226">
        <v>2</v>
      </c>
      <c r="DF226">
        <v>46223</v>
      </c>
      <c r="DG226">
        <v>0.28949999999999998</v>
      </c>
      <c r="DH226">
        <v>2</v>
      </c>
      <c r="DI226">
        <v>9.0899999999999995E-2</v>
      </c>
      <c r="DJ226">
        <v>4500</v>
      </c>
      <c r="DK226">
        <v>2250</v>
      </c>
      <c r="DL226">
        <v>4821</v>
      </c>
      <c r="DM226">
        <v>1.0712999999999999</v>
      </c>
      <c r="DN226">
        <v>0.15820000000000001</v>
      </c>
      <c r="DO226">
        <v>86</v>
      </c>
      <c r="DP226">
        <v>2411</v>
      </c>
    </row>
    <row r="227" spans="93:120" x14ac:dyDescent="0.25">
      <c r="CO227" t="s">
        <v>636</v>
      </c>
      <c r="CP227" t="s">
        <v>7</v>
      </c>
      <c r="CQ227" t="s">
        <v>72</v>
      </c>
      <c r="CR227">
        <v>46147</v>
      </c>
      <c r="CS227">
        <v>1</v>
      </c>
      <c r="CT227">
        <v>1</v>
      </c>
      <c r="CV227">
        <v>1</v>
      </c>
      <c r="CX227">
        <v>8.1018518518518516E-5</v>
      </c>
      <c r="CY227">
        <v>8.1018518518518516E-5</v>
      </c>
      <c r="CZ227">
        <v>0.26776620370370369</v>
      </c>
      <c r="DA227">
        <v>0.14553240740740742</v>
      </c>
      <c r="DB227">
        <v>173</v>
      </c>
      <c r="DC227">
        <v>429</v>
      </c>
      <c r="DD227">
        <v>33</v>
      </c>
      <c r="DE227">
        <v>2</v>
      </c>
      <c r="DF227">
        <v>27249</v>
      </c>
      <c r="DG227">
        <v>0.1908</v>
      </c>
      <c r="DH227">
        <v>1</v>
      </c>
      <c r="DI227">
        <v>3.0300000000000001E-2</v>
      </c>
      <c r="DJ227">
        <v>300</v>
      </c>
      <c r="DK227">
        <v>300</v>
      </c>
      <c r="DL227">
        <v>300</v>
      </c>
      <c r="DM227">
        <v>1</v>
      </c>
      <c r="DO227">
        <v>86</v>
      </c>
      <c r="DP227">
        <v>300</v>
      </c>
    </row>
    <row r="228" spans="93:120" x14ac:dyDescent="0.25">
      <c r="CO228" t="s">
        <v>636</v>
      </c>
      <c r="CP228" t="s">
        <v>604</v>
      </c>
      <c r="CQ228" t="s">
        <v>109</v>
      </c>
      <c r="CR228">
        <v>46169</v>
      </c>
      <c r="CS228">
        <v>1</v>
      </c>
      <c r="CT228">
        <v>1</v>
      </c>
      <c r="CU228">
        <v>1</v>
      </c>
      <c r="CX228">
        <v>9.2013888888888892E-3</v>
      </c>
      <c r="CY228">
        <v>9.2013888888888892E-3</v>
      </c>
      <c r="CZ228">
        <v>0.18314814814814814</v>
      </c>
      <c r="DA228">
        <v>0.15468750000000001</v>
      </c>
      <c r="DB228">
        <v>73</v>
      </c>
      <c r="DC228">
        <v>126</v>
      </c>
      <c r="DD228">
        <v>13</v>
      </c>
      <c r="DE228" t="s">
        <v>764</v>
      </c>
      <c r="DF228">
        <v>21324</v>
      </c>
      <c r="DG228">
        <v>0.17810000000000001</v>
      </c>
      <c r="DH228">
        <v>1</v>
      </c>
      <c r="DI228">
        <v>7.6899999999999996E-2</v>
      </c>
      <c r="DJ228">
        <v>3500</v>
      </c>
      <c r="DK228">
        <v>3500</v>
      </c>
      <c r="DL228">
        <v>3500</v>
      </c>
      <c r="DM228">
        <v>1</v>
      </c>
      <c r="DN228">
        <v>0.10009999999999999</v>
      </c>
      <c r="DO228">
        <v>86</v>
      </c>
      <c r="DP228">
        <v>3500</v>
      </c>
    </row>
    <row r="229" spans="93:120" x14ac:dyDescent="0.25">
      <c r="CO229" t="s">
        <v>636</v>
      </c>
      <c r="CP229" t="s">
        <v>604</v>
      </c>
      <c r="CQ229" t="s">
        <v>41</v>
      </c>
      <c r="CR229">
        <v>46172</v>
      </c>
      <c r="CS229">
        <v>1</v>
      </c>
      <c r="CT229">
        <v>1</v>
      </c>
      <c r="CV229">
        <v>1</v>
      </c>
      <c r="CX229">
        <v>2.2222222222222222E-3</v>
      </c>
      <c r="CY229">
        <v>2.2222222222222222E-3</v>
      </c>
      <c r="CZ229">
        <v>7.3807870370370371E-2</v>
      </c>
      <c r="DA229">
        <v>0.11055555555555556</v>
      </c>
      <c r="DB229">
        <v>12</v>
      </c>
      <c r="DC229">
        <v>41</v>
      </c>
      <c r="DD229">
        <v>5</v>
      </c>
      <c r="DE229">
        <v>1.6</v>
      </c>
      <c r="DF229">
        <v>6944</v>
      </c>
      <c r="DG229">
        <v>0.41670000000000001</v>
      </c>
      <c r="DO229">
        <v>86</v>
      </c>
    </row>
    <row r="230" spans="93:120" x14ac:dyDescent="0.25">
      <c r="CO230" t="s">
        <v>636</v>
      </c>
      <c r="CP230" t="s">
        <v>604</v>
      </c>
      <c r="CQ230" t="s">
        <v>600</v>
      </c>
      <c r="CR230">
        <v>46172</v>
      </c>
      <c r="CS230">
        <v>1</v>
      </c>
      <c r="CT230">
        <v>1</v>
      </c>
      <c r="CV230">
        <v>1</v>
      </c>
      <c r="CX230">
        <v>2.0601851851851853E-3</v>
      </c>
      <c r="CY230">
        <v>2.0601851851851853E-3</v>
      </c>
      <c r="CZ230">
        <v>0.1725925925925926</v>
      </c>
      <c r="DA230">
        <v>5.1967592592592595E-3</v>
      </c>
      <c r="DB230">
        <v>43</v>
      </c>
      <c r="DC230">
        <v>54</v>
      </c>
      <c r="DD230">
        <v>9</v>
      </c>
      <c r="DE230" t="s">
        <v>769</v>
      </c>
      <c r="DF230">
        <v>35119</v>
      </c>
      <c r="DG230">
        <v>0.20930000000000001</v>
      </c>
      <c r="DO230">
        <v>86</v>
      </c>
    </row>
    <row r="231" spans="93:120" x14ac:dyDescent="0.25">
      <c r="CO231" t="s">
        <v>636</v>
      </c>
      <c r="CP231" t="s">
        <v>604</v>
      </c>
      <c r="CQ231" t="s">
        <v>599</v>
      </c>
      <c r="CR231">
        <v>46150</v>
      </c>
      <c r="CS231">
        <v>1</v>
      </c>
      <c r="CT231">
        <v>1</v>
      </c>
      <c r="CV231">
        <v>1</v>
      </c>
      <c r="CX231">
        <v>2.2685185185185187E-3</v>
      </c>
      <c r="CY231">
        <v>2.2685185185185187E-3</v>
      </c>
      <c r="CZ231">
        <v>0.19405092592592593</v>
      </c>
      <c r="DA231">
        <v>8.9305555555555555E-2</v>
      </c>
      <c r="DB231">
        <v>91</v>
      </c>
      <c r="DC231">
        <v>125</v>
      </c>
      <c r="DD231">
        <v>22</v>
      </c>
      <c r="DE231" t="s">
        <v>740</v>
      </c>
      <c r="DF231">
        <v>6285</v>
      </c>
      <c r="DG231">
        <v>0.24179999999999999</v>
      </c>
      <c r="DH231">
        <v>2</v>
      </c>
      <c r="DI231">
        <v>9.0899999999999995E-2</v>
      </c>
      <c r="DJ231">
        <v>1225</v>
      </c>
      <c r="DK231">
        <v>613</v>
      </c>
      <c r="DL231">
        <v>1000</v>
      </c>
      <c r="DM231">
        <v>0.81630000000000003</v>
      </c>
      <c r="DN231">
        <v>0.35599999999999998</v>
      </c>
      <c r="DO231">
        <v>86</v>
      </c>
      <c r="DP231">
        <v>1000</v>
      </c>
    </row>
    <row r="232" spans="93:120" x14ac:dyDescent="0.25">
      <c r="CO232" t="s">
        <v>636</v>
      </c>
      <c r="CP232" t="s">
        <v>604</v>
      </c>
      <c r="CQ232" t="s">
        <v>599</v>
      </c>
      <c r="CR232">
        <v>46172</v>
      </c>
      <c r="CS232">
        <v>1</v>
      </c>
      <c r="CT232">
        <v>1</v>
      </c>
      <c r="CV232">
        <v>1</v>
      </c>
      <c r="CX232">
        <v>2.7777777777777778E-4</v>
      </c>
      <c r="CY232">
        <v>2.7777777777777778E-4</v>
      </c>
      <c r="CZ232">
        <v>0.17592592592592593</v>
      </c>
      <c r="DA232">
        <v>3.2291666666666666E-3</v>
      </c>
      <c r="DB232">
        <v>24</v>
      </c>
      <c r="DC232">
        <v>26</v>
      </c>
      <c r="DD232">
        <v>9</v>
      </c>
      <c r="DE232">
        <v>1</v>
      </c>
      <c r="DF232">
        <v>9502</v>
      </c>
      <c r="DG232">
        <v>0.375</v>
      </c>
      <c r="DO232">
        <v>86</v>
      </c>
    </row>
    <row r="233" spans="93:120" x14ac:dyDescent="0.25">
      <c r="CO233" t="s">
        <v>636</v>
      </c>
      <c r="CP233" t="s">
        <v>604</v>
      </c>
      <c r="CQ233" t="s">
        <v>549</v>
      </c>
      <c r="CR233">
        <v>46148</v>
      </c>
      <c r="CS233">
        <v>1</v>
      </c>
      <c r="CT233">
        <v>1</v>
      </c>
      <c r="CV233">
        <v>1</v>
      </c>
      <c r="CX233">
        <v>0</v>
      </c>
      <c r="CY233">
        <v>0</v>
      </c>
      <c r="CZ233">
        <v>0.22084490740740742</v>
      </c>
      <c r="DA233">
        <v>0.1270023148148148</v>
      </c>
      <c r="DB233">
        <v>166</v>
      </c>
      <c r="DC233">
        <v>382</v>
      </c>
      <c r="DD233">
        <v>55</v>
      </c>
      <c r="DE233" t="s">
        <v>770</v>
      </c>
      <c r="DF233">
        <v>9218</v>
      </c>
      <c r="DG233">
        <v>0.33129999999999998</v>
      </c>
      <c r="DH233">
        <v>1</v>
      </c>
      <c r="DI233">
        <v>1.8200000000000001E-2</v>
      </c>
      <c r="DJ233">
        <v>300</v>
      </c>
      <c r="DK233">
        <v>300</v>
      </c>
      <c r="DL233">
        <v>300</v>
      </c>
      <c r="DM233">
        <v>1</v>
      </c>
      <c r="DN233">
        <v>0.42270000000000002</v>
      </c>
      <c r="DO233">
        <v>86</v>
      </c>
      <c r="DP233">
        <v>300</v>
      </c>
    </row>
    <row r="234" spans="93:120" x14ac:dyDescent="0.25">
      <c r="CO234" t="s">
        <v>636</v>
      </c>
      <c r="CP234" t="s">
        <v>604</v>
      </c>
      <c r="CQ234" t="s">
        <v>549</v>
      </c>
      <c r="CR234">
        <v>46156</v>
      </c>
      <c r="CS234">
        <v>1</v>
      </c>
      <c r="CT234">
        <v>1</v>
      </c>
      <c r="CV234">
        <v>1</v>
      </c>
      <c r="CX234">
        <v>0</v>
      </c>
      <c r="CY234">
        <v>0</v>
      </c>
      <c r="CZ234">
        <v>0.19657407407407407</v>
      </c>
      <c r="DA234">
        <v>0.1239699074074074</v>
      </c>
      <c r="DB234">
        <v>148</v>
      </c>
      <c r="DC234">
        <v>242</v>
      </c>
      <c r="DD234">
        <v>48</v>
      </c>
      <c r="DE234" t="s">
        <v>736</v>
      </c>
      <c r="DF234">
        <v>9434</v>
      </c>
      <c r="DG234">
        <v>0.32429999999999998</v>
      </c>
      <c r="DH234">
        <v>1</v>
      </c>
      <c r="DI234">
        <v>2.0799999999999999E-2</v>
      </c>
      <c r="DJ234">
        <v>700</v>
      </c>
      <c r="DK234">
        <v>700</v>
      </c>
      <c r="DL234">
        <v>700</v>
      </c>
      <c r="DM234">
        <v>1</v>
      </c>
      <c r="DN234">
        <v>0.18240000000000001</v>
      </c>
      <c r="DO234">
        <v>86</v>
      </c>
      <c r="DP234">
        <v>700</v>
      </c>
    </row>
    <row r="235" spans="93:120" x14ac:dyDescent="0.25">
      <c r="CO235" t="s">
        <v>636</v>
      </c>
      <c r="CP235" t="s">
        <v>604</v>
      </c>
      <c r="CQ235" t="s">
        <v>549</v>
      </c>
      <c r="CR235">
        <v>46172</v>
      </c>
      <c r="CS235">
        <v>1</v>
      </c>
      <c r="CT235">
        <v>1</v>
      </c>
      <c r="CV235">
        <v>1</v>
      </c>
      <c r="CX235">
        <v>3.4722222222222222E-5</v>
      </c>
      <c r="CY235">
        <v>3.4722222222222222E-5</v>
      </c>
      <c r="CZ235">
        <v>0.18079861111111112</v>
      </c>
      <c r="DA235">
        <v>1.2060185185185186E-2</v>
      </c>
      <c r="DB235">
        <v>36</v>
      </c>
      <c r="DC235">
        <v>49</v>
      </c>
      <c r="DD235">
        <v>21</v>
      </c>
      <c r="DE235">
        <v>1</v>
      </c>
      <c r="DF235">
        <v>8543</v>
      </c>
      <c r="DG235">
        <v>0.58330000000000004</v>
      </c>
      <c r="DO235">
        <v>86</v>
      </c>
    </row>
    <row r="236" spans="93:120" x14ac:dyDescent="0.25">
      <c r="CO236" t="s">
        <v>636</v>
      </c>
      <c r="CP236" t="s">
        <v>604</v>
      </c>
      <c r="CQ236" t="s">
        <v>55</v>
      </c>
      <c r="CR236">
        <v>46150</v>
      </c>
      <c r="CS236">
        <v>1</v>
      </c>
      <c r="CT236">
        <v>1</v>
      </c>
      <c r="CV236">
        <v>1</v>
      </c>
      <c r="CX236">
        <v>6.9444444444444444E-5</v>
      </c>
      <c r="CY236">
        <v>6.9444444444444444E-5</v>
      </c>
      <c r="CZ236">
        <v>0.19277777777777777</v>
      </c>
      <c r="DA236">
        <v>0.10197916666666666</v>
      </c>
      <c r="DB236">
        <v>113</v>
      </c>
      <c r="DC236">
        <v>169</v>
      </c>
      <c r="DD236">
        <v>27</v>
      </c>
      <c r="DE236" t="s">
        <v>771</v>
      </c>
      <c r="DF236">
        <v>6647</v>
      </c>
      <c r="DG236">
        <v>0.2389</v>
      </c>
      <c r="DH236">
        <v>1</v>
      </c>
      <c r="DI236">
        <v>3.6999999999999998E-2</v>
      </c>
      <c r="DJ236">
        <v>100</v>
      </c>
      <c r="DK236">
        <v>100</v>
      </c>
      <c r="DL236">
        <v>100</v>
      </c>
      <c r="DM236">
        <v>1</v>
      </c>
      <c r="DN236">
        <v>0.187</v>
      </c>
      <c r="DO236">
        <v>86</v>
      </c>
      <c r="DP236">
        <v>100</v>
      </c>
    </row>
    <row r="237" spans="93:120" x14ac:dyDescent="0.25">
      <c r="CO237" t="s">
        <v>636</v>
      </c>
      <c r="CP237" t="s">
        <v>604</v>
      </c>
      <c r="CQ237" t="s">
        <v>55</v>
      </c>
      <c r="CR237">
        <v>46170</v>
      </c>
      <c r="CS237">
        <v>1</v>
      </c>
      <c r="CT237">
        <v>1</v>
      </c>
      <c r="CV237">
        <v>1</v>
      </c>
      <c r="CX237">
        <v>2.3148148148148147E-5</v>
      </c>
      <c r="CY237">
        <v>2.3148148148148147E-5</v>
      </c>
      <c r="CZ237">
        <v>0.19243055555555555</v>
      </c>
      <c r="DA237">
        <v>0.14530092592592592</v>
      </c>
      <c r="DB237">
        <v>194</v>
      </c>
      <c r="DC237">
        <v>257</v>
      </c>
      <c r="DD237">
        <v>17</v>
      </c>
      <c r="DE237" t="s">
        <v>772</v>
      </c>
      <c r="DF237">
        <v>9330</v>
      </c>
      <c r="DG237">
        <v>8.7599999999999997E-2</v>
      </c>
      <c r="DH237">
        <v>1</v>
      </c>
      <c r="DI237">
        <v>5.8799999999999998E-2</v>
      </c>
      <c r="DJ237">
        <v>500</v>
      </c>
      <c r="DK237">
        <v>500</v>
      </c>
      <c r="DL237">
        <v>500</v>
      </c>
      <c r="DM237">
        <v>1</v>
      </c>
      <c r="DN237">
        <v>0.125</v>
      </c>
      <c r="DO237">
        <v>86</v>
      </c>
      <c r="DP237">
        <v>500</v>
      </c>
    </row>
    <row r="238" spans="93:120" x14ac:dyDescent="0.25">
      <c r="CO238" t="s">
        <v>636</v>
      </c>
      <c r="CP238" t="s">
        <v>604</v>
      </c>
      <c r="CQ238" t="s">
        <v>55</v>
      </c>
      <c r="CR238">
        <v>46172</v>
      </c>
      <c r="CS238">
        <v>1</v>
      </c>
      <c r="CT238">
        <v>1</v>
      </c>
      <c r="CV238">
        <v>1</v>
      </c>
      <c r="CX238">
        <v>1.0416666666666667E-4</v>
      </c>
      <c r="CY238">
        <v>1.0416666666666667E-4</v>
      </c>
      <c r="CZ238">
        <v>0.18350694444444443</v>
      </c>
      <c r="DA238">
        <v>3.2291666666666666E-3</v>
      </c>
      <c r="DB238">
        <v>80</v>
      </c>
      <c r="DC238">
        <v>92</v>
      </c>
      <c r="DD238">
        <v>9</v>
      </c>
      <c r="DE238" t="s">
        <v>769</v>
      </c>
      <c r="DF238">
        <v>10694</v>
      </c>
      <c r="DG238">
        <v>0.1125</v>
      </c>
      <c r="DO238">
        <v>86</v>
      </c>
    </row>
    <row r="239" spans="93:120" x14ac:dyDescent="0.25">
      <c r="CO239" t="s">
        <v>636</v>
      </c>
      <c r="CP239" t="s">
        <v>604</v>
      </c>
      <c r="CQ239" t="s">
        <v>78</v>
      </c>
      <c r="CR239">
        <v>46172</v>
      </c>
      <c r="CS239">
        <v>1</v>
      </c>
      <c r="CT239">
        <v>1</v>
      </c>
      <c r="CV239">
        <v>1</v>
      </c>
      <c r="CX239">
        <v>1.0416666666666667E-4</v>
      </c>
      <c r="CY239">
        <v>1.0416666666666667E-4</v>
      </c>
      <c r="CZ239">
        <v>0.10640046296296296</v>
      </c>
      <c r="DA239">
        <v>8.1909722222222217E-2</v>
      </c>
      <c r="DB239">
        <v>29</v>
      </c>
      <c r="DC239">
        <v>59</v>
      </c>
      <c r="DD239">
        <v>20</v>
      </c>
      <c r="DE239">
        <v>1.2</v>
      </c>
      <c r="DF239">
        <v>12332</v>
      </c>
      <c r="DG239">
        <v>0.68969999999999998</v>
      </c>
      <c r="DO239">
        <v>86</v>
      </c>
    </row>
    <row r="240" spans="93:120" x14ac:dyDescent="0.25">
      <c r="CO240" t="s">
        <v>636</v>
      </c>
      <c r="CP240" t="s">
        <v>604</v>
      </c>
      <c r="CQ240" t="s">
        <v>48</v>
      </c>
      <c r="CR240">
        <v>46172</v>
      </c>
      <c r="CS240">
        <v>1</v>
      </c>
      <c r="CT240">
        <v>1</v>
      </c>
      <c r="CV240">
        <v>1</v>
      </c>
      <c r="CX240">
        <v>2.7199074074074074E-3</v>
      </c>
      <c r="CY240">
        <v>2.7199074074074074E-3</v>
      </c>
      <c r="CZ240">
        <v>0.16505787037037037</v>
      </c>
      <c r="DA240">
        <v>2.4699074074074075E-2</v>
      </c>
      <c r="DB240">
        <v>40</v>
      </c>
      <c r="DC240">
        <v>44</v>
      </c>
      <c r="DD240">
        <v>21</v>
      </c>
      <c r="DE240" t="s">
        <v>773</v>
      </c>
      <c r="DF240">
        <v>20976</v>
      </c>
      <c r="DG240">
        <v>0.52500000000000002</v>
      </c>
      <c r="DO240">
        <v>86</v>
      </c>
    </row>
    <row r="241" spans="93:120" x14ac:dyDescent="0.25">
      <c r="CO241" t="s">
        <v>636</v>
      </c>
      <c r="CP241" t="s">
        <v>3</v>
      </c>
      <c r="CQ241" t="s">
        <v>58</v>
      </c>
      <c r="CR241">
        <v>46163</v>
      </c>
      <c r="CS241">
        <v>1</v>
      </c>
      <c r="CT241">
        <v>1</v>
      </c>
      <c r="CU241">
        <v>1</v>
      </c>
      <c r="CX241">
        <v>4.6643518518518518E-3</v>
      </c>
      <c r="CY241">
        <v>4.6643518518518518E-3</v>
      </c>
      <c r="CZ241">
        <v>0.11894675925925927</v>
      </c>
      <c r="DA241">
        <v>9.0520833333333328E-2</v>
      </c>
      <c r="DB241">
        <v>72</v>
      </c>
      <c r="DC241">
        <v>146</v>
      </c>
      <c r="DD241">
        <v>25</v>
      </c>
      <c r="DE241">
        <v>1.6</v>
      </c>
      <c r="DF241">
        <v>22563</v>
      </c>
      <c r="DG241">
        <v>0.34720000000000001</v>
      </c>
      <c r="DH241">
        <v>1</v>
      </c>
      <c r="DI241">
        <v>0.04</v>
      </c>
      <c r="DJ241">
        <v>600</v>
      </c>
      <c r="DK241">
        <v>600</v>
      </c>
      <c r="DL241">
        <v>600</v>
      </c>
      <c r="DM241">
        <v>1</v>
      </c>
      <c r="DN241">
        <v>0.22720000000000001</v>
      </c>
      <c r="DO241">
        <v>86</v>
      </c>
      <c r="DP241">
        <v>600</v>
      </c>
    </row>
    <row r="242" spans="93:120" x14ac:dyDescent="0.25">
      <c r="CO242" t="s">
        <v>636</v>
      </c>
      <c r="CP242" t="s">
        <v>3</v>
      </c>
      <c r="CQ242" t="s">
        <v>85</v>
      </c>
      <c r="CR242">
        <v>46161</v>
      </c>
      <c r="CS242">
        <v>1</v>
      </c>
      <c r="CT242">
        <v>1</v>
      </c>
      <c r="CV242">
        <v>1</v>
      </c>
      <c r="CX242">
        <v>6.9444444444444444E-5</v>
      </c>
      <c r="CY242">
        <v>6.9444444444444444E-5</v>
      </c>
      <c r="CZ242">
        <v>0.21222222222222223</v>
      </c>
      <c r="DA242">
        <v>0.11874999999999999</v>
      </c>
      <c r="DB242">
        <v>75</v>
      </c>
      <c r="DC242">
        <v>145</v>
      </c>
      <c r="DD242">
        <v>31</v>
      </c>
      <c r="DE242" t="s">
        <v>774</v>
      </c>
      <c r="DF242">
        <v>27075</v>
      </c>
      <c r="DG242">
        <v>0.4133</v>
      </c>
      <c r="DH242">
        <v>1</v>
      </c>
      <c r="DI242">
        <v>3.2300000000000002E-2</v>
      </c>
      <c r="DJ242">
        <v>348</v>
      </c>
      <c r="DK242">
        <v>348</v>
      </c>
      <c r="DL242">
        <v>348</v>
      </c>
      <c r="DM242">
        <v>1</v>
      </c>
      <c r="DN242">
        <v>1.0022</v>
      </c>
      <c r="DO242">
        <v>86</v>
      </c>
      <c r="DP242">
        <v>348</v>
      </c>
    </row>
    <row r="243" spans="93:120" x14ac:dyDescent="0.25">
      <c r="CO243" t="s">
        <v>636</v>
      </c>
      <c r="CP243" t="s">
        <v>3</v>
      </c>
      <c r="CQ243" t="s">
        <v>174</v>
      </c>
      <c r="CR243">
        <v>46148</v>
      </c>
      <c r="CS243">
        <v>1</v>
      </c>
      <c r="CT243">
        <v>1</v>
      </c>
      <c r="CV243">
        <v>1</v>
      </c>
      <c r="CX243">
        <v>1.4699074074074074E-3</v>
      </c>
      <c r="CY243">
        <v>1.4699074074074074E-3</v>
      </c>
      <c r="CZ243">
        <v>0.28571759259259261</v>
      </c>
      <c r="DA243">
        <v>7.8425925925925927E-2</v>
      </c>
      <c r="DB243">
        <v>169</v>
      </c>
      <c r="DC243">
        <v>293</v>
      </c>
      <c r="DD243">
        <v>23</v>
      </c>
      <c r="DE243" t="s">
        <v>775</v>
      </c>
      <c r="DF243">
        <v>24427</v>
      </c>
      <c r="DG243">
        <v>0.1361</v>
      </c>
      <c r="DH243">
        <v>2</v>
      </c>
      <c r="DI243">
        <v>8.6999999999999994E-2</v>
      </c>
      <c r="DJ243">
        <v>2450</v>
      </c>
      <c r="DK243">
        <v>1225</v>
      </c>
      <c r="DL243">
        <v>2450</v>
      </c>
      <c r="DM243">
        <v>1</v>
      </c>
      <c r="DN243">
        <v>0.2233</v>
      </c>
      <c r="DO243">
        <v>86</v>
      </c>
      <c r="DP243">
        <v>1225</v>
      </c>
    </row>
    <row r="244" spans="93:120" x14ac:dyDescent="0.25">
      <c r="CO244" t="s">
        <v>636</v>
      </c>
      <c r="CP244" t="s">
        <v>3</v>
      </c>
      <c r="CQ244" t="s">
        <v>174</v>
      </c>
      <c r="CR244">
        <v>46155</v>
      </c>
      <c r="CS244">
        <v>1</v>
      </c>
      <c r="CT244">
        <v>1</v>
      </c>
      <c r="CV244">
        <v>1</v>
      </c>
      <c r="CX244">
        <v>0</v>
      </c>
      <c r="CY244">
        <v>0</v>
      </c>
      <c r="CZ244">
        <v>0.20909722222222221</v>
      </c>
      <c r="DA244">
        <v>0.13413194444444446</v>
      </c>
      <c r="DB244">
        <v>187</v>
      </c>
      <c r="DC244">
        <v>259</v>
      </c>
      <c r="DD244">
        <v>23</v>
      </c>
      <c r="DE244" t="s">
        <v>776</v>
      </c>
      <c r="DF244">
        <v>11315</v>
      </c>
      <c r="DG244">
        <v>0.123</v>
      </c>
      <c r="DH244">
        <v>1</v>
      </c>
      <c r="DI244">
        <v>4.3499999999999997E-2</v>
      </c>
      <c r="DJ244">
        <v>2000</v>
      </c>
      <c r="DK244">
        <v>2000</v>
      </c>
      <c r="DL244">
        <v>2000</v>
      </c>
      <c r="DM244">
        <v>1</v>
      </c>
      <c r="DN244">
        <v>0.14299999999999999</v>
      </c>
      <c r="DO244">
        <v>86</v>
      </c>
      <c r="DP244">
        <v>2000</v>
      </c>
    </row>
    <row r="245" spans="93:120" x14ac:dyDescent="0.25">
      <c r="CO245" t="s">
        <v>636</v>
      </c>
      <c r="CP245" t="s">
        <v>3</v>
      </c>
      <c r="CQ245" t="s">
        <v>493</v>
      </c>
      <c r="CR245">
        <v>46157</v>
      </c>
      <c r="CS245">
        <v>1</v>
      </c>
      <c r="CT245">
        <v>1</v>
      </c>
      <c r="CV245">
        <v>1</v>
      </c>
      <c r="CX245">
        <v>4.6296296296296294E-5</v>
      </c>
      <c r="CY245">
        <v>4.6296296296296294E-5</v>
      </c>
      <c r="CZ245">
        <v>0.3185648148148148</v>
      </c>
      <c r="DA245">
        <v>9.2476851851851852E-3</v>
      </c>
      <c r="DB245">
        <v>189</v>
      </c>
      <c r="DC245">
        <v>311</v>
      </c>
      <c r="DD245">
        <v>54</v>
      </c>
      <c r="DE245" t="s">
        <v>777</v>
      </c>
      <c r="DF245">
        <v>23765</v>
      </c>
      <c r="DG245">
        <v>0.28570000000000001</v>
      </c>
      <c r="DH245">
        <v>2</v>
      </c>
      <c r="DI245">
        <v>3.6999999999999998E-2</v>
      </c>
      <c r="DJ245">
        <v>520</v>
      </c>
      <c r="DK245">
        <v>260</v>
      </c>
      <c r="DL245">
        <v>200</v>
      </c>
      <c r="DM245">
        <v>0.3846</v>
      </c>
      <c r="DN245">
        <v>0.81559999999999999</v>
      </c>
      <c r="DO245">
        <v>86</v>
      </c>
      <c r="DP245">
        <v>200</v>
      </c>
    </row>
    <row r="246" spans="93:120" x14ac:dyDescent="0.25">
      <c r="CO246" t="s">
        <v>636</v>
      </c>
      <c r="CP246" t="s">
        <v>3</v>
      </c>
      <c r="CQ246" t="s">
        <v>564</v>
      </c>
      <c r="CR246">
        <v>46163</v>
      </c>
      <c r="CS246">
        <v>1</v>
      </c>
      <c r="CT246">
        <v>1</v>
      </c>
      <c r="CV246">
        <v>1</v>
      </c>
      <c r="CX246">
        <v>0</v>
      </c>
      <c r="CY246">
        <v>0</v>
      </c>
      <c r="CZ246">
        <v>0.20570601851851852</v>
      </c>
      <c r="DA246">
        <v>0.14592592592592593</v>
      </c>
      <c r="DB246">
        <v>100</v>
      </c>
      <c r="DC246">
        <v>187</v>
      </c>
      <c r="DD246">
        <v>35</v>
      </c>
      <c r="DE246" t="s">
        <v>778</v>
      </c>
      <c r="DF246">
        <v>35211</v>
      </c>
      <c r="DG246">
        <v>0.35</v>
      </c>
      <c r="DH246">
        <v>1</v>
      </c>
      <c r="DI246">
        <v>2.86E-2</v>
      </c>
      <c r="DJ246">
        <v>2000</v>
      </c>
      <c r="DK246">
        <v>2000</v>
      </c>
      <c r="DL246">
        <v>2000</v>
      </c>
      <c r="DM246">
        <v>1</v>
      </c>
      <c r="DN246">
        <v>0.19400000000000001</v>
      </c>
      <c r="DO246">
        <v>86</v>
      </c>
      <c r="DP246">
        <v>2000</v>
      </c>
    </row>
    <row r="247" spans="93:120" x14ac:dyDescent="0.25">
      <c r="CO247" t="s">
        <v>636</v>
      </c>
      <c r="CP247" t="s">
        <v>3</v>
      </c>
      <c r="CQ247" t="s">
        <v>564</v>
      </c>
      <c r="CR247">
        <v>46169</v>
      </c>
      <c r="CS247">
        <v>1</v>
      </c>
      <c r="CT247">
        <v>1</v>
      </c>
      <c r="CV247">
        <v>1</v>
      </c>
      <c r="CX247">
        <v>0</v>
      </c>
      <c r="CY247">
        <v>0</v>
      </c>
      <c r="CZ247">
        <v>0.18778935185185186</v>
      </c>
      <c r="DA247">
        <v>0.15366898148148148</v>
      </c>
      <c r="DB247">
        <v>124</v>
      </c>
      <c r="DC247">
        <v>222</v>
      </c>
      <c r="DD247">
        <v>26</v>
      </c>
      <c r="DE247" t="s">
        <v>779</v>
      </c>
      <c r="DF247">
        <v>35729</v>
      </c>
      <c r="DG247">
        <v>0.2097</v>
      </c>
      <c r="DH247">
        <v>2</v>
      </c>
      <c r="DI247">
        <v>7.6899999999999996E-2</v>
      </c>
      <c r="DJ247">
        <v>860</v>
      </c>
      <c r="DK247">
        <v>430</v>
      </c>
      <c r="DL247">
        <v>400</v>
      </c>
      <c r="DM247">
        <v>0.46510000000000001</v>
      </c>
      <c r="DN247">
        <v>0.22850000000000001</v>
      </c>
      <c r="DO247">
        <v>86</v>
      </c>
      <c r="DP247">
        <v>400</v>
      </c>
    </row>
    <row r="248" spans="93:120" x14ac:dyDescent="0.25">
      <c r="CO248" t="s">
        <v>636</v>
      </c>
      <c r="CP248" t="s">
        <v>3</v>
      </c>
      <c r="CQ248" t="s">
        <v>68</v>
      </c>
      <c r="CR248">
        <v>46169</v>
      </c>
      <c r="CS248">
        <v>1</v>
      </c>
      <c r="CT248">
        <v>1</v>
      </c>
      <c r="CV248">
        <v>1</v>
      </c>
      <c r="CX248">
        <v>1.1574074074074075E-4</v>
      </c>
      <c r="CY248">
        <v>1.1574074074074075E-4</v>
      </c>
      <c r="CZ248">
        <v>0.1509837962962963</v>
      </c>
      <c r="DA248">
        <v>0.16437499999999999</v>
      </c>
      <c r="DB248">
        <v>83</v>
      </c>
      <c r="DC248">
        <v>158</v>
      </c>
      <c r="DD248">
        <v>20</v>
      </c>
      <c r="DE248">
        <v>1.4</v>
      </c>
      <c r="DF248">
        <v>16766</v>
      </c>
      <c r="DG248">
        <v>0.24099999999999999</v>
      </c>
      <c r="DH248">
        <v>2</v>
      </c>
      <c r="DI248">
        <v>0.1</v>
      </c>
      <c r="DJ248">
        <v>592</v>
      </c>
      <c r="DK248">
        <v>296</v>
      </c>
      <c r="DO248">
        <v>86</v>
      </c>
    </row>
    <row r="249" spans="93:120" x14ac:dyDescent="0.25">
      <c r="CO249" t="s">
        <v>636</v>
      </c>
      <c r="CP249" t="s">
        <v>2</v>
      </c>
      <c r="CQ249" t="s">
        <v>22</v>
      </c>
      <c r="CR249">
        <v>46149</v>
      </c>
      <c r="CS249">
        <v>1</v>
      </c>
      <c r="CT249">
        <v>1</v>
      </c>
      <c r="CV249">
        <v>1</v>
      </c>
      <c r="CX249">
        <v>1.2037037037037038E-3</v>
      </c>
      <c r="CY249">
        <v>1.2037037037037038E-3</v>
      </c>
      <c r="CZ249">
        <v>9.5069444444444443E-2</v>
      </c>
      <c r="DA249">
        <v>7.6840277777777771E-2</v>
      </c>
      <c r="DB249">
        <v>27</v>
      </c>
      <c r="DC249">
        <v>49</v>
      </c>
      <c r="DD249">
        <v>8</v>
      </c>
      <c r="DE249">
        <v>1.625</v>
      </c>
      <c r="DF249">
        <v>28593</v>
      </c>
      <c r="DG249">
        <v>0.29630000000000001</v>
      </c>
      <c r="DH249">
        <v>1</v>
      </c>
      <c r="DI249">
        <v>0.125</v>
      </c>
      <c r="DJ249">
        <v>14714</v>
      </c>
      <c r="DK249">
        <v>14714</v>
      </c>
      <c r="DL249">
        <v>14714</v>
      </c>
      <c r="DM249">
        <v>1</v>
      </c>
      <c r="DN249">
        <v>0.18</v>
      </c>
      <c r="DO249">
        <v>84</v>
      </c>
      <c r="DP249">
        <v>14714</v>
      </c>
    </row>
    <row r="250" spans="93:120" x14ac:dyDescent="0.25">
      <c r="CO250" t="s">
        <v>636</v>
      </c>
      <c r="CP250" t="s">
        <v>2</v>
      </c>
      <c r="CQ250" t="s">
        <v>22</v>
      </c>
      <c r="CR250">
        <v>46171</v>
      </c>
      <c r="CS250">
        <v>1</v>
      </c>
      <c r="CT250">
        <v>1</v>
      </c>
      <c r="CU250">
        <v>1</v>
      </c>
      <c r="CX250">
        <v>1.0601851851851852E-2</v>
      </c>
      <c r="CY250">
        <v>1.0601851851851852E-2</v>
      </c>
      <c r="CZ250">
        <v>0.10222222222222223</v>
      </c>
      <c r="DA250">
        <v>0.23876157407407408</v>
      </c>
      <c r="DB250">
        <v>36</v>
      </c>
      <c r="DC250">
        <v>76</v>
      </c>
      <c r="DD250">
        <v>13</v>
      </c>
      <c r="DE250" t="s">
        <v>780</v>
      </c>
      <c r="DF250">
        <v>27825</v>
      </c>
      <c r="DG250">
        <v>0.36109999999999998</v>
      </c>
      <c r="DH250">
        <v>3</v>
      </c>
      <c r="DI250">
        <v>0.23080000000000001</v>
      </c>
      <c r="DJ250">
        <v>10600</v>
      </c>
      <c r="DK250">
        <v>3533</v>
      </c>
      <c r="DL250">
        <v>10600</v>
      </c>
      <c r="DM250">
        <v>1</v>
      </c>
      <c r="DN250">
        <v>8.8200000000000001E-2</v>
      </c>
      <c r="DO250">
        <v>84</v>
      </c>
      <c r="DP250">
        <v>3533</v>
      </c>
    </row>
    <row r="251" spans="93:120" x14ac:dyDescent="0.25">
      <c r="CO251" t="s">
        <v>636</v>
      </c>
      <c r="CP251" t="s">
        <v>2</v>
      </c>
      <c r="CQ251" t="s">
        <v>22</v>
      </c>
      <c r="CR251">
        <v>46172</v>
      </c>
      <c r="CS251">
        <v>1</v>
      </c>
      <c r="CT251">
        <v>1</v>
      </c>
      <c r="CV251">
        <v>1</v>
      </c>
      <c r="CX251">
        <v>2.5925925925925925E-3</v>
      </c>
      <c r="CY251">
        <v>2.5925925925925925E-3</v>
      </c>
      <c r="CZ251">
        <v>7.317129629629629E-2</v>
      </c>
      <c r="DA251">
        <v>0.11924768518518518</v>
      </c>
      <c r="DB251">
        <v>20</v>
      </c>
      <c r="DC251">
        <v>36</v>
      </c>
      <c r="DD251">
        <v>18</v>
      </c>
      <c r="DE251" t="s">
        <v>781</v>
      </c>
      <c r="DF251">
        <v>24748</v>
      </c>
      <c r="DG251">
        <v>0.9</v>
      </c>
      <c r="DH251">
        <v>1</v>
      </c>
      <c r="DI251">
        <v>5.5599999999999997E-2</v>
      </c>
      <c r="DJ251">
        <v>800</v>
      </c>
      <c r="DK251">
        <v>800</v>
      </c>
      <c r="DL251">
        <v>800</v>
      </c>
      <c r="DM251">
        <v>1</v>
      </c>
      <c r="DN251">
        <v>0.42770000000000002</v>
      </c>
      <c r="DO251">
        <v>84</v>
      </c>
      <c r="DP251">
        <v>800</v>
      </c>
    </row>
    <row r="252" spans="93:120" x14ac:dyDescent="0.25">
      <c r="CO252" t="s">
        <v>636</v>
      </c>
      <c r="CP252" t="s">
        <v>2</v>
      </c>
      <c r="CQ252" t="s">
        <v>24</v>
      </c>
      <c r="CR252">
        <v>46150</v>
      </c>
      <c r="CS252">
        <v>1</v>
      </c>
      <c r="CT252">
        <v>1</v>
      </c>
      <c r="CU252">
        <v>1</v>
      </c>
      <c r="CX252">
        <v>8.2407407407407412E-3</v>
      </c>
      <c r="CY252">
        <v>8.2407407407407412E-3</v>
      </c>
      <c r="CZ252">
        <v>0.17515046296296297</v>
      </c>
      <c r="DA252">
        <v>0.12317129629629629</v>
      </c>
      <c r="DB252">
        <v>32</v>
      </c>
      <c r="DC252">
        <v>73</v>
      </c>
      <c r="DD252">
        <v>9</v>
      </c>
      <c r="DE252" t="s">
        <v>707</v>
      </c>
      <c r="DF252">
        <v>21102</v>
      </c>
      <c r="DG252">
        <v>0.28129999999999999</v>
      </c>
      <c r="DH252">
        <v>1</v>
      </c>
      <c r="DI252">
        <v>0.1111</v>
      </c>
      <c r="DJ252">
        <v>1500</v>
      </c>
      <c r="DK252">
        <v>1500</v>
      </c>
      <c r="DO252">
        <v>84</v>
      </c>
    </row>
    <row r="253" spans="93:120" x14ac:dyDescent="0.25">
      <c r="CO253" t="s">
        <v>636</v>
      </c>
      <c r="CP253" t="s">
        <v>2</v>
      </c>
      <c r="CQ253" t="s">
        <v>24</v>
      </c>
      <c r="CR253">
        <v>46172</v>
      </c>
      <c r="CS253">
        <v>1</v>
      </c>
      <c r="CT253">
        <v>1</v>
      </c>
      <c r="CV253">
        <v>1</v>
      </c>
      <c r="CX253">
        <v>1.9675925925925926E-4</v>
      </c>
      <c r="CY253">
        <v>1.9675925925925926E-4</v>
      </c>
      <c r="CZ253">
        <v>8.0486111111111105E-2</v>
      </c>
      <c r="DA253">
        <v>0.16605324074074074</v>
      </c>
      <c r="DB253">
        <v>25</v>
      </c>
      <c r="DC253">
        <v>50</v>
      </c>
      <c r="DD253">
        <v>13</v>
      </c>
      <c r="DE253" t="s">
        <v>704</v>
      </c>
      <c r="DF253">
        <v>40658</v>
      </c>
      <c r="DG253">
        <v>0.52</v>
      </c>
      <c r="DH253">
        <v>1</v>
      </c>
      <c r="DI253">
        <v>7.6899999999999996E-2</v>
      </c>
      <c r="DJ253">
        <v>9432</v>
      </c>
      <c r="DK253">
        <v>9432</v>
      </c>
      <c r="DL253">
        <v>9432</v>
      </c>
      <c r="DM253">
        <v>1</v>
      </c>
      <c r="DN253">
        <v>0.10199999999999999</v>
      </c>
      <c r="DO253">
        <v>84</v>
      </c>
      <c r="DP253">
        <v>9432</v>
      </c>
    </row>
    <row r="254" spans="93:120" x14ac:dyDescent="0.25">
      <c r="CO254" t="s">
        <v>636</v>
      </c>
      <c r="CP254" t="s">
        <v>2</v>
      </c>
      <c r="CQ254" t="s">
        <v>42</v>
      </c>
      <c r="CR254">
        <v>46156</v>
      </c>
      <c r="CS254">
        <v>1</v>
      </c>
      <c r="CT254">
        <v>1</v>
      </c>
      <c r="CV254">
        <v>1</v>
      </c>
      <c r="CX254">
        <v>3.4722222222222224E-4</v>
      </c>
      <c r="CY254">
        <v>3.4722222222222224E-4</v>
      </c>
      <c r="CZ254">
        <v>0.1887962962962963</v>
      </c>
      <c r="DA254">
        <v>0.12483796296296296</v>
      </c>
      <c r="DB254">
        <v>88</v>
      </c>
      <c r="DC254">
        <v>150</v>
      </c>
      <c r="DD254">
        <v>27</v>
      </c>
      <c r="DE254" t="s">
        <v>676</v>
      </c>
      <c r="DF254">
        <v>29181</v>
      </c>
      <c r="DG254">
        <v>0.30680000000000002</v>
      </c>
      <c r="DH254">
        <v>1</v>
      </c>
      <c r="DI254">
        <v>3.6999999999999998E-2</v>
      </c>
      <c r="DJ254">
        <v>300</v>
      </c>
      <c r="DK254">
        <v>300</v>
      </c>
      <c r="DL254">
        <v>300</v>
      </c>
      <c r="DM254">
        <v>1</v>
      </c>
      <c r="DN254">
        <v>0.23830000000000001</v>
      </c>
      <c r="DO254">
        <v>84</v>
      </c>
      <c r="DP254">
        <v>300</v>
      </c>
    </row>
    <row r="255" spans="93:120" x14ac:dyDescent="0.25">
      <c r="CO255" t="s">
        <v>636</v>
      </c>
      <c r="CP255" t="s">
        <v>2</v>
      </c>
      <c r="CQ255" t="s">
        <v>10</v>
      </c>
      <c r="CR255">
        <v>46156</v>
      </c>
      <c r="CS255">
        <v>1</v>
      </c>
      <c r="CT255">
        <v>1</v>
      </c>
      <c r="CV255">
        <v>1</v>
      </c>
      <c r="CX255">
        <v>1.1574074074074075E-4</v>
      </c>
      <c r="CY255">
        <v>1.1574074074074075E-4</v>
      </c>
      <c r="CZ255">
        <v>0.19472222222222221</v>
      </c>
      <c r="DA255">
        <v>0.1502199074074074</v>
      </c>
      <c r="DB255">
        <v>91</v>
      </c>
      <c r="DC255">
        <v>170</v>
      </c>
      <c r="DD255">
        <v>21</v>
      </c>
      <c r="DE255" t="s">
        <v>737</v>
      </c>
      <c r="DF255">
        <v>32122</v>
      </c>
      <c r="DG255">
        <v>0.23080000000000001</v>
      </c>
      <c r="DH255">
        <v>3</v>
      </c>
      <c r="DI255">
        <v>0.1429</v>
      </c>
      <c r="DJ255">
        <v>17500</v>
      </c>
      <c r="DK255">
        <v>5833</v>
      </c>
      <c r="DL255">
        <v>13350</v>
      </c>
      <c r="DM255">
        <v>0.76290000000000002</v>
      </c>
      <c r="DN255">
        <v>0.1303</v>
      </c>
      <c r="DO255">
        <v>84</v>
      </c>
      <c r="DP255">
        <v>4450</v>
      </c>
    </row>
    <row r="256" spans="93:120" x14ac:dyDescent="0.25">
      <c r="CO256" t="s">
        <v>636</v>
      </c>
      <c r="CP256" t="s">
        <v>6</v>
      </c>
      <c r="CQ256" t="s">
        <v>11</v>
      </c>
      <c r="CR256">
        <v>46168</v>
      </c>
      <c r="CS256">
        <v>1</v>
      </c>
      <c r="CT256">
        <v>1</v>
      </c>
      <c r="CV256">
        <v>1</v>
      </c>
      <c r="CX256">
        <v>2.1296296296296298E-3</v>
      </c>
      <c r="CY256">
        <v>2.1296296296296298E-3</v>
      </c>
      <c r="CZ256">
        <v>0.20224537037037038</v>
      </c>
      <c r="DA256">
        <v>0.14082175925925927</v>
      </c>
      <c r="DB256">
        <v>107</v>
      </c>
      <c r="DC256">
        <v>189</v>
      </c>
      <c r="DD256">
        <v>26</v>
      </c>
      <c r="DE256" t="s">
        <v>708</v>
      </c>
      <c r="DF256">
        <v>19326</v>
      </c>
      <c r="DG256">
        <v>0.24299999999999999</v>
      </c>
      <c r="DH256">
        <v>2</v>
      </c>
      <c r="DI256">
        <v>7.6899999999999996E-2</v>
      </c>
      <c r="DJ256">
        <v>9000</v>
      </c>
      <c r="DK256">
        <v>4500</v>
      </c>
      <c r="DL256">
        <v>10800</v>
      </c>
      <c r="DM256">
        <v>1.2</v>
      </c>
      <c r="DN256">
        <v>0.1787</v>
      </c>
      <c r="DO256">
        <v>84</v>
      </c>
      <c r="DP256">
        <v>5400</v>
      </c>
    </row>
    <row r="257" spans="93:120" x14ac:dyDescent="0.25">
      <c r="CO257" t="s">
        <v>636</v>
      </c>
      <c r="CP257" t="s">
        <v>6</v>
      </c>
      <c r="CQ257" t="s">
        <v>97</v>
      </c>
      <c r="CR257">
        <v>46153</v>
      </c>
      <c r="CS257">
        <v>1</v>
      </c>
      <c r="CT257">
        <v>1</v>
      </c>
      <c r="CV257">
        <v>1</v>
      </c>
      <c r="CX257">
        <v>4.6296296296296294E-5</v>
      </c>
      <c r="CY257">
        <v>4.6296296296296294E-5</v>
      </c>
      <c r="CZ257">
        <v>0.21543981481481481</v>
      </c>
      <c r="DA257">
        <v>0.1287962962962963</v>
      </c>
      <c r="DB257">
        <v>210</v>
      </c>
      <c r="DC257">
        <v>249</v>
      </c>
      <c r="DD257">
        <v>18</v>
      </c>
      <c r="DE257" t="s">
        <v>674</v>
      </c>
      <c r="DF257">
        <v>9778</v>
      </c>
      <c r="DG257">
        <v>8.5699999999999998E-2</v>
      </c>
      <c r="DH257">
        <v>1</v>
      </c>
      <c r="DI257">
        <v>5.5599999999999997E-2</v>
      </c>
      <c r="DJ257">
        <v>2000</v>
      </c>
      <c r="DK257">
        <v>2000</v>
      </c>
      <c r="DL257">
        <v>2000</v>
      </c>
      <c r="DM257">
        <v>1</v>
      </c>
      <c r="DN257">
        <v>0.33329999999999999</v>
      </c>
      <c r="DO257">
        <v>84</v>
      </c>
      <c r="DP257">
        <v>2000</v>
      </c>
    </row>
    <row r="258" spans="93:120" x14ac:dyDescent="0.25">
      <c r="CO258" t="s">
        <v>636</v>
      </c>
      <c r="CP258" t="s">
        <v>6</v>
      </c>
      <c r="CQ258" t="s">
        <v>97</v>
      </c>
      <c r="CR258">
        <v>46156</v>
      </c>
      <c r="CS258">
        <v>1</v>
      </c>
      <c r="CT258">
        <v>1</v>
      </c>
      <c r="CV258">
        <v>1</v>
      </c>
      <c r="CX258">
        <v>3.4722222222222222E-5</v>
      </c>
      <c r="CY258">
        <v>3.4722222222222222E-5</v>
      </c>
      <c r="CZ258">
        <v>0.16071759259259261</v>
      </c>
      <c r="DA258">
        <v>0.10864583333333333</v>
      </c>
      <c r="DB258">
        <v>112</v>
      </c>
      <c r="DC258">
        <v>154</v>
      </c>
      <c r="DD258">
        <v>30</v>
      </c>
      <c r="DE258" t="s">
        <v>674</v>
      </c>
      <c r="DF258">
        <v>18111</v>
      </c>
      <c r="DG258">
        <v>0.26790000000000003</v>
      </c>
      <c r="DH258">
        <v>1</v>
      </c>
      <c r="DI258">
        <v>3.3300000000000003E-2</v>
      </c>
      <c r="DJ258">
        <v>5000</v>
      </c>
      <c r="DK258">
        <v>5000</v>
      </c>
      <c r="DL258">
        <v>5000</v>
      </c>
      <c r="DM258">
        <v>1</v>
      </c>
      <c r="DN258">
        <v>0.1208</v>
      </c>
      <c r="DO258">
        <v>84</v>
      </c>
      <c r="DP258">
        <v>5000</v>
      </c>
    </row>
    <row r="259" spans="93:120" x14ac:dyDescent="0.25">
      <c r="CO259" t="s">
        <v>636</v>
      </c>
      <c r="CP259" t="s">
        <v>6</v>
      </c>
      <c r="CQ259" t="s">
        <v>97</v>
      </c>
      <c r="CR259">
        <v>46169</v>
      </c>
      <c r="CS259">
        <v>1</v>
      </c>
      <c r="CT259">
        <v>1</v>
      </c>
      <c r="CV259">
        <v>1</v>
      </c>
      <c r="CX259">
        <v>5.7870370370370373E-5</v>
      </c>
      <c r="CY259">
        <v>5.7870370370370373E-5</v>
      </c>
      <c r="CZ259">
        <v>0.18649305555555556</v>
      </c>
      <c r="DA259">
        <v>0.1597337962962963</v>
      </c>
      <c r="DB259">
        <v>118</v>
      </c>
      <c r="DC259">
        <v>151</v>
      </c>
      <c r="DD259">
        <v>10</v>
      </c>
      <c r="DE259">
        <v>1.8</v>
      </c>
      <c r="DF259">
        <v>4297</v>
      </c>
      <c r="DG259">
        <v>8.4699999999999998E-2</v>
      </c>
      <c r="DH259">
        <v>1</v>
      </c>
      <c r="DI259">
        <v>0.1</v>
      </c>
      <c r="DJ259">
        <v>3000</v>
      </c>
      <c r="DK259">
        <v>3000</v>
      </c>
      <c r="DL259">
        <v>3000</v>
      </c>
      <c r="DM259">
        <v>1</v>
      </c>
      <c r="DN259">
        <v>0.16139999999999999</v>
      </c>
      <c r="DO259">
        <v>84</v>
      </c>
      <c r="DP259">
        <v>3000</v>
      </c>
    </row>
    <row r="260" spans="93:120" x14ac:dyDescent="0.25">
      <c r="CO260" t="s">
        <v>636</v>
      </c>
      <c r="CP260" t="s">
        <v>7</v>
      </c>
      <c r="CQ260" t="s">
        <v>18</v>
      </c>
      <c r="CR260">
        <v>46161</v>
      </c>
      <c r="CS260">
        <v>1</v>
      </c>
      <c r="CT260">
        <v>1</v>
      </c>
      <c r="CV260">
        <v>1</v>
      </c>
      <c r="CX260">
        <v>7.9861111111111116E-4</v>
      </c>
      <c r="CY260">
        <v>7.9861111111111116E-4</v>
      </c>
      <c r="CZ260">
        <v>0.22297453703703704</v>
      </c>
      <c r="DA260">
        <v>0.12663194444444445</v>
      </c>
      <c r="DB260">
        <v>149</v>
      </c>
      <c r="DC260">
        <v>257</v>
      </c>
      <c r="DD260">
        <v>17</v>
      </c>
      <c r="DE260" t="s">
        <v>782</v>
      </c>
      <c r="DF260">
        <v>44395</v>
      </c>
      <c r="DG260">
        <v>0.11409999999999999</v>
      </c>
      <c r="DH260">
        <v>1</v>
      </c>
      <c r="DI260">
        <v>5.8799999999999998E-2</v>
      </c>
      <c r="DJ260">
        <v>1500</v>
      </c>
      <c r="DK260">
        <v>1500</v>
      </c>
      <c r="DL260">
        <v>1500</v>
      </c>
      <c r="DM260">
        <v>1</v>
      </c>
      <c r="DN260">
        <v>0.18609999999999999</v>
      </c>
      <c r="DO260">
        <v>84</v>
      </c>
      <c r="DP260">
        <v>1500</v>
      </c>
    </row>
    <row r="261" spans="93:120" x14ac:dyDescent="0.25">
      <c r="CO261" t="s">
        <v>636</v>
      </c>
      <c r="CP261" t="s">
        <v>7</v>
      </c>
      <c r="CQ261" t="s">
        <v>61</v>
      </c>
      <c r="CR261">
        <v>46164</v>
      </c>
      <c r="CS261">
        <v>1</v>
      </c>
      <c r="CT261">
        <v>1</v>
      </c>
      <c r="CV261">
        <v>1</v>
      </c>
      <c r="CX261">
        <v>1.9675925925925926E-4</v>
      </c>
      <c r="CY261">
        <v>1.9675925925925926E-4</v>
      </c>
      <c r="CZ261">
        <v>0.20060185185185186</v>
      </c>
      <c r="DA261">
        <v>0.13606481481481481</v>
      </c>
      <c r="DB261">
        <v>119</v>
      </c>
      <c r="DC261">
        <v>255</v>
      </c>
      <c r="DD261">
        <v>16</v>
      </c>
      <c r="DE261">
        <v>1.75</v>
      </c>
      <c r="DF261">
        <v>28629</v>
      </c>
      <c r="DG261">
        <v>0.13450000000000001</v>
      </c>
      <c r="DH261">
        <v>1</v>
      </c>
      <c r="DI261">
        <v>6.25E-2</v>
      </c>
      <c r="DJ261">
        <v>700</v>
      </c>
      <c r="DK261">
        <v>700</v>
      </c>
      <c r="DL261">
        <v>700</v>
      </c>
      <c r="DM261">
        <v>1</v>
      </c>
      <c r="DN261">
        <v>0.64629999999999999</v>
      </c>
      <c r="DO261">
        <v>84</v>
      </c>
      <c r="DP261">
        <v>700</v>
      </c>
    </row>
    <row r="262" spans="93:120" x14ac:dyDescent="0.25">
      <c r="CO262" t="s">
        <v>636</v>
      </c>
      <c r="CP262" t="s">
        <v>7</v>
      </c>
      <c r="CQ262" t="s">
        <v>80</v>
      </c>
      <c r="CR262">
        <v>46160</v>
      </c>
      <c r="CS262">
        <v>1</v>
      </c>
      <c r="CT262">
        <v>1</v>
      </c>
      <c r="CU262">
        <v>1</v>
      </c>
      <c r="CX262">
        <v>6.5972222222222222E-3</v>
      </c>
      <c r="CY262">
        <v>6.5972222222222222E-3</v>
      </c>
      <c r="CZ262">
        <v>0.14758101851851851</v>
      </c>
      <c r="DA262">
        <v>7.5787037037037042E-2</v>
      </c>
      <c r="DB262">
        <v>40</v>
      </c>
      <c r="DC262">
        <v>78</v>
      </c>
      <c r="DD262">
        <v>7</v>
      </c>
      <c r="DE262" t="s">
        <v>679</v>
      </c>
      <c r="DF262">
        <v>31801</v>
      </c>
      <c r="DG262">
        <v>0.17499999999999999</v>
      </c>
      <c r="DH262">
        <v>2</v>
      </c>
      <c r="DI262">
        <v>0.28570000000000001</v>
      </c>
      <c r="DJ262">
        <v>12600</v>
      </c>
      <c r="DK262">
        <v>6300</v>
      </c>
      <c r="DL262">
        <v>12600</v>
      </c>
      <c r="DM262">
        <v>1</v>
      </c>
      <c r="DN262">
        <v>9.5399999999999999E-2</v>
      </c>
      <c r="DO262">
        <v>84</v>
      </c>
      <c r="DP262">
        <v>6300</v>
      </c>
    </row>
    <row r="263" spans="93:120" x14ac:dyDescent="0.25">
      <c r="CO263" t="s">
        <v>636</v>
      </c>
      <c r="CP263" t="s">
        <v>7</v>
      </c>
      <c r="CQ263" t="s">
        <v>51</v>
      </c>
      <c r="CR263">
        <v>46172</v>
      </c>
      <c r="CS263">
        <v>1</v>
      </c>
      <c r="CT263">
        <v>1</v>
      </c>
      <c r="CU263">
        <v>1</v>
      </c>
      <c r="CX263">
        <v>7.4652777777777781E-3</v>
      </c>
      <c r="CY263">
        <v>7.4652777777777781E-3</v>
      </c>
      <c r="CZ263">
        <v>0.11890046296296296</v>
      </c>
      <c r="DA263">
        <v>5.3634259259259257E-2</v>
      </c>
      <c r="DB263">
        <v>18</v>
      </c>
      <c r="DC263">
        <v>76</v>
      </c>
      <c r="DD263">
        <v>2</v>
      </c>
      <c r="DE263">
        <v>1</v>
      </c>
      <c r="DF263">
        <v>21613</v>
      </c>
      <c r="DG263">
        <v>0.1111</v>
      </c>
      <c r="DO263">
        <v>84</v>
      </c>
    </row>
    <row r="264" spans="93:120" x14ac:dyDescent="0.25">
      <c r="CO264" t="s">
        <v>636</v>
      </c>
      <c r="CP264" t="s">
        <v>7</v>
      </c>
      <c r="CQ264" t="s">
        <v>26</v>
      </c>
      <c r="CR264">
        <v>46157</v>
      </c>
      <c r="CS264">
        <v>1</v>
      </c>
      <c r="CT264">
        <v>1</v>
      </c>
      <c r="CV264">
        <v>1</v>
      </c>
      <c r="CX264">
        <v>6.9444444444444444E-5</v>
      </c>
      <c r="CY264">
        <v>6.9444444444444444E-5</v>
      </c>
      <c r="CZ264">
        <v>0.33200231481481479</v>
      </c>
      <c r="DA264">
        <v>2.2407407407407407E-2</v>
      </c>
      <c r="DB264">
        <v>89</v>
      </c>
      <c r="DC264">
        <v>129</v>
      </c>
      <c r="DD264">
        <v>18</v>
      </c>
      <c r="DE264" t="s">
        <v>783</v>
      </c>
      <c r="DF264">
        <v>21692</v>
      </c>
      <c r="DG264">
        <v>0.20219999999999999</v>
      </c>
      <c r="DH264">
        <v>1</v>
      </c>
      <c r="DI264">
        <v>5.5599999999999997E-2</v>
      </c>
      <c r="DJ264">
        <v>250</v>
      </c>
      <c r="DK264">
        <v>250</v>
      </c>
      <c r="DL264">
        <v>250</v>
      </c>
      <c r="DM264">
        <v>1</v>
      </c>
      <c r="DN264">
        <v>0.38109999999999999</v>
      </c>
      <c r="DO264">
        <v>84</v>
      </c>
      <c r="DP264">
        <v>250</v>
      </c>
    </row>
    <row r="265" spans="93:120" x14ac:dyDescent="0.25">
      <c r="CO265" t="s">
        <v>636</v>
      </c>
      <c r="CP265" t="s">
        <v>7</v>
      </c>
      <c r="CQ265" t="s">
        <v>59</v>
      </c>
      <c r="CR265">
        <v>46153</v>
      </c>
      <c r="CS265">
        <v>1</v>
      </c>
      <c r="CT265">
        <v>1</v>
      </c>
      <c r="CV265">
        <v>1</v>
      </c>
      <c r="CX265">
        <v>3.4722222222222222E-5</v>
      </c>
      <c r="CY265">
        <v>3.4722222222222222E-5</v>
      </c>
      <c r="CZ265">
        <v>0.19761574074074073</v>
      </c>
      <c r="DA265">
        <v>0.15434027777777778</v>
      </c>
      <c r="DB265">
        <v>187</v>
      </c>
      <c r="DC265">
        <v>360</v>
      </c>
      <c r="DD265">
        <v>28</v>
      </c>
      <c r="DE265" t="s">
        <v>784</v>
      </c>
      <c r="DF265">
        <v>32923</v>
      </c>
      <c r="DG265">
        <v>0.1497</v>
      </c>
      <c r="DH265">
        <v>1</v>
      </c>
      <c r="DI265">
        <v>3.5700000000000003E-2</v>
      </c>
      <c r="DJ265">
        <v>1600</v>
      </c>
      <c r="DK265">
        <v>1600</v>
      </c>
      <c r="DL265">
        <v>1600</v>
      </c>
      <c r="DM265">
        <v>1</v>
      </c>
      <c r="DN265">
        <v>0.1845</v>
      </c>
      <c r="DO265">
        <v>84</v>
      </c>
      <c r="DP265">
        <v>1600</v>
      </c>
    </row>
    <row r="266" spans="93:120" x14ac:dyDescent="0.25">
      <c r="CO266" t="s">
        <v>636</v>
      </c>
      <c r="CP266" t="s">
        <v>7</v>
      </c>
      <c r="CQ266" t="s">
        <v>59</v>
      </c>
      <c r="CR266">
        <v>46164</v>
      </c>
      <c r="CS266">
        <v>1</v>
      </c>
      <c r="CT266">
        <v>1</v>
      </c>
      <c r="CV266">
        <v>1</v>
      </c>
      <c r="CX266">
        <v>5.7870370370370373E-5</v>
      </c>
      <c r="CY266">
        <v>5.7870370370370373E-5</v>
      </c>
      <c r="CZ266">
        <v>0.19850694444444444</v>
      </c>
      <c r="DA266">
        <v>0.15187500000000001</v>
      </c>
      <c r="DB266">
        <v>197</v>
      </c>
      <c r="DC266">
        <v>281</v>
      </c>
      <c r="DD266">
        <v>12</v>
      </c>
      <c r="DE266" t="s">
        <v>687</v>
      </c>
      <c r="DF266">
        <v>30012</v>
      </c>
      <c r="DG266">
        <v>6.0900000000000003E-2</v>
      </c>
      <c r="DH266">
        <v>2</v>
      </c>
      <c r="DI266">
        <v>0.16669999999999999</v>
      </c>
      <c r="DJ266">
        <v>3400</v>
      </c>
      <c r="DK266">
        <v>1700</v>
      </c>
      <c r="DL266">
        <v>3400</v>
      </c>
      <c r="DM266">
        <v>1</v>
      </c>
      <c r="DN266">
        <v>0.12429999999999999</v>
      </c>
      <c r="DO266">
        <v>84</v>
      </c>
      <c r="DP266">
        <v>1700</v>
      </c>
    </row>
    <row r="267" spans="93:120" x14ac:dyDescent="0.25">
      <c r="CO267" t="s">
        <v>636</v>
      </c>
      <c r="CP267" t="s">
        <v>604</v>
      </c>
      <c r="CQ267" t="s">
        <v>109</v>
      </c>
      <c r="CR267">
        <v>46156</v>
      </c>
      <c r="CS267">
        <v>1</v>
      </c>
      <c r="CT267">
        <v>1</v>
      </c>
      <c r="CV267">
        <v>1</v>
      </c>
      <c r="CX267">
        <v>3.8194444444444446E-4</v>
      </c>
      <c r="CY267">
        <v>3.8194444444444446E-4</v>
      </c>
      <c r="CZ267">
        <v>0.21171296296296296</v>
      </c>
      <c r="DA267">
        <v>0.12537037037037038</v>
      </c>
      <c r="DB267">
        <v>94</v>
      </c>
      <c r="DC267">
        <v>146</v>
      </c>
      <c r="DD267">
        <v>34</v>
      </c>
      <c r="DE267" t="s">
        <v>785</v>
      </c>
      <c r="DF267">
        <v>17412</v>
      </c>
      <c r="DG267">
        <v>0.36170000000000002</v>
      </c>
      <c r="DH267">
        <v>1</v>
      </c>
      <c r="DI267">
        <v>2.9399999999999999E-2</v>
      </c>
      <c r="DJ267">
        <v>2500</v>
      </c>
      <c r="DK267">
        <v>2500</v>
      </c>
      <c r="DO267">
        <v>84</v>
      </c>
    </row>
    <row r="268" spans="93:120" x14ac:dyDescent="0.25">
      <c r="CO268" t="s">
        <v>636</v>
      </c>
      <c r="CP268" t="s">
        <v>604</v>
      </c>
      <c r="CQ268" t="s">
        <v>109</v>
      </c>
      <c r="CR268">
        <v>46167</v>
      </c>
      <c r="CS268">
        <v>1</v>
      </c>
      <c r="CT268">
        <v>1</v>
      </c>
      <c r="CX268">
        <v>4.0277777777777777E-3</v>
      </c>
      <c r="CY268">
        <v>4.0277777777777777E-3</v>
      </c>
      <c r="CZ268">
        <v>0.15984953703703703</v>
      </c>
      <c r="DA268">
        <v>0.1423611111111111</v>
      </c>
      <c r="DB268">
        <v>89</v>
      </c>
      <c r="DC268">
        <v>168</v>
      </c>
      <c r="DD268">
        <v>20</v>
      </c>
      <c r="DE268">
        <v>1.85</v>
      </c>
      <c r="DF268">
        <v>10847</v>
      </c>
      <c r="DG268">
        <v>0.22470000000000001</v>
      </c>
      <c r="DH268">
        <v>1</v>
      </c>
      <c r="DI268">
        <v>0.05</v>
      </c>
      <c r="DJ268">
        <v>1300</v>
      </c>
      <c r="DK268">
        <v>1300</v>
      </c>
      <c r="DL268">
        <v>1300</v>
      </c>
      <c r="DM268">
        <v>1</v>
      </c>
      <c r="DN268">
        <v>0.3231</v>
      </c>
      <c r="DO268">
        <v>84</v>
      </c>
      <c r="DP268">
        <v>1300</v>
      </c>
    </row>
    <row r="269" spans="93:120" x14ac:dyDescent="0.25">
      <c r="CO269" t="s">
        <v>636</v>
      </c>
      <c r="CP269" t="s">
        <v>604</v>
      </c>
      <c r="CQ269" t="s">
        <v>109</v>
      </c>
      <c r="CR269">
        <v>46168</v>
      </c>
      <c r="CS269">
        <v>1</v>
      </c>
      <c r="CT269">
        <v>1</v>
      </c>
      <c r="CU269">
        <v>1</v>
      </c>
      <c r="CX269">
        <v>6.0069444444444441E-3</v>
      </c>
      <c r="CY269">
        <v>6.0069444444444441E-3</v>
      </c>
      <c r="CZ269">
        <v>0.16743055555555555</v>
      </c>
      <c r="DA269">
        <v>0.13738425925925926</v>
      </c>
      <c r="DB269">
        <v>73</v>
      </c>
      <c r="DC269">
        <v>141</v>
      </c>
      <c r="DD269">
        <v>25</v>
      </c>
      <c r="DE269">
        <v>2</v>
      </c>
      <c r="DF269">
        <v>29526</v>
      </c>
      <c r="DG269">
        <v>0.34250000000000003</v>
      </c>
      <c r="DH269">
        <v>1</v>
      </c>
      <c r="DI269">
        <v>0.04</v>
      </c>
      <c r="DJ269">
        <v>6500</v>
      </c>
      <c r="DK269">
        <v>6500</v>
      </c>
      <c r="DL269">
        <v>6500</v>
      </c>
      <c r="DM269">
        <v>1</v>
      </c>
      <c r="DN269">
        <v>9.3700000000000006E-2</v>
      </c>
      <c r="DO269">
        <v>84</v>
      </c>
      <c r="DP269">
        <v>6500</v>
      </c>
    </row>
    <row r="270" spans="93:120" x14ac:dyDescent="0.25">
      <c r="CO270" t="s">
        <v>636</v>
      </c>
      <c r="CP270" t="s">
        <v>604</v>
      </c>
      <c r="CQ270" t="s">
        <v>41</v>
      </c>
      <c r="CR270">
        <v>46167</v>
      </c>
      <c r="CS270">
        <v>1</v>
      </c>
      <c r="CT270">
        <v>1</v>
      </c>
      <c r="CV270">
        <v>1</v>
      </c>
      <c r="CX270">
        <v>4.7453703703703704E-4</v>
      </c>
      <c r="CY270">
        <v>4.7453703703703704E-4</v>
      </c>
      <c r="CZ270">
        <v>0.1030787037037037</v>
      </c>
      <c r="DA270">
        <v>0.20780092592592592</v>
      </c>
      <c r="DB270">
        <v>60</v>
      </c>
      <c r="DC270">
        <v>190</v>
      </c>
      <c r="DD270">
        <v>11</v>
      </c>
      <c r="DE270" t="s">
        <v>786</v>
      </c>
      <c r="DF270">
        <v>10203</v>
      </c>
      <c r="DG270">
        <v>0.18329999999999999</v>
      </c>
      <c r="DH270">
        <v>2</v>
      </c>
      <c r="DI270">
        <v>0.18179999999999999</v>
      </c>
      <c r="DJ270">
        <v>900</v>
      </c>
      <c r="DK270">
        <v>450</v>
      </c>
      <c r="DL270">
        <v>700</v>
      </c>
      <c r="DM270">
        <v>0.77780000000000005</v>
      </c>
      <c r="DN270">
        <v>0.1002</v>
      </c>
      <c r="DO270">
        <v>84</v>
      </c>
      <c r="DP270">
        <v>700</v>
      </c>
    </row>
    <row r="271" spans="93:120" x14ac:dyDescent="0.25">
      <c r="CO271" t="s">
        <v>636</v>
      </c>
      <c r="CP271" t="s">
        <v>604</v>
      </c>
      <c r="CQ271" t="s">
        <v>41</v>
      </c>
      <c r="CR271">
        <v>46170</v>
      </c>
      <c r="CS271">
        <v>1</v>
      </c>
      <c r="CT271">
        <v>1</v>
      </c>
      <c r="CV271">
        <v>1</v>
      </c>
      <c r="CX271">
        <v>1.9675925925925926E-4</v>
      </c>
      <c r="CY271">
        <v>1.9675925925925926E-4</v>
      </c>
      <c r="CZ271">
        <v>0.12962962962962962</v>
      </c>
      <c r="DA271">
        <v>0.20815972222222223</v>
      </c>
      <c r="DB271">
        <v>45</v>
      </c>
      <c r="DC271">
        <v>112</v>
      </c>
      <c r="DD271">
        <v>13</v>
      </c>
      <c r="DE271" t="s">
        <v>787</v>
      </c>
      <c r="DF271">
        <v>14613</v>
      </c>
      <c r="DG271">
        <v>0.28889999999999999</v>
      </c>
      <c r="DH271">
        <v>3</v>
      </c>
      <c r="DI271">
        <v>0.23080000000000001</v>
      </c>
      <c r="DJ271">
        <v>2830</v>
      </c>
      <c r="DK271">
        <v>943</v>
      </c>
      <c r="DL271">
        <v>2600</v>
      </c>
      <c r="DM271">
        <v>0.91869999999999996</v>
      </c>
      <c r="DN271">
        <v>0.14860000000000001</v>
      </c>
      <c r="DO271">
        <v>84</v>
      </c>
      <c r="DP271">
        <v>1300</v>
      </c>
    </row>
    <row r="272" spans="93:120" x14ac:dyDescent="0.25">
      <c r="CO272" t="s">
        <v>636</v>
      </c>
      <c r="CP272" t="s">
        <v>604</v>
      </c>
      <c r="CQ272" t="s">
        <v>600</v>
      </c>
      <c r="CR272">
        <v>46155</v>
      </c>
      <c r="CS272">
        <v>1</v>
      </c>
      <c r="CT272">
        <v>1</v>
      </c>
      <c r="CV272">
        <v>1</v>
      </c>
      <c r="CX272">
        <v>0</v>
      </c>
      <c r="CY272">
        <v>0</v>
      </c>
      <c r="CZ272">
        <v>0.18722222222222223</v>
      </c>
      <c r="DA272">
        <v>0.16918981481481482</v>
      </c>
      <c r="DB272">
        <v>128</v>
      </c>
      <c r="DC272">
        <v>194</v>
      </c>
      <c r="DD272">
        <v>26</v>
      </c>
      <c r="DE272" t="s">
        <v>727</v>
      </c>
      <c r="DF272">
        <v>14827</v>
      </c>
      <c r="DG272">
        <v>0.2031</v>
      </c>
      <c r="DH272">
        <v>2</v>
      </c>
      <c r="DI272">
        <v>7.6899999999999996E-2</v>
      </c>
      <c r="DJ272">
        <v>2065</v>
      </c>
      <c r="DK272">
        <v>1033</v>
      </c>
      <c r="DL272">
        <v>1000</v>
      </c>
      <c r="DM272">
        <v>0.48430000000000001</v>
      </c>
      <c r="DN272">
        <v>0.15090000000000001</v>
      </c>
      <c r="DO272">
        <v>84</v>
      </c>
      <c r="DP272">
        <v>1000</v>
      </c>
    </row>
    <row r="273" spans="93:120" x14ac:dyDescent="0.25">
      <c r="CO273" t="s">
        <v>636</v>
      </c>
      <c r="CP273" t="s">
        <v>604</v>
      </c>
      <c r="CQ273" t="s">
        <v>599</v>
      </c>
      <c r="CR273">
        <v>46161</v>
      </c>
      <c r="CS273">
        <v>1</v>
      </c>
      <c r="CT273">
        <v>1</v>
      </c>
      <c r="CV273">
        <v>1</v>
      </c>
      <c r="CX273">
        <v>0</v>
      </c>
      <c r="CY273">
        <v>0</v>
      </c>
      <c r="CZ273">
        <v>0.22229166666666667</v>
      </c>
      <c r="DA273">
        <v>0.13604166666666667</v>
      </c>
      <c r="DB273">
        <v>130</v>
      </c>
      <c r="DC273">
        <v>174</v>
      </c>
      <c r="DD273">
        <v>21</v>
      </c>
      <c r="DE273" t="s">
        <v>788</v>
      </c>
      <c r="DF273">
        <v>10603</v>
      </c>
      <c r="DG273">
        <v>0.1615</v>
      </c>
      <c r="DH273">
        <v>1</v>
      </c>
      <c r="DI273">
        <v>4.7600000000000003E-2</v>
      </c>
      <c r="DJ273">
        <v>1850</v>
      </c>
      <c r="DK273">
        <v>1850</v>
      </c>
      <c r="DO273">
        <v>84</v>
      </c>
    </row>
    <row r="274" spans="93:120" x14ac:dyDescent="0.25">
      <c r="CO274" t="s">
        <v>636</v>
      </c>
      <c r="CP274" t="s">
        <v>604</v>
      </c>
      <c r="CQ274" t="s">
        <v>549</v>
      </c>
      <c r="CR274">
        <v>46161</v>
      </c>
      <c r="CS274">
        <v>1</v>
      </c>
      <c r="CT274">
        <v>1</v>
      </c>
      <c r="CV274">
        <v>1</v>
      </c>
      <c r="CX274">
        <v>0</v>
      </c>
      <c r="CY274">
        <v>0</v>
      </c>
      <c r="CZ274">
        <v>0.236875</v>
      </c>
      <c r="DA274">
        <v>0.12975694444444444</v>
      </c>
      <c r="DB274">
        <v>188</v>
      </c>
      <c r="DC274">
        <v>276</v>
      </c>
      <c r="DD274">
        <v>34</v>
      </c>
      <c r="DE274" t="s">
        <v>789</v>
      </c>
      <c r="DF274">
        <v>12157</v>
      </c>
      <c r="DG274">
        <v>0.18090000000000001</v>
      </c>
      <c r="DH274">
        <v>1</v>
      </c>
      <c r="DI274">
        <v>2.9399999999999999E-2</v>
      </c>
      <c r="DJ274">
        <v>2400</v>
      </c>
      <c r="DK274">
        <v>2400</v>
      </c>
      <c r="DL274">
        <v>2400</v>
      </c>
      <c r="DM274">
        <v>1</v>
      </c>
      <c r="DN274">
        <v>9.2799999999999994E-2</v>
      </c>
      <c r="DO274">
        <v>84</v>
      </c>
      <c r="DP274">
        <v>2400</v>
      </c>
    </row>
    <row r="275" spans="93:120" x14ac:dyDescent="0.25">
      <c r="CO275" t="s">
        <v>636</v>
      </c>
      <c r="CP275" t="s">
        <v>604</v>
      </c>
      <c r="CQ275" t="s">
        <v>77</v>
      </c>
      <c r="CR275">
        <v>46171</v>
      </c>
      <c r="CS275">
        <v>1</v>
      </c>
      <c r="CT275">
        <v>1</v>
      </c>
      <c r="CV275">
        <v>1</v>
      </c>
      <c r="CX275">
        <v>2.2685185185185187E-3</v>
      </c>
      <c r="CY275">
        <v>2.2685185185185187E-3</v>
      </c>
      <c r="CZ275">
        <v>0.15855324074074073</v>
      </c>
      <c r="DA275">
        <v>0.20723379629629629</v>
      </c>
      <c r="DB275">
        <v>58</v>
      </c>
      <c r="DC275">
        <v>117</v>
      </c>
      <c r="DD275">
        <v>21</v>
      </c>
      <c r="DE275" t="s">
        <v>790</v>
      </c>
      <c r="DF275">
        <v>32883</v>
      </c>
      <c r="DG275">
        <v>0.36209999999999998</v>
      </c>
      <c r="DH275">
        <v>1</v>
      </c>
      <c r="DI275">
        <v>4.7600000000000003E-2</v>
      </c>
      <c r="DJ275">
        <v>2000</v>
      </c>
      <c r="DK275">
        <v>2000</v>
      </c>
      <c r="DL275">
        <v>2000</v>
      </c>
      <c r="DM275">
        <v>1</v>
      </c>
      <c r="DN275">
        <v>0.13650000000000001</v>
      </c>
      <c r="DO275">
        <v>84</v>
      </c>
      <c r="DP275">
        <v>2000</v>
      </c>
    </row>
    <row r="276" spans="93:120" x14ac:dyDescent="0.25">
      <c r="CO276" t="s">
        <v>636</v>
      </c>
      <c r="CP276" t="s">
        <v>604</v>
      </c>
      <c r="CQ276" t="s">
        <v>55</v>
      </c>
      <c r="CR276">
        <v>46169</v>
      </c>
      <c r="CS276">
        <v>1</v>
      </c>
      <c r="CT276">
        <v>1</v>
      </c>
      <c r="CV276">
        <v>1</v>
      </c>
      <c r="CX276">
        <v>5.7870370370370373E-5</v>
      </c>
      <c r="CY276">
        <v>5.7870370370370373E-5</v>
      </c>
      <c r="CZ276">
        <v>0.21252314814814816</v>
      </c>
      <c r="DA276">
        <v>0.14601851851851852</v>
      </c>
      <c r="DB276">
        <v>174</v>
      </c>
      <c r="DC276">
        <v>244</v>
      </c>
      <c r="DD276">
        <v>19</v>
      </c>
      <c r="DE276" t="s">
        <v>791</v>
      </c>
      <c r="DF276">
        <v>12634</v>
      </c>
      <c r="DG276">
        <v>0.10920000000000001</v>
      </c>
      <c r="DH276">
        <v>2</v>
      </c>
      <c r="DI276">
        <v>0.1053</v>
      </c>
      <c r="DJ276">
        <v>437</v>
      </c>
      <c r="DK276">
        <v>219</v>
      </c>
      <c r="DL276">
        <v>127</v>
      </c>
      <c r="DM276">
        <v>0.29060000000000002</v>
      </c>
      <c r="DN276">
        <v>0.48010000000000003</v>
      </c>
      <c r="DO276">
        <v>84</v>
      </c>
      <c r="DP276">
        <v>127</v>
      </c>
    </row>
    <row r="277" spans="93:120" x14ac:dyDescent="0.25">
      <c r="CO277" t="s">
        <v>636</v>
      </c>
      <c r="CP277" t="s">
        <v>604</v>
      </c>
      <c r="CQ277" t="s">
        <v>78</v>
      </c>
      <c r="CR277">
        <v>46161</v>
      </c>
      <c r="CS277">
        <v>1</v>
      </c>
      <c r="CT277">
        <v>1</v>
      </c>
      <c r="CV277">
        <v>1</v>
      </c>
      <c r="CX277">
        <v>6.9444444444444444E-5</v>
      </c>
      <c r="CY277">
        <v>6.9444444444444444E-5</v>
      </c>
      <c r="CZ277">
        <v>0.21016203703703704</v>
      </c>
      <c r="DA277">
        <v>0.15427083333333333</v>
      </c>
      <c r="DB277">
        <v>103</v>
      </c>
      <c r="DC277">
        <v>197</v>
      </c>
      <c r="DD277">
        <v>38</v>
      </c>
      <c r="DE277" t="s">
        <v>792</v>
      </c>
      <c r="DF277">
        <v>17746</v>
      </c>
      <c r="DG277">
        <v>0.36890000000000001</v>
      </c>
      <c r="DH277">
        <v>2</v>
      </c>
      <c r="DI277">
        <v>5.2600000000000001E-2</v>
      </c>
      <c r="DJ277">
        <v>1090</v>
      </c>
      <c r="DK277">
        <v>545</v>
      </c>
      <c r="DL277">
        <v>360</v>
      </c>
      <c r="DM277">
        <v>0.33029999999999998</v>
      </c>
      <c r="DN277">
        <v>0.1827</v>
      </c>
      <c r="DO277">
        <v>84</v>
      </c>
      <c r="DP277">
        <v>360</v>
      </c>
    </row>
    <row r="278" spans="93:120" x14ac:dyDescent="0.25">
      <c r="CO278" t="s">
        <v>636</v>
      </c>
      <c r="CP278" t="s">
        <v>604</v>
      </c>
      <c r="CQ278" t="s">
        <v>78</v>
      </c>
      <c r="CR278">
        <v>46162</v>
      </c>
      <c r="CS278">
        <v>1</v>
      </c>
      <c r="CT278">
        <v>1</v>
      </c>
      <c r="CV278">
        <v>1</v>
      </c>
      <c r="CX278">
        <v>0</v>
      </c>
      <c r="CY278">
        <v>0</v>
      </c>
      <c r="CZ278">
        <v>0.23363425925925926</v>
      </c>
      <c r="DA278">
        <v>0.14047453703703705</v>
      </c>
      <c r="DB278">
        <v>112</v>
      </c>
      <c r="DC278">
        <v>192</v>
      </c>
      <c r="DD278">
        <v>36</v>
      </c>
      <c r="DE278" t="s">
        <v>793</v>
      </c>
      <c r="DF278">
        <v>16554</v>
      </c>
      <c r="DG278">
        <v>0.32140000000000002</v>
      </c>
      <c r="DH278">
        <v>1</v>
      </c>
      <c r="DI278">
        <v>2.7799999999999998E-2</v>
      </c>
      <c r="DJ278">
        <v>4000</v>
      </c>
      <c r="DK278">
        <v>4000</v>
      </c>
      <c r="DO278">
        <v>84</v>
      </c>
    </row>
    <row r="279" spans="93:120" x14ac:dyDescent="0.25">
      <c r="CO279" t="s">
        <v>636</v>
      </c>
      <c r="CP279" t="s">
        <v>604</v>
      </c>
      <c r="CQ279" t="s">
        <v>78</v>
      </c>
      <c r="CR279">
        <v>46170</v>
      </c>
      <c r="CS279">
        <v>1</v>
      </c>
      <c r="CT279">
        <v>1</v>
      </c>
      <c r="CV279">
        <v>1</v>
      </c>
      <c r="CX279">
        <v>0</v>
      </c>
      <c r="CY279">
        <v>0</v>
      </c>
      <c r="CZ279">
        <v>0.15570601851851851</v>
      </c>
      <c r="DA279">
        <v>0.18672453703703704</v>
      </c>
      <c r="DB279">
        <v>66</v>
      </c>
      <c r="DC279">
        <v>137</v>
      </c>
      <c r="DD279">
        <v>17</v>
      </c>
      <c r="DE279" t="s">
        <v>728</v>
      </c>
      <c r="DF279">
        <v>13877</v>
      </c>
      <c r="DG279">
        <v>0.2576</v>
      </c>
      <c r="DH279">
        <v>1</v>
      </c>
      <c r="DI279">
        <v>5.8799999999999998E-2</v>
      </c>
      <c r="DJ279">
        <v>1700</v>
      </c>
      <c r="DK279">
        <v>1700</v>
      </c>
      <c r="DL279">
        <v>1700</v>
      </c>
      <c r="DM279">
        <v>1</v>
      </c>
      <c r="DN279">
        <v>9.3899999999999997E-2</v>
      </c>
      <c r="DO279">
        <v>84</v>
      </c>
      <c r="DP279">
        <v>1700</v>
      </c>
    </row>
    <row r="280" spans="93:120" x14ac:dyDescent="0.25">
      <c r="CO280" t="s">
        <v>636</v>
      </c>
      <c r="CP280" t="s">
        <v>604</v>
      </c>
      <c r="CQ280" t="s">
        <v>48</v>
      </c>
      <c r="CR280">
        <v>46157</v>
      </c>
      <c r="CS280">
        <v>1</v>
      </c>
      <c r="CT280">
        <v>1</v>
      </c>
      <c r="CV280">
        <v>1</v>
      </c>
      <c r="CX280">
        <v>0</v>
      </c>
      <c r="CY280">
        <v>0</v>
      </c>
      <c r="CZ280">
        <v>0.24538194444444444</v>
      </c>
      <c r="DA280">
        <v>9.4120370370370368E-2</v>
      </c>
      <c r="DB280">
        <v>59</v>
      </c>
      <c r="DC280">
        <v>77</v>
      </c>
      <c r="DD280">
        <v>18</v>
      </c>
      <c r="DE280" t="s">
        <v>794</v>
      </c>
      <c r="DF280">
        <v>22490</v>
      </c>
      <c r="DG280">
        <v>0.30509999999999998</v>
      </c>
      <c r="DH280">
        <v>1</v>
      </c>
      <c r="DI280">
        <v>5.5599999999999997E-2</v>
      </c>
      <c r="DJ280">
        <v>1350</v>
      </c>
      <c r="DK280">
        <v>1350</v>
      </c>
      <c r="DL280">
        <v>1350</v>
      </c>
      <c r="DM280">
        <v>1</v>
      </c>
      <c r="DN280">
        <v>0.105</v>
      </c>
      <c r="DO280">
        <v>84</v>
      </c>
      <c r="DP280">
        <v>1350</v>
      </c>
    </row>
    <row r="281" spans="93:120" x14ac:dyDescent="0.25">
      <c r="CO281" t="s">
        <v>636</v>
      </c>
      <c r="CP281" t="s">
        <v>3</v>
      </c>
      <c r="CQ281" t="s">
        <v>58</v>
      </c>
      <c r="CR281">
        <v>46147</v>
      </c>
      <c r="CS281">
        <v>1</v>
      </c>
      <c r="CT281">
        <v>1</v>
      </c>
      <c r="CV281">
        <v>1</v>
      </c>
      <c r="CX281">
        <v>6.9444444444444444E-5</v>
      </c>
      <c r="CY281">
        <v>6.9444444444444444E-5</v>
      </c>
      <c r="CZ281">
        <v>0.26056712962962963</v>
      </c>
      <c r="DA281">
        <v>8.7523148148148142E-2</v>
      </c>
      <c r="DB281">
        <v>115</v>
      </c>
      <c r="DC281">
        <v>259</v>
      </c>
      <c r="DD281">
        <v>30</v>
      </c>
      <c r="DE281" t="s">
        <v>672</v>
      </c>
      <c r="DF281">
        <v>17825</v>
      </c>
      <c r="DG281">
        <v>0.26090000000000002</v>
      </c>
      <c r="DH281">
        <v>1</v>
      </c>
      <c r="DI281">
        <v>3.3300000000000003E-2</v>
      </c>
      <c r="DJ281">
        <v>390</v>
      </c>
      <c r="DK281">
        <v>390</v>
      </c>
      <c r="DL281">
        <v>390</v>
      </c>
      <c r="DM281">
        <v>1</v>
      </c>
      <c r="DN281">
        <v>1.0068999999999999</v>
      </c>
      <c r="DO281">
        <v>84</v>
      </c>
      <c r="DP281">
        <v>390</v>
      </c>
    </row>
    <row r="282" spans="93:120" x14ac:dyDescent="0.25">
      <c r="CO282" t="s">
        <v>636</v>
      </c>
      <c r="CP282" t="s">
        <v>3</v>
      </c>
      <c r="CQ282" t="s">
        <v>58</v>
      </c>
      <c r="CR282">
        <v>46167</v>
      </c>
      <c r="CS282">
        <v>1</v>
      </c>
      <c r="CT282">
        <v>1</v>
      </c>
      <c r="CV282">
        <v>1</v>
      </c>
      <c r="CX282">
        <v>9.2592592592592588E-5</v>
      </c>
      <c r="CY282">
        <v>9.2592592592592588E-5</v>
      </c>
      <c r="CZ282">
        <v>0.15259259259259259</v>
      </c>
      <c r="DA282">
        <v>0.20701388888888889</v>
      </c>
      <c r="DB282">
        <v>101</v>
      </c>
      <c r="DC282">
        <v>232</v>
      </c>
      <c r="DD282">
        <v>34</v>
      </c>
      <c r="DE282" t="s">
        <v>795</v>
      </c>
      <c r="DF282">
        <v>23713</v>
      </c>
      <c r="DG282">
        <v>0.33660000000000001</v>
      </c>
      <c r="DH282">
        <v>1</v>
      </c>
      <c r="DI282">
        <v>2.9399999999999999E-2</v>
      </c>
      <c r="DJ282">
        <v>1200</v>
      </c>
      <c r="DK282">
        <v>1200</v>
      </c>
      <c r="DL282">
        <v>1200</v>
      </c>
      <c r="DM282">
        <v>1</v>
      </c>
      <c r="DN282">
        <v>0.14399999999999999</v>
      </c>
      <c r="DO282">
        <v>84</v>
      </c>
      <c r="DP282">
        <v>1200</v>
      </c>
    </row>
    <row r="283" spans="93:120" x14ac:dyDescent="0.25">
      <c r="CO283" t="s">
        <v>636</v>
      </c>
      <c r="CP283" t="s">
        <v>3</v>
      </c>
      <c r="CQ283" t="s">
        <v>85</v>
      </c>
      <c r="CR283">
        <v>46164</v>
      </c>
      <c r="CS283">
        <v>1</v>
      </c>
      <c r="CT283">
        <v>1</v>
      </c>
      <c r="CV283">
        <v>1</v>
      </c>
      <c r="CX283">
        <v>9.2592592592592588E-5</v>
      </c>
      <c r="CY283">
        <v>9.2592592592592588E-5</v>
      </c>
      <c r="CZ283">
        <v>0.21434027777777778</v>
      </c>
      <c r="DA283">
        <v>0.12797453703703704</v>
      </c>
      <c r="DB283">
        <v>59</v>
      </c>
      <c r="DC283">
        <v>136</v>
      </c>
      <c r="DD283">
        <v>14</v>
      </c>
      <c r="DE283" t="s">
        <v>796</v>
      </c>
      <c r="DF283">
        <v>30577</v>
      </c>
      <c r="DG283">
        <v>0.23730000000000001</v>
      </c>
      <c r="DH283">
        <v>2</v>
      </c>
      <c r="DI283">
        <v>0.1429</v>
      </c>
      <c r="DJ283">
        <v>5350</v>
      </c>
      <c r="DK283">
        <v>2675</v>
      </c>
      <c r="DL283">
        <v>5000</v>
      </c>
      <c r="DM283">
        <v>0.93459999999999999</v>
      </c>
      <c r="DN283">
        <v>0.10829999999999999</v>
      </c>
      <c r="DO283">
        <v>84</v>
      </c>
      <c r="DP283">
        <v>5000</v>
      </c>
    </row>
    <row r="284" spans="93:120" x14ac:dyDescent="0.25">
      <c r="CO284" t="s">
        <v>636</v>
      </c>
      <c r="CP284" t="s">
        <v>3</v>
      </c>
      <c r="CQ284" t="s">
        <v>32</v>
      </c>
      <c r="CR284">
        <v>46169</v>
      </c>
      <c r="CS284">
        <v>1</v>
      </c>
      <c r="CT284">
        <v>1</v>
      </c>
      <c r="CV284">
        <v>1</v>
      </c>
      <c r="CX284">
        <v>1.712962962962963E-3</v>
      </c>
      <c r="CY284">
        <v>1.712962962962963E-3</v>
      </c>
      <c r="CZ284">
        <v>0.1789351851851852</v>
      </c>
      <c r="DA284">
        <v>0.15100694444444446</v>
      </c>
      <c r="DB284">
        <v>133</v>
      </c>
      <c r="DC284">
        <v>232</v>
      </c>
      <c r="DD284">
        <v>23</v>
      </c>
      <c r="DE284" t="s">
        <v>797</v>
      </c>
      <c r="DF284">
        <v>41352</v>
      </c>
      <c r="DG284">
        <v>0.1729</v>
      </c>
      <c r="DH284">
        <v>1</v>
      </c>
      <c r="DI284">
        <v>4.3499999999999997E-2</v>
      </c>
      <c r="DJ284">
        <v>300</v>
      </c>
      <c r="DK284">
        <v>300</v>
      </c>
      <c r="DL284">
        <v>300</v>
      </c>
      <c r="DM284">
        <v>1</v>
      </c>
      <c r="DN284">
        <v>0.97889999999999999</v>
      </c>
      <c r="DO284">
        <v>84</v>
      </c>
      <c r="DP284">
        <v>300</v>
      </c>
    </row>
    <row r="285" spans="93:120" x14ac:dyDescent="0.25">
      <c r="CO285" t="s">
        <v>636</v>
      </c>
      <c r="CP285" t="s">
        <v>3</v>
      </c>
      <c r="CQ285" t="s">
        <v>564</v>
      </c>
      <c r="CR285">
        <v>46168</v>
      </c>
      <c r="CS285">
        <v>1</v>
      </c>
      <c r="CT285">
        <v>1</v>
      </c>
      <c r="CV285">
        <v>1</v>
      </c>
      <c r="CX285">
        <v>0</v>
      </c>
      <c r="CY285">
        <v>0</v>
      </c>
      <c r="CZ285">
        <v>0.18234953703703705</v>
      </c>
      <c r="DA285">
        <v>0.16069444444444445</v>
      </c>
      <c r="DB285">
        <v>133</v>
      </c>
      <c r="DC285">
        <v>219</v>
      </c>
      <c r="DD285">
        <v>30</v>
      </c>
      <c r="DE285" t="s">
        <v>674</v>
      </c>
      <c r="DF285">
        <v>28759</v>
      </c>
      <c r="DG285">
        <v>0.22559999999999999</v>
      </c>
      <c r="DH285">
        <v>3</v>
      </c>
      <c r="DI285">
        <v>0.1</v>
      </c>
      <c r="DJ285">
        <v>19980</v>
      </c>
      <c r="DK285">
        <v>6660</v>
      </c>
      <c r="DL285">
        <v>19300</v>
      </c>
      <c r="DM285">
        <v>0.96599999999999997</v>
      </c>
      <c r="DN285">
        <v>0.10440000000000001</v>
      </c>
      <c r="DO285">
        <v>84</v>
      </c>
      <c r="DP285">
        <v>9650</v>
      </c>
    </row>
    <row r="286" spans="93:120" x14ac:dyDescent="0.25">
      <c r="CO286" t="s">
        <v>636</v>
      </c>
      <c r="CP286" t="s">
        <v>3</v>
      </c>
      <c r="CQ286" t="s">
        <v>96</v>
      </c>
      <c r="CR286">
        <v>46156</v>
      </c>
      <c r="CS286">
        <v>1</v>
      </c>
      <c r="CT286">
        <v>1</v>
      </c>
      <c r="CV286">
        <v>1</v>
      </c>
      <c r="CX286">
        <v>0</v>
      </c>
      <c r="CY286">
        <v>0</v>
      </c>
      <c r="CZ286">
        <v>0.17076388888888888</v>
      </c>
      <c r="DA286">
        <v>0.15162037037037038</v>
      </c>
      <c r="DB286">
        <v>95</v>
      </c>
      <c r="DC286">
        <v>226</v>
      </c>
      <c r="DD286">
        <v>31</v>
      </c>
      <c r="DE286" t="s">
        <v>798</v>
      </c>
      <c r="DF286">
        <v>19374</v>
      </c>
      <c r="DG286">
        <v>0.32629999999999998</v>
      </c>
      <c r="DH286">
        <v>1</v>
      </c>
      <c r="DI286">
        <v>3.2300000000000002E-2</v>
      </c>
      <c r="DJ286">
        <v>3000</v>
      </c>
      <c r="DK286">
        <v>3000</v>
      </c>
      <c r="DL286">
        <v>1000</v>
      </c>
      <c r="DM286">
        <v>0.33329999999999999</v>
      </c>
      <c r="DN286">
        <v>5.9700000000000003E-2</v>
      </c>
      <c r="DO286">
        <v>84</v>
      </c>
      <c r="DP286">
        <v>1000</v>
      </c>
    </row>
    <row r="287" spans="93:120" x14ac:dyDescent="0.25">
      <c r="CO287" t="s">
        <v>636</v>
      </c>
      <c r="CP287" t="s">
        <v>3</v>
      </c>
      <c r="CQ287" t="s">
        <v>96</v>
      </c>
      <c r="CR287">
        <v>46171</v>
      </c>
      <c r="CS287">
        <v>1</v>
      </c>
      <c r="CT287">
        <v>1</v>
      </c>
      <c r="CV287">
        <v>1</v>
      </c>
      <c r="CX287">
        <v>1.5509259259259259E-3</v>
      </c>
      <c r="CY287">
        <v>1.5509259259259259E-3</v>
      </c>
      <c r="CZ287">
        <v>0.16062499999999999</v>
      </c>
      <c r="DA287">
        <v>0.21244212962962963</v>
      </c>
      <c r="DB287">
        <v>81</v>
      </c>
      <c r="DC287">
        <v>152</v>
      </c>
      <c r="DD287">
        <v>15</v>
      </c>
      <c r="DE287" t="s">
        <v>742</v>
      </c>
      <c r="DF287">
        <v>13954</v>
      </c>
      <c r="DG287">
        <v>0.1852</v>
      </c>
      <c r="DH287">
        <v>1</v>
      </c>
      <c r="DI287">
        <v>6.6699999999999995E-2</v>
      </c>
      <c r="DJ287">
        <v>4000</v>
      </c>
      <c r="DK287">
        <v>4000</v>
      </c>
      <c r="DL287">
        <v>4000</v>
      </c>
      <c r="DM287">
        <v>1</v>
      </c>
      <c r="DN287">
        <v>0.18340000000000001</v>
      </c>
      <c r="DO287">
        <v>84</v>
      </c>
      <c r="DP287">
        <v>4000</v>
      </c>
    </row>
    <row r="288" spans="93:120" x14ac:dyDescent="0.25">
      <c r="CO288" t="s">
        <v>636</v>
      </c>
      <c r="CP288" t="s">
        <v>3</v>
      </c>
      <c r="CQ288" t="s">
        <v>68</v>
      </c>
      <c r="CR288">
        <v>46155</v>
      </c>
      <c r="CS288">
        <v>1</v>
      </c>
      <c r="CT288">
        <v>1</v>
      </c>
      <c r="CV288">
        <v>1</v>
      </c>
      <c r="CX288">
        <v>3.5879629629629629E-4</v>
      </c>
      <c r="CY288">
        <v>3.5879629629629629E-4</v>
      </c>
      <c r="CZ288">
        <v>0.17993055555555557</v>
      </c>
      <c r="DA288">
        <v>0.12856481481481483</v>
      </c>
      <c r="DB288">
        <v>74</v>
      </c>
      <c r="DC288">
        <v>163</v>
      </c>
      <c r="DD288">
        <v>26</v>
      </c>
      <c r="DE288" t="s">
        <v>799</v>
      </c>
      <c r="DF288">
        <v>32144</v>
      </c>
      <c r="DG288">
        <v>0.35139999999999999</v>
      </c>
      <c r="DH288">
        <v>1</v>
      </c>
      <c r="DI288">
        <v>3.85E-2</v>
      </c>
      <c r="DJ288">
        <v>3800</v>
      </c>
      <c r="DK288">
        <v>3800</v>
      </c>
      <c r="DL288">
        <v>3800</v>
      </c>
      <c r="DM288">
        <v>1</v>
      </c>
      <c r="DN288">
        <v>0.31119999999999998</v>
      </c>
      <c r="DO288">
        <v>84</v>
      </c>
      <c r="DP288">
        <v>3800</v>
      </c>
    </row>
    <row r="289" spans="93:120" x14ac:dyDescent="0.25">
      <c r="CO289" t="s">
        <v>636</v>
      </c>
      <c r="CP289" t="s">
        <v>3</v>
      </c>
      <c r="CQ289" t="s">
        <v>68</v>
      </c>
      <c r="CR289">
        <v>46168</v>
      </c>
      <c r="CS289">
        <v>1</v>
      </c>
      <c r="CT289">
        <v>1</v>
      </c>
      <c r="CV289">
        <v>1</v>
      </c>
      <c r="CX289">
        <v>9.2592592592592588E-5</v>
      </c>
      <c r="CY289">
        <v>9.2592592592592588E-5</v>
      </c>
      <c r="CZ289">
        <v>0.1661111111111111</v>
      </c>
      <c r="DA289">
        <v>0.14372685185185186</v>
      </c>
      <c r="DB289">
        <v>80</v>
      </c>
      <c r="DC289">
        <v>148</v>
      </c>
      <c r="DD289">
        <v>37</v>
      </c>
      <c r="DE289" t="s">
        <v>800</v>
      </c>
      <c r="DF289">
        <v>24724</v>
      </c>
      <c r="DG289">
        <v>0.46250000000000002</v>
      </c>
      <c r="DH289">
        <v>1</v>
      </c>
      <c r="DI289">
        <v>2.7E-2</v>
      </c>
      <c r="DJ289">
        <v>300</v>
      </c>
      <c r="DK289">
        <v>300</v>
      </c>
      <c r="DL289">
        <v>300</v>
      </c>
      <c r="DM289">
        <v>1</v>
      </c>
      <c r="DN289">
        <v>0.41599999999999998</v>
      </c>
      <c r="DO289">
        <v>84</v>
      </c>
      <c r="DP289">
        <v>300</v>
      </c>
    </row>
    <row r="290" spans="93:120" x14ac:dyDescent="0.25">
      <c r="CO290" t="s">
        <v>636</v>
      </c>
      <c r="CP290" t="s">
        <v>3</v>
      </c>
      <c r="CQ290" t="s">
        <v>29</v>
      </c>
      <c r="CR290">
        <v>46163</v>
      </c>
      <c r="CS290">
        <v>1</v>
      </c>
      <c r="CT290">
        <v>1</v>
      </c>
      <c r="CV290">
        <v>1</v>
      </c>
      <c r="CX290">
        <v>3.9351851851851852E-4</v>
      </c>
      <c r="CY290">
        <v>3.9351851851851852E-4</v>
      </c>
      <c r="CZ290">
        <v>0.18938657407407408</v>
      </c>
      <c r="DA290">
        <v>0.13819444444444445</v>
      </c>
      <c r="DB290">
        <v>99</v>
      </c>
      <c r="DC290">
        <v>210</v>
      </c>
      <c r="DD290">
        <v>26</v>
      </c>
      <c r="DE290" t="s">
        <v>801</v>
      </c>
      <c r="DF290">
        <v>17299</v>
      </c>
      <c r="DG290">
        <v>0.2626</v>
      </c>
      <c r="DH290">
        <v>1</v>
      </c>
      <c r="DI290">
        <v>3.85E-2</v>
      </c>
      <c r="DJ290">
        <v>1200</v>
      </c>
      <c r="DK290">
        <v>1200</v>
      </c>
      <c r="DL290">
        <v>1200</v>
      </c>
      <c r="DM290">
        <v>1</v>
      </c>
      <c r="DN290">
        <v>0.1144</v>
      </c>
      <c r="DO290">
        <v>84</v>
      </c>
      <c r="DP290">
        <v>1200</v>
      </c>
    </row>
    <row r="291" spans="93:120" x14ac:dyDescent="0.25">
      <c r="CO291" t="s">
        <v>636</v>
      </c>
      <c r="CP291" t="s">
        <v>3</v>
      </c>
      <c r="CQ291" t="s">
        <v>79</v>
      </c>
      <c r="CR291">
        <v>46162</v>
      </c>
      <c r="CS291">
        <v>1</v>
      </c>
      <c r="CT291">
        <v>1</v>
      </c>
      <c r="CV291">
        <v>1</v>
      </c>
      <c r="CX291">
        <v>2.6620370370370372E-4</v>
      </c>
      <c r="CY291">
        <v>2.6620370370370372E-4</v>
      </c>
      <c r="CZ291">
        <v>0.26243055555555556</v>
      </c>
      <c r="DA291">
        <v>0.11650462962962962</v>
      </c>
      <c r="DB291">
        <v>100</v>
      </c>
      <c r="DC291">
        <v>205</v>
      </c>
      <c r="DD291">
        <v>26</v>
      </c>
      <c r="DE291" t="s">
        <v>779</v>
      </c>
      <c r="DF291">
        <v>33500</v>
      </c>
      <c r="DG291">
        <v>0.26</v>
      </c>
      <c r="DH291">
        <v>2</v>
      </c>
      <c r="DI291">
        <v>7.6899999999999996E-2</v>
      </c>
      <c r="DJ291">
        <v>15450</v>
      </c>
      <c r="DK291">
        <v>7725</v>
      </c>
      <c r="DL291">
        <v>15000</v>
      </c>
      <c r="DM291">
        <v>0.97089999999999999</v>
      </c>
      <c r="DN291">
        <v>0.20269999999999999</v>
      </c>
      <c r="DO291">
        <v>84</v>
      </c>
      <c r="DP291">
        <v>15000</v>
      </c>
    </row>
    <row r="292" spans="93:120" x14ac:dyDescent="0.25">
      <c r="CO292" t="s">
        <v>636</v>
      </c>
      <c r="CP292" t="s">
        <v>2</v>
      </c>
      <c r="CQ292" t="s">
        <v>13</v>
      </c>
      <c r="CR292">
        <v>46160</v>
      </c>
      <c r="CS292">
        <v>1</v>
      </c>
      <c r="CT292">
        <v>1</v>
      </c>
      <c r="CV292">
        <v>1</v>
      </c>
      <c r="CX292">
        <v>2.0833333333333335E-4</v>
      </c>
      <c r="CY292">
        <v>2.0833333333333335E-4</v>
      </c>
      <c r="CZ292">
        <v>0.2092013888888889</v>
      </c>
      <c r="DA292">
        <v>0.12605324074074073</v>
      </c>
      <c r="DB292">
        <v>72</v>
      </c>
      <c r="DC292">
        <v>152</v>
      </c>
      <c r="DD292">
        <v>13</v>
      </c>
      <c r="DE292" t="s">
        <v>711</v>
      </c>
      <c r="DF292">
        <v>29580</v>
      </c>
      <c r="DG292">
        <v>0.18060000000000001</v>
      </c>
      <c r="DH292">
        <v>1</v>
      </c>
      <c r="DI292">
        <v>7.6899999999999996E-2</v>
      </c>
      <c r="DJ292">
        <v>1000</v>
      </c>
      <c r="DK292">
        <v>1000</v>
      </c>
      <c r="DO292">
        <v>82</v>
      </c>
    </row>
    <row r="293" spans="93:120" x14ac:dyDescent="0.25">
      <c r="CO293" t="s">
        <v>636</v>
      </c>
      <c r="CP293" t="s">
        <v>2</v>
      </c>
      <c r="CQ293" t="s">
        <v>13</v>
      </c>
      <c r="CR293">
        <v>46164</v>
      </c>
      <c r="CS293">
        <v>1</v>
      </c>
      <c r="CT293">
        <v>1</v>
      </c>
      <c r="CV293">
        <v>1</v>
      </c>
      <c r="CX293">
        <v>4.0509259259259258E-4</v>
      </c>
      <c r="CY293">
        <v>4.0509259259259258E-4</v>
      </c>
      <c r="CZ293">
        <v>0.19883101851851853</v>
      </c>
      <c r="DA293">
        <v>0.10391203703703704</v>
      </c>
      <c r="DB293">
        <v>67</v>
      </c>
      <c r="DC293">
        <v>160</v>
      </c>
      <c r="DD293">
        <v>9</v>
      </c>
      <c r="DE293" t="s">
        <v>697</v>
      </c>
      <c r="DF293">
        <v>64288</v>
      </c>
      <c r="DG293">
        <v>0.1343</v>
      </c>
      <c r="DH293">
        <v>2</v>
      </c>
      <c r="DI293">
        <v>0.22220000000000001</v>
      </c>
      <c r="DJ293">
        <v>4800</v>
      </c>
      <c r="DK293">
        <v>2400</v>
      </c>
      <c r="DL293">
        <v>3800</v>
      </c>
      <c r="DM293">
        <v>0.79169999999999996</v>
      </c>
      <c r="DN293">
        <v>0.1103</v>
      </c>
      <c r="DO293">
        <v>82</v>
      </c>
      <c r="DP293">
        <v>3800</v>
      </c>
    </row>
    <row r="294" spans="93:120" x14ac:dyDescent="0.25">
      <c r="CO294" t="s">
        <v>636</v>
      </c>
      <c r="CP294" t="s">
        <v>2</v>
      </c>
      <c r="CQ294" t="s">
        <v>13</v>
      </c>
      <c r="CR294">
        <v>46167</v>
      </c>
      <c r="CS294">
        <v>1</v>
      </c>
      <c r="CT294">
        <v>1</v>
      </c>
      <c r="CV294">
        <v>1</v>
      </c>
      <c r="CX294">
        <v>3.1250000000000001E-4</v>
      </c>
      <c r="CY294">
        <v>3.1250000000000001E-4</v>
      </c>
      <c r="CZ294">
        <v>0.16214120370370369</v>
      </c>
      <c r="DA294">
        <v>0.16377314814814814</v>
      </c>
      <c r="DB294">
        <v>77</v>
      </c>
      <c r="DC294">
        <v>157</v>
      </c>
      <c r="DD294">
        <v>17</v>
      </c>
      <c r="DE294" t="s">
        <v>802</v>
      </c>
      <c r="DF294">
        <v>47029</v>
      </c>
      <c r="DG294">
        <v>0.2208</v>
      </c>
      <c r="DH294">
        <v>2</v>
      </c>
      <c r="DI294">
        <v>0.1176</v>
      </c>
      <c r="DJ294">
        <v>9000</v>
      </c>
      <c r="DK294">
        <v>4500</v>
      </c>
      <c r="DL294">
        <v>9000</v>
      </c>
      <c r="DM294">
        <v>1</v>
      </c>
      <c r="DN294">
        <v>0.13220000000000001</v>
      </c>
      <c r="DO294">
        <v>82</v>
      </c>
      <c r="DP294">
        <v>4500</v>
      </c>
    </row>
    <row r="295" spans="93:120" x14ac:dyDescent="0.25">
      <c r="CO295" t="s">
        <v>636</v>
      </c>
      <c r="CP295" t="s">
        <v>2</v>
      </c>
      <c r="CQ295" t="s">
        <v>10</v>
      </c>
      <c r="CR295">
        <v>46157</v>
      </c>
      <c r="CS295">
        <v>1</v>
      </c>
      <c r="CT295">
        <v>1</v>
      </c>
      <c r="CV295">
        <v>1</v>
      </c>
      <c r="CX295">
        <v>1.273148148148148E-4</v>
      </c>
      <c r="CY295">
        <v>1.273148148148148E-4</v>
      </c>
      <c r="CZ295">
        <v>0.31769675925925928</v>
      </c>
      <c r="DA295">
        <v>2.1840277777777778E-2</v>
      </c>
      <c r="DB295">
        <v>104</v>
      </c>
      <c r="DC295">
        <v>158</v>
      </c>
      <c r="DD295">
        <v>17</v>
      </c>
      <c r="DE295" t="s">
        <v>744</v>
      </c>
      <c r="DF295">
        <v>20608</v>
      </c>
      <c r="DG295">
        <v>0.16350000000000001</v>
      </c>
      <c r="DH295">
        <v>1</v>
      </c>
      <c r="DI295">
        <v>5.8799999999999998E-2</v>
      </c>
      <c r="DJ295">
        <v>2500</v>
      </c>
      <c r="DK295">
        <v>2500</v>
      </c>
      <c r="DL295">
        <v>2500</v>
      </c>
      <c r="DM295">
        <v>1</v>
      </c>
      <c r="DN295">
        <v>0.17269999999999999</v>
      </c>
      <c r="DO295">
        <v>82</v>
      </c>
      <c r="DP295">
        <v>2500</v>
      </c>
    </row>
    <row r="296" spans="93:120" x14ac:dyDescent="0.25">
      <c r="CO296" t="s">
        <v>636</v>
      </c>
      <c r="CP296" t="s">
        <v>6</v>
      </c>
      <c r="CQ296" t="s">
        <v>19</v>
      </c>
      <c r="CR296">
        <v>46167</v>
      </c>
      <c r="CS296">
        <v>1</v>
      </c>
      <c r="CT296">
        <v>1</v>
      </c>
      <c r="CV296">
        <v>1</v>
      </c>
      <c r="CX296">
        <v>1.3888888888888889E-4</v>
      </c>
      <c r="CY296">
        <v>1.3888888888888889E-4</v>
      </c>
      <c r="CZ296">
        <v>0.17785879629629631</v>
      </c>
      <c r="DA296">
        <v>0.15152777777777779</v>
      </c>
      <c r="DB296">
        <v>175</v>
      </c>
      <c r="DC296">
        <v>282</v>
      </c>
      <c r="DD296">
        <v>31</v>
      </c>
      <c r="DE296" t="s">
        <v>774</v>
      </c>
      <c r="DF296">
        <v>28677</v>
      </c>
      <c r="DG296">
        <v>0.17710000000000001</v>
      </c>
      <c r="DH296">
        <v>1</v>
      </c>
      <c r="DI296">
        <v>3.2300000000000002E-2</v>
      </c>
      <c r="DJ296">
        <v>480</v>
      </c>
      <c r="DK296">
        <v>480</v>
      </c>
      <c r="DL296">
        <v>480</v>
      </c>
      <c r="DM296">
        <v>1</v>
      </c>
      <c r="DN296">
        <v>0.85709999999999997</v>
      </c>
      <c r="DO296">
        <v>82</v>
      </c>
      <c r="DP296">
        <v>480</v>
      </c>
    </row>
    <row r="297" spans="93:120" x14ac:dyDescent="0.25">
      <c r="CO297" t="s">
        <v>636</v>
      </c>
      <c r="CP297" t="s">
        <v>6</v>
      </c>
      <c r="CQ297" t="s">
        <v>35</v>
      </c>
      <c r="CR297">
        <v>46161</v>
      </c>
      <c r="CS297">
        <v>1</v>
      </c>
      <c r="CT297">
        <v>1</v>
      </c>
      <c r="CV297">
        <v>1</v>
      </c>
      <c r="CX297">
        <v>1.6203703703703703E-4</v>
      </c>
      <c r="CY297">
        <v>1.6203703703703703E-4</v>
      </c>
      <c r="CZ297">
        <v>0.16980324074074074</v>
      </c>
      <c r="DA297">
        <v>0.18258101851851852</v>
      </c>
      <c r="DB297">
        <v>51</v>
      </c>
      <c r="DC297">
        <v>106</v>
      </c>
      <c r="DD297">
        <v>18</v>
      </c>
      <c r="DE297">
        <v>2</v>
      </c>
      <c r="DF297">
        <v>46162</v>
      </c>
      <c r="DG297">
        <v>0.35289999999999999</v>
      </c>
      <c r="DH297">
        <v>4</v>
      </c>
      <c r="DI297">
        <v>0.22220000000000001</v>
      </c>
      <c r="DJ297">
        <v>3260</v>
      </c>
      <c r="DK297">
        <v>815</v>
      </c>
      <c r="DL297">
        <v>2660</v>
      </c>
      <c r="DM297">
        <v>0.81599999999999995</v>
      </c>
      <c r="DN297">
        <v>0.2792</v>
      </c>
      <c r="DO297">
        <v>82</v>
      </c>
      <c r="DP297">
        <v>887</v>
      </c>
    </row>
    <row r="298" spans="93:120" x14ac:dyDescent="0.25">
      <c r="CO298" t="s">
        <v>636</v>
      </c>
      <c r="CP298" t="s">
        <v>6</v>
      </c>
      <c r="CQ298" t="s">
        <v>35</v>
      </c>
      <c r="CR298">
        <v>46171</v>
      </c>
      <c r="CS298">
        <v>1</v>
      </c>
      <c r="CT298">
        <v>1</v>
      </c>
      <c r="CV298">
        <v>1</v>
      </c>
      <c r="CX298">
        <v>1.0416666666666667E-4</v>
      </c>
      <c r="CY298">
        <v>1.0416666666666667E-4</v>
      </c>
      <c r="CZ298">
        <v>9.5740740740740737E-2</v>
      </c>
      <c r="DA298">
        <v>0.28202546296296294</v>
      </c>
      <c r="DB298">
        <v>39</v>
      </c>
      <c r="DC298">
        <v>104</v>
      </c>
      <c r="DD298">
        <v>16</v>
      </c>
      <c r="DE298">
        <v>1.625</v>
      </c>
      <c r="DF298">
        <v>43863</v>
      </c>
      <c r="DG298">
        <v>0.4103</v>
      </c>
      <c r="DH298">
        <v>2</v>
      </c>
      <c r="DI298">
        <v>0.125</v>
      </c>
      <c r="DJ298">
        <v>6800</v>
      </c>
      <c r="DK298">
        <v>3400</v>
      </c>
      <c r="DL298">
        <v>6800</v>
      </c>
      <c r="DM298">
        <v>1</v>
      </c>
      <c r="DN298">
        <v>0.10340000000000001</v>
      </c>
      <c r="DO298">
        <v>82</v>
      </c>
      <c r="DP298">
        <v>3400</v>
      </c>
    </row>
    <row r="299" spans="93:120" x14ac:dyDescent="0.25">
      <c r="CO299" t="s">
        <v>636</v>
      </c>
      <c r="CP299" t="s">
        <v>6</v>
      </c>
      <c r="CQ299" t="s">
        <v>34</v>
      </c>
      <c r="CR299">
        <v>46149</v>
      </c>
      <c r="CS299">
        <v>1</v>
      </c>
      <c r="CT299">
        <v>1</v>
      </c>
      <c r="CV299">
        <v>1</v>
      </c>
      <c r="CX299">
        <v>1.0416666666666667E-4</v>
      </c>
      <c r="CY299">
        <v>1.0416666666666667E-4</v>
      </c>
      <c r="CZ299">
        <v>0.21621527777777777</v>
      </c>
      <c r="DA299">
        <v>0.12431712962962962</v>
      </c>
      <c r="DB299">
        <v>181</v>
      </c>
      <c r="DC299">
        <v>208</v>
      </c>
      <c r="DD299">
        <v>14</v>
      </c>
      <c r="DE299" t="s">
        <v>762</v>
      </c>
      <c r="DF299">
        <v>19998</v>
      </c>
      <c r="DG299">
        <v>7.7299999999999994E-2</v>
      </c>
      <c r="DH299">
        <v>1</v>
      </c>
      <c r="DI299">
        <v>7.1400000000000005E-2</v>
      </c>
      <c r="DJ299">
        <v>6000</v>
      </c>
      <c r="DK299">
        <v>6000</v>
      </c>
      <c r="DL299">
        <v>6000</v>
      </c>
      <c r="DM299">
        <v>1</v>
      </c>
      <c r="DN299">
        <v>0.34960000000000002</v>
      </c>
      <c r="DO299">
        <v>82</v>
      </c>
      <c r="DP299">
        <v>6000</v>
      </c>
    </row>
    <row r="300" spans="93:120" x14ac:dyDescent="0.25">
      <c r="CO300" t="s">
        <v>636</v>
      </c>
      <c r="CP300" t="s">
        <v>6</v>
      </c>
      <c r="CQ300" t="s">
        <v>34</v>
      </c>
      <c r="CR300">
        <v>46157</v>
      </c>
      <c r="CS300">
        <v>1</v>
      </c>
      <c r="CT300">
        <v>1</v>
      </c>
      <c r="CV300">
        <v>1</v>
      </c>
      <c r="CX300">
        <v>6.9444444444444444E-5</v>
      </c>
      <c r="CY300">
        <v>6.9444444444444444E-5</v>
      </c>
      <c r="CZ300">
        <v>0.28341435185185188</v>
      </c>
      <c r="DA300">
        <v>4.8599537037037038E-2</v>
      </c>
      <c r="DB300">
        <v>76</v>
      </c>
      <c r="DC300">
        <v>116</v>
      </c>
      <c r="DD300">
        <v>17</v>
      </c>
      <c r="DE300" t="s">
        <v>802</v>
      </c>
      <c r="DF300">
        <v>20040</v>
      </c>
      <c r="DG300">
        <v>0.22370000000000001</v>
      </c>
      <c r="DH300">
        <v>1</v>
      </c>
      <c r="DI300">
        <v>5.8799999999999998E-2</v>
      </c>
      <c r="DJ300">
        <v>3000</v>
      </c>
      <c r="DK300">
        <v>3000</v>
      </c>
      <c r="DL300">
        <v>3000</v>
      </c>
      <c r="DM300">
        <v>1</v>
      </c>
      <c r="DN300">
        <v>0.1875</v>
      </c>
      <c r="DO300">
        <v>82</v>
      </c>
      <c r="DP300">
        <v>3000</v>
      </c>
    </row>
    <row r="301" spans="93:120" x14ac:dyDescent="0.25">
      <c r="CO301" t="s">
        <v>636</v>
      </c>
      <c r="CP301" t="s">
        <v>7</v>
      </c>
      <c r="CQ301" t="s">
        <v>18</v>
      </c>
      <c r="CR301">
        <v>46156</v>
      </c>
      <c r="CS301">
        <v>1</v>
      </c>
      <c r="CT301">
        <v>1</v>
      </c>
      <c r="CV301">
        <v>1</v>
      </c>
      <c r="CX301">
        <v>3.8194444444444446E-4</v>
      </c>
      <c r="CY301">
        <v>3.8194444444444446E-4</v>
      </c>
      <c r="CZ301">
        <v>0.20085648148148147</v>
      </c>
      <c r="DA301">
        <v>0.14656250000000001</v>
      </c>
      <c r="DB301">
        <v>152</v>
      </c>
      <c r="DC301">
        <v>290</v>
      </c>
      <c r="DD301">
        <v>11</v>
      </c>
      <c r="DE301">
        <v>2</v>
      </c>
      <c r="DF301">
        <v>18516</v>
      </c>
      <c r="DG301">
        <v>7.2400000000000006E-2</v>
      </c>
      <c r="DO301">
        <v>82</v>
      </c>
    </row>
    <row r="302" spans="93:120" x14ac:dyDescent="0.25">
      <c r="CO302" t="s">
        <v>636</v>
      </c>
      <c r="CP302" t="s">
        <v>7</v>
      </c>
      <c r="CQ302" t="s">
        <v>18</v>
      </c>
      <c r="CR302">
        <v>46169</v>
      </c>
      <c r="CS302">
        <v>1</v>
      </c>
      <c r="CT302">
        <v>1</v>
      </c>
      <c r="CV302">
        <v>1</v>
      </c>
      <c r="CX302">
        <v>2.7777777777777778E-4</v>
      </c>
      <c r="CY302">
        <v>2.7777777777777778E-4</v>
      </c>
      <c r="CZ302">
        <v>0.19214120370370372</v>
      </c>
      <c r="DA302">
        <v>0.14997685185185186</v>
      </c>
      <c r="DB302">
        <v>135</v>
      </c>
      <c r="DC302">
        <v>299</v>
      </c>
      <c r="DD302">
        <v>19</v>
      </c>
      <c r="DE302" t="s">
        <v>792</v>
      </c>
      <c r="DF302">
        <v>44971</v>
      </c>
      <c r="DG302">
        <v>0.14069999999999999</v>
      </c>
      <c r="DH302">
        <v>1</v>
      </c>
      <c r="DI302">
        <v>5.2600000000000001E-2</v>
      </c>
      <c r="DJ302">
        <v>6000</v>
      </c>
      <c r="DK302">
        <v>6000</v>
      </c>
      <c r="DL302">
        <v>6000</v>
      </c>
      <c r="DM302">
        <v>1</v>
      </c>
      <c r="DN302">
        <v>0.16270000000000001</v>
      </c>
      <c r="DO302">
        <v>82</v>
      </c>
      <c r="DP302">
        <v>6000</v>
      </c>
    </row>
    <row r="303" spans="93:120" x14ac:dyDescent="0.25">
      <c r="CO303" t="s">
        <v>636</v>
      </c>
      <c r="CP303" t="s">
        <v>7</v>
      </c>
      <c r="CQ303" t="s">
        <v>60</v>
      </c>
      <c r="CR303">
        <v>46156</v>
      </c>
      <c r="CS303">
        <v>1</v>
      </c>
      <c r="CT303">
        <v>1</v>
      </c>
      <c r="CV303">
        <v>1</v>
      </c>
      <c r="CX303">
        <v>2.8935185185185184E-4</v>
      </c>
      <c r="CY303">
        <v>2.8935185185185184E-4</v>
      </c>
      <c r="CZ303">
        <v>0.19865740740740739</v>
      </c>
      <c r="DA303">
        <v>0.12359953703703704</v>
      </c>
      <c r="DB303">
        <v>150</v>
      </c>
      <c r="DC303">
        <v>220</v>
      </c>
      <c r="DD303">
        <v>13</v>
      </c>
      <c r="DE303" t="s">
        <v>711</v>
      </c>
      <c r="DF303">
        <v>22619</v>
      </c>
      <c r="DG303">
        <v>8.6699999999999999E-2</v>
      </c>
      <c r="DO303">
        <v>82</v>
      </c>
    </row>
    <row r="304" spans="93:120" x14ac:dyDescent="0.25">
      <c r="CO304" t="s">
        <v>636</v>
      </c>
      <c r="CP304" t="s">
        <v>7</v>
      </c>
      <c r="CQ304" t="s">
        <v>60</v>
      </c>
      <c r="CR304">
        <v>46161</v>
      </c>
      <c r="CS304">
        <v>1</v>
      </c>
      <c r="CT304">
        <v>1</v>
      </c>
      <c r="CV304">
        <v>1</v>
      </c>
      <c r="CX304">
        <v>3.3680555555555556E-3</v>
      </c>
      <c r="CY304">
        <v>3.3680555555555556E-3</v>
      </c>
      <c r="CZ304">
        <v>0.2134837962962963</v>
      </c>
      <c r="DA304">
        <v>0.13207175925925926</v>
      </c>
      <c r="DB304">
        <v>151</v>
      </c>
      <c r="DC304">
        <v>221</v>
      </c>
      <c r="DD304">
        <v>16</v>
      </c>
      <c r="DE304">
        <v>1.9375</v>
      </c>
      <c r="DF304">
        <v>26082</v>
      </c>
      <c r="DG304">
        <v>0.106</v>
      </c>
      <c r="DH304">
        <v>1</v>
      </c>
      <c r="DI304">
        <v>6.25E-2</v>
      </c>
      <c r="DJ304">
        <v>300</v>
      </c>
      <c r="DK304">
        <v>300</v>
      </c>
      <c r="DL304">
        <v>300</v>
      </c>
      <c r="DM304">
        <v>1</v>
      </c>
      <c r="DN304">
        <v>0.15909999999999999</v>
      </c>
      <c r="DO304">
        <v>82</v>
      </c>
      <c r="DP304">
        <v>300</v>
      </c>
    </row>
    <row r="305" spans="93:120" x14ac:dyDescent="0.25">
      <c r="CO305" t="s">
        <v>636</v>
      </c>
      <c r="CP305" t="s">
        <v>7</v>
      </c>
      <c r="CQ305" t="s">
        <v>60</v>
      </c>
      <c r="CR305">
        <v>46167</v>
      </c>
      <c r="CS305">
        <v>1</v>
      </c>
      <c r="CT305">
        <v>1</v>
      </c>
      <c r="CV305">
        <v>1</v>
      </c>
      <c r="CX305">
        <v>5.4398148148148144E-4</v>
      </c>
      <c r="CY305">
        <v>5.4398148148148144E-4</v>
      </c>
      <c r="CZ305">
        <v>0.20328703703703704</v>
      </c>
      <c r="DA305">
        <v>0.12515046296296295</v>
      </c>
      <c r="DB305">
        <v>136</v>
      </c>
      <c r="DC305">
        <v>179</v>
      </c>
      <c r="DD305">
        <v>6</v>
      </c>
      <c r="DE305">
        <v>1.5</v>
      </c>
      <c r="DF305">
        <v>49860</v>
      </c>
      <c r="DG305">
        <v>4.41E-2</v>
      </c>
      <c r="DO305">
        <v>82</v>
      </c>
    </row>
    <row r="306" spans="93:120" x14ac:dyDescent="0.25">
      <c r="CO306" t="s">
        <v>636</v>
      </c>
      <c r="CP306" t="s">
        <v>7</v>
      </c>
      <c r="CQ306" t="s">
        <v>80</v>
      </c>
      <c r="CR306">
        <v>46149</v>
      </c>
      <c r="CS306">
        <v>1</v>
      </c>
      <c r="CT306">
        <v>1</v>
      </c>
      <c r="CV306">
        <v>1</v>
      </c>
      <c r="CX306">
        <v>9.2592592592592588E-5</v>
      </c>
      <c r="CY306">
        <v>9.2592592592592588E-5</v>
      </c>
      <c r="CZ306">
        <v>0.21501157407407406</v>
      </c>
      <c r="DA306">
        <v>4.5902777777777778E-2</v>
      </c>
      <c r="DB306">
        <v>41</v>
      </c>
      <c r="DC306">
        <v>91</v>
      </c>
      <c r="DD306">
        <v>7</v>
      </c>
      <c r="DE306" t="s">
        <v>803</v>
      </c>
      <c r="DF306">
        <v>49702</v>
      </c>
      <c r="DG306">
        <v>0.17069999999999999</v>
      </c>
      <c r="DO306">
        <v>82</v>
      </c>
    </row>
    <row r="307" spans="93:120" x14ac:dyDescent="0.25">
      <c r="CO307" t="s">
        <v>636</v>
      </c>
      <c r="CP307" t="s">
        <v>7</v>
      </c>
      <c r="CQ307" t="s">
        <v>80</v>
      </c>
      <c r="CR307">
        <v>46156</v>
      </c>
      <c r="CS307">
        <v>1</v>
      </c>
      <c r="CT307">
        <v>1</v>
      </c>
      <c r="CV307">
        <v>1</v>
      </c>
      <c r="CX307">
        <v>8.1018518518518516E-5</v>
      </c>
      <c r="CY307">
        <v>8.1018518518518516E-5</v>
      </c>
      <c r="CZ307">
        <v>0.18929398148148149</v>
      </c>
      <c r="DA307">
        <v>0.14303240740740741</v>
      </c>
      <c r="DB307">
        <v>79</v>
      </c>
      <c r="DC307">
        <v>228</v>
      </c>
      <c r="DD307">
        <v>8</v>
      </c>
      <c r="DE307">
        <v>2.125</v>
      </c>
      <c r="DF307">
        <v>36414</v>
      </c>
      <c r="DG307">
        <v>0.1013</v>
      </c>
      <c r="DO307">
        <v>82</v>
      </c>
    </row>
    <row r="308" spans="93:120" x14ac:dyDescent="0.25">
      <c r="CO308" t="s">
        <v>636</v>
      </c>
      <c r="CP308" t="s">
        <v>7</v>
      </c>
      <c r="CQ308" t="s">
        <v>72</v>
      </c>
      <c r="CR308">
        <v>46149</v>
      </c>
      <c r="CS308">
        <v>1</v>
      </c>
      <c r="CT308">
        <v>1</v>
      </c>
      <c r="CV308">
        <v>1</v>
      </c>
      <c r="CX308">
        <v>1.3773148148148147E-3</v>
      </c>
      <c r="CY308">
        <v>1.3773148148148147E-3</v>
      </c>
      <c r="CZ308">
        <v>0.23172453703703705</v>
      </c>
      <c r="DA308">
        <v>0.10836805555555555</v>
      </c>
      <c r="DB308">
        <v>136</v>
      </c>
      <c r="DC308">
        <v>348</v>
      </c>
      <c r="DD308">
        <v>26</v>
      </c>
      <c r="DE308" t="s">
        <v>711</v>
      </c>
      <c r="DF308">
        <v>27928</v>
      </c>
      <c r="DG308">
        <v>0.19120000000000001</v>
      </c>
      <c r="DO308">
        <v>82</v>
      </c>
    </row>
    <row r="309" spans="93:120" x14ac:dyDescent="0.25">
      <c r="CO309" t="s">
        <v>636</v>
      </c>
      <c r="CP309" t="s">
        <v>7</v>
      </c>
      <c r="CQ309" t="s">
        <v>72</v>
      </c>
      <c r="CR309">
        <v>46156</v>
      </c>
      <c r="CS309">
        <v>1</v>
      </c>
      <c r="CT309">
        <v>1</v>
      </c>
      <c r="CV309">
        <v>1</v>
      </c>
      <c r="CX309">
        <v>1.273148148148148E-4</v>
      </c>
      <c r="CY309">
        <v>1.273148148148148E-4</v>
      </c>
      <c r="CZ309">
        <v>0.20771990740740739</v>
      </c>
      <c r="DA309">
        <v>0.12608796296296296</v>
      </c>
      <c r="DB309">
        <v>148</v>
      </c>
      <c r="DC309">
        <v>330</v>
      </c>
      <c r="DD309">
        <v>21</v>
      </c>
      <c r="DE309" t="s">
        <v>752</v>
      </c>
      <c r="DF309">
        <v>15397</v>
      </c>
      <c r="DG309">
        <v>0.1419</v>
      </c>
      <c r="DO309">
        <v>82</v>
      </c>
    </row>
    <row r="310" spans="93:120" x14ac:dyDescent="0.25">
      <c r="CO310" t="s">
        <v>636</v>
      </c>
      <c r="CP310" t="s">
        <v>7</v>
      </c>
      <c r="CQ310" t="s">
        <v>72</v>
      </c>
      <c r="CR310">
        <v>46171</v>
      </c>
      <c r="CS310">
        <v>1</v>
      </c>
      <c r="CT310">
        <v>1</v>
      </c>
      <c r="CV310">
        <v>1</v>
      </c>
      <c r="CX310">
        <v>1.238425925925926E-3</v>
      </c>
      <c r="CY310">
        <v>1.238425925925926E-3</v>
      </c>
      <c r="CZ310">
        <v>0.12328703703703704</v>
      </c>
      <c r="DA310">
        <v>0.12454861111111111</v>
      </c>
      <c r="DB310">
        <v>123</v>
      </c>
      <c r="DC310">
        <v>317</v>
      </c>
      <c r="DD310">
        <v>21</v>
      </c>
      <c r="DE310" t="s">
        <v>752</v>
      </c>
      <c r="DF310">
        <v>45144</v>
      </c>
      <c r="DG310">
        <v>0.17069999999999999</v>
      </c>
      <c r="DH310">
        <v>2</v>
      </c>
      <c r="DI310">
        <v>9.5200000000000007E-2</v>
      </c>
      <c r="DJ310">
        <v>1400</v>
      </c>
      <c r="DK310">
        <v>700</v>
      </c>
      <c r="DL310">
        <v>1400</v>
      </c>
      <c r="DM310">
        <v>1</v>
      </c>
      <c r="DN310">
        <v>0.28139999999999998</v>
      </c>
      <c r="DO310">
        <v>82</v>
      </c>
      <c r="DP310">
        <v>700</v>
      </c>
    </row>
    <row r="311" spans="93:120" x14ac:dyDescent="0.25">
      <c r="CO311" t="s">
        <v>636</v>
      </c>
      <c r="CP311" t="s">
        <v>7</v>
      </c>
      <c r="CQ311" t="s">
        <v>12</v>
      </c>
      <c r="CR311">
        <v>46149</v>
      </c>
      <c r="CS311">
        <v>1</v>
      </c>
      <c r="CT311">
        <v>1</v>
      </c>
      <c r="CV311">
        <v>1</v>
      </c>
      <c r="CX311">
        <v>2.0833333333333335E-4</v>
      </c>
      <c r="CY311">
        <v>2.0833333333333335E-4</v>
      </c>
      <c r="CZ311">
        <v>0.22396990740740741</v>
      </c>
      <c r="DA311">
        <v>0.11590277777777777</v>
      </c>
      <c r="DB311">
        <v>98</v>
      </c>
      <c r="DC311">
        <v>261</v>
      </c>
      <c r="DD311">
        <v>17</v>
      </c>
      <c r="DE311" t="s">
        <v>804</v>
      </c>
      <c r="DF311">
        <v>37310</v>
      </c>
      <c r="DG311">
        <v>0.17349999999999999</v>
      </c>
      <c r="DO311">
        <v>82</v>
      </c>
    </row>
    <row r="312" spans="93:120" x14ac:dyDescent="0.25">
      <c r="CO312" t="s">
        <v>636</v>
      </c>
      <c r="CP312" t="s">
        <v>7</v>
      </c>
      <c r="CQ312" t="s">
        <v>12</v>
      </c>
      <c r="CR312">
        <v>46167</v>
      </c>
      <c r="CS312">
        <v>1</v>
      </c>
      <c r="CT312">
        <v>1</v>
      </c>
      <c r="CV312">
        <v>1</v>
      </c>
      <c r="CX312">
        <v>3.0092592592592595E-4</v>
      </c>
      <c r="CY312">
        <v>3.0092592592592595E-4</v>
      </c>
      <c r="CZ312">
        <v>0.21178240740740742</v>
      </c>
      <c r="DA312">
        <v>0.1193287037037037</v>
      </c>
      <c r="DB312">
        <v>86</v>
      </c>
      <c r="DC312">
        <v>211</v>
      </c>
      <c r="DD312">
        <v>18</v>
      </c>
      <c r="DE312" t="s">
        <v>697</v>
      </c>
      <c r="DF312">
        <v>35131</v>
      </c>
      <c r="DG312">
        <v>0.20930000000000001</v>
      </c>
      <c r="DO312">
        <v>82</v>
      </c>
    </row>
    <row r="313" spans="93:120" x14ac:dyDescent="0.25">
      <c r="CO313" t="s">
        <v>636</v>
      </c>
      <c r="CP313" t="s">
        <v>7</v>
      </c>
      <c r="CQ313" t="s">
        <v>51</v>
      </c>
      <c r="CR313">
        <v>46167</v>
      </c>
      <c r="CS313">
        <v>1</v>
      </c>
      <c r="CT313">
        <v>1</v>
      </c>
      <c r="CV313">
        <v>1</v>
      </c>
      <c r="CX313">
        <v>4.9768518518518521E-4</v>
      </c>
      <c r="CY313">
        <v>4.9768518518518521E-4</v>
      </c>
      <c r="CZ313">
        <v>0.20905092592592592</v>
      </c>
      <c r="DA313">
        <v>0.12224537037037037</v>
      </c>
      <c r="DB313">
        <v>88</v>
      </c>
      <c r="DC313">
        <v>294</v>
      </c>
      <c r="DD313">
        <v>10</v>
      </c>
      <c r="DE313">
        <v>1.5</v>
      </c>
      <c r="DF313">
        <v>19348</v>
      </c>
      <c r="DG313">
        <v>0.11360000000000001</v>
      </c>
      <c r="DO313">
        <v>82</v>
      </c>
    </row>
    <row r="314" spans="93:120" x14ac:dyDescent="0.25">
      <c r="CO314" t="s">
        <v>636</v>
      </c>
      <c r="CP314" t="s">
        <v>7</v>
      </c>
      <c r="CQ314" t="s">
        <v>26</v>
      </c>
      <c r="CR314">
        <v>46149</v>
      </c>
      <c r="CS314">
        <v>1</v>
      </c>
      <c r="CT314">
        <v>1</v>
      </c>
      <c r="CV314">
        <v>1</v>
      </c>
      <c r="CX314">
        <v>1.5046296296296297E-4</v>
      </c>
      <c r="CY314">
        <v>1.5046296296296297E-4</v>
      </c>
      <c r="CZ314">
        <v>0.2512152777777778</v>
      </c>
      <c r="DA314">
        <v>9.8923611111111115E-2</v>
      </c>
      <c r="DB314">
        <v>150</v>
      </c>
      <c r="DC314">
        <v>297</v>
      </c>
      <c r="DD314">
        <v>20</v>
      </c>
      <c r="DE314">
        <v>1.25</v>
      </c>
      <c r="DF314">
        <v>62388</v>
      </c>
      <c r="DG314">
        <v>0.1333</v>
      </c>
      <c r="DO314">
        <v>82</v>
      </c>
    </row>
    <row r="315" spans="93:120" x14ac:dyDescent="0.25">
      <c r="CO315" t="s">
        <v>636</v>
      </c>
      <c r="CP315" t="s">
        <v>7</v>
      </c>
      <c r="CQ315" t="s">
        <v>26</v>
      </c>
      <c r="CR315">
        <v>46163</v>
      </c>
      <c r="CS315">
        <v>1</v>
      </c>
      <c r="CT315">
        <v>1</v>
      </c>
      <c r="CV315">
        <v>1</v>
      </c>
      <c r="CX315">
        <v>1.1574074074074075E-4</v>
      </c>
      <c r="CY315">
        <v>1.1574074074074075E-4</v>
      </c>
      <c r="CZ315">
        <v>0.25171296296296297</v>
      </c>
      <c r="DA315">
        <v>9.6944444444444444E-2</v>
      </c>
      <c r="DB315">
        <v>162</v>
      </c>
      <c r="DC315">
        <v>359</v>
      </c>
      <c r="DD315">
        <v>23</v>
      </c>
      <c r="DE315">
        <v>2</v>
      </c>
      <c r="DF315">
        <v>30933</v>
      </c>
      <c r="DG315">
        <v>0.14199999999999999</v>
      </c>
      <c r="DH315">
        <v>2</v>
      </c>
      <c r="DI315">
        <v>8.6999999999999994E-2</v>
      </c>
      <c r="DJ315">
        <v>1590</v>
      </c>
      <c r="DK315">
        <v>795</v>
      </c>
      <c r="DL315">
        <v>1280</v>
      </c>
      <c r="DM315">
        <v>0.80500000000000005</v>
      </c>
      <c r="DN315">
        <v>0.1079</v>
      </c>
      <c r="DO315">
        <v>82</v>
      </c>
      <c r="DP315">
        <v>1280</v>
      </c>
    </row>
    <row r="316" spans="93:120" x14ac:dyDescent="0.25">
      <c r="CO316" t="s">
        <v>636</v>
      </c>
      <c r="CP316" t="s">
        <v>7</v>
      </c>
      <c r="CQ316" t="s">
        <v>26</v>
      </c>
      <c r="CR316">
        <v>46167</v>
      </c>
      <c r="CS316">
        <v>1</v>
      </c>
      <c r="CT316">
        <v>1</v>
      </c>
      <c r="CV316">
        <v>1</v>
      </c>
      <c r="CX316">
        <v>2.199074074074074E-4</v>
      </c>
      <c r="CY316">
        <v>2.199074074074074E-4</v>
      </c>
      <c r="CZ316">
        <v>0.24542824074074074</v>
      </c>
      <c r="DA316">
        <v>0.11082175925925926</v>
      </c>
      <c r="DB316">
        <v>109</v>
      </c>
      <c r="DC316">
        <v>300</v>
      </c>
      <c r="DD316">
        <v>26</v>
      </c>
      <c r="DE316" t="s">
        <v>805</v>
      </c>
      <c r="DF316">
        <v>33485</v>
      </c>
      <c r="DG316">
        <v>0.23849999999999999</v>
      </c>
      <c r="DH316">
        <v>1</v>
      </c>
      <c r="DI316">
        <v>3.85E-2</v>
      </c>
      <c r="DJ316">
        <v>600</v>
      </c>
      <c r="DK316">
        <v>600</v>
      </c>
      <c r="DO316">
        <v>82</v>
      </c>
    </row>
    <row r="317" spans="93:120" x14ac:dyDescent="0.25">
      <c r="CO317" t="s">
        <v>636</v>
      </c>
      <c r="CP317" t="s">
        <v>7</v>
      </c>
      <c r="CQ317" t="s">
        <v>26</v>
      </c>
      <c r="CR317">
        <v>46169</v>
      </c>
      <c r="CS317">
        <v>1</v>
      </c>
      <c r="CT317">
        <v>1</v>
      </c>
      <c r="CV317">
        <v>1</v>
      </c>
      <c r="CX317">
        <v>6.9444444444444444E-5</v>
      </c>
      <c r="CY317">
        <v>6.9444444444444444E-5</v>
      </c>
      <c r="CZ317">
        <v>0.18084490740740741</v>
      </c>
      <c r="DA317">
        <v>0.17458333333333334</v>
      </c>
      <c r="DB317">
        <v>130</v>
      </c>
      <c r="DC317">
        <v>313</v>
      </c>
      <c r="DD317">
        <v>22</v>
      </c>
      <c r="DE317" t="s">
        <v>806</v>
      </c>
      <c r="DF317">
        <v>52518</v>
      </c>
      <c r="DG317">
        <v>0.16919999999999999</v>
      </c>
      <c r="DH317">
        <v>2</v>
      </c>
      <c r="DI317">
        <v>9.0899999999999995E-2</v>
      </c>
      <c r="DJ317">
        <v>7500</v>
      </c>
      <c r="DK317">
        <v>3750</v>
      </c>
      <c r="DL317">
        <v>7500</v>
      </c>
      <c r="DM317">
        <v>1</v>
      </c>
      <c r="DN317">
        <v>0.1067</v>
      </c>
      <c r="DO317">
        <v>82</v>
      </c>
      <c r="DP317">
        <v>3750</v>
      </c>
    </row>
    <row r="318" spans="93:120" x14ac:dyDescent="0.25">
      <c r="CO318" t="s">
        <v>636</v>
      </c>
      <c r="CP318" t="s">
        <v>7</v>
      </c>
      <c r="CQ318" t="s">
        <v>75</v>
      </c>
      <c r="CR318">
        <v>46149</v>
      </c>
      <c r="CS318">
        <v>1</v>
      </c>
      <c r="CT318">
        <v>1</v>
      </c>
      <c r="CV318">
        <v>1</v>
      </c>
      <c r="CX318">
        <v>1.273148148148148E-4</v>
      </c>
      <c r="CY318">
        <v>1.273148148148148E-4</v>
      </c>
      <c r="CZ318">
        <v>0.22171296296296297</v>
      </c>
      <c r="DA318">
        <v>0.10765046296296296</v>
      </c>
      <c r="DB318">
        <v>65</v>
      </c>
      <c r="DC318">
        <v>167</v>
      </c>
      <c r="DD318">
        <v>11</v>
      </c>
      <c r="DE318" t="s">
        <v>807</v>
      </c>
      <c r="DF318">
        <v>28237</v>
      </c>
      <c r="DG318">
        <v>0.16919999999999999</v>
      </c>
      <c r="DO318">
        <v>82</v>
      </c>
    </row>
    <row r="319" spans="93:120" x14ac:dyDescent="0.25">
      <c r="CO319" t="s">
        <v>636</v>
      </c>
      <c r="CP319" t="s">
        <v>7</v>
      </c>
      <c r="CQ319" t="s">
        <v>75</v>
      </c>
      <c r="CR319">
        <v>46156</v>
      </c>
      <c r="CS319">
        <v>1</v>
      </c>
      <c r="CT319">
        <v>1</v>
      </c>
      <c r="CV319">
        <v>1</v>
      </c>
      <c r="CX319">
        <v>3.8194444444444446E-4</v>
      </c>
      <c r="CY319">
        <v>3.8194444444444446E-4</v>
      </c>
      <c r="CZ319">
        <v>0.20789351851851851</v>
      </c>
      <c r="DA319">
        <v>0.12097222222222222</v>
      </c>
      <c r="DB319">
        <v>98</v>
      </c>
      <c r="DC319">
        <v>190</v>
      </c>
      <c r="DD319">
        <v>14</v>
      </c>
      <c r="DE319" t="s">
        <v>705</v>
      </c>
      <c r="DF319">
        <v>17224</v>
      </c>
      <c r="DG319">
        <v>0.1429</v>
      </c>
      <c r="DO319">
        <v>82</v>
      </c>
    </row>
    <row r="320" spans="93:120" x14ac:dyDescent="0.25">
      <c r="CO320" t="s">
        <v>636</v>
      </c>
      <c r="CP320" t="s">
        <v>7</v>
      </c>
      <c r="CQ320" t="s">
        <v>75</v>
      </c>
      <c r="CR320">
        <v>46167</v>
      </c>
      <c r="CS320">
        <v>1</v>
      </c>
      <c r="CT320">
        <v>1</v>
      </c>
      <c r="CV320">
        <v>1</v>
      </c>
      <c r="CX320">
        <v>2.9513888888888888E-3</v>
      </c>
      <c r="CY320">
        <v>2.9513888888888888E-3</v>
      </c>
      <c r="CZ320">
        <v>0.18747685185185184</v>
      </c>
      <c r="DA320">
        <v>0.13885416666666667</v>
      </c>
      <c r="DB320">
        <v>73</v>
      </c>
      <c r="DC320">
        <v>177</v>
      </c>
      <c r="DD320">
        <v>15</v>
      </c>
      <c r="DE320" t="s">
        <v>808</v>
      </c>
      <c r="DF320">
        <v>38851</v>
      </c>
      <c r="DG320">
        <v>0.20549999999999999</v>
      </c>
      <c r="DO320">
        <v>82</v>
      </c>
    </row>
    <row r="321" spans="93:120" x14ac:dyDescent="0.25">
      <c r="CO321" t="s">
        <v>636</v>
      </c>
      <c r="CP321" t="s">
        <v>7</v>
      </c>
      <c r="CQ321" t="s">
        <v>59</v>
      </c>
      <c r="CR321">
        <v>46148</v>
      </c>
      <c r="CS321">
        <v>1</v>
      </c>
      <c r="CT321">
        <v>1</v>
      </c>
      <c r="CV321">
        <v>1</v>
      </c>
      <c r="CX321">
        <v>1.5393518518518519E-3</v>
      </c>
      <c r="CY321">
        <v>1.5393518518518519E-3</v>
      </c>
      <c r="CZ321">
        <v>0.20465277777777777</v>
      </c>
      <c r="DA321">
        <v>0.11885416666666666</v>
      </c>
      <c r="DB321">
        <v>185</v>
      </c>
      <c r="DC321">
        <v>338</v>
      </c>
      <c r="DD321">
        <v>16</v>
      </c>
      <c r="DE321">
        <v>1.9375</v>
      </c>
      <c r="DF321">
        <v>33791</v>
      </c>
      <c r="DG321">
        <v>8.6499999999999994E-2</v>
      </c>
      <c r="DH321">
        <v>1</v>
      </c>
      <c r="DI321">
        <v>6.25E-2</v>
      </c>
      <c r="DJ321">
        <v>1000</v>
      </c>
      <c r="DK321">
        <v>1000</v>
      </c>
      <c r="DO321">
        <v>82</v>
      </c>
    </row>
    <row r="322" spans="93:120" x14ac:dyDescent="0.25">
      <c r="CO322" t="s">
        <v>636</v>
      </c>
      <c r="CP322" t="s">
        <v>7</v>
      </c>
      <c r="CQ322" t="s">
        <v>59</v>
      </c>
      <c r="CR322">
        <v>46156</v>
      </c>
      <c r="CS322">
        <v>1</v>
      </c>
      <c r="CT322">
        <v>1</v>
      </c>
      <c r="CV322">
        <v>1</v>
      </c>
      <c r="CX322">
        <v>1.1574074074074073E-5</v>
      </c>
      <c r="CY322">
        <v>1.1574074074074073E-5</v>
      </c>
      <c r="CZ322">
        <v>0.17327546296296295</v>
      </c>
      <c r="DA322">
        <v>0.18339120370370371</v>
      </c>
      <c r="DB322">
        <v>189</v>
      </c>
      <c r="DC322">
        <v>316</v>
      </c>
      <c r="DD322">
        <v>12</v>
      </c>
      <c r="DE322" t="s">
        <v>674</v>
      </c>
      <c r="DF322">
        <v>21267</v>
      </c>
      <c r="DG322">
        <v>6.3500000000000001E-2</v>
      </c>
      <c r="DO322">
        <v>82</v>
      </c>
    </row>
    <row r="323" spans="93:120" x14ac:dyDescent="0.25">
      <c r="CO323" t="s">
        <v>636</v>
      </c>
      <c r="CP323" t="s">
        <v>7</v>
      </c>
      <c r="CQ323" t="s">
        <v>59</v>
      </c>
      <c r="CR323">
        <v>46167</v>
      </c>
      <c r="CS323">
        <v>1</v>
      </c>
      <c r="CT323">
        <v>1</v>
      </c>
      <c r="CV323">
        <v>1</v>
      </c>
      <c r="CX323">
        <v>1.9675925925925926E-4</v>
      </c>
      <c r="CY323">
        <v>1.9675925925925926E-4</v>
      </c>
      <c r="CZ323">
        <v>0.16826388888888888</v>
      </c>
      <c r="DA323">
        <v>0.17900462962962962</v>
      </c>
      <c r="DB323">
        <v>152</v>
      </c>
      <c r="DC323">
        <v>273</v>
      </c>
      <c r="DD323">
        <v>15</v>
      </c>
      <c r="DE323" t="s">
        <v>739</v>
      </c>
      <c r="DF323">
        <v>28552</v>
      </c>
      <c r="DG323">
        <v>9.8699999999999996E-2</v>
      </c>
      <c r="DO323">
        <v>82</v>
      </c>
    </row>
    <row r="324" spans="93:120" x14ac:dyDescent="0.25">
      <c r="CO324" t="s">
        <v>636</v>
      </c>
      <c r="CP324" t="s">
        <v>7</v>
      </c>
      <c r="CQ324" t="s">
        <v>59</v>
      </c>
      <c r="CR324">
        <v>46171</v>
      </c>
      <c r="CS324">
        <v>1</v>
      </c>
      <c r="CT324">
        <v>1</v>
      </c>
      <c r="CV324">
        <v>1</v>
      </c>
      <c r="CX324">
        <v>1.1574074074074075E-4</v>
      </c>
      <c r="CY324">
        <v>1.1574074074074075E-4</v>
      </c>
      <c r="CZ324">
        <v>8.038194444444445E-2</v>
      </c>
      <c r="DA324">
        <v>0.29199074074074072</v>
      </c>
      <c r="DB324">
        <v>181</v>
      </c>
      <c r="DC324">
        <v>305</v>
      </c>
      <c r="DD324">
        <v>20</v>
      </c>
      <c r="DE324">
        <v>1.95</v>
      </c>
      <c r="DF324">
        <v>41126</v>
      </c>
      <c r="DG324">
        <v>0.1105</v>
      </c>
      <c r="DH324">
        <v>2</v>
      </c>
      <c r="DI324">
        <v>0.1</v>
      </c>
      <c r="DJ324">
        <v>2900</v>
      </c>
      <c r="DK324">
        <v>1450</v>
      </c>
      <c r="DL324">
        <v>2900</v>
      </c>
      <c r="DM324">
        <v>1</v>
      </c>
      <c r="DN324">
        <v>0.13100000000000001</v>
      </c>
      <c r="DO324">
        <v>82</v>
      </c>
      <c r="DP324">
        <v>1450</v>
      </c>
    </row>
    <row r="325" spans="93:120" x14ac:dyDescent="0.25">
      <c r="CO325" t="s">
        <v>636</v>
      </c>
      <c r="CP325" t="s">
        <v>604</v>
      </c>
      <c r="CQ325" t="s">
        <v>109</v>
      </c>
      <c r="CR325">
        <v>46148</v>
      </c>
      <c r="CS325">
        <v>1</v>
      </c>
      <c r="CT325">
        <v>1</v>
      </c>
      <c r="CV325">
        <v>1</v>
      </c>
      <c r="CX325">
        <v>2.199074074074074E-4</v>
      </c>
      <c r="CY325">
        <v>2.199074074074074E-4</v>
      </c>
      <c r="CZ325">
        <v>0.24644675925925927</v>
      </c>
      <c r="DA325">
        <v>0.1028587962962963</v>
      </c>
      <c r="DB325">
        <v>97</v>
      </c>
      <c r="DC325">
        <v>184</v>
      </c>
      <c r="DD325">
        <v>23</v>
      </c>
      <c r="DE325" t="s">
        <v>809</v>
      </c>
      <c r="DF325">
        <v>15229</v>
      </c>
      <c r="DG325">
        <v>0.23710000000000001</v>
      </c>
      <c r="DH325">
        <v>1</v>
      </c>
      <c r="DI325">
        <v>4.3499999999999997E-2</v>
      </c>
      <c r="DJ325">
        <v>272</v>
      </c>
      <c r="DK325">
        <v>272</v>
      </c>
      <c r="DO325">
        <v>82</v>
      </c>
    </row>
    <row r="326" spans="93:120" x14ac:dyDescent="0.25">
      <c r="CO326" t="s">
        <v>636</v>
      </c>
      <c r="CP326" t="s">
        <v>604</v>
      </c>
      <c r="CQ326" t="s">
        <v>495</v>
      </c>
      <c r="CR326">
        <v>46154</v>
      </c>
      <c r="CS326">
        <v>1</v>
      </c>
      <c r="CT326">
        <v>1</v>
      </c>
      <c r="CV326">
        <v>1</v>
      </c>
      <c r="CX326">
        <v>2.3148148148148147E-5</v>
      </c>
      <c r="CY326">
        <v>2.3148148148148147E-5</v>
      </c>
      <c r="CZ326">
        <v>0.24361111111111111</v>
      </c>
      <c r="DA326">
        <v>0.18128472222222222</v>
      </c>
      <c r="DB326">
        <v>140</v>
      </c>
      <c r="DC326">
        <v>334</v>
      </c>
      <c r="DD326">
        <v>30</v>
      </c>
      <c r="DE326" t="s">
        <v>810</v>
      </c>
      <c r="DF326">
        <v>16640</v>
      </c>
      <c r="DG326">
        <v>0.21429999999999999</v>
      </c>
      <c r="DH326">
        <v>2</v>
      </c>
      <c r="DI326">
        <v>6.6699999999999995E-2</v>
      </c>
      <c r="DJ326">
        <v>2300</v>
      </c>
      <c r="DK326">
        <v>1150</v>
      </c>
      <c r="DL326">
        <v>2000</v>
      </c>
      <c r="DM326">
        <v>0.86960000000000004</v>
      </c>
      <c r="DO326">
        <v>82</v>
      </c>
      <c r="DP326">
        <v>2000</v>
      </c>
    </row>
    <row r="327" spans="93:120" x14ac:dyDescent="0.25">
      <c r="CO327" t="s">
        <v>636</v>
      </c>
      <c r="CP327" t="s">
        <v>604</v>
      </c>
      <c r="CQ327" t="s">
        <v>495</v>
      </c>
      <c r="CR327">
        <v>46156</v>
      </c>
      <c r="CS327">
        <v>1</v>
      </c>
      <c r="CT327">
        <v>1</v>
      </c>
      <c r="CV327">
        <v>1</v>
      </c>
      <c r="CX327">
        <v>1.3888888888888889E-4</v>
      </c>
      <c r="CY327">
        <v>1.3888888888888889E-4</v>
      </c>
      <c r="CZ327">
        <v>0.16912037037037037</v>
      </c>
      <c r="DA327">
        <v>0.19917824074074075</v>
      </c>
      <c r="DB327">
        <v>109</v>
      </c>
      <c r="DC327">
        <v>224</v>
      </c>
      <c r="DD327">
        <v>25</v>
      </c>
      <c r="DE327">
        <v>1.64</v>
      </c>
      <c r="DF327">
        <v>23749</v>
      </c>
      <c r="DG327">
        <v>0.22939999999999999</v>
      </c>
      <c r="DH327">
        <v>1</v>
      </c>
      <c r="DI327">
        <v>0.04</v>
      </c>
      <c r="DJ327">
        <v>600</v>
      </c>
      <c r="DK327">
        <v>600</v>
      </c>
      <c r="DO327">
        <v>82</v>
      </c>
    </row>
    <row r="328" spans="93:120" x14ac:dyDescent="0.25">
      <c r="CO328" t="s">
        <v>636</v>
      </c>
      <c r="CP328" t="s">
        <v>604</v>
      </c>
      <c r="CQ328" t="s">
        <v>495</v>
      </c>
      <c r="CR328">
        <v>46168</v>
      </c>
      <c r="CS328">
        <v>1</v>
      </c>
      <c r="CT328">
        <v>1</v>
      </c>
      <c r="CU328">
        <v>1</v>
      </c>
      <c r="CX328">
        <v>5.6365740740740742E-3</v>
      </c>
      <c r="CY328">
        <v>5.6365740740740742E-3</v>
      </c>
      <c r="CZ328">
        <v>0.17449074074074075</v>
      </c>
      <c r="DA328">
        <v>0.13317129629629629</v>
      </c>
      <c r="DB328">
        <v>115</v>
      </c>
      <c r="DC328">
        <v>297</v>
      </c>
      <c r="DD328">
        <v>20</v>
      </c>
      <c r="DE328">
        <v>2</v>
      </c>
      <c r="DF328">
        <v>22745</v>
      </c>
      <c r="DG328">
        <v>0.1739</v>
      </c>
      <c r="DH328">
        <v>1</v>
      </c>
      <c r="DI328">
        <v>0.05</v>
      </c>
      <c r="DJ328">
        <v>800</v>
      </c>
      <c r="DK328">
        <v>800</v>
      </c>
      <c r="DL328">
        <v>800</v>
      </c>
      <c r="DM328">
        <v>1</v>
      </c>
      <c r="DN328">
        <v>0.11310000000000001</v>
      </c>
      <c r="DO328">
        <v>82</v>
      </c>
      <c r="DP328">
        <v>800</v>
      </c>
    </row>
    <row r="329" spans="93:120" x14ac:dyDescent="0.25">
      <c r="CO329" t="s">
        <v>636</v>
      </c>
      <c r="CP329" t="s">
        <v>604</v>
      </c>
      <c r="CQ329" t="s">
        <v>495</v>
      </c>
      <c r="CR329">
        <v>46171</v>
      </c>
      <c r="CS329">
        <v>1</v>
      </c>
      <c r="CT329">
        <v>1</v>
      </c>
      <c r="CV329">
        <v>1</v>
      </c>
      <c r="CX329">
        <v>5.2083333333333333E-4</v>
      </c>
      <c r="CY329">
        <v>5.2083333333333333E-4</v>
      </c>
      <c r="CZ329">
        <v>0.14181712962962964</v>
      </c>
      <c r="DA329">
        <v>0.25644675925925925</v>
      </c>
      <c r="DB329">
        <v>64</v>
      </c>
      <c r="DC329">
        <v>140</v>
      </c>
      <c r="DD329">
        <v>24</v>
      </c>
      <c r="DE329" t="s">
        <v>689</v>
      </c>
      <c r="DF329">
        <v>25849</v>
      </c>
      <c r="DG329">
        <v>0.375</v>
      </c>
      <c r="DH329">
        <v>2</v>
      </c>
      <c r="DI329">
        <v>8.3299999999999999E-2</v>
      </c>
      <c r="DJ329">
        <v>1150</v>
      </c>
      <c r="DK329">
        <v>575</v>
      </c>
      <c r="DL329">
        <v>150</v>
      </c>
      <c r="DM329">
        <v>0.13039999999999999</v>
      </c>
      <c r="DN329">
        <v>2.64E-2</v>
      </c>
      <c r="DO329">
        <v>82</v>
      </c>
      <c r="DP329">
        <v>150</v>
      </c>
    </row>
    <row r="330" spans="93:120" x14ac:dyDescent="0.25">
      <c r="CO330" t="s">
        <v>636</v>
      </c>
      <c r="CP330" t="s">
        <v>604</v>
      </c>
      <c r="CQ330" t="s">
        <v>600</v>
      </c>
      <c r="CR330">
        <v>46149</v>
      </c>
      <c r="CS330">
        <v>1</v>
      </c>
      <c r="CT330">
        <v>1</v>
      </c>
      <c r="CV330">
        <v>1</v>
      </c>
      <c r="CX330">
        <v>3.1250000000000001E-4</v>
      </c>
      <c r="CY330">
        <v>3.1250000000000001E-4</v>
      </c>
      <c r="CZ330">
        <v>0.23268518518518519</v>
      </c>
      <c r="DA330">
        <v>9.7766203703703702E-2</v>
      </c>
      <c r="DB330">
        <v>120</v>
      </c>
      <c r="DC330">
        <v>162</v>
      </c>
      <c r="DD330">
        <v>12</v>
      </c>
      <c r="DE330" t="s">
        <v>811</v>
      </c>
      <c r="DF330">
        <v>15474</v>
      </c>
      <c r="DG330">
        <v>0.1</v>
      </c>
      <c r="DO330">
        <v>82</v>
      </c>
    </row>
    <row r="331" spans="93:120" x14ac:dyDescent="0.25">
      <c r="CO331" t="s">
        <v>636</v>
      </c>
      <c r="CP331" t="s">
        <v>604</v>
      </c>
      <c r="CQ331" t="s">
        <v>49</v>
      </c>
      <c r="CR331">
        <v>46162</v>
      </c>
      <c r="CS331">
        <v>1</v>
      </c>
      <c r="CT331">
        <v>1</v>
      </c>
      <c r="CV331">
        <v>1</v>
      </c>
      <c r="CX331">
        <v>0</v>
      </c>
      <c r="CY331">
        <v>0</v>
      </c>
      <c r="CZ331">
        <v>0.26168981481481479</v>
      </c>
      <c r="DA331">
        <v>0.11717592592592592</v>
      </c>
      <c r="DB331">
        <v>57</v>
      </c>
      <c r="DC331">
        <v>76</v>
      </c>
      <c r="DD331">
        <v>12</v>
      </c>
      <c r="DE331" t="s">
        <v>712</v>
      </c>
      <c r="DF331">
        <v>35700</v>
      </c>
      <c r="DG331">
        <v>0.21049999999999999</v>
      </c>
      <c r="DH331">
        <v>1</v>
      </c>
      <c r="DI331">
        <v>8.3299999999999999E-2</v>
      </c>
      <c r="DJ331">
        <v>260</v>
      </c>
      <c r="DK331">
        <v>260</v>
      </c>
      <c r="DO331">
        <v>82</v>
      </c>
    </row>
    <row r="332" spans="93:120" x14ac:dyDescent="0.25">
      <c r="CO332" t="s">
        <v>636</v>
      </c>
      <c r="CP332" t="s">
        <v>604</v>
      </c>
      <c r="CQ332" t="s">
        <v>599</v>
      </c>
      <c r="CR332">
        <v>46149</v>
      </c>
      <c r="CS332">
        <v>1</v>
      </c>
      <c r="CT332">
        <v>1</v>
      </c>
      <c r="CV332">
        <v>1</v>
      </c>
      <c r="CX332">
        <v>0</v>
      </c>
      <c r="CY332">
        <v>0</v>
      </c>
      <c r="CZ332">
        <v>0.24472222222222223</v>
      </c>
      <c r="DA332">
        <v>4.2789351851851849E-2</v>
      </c>
      <c r="DB332">
        <v>144</v>
      </c>
      <c r="DC332">
        <v>184</v>
      </c>
      <c r="DD332">
        <v>35</v>
      </c>
      <c r="DE332" t="s">
        <v>812</v>
      </c>
      <c r="DF332">
        <v>6598</v>
      </c>
      <c r="DG332">
        <v>0.24310000000000001</v>
      </c>
      <c r="DO332">
        <v>82</v>
      </c>
    </row>
    <row r="333" spans="93:120" x14ac:dyDescent="0.25">
      <c r="CO333" t="s">
        <v>636</v>
      </c>
      <c r="CP333" t="s">
        <v>604</v>
      </c>
      <c r="CQ333" t="s">
        <v>599</v>
      </c>
      <c r="CR333">
        <v>46155</v>
      </c>
      <c r="CS333">
        <v>1</v>
      </c>
      <c r="CT333">
        <v>1</v>
      </c>
      <c r="CV333">
        <v>1</v>
      </c>
      <c r="CX333">
        <v>0</v>
      </c>
      <c r="CY333">
        <v>0</v>
      </c>
      <c r="CZ333">
        <v>0.20383101851851851</v>
      </c>
      <c r="DA333">
        <v>0.13054398148148147</v>
      </c>
      <c r="DB333">
        <v>149</v>
      </c>
      <c r="DC333">
        <v>196</v>
      </c>
      <c r="DD333">
        <v>34</v>
      </c>
      <c r="DE333" t="s">
        <v>728</v>
      </c>
      <c r="DF333">
        <v>12787</v>
      </c>
      <c r="DG333">
        <v>0.22819999999999999</v>
      </c>
      <c r="DH333">
        <v>1</v>
      </c>
      <c r="DI333">
        <v>2.9399999999999999E-2</v>
      </c>
      <c r="DJ333">
        <v>180</v>
      </c>
      <c r="DK333">
        <v>180</v>
      </c>
      <c r="DL333">
        <v>180</v>
      </c>
      <c r="DM333">
        <v>1</v>
      </c>
      <c r="DN333">
        <v>0.42859999999999998</v>
      </c>
      <c r="DO333">
        <v>82</v>
      </c>
      <c r="DP333">
        <v>180</v>
      </c>
    </row>
    <row r="334" spans="93:120" x14ac:dyDescent="0.25">
      <c r="CO334" t="s">
        <v>636</v>
      </c>
      <c r="CP334" t="s">
        <v>604</v>
      </c>
      <c r="CQ334" t="s">
        <v>549</v>
      </c>
      <c r="CR334">
        <v>46149</v>
      </c>
      <c r="CS334">
        <v>1</v>
      </c>
      <c r="CT334">
        <v>1</v>
      </c>
      <c r="CV334">
        <v>1</v>
      </c>
      <c r="CX334">
        <v>0</v>
      </c>
      <c r="CY334">
        <v>0</v>
      </c>
      <c r="CZ334">
        <v>0.23959490740740741</v>
      </c>
      <c r="DA334">
        <v>0.10643518518518519</v>
      </c>
      <c r="DB334">
        <v>169</v>
      </c>
      <c r="DC334">
        <v>253</v>
      </c>
      <c r="DD334">
        <v>41</v>
      </c>
      <c r="DE334" t="s">
        <v>813</v>
      </c>
      <c r="DF334">
        <v>5975</v>
      </c>
      <c r="DG334">
        <v>0.24260000000000001</v>
      </c>
      <c r="DO334">
        <v>82</v>
      </c>
    </row>
    <row r="335" spans="93:120" x14ac:dyDescent="0.25">
      <c r="CO335" t="s">
        <v>636</v>
      </c>
      <c r="CP335" t="s">
        <v>604</v>
      </c>
      <c r="CQ335" t="s">
        <v>55</v>
      </c>
      <c r="CR335">
        <v>46146</v>
      </c>
      <c r="CS335">
        <v>1</v>
      </c>
      <c r="CT335">
        <v>1</v>
      </c>
      <c r="CV335">
        <v>1</v>
      </c>
      <c r="CX335">
        <v>9.2592592592592588E-5</v>
      </c>
      <c r="CY335">
        <v>9.2592592592592588E-5</v>
      </c>
      <c r="CZ335">
        <v>0.26373842592592595</v>
      </c>
      <c r="DA335">
        <v>6.413194444444445E-2</v>
      </c>
      <c r="DB335">
        <v>148</v>
      </c>
      <c r="DC335">
        <v>272</v>
      </c>
      <c r="DD335">
        <v>36</v>
      </c>
      <c r="DE335">
        <v>1.75</v>
      </c>
      <c r="DF335">
        <v>9027</v>
      </c>
      <c r="DG335">
        <v>0.2432</v>
      </c>
      <c r="DH335">
        <v>7</v>
      </c>
      <c r="DI335">
        <v>0.19439999999999999</v>
      </c>
      <c r="DJ335">
        <v>3765</v>
      </c>
      <c r="DK335">
        <v>538</v>
      </c>
      <c r="DL335">
        <v>3765</v>
      </c>
      <c r="DM335">
        <v>1</v>
      </c>
      <c r="DN335">
        <v>0.1082</v>
      </c>
      <c r="DO335">
        <v>82</v>
      </c>
      <c r="DP335">
        <v>538</v>
      </c>
    </row>
    <row r="336" spans="93:120" x14ac:dyDescent="0.25">
      <c r="CO336" t="s">
        <v>636</v>
      </c>
      <c r="CP336" t="s">
        <v>604</v>
      </c>
      <c r="CQ336" t="s">
        <v>55</v>
      </c>
      <c r="CR336">
        <v>46149</v>
      </c>
      <c r="CS336">
        <v>1</v>
      </c>
      <c r="CT336">
        <v>1</v>
      </c>
      <c r="CV336">
        <v>1</v>
      </c>
      <c r="CX336">
        <v>3.4722222222222222E-5</v>
      </c>
      <c r="CY336">
        <v>3.4722222222222222E-5</v>
      </c>
      <c r="CZ336">
        <v>0.25354166666666667</v>
      </c>
      <c r="DA336">
        <v>8.9490740740740746E-2</v>
      </c>
      <c r="DB336">
        <v>186</v>
      </c>
      <c r="DC336">
        <v>249</v>
      </c>
      <c r="DD336">
        <v>30</v>
      </c>
      <c r="DE336">
        <v>1.6</v>
      </c>
      <c r="DF336">
        <v>7069</v>
      </c>
      <c r="DG336">
        <v>0.1613</v>
      </c>
      <c r="DO336">
        <v>82</v>
      </c>
    </row>
    <row r="337" spans="93:120" x14ac:dyDescent="0.25">
      <c r="CO337" t="s">
        <v>636</v>
      </c>
      <c r="CP337" t="s">
        <v>604</v>
      </c>
      <c r="CQ337" t="s">
        <v>55</v>
      </c>
      <c r="CR337">
        <v>46160</v>
      </c>
      <c r="CS337">
        <v>1</v>
      </c>
      <c r="CT337">
        <v>1</v>
      </c>
      <c r="CV337">
        <v>1</v>
      </c>
      <c r="CX337">
        <v>1.0416666666666667E-4</v>
      </c>
      <c r="CY337">
        <v>1.0416666666666667E-4</v>
      </c>
      <c r="CZ337">
        <v>0.19854166666666667</v>
      </c>
      <c r="DA337">
        <v>0.15437500000000001</v>
      </c>
      <c r="DB337">
        <v>155</v>
      </c>
      <c r="DC337">
        <v>235</v>
      </c>
      <c r="DD337">
        <v>43</v>
      </c>
      <c r="DE337" t="s">
        <v>814</v>
      </c>
      <c r="DF337">
        <v>8277</v>
      </c>
      <c r="DG337">
        <v>0.27739999999999998</v>
      </c>
      <c r="DH337">
        <v>3</v>
      </c>
      <c r="DI337">
        <v>6.9800000000000001E-2</v>
      </c>
      <c r="DJ337">
        <v>550</v>
      </c>
      <c r="DK337">
        <v>183</v>
      </c>
      <c r="DL337">
        <v>550</v>
      </c>
      <c r="DM337">
        <v>1</v>
      </c>
      <c r="DN337">
        <v>0.48420000000000002</v>
      </c>
      <c r="DO337">
        <v>82</v>
      </c>
      <c r="DP337">
        <v>183</v>
      </c>
    </row>
    <row r="338" spans="93:120" x14ac:dyDescent="0.25">
      <c r="CO338" t="s">
        <v>636</v>
      </c>
      <c r="CP338" t="s">
        <v>604</v>
      </c>
      <c r="CQ338" t="s">
        <v>78</v>
      </c>
      <c r="CR338">
        <v>46147</v>
      </c>
      <c r="CS338">
        <v>1</v>
      </c>
      <c r="CT338">
        <v>1</v>
      </c>
      <c r="CV338">
        <v>1</v>
      </c>
      <c r="CX338">
        <v>3.3333333333333335E-3</v>
      </c>
      <c r="CY338">
        <v>3.3333333333333335E-3</v>
      </c>
      <c r="CZ338">
        <v>0.2823148148148148</v>
      </c>
      <c r="DA338">
        <v>0.14863425925925927</v>
      </c>
      <c r="DB338">
        <v>102</v>
      </c>
      <c r="DC338">
        <v>226</v>
      </c>
      <c r="DD338">
        <v>35</v>
      </c>
      <c r="DE338" t="s">
        <v>815</v>
      </c>
      <c r="DF338">
        <v>13641</v>
      </c>
      <c r="DG338">
        <v>0.34310000000000002</v>
      </c>
      <c r="DH338">
        <v>3</v>
      </c>
      <c r="DI338">
        <v>8.5699999999999998E-2</v>
      </c>
      <c r="DJ338">
        <v>3300</v>
      </c>
      <c r="DK338">
        <v>1100</v>
      </c>
      <c r="DL338">
        <v>2000</v>
      </c>
      <c r="DM338">
        <v>0.60609999999999997</v>
      </c>
      <c r="DN338">
        <v>0.14230000000000001</v>
      </c>
      <c r="DO338">
        <v>82</v>
      </c>
      <c r="DP338">
        <v>2000</v>
      </c>
    </row>
    <row r="339" spans="93:120" x14ac:dyDescent="0.25">
      <c r="CO339" t="s">
        <v>636</v>
      </c>
      <c r="CP339" t="s">
        <v>604</v>
      </c>
      <c r="CQ339" t="s">
        <v>78</v>
      </c>
      <c r="CR339">
        <v>46149</v>
      </c>
      <c r="CS339">
        <v>1</v>
      </c>
      <c r="CT339">
        <v>1</v>
      </c>
      <c r="CV339">
        <v>1</v>
      </c>
      <c r="CX339">
        <v>7.0601851851851847E-4</v>
      </c>
      <c r="CY339">
        <v>7.0601851851851847E-4</v>
      </c>
      <c r="CZ339">
        <v>0.23200231481481481</v>
      </c>
      <c r="DA339">
        <v>0.10582175925925925</v>
      </c>
      <c r="DB339">
        <v>80</v>
      </c>
      <c r="DC339">
        <v>138</v>
      </c>
      <c r="DD339">
        <v>22</v>
      </c>
      <c r="DE339" t="s">
        <v>717</v>
      </c>
      <c r="DF339">
        <v>20602</v>
      </c>
      <c r="DG339">
        <v>0.27500000000000002</v>
      </c>
      <c r="DO339">
        <v>82</v>
      </c>
    </row>
    <row r="340" spans="93:120" x14ac:dyDescent="0.25">
      <c r="CO340" t="s">
        <v>636</v>
      </c>
      <c r="CP340" t="s">
        <v>604</v>
      </c>
      <c r="CQ340" t="s">
        <v>48</v>
      </c>
      <c r="CR340">
        <v>46163</v>
      </c>
      <c r="CS340">
        <v>1</v>
      </c>
      <c r="CT340">
        <v>1</v>
      </c>
      <c r="CV340">
        <v>1</v>
      </c>
      <c r="CX340">
        <v>0</v>
      </c>
      <c r="CY340">
        <v>0</v>
      </c>
      <c r="CZ340">
        <v>0.16300925925925927</v>
      </c>
      <c r="DA340">
        <v>0.13872685185185185</v>
      </c>
      <c r="DB340">
        <v>76</v>
      </c>
      <c r="DC340">
        <v>114</v>
      </c>
      <c r="DD340">
        <v>16</v>
      </c>
      <c r="DE340">
        <v>1.75</v>
      </c>
      <c r="DF340">
        <v>21199</v>
      </c>
      <c r="DG340">
        <v>0.21049999999999999</v>
      </c>
      <c r="DH340">
        <v>1</v>
      </c>
      <c r="DI340">
        <v>6.25E-2</v>
      </c>
      <c r="DJ340">
        <v>600</v>
      </c>
      <c r="DK340">
        <v>600</v>
      </c>
      <c r="DL340">
        <v>600</v>
      </c>
      <c r="DM340">
        <v>1</v>
      </c>
      <c r="DN340">
        <v>0.1678</v>
      </c>
      <c r="DO340">
        <v>82</v>
      </c>
      <c r="DP340">
        <v>600</v>
      </c>
    </row>
    <row r="341" spans="93:120" x14ac:dyDescent="0.25">
      <c r="CO341" t="s">
        <v>636</v>
      </c>
      <c r="CP341" t="s">
        <v>604</v>
      </c>
      <c r="CQ341" t="s">
        <v>48</v>
      </c>
      <c r="CR341">
        <v>46171</v>
      </c>
      <c r="CS341">
        <v>1</v>
      </c>
      <c r="CT341">
        <v>1</v>
      </c>
      <c r="CV341">
        <v>1</v>
      </c>
      <c r="CX341">
        <v>3.4722222222222222E-5</v>
      </c>
      <c r="CY341">
        <v>3.4722222222222222E-5</v>
      </c>
      <c r="CZ341">
        <v>0.23667824074074073</v>
      </c>
      <c r="DA341">
        <v>0.17270833333333332</v>
      </c>
      <c r="DB341">
        <v>72</v>
      </c>
      <c r="DC341">
        <v>119</v>
      </c>
      <c r="DD341">
        <v>14</v>
      </c>
      <c r="DE341">
        <v>2</v>
      </c>
      <c r="DF341">
        <v>27955</v>
      </c>
      <c r="DG341">
        <v>0.19439999999999999</v>
      </c>
      <c r="DH341">
        <v>1</v>
      </c>
      <c r="DI341">
        <v>7.1400000000000005E-2</v>
      </c>
      <c r="DJ341">
        <v>250</v>
      </c>
      <c r="DK341">
        <v>250</v>
      </c>
      <c r="DL341">
        <v>250</v>
      </c>
      <c r="DM341">
        <v>1</v>
      </c>
      <c r="DO341">
        <v>82</v>
      </c>
      <c r="DP341">
        <v>250</v>
      </c>
    </row>
    <row r="342" spans="93:120" x14ac:dyDescent="0.25">
      <c r="CO342" t="s">
        <v>636</v>
      </c>
      <c r="CP342" t="s">
        <v>604</v>
      </c>
      <c r="CQ342" t="s">
        <v>601</v>
      </c>
      <c r="CR342">
        <v>46149</v>
      </c>
      <c r="CS342">
        <v>1</v>
      </c>
      <c r="CT342">
        <v>1</v>
      </c>
      <c r="CV342">
        <v>1</v>
      </c>
      <c r="CX342">
        <v>2.5462962962962961E-4</v>
      </c>
      <c r="CY342">
        <v>2.5462962962962961E-4</v>
      </c>
      <c r="CZ342">
        <v>0.23706018518518518</v>
      </c>
      <c r="DA342">
        <v>8.0775462962962966E-2</v>
      </c>
      <c r="DB342">
        <v>135</v>
      </c>
      <c r="DC342">
        <v>193</v>
      </c>
      <c r="DD342">
        <v>57</v>
      </c>
      <c r="DE342" t="s">
        <v>816</v>
      </c>
      <c r="DF342">
        <v>4876</v>
      </c>
      <c r="DG342">
        <v>0.42220000000000002</v>
      </c>
      <c r="DO342">
        <v>82</v>
      </c>
    </row>
    <row r="343" spans="93:120" x14ac:dyDescent="0.25">
      <c r="CO343" t="s">
        <v>636</v>
      </c>
      <c r="CP343" t="s">
        <v>604</v>
      </c>
      <c r="CQ343" t="s">
        <v>601</v>
      </c>
      <c r="CR343">
        <v>46163</v>
      </c>
      <c r="CS343">
        <v>1</v>
      </c>
      <c r="CT343">
        <v>1</v>
      </c>
      <c r="CV343">
        <v>1</v>
      </c>
      <c r="CX343">
        <v>1.6435185185185185E-3</v>
      </c>
      <c r="CY343">
        <v>1.6435185185185185E-3</v>
      </c>
      <c r="CZ343">
        <v>0.14903935185185185</v>
      </c>
      <c r="DA343">
        <v>0.13565972222222222</v>
      </c>
      <c r="DB343">
        <v>116</v>
      </c>
      <c r="DC343">
        <v>137</v>
      </c>
      <c r="DD343">
        <v>24</v>
      </c>
      <c r="DE343" t="s">
        <v>811</v>
      </c>
      <c r="DF343">
        <v>11752</v>
      </c>
      <c r="DG343">
        <v>0.2069</v>
      </c>
      <c r="DH343">
        <v>2</v>
      </c>
      <c r="DI343">
        <v>8.3299999999999999E-2</v>
      </c>
      <c r="DJ343">
        <v>2200</v>
      </c>
      <c r="DK343">
        <v>1100</v>
      </c>
      <c r="DO343">
        <v>82</v>
      </c>
    </row>
    <row r="344" spans="93:120" x14ac:dyDescent="0.25">
      <c r="CO344" t="s">
        <v>636</v>
      </c>
      <c r="CP344" t="s">
        <v>3</v>
      </c>
      <c r="CQ344" t="s">
        <v>85</v>
      </c>
      <c r="CR344">
        <v>46150</v>
      </c>
      <c r="CS344">
        <v>1</v>
      </c>
      <c r="CT344">
        <v>1</v>
      </c>
      <c r="CV344">
        <v>1</v>
      </c>
      <c r="CX344">
        <v>2.5347222222222221E-3</v>
      </c>
      <c r="CY344">
        <v>2.5347222222222221E-3</v>
      </c>
      <c r="CZ344">
        <v>0.24190972222222223</v>
      </c>
      <c r="DA344">
        <v>6.8738425925925925E-2</v>
      </c>
      <c r="DB344">
        <v>57</v>
      </c>
      <c r="DC344">
        <v>139</v>
      </c>
      <c r="DD344">
        <v>13</v>
      </c>
      <c r="DE344" t="s">
        <v>704</v>
      </c>
      <c r="DF344">
        <v>21163</v>
      </c>
      <c r="DG344">
        <v>0.2281</v>
      </c>
      <c r="DO344">
        <v>82</v>
      </c>
    </row>
    <row r="345" spans="93:120" x14ac:dyDescent="0.25">
      <c r="CO345" t="s">
        <v>636</v>
      </c>
      <c r="CP345" t="s">
        <v>3</v>
      </c>
      <c r="CQ345" t="s">
        <v>493</v>
      </c>
      <c r="CR345">
        <v>46150</v>
      </c>
      <c r="CS345">
        <v>1</v>
      </c>
      <c r="CT345">
        <v>1</v>
      </c>
      <c r="CV345">
        <v>1</v>
      </c>
      <c r="CX345">
        <v>2.3148148148148147E-5</v>
      </c>
      <c r="CY345">
        <v>2.3148148148148147E-5</v>
      </c>
      <c r="CZ345">
        <v>0.26122685185185185</v>
      </c>
      <c r="DA345">
        <v>5.1747685185185188E-2</v>
      </c>
      <c r="DB345">
        <v>137</v>
      </c>
      <c r="DC345">
        <v>321</v>
      </c>
      <c r="DD345">
        <v>20</v>
      </c>
      <c r="DE345">
        <v>1.75</v>
      </c>
      <c r="DF345">
        <v>17584</v>
      </c>
      <c r="DG345">
        <v>0.14599999999999999</v>
      </c>
      <c r="DO345">
        <v>82</v>
      </c>
    </row>
    <row r="346" spans="93:120" x14ac:dyDescent="0.25">
      <c r="CO346" t="s">
        <v>636</v>
      </c>
      <c r="CP346" t="s">
        <v>3</v>
      </c>
      <c r="CQ346" t="s">
        <v>493</v>
      </c>
      <c r="CR346">
        <v>46169</v>
      </c>
      <c r="CS346">
        <v>1</v>
      </c>
      <c r="CT346">
        <v>1</v>
      </c>
      <c r="CV346">
        <v>1</v>
      </c>
      <c r="CX346">
        <v>3.4722222222222222E-5</v>
      </c>
      <c r="CY346">
        <v>3.4722222222222222E-5</v>
      </c>
      <c r="CZ346">
        <v>0.20171296296296296</v>
      </c>
      <c r="DA346">
        <v>0.12810185185185186</v>
      </c>
      <c r="DB346">
        <v>152</v>
      </c>
      <c r="DC346">
        <v>226</v>
      </c>
      <c r="DD346">
        <v>21</v>
      </c>
      <c r="DE346" t="s">
        <v>817</v>
      </c>
      <c r="DF346">
        <v>32042</v>
      </c>
      <c r="DG346">
        <v>0.13819999999999999</v>
      </c>
      <c r="DH346">
        <v>2</v>
      </c>
      <c r="DI346">
        <v>9.5200000000000007E-2</v>
      </c>
      <c r="DJ346">
        <v>690</v>
      </c>
      <c r="DK346">
        <v>345</v>
      </c>
      <c r="DO346">
        <v>82</v>
      </c>
    </row>
    <row r="347" spans="93:120" x14ac:dyDescent="0.25">
      <c r="CO347" t="s">
        <v>636</v>
      </c>
      <c r="CP347" t="s">
        <v>3</v>
      </c>
      <c r="CQ347" t="s">
        <v>564</v>
      </c>
      <c r="CR347">
        <v>46150</v>
      </c>
      <c r="CS347">
        <v>1</v>
      </c>
      <c r="CT347">
        <v>1</v>
      </c>
      <c r="CV347">
        <v>1</v>
      </c>
      <c r="CX347">
        <v>0</v>
      </c>
      <c r="CY347">
        <v>0</v>
      </c>
      <c r="CZ347">
        <v>0.22993055555555555</v>
      </c>
      <c r="DA347">
        <v>6.5717592592592591E-2</v>
      </c>
      <c r="DB347">
        <v>81</v>
      </c>
      <c r="DC347">
        <v>160</v>
      </c>
      <c r="DD347">
        <v>19</v>
      </c>
      <c r="DE347" t="s">
        <v>791</v>
      </c>
      <c r="DF347">
        <v>10543</v>
      </c>
      <c r="DG347">
        <v>0.2346</v>
      </c>
      <c r="DO347">
        <v>82</v>
      </c>
    </row>
    <row r="348" spans="93:120" x14ac:dyDescent="0.25">
      <c r="CO348" t="s">
        <v>636</v>
      </c>
      <c r="CP348" t="s">
        <v>3</v>
      </c>
      <c r="CQ348" t="s">
        <v>96</v>
      </c>
      <c r="CR348">
        <v>46150</v>
      </c>
      <c r="CS348">
        <v>1</v>
      </c>
      <c r="CT348">
        <v>1</v>
      </c>
      <c r="CV348">
        <v>1</v>
      </c>
      <c r="CX348">
        <v>0</v>
      </c>
      <c r="CY348">
        <v>0</v>
      </c>
      <c r="CZ348">
        <v>0.23491898148148149</v>
      </c>
      <c r="DA348">
        <v>7.2592592592592597E-2</v>
      </c>
      <c r="DB348">
        <v>81</v>
      </c>
      <c r="DC348">
        <v>146</v>
      </c>
      <c r="DD348">
        <v>11</v>
      </c>
      <c r="DE348" t="s">
        <v>695</v>
      </c>
      <c r="DF348">
        <v>16097</v>
      </c>
      <c r="DG348">
        <v>0.1358</v>
      </c>
      <c r="DO348">
        <v>82</v>
      </c>
    </row>
    <row r="349" spans="93:120" x14ac:dyDescent="0.25">
      <c r="CO349" t="s">
        <v>636</v>
      </c>
      <c r="CP349" t="s">
        <v>3</v>
      </c>
      <c r="CQ349" t="s">
        <v>96</v>
      </c>
      <c r="CR349">
        <v>46153</v>
      </c>
      <c r="CS349">
        <v>1</v>
      </c>
      <c r="CT349">
        <v>1</v>
      </c>
      <c r="CV349">
        <v>1</v>
      </c>
      <c r="CX349">
        <v>2.9745370370370373E-3</v>
      </c>
      <c r="CY349">
        <v>2.9745370370370373E-3</v>
      </c>
      <c r="CZ349">
        <v>0.23273148148148148</v>
      </c>
      <c r="DA349">
        <v>0.13822916666666665</v>
      </c>
      <c r="DB349">
        <v>97</v>
      </c>
      <c r="DC349">
        <v>204</v>
      </c>
      <c r="DD349">
        <v>23</v>
      </c>
      <c r="DE349">
        <v>2</v>
      </c>
      <c r="DF349">
        <v>12257</v>
      </c>
      <c r="DG349">
        <v>0.23710000000000001</v>
      </c>
      <c r="DH349">
        <v>3</v>
      </c>
      <c r="DI349">
        <v>0.13039999999999999</v>
      </c>
      <c r="DJ349">
        <v>3082</v>
      </c>
      <c r="DK349">
        <v>1027</v>
      </c>
      <c r="DL349">
        <v>1510</v>
      </c>
      <c r="DM349">
        <v>0.4899</v>
      </c>
      <c r="DN349">
        <v>0.22040000000000001</v>
      </c>
      <c r="DO349">
        <v>82</v>
      </c>
      <c r="DP349">
        <v>755</v>
      </c>
    </row>
    <row r="350" spans="93:120" x14ac:dyDescent="0.25">
      <c r="CO350" t="s">
        <v>636</v>
      </c>
      <c r="CP350" t="s">
        <v>3</v>
      </c>
      <c r="CQ350" t="s">
        <v>96</v>
      </c>
      <c r="CR350">
        <v>46170</v>
      </c>
      <c r="CS350">
        <v>1</v>
      </c>
      <c r="CT350">
        <v>1</v>
      </c>
      <c r="CV350">
        <v>1</v>
      </c>
      <c r="CX350">
        <v>1.3888888888888889E-4</v>
      </c>
      <c r="CY350">
        <v>1.3888888888888889E-4</v>
      </c>
      <c r="CZ350">
        <v>0.18527777777777779</v>
      </c>
      <c r="DA350">
        <v>0.16017361111111111</v>
      </c>
      <c r="DB350">
        <v>113</v>
      </c>
      <c r="DC350">
        <v>199</v>
      </c>
      <c r="DD350">
        <v>28</v>
      </c>
      <c r="DE350" t="s">
        <v>803</v>
      </c>
      <c r="DF350">
        <v>29080</v>
      </c>
      <c r="DG350">
        <v>0.24779999999999999</v>
      </c>
      <c r="DH350">
        <v>1</v>
      </c>
      <c r="DI350">
        <v>3.5700000000000003E-2</v>
      </c>
      <c r="DJ350">
        <v>820</v>
      </c>
      <c r="DK350">
        <v>820</v>
      </c>
      <c r="DO350">
        <v>82</v>
      </c>
    </row>
    <row r="351" spans="93:120" x14ac:dyDescent="0.25">
      <c r="CO351" t="s">
        <v>636</v>
      </c>
      <c r="CP351" t="s">
        <v>3</v>
      </c>
      <c r="CQ351" t="s">
        <v>29</v>
      </c>
      <c r="CR351">
        <v>46147</v>
      </c>
      <c r="CS351">
        <v>1</v>
      </c>
      <c r="CT351">
        <v>1</v>
      </c>
      <c r="CV351">
        <v>1</v>
      </c>
      <c r="CX351">
        <v>1.9212962962962964E-3</v>
      </c>
      <c r="CY351">
        <v>1.9212962962962964E-3</v>
      </c>
      <c r="CZ351">
        <v>0.23734953703703704</v>
      </c>
      <c r="DA351">
        <v>0.1108912037037037</v>
      </c>
      <c r="DB351">
        <v>128</v>
      </c>
      <c r="DC351">
        <v>230</v>
      </c>
      <c r="DD351">
        <v>29</v>
      </c>
      <c r="DE351" t="s">
        <v>818</v>
      </c>
      <c r="DF351">
        <v>14238</v>
      </c>
      <c r="DG351">
        <v>0.2266</v>
      </c>
      <c r="DH351">
        <v>1</v>
      </c>
      <c r="DI351">
        <v>3.4500000000000003E-2</v>
      </c>
      <c r="DJ351">
        <v>196</v>
      </c>
      <c r="DK351">
        <v>196</v>
      </c>
      <c r="DL351">
        <v>196</v>
      </c>
      <c r="DM351">
        <v>1</v>
      </c>
      <c r="DN351">
        <v>1.0045999999999999</v>
      </c>
      <c r="DO351">
        <v>82</v>
      </c>
      <c r="DP351">
        <v>196</v>
      </c>
    </row>
    <row r="352" spans="93:120" x14ac:dyDescent="0.25">
      <c r="CO352" t="s">
        <v>636</v>
      </c>
      <c r="CP352" t="s">
        <v>3</v>
      </c>
      <c r="CQ352" t="s">
        <v>29</v>
      </c>
      <c r="CR352">
        <v>46148</v>
      </c>
      <c r="CS352">
        <v>1</v>
      </c>
      <c r="CT352">
        <v>1</v>
      </c>
      <c r="CV352">
        <v>1</v>
      </c>
      <c r="CX352">
        <v>3.4722222222222222E-5</v>
      </c>
      <c r="CY352">
        <v>3.4722222222222222E-5</v>
      </c>
      <c r="CZ352">
        <v>0.2270949074074074</v>
      </c>
      <c r="DA352">
        <v>0.108125</v>
      </c>
      <c r="DB352">
        <v>112</v>
      </c>
      <c r="DC352">
        <v>248</v>
      </c>
      <c r="DD352">
        <v>23</v>
      </c>
      <c r="DE352" t="s">
        <v>819</v>
      </c>
      <c r="DF352">
        <v>21034</v>
      </c>
      <c r="DG352">
        <v>0.2054</v>
      </c>
      <c r="DH352">
        <v>3</v>
      </c>
      <c r="DI352">
        <v>0.13039999999999999</v>
      </c>
      <c r="DJ352">
        <v>2135</v>
      </c>
      <c r="DK352">
        <v>712</v>
      </c>
      <c r="DL352">
        <v>1885</v>
      </c>
      <c r="DM352">
        <v>0.88290000000000002</v>
      </c>
      <c r="DN352">
        <v>0.43409999999999999</v>
      </c>
      <c r="DO352">
        <v>82</v>
      </c>
      <c r="DP352">
        <v>943</v>
      </c>
    </row>
    <row r="353" spans="93:120" x14ac:dyDescent="0.25">
      <c r="CO353" t="s">
        <v>636</v>
      </c>
      <c r="CP353" t="s">
        <v>3</v>
      </c>
      <c r="CQ353" t="s">
        <v>29</v>
      </c>
      <c r="CR353">
        <v>46150</v>
      </c>
      <c r="CS353">
        <v>1</v>
      </c>
      <c r="CT353">
        <v>1</v>
      </c>
      <c r="CV353">
        <v>1</v>
      </c>
      <c r="CX353">
        <v>0</v>
      </c>
      <c r="CY353">
        <v>0</v>
      </c>
      <c r="CZ353">
        <v>0.24038194444444444</v>
      </c>
      <c r="DA353">
        <v>6.8032407407407403E-2</v>
      </c>
      <c r="DB353">
        <v>117</v>
      </c>
      <c r="DC353">
        <v>181</v>
      </c>
      <c r="DD353">
        <v>12</v>
      </c>
      <c r="DE353" t="s">
        <v>811</v>
      </c>
      <c r="DF353">
        <v>13090</v>
      </c>
      <c r="DG353">
        <v>0.1026</v>
      </c>
      <c r="DO353">
        <v>82</v>
      </c>
    </row>
    <row r="354" spans="93:120" x14ac:dyDescent="0.25">
      <c r="CO354" t="s">
        <v>636</v>
      </c>
      <c r="CP354" t="s">
        <v>3</v>
      </c>
      <c r="CQ354" t="s">
        <v>79</v>
      </c>
      <c r="CR354">
        <v>46149</v>
      </c>
      <c r="CS354">
        <v>1</v>
      </c>
      <c r="CT354">
        <v>1</v>
      </c>
      <c r="CV354">
        <v>1</v>
      </c>
      <c r="CX354">
        <v>2.0833333333333333E-3</v>
      </c>
      <c r="CY354">
        <v>2.0833333333333333E-3</v>
      </c>
      <c r="CZ354">
        <v>0.27019675925925923</v>
      </c>
      <c r="DA354">
        <v>5.3657407407407411E-2</v>
      </c>
      <c r="DB354">
        <v>100</v>
      </c>
      <c r="DC354">
        <v>205</v>
      </c>
      <c r="DD354">
        <v>17</v>
      </c>
      <c r="DE354" t="s">
        <v>820</v>
      </c>
      <c r="DF354">
        <v>42423</v>
      </c>
      <c r="DG354">
        <v>0.17</v>
      </c>
      <c r="DH354">
        <v>1</v>
      </c>
      <c r="DI354">
        <v>5.8799999999999998E-2</v>
      </c>
      <c r="DJ354">
        <v>900</v>
      </c>
      <c r="DK354">
        <v>900</v>
      </c>
      <c r="DO354">
        <v>82</v>
      </c>
    </row>
    <row r="355" spans="93:120" x14ac:dyDescent="0.25">
      <c r="CO355" t="s">
        <v>636</v>
      </c>
      <c r="CP355" t="s">
        <v>3</v>
      </c>
      <c r="CQ355" t="s">
        <v>79</v>
      </c>
      <c r="CR355">
        <v>46150</v>
      </c>
      <c r="CS355">
        <v>1</v>
      </c>
      <c r="CT355">
        <v>1</v>
      </c>
      <c r="CU355">
        <v>1</v>
      </c>
      <c r="CX355">
        <v>8.4490740740740741E-3</v>
      </c>
      <c r="CY355">
        <v>8.4490740740740741E-3</v>
      </c>
      <c r="CZ355">
        <v>0.12197916666666667</v>
      </c>
      <c r="DA355">
        <v>3.4340277777777775E-2</v>
      </c>
      <c r="DB355">
        <v>37</v>
      </c>
      <c r="DC355">
        <v>73</v>
      </c>
      <c r="DD355">
        <v>12</v>
      </c>
      <c r="DE355" t="s">
        <v>718</v>
      </c>
      <c r="DF355">
        <v>40322</v>
      </c>
      <c r="DG355">
        <v>0.32429999999999998</v>
      </c>
      <c r="DH355">
        <v>1</v>
      </c>
      <c r="DI355">
        <v>8.3299999999999999E-2</v>
      </c>
      <c r="DJ355">
        <v>600</v>
      </c>
      <c r="DK355">
        <v>600</v>
      </c>
      <c r="DO355">
        <v>82</v>
      </c>
    </row>
    <row r="356" spans="93:120" x14ac:dyDescent="0.25">
      <c r="CO356" t="s">
        <v>636</v>
      </c>
      <c r="CP356" t="s">
        <v>3</v>
      </c>
      <c r="CQ356" t="s">
        <v>79</v>
      </c>
      <c r="CR356">
        <v>46154</v>
      </c>
      <c r="CS356">
        <v>1</v>
      </c>
      <c r="CT356">
        <v>1</v>
      </c>
      <c r="CU356">
        <v>1</v>
      </c>
      <c r="CX356">
        <v>8.8888888888888889E-3</v>
      </c>
      <c r="CY356">
        <v>8.8888888888888889E-3</v>
      </c>
      <c r="CZ356">
        <v>0.31466435185185188</v>
      </c>
      <c r="DA356">
        <v>9.2256944444444447E-2</v>
      </c>
      <c r="DB356">
        <v>123</v>
      </c>
      <c r="DC356">
        <v>264</v>
      </c>
      <c r="DD356">
        <v>23</v>
      </c>
      <c r="DE356" t="s">
        <v>714</v>
      </c>
      <c r="DF356">
        <v>32488</v>
      </c>
      <c r="DG356">
        <v>0.187</v>
      </c>
      <c r="DH356">
        <v>1</v>
      </c>
      <c r="DI356">
        <v>4.3499999999999997E-2</v>
      </c>
      <c r="DJ356">
        <v>2000</v>
      </c>
      <c r="DK356">
        <v>2000</v>
      </c>
      <c r="DL356">
        <v>1000</v>
      </c>
      <c r="DM356">
        <v>0.5</v>
      </c>
      <c r="DN356">
        <v>0.18790000000000001</v>
      </c>
      <c r="DO356">
        <v>82</v>
      </c>
      <c r="DP356">
        <v>1000</v>
      </c>
    </row>
    <row r="357" spans="93:120" x14ac:dyDescent="0.25">
      <c r="CO357" t="s">
        <v>636</v>
      </c>
      <c r="CP357" t="s">
        <v>3</v>
      </c>
      <c r="CQ357" t="s">
        <v>79</v>
      </c>
      <c r="CR357">
        <v>46161</v>
      </c>
      <c r="CS357">
        <v>1</v>
      </c>
      <c r="CT357">
        <v>1</v>
      </c>
      <c r="CU357">
        <v>1</v>
      </c>
      <c r="CX357">
        <v>1.0486111111111111E-2</v>
      </c>
      <c r="CY357">
        <v>1.0486111111111111E-2</v>
      </c>
      <c r="CZ357">
        <v>8.9374999999999996E-2</v>
      </c>
      <c r="DA357">
        <v>0.18899305555555557</v>
      </c>
      <c r="DB357">
        <v>56</v>
      </c>
      <c r="DC357">
        <v>111</v>
      </c>
      <c r="DD357">
        <v>18</v>
      </c>
      <c r="DE357" t="s">
        <v>706</v>
      </c>
      <c r="DF357">
        <v>34071</v>
      </c>
      <c r="DG357">
        <v>0.32140000000000002</v>
      </c>
      <c r="DH357">
        <v>3</v>
      </c>
      <c r="DI357">
        <v>0.16669999999999999</v>
      </c>
      <c r="DJ357">
        <v>3500</v>
      </c>
      <c r="DK357">
        <v>1167</v>
      </c>
      <c r="DL357">
        <v>2000</v>
      </c>
      <c r="DM357">
        <v>0.57140000000000002</v>
      </c>
      <c r="DN357">
        <v>0.1411</v>
      </c>
      <c r="DO357">
        <v>82</v>
      </c>
      <c r="DP357">
        <v>2000</v>
      </c>
    </row>
    <row r="358" spans="93:120" x14ac:dyDescent="0.25">
      <c r="CO358" t="s">
        <v>636</v>
      </c>
      <c r="CP358" t="s">
        <v>2</v>
      </c>
      <c r="CQ358" t="s">
        <v>22</v>
      </c>
      <c r="CR358">
        <v>46153</v>
      </c>
      <c r="CS358">
        <v>1</v>
      </c>
      <c r="CT358">
        <v>1</v>
      </c>
      <c r="CV358">
        <v>1</v>
      </c>
      <c r="CX358">
        <v>2.8124999999999999E-3</v>
      </c>
      <c r="CY358">
        <v>2.8124999999999999E-3</v>
      </c>
      <c r="CZ358">
        <v>0.21692129629629631</v>
      </c>
      <c r="DA358">
        <v>0.11336805555555556</v>
      </c>
      <c r="DB358">
        <v>55</v>
      </c>
      <c r="DC358">
        <v>101</v>
      </c>
      <c r="DD358">
        <v>9</v>
      </c>
      <c r="DE358" t="s">
        <v>674</v>
      </c>
      <c r="DF358">
        <v>27461</v>
      </c>
      <c r="DG358">
        <v>0.1636</v>
      </c>
      <c r="DH358">
        <v>1</v>
      </c>
      <c r="DI358">
        <v>0.1111</v>
      </c>
      <c r="DJ358">
        <v>315</v>
      </c>
      <c r="DK358">
        <v>315</v>
      </c>
      <c r="DO358">
        <v>80</v>
      </c>
    </row>
    <row r="359" spans="93:120" x14ac:dyDescent="0.25">
      <c r="CO359" t="s">
        <v>636</v>
      </c>
      <c r="CP359" t="s">
        <v>2</v>
      </c>
      <c r="CQ359" t="s">
        <v>22</v>
      </c>
      <c r="CR359">
        <v>46161</v>
      </c>
      <c r="CS359">
        <v>1</v>
      </c>
      <c r="CT359">
        <v>1</v>
      </c>
      <c r="CU359">
        <v>1</v>
      </c>
      <c r="CX359">
        <v>1.5231481481481481E-2</v>
      </c>
      <c r="CY359">
        <v>1.5231481481481481E-2</v>
      </c>
      <c r="CZ359">
        <v>0.16592592592592592</v>
      </c>
      <c r="DA359">
        <v>0.18085648148148148</v>
      </c>
      <c r="DB359">
        <v>85</v>
      </c>
      <c r="DC359">
        <v>146</v>
      </c>
      <c r="DD359">
        <v>24</v>
      </c>
      <c r="DE359" t="s">
        <v>703</v>
      </c>
      <c r="DF359">
        <v>33366</v>
      </c>
      <c r="DG359">
        <v>0.28239999999999998</v>
      </c>
      <c r="DH359">
        <v>1</v>
      </c>
      <c r="DI359">
        <v>4.1700000000000001E-2</v>
      </c>
      <c r="DJ359">
        <v>400</v>
      </c>
      <c r="DK359">
        <v>400</v>
      </c>
      <c r="DL359">
        <v>400</v>
      </c>
      <c r="DM359">
        <v>1</v>
      </c>
      <c r="DN359">
        <v>0.14349999999999999</v>
      </c>
      <c r="DO359">
        <v>80</v>
      </c>
      <c r="DP359">
        <v>400</v>
      </c>
    </row>
    <row r="360" spans="93:120" x14ac:dyDescent="0.25">
      <c r="CO360" t="s">
        <v>636</v>
      </c>
      <c r="CP360" t="s">
        <v>2</v>
      </c>
      <c r="CQ360" t="s">
        <v>24</v>
      </c>
      <c r="CR360">
        <v>46147</v>
      </c>
      <c r="CS360">
        <v>1</v>
      </c>
      <c r="CT360">
        <v>1</v>
      </c>
      <c r="CU360">
        <v>1</v>
      </c>
      <c r="CX360">
        <v>1.8900462962962963E-2</v>
      </c>
      <c r="CY360">
        <v>1.8900462962962963E-2</v>
      </c>
      <c r="CZ360">
        <v>0.27071759259259259</v>
      </c>
      <c r="DA360">
        <v>0.13991898148148149</v>
      </c>
      <c r="DB360">
        <v>62</v>
      </c>
      <c r="DC360">
        <v>136</v>
      </c>
      <c r="DD360">
        <v>24</v>
      </c>
      <c r="DE360" t="s">
        <v>687</v>
      </c>
      <c r="DF360">
        <v>28104</v>
      </c>
      <c r="DG360">
        <v>0.3871</v>
      </c>
      <c r="DH360">
        <v>1</v>
      </c>
      <c r="DI360">
        <v>4.1700000000000001E-2</v>
      </c>
      <c r="DJ360">
        <v>700</v>
      </c>
      <c r="DK360">
        <v>700</v>
      </c>
      <c r="DL360">
        <v>700</v>
      </c>
      <c r="DM360">
        <v>1</v>
      </c>
      <c r="DN360">
        <v>0.49719999999999998</v>
      </c>
      <c r="DO360">
        <v>80</v>
      </c>
      <c r="DP360">
        <v>700</v>
      </c>
    </row>
    <row r="361" spans="93:120" x14ac:dyDescent="0.25">
      <c r="CO361" t="s">
        <v>636</v>
      </c>
      <c r="CP361" t="s">
        <v>2</v>
      </c>
      <c r="CQ361" t="s">
        <v>42</v>
      </c>
      <c r="CR361">
        <v>46148</v>
      </c>
      <c r="CS361">
        <v>1</v>
      </c>
      <c r="CT361">
        <v>1</v>
      </c>
      <c r="CU361">
        <v>1</v>
      </c>
      <c r="CX361">
        <v>1.0856481481481481E-2</v>
      </c>
      <c r="CY361">
        <v>1.0856481481481481E-2</v>
      </c>
      <c r="CZ361">
        <v>0.18561342592592592</v>
      </c>
      <c r="DA361">
        <v>0.12232638888888889</v>
      </c>
      <c r="DB361">
        <v>74</v>
      </c>
      <c r="DC361">
        <v>151</v>
      </c>
      <c r="DD361">
        <v>23</v>
      </c>
      <c r="DE361" t="s">
        <v>724</v>
      </c>
      <c r="DF361">
        <v>27280</v>
      </c>
      <c r="DG361">
        <v>0.31080000000000002</v>
      </c>
      <c r="DH361">
        <v>2</v>
      </c>
      <c r="DI361">
        <v>8.6999999999999994E-2</v>
      </c>
      <c r="DJ361">
        <v>3300</v>
      </c>
      <c r="DK361">
        <v>1650</v>
      </c>
      <c r="DL361">
        <v>3300</v>
      </c>
      <c r="DM361">
        <v>1</v>
      </c>
      <c r="DN361">
        <v>0.1842</v>
      </c>
      <c r="DO361">
        <v>80</v>
      </c>
      <c r="DP361">
        <v>1650</v>
      </c>
    </row>
    <row r="362" spans="93:120" x14ac:dyDescent="0.25">
      <c r="CO362" t="s">
        <v>636</v>
      </c>
      <c r="CP362" t="s">
        <v>2</v>
      </c>
      <c r="CQ362" t="s">
        <v>42</v>
      </c>
      <c r="CR362">
        <v>46155</v>
      </c>
      <c r="CS362">
        <v>1</v>
      </c>
      <c r="CT362">
        <v>1</v>
      </c>
      <c r="CU362">
        <v>1</v>
      </c>
      <c r="CX362">
        <v>1.0636574074074074E-2</v>
      </c>
      <c r="CY362">
        <v>1.0636574074074074E-2</v>
      </c>
      <c r="CZ362">
        <v>0.17858796296296298</v>
      </c>
      <c r="DA362">
        <v>0.12837962962962962</v>
      </c>
      <c r="DB362">
        <v>108</v>
      </c>
      <c r="DC362">
        <v>178</v>
      </c>
      <c r="DD362">
        <v>20</v>
      </c>
      <c r="DE362">
        <v>1.95</v>
      </c>
      <c r="DF362">
        <v>12463</v>
      </c>
      <c r="DG362">
        <v>0.1852</v>
      </c>
      <c r="DH362">
        <v>1</v>
      </c>
      <c r="DI362">
        <v>0.05</v>
      </c>
      <c r="DJ362">
        <v>1885</v>
      </c>
      <c r="DK362">
        <v>1885</v>
      </c>
      <c r="DL362">
        <v>1885</v>
      </c>
      <c r="DM362">
        <v>1</v>
      </c>
      <c r="DN362">
        <v>0.25419999999999998</v>
      </c>
      <c r="DO362">
        <v>80</v>
      </c>
      <c r="DP362">
        <v>1885</v>
      </c>
    </row>
    <row r="363" spans="93:120" x14ac:dyDescent="0.25">
      <c r="CO363" t="s">
        <v>636</v>
      </c>
      <c r="CP363" t="s">
        <v>2</v>
      </c>
      <c r="CQ363" t="s">
        <v>42</v>
      </c>
      <c r="CR363">
        <v>46162</v>
      </c>
      <c r="CS363">
        <v>1</v>
      </c>
      <c r="CT363">
        <v>1</v>
      </c>
      <c r="CU363">
        <v>1</v>
      </c>
      <c r="CX363">
        <v>1.0925925925925926E-2</v>
      </c>
      <c r="CY363">
        <v>1.0925925925925926E-2</v>
      </c>
      <c r="CZ363">
        <v>0.19659722222222223</v>
      </c>
      <c r="DA363">
        <v>0.10810185185185185</v>
      </c>
      <c r="DB363">
        <v>81</v>
      </c>
      <c r="DC363">
        <v>127</v>
      </c>
      <c r="DD363">
        <v>17</v>
      </c>
      <c r="DE363" t="s">
        <v>821</v>
      </c>
      <c r="DF363">
        <v>19055</v>
      </c>
      <c r="DG363">
        <v>0.2099</v>
      </c>
      <c r="DH363">
        <v>1</v>
      </c>
      <c r="DI363">
        <v>5.8799999999999998E-2</v>
      </c>
      <c r="DJ363">
        <v>1600</v>
      </c>
      <c r="DK363">
        <v>1600</v>
      </c>
      <c r="DL363">
        <v>1600</v>
      </c>
      <c r="DM363">
        <v>1</v>
      </c>
      <c r="DN363">
        <v>0.27079999999999999</v>
      </c>
      <c r="DO363">
        <v>80</v>
      </c>
      <c r="DP363">
        <v>1600</v>
      </c>
    </row>
    <row r="364" spans="93:120" x14ac:dyDescent="0.25">
      <c r="CO364" t="s">
        <v>636</v>
      </c>
      <c r="CP364" t="s">
        <v>2</v>
      </c>
      <c r="CQ364" t="s">
        <v>37</v>
      </c>
      <c r="CR364">
        <v>46156</v>
      </c>
      <c r="CS364">
        <v>1</v>
      </c>
      <c r="CT364">
        <v>1</v>
      </c>
      <c r="CV364">
        <v>1</v>
      </c>
      <c r="CX364">
        <v>6.4814814814814813E-4</v>
      </c>
      <c r="CY364">
        <v>6.4814814814814813E-4</v>
      </c>
      <c r="CZ364">
        <v>0.19637731481481482</v>
      </c>
      <c r="DA364">
        <v>0.13537037037037036</v>
      </c>
      <c r="DB364">
        <v>98</v>
      </c>
      <c r="DC364">
        <v>133</v>
      </c>
      <c r="DD364">
        <v>14</v>
      </c>
      <c r="DE364" t="s">
        <v>735</v>
      </c>
      <c r="DF364">
        <v>9397</v>
      </c>
      <c r="DG364">
        <v>0.1429</v>
      </c>
      <c r="DH364">
        <v>4</v>
      </c>
      <c r="DI364">
        <v>0.28570000000000001</v>
      </c>
      <c r="DJ364">
        <v>1718</v>
      </c>
      <c r="DK364">
        <v>430</v>
      </c>
      <c r="DL364">
        <v>1191</v>
      </c>
      <c r="DM364">
        <v>0.69320000000000004</v>
      </c>
      <c r="DN364">
        <v>0.13450000000000001</v>
      </c>
      <c r="DO364">
        <v>80</v>
      </c>
      <c r="DP364">
        <v>596</v>
      </c>
    </row>
    <row r="365" spans="93:120" x14ac:dyDescent="0.25">
      <c r="CO365" t="s">
        <v>636</v>
      </c>
      <c r="CP365" t="s">
        <v>2</v>
      </c>
      <c r="CQ365" t="s">
        <v>31</v>
      </c>
      <c r="CR365">
        <v>46171</v>
      </c>
      <c r="CS365">
        <v>1</v>
      </c>
      <c r="CT365">
        <v>1</v>
      </c>
      <c r="CV365">
        <v>1</v>
      </c>
      <c r="CX365">
        <v>2.7777777777777778E-4</v>
      </c>
      <c r="CY365">
        <v>2.7777777777777778E-4</v>
      </c>
      <c r="CZ365">
        <v>0.22119212962962964</v>
      </c>
      <c r="DA365">
        <v>0.15057870370370371</v>
      </c>
      <c r="DB365">
        <v>71</v>
      </c>
      <c r="DC365">
        <v>182</v>
      </c>
      <c r="DD365">
        <v>15</v>
      </c>
      <c r="DE365" t="s">
        <v>808</v>
      </c>
      <c r="DF365">
        <v>20708</v>
      </c>
      <c r="DG365">
        <v>0.21129999999999999</v>
      </c>
      <c r="DH365">
        <v>1</v>
      </c>
      <c r="DI365">
        <v>6.6699999999999995E-2</v>
      </c>
      <c r="DJ365">
        <v>2400</v>
      </c>
      <c r="DK365">
        <v>2400</v>
      </c>
      <c r="DL365">
        <v>2400</v>
      </c>
      <c r="DM365">
        <v>1</v>
      </c>
      <c r="DN365">
        <v>0.10249999999999999</v>
      </c>
      <c r="DO365">
        <v>80</v>
      </c>
      <c r="DP365">
        <v>2400</v>
      </c>
    </row>
    <row r="366" spans="93:120" x14ac:dyDescent="0.25">
      <c r="CO366" t="s">
        <v>636</v>
      </c>
      <c r="CP366" t="s">
        <v>2</v>
      </c>
      <c r="CQ366" t="s">
        <v>10</v>
      </c>
      <c r="CR366">
        <v>46150</v>
      </c>
      <c r="CS366">
        <v>1</v>
      </c>
      <c r="CT366">
        <v>1</v>
      </c>
      <c r="CV366">
        <v>1</v>
      </c>
      <c r="CX366">
        <v>3.4722222222222222E-5</v>
      </c>
      <c r="CY366">
        <v>3.4722222222222222E-5</v>
      </c>
      <c r="CZ366">
        <v>0.11466435185185185</v>
      </c>
      <c r="DA366">
        <v>5.3831018518518521E-2</v>
      </c>
      <c r="DB366">
        <v>54</v>
      </c>
      <c r="DC366">
        <v>81</v>
      </c>
      <c r="DD366">
        <v>12</v>
      </c>
      <c r="DE366" t="s">
        <v>712</v>
      </c>
      <c r="DF366">
        <v>46648</v>
      </c>
      <c r="DG366">
        <v>0.22220000000000001</v>
      </c>
      <c r="DH366">
        <v>1</v>
      </c>
      <c r="DI366">
        <v>8.3299999999999999E-2</v>
      </c>
      <c r="DJ366">
        <v>600</v>
      </c>
      <c r="DK366">
        <v>600</v>
      </c>
      <c r="DO366">
        <v>80</v>
      </c>
    </row>
    <row r="367" spans="93:120" x14ac:dyDescent="0.25">
      <c r="CO367" t="s">
        <v>636</v>
      </c>
      <c r="CP367" t="s">
        <v>2</v>
      </c>
      <c r="CQ367" t="s">
        <v>10</v>
      </c>
      <c r="CR367">
        <v>46170</v>
      </c>
      <c r="CS367">
        <v>1</v>
      </c>
      <c r="CT367">
        <v>1</v>
      </c>
      <c r="CV367">
        <v>1</v>
      </c>
      <c r="CX367">
        <v>1.1574074074074075E-4</v>
      </c>
      <c r="CY367">
        <v>1.1574074074074075E-4</v>
      </c>
      <c r="CZ367">
        <v>0.18216435185185184</v>
      </c>
      <c r="DA367">
        <v>0.1517361111111111</v>
      </c>
      <c r="DB367">
        <v>180</v>
      </c>
      <c r="DC367">
        <v>312</v>
      </c>
      <c r="DD367">
        <v>37</v>
      </c>
      <c r="DE367" t="s">
        <v>822</v>
      </c>
      <c r="DF367">
        <v>34541</v>
      </c>
      <c r="DG367">
        <v>0.2056</v>
      </c>
      <c r="DH367">
        <v>1</v>
      </c>
      <c r="DI367">
        <v>2.7E-2</v>
      </c>
      <c r="DJ367">
        <v>435</v>
      </c>
      <c r="DK367">
        <v>435</v>
      </c>
      <c r="DL367">
        <v>435</v>
      </c>
      <c r="DM367">
        <v>1</v>
      </c>
      <c r="DN367">
        <v>1.006</v>
      </c>
      <c r="DO367">
        <v>80</v>
      </c>
      <c r="DP367">
        <v>435</v>
      </c>
    </row>
    <row r="368" spans="93:120" x14ac:dyDescent="0.25">
      <c r="CO368" t="s">
        <v>636</v>
      </c>
      <c r="CP368" t="s">
        <v>6</v>
      </c>
      <c r="CQ368" t="s">
        <v>105</v>
      </c>
      <c r="CR368">
        <v>46149</v>
      </c>
      <c r="CS368">
        <v>1</v>
      </c>
      <c r="CT368">
        <v>1</v>
      </c>
      <c r="CV368">
        <v>1</v>
      </c>
      <c r="CX368">
        <v>6.9444444444444444E-5</v>
      </c>
      <c r="CY368">
        <v>6.9444444444444444E-5</v>
      </c>
      <c r="CZ368">
        <v>0.22298611111111111</v>
      </c>
      <c r="DA368">
        <v>0.11394675925925926</v>
      </c>
      <c r="DB368">
        <v>72</v>
      </c>
      <c r="DC368">
        <v>156</v>
      </c>
      <c r="DD368">
        <v>14</v>
      </c>
      <c r="DE368">
        <v>1.5</v>
      </c>
      <c r="DF368">
        <v>29760</v>
      </c>
      <c r="DG368">
        <v>0.19439999999999999</v>
      </c>
      <c r="DH368">
        <v>1</v>
      </c>
      <c r="DI368">
        <v>7.1400000000000005E-2</v>
      </c>
      <c r="DJ368">
        <v>12000</v>
      </c>
      <c r="DK368">
        <v>12000</v>
      </c>
      <c r="DL368">
        <v>12000</v>
      </c>
      <c r="DM368">
        <v>1</v>
      </c>
      <c r="DN368">
        <v>0.19989999999999999</v>
      </c>
      <c r="DO368">
        <v>80</v>
      </c>
      <c r="DP368">
        <v>12000</v>
      </c>
    </row>
    <row r="369" spans="93:120" x14ac:dyDescent="0.25">
      <c r="CO369" t="s">
        <v>636</v>
      </c>
      <c r="CP369" t="s">
        <v>6</v>
      </c>
      <c r="CQ369" t="s">
        <v>35</v>
      </c>
      <c r="CR369">
        <v>46147</v>
      </c>
      <c r="CS369">
        <v>1</v>
      </c>
      <c r="CT369">
        <v>1</v>
      </c>
      <c r="CV369">
        <v>1</v>
      </c>
      <c r="CX369">
        <v>9.2592592592592588E-5</v>
      </c>
      <c r="CY369">
        <v>9.2592592592592588E-5</v>
      </c>
      <c r="CZ369">
        <v>0.27687499999999998</v>
      </c>
      <c r="DA369">
        <v>0.11686342592592593</v>
      </c>
      <c r="DB369">
        <v>87</v>
      </c>
      <c r="DC369">
        <v>206</v>
      </c>
      <c r="DD369">
        <v>26</v>
      </c>
      <c r="DE369" t="s">
        <v>780</v>
      </c>
      <c r="DF369">
        <v>16805</v>
      </c>
      <c r="DG369">
        <v>0.2989</v>
      </c>
      <c r="DH369">
        <v>2</v>
      </c>
      <c r="DI369">
        <v>7.6899999999999996E-2</v>
      </c>
      <c r="DJ369">
        <v>890</v>
      </c>
      <c r="DK369">
        <v>445</v>
      </c>
      <c r="DL369">
        <v>300</v>
      </c>
      <c r="DM369">
        <v>0.33710000000000001</v>
      </c>
      <c r="DO369">
        <v>80</v>
      </c>
      <c r="DP369">
        <v>300</v>
      </c>
    </row>
    <row r="370" spans="93:120" x14ac:dyDescent="0.25">
      <c r="CO370" t="s">
        <v>636</v>
      </c>
      <c r="CP370" t="s">
        <v>6</v>
      </c>
      <c r="CQ370" t="s">
        <v>11</v>
      </c>
      <c r="CR370">
        <v>46153</v>
      </c>
      <c r="CS370">
        <v>1</v>
      </c>
      <c r="CT370">
        <v>1</v>
      </c>
      <c r="CV370">
        <v>1</v>
      </c>
      <c r="CX370">
        <v>1.9675925925925926E-4</v>
      </c>
      <c r="CY370">
        <v>1.9675925925925926E-4</v>
      </c>
      <c r="CZ370">
        <v>0.21706018518518519</v>
      </c>
      <c r="DA370">
        <v>0.11743055555555555</v>
      </c>
      <c r="DB370">
        <v>93</v>
      </c>
      <c r="DC370">
        <v>181</v>
      </c>
      <c r="DD370">
        <v>25</v>
      </c>
      <c r="DE370">
        <v>1.52</v>
      </c>
      <c r="DF370">
        <v>14928</v>
      </c>
      <c r="DG370">
        <v>0.26879999999999998</v>
      </c>
      <c r="DH370">
        <v>1</v>
      </c>
      <c r="DI370">
        <v>0.04</v>
      </c>
      <c r="DJ370">
        <v>2100</v>
      </c>
      <c r="DK370">
        <v>2100</v>
      </c>
      <c r="DL370">
        <v>2100</v>
      </c>
      <c r="DM370">
        <v>1</v>
      </c>
      <c r="DN370">
        <v>0.22600000000000001</v>
      </c>
      <c r="DO370">
        <v>80</v>
      </c>
      <c r="DP370">
        <v>2100</v>
      </c>
    </row>
    <row r="371" spans="93:120" x14ac:dyDescent="0.25">
      <c r="CO371" t="s">
        <v>636</v>
      </c>
      <c r="CP371" t="s">
        <v>6</v>
      </c>
      <c r="CQ371" t="s">
        <v>11</v>
      </c>
      <c r="CR371">
        <v>46164</v>
      </c>
      <c r="CS371">
        <v>1</v>
      </c>
      <c r="CT371">
        <v>1</v>
      </c>
      <c r="CV371">
        <v>1</v>
      </c>
      <c r="CX371">
        <v>1.7361111111111112E-4</v>
      </c>
      <c r="CY371">
        <v>1.7361111111111112E-4</v>
      </c>
      <c r="CZ371">
        <v>0.2134375</v>
      </c>
      <c r="DA371">
        <v>9.2349537037037036E-2</v>
      </c>
      <c r="DB371">
        <v>110</v>
      </c>
      <c r="DC371">
        <v>199</v>
      </c>
      <c r="DD371">
        <v>26</v>
      </c>
      <c r="DE371" t="s">
        <v>823</v>
      </c>
      <c r="DF371">
        <v>24686</v>
      </c>
      <c r="DG371">
        <v>0.2364</v>
      </c>
      <c r="DH371">
        <v>1</v>
      </c>
      <c r="DI371">
        <v>3.85E-2</v>
      </c>
      <c r="DJ371">
        <v>7000</v>
      </c>
      <c r="DK371">
        <v>7000</v>
      </c>
      <c r="DL371">
        <v>7000</v>
      </c>
      <c r="DM371">
        <v>1</v>
      </c>
      <c r="DN371">
        <v>0.10059999999999999</v>
      </c>
      <c r="DO371">
        <v>80</v>
      </c>
      <c r="DP371">
        <v>7000</v>
      </c>
    </row>
    <row r="372" spans="93:120" x14ac:dyDescent="0.25">
      <c r="CO372" t="s">
        <v>636</v>
      </c>
      <c r="CP372" t="s">
        <v>6</v>
      </c>
      <c r="CQ372" t="s">
        <v>97</v>
      </c>
      <c r="CR372">
        <v>46148</v>
      </c>
      <c r="CS372">
        <v>1</v>
      </c>
      <c r="CT372">
        <v>1</v>
      </c>
      <c r="CV372">
        <v>1</v>
      </c>
      <c r="CX372">
        <v>2.3148148148148147E-5</v>
      </c>
      <c r="CY372">
        <v>2.3148148148148147E-5</v>
      </c>
      <c r="CZ372">
        <v>0.2578125</v>
      </c>
      <c r="DA372">
        <v>9.1608796296296299E-2</v>
      </c>
      <c r="DB372">
        <v>141</v>
      </c>
      <c r="DC372">
        <v>227</v>
      </c>
      <c r="DD372">
        <v>23</v>
      </c>
      <c r="DE372" t="s">
        <v>776</v>
      </c>
      <c r="DF372">
        <v>14761</v>
      </c>
      <c r="DG372">
        <v>0.16309999999999999</v>
      </c>
      <c r="DH372">
        <v>2</v>
      </c>
      <c r="DI372">
        <v>8.6999999999999994E-2</v>
      </c>
      <c r="DJ372">
        <v>365</v>
      </c>
      <c r="DK372">
        <v>183</v>
      </c>
      <c r="DL372">
        <v>365</v>
      </c>
      <c r="DM372">
        <v>1</v>
      </c>
      <c r="DN372">
        <v>0.85029999999999994</v>
      </c>
      <c r="DO372">
        <v>80</v>
      </c>
      <c r="DP372">
        <v>183</v>
      </c>
    </row>
    <row r="373" spans="93:120" x14ac:dyDescent="0.25">
      <c r="CO373" t="s">
        <v>636</v>
      </c>
      <c r="CP373" t="s">
        <v>6</v>
      </c>
      <c r="CQ373" t="s">
        <v>97</v>
      </c>
      <c r="CR373">
        <v>46161</v>
      </c>
      <c r="CS373">
        <v>1</v>
      </c>
      <c r="CT373">
        <v>1</v>
      </c>
      <c r="CV373">
        <v>1</v>
      </c>
      <c r="CX373">
        <v>2.3148148148148147E-5</v>
      </c>
      <c r="CY373">
        <v>2.3148148148148147E-5</v>
      </c>
      <c r="CZ373">
        <v>0.20836805555555554</v>
      </c>
      <c r="DA373">
        <v>0.13774305555555555</v>
      </c>
      <c r="DB373">
        <v>214</v>
      </c>
      <c r="DC373">
        <v>246</v>
      </c>
      <c r="DD373">
        <v>27</v>
      </c>
      <c r="DE373" t="s">
        <v>674</v>
      </c>
      <c r="DF373">
        <v>16151</v>
      </c>
      <c r="DG373">
        <v>0.12620000000000001</v>
      </c>
      <c r="DH373">
        <v>1</v>
      </c>
      <c r="DI373">
        <v>3.6999999999999998E-2</v>
      </c>
      <c r="DJ373">
        <v>2800</v>
      </c>
      <c r="DK373">
        <v>2800</v>
      </c>
      <c r="DL373">
        <v>2800</v>
      </c>
      <c r="DM373">
        <v>1</v>
      </c>
      <c r="DN373">
        <v>0.1686</v>
      </c>
      <c r="DO373">
        <v>80</v>
      </c>
      <c r="DP373">
        <v>2800</v>
      </c>
    </row>
    <row r="374" spans="93:120" x14ac:dyDescent="0.25">
      <c r="CO374" t="s">
        <v>636</v>
      </c>
      <c r="CP374" t="s">
        <v>6</v>
      </c>
      <c r="CQ374" t="s">
        <v>34</v>
      </c>
      <c r="CR374">
        <v>46154</v>
      </c>
      <c r="CS374">
        <v>1</v>
      </c>
      <c r="CT374">
        <v>1</v>
      </c>
      <c r="CV374">
        <v>1</v>
      </c>
      <c r="CX374">
        <v>5.7870370370370373E-5</v>
      </c>
      <c r="CY374">
        <v>5.7870370370370373E-5</v>
      </c>
      <c r="CZ374">
        <v>0.30253472222222222</v>
      </c>
      <c r="DA374">
        <v>0.11883101851851852</v>
      </c>
      <c r="DB374">
        <v>209</v>
      </c>
      <c r="DC374">
        <v>239</v>
      </c>
      <c r="DD374">
        <v>13</v>
      </c>
      <c r="DE374" t="s">
        <v>787</v>
      </c>
      <c r="DF374">
        <v>16272</v>
      </c>
      <c r="DG374">
        <v>6.2199999999999998E-2</v>
      </c>
      <c r="DH374">
        <v>2</v>
      </c>
      <c r="DI374">
        <v>0.15379999999999999</v>
      </c>
      <c r="DJ374">
        <v>1050</v>
      </c>
      <c r="DK374">
        <v>525</v>
      </c>
      <c r="DL374">
        <v>450</v>
      </c>
      <c r="DM374">
        <v>0.42859999999999998</v>
      </c>
      <c r="DN374">
        <v>0.36</v>
      </c>
      <c r="DO374">
        <v>80</v>
      </c>
      <c r="DP374">
        <v>450</v>
      </c>
    </row>
    <row r="375" spans="93:120" x14ac:dyDescent="0.25">
      <c r="CO375" t="s">
        <v>636</v>
      </c>
      <c r="CP375" t="s">
        <v>6</v>
      </c>
      <c r="CQ375" t="s">
        <v>76</v>
      </c>
      <c r="CR375">
        <v>46149</v>
      </c>
      <c r="CS375">
        <v>1</v>
      </c>
      <c r="CT375">
        <v>1</v>
      </c>
      <c r="CV375">
        <v>1</v>
      </c>
      <c r="CX375">
        <v>2.0486111111111113E-3</v>
      </c>
      <c r="CY375">
        <v>2.0486111111111113E-3</v>
      </c>
      <c r="CZ375">
        <v>0.25130787037037039</v>
      </c>
      <c r="DA375">
        <v>7.6018518518518513E-2</v>
      </c>
      <c r="DB375">
        <v>151</v>
      </c>
      <c r="DC375">
        <v>197</v>
      </c>
      <c r="DD375">
        <v>9</v>
      </c>
      <c r="DE375">
        <v>2</v>
      </c>
      <c r="DF375">
        <v>26841</v>
      </c>
      <c r="DG375">
        <v>5.96E-2</v>
      </c>
      <c r="DH375">
        <v>1</v>
      </c>
      <c r="DI375">
        <v>0.1111</v>
      </c>
      <c r="DJ375">
        <v>260</v>
      </c>
      <c r="DK375">
        <v>260</v>
      </c>
      <c r="DL375">
        <v>260</v>
      </c>
      <c r="DM375">
        <v>1</v>
      </c>
      <c r="DO375">
        <v>80</v>
      </c>
      <c r="DP375">
        <v>260</v>
      </c>
    </row>
    <row r="376" spans="93:120" x14ac:dyDescent="0.25">
      <c r="CO376" t="s">
        <v>636</v>
      </c>
      <c r="CP376" t="s">
        <v>7</v>
      </c>
      <c r="CQ376" t="s">
        <v>80</v>
      </c>
      <c r="CR376">
        <v>46157</v>
      </c>
      <c r="CS376">
        <v>1</v>
      </c>
      <c r="CT376">
        <v>1</v>
      </c>
      <c r="CV376">
        <v>1</v>
      </c>
      <c r="CX376">
        <v>1.3888888888888889E-4</v>
      </c>
      <c r="CY376">
        <v>1.3888888888888889E-4</v>
      </c>
      <c r="CZ376">
        <v>0.29899305555555555</v>
      </c>
      <c r="DA376">
        <v>3.1967592592592596E-2</v>
      </c>
      <c r="DB376">
        <v>86</v>
      </c>
      <c r="DC376">
        <v>92</v>
      </c>
      <c r="DD376">
        <v>4</v>
      </c>
      <c r="DE376">
        <v>1.5</v>
      </c>
      <c r="DF376">
        <v>51007</v>
      </c>
      <c r="DG376">
        <v>4.65E-2</v>
      </c>
      <c r="DH376">
        <v>1</v>
      </c>
      <c r="DI376">
        <v>0.25</v>
      </c>
      <c r="DJ376">
        <v>12000</v>
      </c>
      <c r="DK376">
        <v>12000</v>
      </c>
      <c r="DO376">
        <v>80</v>
      </c>
    </row>
    <row r="377" spans="93:120" x14ac:dyDescent="0.25">
      <c r="CO377" t="s">
        <v>636</v>
      </c>
      <c r="CP377" t="s">
        <v>7</v>
      </c>
      <c r="CQ377" t="s">
        <v>75</v>
      </c>
      <c r="CR377">
        <v>46153</v>
      </c>
      <c r="CS377">
        <v>1</v>
      </c>
      <c r="CT377">
        <v>1</v>
      </c>
      <c r="CV377">
        <v>1</v>
      </c>
      <c r="CX377">
        <v>2.199074074074074E-4</v>
      </c>
      <c r="CY377">
        <v>2.199074074074074E-4</v>
      </c>
      <c r="CZ377">
        <v>0.22810185185185186</v>
      </c>
      <c r="DA377">
        <v>0.10420138888888889</v>
      </c>
      <c r="DB377">
        <v>88</v>
      </c>
      <c r="DC377">
        <v>162</v>
      </c>
      <c r="DD377">
        <v>8</v>
      </c>
      <c r="DE377">
        <v>1.625</v>
      </c>
      <c r="DF377">
        <v>19937</v>
      </c>
      <c r="DG377">
        <v>9.0899999999999995E-2</v>
      </c>
      <c r="DH377">
        <v>1</v>
      </c>
      <c r="DI377">
        <v>0.125</v>
      </c>
      <c r="DJ377">
        <v>477</v>
      </c>
      <c r="DK377">
        <v>477</v>
      </c>
      <c r="DO377">
        <v>80</v>
      </c>
    </row>
    <row r="378" spans="93:120" x14ac:dyDescent="0.25">
      <c r="CO378" t="s">
        <v>636</v>
      </c>
      <c r="CP378" t="s">
        <v>7</v>
      </c>
      <c r="CQ378" t="s">
        <v>75</v>
      </c>
      <c r="CR378">
        <v>46170</v>
      </c>
      <c r="CS378">
        <v>1</v>
      </c>
      <c r="CT378">
        <v>1</v>
      </c>
      <c r="CU378">
        <v>1</v>
      </c>
      <c r="CX378">
        <v>2.4861111111111112E-2</v>
      </c>
      <c r="CY378">
        <v>2.4861111111111112E-2</v>
      </c>
      <c r="CZ378">
        <v>0.16930555555555554</v>
      </c>
      <c r="DA378">
        <v>0.14358796296296297</v>
      </c>
      <c r="DB378">
        <v>80</v>
      </c>
      <c r="DC378">
        <v>209</v>
      </c>
      <c r="DD378">
        <v>19</v>
      </c>
      <c r="DE378" t="s">
        <v>824</v>
      </c>
      <c r="DF378">
        <v>20012</v>
      </c>
      <c r="DG378">
        <v>0.23749999999999999</v>
      </c>
      <c r="DH378">
        <v>1</v>
      </c>
      <c r="DI378">
        <v>5.2600000000000001E-2</v>
      </c>
      <c r="DJ378">
        <v>886</v>
      </c>
      <c r="DK378">
        <v>886</v>
      </c>
      <c r="DL378">
        <v>886</v>
      </c>
      <c r="DM378">
        <v>1</v>
      </c>
      <c r="DN378">
        <v>0.182</v>
      </c>
      <c r="DO378">
        <v>80</v>
      </c>
      <c r="DP378">
        <v>886</v>
      </c>
    </row>
    <row r="379" spans="93:120" x14ac:dyDescent="0.25">
      <c r="CO379" t="s">
        <v>636</v>
      </c>
      <c r="CP379" t="s">
        <v>7</v>
      </c>
      <c r="CQ379" t="s">
        <v>59</v>
      </c>
      <c r="CR379">
        <v>46154</v>
      </c>
      <c r="CS379">
        <v>1</v>
      </c>
      <c r="CT379">
        <v>1</v>
      </c>
      <c r="CU379">
        <v>1</v>
      </c>
      <c r="CX379">
        <v>3.1122685185185184E-2</v>
      </c>
      <c r="CY379">
        <v>3.1122685185185184E-2</v>
      </c>
      <c r="CZ379">
        <v>0.25237268518518519</v>
      </c>
      <c r="DA379">
        <v>0.14063657407407407</v>
      </c>
      <c r="DB379">
        <v>238</v>
      </c>
      <c r="DC379">
        <v>406</v>
      </c>
      <c r="DD379">
        <v>24</v>
      </c>
      <c r="DE379" t="s">
        <v>712</v>
      </c>
      <c r="DF379">
        <v>21717</v>
      </c>
      <c r="DG379">
        <v>0.1008</v>
      </c>
      <c r="DH379">
        <v>2</v>
      </c>
      <c r="DI379">
        <v>8.3299999999999999E-2</v>
      </c>
      <c r="DJ379">
        <v>4300</v>
      </c>
      <c r="DK379">
        <v>2150</v>
      </c>
      <c r="DL379">
        <v>1800</v>
      </c>
      <c r="DM379">
        <v>0.41860000000000003</v>
      </c>
      <c r="DN379">
        <v>0.104</v>
      </c>
      <c r="DO379">
        <v>80</v>
      </c>
      <c r="DP379">
        <v>1800</v>
      </c>
    </row>
    <row r="380" spans="93:120" x14ac:dyDescent="0.25">
      <c r="CO380" t="s">
        <v>636</v>
      </c>
      <c r="CP380" t="s">
        <v>7</v>
      </c>
      <c r="CQ380" t="s">
        <v>59</v>
      </c>
      <c r="CR380">
        <v>46169</v>
      </c>
      <c r="CS380">
        <v>1</v>
      </c>
      <c r="CT380">
        <v>1</v>
      </c>
      <c r="CV380">
        <v>1</v>
      </c>
      <c r="CX380">
        <v>1.1574074074074073E-5</v>
      </c>
      <c r="CY380">
        <v>1.1574074074074073E-5</v>
      </c>
      <c r="CZ380">
        <v>0.16084490740740739</v>
      </c>
      <c r="DA380">
        <v>0.20770833333333333</v>
      </c>
      <c r="DB380">
        <v>156</v>
      </c>
      <c r="DC380">
        <v>272</v>
      </c>
      <c r="DD380">
        <v>26</v>
      </c>
      <c r="DE380" t="s">
        <v>704</v>
      </c>
      <c r="DF380">
        <v>29567</v>
      </c>
      <c r="DG380">
        <v>0.16669999999999999</v>
      </c>
      <c r="DH380">
        <v>1</v>
      </c>
      <c r="DI380">
        <v>3.85E-2</v>
      </c>
      <c r="DJ380">
        <v>4000</v>
      </c>
      <c r="DK380">
        <v>4000</v>
      </c>
      <c r="DL380">
        <v>4000</v>
      </c>
      <c r="DM380">
        <v>1</v>
      </c>
      <c r="DN380">
        <v>0.36649999999999999</v>
      </c>
      <c r="DO380">
        <v>80</v>
      </c>
      <c r="DP380">
        <v>4000</v>
      </c>
    </row>
    <row r="381" spans="93:120" x14ac:dyDescent="0.25">
      <c r="CO381" t="s">
        <v>636</v>
      </c>
      <c r="CP381" t="s">
        <v>604</v>
      </c>
      <c r="CQ381" t="s">
        <v>109</v>
      </c>
      <c r="CR381">
        <v>46172</v>
      </c>
      <c r="CS381">
        <v>1</v>
      </c>
      <c r="CT381">
        <v>1</v>
      </c>
      <c r="CU381">
        <v>1</v>
      </c>
      <c r="CX381">
        <v>1.2291666666666666E-2</v>
      </c>
      <c r="CY381">
        <v>1.2291666666666666E-2</v>
      </c>
      <c r="CZ381">
        <v>0.17413194444444444</v>
      </c>
      <c r="DA381">
        <v>2.0486111111111113E-3</v>
      </c>
      <c r="DB381">
        <v>16</v>
      </c>
      <c r="DC381">
        <v>21</v>
      </c>
      <c r="DD381">
        <v>15</v>
      </c>
      <c r="DE381" t="s">
        <v>825</v>
      </c>
      <c r="DF381">
        <v>22433</v>
      </c>
      <c r="DG381">
        <v>0.9375</v>
      </c>
      <c r="DO381">
        <v>80</v>
      </c>
    </row>
    <row r="382" spans="93:120" x14ac:dyDescent="0.25">
      <c r="CO382" t="s">
        <v>636</v>
      </c>
      <c r="CP382" t="s">
        <v>604</v>
      </c>
      <c r="CQ382" t="s">
        <v>41</v>
      </c>
      <c r="CR382">
        <v>46169</v>
      </c>
      <c r="CS382">
        <v>1</v>
      </c>
      <c r="CT382">
        <v>1</v>
      </c>
      <c r="CU382">
        <v>1</v>
      </c>
      <c r="CX382">
        <v>1.8275462962962962E-2</v>
      </c>
      <c r="CY382">
        <v>1.8275462962962962E-2</v>
      </c>
      <c r="CZ382">
        <v>0.12175925925925926</v>
      </c>
      <c r="DA382">
        <v>0.20232638888888888</v>
      </c>
      <c r="DB382">
        <v>58</v>
      </c>
      <c r="DC382">
        <v>140</v>
      </c>
      <c r="DD382">
        <v>14</v>
      </c>
      <c r="DE382" t="s">
        <v>803</v>
      </c>
      <c r="DF382">
        <v>7469</v>
      </c>
      <c r="DG382">
        <v>0.2414</v>
      </c>
      <c r="DH382">
        <v>1</v>
      </c>
      <c r="DI382">
        <v>7.1400000000000005E-2</v>
      </c>
      <c r="DJ382">
        <v>150</v>
      </c>
      <c r="DK382">
        <v>150</v>
      </c>
      <c r="DL382">
        <v>150</v>
      </c>
      <c r="DM382">
        <v>1</v>
      </c>
      <c r="DN382">
        <v>0.2198</v>
      </c>
      <c r="DO382">
        <v>80</v>
      </c>
      <c r="DP382">
        <v>150</v>
      </c>
    </row>
    <row r="383" spans="93:120" x14ac:dyDescent="0.25">
      <c r="CO383" t="s">
        <v>636</v>
      </c>
      <c r="CP383" t="s">
        <v>604</v>
      </c>
      <c r="CQ383" t="s">
        <v>495</v>
      </c>
      <c r="CR383">
        <v>46161</v>
      </c>
      <c r="CS383">
        <v>1</v>
      </c>
      <c r="CT383">
        <v>1</v>
      </c>
      <c r="CV383">
        <v>1</v>
      </c>
      <c r="CX383">
        <v>1.5856481481481481E-3</v>
      </c>
      <c r="CY383">
        <v>1.5856481481481481E-3</v>
      </c>
      <c r="CZ383">
        <v>0.19810185185185186</v>
      </c>
      <c r="DA383">
        <v>0.16773148148148148</v>
      </c>
      <c r="DB383">
        <v>127</v>
      </c>
      <c r="DC383">
        <v>326</v>
      </c>
      <c r="DD383">
        <v>23</v>
      </c>
      <c r="DE383" t="s">
        <v>826</v>
      </c>
      <c r="DF383">
        <v>28862</v>
      </c>
      <c r="DG383">
        <v>0.18110000000000001</v>
      </c>
      <c r="DH383">
        <v>1</v>
      </c>
      <c r="DI383">
        <v>4.3499999999999997E-2</v>
      </c>
      <c r="DJ383">
        <v>550</v>
      </c>
      <c r="DK383">
        <v>550</v>
      </c>
      <c r="DO383">
        <v>80</v>
      </c>
    </row>
    <row r="384" spans="93:120" x14ac:dyDescent="0.25">
      <c r="CO384" t="s">
        <v>636</v>
      </c>
      <c r="CP384" t="s">
        <v>604</v>
      </c>
      <c r="CQ384" t="s">
        <v>495</v>
      </c>
      <c r="CR384">
        <v>46163</v>
      </c>
      <c r="CS384">
        <v>1</v>
      </c>
      <c r="CT384">
        <v>1</v>
      </c>
      <c r="CV384">
        <v>1</v>
      </c>
      <c r="CX384">
        <v>1.2268518518518518E-3</v>
      </c>
      <c r="CY384">
        <v>1.2268518518518518E-3</v>
      </c>
      <c r="CZ384">
        <v>0.14834490740740741</v>
      </c>
      <c r="DA384">
        <v>0.17937500000000001</v>
      </c>
      <c r="DB384">
        <v>122</v>
      </c>
      <c r="DC384">
        <v>368</v>
      </c>
      <c r="DD384">
        <v>12</v>
      </c>
      <c r="DE384" t="s">
        <v>712</v>
      </c>
      <c r="DF384">
        <v>26369</v>
      </c>
      <c r="DG384">
        <v>9.8400000000000001E-2</v>
      </c>
      <c r="DH384">
        <v>1</v>
      </c>
      <c r="DI384">
        <v>8.3299999999999999E-2</v>
      </c>
      <c r="DJ384">
        <v>250</v>
      </c>
      <c r="DK384">
        <v>250</v>
      </c>
      <c r="DO384">
        <v>80</v>
      </c>
    </row>
    <row r="385" spans="93:120" x14ac:dyDescent="0.25">
      <c r="CO385" t="s">
        <v>636</v>
      </c>
      <c r="CP385" t="s">
        <v>604</v>
      </c>
      <c r="CQ385" t="s">
        <v>49</v>
      </c>
      <c r="CR385">
        <v>46147</v>
      </c>
      <c r="CS385">
        <v>1</v>
      </c>
      <c r="CT385">
        <v>1</v>
      </c>
      <c r="CV385">
        <v>1</v>
      </c>
      <c r="CX385">
        <v>0</v>
      </c>
      <c r="CY385">
        <v>0</v>
      </c>
      <c r="CZ385">
        <v>0.28519675925925925</v>
      </c>
      <c r="DA385">
        <v>9.6180555555555561E-2</v>
      </c>
      <c r="DB385">
        <v>87</v>
      </c>
      <c r="DC385">
        <v>143</v>
      </c>
      <c r="DD385">
        <v>8</v>
      </c>
      <c r="DE385">
        <v>1.375</v>
      </c>
      <c r="DF385">
        <v>30486</v>
      </c>
      <c r="DG385">
        <v>9.1999999999999998E-2</v>
      </c>
      <c r="DH385">
        <v>2</v>
      </c>
      <c r="DI385">
        <v>0.25</v>
      </c>
      <c r="DJ385">
        <v>860</v>
      </c>
      <c r="DK385">
        <v>430</v>
      </c>
      <c r="DO385">
        <v>80</v>
      </c>
    </row>
    <row r="386" spans="93:120" x14ac:dyDescent="0.25">
      <c r="CO386" t="s">
        <v>636</v>
      </c>
      <c r="CP386" t="s">
        <v>604</v>
      </c>
      <c r="CQ386" t="s">
        <v>49</v>
      </c>
      <c r="CR386">
        <v>46154</v>
      </c>
      <c r="CS386">
        <v>1</v>
      </c>
      <c r="CT386">
        <v>1</v>
      </c>
      <c r="CV386">
        <v>1</v>
      </c>
      <c r="CX386">
        <v>1.7361111111111112E-4</v>
      </c>
      <c r="CY386">
        <v>1.7361111111111112E-4</v>
      </c>
      <c r="CZ386">
        <v>0.2784490740740741</v>
      </c>
      <c r="DA386">
        <v>0.14061342592592593</v>
      </c>
      <c r="DB386">
        <v>97</v>
      </c>
      <c r="DC386">
        <v>125</v>
      </c>
      <c r="DD386">
        <v>12</v>
      </c>
      <c r="DE386" t="s">
        <v>712</v>
      </c>
      <c r="DF386">
        <v>21780</v>
      </c>
      <c r="DG386">
        <v>0.1237</v>
      </c>
      <c r="DH386">
        <v>2</v>
      </c>
      <c r="DI386">
        <v>0.16669999999999999</v>
      </c>
      <c r="DJ386">
        <v>906</v>
      </c>
      <c r="DK386">
        <v>453</v>
      </c>
      <c r="DL386">
        <v>306</v>
      </c>
      <c r="DM386">
        <v>0.3377</v>
      </c>
      <c r="DO386">
        <v>80</v>
      </c>
      <c r="DP386">
        <v>306</v>
      </c>
    </row>
    <row r="387" spans="93:120" x14ac:dyDescent="0.25">
      <c r="CO387" t="s">
        <v>636</v>
      </c>
      <c r="CP387" t="s">
        <v>604</v>
      </c>
      <c r="CQ387" t="s">
        <v>49</v>
      </c>
      <c r="CR387">
        <v>46160</v>
      </c>
      <c r="CS387">
        <v>1</v>
      </c>
      <c r="CT387">
        <v>1</v>
      </c>
      <c r="CV387">
        <v>1</v>
      </c>
      <c r="CX387">
        <v>8.3333333333333339E-4</v>
      </c>
      <c r="CY387">
        <v>8.3333333333333339E-4</v>
      </c>
      <c r="CZ387">
        <v>0.14943287037037037</v>
      </c>
      <c r="DA387">
        <v>0.17684027777777778</v>
      </c>
      <c r="DB387">
        <v>41</v>
      </c>
      <c r="DC387">
        <v>85</v>
      </c>
      <c r="DD387">
        <v>13</v>
      </c>
      <c r="DE387" t="s">
        <v>780</v>
      </c>
      <c r="DF387">
        <v>14485</v>
      </c>
      <c r="DG387">
        <v>0.31709999999999999</v>
      </c>
      <c r="DH387">
        <v>3</v>
      </c>
      <c r="DI387">
        <v>0.23080000000000001</v>
      </c>
      <c r="DJ387">
        <v>4500</v>
      </c>
      <c r="DK387">
        <v>1500</v>
      </c>
      <c r="DL387">
        <v>4400</v>
      </c>
      <c r="DM387">
        <v>0.9778</v>
      </c>
      <c r="DN387">
        <v>0.14050000000000001</v>
      </c>
      <c r="DO387">
        <v>80</v>
      </c>
      <c r="DP387">
        <v>1467</v>
      </c>
    </row>
    <row r="388" spans="93:120" x14ac:dyDescent="0.25">
      <c r="CO388" t="s">
        <v>636</v>
      </c>
      <c r="CP388" t="s">
        <v>604</v>
      </c>
      <c r="CQ388" t="s">
        <v>49</v>
      </c>
      <c r="CR388">
        <v>46172</v>
      </c>
      <c r="CS388">
        <v>1</v>
      </c>
      <c r="CT388">
        <v>1</v>
      </c>
      <c r="CU388">
        <v>1</v>
      </c>
      <c r="CX388">
        <v>5.0578703703703706E-3</v>
      </c>
      <c r="CY388">
        <v>5.0578703703703706E-3</v>
      </c>
      <c r="CZ388">
        <v>0.12196759259259259</v>
      </c>
      <c r="DA388">
        <v>5.7476851851851848E-2</v>
      </c>
      <c r="DB388">
        <v>27</v>
      </c>
      <c r="DC388">
        <v>36</v>
      </c>
      <c r="DD388">
        <v>5</v>
      </c>
      <c r="DE388">
        <v>1.2</v>
      </c>
      <c r="DF388">
        <v>14524</v>
      </c>
      <c r="DG388">
        <v>0.1852</v>
      </c>
      <c r="DO388">
        <v>80</v>
      </c>
    </row>
    <row r="389" spans="93:120" x14ac:dyDescent="0.25">
      <c r="CO389" t="s">
        <v>636</v>
      </c>
      <c r="CP389" t="s">
        <v>604</v>
      </c>
      <c r="CQ389" t="s">
        <v>549</v>
      </c>
      <c r="CR389">
        <v>46155</v>
      </c>
      <c r="CS389">
        <v>1</v>
      </c>
      <c r="CT389">
        <v>1</v>
      </c>
      <c r="CV389">
        <v>1</v>
      </c>
      <c r="CX389">
        <v>0</v>
      </c>
      <c r="CY389">
        <v>0</v>
      </c>
      <c r="CZ389">
        <v>0.19018518518518518</v>
      </c>
      <c r="DA389">
        <v>0.14976851851851852</v>
      </c>
      <c r="DB389">
        <v>174</v>
      </c>
      <c r="DC389">
        <v>262</v>
      </c>
      <c r="DD389">
        <v>46</v>
      </c>
      <c r="DE389" t="s">
        <v>827</v>
      </c>
      <c r="DF389">
        <v>10507</v>
      </c>
      <c r="DG389">
        <v>0.26440000000000002</v>
      </c>
      <c r="DH389">
        <v>1</v>
      </c>
      <c r="DI389">
        <v>2.1700000000000001E-2</v>
      </c>
      <c r="DJ389">
        <v>500</v>
      </c>
      <c r="DK389">
        <v>500</v>
      </c>
      <c r="DL389">
        <v>500</v>
      </c>
      <c r="DM389">
        <v>1</v>
      </c>
      <c r="DN389">
        <v>0.46310000000000001</v>
      </c>
      <c r="DO389">
        <v>80</v>
      </c>
      <c r="DP389">
        <v>500</v>
      </c>
    </row>
    <row r="390" spans="93:120" x14ac:dyDescent="0.25">
      <c r="CO390" t="s">
        <v>636</v>
      </c>
      <c r="CP390" t="s">
        <v>604</v>
      </c>
      <c r="CQ390" t="s">
        <v>549</v>
      </c>
      <c r="CR390">
        <v>46171</v>
      </c>
      <c r="CS390">
        <v>1</v>
      </c>
      <c r="CT390">
        <v>1</v>
      </c>
      <c r="CV390">
        <v>1</v>
      </c>
      <c r="CX390">
        <v>2.3148148148148147E-5</v>
      </c>
      <c r="CY390">
        <v>2.3148148148148147E-5</v>
      </c>
      <c r="CZ390">
        <v>0.18443287037037037</v>
      </c>
      <c r="DA390">
        <v>0.18991898148148148</v>
      </c>
      <c r="DB390">
        <v>137</v>
      </c>
      <c r="DC390">
        <v>250</v>
      </c>
      <c r="DD390">
        <v>37</v>
      </c>
      <c r="DE390" t="s">
        <v>828</v>
      </c>
      <c r="DF390">
        <v>12678</v>
      </c>
      <c r="DG390">
        <v>0.27010000000000001</v>
      </c>
      <c r="DH390">
        <v>1</v>
      </c>
      <c r="DI390">
        <v>2.7E-2</v>
      </c>
      <c r="DJ390">
        <v>1000</v>
      </c>
      <c r="DK390">
        <v>1000</v>
      </c>
      <c r="DL390">
        <v>1000</v>
      </c>
      <c r="DM390">
        <v>1</v>
      </c>
      <c r="DN390">
        <v>0.1784</v>
      </c>
      <c r="DO390">
        <v>80</v>
      </c>
      <c r="DP390">
        <v>1000</v>
      </c>
    </row>
    <row r="391" spans="93:120" x14ac:dyDescent="0.25">
      <c r="CO391" t="s">
        <v>636</v>
      </c>
      <c r="CP391" t="s">
        <v>604</v>
      </c>
      <c r="CQ391" t="s">
        <v>77</v>
      </c>
      <c r="CR391">
        <v>46155</v>
      </c>
      <c r="CS391">
        <v>1</v>
      </c>
      <c r="CT391">
        <v>1</v>
      </c>
      <c r="CV391">
        <v>1</v>
      </c>
      <c r="CX391">
        <v>0</v>
      </c>
      <c r="CY391">
        <v>0</v>
      </c>
      <c r="CZ391">
        <v>0.18449074074074073</v>
      </c>
      <c r="DA391">
        <v>0.16211805555555556</v>
      </c>
      <c r="DB391">
        <v>107</v>
      </c>
      <c r="DC391">
        <v>171</v>
      </c>
      <c r="DD391">
        <v>20</v>
      </c>
      <c r="DE391">
        <v>2.0499999999999998</v>
      </c>
      <c r="DF391">
        <v>19616</v>
      </c>
      <c r="DG391">
        <v>0.18690000000000001</v>
      </c>
      <c r="DH391">
        <v>2</v>
      </c>
      <c r="DI391">
        <v>0.1</v>
      </c>
      <c r="DJ391">
        <v>1762</v>
      </c>
      <c r="DK391">
        <v>881</v>
      </c>
      <c r="DL391">
        <v>160</v>
      </c>
      <c r="DM391">
        <v>9.0800000000000006E-2</v>
      </c>
      <c r="DN391">
        <v>1.6400000000000001E-2</v>
      </c>
      <c r="DO391">
        <v>80</v>
      </c>
      <c r="DP391">
        <v>160</v>
      </c>
    </row>
    <row r="392" spans="93:120" x14ac:dyDescent="0.25">
      <c r="CO392" t="s">
        <v>636</v>
      </c>
      <c r="CP392" t="s">
        <v>604</v>
      </c>
      <c r="CQ392" t="s">
        <v>566</v>
      </c>
      <c r="CR392">
        <v>46172</v>
      </c>
      <c r="CS392">
        <v>1</v>
      </c>
      <c r="CT392">
        <v>1</v>
      </c>
      <c r="CW392">
        <v>1</v>
      </c>
      <c r="CX392">
        <v>0</v>
      </c>
      <c r="CY392">
        <v>0</v>
      </c>
      <c r="CZ392">
        <v>0</v>
      </c>
      <c r="DA392">
        <v>0</v>
      </c>
      <c r="DO392">
        <v>80</v>
      </c>
    </row>
    <row r="393" spans="93:120" x14ac:dyDescent="0.25">
      <c r="CO393" t="s">
        <v>636</v>
      </c>
      <c r="CP393" t="s">
        <v>604</v>
      </c>
      <c r="CQ393" t="s">
        <v>78</v>
      </c>
      <c r="CR393">
        <v>46156</v>
      </c>
      <c r="CS393">
        <v>1</v>
      </c>
      <c r="CT393">
        <v>1</v>
      </c>
      <c r="CV393">
        <v>1</v>
      </c>
      <c r="CX393">
        <v>0</v>
      </c>
      <c r="CY393">
        <v>0</v>
      </c>
      <c r="CZ393">
        <v>0.19015046296296295</v>
      </c>
      <c r="DA393">
        <v>0.1209837962962963</v>
      </c>
      <c r="DB393">
        <v>88</v>
      </c>
      <c r="DC393">
        <v>167</v>
      </c>
      <c r="DD393">
        <v>30</v>
      </c>
      <c r="DE393" t="s">
        <v>739</v>
      </c>
      <c r="DF393">
        <v>11916</v>
      </c>
      <c r="DG393">
        <v>0.34089999999999998</v>
      </c>
      <c r="DH393">
        <v>1</v>
      </c>
      <c r="DI393">
        <v>3.3300000000000003E-2</v>
      </c>
      <c r="DJ393">
        <v>200</v>
      </c>
      <c r="DK393">
        <v>200</v>
      </c>
      <c r="DO393">
        <v>80</v>
      </c>
    </row>
    <row r="394" spans="93:120" x14ac:dyDescent="0.25">
      <c r="CO394" t="s">
        <v>636</v>
      </c>
      <c r="CP394" t="s">
        <v>604</v>
      </c>
      <c r="CQ394" t="s">
        <v>78</v>
      </c>
      <c r="CR394">
        <v>46160</v>
      </c>
      <c r="CS394">
        <v>1</v>
      </c>
      <c r="CT394">
        <v>1</v>
      </c>
      <c r="CV394">
        <v>1</v>
      </c>
      <c r="CX394">
        <v>0</v>
      </c>
      <c r="CY394">
        <v>0</v>
      </c>
      <c r="CZ394">
        <v>0.17820601851851853</v>
      </c>
      <c r="DA394">
        <v>0.13394675925925925</v>
      </c>
      <c r="DB394">
        <v>68</v>
      </c>
      <c r="DC394">
        <v>153</v>
      </c>
      <c r="DD394">
        <v>25</v>
      </c>
      <c r="DE394">
        <v>1.76</v>
      </c>
      <c r="DF394">
        <v>12916</v>
      </c>
      <c r="DG394">
        <v>0.36759999999999998</v>
      </c>
      <c r="DH394">
        <v>2</v>
      </c>
      <c r="DI394">
        <v>0.08</v>
      </c>
      <c r="DJ394">
        <v>1400</v>
      </c>
      <c r="DK394">
        <v>700</v>
      </c>
      <c r="DL394">
        <v>1400</v>
      </c>
      <c r="DM394">
        <v>1</v>
      </c>
      <c r="DN394">
        <v>0.28639999999999999</v>
      </c>
      <c r="DO394">
        <v>80</v>
      </c>
      <c r="DP394">
        <v>700</v>
      </c>
    </row>
    <row r="395" spans="93:120" x14ac:dyDescent="0.25">
      <c r="CO395" t="s">
        <v>636</v>
      </c>
      <c r="CP395" t="s">
        <v>604</v>
      </c>
      <c r="CQ395" t="s">
        <v>78</v>
      </c>
      <c r="CR395">
        <v>46164</v>
      </c>
      <c r="CS395">
        <v>1</v>
      </c>
      <c r="CT395">
        <v>1</v>
      </c>
      <c r="CV395">
        <v>1</v>
      </c>
      <c r="CX395">
        <v>0</v>
      </c>
      <c r="CY395">
        <v>0</v>
      </c>
      <c r="CZ395">
        <v>0.19871527777777778</v>
      </c>
      <c r="DA395">
        <v>0.14578703703703705</v>
      </c>
      <c r="DB395">
        <v>80</v>
      </c>
      <c r="DC395">
        <v>162</v>
      </c>
      <c r="DD395">
        <v>27</v>
      </c>
      <c r="DE395" t="s">
        <v>829</v>
      </c>
      <c r="DF395">
        <v>19583</v>
      </c>
      <c r="DG395">
        <v>0.33750000000000002</v>
      </c>
      <c r="DH395">
        <v>1</v>
      </c>
      <c r="DI395">
        <v>3.6999999999999998E-2</v>
      </c>
      <c r="DJ395">
        <v>1300</v>
      </c>
      <c r="DK395">
        <v>1300</v>
      </c>
      <c r="DL395">
        <v>1300</v>
      </c>
      <c r="DM395">
        <v>1</v>
      </c>
      <c r="DN395">
        <v>0.2031</v>
      </c>
      <c r="DO395">
        <v>80</v>
      </c>
      <c r="DP395">
        <v>1300</v>
      </c>
    </row>
    <row r="396" spans="93:120" x14ac:dyDescent="0.25">
      <c r="CO396" t="s">
        <v>636</v>
      </c>
      <c r="CP396" t="s">
        <v>604</v>
      </c>
      <c r="CQ396" t="s">
        <v>78</v>
      </c>
      <c r="CR396">
        <v>46171</v>
      </c>
      <c r="CS396">
        <v>1</v>
      </c>
      <c r="CT396">
        <v>1</v>
      </c>
      <c r="CX396">
        <v>0</v>
      </c>
      <c r="CY396">
        <v>0</v>
      </c>
      <c r="CZ396">
        <v>8.4467592592592594E-2</v>
      </c>
      <c r="DA396">
        <v>0.29229166666666667</v>
      </c>
      <c r="DB396">
        <v>71</v>
      </c>
      <c r="DC396">
        <v>169</v>
      </c>
      <c r="DD396">
        <v>27</v>
      </c>
      <c r="DE396" t="s">
        <v>749</v>
      </c>
      <c r="DF396">
        <v>20442</v>
      </c>
      <c r="DG396">
        <v>0.38030000000000003</v>
      </c>
      <c r="DH396">
        <v>2</v>
      </c>
      <c r="DI396">
        <v>7.4099999999999999E-2</v>
      </c>
      <c r="DJ396">
        <v>1330</v>
      </c>
      <c r="DK396">
        <v>665</v>
      </c>
      <c r="DL396">
        <v>600</v>
      </c>
      <c r="DM396">
        <v>0.4511</v>
      </c>
      <c r="DN396">
        <v>0.19209999999999999</v>
      </c>
      <c r="DO396">
        <v>80</v>
      </c>
      <c r="DP396">
        <v>600</v>
      </c>
    </row>
    <row r="397" spans="93:120" x14ac:dyDescent="0.25">
      <c r="CO397" t="s">
        <v>636</v>
      </c>
      <c r="CP397" t="s">
        <v>604</v>
      </c>
      <c r="CQ397" t="s">
        <v>601</v>
      </c>
      <c r="CR397">
        <v>46150</v>
      </c>
      <c r="CS397">
        <v>1</v>
      </c>
      <c r="CT397">
        <v>1</v>
      </c>
      <c r="CU397">
        <v>1</v>
      </c>
      <c r="CX397">
        <v>2.9780092592592594E-2</v>
      </c>
      <c r="CY397">
        <v>2.9780092592592594E-2</v>
      </c>
      <c r="CZ397">
        <v>0.15082175925925925</v>
      </c>
      <c r="DA397">
        <v>0.10704861111111111</v>
      </c>
      <c r="DB397">
        <v>106</v>
      </c>
      <c r="DC397">
        <v>165</v>
      </c>
      <c r="DD397">
        <v>45</v>
      </c>
      <c r="DE397" t="s">
        <v>830</v>
      </c>
      <c r="DF397">
        <v>5425</v>
      </c>
      <c r="DG397">
        <v>0.42449999999999999</v>
      </c>
      <c r="DH397">
        <v>2</v>
      </c>
      <c r="DI397">
        <v>4.4400000000000002E-2</v>
      </c>
      <c r="DJ397">
        <v>1800</v>
      </c>
      <c r="DK397">
        <v>900</v>
      </c>
      <c r="DL397">
        <v>1800</v>
      </c>
      <c r="DM397">
        <v>1</v>
      </c>
      <c r="DN397">
        <v>0.27100000000000002</v>
      </c>
      <c r="DO397">
        <v>80</v>
      </c>
      <c r="DP397">
        <v>900</v>
      </c>
    </row>
    <row r="398" spans="93:120" x14ac:dyDescent="0.25">
      <c r="CO398" t="s">
        <v>636</v>
      </c>
      <c r="CP398" t="s">
        <v>604</v>
      </c>
      <c r="CQ398" t="s">
        <v>601</v>
      </c>
      <c r="CR398">
        <v>46172</v>
      </c>
      <c r="CS398">
        <v>1</v>
      </c>
      <c r="CT398">
        <v>1</v>
      </c>
      <c r="CW398">
        <v>1</v>
      </c>
      <c r="CX398">
        <v>0</v>
      </c>
      <c r="CY398">
        <v>0</v>
      </c>
      <c r="CZ398">
        <v>0</v>
      </c>
      <c r="DA398">
        <v>0</v>
      </c>
      <c r="DO398">
        <v>80</v>
      </c>
    </row>
    <row r="399" spans="93:120" x14ac:dyDescent="0.25">
      <c r="CO399" t="s">
        <v>636</v>
      </c>
      <c r="CP399" t="s">
        <v>3</v>
      </c>
      <c r="CQ399" t="s">
        <v>58</v>
      </c>
      <c r="CR399">
        <v>46157</v>
      </c>
      <c r="CS399">
        <v>1</v>
      </c>
      <c r="CT399">
        <v>1</v>
      </c>
      <c r="CV399">
        <v>1</v>
      </c>
      <c r="CX399">
        <v>1.0416666666666667E-4</v>
      </c>
      <c r="CY399">
        <v>1.0416666666666667E-4</v>
      </c>
      <c r="CZ399">
        <v>0.28348379629629628</v>
      </c>
      <c r="DA399">
        <v>5.0069444444444444E-2</v>
      </c>
      <c r="DB399">
        <v>132</v>
      </c>
      <c r="DC399">
        <v>238</v>
      </c>
      <c r="DD399">
        <v>35</v>
      </c>
      <c r="DE399" t="s">
        <v>831</v>
      </c>
      <c r="DF399">
        <v>22273</v>
      </c>
      <c r="DG399">
        <v>0.26519999999999999</v>
      </c>
      <c r="DH399">
        <v>5</v>
      </c>
      <c r="DI399">
        <v>0.1429</v>
      </c>
      <c r="DJ399">
        <v>6300</v>
      </c>
      <c r="DK399">
        <v>1260</v>
      </c>
      <c r="DO399">
        <v>80</v>
      </c>
    </row>
    <row r="400" spans="93:120" x14ac:dyDescent="0.25">
      <c r="CO400" t="s">
        <v>636</v>
      </c>
      <c r="CP400" t="s">
        <v>3</v>
      </c>
      <c r="CQ400" t="s">
        <v>85</v>
      </c>
      <c r="CR400">
        <v>46154</v>
      </c>
      <c r="CS400">
        <v>1</v>
      </c>
      <c r="CT400">
        <v>1</v>
      </c>
      <c r="CV400">
        <v>1</v>
      </c>
      <c r="CX400">
        <v>0</v>
      </c>
      <c r="CY400">
        <v>0</v>
      </c>
      <c r="CZ400">
        <v>0.29526620370370371</v>
      </c>
      <c r="DA400">
        <v>0.12641203703703704</v>
      </c>
      <c r="DB400">
        <v>89</v>
      </c>
      <c r="DC400">
        <v>208</v>
      </c>
      <c r="DD400">
        <v>31</v>
      </c>
      <c r="DE400" t="s">
        <v>774</v>
      </c>
      <c r="DF400">
        <v>19724</v>
      </c>
      <c r="DG400">
        <v>0.3483</v>
      </c>
      <c r="DH400">
        <v>1</v>
      </c>
      <c r="DI400">
        <v>3.2300000000000002E-2</v>
      </c>
      <c r="DJ400">
        <v>280</v>
      </c>
      <c r="DK400">
        <v>280</v>
      </c>
      <c r="DL400">
        <v>280</v>
      </c>
      <c r="DM400">
        <v>1</v>
      </c>
      <c r="DN400">
        <v>0.84199999999999997</v>
      </c>
      <c r="DO400">
        <v>80</v>
      </c>
      <c r="DP400">
        <v>280</v>
      </c>
    </row>
    <row r="401" spans="93:120" x14ac:dyDescent="0.25">
      <c r="CO401" t="s">
        <v>636</v>
      </c>
      <c r="CP401" t="s">
        <v>3</v>
      </c>
      <c r="CQ401" t="s">
        <v>85</v>
      </c>
      <c r="CR401">
        <v>46157</v>
      </c>
      <c r="CS401">
        <v>1</v>
      </c>
      <c r="CT401">
        <v>1</v>
      </c>
      <c r="CV401">
        <v>1</v>
      </c>
      <c r="CX401">
        <v>1.1574074074074073E-5</v>
      </c>
      <c r="CY401">
        <v>1.1574074074074073E-5</v>
      </c>
      <c r="CZ401">
        <v>0.28991898148148149</v>
      </c>
      <c r="DA401">
        <v>4.7673611111111111E-2</v>
      </c>
      <c r="DB401">
        <v>165</v>
      </c>
      <c r="DC401">
        <v>245</v>
      </c>
      <c r="DD401">
        <v>46</v>
      </c>
      <c r="DE401" t="s">
        <v>760</v>
      </c>
      <c r="DF401">
        <v>16611</v>
      </c>
      <c r="DG401">
        <v>0.27879999999999999</v>
      </c>
      <c r="DH401">
        <v>1</v>
      </c>
      <c r="DI401">
        <v>2.1700000000000001E-2</v>
      </c>
      <c r="DJ401">
        <v>170</v>
      </c>
      <c r="DK401">
        <v>170</v>
      </c>
      <c r="DL401">
        <v>170</v>
      </c>
      <c r="DM401">
        <v>1</v>
      </c>
      <c r="DN401">
        <v>0.4824</v>
      </c>
      <c r="DO401">
        <v>80</v>
      </c>
      <c r="DP401">
        <v>170</v>
      </c>
    </row>
    <row r="402" spans="93:120" x14ac:dyDescent="0.25">
      <c r="CO402" t="s">
        <v>636</v>
      </c>
      <c r="CP402" t="s">
        <v>3</v>
      </c>
      <c r="CQ402" t="s">
        <v>32</v>
      </c>
      <c r="CR402">
        <v>46154</v>
      </c>
      <c r="CS402">
        <v>1</v>
      </c>
      <c r="CT402">
        <v>1</v>
      </c>
      <c r="CV402">
        <v>1</v>
      </c>
      <c r="CX402">
        <v>2.0833333333333335E-4</v>
      </c>
      <c r="CY402">
        <v>2.0833333333333335E-4</v>
      </c>
      <c r="CZ402">
        <v>0.26746527777777779</v>
      </c>
      <c r="DA402">
        <v>0.15006944444444445</v>
      </c>
      <c r="DB402">
        <v>135</v>
      </c>
      <c r="DC402">
        <v>300</v>
      </c>
      <c r="DD402">
        <v>40</v>
      </c>
      <c r="DE402">
        <v>1.65</v>
      </c>
      <c r="DF402">
        <v>33737</v>
      </c>
      <c r="DG402">
        <v>0.29630000000000001</v>
      </c>
      <c r="DH402">
        <v>1</v>
      </c>
      <c r="DI402">
        <v>2.5000000000000001E-2</v>
      </c>
      <c r="DJ402">
        <v>380</v>
      </c>
      <c r="DK402">
        <v>380</v>
      </c>
      <c r="DL402">
        <v>190</v>
      </c>
      <c r="DM402">
        <v>0.5</v>
      </c>
      <c r="DN402">
        <v>1.0488999999999999</v>
      </c>
      <c r="DO402">
        <v>80</v>
      </c>
      <c r="DP402">
        <v>190</v>
      </c>
    </row>
    <row r="403" spans="93:120" x14ac:dyDescent="0.25">
      <c r="CO403" t="s">
        <v>636</v>
      </c>
      <c r="CP403" t="s">
        <v>3</v>
      </c>
      <c r="CQ403" t="s">
        <v>32</v>
      </c>
      <c r="CR403">
        <v>46160</v>
      </c>
      <c r="CS403">
        <v>1</v>
      </c>
      <c r="CT403">
        <v>1</v>
      </c>
      <c r="CV403">
        <v>1</v>
      </c>
      <c r="CX403">
        <v>1.3888888888888889E-4</v>
      </c>
      <c r="CY403">
        <v>1.3888888888888889E-4</v>
      </c>
      <c r="CZ403">
        <v>0.19023148148148147</v>
      </c>
      <c r="DA403">
        <v>0.1434375</v>
      </c>
      <c r="DB403">
        <v>90</v>
      </c>
      <c r="DC403">
        <v>202</v>
      </c>
      <c r="DD403">
        <v>36</v>
      </c>
      <c r="DE403" t="s">
        <v>832</v>
      </c>
      <c r="DF403">
        <v>34806</v>
      </c>
      <c r="DG403">
        <v>0.4</v>
      </c>
      <c r="DH403">
        <v>3</v>
      </c>
      <c r="DI403">
        <v>8.3299999999999999E-2</v>
      </c>
      <c r="DJ403">
        <v>4000</v>
      </c>
      <c r="DK403">
        <v>1333</v>
      </c>
      <c r="DL403">
        <v>4000</v>
      </c>
      <c r="DM403">
        <v>1</v>
      </c>
      <c r="DN403">
        <v>0.15590000000000001</v>
      </c>
      <c r="DO403">
        <v>80</v>
      </c>
      <c r="DP403">
        <v>1333</v>
      </c>
    </row>
    <row r="404" spans="93:120" x14ac:dyDescent="0.25">
      <c r="CO404" t="s">
        <v>636</v>
      </c>
      <c r="CP404" t="s">
        <v>3</v>
      </c>
      <c r="CQ404" t="s">
        <v>32</v>
      </c>
      <c r="CR404">
        <v>46161</v>
      </c>
      <c r="CS404">
        <v>1</v>
      </c>
      <c r="CT404">
        <v>1</v>
      </c>
      <c r="CV404">
        <v>1</v>
      </c>
      <c r="CX404">
        <v>1.3888888888888889E-4</v>
      </c>
      <c r="CY404">
        <v>1.3888888888888889E-4</v>
      </c>
      <c r="CZ404">
        <v>0.2056712962962963</v>
      </c>
      <c r="DA404">
        <v>0.11236111111111111</v>
      </c>
      <c r="DB404">
        <v>115</v>
      </c>
      <c r="DC404">
        <v>200</v>
      </c>
      <c r="DD404">
        <v>31</v>
      </c>
      <c r="DE404" t="s">
        <v>833</v>
      </c>
      <c r="DF404">
        <v>43782</v>
      </c>
      <c r="DG404">
        <v>0.26960000000000001</v>
      </c>
      <c r="DH404">
        <v>1</v>
      </c>
      <c r="DI404">
        <v>3.2300000000000002E-2</v>
      </c>
      <c r="DJ404">
        <v>1000</v>
      </c>
      <c r="DK404">
        <v>1000</v>
      </c>
      <c r="DL404">
        <v>1000</v>
      </c>
      <c r="DM404">
        <v>1</v>
      </c>
      <c r="DO404">
        <v>80</v>
      </c>
      <c r="DP404">
        <v>1000</v>
      </c>
    </row>
    <row r="405" spans="93:120" x14ac:dyDescent="0.25">
      <c r="CO405" t="s">
        <v>636</v>
      </c>
      <c r="CP405" t="s">
        <v>3</v>
      </c>
      <c r="CQ405" t="s">
        <v>32</v>
      </c>
      <c r="CR405">
        <v>46164</v>
      </c>
      <c r="CS405">
        <v>1</v>
      </c>
      <c r="CT405">
        <v>1</v>
      </c>
      <c r="CV405">
        <v>1</v>
      </c>
      <c r="CX405">
        <v>1.1574074074074075E-4</v>
      </c>
      <c r="CY405">
        <v>1.1574074074074075E-4</v>
      </c>
      <c r="CZ405">
        <v>0.18486111111111111</v>
      </c>
      <c r="DA405">
        <v>0.14760416666666668</v>
      </c>
      <c r="DB405">
        <v>115</v>
      </c>
      <c r="DC405">
        <v>232</v>
      </c>
      <c r="DD405">
        <v>36</v>
      </c>
      <c r="DE405">
        <v>1.5</v>
      </c>
      <c r="DF405">
        <v>48334</v>
      </c>
      <c r="DG405">
        <v>0.313</v>
      </c>
      <c r="DH405">
        <v>1</v>
      </c>
      <c r="DI405">
        <v>2.7799999999999998E-2</v>
      </c>
      <c r="DJ405">
        <v>1450</v>
      </c>
      <c r="DK405">
        <v>1450</v>
      </c>
      <c r="DL405">
        <v>1450</v>
      </c>
      <c r="DM405">
        <v>1</v>
      </c>
      <c r="DN405">
        <v>0.3165</v>
      </c>
      <c r="DO405">
        <v>80</v>
      </c>
      <c r="DP405">
        <v>1450</v>
      </c>
    </row>
    <row r="406" spans="93:120" x14ac:dyDescent="0.25">
      <c r="CO406" t="s">
        <v>636</v>
      </c>
      <c r="CP406" t="s">
        <v>3</v>
      </c>
      <c r="CQ406" t="s">
        <v>564</v>
      </c>
      <c r="CR406">
        <v>46155</v>
      </c>
      <c r="CS406">
        <v>1</v>
      </c>
      <c r="CT406">
        <v>1</v>
      </c>
      <c r="CV406">
        <v>1</v>
      </c>
      <c r="CX406">
        <v>0</v>
      </c>
      <c r="CY406">
        <v>0</v>
      </c>
      <c r="CZ406">
        <v>0.20675925925925925</v>
      </c>
      <c r="DA406">
        <v>0.13826388888888888</v>
      </c>
      <c r="DB406">
        <v>109</v>
      </c>
      <c r="DC406">
        <v>181</v>
      </c>
      <c r="DD406">
        <v>28</v>
      </c>
      <c r="DE406" t="s">
        <v>796</v>
      </c>
      <c r="DF406">
        <v>31617</v>
      </c>
      <c r="DG406">
        <v>0.25690000000000002</v>
      </c>
      <c r="DH406">
        <v>2</v>
      </c>
      <c r="DI406">
        <v>7.1400000000000005E-2</v>
      </c>
      <c r="DJ406">
        <v>2212</v>
      </c>
      <c r="DK406">
        <v>1106</v>
      </c>
      <c r="DL406">
        <v>1800</v>
      </c>
      <c r="DM406">
        <v>0.81369999999999998</v>
      </c>
      <c r="DN406">
        <v>0.34100000000000003</v>
      </c>
      <c r="DO406">
        <v>80</v>
      </c>
      <c r="DP406">
        <v>1800</v>
      </c>
    </row>
    <row r="407" spans="93:120" x14ac:dyDescent="0.25">
      <c r="CO407" t="s">
        <v>636</v>
      </c>
      <c r="CP407" t="s">
        <v>3</v>
      </c>
      <c r="CQ407" t="s">
        <v>96</v>
      </c>
      <c r="CR407">
        <v>46168</v>
      </c>
      <c r="CS407">
        <v>1</v>
      </c>
      <c r="CT407">
        <v>1</v>
      </c>
      <c r="CU407">
        <v>1</v>
      </c>
      <c r="CX407">
        <v>7.3032407407407404E-3</v>
      </c>
      <c r="CY407">
        <v>7.3032407407407404E-3</v>
      </c>
      <c r="CZ407">
        <v>0.1809375</v>
      </c>
      <c r="DA407">
        <v>0.16398148148148148</v>
      </c>
      <c r="DB407">
        <v>94</v>
      </c>
      <c r="DC407">
        <v>193</v>
      </c>
      <c r="DD407">
        <v>26</v>
      </c>
      <c r="DE407" t="s">
        <v>801</v>
      </c>
      <c r="DF407">
        <v>17631</v>
      </c>
      <c r="DG407">
        <v>0.27660000000000001</v>
      </c>
      <c r="DH407">
        <v>1</v>
      </c>
      <c r="DI407">
        <v>3.85E-2</v>
      </c>
      <c r="DJ407">
        <v>8000</v>
      </c>
      <c r="DK407">
        <v>8000</v>
      </c>
      <c r="DL407">
        <v>8000</v>
      </c>
      <c r="DM407">
        <v>1</v>
      </c>
      <c r="DN407">
        <v>8.8499999999999995E-2</v>
      </c>
      <c r="DO407">
        <v>80</v>
      </c>
      <c r="DP407">
        <v>8000</v>
      </c>
    </row>
    <row r="408" spans="93:120" x14ac:dyDescent="0.25">
      <c r="CO408" t="s">
        <v>636</v>
      </c>
      <c r="CP408" t="s">
        <v>3</v>
      </c>
      <c r="CQ408" t="s">
        <v>68</v>
      </c>
      <c r="CR408">
        <v>46163</v>
      </c>
      <c r="CS408">
        <v>1</v>
      </c>
      <c r="CT408">
        <v>1</v>
      </c>
      <c r="CU408">
        <v>1</v>
      </c>
      <c r="CX408">
        <v>9.4444444444444445E-3</v>
      </c>
      <c r="CY408">
        <v>9.4444444444444445E-3</v>
      </c>
      <c r="CZ408">
        <v>0.13508101851851853</v>
      </c>
      <c r="DA408">
        <v>0.14564814814814814</v>
      </c>
      <c r="DB408">
        <v>55</v>
      </c>
      <c r="DC408">
        <v>123</v>
      </c>
      <c r="DD408">
        <v>13</v>
      </c>
      <c r="DE408" t="s">
        <v>787</v>
      </c>
      <c r="DF408">
        <v>29856</v>
      </c>
      <c r="DG408">
        <v>0.2364</v>
      </c>
      <c r="DH408">
        <v>3</v>
      </c>
      <c r="DI408">
        <v>0.23080000000000001</v>
      </c>
      <c r="DJ408">
        <v>6870</v>
      </c>
      <c r="DK408">
        <v>2290</v>
      </c>
      <c r="DL408">
        <v>6620</v>
      </c>
      <c r="DM408">
        <v>0.96360000000000001</v>
      </c>
      <c r="DN408">
        <v>0.1351</v>
      </c>
      <c r="DO408">
        <v>80</v>
      </c>
      <c r="DP408">
        <v>3310</v>
      </c>
    </row>
    <row r="409" spans="93:120" x14ac:dyDescent="0.25">
      <c r="CO409" t="s">
        <v>636</v>
      </c>
      <c r="CP409" t="s">
        <v>3</v>
      </c>
      <c r="CQ409" t="s">
        <v>29</v>
      </c>
      <c r="CR409">
        <v>46154</v>
      </c>
      <c r="CS409">
        <v>1</v>
      </c>
      <c r="CT409">
        <v>1</v>
      </c>
      <c r="CV409">
        <v>1</v>
      </c>
      <c r="CX409">
        <v>5.7870370370370373E-5</v>
      </c>
      <c r="CY409">
        <v>5.7870370370370373E-5</v>
      </c>
      <c r="CZ409">
        <v>0.27048611111111109</v>
      </c>
      <c r="DA409">
        <v>0.13246527777777778</v>
      </c>
      <c r="DB409">
        <v>155</v>
      </c>
      <c r="DC409">
        <v>268</v>
      </c>
      <c r="DD409">
        <v>32</v>
      </c>
      <c r="DE409">
        <v>1.6875</v>
      </c>
      <c r="DF409">
        <v>17420</v>
      </c>
      <c r="DG409">
        <v>0.20649999999999999</v>
      </c>
      <c r="DH409">
        <v>4</v>
      </c>
      <c r="DI409">
        <v>0.125</v>
      </c>
      <c r="DJ409">
        <v>6506</v>
      </c>
      <c r="DK409">
        <v>1627</v>
      </c>
      <c r="DL409">
        <v>291</v>
      </c>
      <c r="DM409">
        <v>4.4699999999999997E-2</v>
      </c>
      <c r="DO409">
        <v>80</v>
      </c>
      <c r="DP409">
        <v>291</v>
      </c>
    </row>
    <row r="410" spans="93:120" x14ac:dyDescent="0.25">
      <c r="CO410" t="s">
        <v>636</v>
      </c>
      <c r="CP410" t="s">
        <v>3</v>
      </c>
      <c r="CQ410" t="s">
        <v>29</v>
      </c>
      <c r="CR410">
        <v>46156</v>
      </c>
      <c r="CS410">
        <v>1</v>
      </c>
      <c r="CT410">
        <v>1</v>
      </c>
      <c r="CV410">
        <v>1</v>
      </c>
      <c r="CX410">
        <v>0</v>
      </c>
      <c r="CY410">
        <v>0</v>
      </c>
      <c r="CZ410">
        <v>0.17696759259259259</v>
      </c>
      <c r="DA410">
        <v>0.13127314814814814</v>
      </c>
      <c r="DB410">
        <v>109</v>
      </c>
      <c r="DC410">
        <v>194</v>
      </c>
      <c r="DD410">
        <v>35</v>
      </c>
      <c r="DE410" t="s">
        <v>834</v>
      </c>
      <c r="DF410">
        <v>15011</v>
      </c>
      <c r="DG410">
        <v>0.3211</v>
      </c>
      <c r="DH410">
        <v>1</v>
      </c>
      <c r="DI410">
        <v>2.86E-2</v>
      </c>
      <c r="DJ410">
        <v>500</v>
      </c>
      <c r="DK410">
        <v>500</v>
      </c>
      <c r="DL410">
        <v>500</v>
      </c>
      <c r="DM410">
        <v>1</v>
      </c>
      <c r="DO410">
        <v>80</v>
      </c>
      <c r="DP410">
        <v>500</v>
      </c>
    </row>
    <row r="411" spans="93:120" x14ac:dyDescent="0.25">
      <c r="CO411" t="s">
        <v>636</v>
      </c>
      <c r="CP411" t="s">
        <v>2</v>
      </c>
      <c r="CQ411" t="s">
        <v>22</v>
      </c>
      <c r="CR411">
        <v>46167</v>
      </c>
      <c r="CS411">
        <v>1</v>
      </c>
      <c r="CT411">
        <v>1</v>
      </c>
      <c r="CU411">
        <v>1</v>
      </c>
      <c r="CX411">
        <v>1.4085648148148147E-2</v>
      </c>
      <c r="CY411">
        <v>1.4085648148148147E-2</v>
      </c>
      <c r="CZ411">
        <v>0.13267361111111112</v>
      </c>
      <c r="DA411">
        <v>0.16483796296296296</v>
      </c>
      <c r="DB411">
        <v>48</v>
      </c>
      <c r="DC411">
        <v>73</v>
      </c>
      <c r="DD411">
        <v>7</v>
      </c>
      <c r="DE411" t="s">
        <v>679</v>
      </c>
      <c r="DF411">
        <v>35162</v>
      </c>
      <c r="DG411">
        <v>0.14580000000000001</v>
      </c>
      <c r="DH411">
        <v>1</v>
      </c>
      <c r="DI411">
        <v>0.1429</v>
      </c>
      <c r="DJ411">
        <v>3000</v>
      </c>
      <c r="DK411">
        <v>3000</v>
      </c>
      <c r="DL411">
        <v>3000</v>
      </c>
      <c r="DM411">
        <v>1</v>
      </c>
      <c r="DO411">
        <v>78</v>
      </c>
      <c r="DP411">
        <v>3000</v>
      </c>
    </row>
    <row r="412" spans="93:120" x14ac:dyDescent="0.25">
      <c r="CO412" t="s">
        <v>636</v>
      </c>
      <c r="CP412" t="s">
        <v>2</v>
      </c>
      <c r="CQ412" t="s">
        <v>24</v>
      </c>
      <c r="CR412">
        <v>46156</v>
      </c>
      <c r="CS412">
        <v>1</v>
      </c>
      <c r="CT412">
        <v>1</v>
      </c>
      <c r="CV412">
        <v>1</v>
      </c>
      <c r="CX412">
        <v>1.9444444444444444E-3</v>
      </c>
      <c r="CY412">
        <v>1.9444444444444444E-3</v>
      </c>
      <c r="CZ412">
        <v>0.18393518518518517</v>
      </c>
      <c r="DA412">
        <v>0.1623263888888889</v>
      </c>
      <c r="DB412">
        <v>51</v>
      </c>
      <c r="DC412">
        <v>99</v>
      </c>
      <c r="DD412">
        <v>23</v>
      </c>
      <c r="DE412" t="s">
        <v>714</v>
      </c>
      <c r="DF412">
        <v>29787</v>
      </c>
      <c r="DG412">
        <v>0.45100000000000001</v>
      </c>
      <c r="DH412">
        <v>1</v>
      </c>
      <c r="DI412">
        <v>4.3499999999999997E-2</v>
      </c>
      <c r="DJ412">
        <v>2200</v>
      </c>
      <c r="DK412">
        <v>2200</v>
      </c>
      <c r="DL412">
        <v>2200</v>
      </c>
      <c r="DM412">
        <v>1</v>
      </c>
      <c r="DN412">
        <v>0.10340000000000001</v>
      </c>
      <c r="DO412">
        <v>78</v>
      </c>
      <c r="DP412">
        <v>2200</v>
      </c>
    </row>
    <row r="413" spans="93:120" x14ac:dyDescent="0.25">
      <c r="CO413" t="s">
        <v>636</v>
      </c>
      <c r="CP413" t="s">
        <v>2</v>
      </c>
      <c r="CQ413" t="s">
        <v>13</v>
      </c>
      <c r="CR413">
        <v>46163</v>
      </c>
      <c r="CS413">
        <v>1</v>
      </c>
      <c r="CT413">
        <v>1</v>
      </c>
      <c r="CV413">
        <v>1</v>
      </c>
      <c r="CX413">
        <v>2.0833333333333335E-4</v>
      </c>
      <c r="CY413">
        <v>2.0833333333333335E-4</v>
      </c>
      <c r="CZ413">
        <v>0.12487268518518518</v>
      </c>
      <c r="DA413">
        <v>0.13469907407407408</v>
      </c>
      <c r="DB413">
        <v>85</v>
      </c>
      <c r="DC413">
        <v>193</v>
      </c>
      <c r="DD413">
        <v>23</v>
      </c>
      <c r="DE413" t="s">
        <v>835</v>
      </c>
      <c r="DF413">
        <v>35825</v>
      </c>
      <c r="DG413">
        <v>0.27060000000000001</v>
      </c>
      <c r="DH413">
        <v>1</v>
      </c>
      <c r="DI413">
        <v>4.3499999999999997E-2</v>
      </c>
      <c r="DJ413">
        <v>9000</v>
      </c>
      <c r="DK413">
        <v>9000</v>
      </c>
      <c r="DL413">
        <v>9000</v>
      </c>
      <c r="DM413">
        <v>1</v>
      </c>
      <c r="DN413">
        <v>0.1278</v>
      </c>
      <c r="DO413">
        <v>78</v>
      </c>
      <c r="DP413">
        <v>9000</v>
      </c>
    </row>
    <row r="414" spans="93:120" x14ac:dyDescent="0.25">
      <c r="CO414" t="s">
        <v>636</v>
      </c>
      <c r="CP414" t="s">
        <v>2</v>
      </c>
      <c r="CQ414" t="s">
        <v>65</v>
      </c>
      <c r="CR414">
        <v>46147</v>
      </c>
      <c r="CS414">
        <v>1</v>
      </c>
      <c r="CT414">
        <v>1</v>
      </c>
      <c r="CV414">
        <v>1</v>
      </c>
      <c r="CX414">
        <v>3.0555555555555557E-3</v>
      </c>
      <c r="CY414">
        <v>3.0555555555555557E-3</v>
      </c>
      <c r="CZ414">
        <v>0.32092592592592595</v>
      </c>
      <c r="DA414">
        <v>9.3113425925925933E-2</v>
      </c>
      <c r="DB414">
        <v>45</v>
      </c>
      <c r="DC414">
        <v>125</v>
      </c>
      <c r="DD414">
        <v>15</v>
      </c>
      <c r="DE414" t="s">
        <v>739</v>
      </c>
      <c r="DF414">
        <v>19297</v>
      </c>
      <c r="DG414">
        <v>0.33329999999999999</v>
      </c>
      <c r="DH414">
        <v>2</v>
      </c>
      <c r="DI414">
        <v>0.1333</v>
      </c>
      <c r="DJ414">
        <v>2350</v>
      </c>
      <c r="DK414">
        <v>1175</v>
      </c>
      <c r="DL414">
        <v>350</v>
      </c>
      <c r="DM414">
        <v>0.1489</v>
      </c>
      <c r="DO414">
        <v>78</v>
      </c>
      <c r="DP414">
        <v>350</v>
      </c>
    </row>
    <row r="415" spans="93:120" x14ac:dyDescent="0.25">
      <c r="CO415" t="s">
        <v>636</v>
      </c>
      <c r="CP415" t="s">
        <v>2</v>
      </c>
      <c r="CQ415" t="s">
        <v>65</v>
      </c>
      <c r="CR415">
        <v>46167</v>
      </c>
      <c r="CS415">
        <v>1</v>
      </c>
      <c r="CT415">
        <v>1</v>
      </c>
      <c r="CV415">
        <v>1</v>
      </c>
      <c r="CX415">
        <v>4.7453703703703704E-4</v>
      </c>
      <c r="CY415">
        <v>4.7453703703703704E-4</v>
      </c>
      <c r="CZ415">
        <v>0.19107638888888889</v>
      </c>
      <c r="DA415">
        <v>0.15075231481481483</v>
      </c>
      <c r="DB415">
        <v>44</v>
      </c>
      <c r="DC415">
        <v>82</v>
      </c>
      <c r="DD415">
        <v>9</v>
      </c>
      <c r="DE415" t="s">
        <v>767</v>
      </c>
      <c r="DF415">
        <v>5625</v>
      </c>
      <c r="DG415">
        <v>0.20449999999999999</v>
      </c>
      <c r="DH415">
        <v>3</v>
      </c>
      <c r="DI415">
        <v>0.33329999999999999</v>
      </c>
      <c r="DJ415">
        <v>4600</v>
      </c>
      <c r="DK415">
        <v>1533</v>
      </c>
      <c r="DL415">
        <v>4000</v>
      </c>
      <c r="DM415">
        <v>0.86960000000000004</v>
      </c>
      <c r="DN415">
        <v>0.21909999999999999</v>
      </c>
      <c r="DO415">
        <v>78</v>
      </c>
      <c r="DP415">
        <v>2000</v>
      </c>
    </row>
    <row r="416" spans="93:120" x14ac:dyDescent="0.25">
      <c r="CO416" t="s">
        <v>636</v>
      </c>
      <c r="CP416" t="s">
        <v>2</v>
      </c>
      <c r="CQ416" t="s">
        <v>25</v>
      </c>
      <c r="CR416">
        <v>46150</v>
      </c>
      <c r="CS416">
        <v>1</v>
      </c>
      <c r="CT416">
        <v>1</v>
      </c>
      <c r="CU416">
        <v>1</v>
      </c>
      <c r="CX416">
        <v>1.6053240740740739E-2</v>
      </c>
      <c r="CY416">
        <v>1.6053240740740739E-2</v>
      </c>
      <c r="CZ416">
        <v>0.15313657407407408</v>
      </c>
      <c r="DA416">
        <v>0.13012731481481482</v>
      </c>
      <c r="DB416">
        <v>44</v>
      </c>
      <c r="DC416">
        <v>99</v>
      </c>
      <c r="DD416">
        <v>18</v>
      </c>
      <c r="DE416" t="s">
        <v>726</v>
      </c>
      <c r="DF416">
        <v>36705</v>
      </c>
      <c r="DG416">
        <v>0.40910000000000002</v>
      </c>
      <c r="DH416">
        <v>1</v>
      </c>
      <c r="DI416">
        <v>5.5599999999999997E-2</v>
      </c>
      <c r="DJ416">
        <v>1545</v>
      </c>
      <c r="DK416">
        <v>1545</v>
      </c>
      <c r="DL416">
        <v>1545</v>
      </c>
      <c r="DM416">
        <v>1</v>
      </c>
      <c r="DN416">
        <v>0.18049999999999999</v>
      </c>
      <c r="DO416">
        <v>78</v>
      </c>
      <c r="DP416">
        <v>1545</v>
      </c>
    </row>
    <row r="417" spans="93:120" x14ac:dyDescent="0.25">
      <c r="CO417" t="s">
        <v>636</v>
      </c>
      <c r="CP417" t="s">
        <v>2</v>
      </c>
      <c r="CQ417" t="s">
        <v>25</v>
      </c>
      <c r="CR417">
        <v>46154</v>
      </c>
      <c r="CS417">
        <v>1</v>
      </c>
      <c r="CT417">
        <v>1</v>
      </c>
      <c r="CU417">
        <v>1</v>
      </c>
      <c r="CX417">
        <v>1.0775462962962962E-2</v>
      </c>
      <c r="CY417">
        <v>1.0775462962962962E-2</v>
      </c>
      <c r="CZ417">
        <v>0.22322916666666667</v>
      </c>
      <c r="DA417">
        <v>0.17167824074074073</v>
      </c>
      <c r="DB417">
        <v>101</v>
      </c>
      <c r="DC417">
        <v>169</v>
      </c>
      <c r="DD417">
        <v>19</v>
      </c>
      <c r="DE417" t="s">
        <v>791</v>
      </c>
      <c r="DF417">
        <v>16252</v>
      </c>
      <c r="DG417">
        <v>0.18809999999999999</v>
      </c>
      <c r="DH417">
        <v>1</v>
      </c>
      <c r="DI417">
        <v>5.2600000000000001E-2</v>
      </c>
      <c r="DJ417">
        <v>1050</v>
      </c>
      <c r="DK417">
        <v>1050</v>
      </c>
      <c r="DL417">
        <v>1050</v>
      </c>
      <c r="DM417">
        <v>1</v>
      </c>
      <c r="DN417">
        <v>0.86329999999999996</v>
      </c>
      <c r="DO417">
        <v>78</v>
      </c>
      <c r="DP417">
        <v>1050</v>
      </c>
    </row>
    <row r="418" spans="93:120" x14ac:dyDescent="0.25">
      <c r="CO418" t="s">
        <v>636</v>
      </c>
      <c r="CP418" t="s">
        <v>2</v>
      </c>
      <c r="CQ418" t="s">
        <v>10</v>
      </c>
      <c r="CR418">
        <v>46162</v>
      </c>
      <c r="CS418">
        <v>1</v>
      </c>
      <c r="CT418">
        <v>1</v>
      </c>
      <c r="CV418">
        <v>1</v>
      </c>
      <c r="CX418">
        <v>3.4722222222222222E-5</v>
      </c>
      <c r="CY418">
        <v>3.4722222222222222E-5</v>
      </c>
      <c r="CZ418">
        <v>0.20085648148148147</v>
      </c>
      <c r="DA418">
        <v>0.1307986111111111</v>
      </c>
      <c r="DB418">
        <v>154</v>
      </c>
      <c r="DC418">
        <v>268</v>
      </c>
      <c r="DD418">
        <v>19</v>
      </c>
      <c r="DE418" t="s">
        <v>836</v>
      </c>
      <c r="DF418">
        <v>31625</v>
      </c>
      <c r="DG418">
        <v>0.1234</v>
      </c>
      <c r="DH418">
        <v>1</v>
      </c>
      <c r="DI418">
        <v>5.2600000000000001E-2</v>
      </c>
      <c r="DJ418">
        <v>4200</v>
      </c>
      <c r="DK418">
        <v>4200</v>
      </c>
      <c r="DL418">
        <v>4200</v>
      </c>
      <c r="DM418">
        <v>1</v>
      </c>
      <c r="DN418">
        <v>0.16159999999999999</v>
      </c>
      <c r="DO418">
        <v>78</v>
      </c>
      <c r="DP418">
        <v>4200</v>
      </c>
    </row>
    <row r="419" spans="93:120" x14ac:dyDescent="0.25">
      <c r="CO419" t="s">
        <v>636</v>
      </c>
      <c r="CP419" t="s">
        <v>6</v>
      </c>
      <c r="CQ419" t="s">
        <v>19</v>
      </c>
      <c r="CR419">
        <v>46155</v>
      </c>
      <c r="CS419">
        <v>1</v>
      </c>
      <c r="CT419">
        <v>1</v>
      </c>
      <c r="CV419">
        <v>1</v>
      </c>
      <c r="CX419">
        <v>9.2592592592592588E-5</v>
      </c>
      <c r="CY419">
        <v>9.2592592592592588E-5</v>
      </c>
      <c r="CZ419">
        <v>0.21155092592592592</v>
      </c>
      <c r="DA419">
        <v>0.14197916666666666</v>
      </c>
      <c r="DB419">
        <v>177</v>
      </c>
      <c r="DC419">
        <v>247</v>
      </c>
      <c r="DD419">
        <v>30</v>
      </c>
      <c r="DE419" t="s">
        <v>703</v>
      </c>
      <c r="DF419">
        <v>17403</v>
      </c>
      <c r="DG419">
        <v>0.16950000000000001</v>
      </c>
      <c r="DH419">
        <v>1</v>
      </c>
      <c r="DI419">
        <v>3.3300000000000003E-2</v>
      </c>
      <c r="DJ419">
        <v>1670</v>
      </c>
      <c r="DK419">
        <v>1670</v>
      </c>
      <c r="DL419">
        <v>1670</v>
      </c>
      <c r="DM419">
        <v>1</v>
      </c>
      <c r="DN419">
        <v>0.99839999999999995</v>
      </c>
      <c r="DO419">
        <v>78</v>
      </c>
      <c r="DP419">
        <v>1670</v>
      </c>
    </row>
    <row r="420" spans="93:120" x14ac:dyDescent="0.25">
      <c r="CO420" t="s">
        <v>636</v>
      </c>
      <c r="CP420" t="s">
        <v>6</v>
      </c>
      <c r="CQ420" t="s">
        <v>35</v>
      </c>
      <c r="CR420">
        <v>46160</v>
      </c>
      <c r="CS420">
        <v>1</v>
      </c>
      <c r="CT420">
        <v>1</v>
      </c>
      <c r="CV420">
        <v>1</v>
      </c>
      <c r="CX420">
        <v>1.3888888888888889E-4</v>
      </c>
      <c r="CY420">
        <v>1.3888888888888889E-4</v>
      </c>
      <c r="CZ420">
        <v>0.18188657407407408</v>
      </c>
      <c r="DA420">
        <v>0.15940972222222222</v>
      </c>
      <c r="DB420">
        <v>48</v>
      </c>
      <c r="DC420">
        <v>105</v>
      </c>
      <c r="DD420">
        <v>23</v>
      </c>
      <c r="DE420" t="s">
        <v>748</v>
      </c>
      <c r="DF420">
        <v>9883</v>
      </c>
      <c r="DG420">
        <v>0.47920000000000001</v>
      </c>
      <c r="DH420">
        <v>2</v>
      </c>
      <c r="DI420">
        <v>8.6999999999999994E-2</v>
      </c>
      <c r="DJ420">
        <v>6000</v>
      </c>
      <c r="DK420">
        <v>3000</v>
      </c>
      <c r="DL420">
        <v>6000</v>
      </c>
      <c r="DM420">
        <v>1</v>
      </c>
      <c r="DN420">
        <v>0.15609999999999999</v>
      </c>
      <c r="DO420">
        <v>78</v>
      </c>
      <c r="DP420">
        <v>3000</v>
      </c>
    </row>
    <row r="421" spans="93:120" x14ac:dyDescent="0.25">
      <c r="CO421" t="s">
        <v>636</v>
      </c>
      <c r="CP421" t="s">
        <v>6</v>
      </c>
      <c r="CQ421" t="s">
        <v>11</v>
      </c>
      <c r="CR421">
        <v>46163</v>
      </c>
      <c r="CS421">
        <v>1</v>
      </c>
      <c r="CT421">
        <v>1</v>
      </c>
      <c r="CV421">
        <v>1</v>
      </c>
      <c r="CX421">
        <v>1.9675925925925926E-4</v>
      </c>
      <c r="CY421">
        <v>1.9675925925925926E-4</v>
      </c>
      <c r="CZ421">
        <v>0.21606481481481482</v>
      </c>
      <c r="DA421">
        <v>0.1545138888888889</v>
      </c>
      <c r="DB421">
        <v>125</v>
      </c>
      <c r="DC421">
        <v>208</v>
      </c>
      <c r="DD421">
        <v>23</v>
      </c>
      <c r="DE421" t="s">
        <v>724</v>
      </c>
      <c r="DF421">
        <v>15660</v>
      </c>
      <c r="DG421">
        <v>0.184</v>
      </c>
      <c r="DH421">
        <v>1</v>
      </c>
      <c r="DI421">
        <v>4.3499999999999997E-2</v>
      </c>
      <c r="DJ421">
        <v>1000</v>
      </c>
      <c r="DK421">
        <v>1000</v>
      </c>
      <c r="DL421">
        <v>1500</v>
      </c>
      <c r="DM421">
        <v>1.5</v>
      </c>
      <c r="DO421">
        <v>78</v>
      </c>
      <c r="DP421">
        <v>1500</v>
      </c>
    </row>
    <row r="422" spans="93:120" x14ac:dyDescent="0.25">
      <c r="CO422" t="s">
        <v>636</v>
      </c>
      <c r="CP422" t="s">
        <v>6</v>
      </c>
      <c r="CQ422" t="s">
        <v>97</v>
      </c>
      <c r="CR422">
        <v>46160</v>
      </c>
      <c r="CS422">
        <v>1</v>
      </c>
      <c r="CT422">
        <v>1</v>
      </c>
      <c r="CV422">
        <v>1</v>
      </c>
      <c r="CX422">
        <v>1.1574074074074073E-5</v>
      </c>
      <c r="CY422">
        <v>1.1574074074074073E-5</v>
      </c>
      <c r="CZ422">
        <v>0.16047453703703704</v>
      </c>
      <c r="DA422">
        <v>0.18241898148148147</v>
      </c>
      <c r="DB422">
        <v>183</v>
      </c>
      <c r="DC422">
        <v>248</v>
      </c>
      <c r="DD422">
        <v>33</v>
      </c>
      <c r="DE422" t="s">
        <v>837</v>
      </c>
      <c r="DF422">
        <v>10444</v>
      </c>
      <c r="DG422">
        <v>0.18029999999999999</v>
      </c>
      <c r="DH422">
        <v>4</v>
      </c>
      <c r="DI422">
        <v>0.1212</v>
      </c>
      <c r="DJ422">
        <v>3654</v>
      </c>
      <c r="DK422">
        <v>914</v>
      </c>
      <c r="DL422">
        <v>3576</v>
      </c>
      <c r="DM422">
        <v>0.97870000000000001</v>
      </c>
      <c r="DN422">
        <v>0.26450000000000001</v>
      </c>
      <c r="DO422">
        <v>78</v>
      </c>
      <c r="DP422">
        <v>1192</v>
      </c>
    </row>
    <row r="423" spans="93:120" x14ac:dyDescent="0.25">
      <c r="CO423" t="s">
        <v>636</v>
      </c>
      <c r="CP423" t="s">
        <v>6</v>
      </c>
      <c r="CQ423" t="s">
        <v>34</v>
      </c>
      <c r="CR423">
        <v>46153</v>
      </c>
      <c r="CS423">
        <v>1</v>
      </c>
      <c r="CT423">
        <v>1</v>
      </c>
      <c r="CV423">
        <v>1</v>
      </c>
      <c r="CX423">
        <v>3.2870370370370371E-3</v>
      </c>
      <c r="CY423">
        <v>3.2870370370370371E-3</v>
      </c>
      <c r="CZ423">
        <v>0.20710648148148147</v>
      </c>
      <c r="DA423">
        <v>0.13268518518518518</v>
      </c>
      <c r="DB423">
        <v>131</v>
      </c>
      <c r="DC423">
        <v>152</v>
      </c>
      <c r="DD423">
        <v>9</v>
      </c>
      <c r="DE423" t="s">
        <v>687</v>
      </c>
      <c r="DF423">
        <v>13000</v>
      </c>
      <c r="DG423">
        <v>6.8699999999999997E-2</v>
      </c>
      <c r="DH423">
        <v>2</v>
      </c>
      <c r="DI423">
        <v>0.22220000000000001</v>
      </c>
      <c r="DJ423">
        <v>8000</v>
      </c>
      <c r="DK423">
        <v>4000</v>
      </c>
      <c r="DL423">
        <v>4500</v>
      </c>
      <c r="DM423">
        <v>0.5625</v>
      </c>
      <c r="DN423">
        <v>0.18329999999999999</v>
      </c>
      <c r="DO423">
        <v>78</v>
      </c>
      <c r="DP423">
        <v>4500</v>
      </c>
    </row>
    <row r="424" spans="93:120" x14ac:dyDescent="0.25">
      <c r="CO424" t="s">
        <v>636</v>
      </c>
      <c r="CP424" t="s">
        <v>6</v>
      </c>
      <c r="CQ424" t="s">
        <v>34</v>
      </c>
      <c r="CR424">
        <v>46155</v>
      </c>
      <c r="CS424">
        <v>1</v>
      </c>
      <c r="CT424">
        <v>1</v>
      </c>
      <c r="CV424">
        <v>1</v>
      </c>
      <c r="CX424">
        <v>2.3148148148148147E-5</v>
      </c>
      <c r="CY424">
        <v>2.3148148148148147E-5</v>
      </c>
      <c r="CZ424">
        <v>0.19067129629629628</v>
      </c>
      <c r="DA424">
        <v>0.15888888888888889</v>
      </c>
      <c r="DB424">
        <v>90</v>
      </c>
      <c r="DC424">
        <v>120</v>
      </c>
      <c r="DD424">
        <v>21</v>
      </c>
      <c r="DE424">
        <v>2</v>
      </c>
      <c r="DF424">
        <v>33647</v>
      </c>
      <c r="DG424">
        <v>0.23330000000000001</v>
      </c>
      <c r="DH424">
        <v>1</v>
      </c>
      <c r="DI424">
        <v>4.7600000000000003E-2</v>
      </c>
      <c r="DJ424">
        <v>200</v>
      </c>
      <c r="DK424">
        <v>200</v>
      </c>
      <c r="DL424">
        <v>200</v>
      </c>
      <c r="DM424">
        <v>1</v>
      </c>
      <c r="DN424">
        <v>0.4</v>
      </c>
      <c r="DO424">
        <v>78</v>
      </c>
      <c r="DP424">
        <v>200</v>
      </c>
    </row>
    <row r="425" spans="93:120" x14ac:dyDescent="0.25">
      <c r="CO425" t="s">
        <v>636</v>
      </c>
      <c r="CP425" t="s">
        <v>6</v>
      </c>
      <c r="CQ425" t="s">
        <v>76</v>
      </c>
      <c r="CR425">
        <v>46161</v>
      </c>
      <c r="CS425">
        <v>1</v>
      </c>
      <c r="CT425">
        <v>1</v>
      </c>
      <c r="CU425">
        <v>1</v>
      </c>
      <c r="CX425">
        <v>6.9675925925925929E-3</v>
      </c>
      <c r="CY425">
        <v>6.9675925925925929E-3</v>
      </c>
      <c r="CZ425">
        <v>0.21152777777777779</v>
      </c>
      <c r="DA425">
        <v>0.12346064814814815</v>
      </c>
      <c r="DB425">
        <v>165</v>
      </c>
      <c r="DC425">
        <v>202</v>
      </c>
      <c r="DD425">
        <v>22</v>
      </c>
      <c r="DE425">
        <v>2</v>
      </c>
      <c r="DF425">
        <v>22979</v>
      </c>
      <c r="DG425">
        <v>0.1333</v>
      </c>
      <c r="DH425">
        <v>1</v>
      </c>
      <c r="DI425">
        <v>4.5499999999999999E-2</v>
      </c>
      <c r="DJ425">
        <v>350</v>
      </c>
      <c r="DK425">
        <v>350</v>
      </c>
      <c r="DL425">
        <v>350</v>
      </c>
      <c r="DM425">
        <v>1</v>
      </c>
      <c r="DN425">
        <v>1.2359</v>
      </c>
      <c r="DO425">
        <v>78</v>
      </c>
      <c r="DP425">
        <v>350</v>
      </c>
    </row>
    <row r="426" spans="93:120" x14ac:dyDescent="0.25">
      <c r="CO426" t="s">
        <v>636</v>
      </c>
      <c r="CP426" t="s">
        <v>6</v>
      </c>
      <c r="CQ426" t="s">
        <v>76</v>
      </c>
      <c r="CR426">
        <v>46168</v>
      </c>
      <c r="CS426">
        <v>1</v>
      </c>
      <c r="CT426">
        <v>1</v>
      </c>
      <c r="CV426">
        <v>1</v>
      </c>
      <c r="CX426">
        <v>3.4722222222222222E-5</v>
      </c>
      <c r="CY426">
        <v>3.4722222222222222E-5</v>
      </c>
      <c r="CZ426">
        <v>0.18501157407407406</v>
      </c>
      <c r="DA426">
        <v>0.13221064814814815</v>
      </c>
      <c r="DB426">
        <v>128</v>
      </c>
      <c r="DC426">
        <v>160</v>
      </c>
      <c r="DD426">
        <v>15</v>
      </c>
      <c r="DE426" t="s">
        <v>808</v>
      </c>
      <c r="DF426">
        <v>14983</v>
      </c>
      <c r="DG426">
        <v>0.1172</v>
      </c>
      <c r="DH426">
        <v>1</v>
      </c>
      <c r="DI426">
        <v>6.6699999999999995E-2</v>
      </c>
      <c r="DJ426">
        <v>1400</v>
      </c>
      <c r="DK426">
        <v>1400</v>
      </c>
      <c r="DL426">
        <v>1400</v>
      </c>
      <c r="DM426">
        <v>1</v>
      </c>
      <c r="DN426">
        <v>0.41110000000000002</v>
      </c>
      <c r="DO426">
        <v>78</v>
      </c>
      <c r="DP426">
        <v>1400</v>
      </c>
    </row>
    <row r="427" spans="93:120" x14ac:dyDescent="0.25">
      <c r="CO427" t="s">
        <v>636</v>
      </c>
      <c r="CP427" t="s">
        <v>7</v>
      </c>
      <c r="CQ427" t="s">
        <v>80</v>
      </c>
      <c r="CR427">
        <v>46146</v>
      </c>
      <c r="CS427">
        <v>1</v>
      </c>
      <c r="CT427">
        <v>1</v>
      </c>
      <c r="CV427">
        <v>1</v>
      </c>
      <c r="CX427">
        <v>1.0416666666666667E-4</v>
      </c>
      <c r="CY427">
        <v>1.0416666666666667E-4</v>
      </c>
      <c r="CZ427">
        <v>0.24876157407407407</v>
      </c>
      <c r="DA427">
        <v>9.9050925925925931E-2</v>
      </c>
      <c r="DB427">
        <v>87</v>
      </c>
      <c r="DC427">
        <v>166</v>
      </c>
      <c r="DD427">
        <v>18</v>
      </c>
      <c r="DE427" t="s">
        <v>706</v>
      </c>
      <c r="DF427">
        <v>25665</v>
      </c>
      <c r="DG427">
        <v>0.2069</v>
      </c>
      <c r="DH427">
        <v>2</v>
      </c>
      <c r="DI427">
        <v>0.1111</v>
      </c>
      <c r="DJ427">
        <v>5335</v>
      </c>
      <c r="DK427">
        <v>2668</v>
      </c>
      <c r="DL427">
        <v>5340</v>
      </c>
      <c r="DM427">
        <v>1.0008999999999999</v>
      </c>
      <c r="DN427">
        <v>0.1089</v>
      </c>
      <c r="DO427">
        <v>78</v>
      </c>
      <c r="DP427">
        <v>2670</v>
      </c>
    </row>
    <row r="428" spans="93:120" x14ac:dyDescent="0.25">
      <c r="CO428" t="s">
        <v>636</v>
      </c>
      <c r="CP428" t="s">
        <v>7</v>
      </c>
      <c r="CQ428" t="s">
        <v>12</v>
      </c>
      <c r="CR428">
        <v>46161</v>
      </c>
      <c r="CS428">
        <v>1</v>
      </c>
      <c r="CT428">
        <v>1</v>
      </c>
      <c r="CU428">
        <v>1</v>
      </c>
      <c r="CX428">
        <v>8.8078703703703704E-3</v>
      </c>
      <c r="CY428">
        <v>8.8078703703703704E-3</v>
      </c>
      <c r="CZ428">
        <v>0.18817129629629631</v>
      </c>
      <c r="DA428">
        <v>0.16143518518518518</v>
      </c>
      <c r="DB428">
        <v>75</v>
      </c>
      <c r="DC428">
        <v>179</v>
      </c>
      <c r="DD428">
        <v>25</v>
      </c>
      <c r="DE428">
        <v>1.72</v>
      </c>
      <c r="DF428">
        <v>26625</v>
      </c>
      <c r="DG428">
        <v>0.33329999999999999</v>
      </c>
      <c r="DH428">
        <v>1</v>
      </c>
      <c r="DI428">
        <v>0.04</v>
      </c>
      <c r="DJ428">
        <v>5000</v>
      </c>
      <c r="DK428">
        <v>5000</v>
      </c>
      <c r="DL428">
        <v>5000</v>
      </c>
      <c r="DM428">
        <v>1</v>
      </c>
      <c r="DN428">
        <v>0.20669999999999999</v>
      </c>
      <c r="DO428">
        <v>78</v>
      </c>
      <c r="DP428">
        <v>5000</v>
      </c>
    </row>
    <row r="429" spans="93:120" x14ac:dyDescent="0.25">
      <c r="CO429" t="s">
        <v>636</v>
      </c>
      <c r="CP429" t="s">
        <v>7</v>
      </c>
      <c r="CQ429" t="s">
        <v>26</v>
      </c>
      <c r="CR429">
        <v>46171</v>
      </c>
      <c r="CS429">
        <v>1</v>
      </c>
      <c r="CT429">
        <v>1</v>
      </c>
      <c r="CV429">
        <v>1</v>
      </c>
      <c r="CX429">
        <v>8.1018518518518516E-5</v>
      </c>
      <c r="CY429">
        <v>8.1018518518518516E-5</v>
      </c>
      <c r="CZ429">
        <v>0.12747685185185184</v>
      </c>
      <c r="DA429">
        <v>0.28350694444444446</v>
      </c>
      <c r="DB429">
        <v>129</v>
      </c>
      <c r="DC429">
        <v>290</v>
      </c>
      <c r="DD429">
        <v>22</v>
      </c>
      <c r="DE429" t="s">
        <v>838</v>
      </c>
      <c r="DF429">
        <v>25562</v>
      </c>
      <c r="DG429">
        <v>0.17050000000000001</v>
      </c>
      <c r="DH429">
        <v>4</v>
      </c>
      <c r="DI429">
        <v>0.18179999999999999</v>
      </c>
      <c r="DJ429">
        <v>6830</v>
      </c>
      <c r="DK429">
        <v>1708</v>
      </c>
      <c r="DL429">
        <v>6230</v>
      </c>
      <c r="DM429">
        <v>0.91220000000000001</v>
      </c>
      <c r="DN429">
        <v>0.1216</v>
      </c>
      <c r="DO429">
        <v>78</v>
      </c>
      <c r="DP429">
        <v>2077</v>
      </c>
    </row>
    <row r="430" spans="93:120" x14ac:dyDescent="0.25">
      <c r="CO430" t="s">
        <v>636</v>
      </c>
      <c r="CP430" t="s">
        <v>7</v>
      </c>
      <c r="CQ430" t="s">
        <v>75</v>
      </c>
      <c r="CR430">
        <v>46150</v>
      </c>
      <c r="CS430">
        <v>1</v>
      </c>
      <c r="CT430">
        <v>1</v>
      </c>
      <c r="CU430">
        <v>1</v>
      </c>
      <c r="CX430">
        <v>8.6805555555555559E-3</v>
      </c>
      <c r="CY430">
        <v>8.6805555555555559E-3</v>
      </c>
      <c r="CZ430">
        <v>0.21412037037037038</v>
      </c>
      <c r="DA430">
        <v>9.8541666666666666E-2</v>
      </c>
      <c r="DB430">
        <v>85</v>
      </c>
      <c r="DC430">
        <v>170</v>
      </c>
      <c r="DD430">
        <v>11</v>
      </c>
      <c r="DE430" t="s">
        <v>807</v>
      </c>
      <c r="DF430">
        <v>30264</v>
      </c>
      <c r="DG430">
        <v>0.12939999999999999</v>
      </c>
      <c r="DH430">
        <v>1</v>
      </c>
      <c r="DI430">
        <v>9.0899999999999995E-2</v>
      </c>
      <c r="DJ430">
        <v>700</v>
      </c>
      <c r="DK430">
        <v>700</v>
      </c>
      <c r="DO430">
        <v>78</v>
      </c>
    </row>
    <row r="431" spans="93:120" x14ac:dyDescent="0.25">
      <c r="CO431" t="s">
        <v>636</v>
      </c>
      <c r="CP431" t="s">
        <v>7</v>
      </c>
      <c r="CQ431" t="s">
        <v>59</v>
      </c>
      <c r="CR431">
        <v>46146</v>
      </c>
      <c r="CS431">
        <v>1</v>
      </c>
      <c r="CT431">
        <v>1</v>
      </c>
      <c r="CV431">
        <v>1</v>
      </c>
      <c r="CX431">
        <v>1.1574074074074073E-5</v>
      </c>
      <c r="CY431">
        <v>1.1574074074074073E-5</v>
      </c>
      <c r="CZ431">
        <v>0.2192361111111111</v>
      </c>
      <c r="DA431">
        <v>0.13284722222222223</v>
      </c>
      <c r="DB431">
        <v>137</v>
      </c>
      <c r="DC431">
        <v>230</v>
      </c>
      <c r="DD431">
        <v>21</v>
      </c>
      <c r="DE431" t="s">
        <v>752</v>
      </c>
      <c r="DF431">
        <v>30818</v>
      </c>
      <c r="DG431">
        <v>0.15329999999999999</v>
      </c>
      <c r="DH431">
        <v>6</v>
      </c>
      <c r="DI431">
        <v>0.28570000000000001</v>
      </c>
      <c r="DJ431">
        <v>7538</v>
      </c>
      <c r="DK431">
        <v>1256</v>
      </c>
      <c r="DL431">
        <v>7538</v>
      </c>
      <c r="DM431">
        <v>1</v>
      </c>
      <c r="DO431">
        <v>78</v>
      </c>
      <c r="DP431">
        <v>1256</v>
      </c>
    </row>
    <row r="432" spans="93:120" x14ac:dyDescent="0.25">
      <c r="CO432" t="s">
        <v>636</v>
      </c>
      <c r="CP432" t="s">
        <v>604</v>
      </c>
      <c r="CQ432" t="s">
        <v>109</v>
      </c>
      <c r="CR432">
        <v>46154</v>
      </c>
      <c r="CS432">
        <v>1</v>
      </c>
      <c r="CT432">
        <v>1</v>
      </c>
      <c r="CU432">
        <v>1</v>
      </c>
      <c r="CX432">
        <v>4.2939814814814811E-3</v>
      </c>
      <c r="CY432">
        <v>4.2939814814814811E-3</v>
      </c>
      <c r="CZ432">
        <v>0.3024189814814815</v>
      </c>
      <c r="DA432">
        <v>0.11738425925925926</v>
      </c>
      <c r="DB432">
        <v>121</v>
      </c>
      <c r="DC432">
        <v>204</v>
      </c>
      <c r="DD432">
        <v>26</v>
      </c>
      <c r="DE432" t="s">
        <v>779</v>
      </c>
      <c r="DF432">
        <v>21454</v>
      </c>
      <c r="DG432">
        <v>0.21490000000000001</v>
      </c>
      <c r="DH432">
        <v>2</v>
      </c>
      <c r="DI432">
        <v>7.6899999999999996E-2</v>
      </c>
      <c r="DJ432">
        <v>2895</v>
      </c>
      <c r="DK432">
        <v>1448</v>
      </c>
      <c r="DO432">
        <v>78</v>
      </c>
    </row>
    <row r="433" spans="93:120" x14ac:dyDescent="0.25">
      <c r="CO433" t="s">
        <v>636</v>
      </c>
      <c r="CP433" t="s">
        <v>604</v>
      </c>
      <c r="CQ433" t="s">
        <v>109</v>
      </c>
      <c r="CR433">
        <v>46170</v>
      </c>
      <c r="CS433">
        <v>1</v>
      </c>
      <c r="CT433">
        <v>1</v>
      </c>
      <c r="CU433">
        <v>1</v>
      </c>
      <c r="CX433">
        <v>5.9027777777777776E-3</v>
      </c>
      <c r="CY433">
        <v>5.9027777777777776E-3</v>
      </c>
      <c r="CZ433">
        <v>0.11332175925925926</v>
      </c>
      <c r="DA433">
        <v>0.21687500000000001</v>
      </c>
      <c r="DB433">
        <v>108</v>
      </c>
      <c r="DC433">
        <v>210</v>
      </c>
      <c r="DD433">
        <v>22</v>
      </c>
      <c r="DE433" t="s">
        <v>807</v>
      </c>
      <c r="DF433">
        <v>17599</v>
      </c>
      <c r="DG433">
        <v>0.20369999999999999</v>
      </c>
      <c r="DH433">
        <v>1</v>
      </c>
      <c r="DI433">
        <v>4.5499999999999999E-2</v>
      </c>
      <c r="DJ433">
        <v>2800</v>
      </c>
      <c r="DK433">
        <v>2800</v>
      </c>
      <c r="DL433">
        <v>2800</v>
      </c>
      <c r="DM433">
        <v>1</v>
      </c>
      <c r="DN433">
        <v>0.1024</v>
      </c>
      <c r="DO433">
        <v>78</v>
      </c>
      <c r="DP433">
        <v>2800</v>
      </c>
    </row>
    <row r="434" spans="93:120" x14ac:dyDescent="0.25">
      <c r="CO434" t="s">
        <v>636</v>
      </c>
      <c r="CP434" t="s">
        <v>604</v>
      </c>
      <c r="CQ434" t="s">
        <v>599</v>
      </c>
      <c r="CR434">
        <v>46154</v>
      </c>
      <c r="CS434">
        <v>1</v>
      </c>
      <c r="CT434">
        <v>1</v>
      </c>
      <c r="CV434">
        <v>1</v>
      </c>
      <c r="CX434">
        <v>2.3148148148148147E-5</v>
      </c>
      <c r="CY434">
        <v>2.3148148148148147E-5</v>
      </c>
      <c r="CZ434">
        <v>0.26512731481481483</v>
      </c>
      <c r="DA434">
        <v>0.1112962962962963</v>
      </c>
      <c r="DB434">
        <v>186</v>
      </c>
      <c r="DC434">
        <v>233</v>
      </c>
      <c r="DD434">
        <v>34</v>
      </c>
      <c r="DE434" t="s">
        <v>839</v>
      </c>
      <c r="DF434">
        <v>11897</v>
      </c>
      <c r="DG434">
        <v>0.18279999999999999</v>
      </c>
      <c r="DH434">
        <v>2</v>
      </c>
      <c r="DI434">
        <v>5.8799999999999998E-2</v>
      </c>
      <c r="DJ434">
        <v>600</v>
      </c>
      <c r="DK434">
        <v>300</v>
      </c>
      <c r="DL434">
        <v>400</v>
      </c>
      <c r="DM434">
        <v>0.66669999999999996</v>
      </c>
      <c r="DN434">
        <v>0.13539999999999999</v>
      </c>
      <c r="DO434">
        <v>78</v>
      </c>
      <c r="DP434">
        <v>400</v>
      </c>
    </row>
    <row r="435" spans="93:120" x14ac:dyDescent="0.25">
      <c r="CO435" t="s">
        <v>636</v>
      </c>
      <c r="CP435" t="s">
        <v>604</v>
      </c>
      <c r="CQ435" t="s">
        <v>599</v>
      </c>
      <c r="CR435">
        <v>46167</v>
      </c>
      <c r="CS435">
        <v>1</v>
      </c>
      <c r="CT435">
        <v>1</v>
      </c>
      <c r="CV435">
        <v>1</v>
      </c>
      <c r="CX435">
        <v>1.1574074074074073E-5</v>
      </c>
      <c r="CY435">
        <v>1.1574074074074073E-5</v>
      </c>
      <c r="CZ435">
        <v>0.14542824074074073</v>
      </c>
      <c r="DA435">
        <v>0.19516203703703705</v>
      </c>
      <c r="DB435">
        <v>85</v>
      </c>
      <c r="DC435">
        <v>141</v>
      </c>
      <c r="DD435">
        <v>15</v>
      </c>
      <c r="DE435" t="s">
        <v>674</v>
      </c>
      <c r="DF435">
        <v>15494</v>
      </c>
      <c r="DG435">
        <v>0.17649999999999999</v>
      </c>
      <c r="DH435">
        <v>2</v>
      </c>
      <c r="DI435">
        <v>0.1333</v>
      </c>
      <c r="DJ435">
        <v>500</v>
      </c>
      <c r="DK435">
        <v>250</v>
      </c>
      <c r="DL435">
        <v>300</v>
      </c>
      <c r="DM435">
        <v>0.6</v>
      </c>
      <c r="DN435">
        <v>0.20880000000000001</v>
      </c>
      <c r="DO435">
        <v>78</v>
      </c>
      <c r="DP435">
        <v>300</v>
      </c>
    </row>
    <row r="436" spans="93:120" x14ac:dyDescent="0.25">
      <c r="CO436" t="s">
        <v>636</v>
      </c>
      <c r="CP436" t="s">
        <v>604</v>
      </c>
      <c r="CQ436" t="s">
        <v>48</v>
      </c>
      <c r="CR436">
        <v>46146</v>
      </c>
      <c r="CS436">
        <v>1</v>
      </c>
      <c r="CT436">
        <v>1</v>
      </c>
      <c r="CV436">
        <v>1</v>
      </c>
      <c r="CX436">
        <v>6.9444444444444447E-4</v>
      </c>
      <c r="CY436">
        <v>6.9444444444444447E-4</v>
      </c>
      <c r="CZ436">
        <v>0.2096412037037037</v>
      </c>
      <c r="DA436">
        <v>8.4560185185185183E-2</v>
      </c>
      <c r="DB436">
        <v>73</v>
      </c>
      <c r="DC436">
        <v>108</v>
      </c>
      <c r="DD436">
        <v>32</v>
      </c>
      <c r="DE436">
        <v>1.65625</v>
      </c>
      <c r="DF436">
        <v>23838</v>
      </c>
      <c r="DG436">
        <v>0.43840000000000001</v>
      </c>
      <c r="DH436">
        <v>5</v>
      </c>
      <c r="DI436">
        <v>0.15629999999999999</v>
      </c>
      <c r="DJ436">
        <v>4211</v>
      </c>
      <c r="DK436">
        <v>842</v>
      </c>
      <c r="DL436">
        <v>4211</v>
      </c>
      <c r="DM436">
        <v>1</v>
      </c>
      <c r="DO436">
        <v>78</v>
      </c>
      <c r="DP436">
        <v>842</v>
      </c>
    </row>
    <row r="437" spans="93:120" x14ac:dyDescent="0.25">
      <c r="CO437" t="s">
        <v>636</v>
      </c>
      <c r="CP437" t="s">
        <v>604</v>
      </c>
      <c r="CQ437" t="s">
        <v>48</v>
      </c>
      <c r="CR437">
        <v>46147</v>
      </c>
      <c r="CS437">
        <v>1</v>
      </c>
      <c r="CT437">
        <v>1</v>
      </c>
      <c r="CV437">
        <v>1</v>
      </c>
      <c r="CX437">
        <v>2.199074074074074E-4</v>
      </c>
      <c r="CY437">
        <v>2.199074074074074E-4</v>
      </c>
      <c r="CZ437">
        <v>0.29670138888888886</v>
      </c>
      <c r="DA437">
        <v>0.12340277777777778</v>
      </c>
      <c r="DB437">
        <v>89</v>
      </c>
      <c r="DC437">
        <v>161</v>
      </c>
      <c r="DD437">
        <v>27</v>
      </c>
      <c r="DE437" t="s">
        <v>840</v>
      </c>
      <c r="DF437">
        <v>16264</v>
      </c>
      <c r="DG437">
        <v>0.3034</v>
      </c>
      <c r="DH437">
        <v>2</v>
      </c>
      <c r="DI437">
        <v>7.4099999999999999E-2</v>
      </c>
      <c r="DJ437">
        <v>10500</v>
      </c>
      <c r="DK437">
        <v>5250</v>
      </c>
      <c r="DO437">
        <v>78</v>
      </c>
    </row>
    <row r="438" spans="93:120" x14ac:dyDescent="0.25">
      <c r="CO438" t="s">
        <v>636</v>
      </c>
      <c r="CP438" t="s">
        <v>604</v>
      </c>
      <c r="CQ438" t="s">
        <v>48</v>
      </c>
      <c r="CR438">
        <v>46149</v>
      </c>
      <c r="CS438">
        <v>1</v>
      </c>
      <c r="CT438">
        <v>1</v>
      </c>
      <c r="CU438">
        <v>1</v>
      </c>
      <c r="CX438">
        <v>5.8217592592592592E-3</v>
      </c>
      <c r="CY438">
        <v>5.8217592592592592E-3</v>
      </c>
      <c r="CZ438">
        <v>0.23861111111111111</v>
      </c>
      <c r="DA438">
        <v>0.10010416666666666</v>
      </c>
      <c r="DB438">
        <v>71</v>
      </c>
      <c r="DC438">
        <v>111</v>
      </c>
      <c r="DD438">
        <v>16</v>
      </c>
      <c r="DE438">
        <v>1.6875</v>
      </c>
      <c r="DF438">
        <v>28975</v>
      </c>
      <c r="DG438">
        <v>0.22539999999999999</v>
      </c>
      <c r="DH438">
        <v>1</v>
      </c>
      <c r="DI438">
        <v>6.25E-2</v>
      </c>
      <c r="DJ438">
        <v>1100</v>
      </c>
      <c r="DK438">
        <v>1100</v>
      </c>
      <c r="DO438">
        <v>78</v>
      </c>
    </row>
    <row r="439" spans="93:120" x14ac:dyDescent="0.25">
      <c r="CO439" t="s">
        <v>636</v>
      </c>
      <c r="CP439" t="s">
        <v>3</v>
      </c>
      <c r="CQ439" t="s">
        <v>493</v>
      </c>
      <c r="CR439">
        <v>46161</v>
      </c>
      <c r="CS439">
        <v>1</v>
      </c>
      <c r="CT439">
        <v>1</v>
      </c>
      <c r="CV439">
        <v>1</v>
      </c>
      <c r="CX439">
        <v>1.3888888888888889E-4</v>
      </c>
      <c r="CY439">
        <v>1.3888888888888889E-4</v>
      </c>
      <c r="CZ439">
        <v>0.22030092592592593</v>
      </c>
      <c r="DA439">
        <v>0.11846064814814815</v>
      </c>
      <c r="DB439">
        <v>156</v>
      </c>
      <c r="DC439">
        <v>249</v>
      </c>
      <c r="DD439">
        <v>35</v>
      </c>
      <c r="DE439" t="s">
        <v>841</v>
      </c>
      <c r="DF439">
        <v>23694</v>
      </c>
      <c r="DG439">
        <v>0.22439999999999999</v>
      </c>
      <c r="DH439">
        <v>2</v>
      </c>
      <c r="DI439">
        <v>5.7099999999999998E-2</v>
      </c>
      <c r="DJ439">
        <v>500</v>
      </c>
      <c r="DK439">
        <v>250</v>
      </c>
      <c r="DL439">
        <v>250</v>
      </c>
      <c r="DM439">
        <v>0.5</v>
      </c>
      <c r="DN439">
        <v>0.30880000000000002</v>
      </c>
      <c r="DO439">
        <v>78</v>
      </c>
      <c r="DP439">
        <v>250</v>
      </c>
    </row>
    <row r="440" spans="93:120" x14ac:dyDescent="0.25">
      <c r="CO440" t="s">
        <v>636</v>
      </c>
      <c r="CP440" t="s">
        <v>3</v>
      </c>
      <c r="CQ440" t="s">
        <v>96</v>
      </c>
      <c r="CR440">
        <v>46167</v>
      </c>
      <c r="CS440">
        <v>1</v>
      </c>
      <c r="CT440">
        <v>1</v>
      </c>
      <c r="CU440">
        <v>1</v>
      </c>
      <c r="CX440">
        <v>5.5092592592592589E-3</v>
      </c>
      <c r="CY440">
        <v>5.5092592592592589E-3</v>
      </c>
      <c r="CZ440">
        <v>0.18263888888888888</v>
      </c>
      <c r="DA440">
        <v>0.16333333333333333</v>
      </c>
      <c r="DB440">
        <v>95</v>
      </c>
      <c r="DC440">
        <v>166</v>
      </c>
      <c r="DD440">
        <v>29</v>
      </c>
      <c r="DE440" t="s">
        <v>842</v>
      </c>
      <c r="DF440">
        <v>17071</v>
      </c>
      <c r="DG440">
        <v>0.30530000000000002</v>
      </c>
      <c r="DH440">
        <v>1</v>
      </c>
      <c r="DI440">
        <v>3.4500000000000003E-2</v>
      </c>
      <c r="DJ440">
        <v>1200</v>
      </c>
      <c r="DK440">
        <v>1200</v>
      </c>
      <c r="DL440">
        <v>1200</v>
      </c>
      <c r="DM440">
        <v>1</v>
      </c>
      <c r="DN440">
        <v>0.1173</v>
      </c>
      <c r="DO440">
        <v>78</v>
      </c>
      <c r="DP440">
        <v>1200</v>
      </c>
    </row>
    <row r="441" spans="93:120" x14ac:dyDescent="0.25">
      <c r="CO441" t="s">
        <v>636</v>
      </c>
      <c r="CP441" t="s">
        <v>3</v>
      </c>
      <c r="CQ441" t="s">
        <v>29</v>
      </c>
      <c r="CR441">
        <v>46146</v>
      </c>
      <c r="CS441">
        <v>1</v>
      </c>
      <c r="CT441">
        <v>1</v>
      </c>
      <c r="CU441">
        <v>1</v>
      </c>
      <c r="CX441">
        <v>9.3865740740740732E-3</v>
      </c>
      <c r="CY441">
        <v>9.3865740740740732E-3</v>
      </c>
      <c r="CZ441">
        <v>0.22547453703703704</v>
      </c>
      <c r="DA441">
        <v>0.10877314814814815</v>
      </c>
      <c r="DB441">
        <v>119</v>
      </c>
      <c r="DC441">
        <v>185</v>
      </c>
      <c r="DD441">
        <v>69</v>
      </c>
      <c r="DE441" t="s">
        <v>797</v>
      </c>
      <c r="DF441">
        <v>20191</v>
      </c>
      <c r="DG441">
        <v>0.57979999999999998</v>
      </c>
      <c r="DH441">
        <v>24</v>
      </c>
      <c r="DI441">
        <v>0.3478</v>
      </c>
      <c r="DJ441">
        <v>15839</v>
      </c>
      <c r="DK441">
        <v>660</v>
      </c>
      <c r="DL441">
        <v>13275</v>
      </c>
      <c r="DM441">
        <v>0.83809999999999996</v>
      </c>
      <c r="DN441">
        <v>0.20419999999999999</v>
      </c>
      <c r="DO441">
        <v>78</v>
      </c>
      <c r="DP441">
        <v>699</v>
      </c>
    </row>
    <row r="442" spans="93:120" x14ac:dyDescent="0.25">
      <c r="CO442" t="s">
        <v>636</v>
      </c>
      <c r="CP442" t="s">
        <v>3</v>
      </c>
      <c r="CQ442" t="s">
        <v>29</v>
      </c>
      <c r="CR442">
        <v>46153</v>
      </c>
      <c r="CS442">
        <v>1</v>
      </c>
      <c r="CT442">
        <v>1</v>
      </c>
      <c r="CX442">
        <v>4.0162037037037041E-3</v>
      </c>
      <c r="CY442">
        <v>4.0162037037037041E-3</v>
      </c>
      <c r="CZ442">
        <v>0.22230324074074073</v>
      </c>
      <c r="DA442">
        <v>0.11547453703703704</v>
      </c>
      <c r="DB442">
        <v>88</v>
      </c>
      <c r="DC442">
        <v>191</v>
      </c>
      <c r="DD442">
        <v>14</v>
      </c>
      <c r="DE442" t="s">
        <v>737</v>
      </c>
      <c r="DF442">
        <v>21428</v>
      </c>
      <c r="DG442">
        <v>0.15909999999999999</v>
      </c>
      <c r="DH442">
        <v>4</v>
      </c>
      <c r="DI442">
        <v>0.28570000000000001</v>
      </c>
      <c r="DJ442">
        <v>1636</v>
      </c>
      <c r="DK442">
        <v>409</v>
      </c>
      <c r="DL442">
        <v>636</v>
      </c>
      <c r="DM442">
        <v>0.38879999999999998</v>
      </c>
      <c r="DN442">
        <v>0.81850000000000001</v>
      </c>
      <c r="DO442">
        <v>78</v>
      </c>
      <c r="DP442">
        <v>212</v>
      </c>
    </row>
    <row r="443" spans="93:120" x14ac:dyDescent="0.25">
      <c r="CO443" t="s">
        <v>636</v>
      </c>
      <c r="CP443" t="s">
        <v>2</v>
      </c>
      <c r="CQ443" t="s">
        <v>24</v>
      </c>
      <c r="CR443">
        <v>46153</v>
      </c>
      <c r="CS443">
        <v>1</v>
      </c>
      <c r="CT443">
        <v>1</v>
      </c>
      <c r="CU443">
        <v>1</v>
      </c>
      <c r="CX443">
        <v>7.5694444444444446E-3</v>
      </c>
      <c r="CY443">
        <v>7.5694444444444446E-3</v>
      </c>
      <c r="CZ443">
        <v>0.21104166666666666</v>
      </c>
      <c r="DA443">
        <v>0.14042824074074073</v>
      </c>
      <c r="DB443">
        <v>47</v>
      </c>
      <c r="DC443">
        <v>101</v>
      </c>
      <c r="DD443">
        <v>14</v>
      </c>
      <c r="DE443" t="s">
        <v>679</v>
      </c>
      <c r="DF443">
        <v>17788</v>
      </c>
      <c r="DG443">
        <v>0.2979</v>
      </c>
      <c r="DH443">
        <v>1</v>
      </c>
      <c r="DI443">
        <v>7.1400000000000005E-2</v>
      </c>
      <c r="DJ443">
        <v>450</v>
      </c>
      <c r="DK443">
        <v>450</v>
      </c>
      <c r="DL443">
        <v>450</v>
      </c>
      <c r="DM443">
        <v>1</v>
      </c>
      <c r="DO443">
        <v>76</v>
      </c>
      <c r="DP443">
        <v>450</v>
      </c>
    </row>
    <row r="444" spans="93:120" x14ac:dyDescent="0.25">
      <c r="CO444" t="s">
        <v>636</v>
      </c>
      <c r="CP444" t="s">
        <v>2</v>
      </c>
      <c r="CQ444" t="s">
        <v>13</v>
      </c>
      <c r="CR444">
        <v>46146</v>
      </c>
      <c r="CS444">
        <v>1</v>
      </c>
      <c r="CT444">
        <v>1</v>
      </c>
      <c r="CV444">
        <v>1</v>
      </c>
      <c r="CX444">
        <v>0</v>
      </c>
      <c r="CY444">
        <v>0</v>
      </c>
      <c r="CZ444">
        <v>0.27516203703703701</v>
      </c>
      <c r="DA444">
        <v>8.8113425925925928E-2</v>
      </c>
      <c r="DB444">
        <v>67</v>
      </c>
      <c r="DC444">
        <v>114</v>
      </c>
      <c r="DD444">
        <v>32</v>
      </c>
      <c r="DE444">
        <v>1.875</v>
      </c>
      <c r="DF444">
        <v>25792</v>
      </c>
      <c r="DG444">
        <v>0.47760000000000002</v>
      </c>
      <c r="DH444">
        <v>6</v>
      </c>
      <c r="DI444">
        <v>0.1875</v>
      </c>
      <c r="DJ444">
        <v>9923</v>
      </c>
      <c r="DK444">
        <v>1654</v>
      </c>
      <c r="DL444">
        <v>8423</v>
      </c>
      <c r="DM444">
        <v>0.8488</v>
      </c>
      <c r="DN444">
        <v>0.1527</v>
      </c>
      <c r="DO444">
        <v>76</v>
      </c>
      <c r="DP444">
        <v>1685</v>
      </c>
    </row>
    <row r="445" spans="93:120" x14ac:dyDescent="0.25">
      <c r="CO445" t="s">
        <v>636</v>
      </c>
      <c r="CP445" t="s">
        <v>2</v>
      </c>
      <c r="CQ445" t="s">
        <v>13</v>
      </c>
      <c r="CR445">
        <v>46150</v>
      </c>
      <c r="CS445">
        <v>1</v>
      </c>
      <c r="CT445">
        <v>1</v>
      </c>
      <c r="CU445">
        <v>1</v>
      </c>
      <c r="CX445">
        <v>8.6574074074074071E-3</v>
      </c>
      <c r="CY445">
        <v>8.6574074074074071E-3</v>
      </c>
      <c r="CZ445">
        <v>0.18731481481481482</v>
      </c>
      <c r="DA445">
        <v>0.10537037037037036</v>
      </c>
      <c r="DB445">
        <v>74</v>
      </c>
      <c r="DC445">
        <v>155</v>
      </c>
      <c r="DD445">
        <v>13</v>
      </c>
      <c r="DE445" t="s">
        <v>711</v>
      </c>
      <c r="DF445">
        <v>18638</v>
      </c>
      <c r="DG445">
        <v>0.1757</v>
      </c>
      <c r="DH445">
        <v>1</v>
      </c>
      <c r="DI445">
        <v>7.6899999999999996E-2</v>
      </c>
      <c r="DJ445">
        <v>730</v>
      </c>
      <c r="DK445">
        <v>730</v>
      </c>
      <c r="DO445">
        <v>76</v>
      </c>
    </row>
    <row r="446" spans="93:120" x14ac:dyDescent="0.25">
      <c r="CO446" t="s">
        <v>636</v>
      </c>
      <c r="CP446" t="s">
        <v>2</v>
      </c>
      <c r="CQ446" t="s">
        <v>42</v>
      </c>
      <c r="CR446">
        <v>46154</v>
      </c>
      <c r="CS446">
        <v>1</v>
      </c>
      <c r="CT446">
        <v>1</v>
      </c>
      <c r="CV446">
        <v>1</v>
      </c>
      <c r="CX446">
        <v>2.0833333333333335E-4</v>
      </c>
      <c r="CY446">
        <v>2.0833333333333335E-4</v>
      </c>
      <c r="CZ446">
        <v>0.29137731481481483</v>
      </c>
      <c r="DA446">
        <v>0.11342592592592593</v>
      </c>
      <c r="DB446">
        <v>155</v>
      </c>
      <c r="DC446">
        <v>200</v>
      </c>
      <c r="DD446">
        <v>25</v>
      </c>
      <c r="DE446">
        <v>1.76</v>
      </c>
      <c r="DF446">
        <v>28126</v>
      </c>
      <c r="DG446">
        <v>0.1613</v>
      </c>
      <c r="DH446">
        <v>1</v>
      </c>
      <c r="DI446">
        <v>0.04</v>
      </c>
      <c r="DJ446">
        <v>1050</v>
      </c>
      <c r="DK446">
        <v>1050</v>
      </c>
      <c r="DL446">
        <v>1050</v>
      </c>
      <c r="DM446">
        <v>1</v>
      </c>
      <c r="DN446">
        <v>0.70069999999999999</v>
      </c>
      <c r="DO446">
        <v>76</v>
      </c>
      <c r="DP446">
        <v>1050</v>
      </c>
    </row>
    <row r="447" spans="93:120" x14ac:dyDescent="0.25">
      <c r="CO447" t="s">
        <v>636</v>
      </c>
      <c r="CP447" t="s">
        <v>2</v>
      </c>
      <c r="CQ447" t="s">
        <v>42</v>
      </c>
      <c r="CR447">
        <v>46167</v>
      </c>
      <c r="CS447">
        <v>1</v>
      </c>
      <c r="CT447">
        <v>1</v>
      </c>
      <c r="CU447">
        <v>1</v>
      </c>
      <c r="CX447">
        <v>5.1041666666666666E-3</v>
      </c>
      <c r="CY447">
        <v>5.1041666666666666E-3</v>
      </c>
      <c r="CZ447">
        <v>0.12332175925925926</v>
      </c>
      <c r="DA447">
        <v>0.1917824074074074</v>
      </c>
      <c r="DB447">
        <v>81</v>
      </c>
      <c r="DC447">
        <v>121</v>
      </c>
      <c r="DD447">
        <v>13</v>
      </c>
      <c r="DE447">
        <v>2</v>
      </c>
      <c r="DF447">
        <v>29906</v>
      </c>
      <c r="DG447">
        <v>0.1605</v>
      </c>
      <c r="DH447">
        <v>3</v>
      </c>
      <c r="DI447">
        <v>0.23080000000000001</v>
      </c>
      <c r="DJ447">
        <v>8044</v>
      </c>
      <c r="DK447">
        <v>2681</v>
      </c>
      <c r="DL447">
        <v>8044</v>
      </c>
      <c r="DM447">
        <v>1</v>
      </c>
      <c r="DN447">
        <v>0.1104</v>
      </c>
      <c r="DO447">
        <v>76</v>
      </c>
      <c r="DP447">
        <v>2681</v>
      </c>
    </row>
    <row r="448" spans="93:120" x14ac:dyDescent="0.25">
      <c r="CO448" t="s">
        <v>636</v>
      </c>
      <c r="CP448" t="s">
        <v>2</v>
      </c>
      <c r="CQ448" t="s">
        <v>42</v>
      </c>
      <c r="CR448">
        <v>46169</v>
      </c>
      <c r="CS448">
        <v>1</v>
      </c>
      <c r="CT448">
        <v>1</v>
      </c>
      <c r="CU448">
        <v>1</v>
      </c>
      <c r="CX448">
        <v>1.3831018518518519E-2</v>
      </c>
      <c r="CY448">
        <v>1.3831018518518519E-2</v>
      </c>
      <c r="CZ448">
        <v>0.16248842592592594</v>
      </c>
      <c r="DA448">
        <v>0.15137731481481481</v>
      </c>
      <c r="DB448">
        <v>85</v>
      </c>
      <c r="DC448">
        <v>143</v>
      </c>
      <c r="DD448">
        <v>25</v>
      </c>
      <c r="DE448">
        <v>1.84</v>
      </c>
      <c r="DF448">
        <v>32856</v>
      </c>
      <c r="DG448">
        <v>0.29409999999999997</v>
      </c>
      <c r="DH448">
        <v>1</v>
      </c>
      <c r="DI448">
        <v>0.04</v>
      </c>
      <c r="DJ448">
        <v>8000</v>
      </c>
      <c r="DK448">
        <v>8000</v>
      </c>
      <c r="DL448">
        <v>8000</v>
      </c>
      <c r="DM448">
        <v>1</v>
      </c>
      <c r="DN448">
        <v>0.10440000000000001</v>
      </c>
      <c r="DO448">
        <v>76</v>
      </c>
      <c r="DP448">
        <v>8000</v>
      </c>
    </row>
    <row r="449" spans="93:120" x14ac:dyDescent="0.25">
      <c r="CO449" t="s">
        <v>636</v>
      </c>
      <c r="CP449" t="s">
        <v>2</v>
      </c>
      <c r="CQ449" t="s">
        <v>65</v>
      </c>
      <c r="CR449">
        <v>46162</v>
      </c>
      <c r="CS449">
        <v>1</v>
      </c>
      <c r="CT449">
        <v>1</v>
      </c>
      <c r="CV449">
        <v>1</v>
      </c>
      <c r="CX449">
        <v>1.8518518518518518E-4</v>
      </c>
      <c r="CY449">
        <v>1.8518518518518518E-4</v>
      </c>
      <c r="CZ449">
        <v>0.22037037037037038</v>
      </c>
      <c r="DA449">
        <v>0.10760416666666667</v>
      </c>
      <c r="DB449">
        <v>33</v>
      </c>
      <c r="DC449">
        <v>80</v>
      </c>
      <c r="DD449">
        <v>9</v>
      </c>
      <c r="DE449" t="s">
        <v>690</v>
      </c>
      <c r="DF449">
        <v>8850</v>
      </c>
      <c r="DG449">
        <v>0.2727</v>
      </c>
      <c r="DH449">
        <v>1</v>
      </c>
      <c r="DI449">
        <v>0.1111</v>
      </c>
      <c r="DJ449">
        <v>450</v>
      </c>
      <c r="DK449">
        <v>450</v>
      </c>
      <c r="DL449">
        <v>450</v>
      </c>
      <c r="DM449">
        <v>1</v>
      </c>
      <c r="DN449">
        <v>0.1525</v>
      </c>
      <c r="DO449">
        <v>76</v>
      </c>
      <c r="DP449">
        <v>450</v>
      </c>
    </row>
    <row r="450" spans="93:120" x14ac:dyDescent="0.25">
      <c r="CO450" t="s">
        <v>636</v>
      </c>
      <c r="CP450" t="s">
        <v>2</v>
      </c>
      <c r="CQ450" t="s">
        <v>37</v>
      </c>
      <c r="CR450">
        <v>46154</v>
      </c>
      <c r="CS450">
        <v>1</v>
      </c>
      <c r="CT450">
        <v>1</v>
      </c>
      <c r="CU450">
        <v>1</v>
      </c>
      <c r="CX450">
        <v>8.773148148148148E-3</v>
      </c>
      <c r="CY450">
        <v>8.773148148148148E-3</v>
      </c>
      <c r="CZ450">
        <v>0.30298611111111112</v>
      </c>
      <c r="DA450">
        <v>9.510416666666667E-2</v>
      </c>
      <c r="DB450">
        <v>162</v>
      </c>
      <c r="DC450">
        <v>213</v>
      </c>
      <c r="DD450">
        <v>11</v>
      </c>
      <c r="DE450" t="s">
        <v>786</v>
      </c>
      <c r="DF450">
        <v>18655</v>
      </c>
      <c r="DG450">
        <v>6.7900000000000002E-2</v>
      </c>
      <c r="DH450">
        <v>1</v>
      </c>
      <c r="DI450">
        <v>9.0899999999999995E-2</v>
      </c>
      <c r="DJ450">
        <v>150</v>
      </c>
      <c r="DK450">
        <v>150</v>
      </c>
      <c r="DL450">
        <v>150</v>
      </c>
      <c r="DM450">
        <v>1</v>
      </c>
      <c r="DN450">
        <v>0.315</v>
      </c>
      <c r="DO450">
        <v>76</v>
      </c>
      <c r="DP450">
        <v>150</v>
      </c>
    </row>
    <row r="451" spans="93:120" x14ac:dyDescent="0.25">
      <c r="CO451" t="s">
        <v>636</v>
      </c>
      <c r="CP451" t="s">
        <v>2</v>
      </c>
      <c r="CQ451" t="s">
        <v>37</v>
      </c>
      <c r="CR451">
        <v>46170</v>
      </c>
      <c r="CS451">
        <v>1</v>
      </c>
      <c r="CT451">
        <v>1</v>
      </c>
      <c r="CU451">
        <v>1</v>
      </c>
      <c r="CX451">
        <v>1.3599537037037037E-2</v>
      </c>
      <c r="CY451">
        <v>1.3599537037037037E-2</v>
      </c>
      <c r="CZ451">
        <v>0.12663194444444445</v>
      </c>
      <c r="DA451">
        <v>0.18152777777777779</v>
      </c>
      <c r="DB451">
        <v>81</v>
      </c>
      <c r="DC451">
        <v>118</v>
      </c>
      <c r="DD451">
        <v>16</v>
      </c>
      <c r="DE451">
        <v>1.625</v>
      </c>
      <c r="DF451">
        <v>25186</v>
      </c>
      <c r="DG451">
        <v>0.19750000000000001</v>
      </c>
      <c r="DH451">
        <v>3</v>
      </c>
      <c r="DI451">
        <v>0.1875</v>
      </c>
      <c r="DJ451">
        <v>1048</v>
      </c>
      <c r="DK451">
        <v>349</v>
      </c>
      <c r="DL451">
        <v>800</v>
      </c>
      <c r="DM451">
        <v>0.7631</v>
      </c>
      <c r="DN451">
        <v>0.29060000000000002</v>
      </c>
      <c r="DO451">
        <v>76</v>
      </c>
      <c r="DP451">
        <v>800</v>
      </c>
    </row>
    <row r="452" spans="93:120" x14ac:dyDescent="0.25">
      <c r="CO452" t="s">
        <v>636</v>
      </c>
      <c r="CP452" t="s">
        <v>2</v>
      </c>
      <c r="CQ452" t="s">
        <v>10</v>
      </c>
      <c r="CR452">
        <v>46164</v>
      </c>
      <c r="CS452">
        <v>1</v>
      </c>
      <c r="CT452">
        <v>1</v>
      </c>
      <c r="CV452">
        <v>1</v>
      </c>
      <c r="CX452">
        <v>3.2407407407407406E-4</v>
      </c>
      <c r="CY452">
        <v>3.2407407407407406E-4</v>
      </c>
      <c r="CZ452">
        <v>0.22047453703703704</v>
      </c>
      <c r="DA452">
        <v>0.13123842592592594</v>
      </c>
      <c r="DB452">
        <v>110</v>
      </c>
      <c r="DC452">
        <v>165</v>
      </c>
      <c r="DD452">
        <v>13</v>
      </c>
      <c r="DE452" t="s">
        <v>727</v>
      </c>
      <c r="DF452">
        <v>22319</v>
      </c>
      <c r="DG452">
        <v>0.1182</v>
      </c>
      <c r="DH452">
        <v>1</v>
      </c>
      <c r="DI452">
        <v>7.6899999999999996E-2</v>
      </c>
      <c r="DJ452">
        <v>812</v>
      </c>
      <c r="DK452">
        <v>812</v>
      </c>
      <c r="DL452">
        <v>812</v>
      </c>
      <c r="DM452">
        <v>1</v>
      </c>
      <c r="DO452">
        <v>76</v>
      </c>
      <c r="DP452">
        <v>812</v>
      </c>
    </row>
    <row r="453" spans="93:120" x14ac:dyDescent="0.25">
      <c r="CO453" t="s">
        <v>636</v>
      </c>
      <c r="CP453" t="s">
        <v>6</v>
      </c>
      <c r="CQ453" t="s">
        <v>35</v>
      </c>
      <c r="CR453">
        <v>46156</v>
      </c>
      <c r="CS453">
        <v>1</v>
      </c>
      <c r="CT453">
        <v>1</v>
      </c>
      <c r="CV453">
        <v>1</v>
      </c>
      <c r="CX453">
        <v>4.6296296296296294E-5</v>
      </c>
      <c r="CY453">
        <v>4.6296296296296294E-5</v>
      </c>
      <c r="CZ453">
        <v>0.1194675925925926</v>
      </c>
      <c r="DA453">
        <v>0.18341435185185184</v>
      </c>
      <c r="DB453">
        <v>54</v>
      </c>
      <c r="DC453">
        <v>125</v>
      </c>
      <c r="DD453">
        <v>18</v>
      </c>
      <c r="DE453">
        <v>2</v>
      </c>
      <c r="DF453">
        <v>15892</v>
      </c>
      <c r="DG453">
        <v>0.33329999999999999</v>
      </c>
      <c r="DH453">
        <v>2</v>
      </c>
      <c r="DI453">
        <v>0.1111</v>
      </c>
      <c r="DJ453">
        <v>4350</v>
      </c>
      <c r="DK453">
        <v>2175</v>
      </c>
      <c r="DL453">
        <v>350</v>
      </c>
      <c r="DM453">
        <v>8.0500000000000002E-2</v>
      </c>
      <c r="DN453">
        <v>1.3599999999999999E-2</v>
      </c>
      <c r="DO453">
        <v>76</v>
      </c>
      <c r="DP453">
        <v>350</v>
      </c>
    </row>
    <row r="454" spans="93:120" x14ac:dyDescent="0.25">
      <c r="CO454" t="s">
        <v>636</v>
      </c>
      <c r="CP454" t="s">
        <v>6</v>
      </c>
      <c r="CQ454" t="s">
        <v>35</v>
      </c>
      <c r="CR454">
        <v>46167</v>
      </c>
      <c r="CS454">
        <v>1</v>
      </c>
      <c r="CT454">
        <v>1</v>
      </c>
      <c r="CV454">
        <v>1</v>
      </c>
      <c r="CX454">
        <v>1.5046296296296297E-4</v>
      </c>
      <c r="CY454">
        <v>1.5046296296296297E-4</v>
      </c>
      <c r="CZ454">
        <v>0.13358796296296296</v>
      </c>
      <c r="DA454">
        <v>0.19094907407407408</v>
      </c>
      <c r="DB454">
        <v>80</v>
      </c>
      <c r="DC454">
        <v>124</v>
      </c>
      <c r="DD454">
        <v>13</v>
      </c>
      <c r="DE454" t="s">
        <v>843</v>
      </c>
      <c r="DF454">
        <v>36478</v>
      </c>
      <c r="DG454">
        <v>0.16250000000000001</v>
      </c>
      <c r="DH454">
        <v>2</v>
      </c>
      <c r="DI454">
        <v>0.15379999999999999</v>
      </c>
      <c r="DJ454">
        <v>1350</v>
      </c>
      <c r="DK454">
        <v>675</v>
      </c>
      <c r="DO454">
        <v>76</v>
      </c>
    </row>
    <row r="455" spans="93:120" x14ac:dyDescent="0.25">
      <c r="CO455" t="s">
        <v>636</v>
      </c>
      <c r="CP455" t="s">
        <v>6</v>
      </c>
      <c r="CQ455" t="s">
        <v>11</v>
      </c>
      <c r="CR455">
        <v>46161</v>
      </c>
      <c r="CS455">
        <v>1</v>
      </c>
      <c r="CT455">
        <v>1</v>
      </c>
      <c r="CU455">
        <v>1</v>
      </c>
      <c r="CX455">
        <v>5.4282407407407404E-3</v>
      </c>
      <c r="CY455">
        <v>5.4282407407407404E-3</v>
      </c>
      <c r="CZ455">
        <v>0.21828703703703703</v>
      </c>
      <c r="DA455">
        <v>0.12671296296296297</v>
      </c>
      <c r="DB455">
        <v>106</v>
      </c>
      <c r="DC455">
        <v>198</v>
      </c>
      <c r="DD455">
        <v>26</v>
      </c>
      <c r="DE455" t="s">
        <v>727</v>
      </c>
      <c r="DF455">
        <v>28424</v>
      </c>
      <c r="DG455">
        <v>0.24529999999999999</v>
      </c>
      <c r="DH455">
        <v>2</v>
      </c>
      <c r="DI455">
        <v>7.6899999999999996E-2</v>
      </c>
      <c r="DJ455">
        <v>1250</v>
      </c>
      <c r="DK455">
        <v>625</v>
      </c>
      <c r="DL455">
        <v>1250</v>
      </c>
      <c r="DM455">
        <v>1</v>
      </c>
      <c r="DN455">
        <v>0.20649999999999999</v>
      </c>
      <c r="DO455">
        <v>76</v>
      </c>
      <c r="DP455">
        <v>625</v>
      </c>
    </row>
    <row r="456" spans="93:120" x14ac:dyDescent="0.25">
      <c r="CO456" t="s">
        <v>636</v>
      </c>
      <c r="CP456" t="s">
        <v>6</v>
      </c>
      <c r="CQ456" t="s">
        <v>11</v>
      </c>
      <c r="CR456">
        <v>46169</v>
      </c>
      <c r="CS456">
        <v>1</v>
      </c>
      <c r="CT456">
        <v>1</v>
      </c>
      <c r="CV456">
        <v>1</v>
      </c>
      <c r="CX456">
        <v>1.273148148148148E-4</v>
      </c>
      <c r="CY456">
        <v>1.273148148148148E-4</v>
      </c>
      <c r="CZ456">
        <v>0.21334490740740741</v>
      </c>
      <c r="DA456">
        <v>0.13820601851851852</v>
      </c>
      <c r="DB456">
        <v>104</v>
      </c>
      <c r="DC456">
        <v>188</v>
      </c>
      <c r="DD456">
        <v>29</v>
      </c>
      <c r="DE456" t="s">
        <v>738</v>
      </c>
      <c r="DF456">
        <v>12470</v>
      </c>
      <c r="DG456">
        <v>0.27879999999999999</v>
      </c>
      <c r="DH456">
        <v>4</v>
      </c>
      <c r="DI456">
        <v>0.13789999999999999</v>
      </c>
      <c r="DJ456">
        <v>8850</v>
      </c>
      <c r="DK456">
        <v>2213</v>
      </c>
      <c r="DL456">
        <v>4200</v>
      </c>
      <c r="DM456">
        <v>0.47460000000000002</v>
      </c>
      <c r="DN456">
        <v>0.11609999999999999</v>
      </c>
      <c r="DO456">
        <v>76</v>
      </c>
      <c r="DP456">
        <v>2100</v>
      </c>
    </row>
    <row r="457" spans="93:120" x14ac:dyDescent="0.25">
      <c r="CO457" t="s">
        <v>636</v>
      </c>
      <c r="CP457" t="s">
        <v>7</v>
      </c>
      <c r="CQ457" t="s">
        <v>18</v>
      </c>
      <c r="CR457">
        <v>46170</v>
      </c>
      <c r="CS457">
        <v>1</v>
      </c>
      <c r="CT457">
        <v>1</v>
      </c>
      <c r="CU457">
        <v>1</v>
      </c>
      <c r="CX457">
        <v>6.0185185185185185E-3</v>
      </c>
      <c r="CY457">
        <v>6.0185185185185185E-3</v>
      </c>
      <c r="CZ457">
        <v>0.14390046296296297</v>
      </c>
      <c r="DA457">
        <v>0.17225694444444445</v>
      </c>
      <c r="DB457">
        <v>97</v>
      </c>
      <c r="DC457">
        <v>232</v>
      </c>
      <c r="DD457">
        <v>18</v>
      </c>
      <c r="DE457" t="s">
        <v>674</v>
      </c>
      <c r="DF457">
        <v>40194</v>
      </c>
      <c r="DG457">
        <v>0.18559999999999999</v>
      </c>
      <c r="DH457">
        <v>1</v>
      </c>
      <c r="DI457">
        <v>5.5599999999999997E-2</v>
      </c>
      <c r="DJ457">
        <v>2200</v>
      </c>
      <c r="DK457">
        <v>2200</v>
      </c>
      <c r="DL457">
        <v>2200</v>
      </c>
      <c r="DM457">
        <v>1</v>
      </c>
      <c r="DN457">
        <v>0.108</v>
      </c>
      <c r="DO457">
        <v>76</v>
      </c>
      <c r="DP457">
        <v>2200</v>
      </c>
    </row>
    <row r="458" spans="93:120" x14ac:dyDescent="0.25">
      <c r="CO458" t="s">
        <v>636</v>
      </c>
      <c r="CP458" t="s">
        <v>7</v>
      </c>
      <c r="CQ458" t="s">
        <v>60</v>
      </c>
      <c r="CR458">
        <v>46171</v>
      </c>
      <c r="CS458">
        <v>1</v>
      </c>
      <c r="CT458">
        <v>1</v>
      </c>
      <c r="CV458">
        <v>1</v>
      </c>
      <c r="CX458">
        <v>8.1018518518518516E-5</v>
      </c>
      <c r="CY458">
        <v>8.1018518518518516E-5</v>
      </c>
      <c r="CZ458">
        <v>0.13730324074074074</v>
      </c>
      <c r="DA458">
        <v>0.22128472222222223</v>
      </c>
      <c r="DB458">
        <v>179</v>
      </c>
      <c r="DC458">
        <v>236</v>
      </c>
      <c r="DD458">
        <v>13</v>
      </c>
      <c r="DE458" t="s">
        <v>708</v>
      </c>
      <c r="DF458">
        <v>28145</v>
      </c>
      <c r="DG458">
        <v>7.2599999999999998E-2</v>
      </c>
      <c r="DH458">
        <v>1</v>
      </c>
      <c r="DI458">
        <v>7.6899999999999996E-2</v>
      </c>
      <c r="DJ458">
        <v>6000</v>
      </c>
      <c r="DK458">
        <v>6000</v>
      </c>
      <c r="DL458">
        <v>6000</v>
      </c>
      <c r="DM458">
        <v>1</v>
      </c>
      <c r="DN458">
        <v>7.4099999999999999E-2</v>
      </c>
      <c r="DO458">
        <v>76</v>
      </c>
      <c r="DP458">
        <v>6000</v>
      </c>
    </row>
    <row r="459" spans="93:120" x14ac:dyDescent="0.25">
      <c r="CO459" t="s">
        <v>636</v>
      </c>
      <c r="CP459" t="s">
        <v>7</v>
      </c>
      <c r="CQ459" t="s">
        <v>61</v>
      </c>
      <c r="CR459">
        <v>46160</v>
      </c>
      <c r="CS459">
        <v>1</v>
      </c>
      <c r="CT459">
        <v>1</v>
      </c>
      <c r="CU459">
        <v>1</v>
      </c>
      <c r="CX459">
        <v>7.6273148148148151E-3</v>
      </c>
      <c r="CY459">
        <v>7.6273148148148151E-3</v>
      </c>
      <c r="CZ459">
        <v>0.18152777777777779</v>
      </c>
      <c r="DA459">
        <v>0.14387731481481481</v>
      </c>
      <c r="DB459">
        <v>44</v>
      </c>
      <c r="DC459">
        <v>139</v>
      </c>
      <c r="DD459">
        <v>15</v>
      </c>
      <c r="DE459">
        <v>2.2000000000000002</v>
      </c>
      <c r="DF459">
        <v>35170</v>
      </c>
      <c r="DG459">
        <v>0.34089999999999998</v>
      </c>
      <c r="DH459">
        <v>1</v>
      </c>
      <c r="DI459">
        <v>6.6699999999999995E-2</v>
      </c>
      <c r="DJ459">
        <v>1500</v>
      </c>
      <c r="DK459">
        <v>1500</v>
      </c>
      <c r="DL459">
        <v>1500</v>
      </c>
      <c r="DM459">
        <v>1</v>
      </c>
      <c r="DN459">
        <v>0.56299999999999994</v>
      </c>
      <c r="DO459">
        <v>76</v>
      </c>
      <c r="DP459">
        <v>1500</v>
      </c>
    </row>
    <row r="460" spans="93:120" x14ac:dyDescent="0.25">
      <c r="CO460" t="s">
        <v>636</v>
      </c>
      <c r="CP460" t="s">
        <v>7</v>
      </c>
      <c r="CQ460" t="s">
        <v>61</v>
      </c>
      <c r="CR460">
        <v>46168</v>
      </c>
      <c r="CS460">
        <v>1</v>
      </c>
      <c r="CT460">
        <v>1</v>
      </c>
      <c r="CV460">
        <v>1</v>
      </c>
      <c r="CX460">
        <v>4.6296296296296294E-5</v>
      </c>
      <c r="CY460">
        <v>4.6296296296296294E-5</v>
      </c>
      <c r="CZ460">
        <v>0.17681712962962962</v>
      </c>
      <c r="DA460">
        <v>0.13351851851851851</v>
      </c>
      <c r="DB460">
        <v>76</v>
      </c>
      <c r="DC460">
        <v>183</v>
      </c>
      <c r="DD460">
        <v>16</v>
      </c>
      <c r="DE460">
        <v>2.375</v>
      </c>
      <c r="DF460">
        <v>20935</v>
      </c>
      <c r="DG460">
        <v>0.21049999999999999</v>
      </c>
      <c r="DH460">
        <v>2</v>
      </c>
      <c r="DI460">
        <v>0.125</v>
      </c>
      <c r="DJ460">
        <v>6325</v>
      </c>
      <c r="DK460">
        <v>3163</v>
      </c>
      <c r="DL460">
        <v>6000</v>
      </c>
      <c r="DM460">
        <v>0.9486</v>
      </c>
      <c r="DN460">
        <v>9.2700000000000005E-2</v>
      </c>
      <c r="DO460">
        <v>76</v>
      </c>
      <c r="DP460">
        <v>6000</v>
      </c>
    </row>
    <row r="461" spans="93:120" x14ac:dyDescent="0.25">
      <c r="CO461" t="s">
        <v>636</v>
      </c>
      <c r="CP461" t="s">
        <v>7</v>
      </c>
      <c r="CQ461" t="s">
        <v>72</v>
      </c>
      <c r="CR461">
        <v>46163</v>
      </c>
      <c r="CS461">
        <v>1</v>
      </c>
      <c r="CT461">
        <v>1</v>
      </c>
      <c r="CV461">
        <v>1</v>
      </c>
      <c r="CX461">
        <v>1.4004629629629629E-3</v>
      </c>
      <c r="CY461">
        <v>1.4004629629629629E-3</v>
      </c>
      <c r="CZ461">
        <v>0.1446412037037037</v>
      </c>
      <c r="DA461">
        <v>0.20204861111111111</v>
      </c>
      <c r="DB461">
        <v>161</v>
      </c>
      <c r="DC461">
        <v>405</v>
      </c>
      <c r="DD461">
        <v>21</v>
      </c>
      <c r="DE461" t="s">
        <v>817</v>
      </c>
      <c r="DF461">
        <v>37564</v>
      </c>
      <c r="DG461">
        <v>0.13039999999999999</v>
      </c>
      <c r="DH461">
        <v>1</v>
      </c>
      <c r="DI461">
        <v>4.7600000000000003E-2</v>
      </c>
      <c r="DJ461">
        <v>307</v>
      </c>
      <c r="DK461">
        <v>307</v>
      </c>
      <c r="DL461">
        <v>307</v>
      </c>
      <c r="DM461">
        <v>1</v>
      </c>
      <c r="DO461">
        <v>76</v>
      </c>
      <c r="DP461">
        <v>307</v>
      </c>
    </row>
    <row r="462" spans="93:120" x14ac:dyDescent="0.25">
      <c r="CO462" t="s">
        <v>636</v>
      </c>
      <c r="CP462" t="s">
        <v>7</v>
      </c>
      <c r="CQ462" t="s">
        <v>26</v>
      </c>
      <c r="CR462">
        <v>46160</v>
      </c>
      <c r="CS462">
        <v>1</v>
      </c>
      <c r="CT462">
        <v>1</v>
      </c>
      <c r="CV462">
        <v>1</v>
      </c>
      <c r="CX462">
        <v>5.7870370370370373E-5</v>
      </c>
      <c r="CY462">
        <v>5.7870370370370373E-5</v>
      </c>
      <c r="CZ462">
        <v>0.19127314814814814</v>
      </c>
      <c r="DA462">
        <v>0.16320601851851851</v>
      </c>
      <c r="DB462">
        <v>95</v>
      </c>
      <c r="DC462">
        <v>203</v>
      </c>
      <c r="DD462">
        <v>17</v>
      </c>
      <c r="DE462" t="s">
        <v>844</v>
      </c>
      <c r="DF462">
        <v>47439</v>
      </c>
      <c r="DG462">
        <v>0.1789</v>
      </c>
      <c r="DH462">
        <v>2</v>
      </c>
      <c r="DI462">
        <v>0.1176</v>
      </c>
      <c r="DJ462">
        <v>3600</v>
      </c>
      <c r="DK462">
        <v>1800</v>
      </c>
      <c r="DL462">
        <v>3000</v>
      </c>
      <c r="DM462">
        <v>0.83330000000000004</v>
      </c>
      <c r="DN462">
        <v>0.14330000000000001</v>
      </c>
      <c r="DO462">
        <v>76</v>
      </c>
      <c r="DP462">
        <v>3000</v>
      </c>
    </row>
    <row r="463" spans="93:120" x14ac:dyDescent="0.25">
      <c r="CO463" t="s">
        <v>636</v>
      </c>
      <c r="CP463" t="s">
        <v>7</v>
      </c>
      <c r="CQ463" t="s">
        <v>75</v>
      </c>
      <c r="CR463">
        <v>46160</v>
      </c>
      <c r="CS463">
        <v>1</v>
      </c>
      <c r="CT463">
        <v>1</v>
      </c>
      <c r="CV463">
        <v>1</v>
      </c>
      <c r="CX463">
        <v>3.9351851851851852E-4</v>
      </c>
      <c r="CY463">
        <v>3.9351851851851852E-4</v>
      </c>
      <c r="CZ463">
        <v>0.203125</v>
      </c>
      <c r="DA463">
        <v>0.13269675925925925</v>
      </c>
      <c r="DB463">
        <v>87</v>
      </c>
      <c r="DC463">
        <v>194</v>
      </c>
      <c r="DD463">
        <v>12</v>
      </c>
      <c r="DE463" t="s">
        <v>703</v>
      </c>
      <c r="DF463">
        <v>31477</v>
      </c>
      <c r="DG463">
        <v>0.13789999999999999</v>
      </c>
      <c r="DH463">
        <v>1</v>
      </c>
      <c r="DI463">
        <v>8.3299999999999999E-2</v>
      </c>
      <c r="DJ463">
        <v>700</v>
      </c>
      <c r="DK463">
        <v>700</v>
      </c>
      <c r="DL463">
        <v>700</v>
      </c>
      <c r="DM463">
        <v>1</v>
      </c>
      <c r="DO463">
        <v>76</v>
      </c>
      <c r="DP463">
        <v>700</v>
      </c>
    </row>
    <row r="464" spans="93:120" x14ac:dyDescent="0.25">
      <c r="CO464" t="s">
        <v>636</v>
      </c>
      <c r="CP464" t="s">
        <v>604</v>
      </c>
      <c r="CQ464" t="s">
        <v>109</v>
      </c>
      <c r="CR464">
        <v>46149</v>
      </c>
      <c r="CS464">
        <v>1</v>
      </c>
      <c r="CT464">
        <v>1</v>
      </c>
      <c r="CU464">
        <v>1</v>
      </c>
      <c r="CX464">
        <v>4.8969907407407406E-2</v>
      </c>
      <c r="CY464">
        <v>4.8969907407407406E-2</v>
      </c>
      <c r="CZ464">
        <v>0.20398148148148149</v>
      </c>
      <c r="DA464">
        <v>9.7812499999999997E-2</v>
      </c>
      <c r="DB464">
        <v>80</v>
      </c>
      <c r="DC464">
        <v>136</v>
      </c>
      <c r="DD464">
        <v>21</v>
      </c>
      <c r="DE464" t="s">
        <v>845</v>
      </c>
      <c r="DF464">
        <v>26199</v>
      </c>
      <c r="DG464">
        <v>0.26250000000000001</v>
      </c>
      <c r="DO464">
        <v>76</v>
      </c>
    </row>
    <row r="465" spans="93:120" x14ac:dyDescent="0.25">
      <c r="CO465" t="s">
        <v>636</v>
      </c>
      <c r="CP465" t="s">
        <v>604</v>
      </c>
      <c r="CQ465" t="s">
        <v>495</v>
      </c>
      <c r="CR465">
        <v>46147</v>
      </c>
      <c r="CS465">
        <v>1</v>
      </c>
      <c r="CT465">
        <v>1</v>
      </c>
      <c r="CU465">
        <v>1</v>
      </c>
      <c r="CX465">
        <v>1.5381944444444445E-2</v>
      </c>
      <c r="CY465">
        <v>1.5381944444444445E-2</v>
      </c>
      <c r="CZ465">
        <v>0.22348379629629631</v>
      </c>
      <c r="DA465">
        <v>0.19153935185185186</v>
      </c>
      <c r="DB465">
        <v>113</v>
      </c>
      <c r="DC465">
        <v>284</v>
      </c>
      <c r="DD465">
        <v>32</v>
      </c>
      <c r="DE465">
        <v>2.40625</v>
      </c>
      <c r="DF465">
        <v>14589</v>
      </c>
      <c r="DG465">
        <v>0.28320000000000001</v>
      </c>
      <c r="DH465">
        <v>3</v>
      </c>
      <c r="DI465">
        <v>9.3799999999999994E-2</v>
      </c>
      <c r="DJ465">
        <v>1950</v>
      </c>
      <c r="DK465">
        <v>650</v>
      </c>
      <c r="DL465">
        <v>1700</v>
      </c>
      <c r="DM465">
        <v>0.87180000000000002</v>
      </c>
      <c r="DN465">
        <v>0.1406</v>
      </c>
      <c r="DO465">
        <v>76</v>
      </c>
      <c r="DP465">
        <v>850</v>
      </c>
    </row>
    <row r="466" spans="93:120" x14ac:dyDescent="0.25">
      <c r="CO466" t="s">
        <v>636</v>
      </c>
      <c r="CP466" t="s">
        <v>604</v>
      </c>
      <c r="CQ466" t="s">
        <v>49</v>
      </c>
      <c r="CR466">
        <v>46149</v>
      </c>
      <c r="CS466">
        <v>1</v>
      </c>
      <c r="CT466">
        <v>1</v>
      </c>
      <c r="CU466">
        <v>1</v>
      </c>
      <c r="CX466">
        <v>7.4999999999999997E-3</v>
      </c>
      <c r="CY466">
        <v>7.4999999999999997E-3</v>
      </c>
      <c r="CZ466">
        <v>0.24032407407407408</v>
      </c>
      <c r="DA466">
        <v>9.8634259259259255E-2</v>
      </c>
      <c r="DB466">
        <v>67</v>
      </c>
      <c r="DC466">
        <v>96</v>
      </c>
      <c r="DD466">
        <v>5</v>
      </c>
      <c r="DE466">
        <v>1.8</v>
      </c>
      <c r="DF466">
        <v>18119</v>
      </c>
      <c r="DG466">
        <v>7.46E-2</v>
      </c>
      <c r="DO466">
        <v>76</v>
      </c>
    </row>
    <row r="467" spans="93:120" x14ac:dyDescent="0.25">
      <c r="CO467" t="s">
        <v>636</v>
      </c>
      <c r="CP467" t="s">
        <v>604</v>
      </c>
      <c r="CQ467" t="s">
        <v>49</v>
      </c>
      <c r="CR467">
        <v>46155</v>
      </c>
      <c r="CS467">
        <v>1</v>
      </c>
      <c r="CT467">
        <v>1</v>
      </c>
      <c r="CV467">
        <v>1</v>
      </c>
      <c r="CX467">
        <v>0</v>
      </c>
      <c r="CY467">
        <v>0</v>
      </c>
      <c r="CZ467">
        <v>0.21486111111111111</v>
      </c>
      <c r="DA467">
        <v>0.11256944444444444</v>
      </c>
      <c r="DB467">
        <v>77</v>
      </c>
      <c r="DC467">
        <v>106</v>
      </c>
      <c r="DD467">
        <v>10</v>
      </c>
      <c r="DE467">
        <v>1.9</v>
      </c>
      <c r="DF467">
        <v>26835</v>
      </c>
      <c r="DG467">
        <v>0.12989999999999999</v>
      </c>
      <c r="DH467">
        <v>1</v>
      </c>
      <c r="DI467">
        <v>0.1</v>
      </c>
      <c r="DJ467">
        <v>260</v>
      </c>
      <c r="DK467">
        <v>260</v>
      </c>
      <c r="DO467">
        <v>76</v>
      </c>
    </row>
    <row r="468" spans="93:120" x14ac:dyDescent="0.25">
      <c r="CO468" t="s">
        <v>636</v>
      </c>
      <c r="CP468" t="s">
        <v>604</v>
      </c>
      <c r="CQ468" t="s">
        <v>549</v>
      </c>
      <c r="CR468">
        <v>46157</v>
      </c>
      <c r="CS468">
        <v>1</v>
      </c>
      <c r="CT468">
        <v>1</v>
      </c>
      <c r="CV468">
        <v>1</v>
      </c>
      <c r="CX468">
        <v>8.6805555555555551E-4</v>
      </c>
      <c r="CY468">
        <v>8.6805555555555551E-4</v>
      </c>
      <c r="CZ468">
        <v>0.17655092592592592</v>
      </c>
      <c r="DA468">
        <v>0.11556712962962963</v>
      </c>
      <c r="DB468">
        <v>100</v>
      </c>
      <c r="DC468">
        <v>144</v>
      </c>
      <c r="DD468">
        <v>30</v>
      </c>
      <c r="DE468" t="s">
        <v>739</v>
      </c>
      <c r="DF468">
        <v>6944</v>
      </c>
      <c r="DG468">
        <v>0.3</v>
      </c>
      <c r="DH468">
        <v>1</v>
      </c>
      <c r="DI468">
        <v>3.3300000000000003E-2</v>
      </c>
      <c r="DJ468">
        <v>300</v>
      </c>
      <c r="DK468">
        <v>300</v>
      </c>
      <c r="DL468">
        <v>300</v>
      </c>
      <c r="DM468">
        <v>1</v>
      </c>
      <c r="DN468">
        <v>0.2772</v>
      </c>
      <c r="DO468">
        <v>76</v>
      </c>
      <c r="DP468">
        <v>300</v>
      </c>
    </row>
    <row r="469" spans="93:120" x14ac:dyDescent="0.25">
      <c r="CO469" t="s">
        <v>636</v>
      </c>
      <c r="CP469" t="s">
        <v>604</v>
      </c>
      <c r="CQ469" t="s">
        <v>77</v>
      </c>
      <c r="CR469">
        <v>46146</v>
      </c>
      <c r="CS469">
        <v>1</v>
      </c>
      <c r="CT469">
        <v>1</v>
      </c>
      <c r="CV469">
        <v>1</v>
      </c>
      <c r="CX469">
        <v>0</v>
      </c>
      <c r="CY469">
        <v>0</v>
      </c>
      <c r="CZ469">
        <v>0.24033564814814815</v>
      </c>
      <c r="DA469">
        <v>0.11539351851851852</v>
      </c>
      <c r="DB469">
        <v>105</v>
      </c>
      <c r="DC469">
        <v>186</v>
      </c>
      <c r="DD469">
        <v>44</v>
      </c>
      <c r="DE469" t="s">
        <v>786</v>
      </c>
      <c r="DF469">
        <v>19628</v>
      </c>
      <c r="DG469">
        <v>0.41899999999999998</v>
      </c>
      <c r="DH469">
        <v>10</v>
      </c>
      <c r="DI469">
        <v>0.2273</v>
      </c>
      <c r="DJ469">
        <v>10225</v>
      </c>
      <c r="DK469">
        <v>1023</v>
      </c>
      <c r="DL469">
        <v>7161</v>
      </c>
      <c r="DM469">
        <v>0.70030000000000003</v>
      </c>
      <c r="DN469">
        <v>0.24929999999999999</v>
      </c>
      <c r="DO469">
        <v>76</v>
      </c>
      <c r="DP469">
        <v>895</v>
      </c>
    </row>
    <row r="470" spans="93:120" x14ac:dyDescent="0.25">
      <c r="CO470" t="s">
        <v>636</v>
      </c>
      <c r="CP470" t="s">
        <v>604</v>
      </c>
      <c r="CQ470" t="s">
        <v>77</v>
      </c>
      <c r="CR470">
        <v>46147</v>
      </c>
      <c r="CS470">
        <v>1</v>
      </c>
      <c r="CT470">
        <v>1</v>
      </c>
      <c r="CV470">
        <v>1</v>
      </c>
      <c r="CX470">
        <v>1.712962962962963E-3</v>
      </c>
      <c r="CY470">
        <v>1.712962962962963E-3</v>
      </c>
      <c r="CZ470">
        <v>0.29342592592592592</v>
      </c>
      <c r="DA470">
        <v>0.11130787037037038</v>
      </c>
      <c r="DB470">
        <v>151</v>
      </c>
      <c r="DC470">
        <v>341</v>
      </c>
      <c r="DD470">
        <v>50</v>
      </c>
      <c r="DE470">
        <v>2.1800000000000002</v>
      </c>
      <c r="DF470">
        <v>15870</v>
      </c>
      <c r="DG470">
        <v>0.33110000000000001</v>
      </c>
      <c r="DH470">
        <v>1</v>
      </c>
      <c r="DI470">
        <v>0.02</v>
      </c>
      <c r="DJ470">
        <v>600</v>
      </c>
      <c r="DK470">
        <v>600</v>
      </c>
      <c r="DL470">
        <v>600</v>
      </c>
      <c r="DM470">
        <v>1</v>
      </c>
      <c r="DO470">
        <v>76</v>
      </c>
      <c r="DP470">
        <v>600</v>
      </c>
    </row>
    <row r="471" spans="93:120" x14ac:dyDescent="0.25">
      <c r="CO471" t="s">
        <v>636</v>
      </c>
      <c r="CP471" t="s">
        <v>604</v>
      </c>
      <c r="CQ471" t="s">
        <v>77</v>
      </c>
      <c r="CR471">
        <v>46149</v>
      </c>
      <c r="CS471">
        <v>1</v>
      </c>
      <c r="CT471">
        <v>1</v>
      </c>
      <c r="CU471">
        <v>1</v>
      </c>
      <c r="CX471">
        <v>4.9189814814814816E-3</v>
      </c>
      <c r="CY471">
        <v>4.9189814814814816E-3</v>
      </c>
      <c r="CZ471">
        <v>0.23366898148148149</v>
      </c>
      <c r="DA471">
        <v>8.6226851851851846E-2</v>
      </c>
      <c r="DB471">
        <v>100</v>
      </c>
      <c r="DC471">
        <v>204</v>
      </c>
      <c r="DD471">
        <v>31</v>
      </c>
      <c r="DE471" t="s">
        <v>846</v>
      </c>
      <c r="DF471">
        <v>16918</v>
      </c>
      <c r="DG471">
        <v>0.31</v>
      </c>
      <c r="DO471">
        <v>76</v>
      </c>
    </row>
    <row r="472" spans="93:120" x14ac:dyDescent="0.25">
      <c r="CO472" t="s">
        <v>636</v>
      </c>
      <c r="CP472" t="s">
        <v>604</v>
      </c>
      <c r="CQ472" t="s">
        <v>566</v>
      </c>
      <c r="CR472">
        <v>46149</v>
      </c>
      <c r="CS472">
        <v>1</v>
      </c>
      <c r="CT472">
        <v>1</v>
      </c>
      <c r="CU472">
        <v>1</v>
      </c>
      <c r="CX472">
        <v>7.905092592592592E-3</v>
      </c>
      <c r="CY472">
        <v>7.905092592592592E-3</v>
      </c>
      <c r="CZ472">
        <v>0.21350694444444446</v>
      </c>
      <c r="DA472">
        <v>0.14302083333333335</v>
      </c>
      <c r="DB472">
        <v>140</v>
      </c>
      <c r="DC472">
        <v>220</v>
      </c>
      <c r="DD472">
        <v>55</v>
      </c>
      <c r="DE472" t="s">
        <v>847</v>
      </c>
      <c r="DF472">
        <v>7764</v>
      </c>
      <c r="DG472">
        <v>0.39290000000000003</v>
      </c>
      <c r="DO472">
        <v>76</v>
      </c>
    </row>
    <row r="473" spans="93:120" x14ac:dyDescent="0.25">
      <c r="CO473" t="s">
        <v>636</v>
      </c>
      <c r="CP473" t="s">
        <v>604</v>
      </c>
      <c r="CQ473" t="s">
        <v>78</v>
      </c>
      <c r="CR473">
        <v>46154</v>
      </c>
      <c r="CS473">
        <v>1</v>
      </c>
      <c r="CT473">
        <v>1</v>
      </c>
      <c r="CV473">
        <v>1</v>
      </c>
      <c r="CX473">
        <v>0</v>
      </c>
      <c r="CY473">
        <v>0</v>
      </c>
      <c r="CZ473">
        <v>0.27401620370370372</v>
      </c>
      <c r="DA473">
        <v>0.14282407407407408</v>
      </c>
      <c r="DB473">
        <v>107</v>
      </c>
      <c r="DC473">
        <v>186</v>
      </c>
      <c r="DD473">
        <v>35</v>
      </c>
      <c r="DE473" t="s">
        <v>803</v>
      </c>
      <c r="DF473">
        <v>17347</v>
      </c>
      <c r="DG473">
        <v>0.3271</v>
      </c>
      <c r="DH473">
        <v>2</v>
      </c>
      <c r="DI473">
        <v>5.7099999999999998E-2</v>
      </c>
      <c r="DJ473">
        <v>960</v>
      </c>
      <c r="DK473">
        <v>480</v>
      </c>
      <c r="DO473">
        <v>76</v>
      </c>
    </row>
    <row r="474" spans="93:120" x14ac:dyDescent="0.25">
      <c r="CO474" t="s">
        <v>636</v>
      </c>
      <c r="CP474" t="s">
        <v>604</v>
      </c>
      <c r="CQ474" t="s">
        <v>48</v>
      </c>
      <c r="CR474">
        <v>46160</v>
      </c>
      <c r="CS474">
        <v>1</v>
      </c>
      <c r="CT474">
        <v>1</v>
      </c>
      <c r="CV474">
        <v>1</v>
      </c>
      <c r="CX474">
        <v>8.6805555555555551E-4</v>
      </c>
      <c r="CY474">
        <v>8.6805555555555551E-4</v>
      </c>
      <c r="CZ474">
        <v>0.18408564814814815</v>
      </c>
      <c r="DA474">
        <v>0.14186342592592593</v>
      </c>
      <c r="DB474">
        <v>56</v>
      </c>
      <c r="DC474">
        <v>95</v>
      </c>
      <c r="DD474">
        <v>19</v>
      </c>
      <c r="DE474" t="s">
        <v>721</v>
      </c>
      <c r="DF474">
        <v>21791</v>
      </c>
      <c r="DG474">
        <v>0.33929999999999999</v>
      </c>
      <c r="DH474">
        <v>1</v>
      </c>
      <c r="DI474">
        <v>5.2600000000000001E-2</v>
      </c>
      <c r="DJ474">
        <v>1100</v>
      </c>
      <c r="DK474">
        <v>1100</v>
      </c>
      <c r="DL474">
        <v>1100</v>
      </c>
      <c r="DM474">
        <v>1</v>
      </c>
      <c r="DN474">
        <v>0.41460000000000002</v>
      </c>
      <c r="DO474">
        <v>76</v>
      </c>
      <c r="DP474">
        <v>1100</v>
      </c>
    </row>
    <row r="475" spans="93:120" x14ac:dyDescent="0.25">
      <c r="CO475" t="s">
        <v>636</v>
      </c>
      <c r="CP475" t="s">
        <v>604</v>
      </c>
      <c r="CQ475" t="s">
        <v>601</v>
      </c>
      <c r="CR475">
        <v>46153</v>
      </c>
      <c r="CS475">
        <v>1</v>
      </c>
      <c r="CT475">
        <v>1</v>
      </c>
      <c r="CU475">
        <v>1</v>
      </c>
      <c r="CX475">
        <v>2.7106481481481481E-2</v>
      </c>
      <c r="CY475">
        <v>2.7106481481481481E-2</v>
      </c>
      <c r="CZ475">
        <v>0.15644675925925927</v>
      </c>
      <c r="DA475">
        <v>0.12136574074074075</v>
      </c>
      <c r="DB475">
        <v>97</v>
      </c>
      <c r="DC475">
        <v>126</v>
      </c>
      <c r="DD475">
        <v>63</v>
      </c>
      <c r="DE475" t="s">
        <v>848</v>
      </c>
      <c r="DF475">
        <v>4753</v>
      </c>
      <c r="DG475">
        <v>0.64949999999999997</v>
      </c>
      <c r="DH475">
        <v>3</v>
      </c>
      <c r="DI475">
        <v>4.7600000000000003E-2</v>
      </c>
      <c r="DJ475">
        <v>1060</v>
      </c>
      <c r="DK475">
        <v>353</v>
      </c>
      <c r="DO475">
        <v>76</v>
      </c>
    </row>
    <row r="476" spans="93:120" x14ac:dyDescent="0.25">
      <c r="CO476" t="s">
        <v>636</v>
      </c>
      <c r="CP476" t="s">
        <v>3</v>
      </c>
      <c r="CQ476" t="s">
        <v>85</v>
      </c>
      <c r="CR476">
        <v>46153</v>
      </c>
      <c r="CS476">
        <v>1</v>
      </c>
      <c r="CT476">
        <v>1</v>
      </c>
      <c r="CU476">
        <v>1</v>
      </c>
      <c r="CX476">
        <v>2.101851851851852E-2</v>
      </c>
      <c r="CY476">
        <v>2.101851851851852E-2</v>
      </c>
      <c r="CZ476">
        <v>0.21851851851851853</v>
      </c>
      <c r="DA476">
        <v>0.10560185185185185</v>
      </c>
      <c r="DB476">
        <v>68</v>
      </c>
      <c r="DC476">
        <v>146</v>
      </c>
      <c r="DD476">
        <v>16</v>
      </c>
      <c r="DE476">
        <v>1.9375</v>
      </c>
      <c r="DF476">
        <v>15270</v>
      </c>
      <c r="DG476">
        <v>0.23530000000000001</v>
      </c>
      <c r="DH476">
        <v>1</v>
      </c>
      <c r="DI476">
        <v>6.25E-2</v>
      </c>
      <c r="DJ476">
        <v>270</v>
      </c>
      <c r="DK476">
        <v>270</v>
      </c>
      <c r="DL476">
        <v>270</v>
      </c>
      <c r="DM476">
        <v>1</v>
      </c>
      <c r="DN476">
        <v>0.41199999999999998</v>
      </c>
      <c r="DO476">
        <v>76</v>
      </c>
      <c r="DP476">
        <v>270</v>
      </c>
    </row>
    <row r="477" spans="93:120" x14ac:dyDescent="0.25">
      <c r="CO477" t="s">
        <v>636</v>
      </c>
      <c r="CP477" t="s">
        <v>3</v>
      </c>
      <c r="CQ477" t="s">
        <v>85</v>
      </c>
      <c r="CR477">
        <v>46160</v>
      </c>
      <c r="CS477">
        <v>1</v>
      </c>
      <c r="CT477">
        <v>1</v>
      </c>
      <c r="CV477">
        <v>1</v>
      </c>
      <c r="CX477">
        <v>1.1574074074074075E-4</v>
      </c>
      <c r="CY477">
        <v>1.1574074074074075E-4</v>
      </c>
      <c r="CZ477">
        <v>0.18753472222222223</v>
      </c>
      <c r="DA477">
        <v>0.12469907407407407</v>
      </c>
      <c r="DB477">
        <v>82</v>
      </c>
      <c r="DC477">
        <v>189</v>
      </c>
      <c r="DD477">
        <v>25</v>
      </c>
      <c r="DE477">
        <v>1.8</v>
      </c>
      <c r="DF477">
        <v>18612</v>
      </c>
      <c r="DG477">
        <v>0.3049</v>
      </c>
      <c r="DH477">
        <v>1</v>
      </c>
      <c r="DI477">
        <v>0.04</v>
      </c>
      <c r="DJ477">
        <v>300</v>
      </c>
      <c r="DK477">
        <v>300</v>
      </c>
      <c r="DL477">
        <v>300</v>
      </c>
      <c r="DM477">
        <v>1</v>
      </c>
      <c r="DN477">
        <v>0.24959999999999999</v>
      </c>
      <c r="DO477">
        <v>76</v>
      </c>
      <c r="DP477">
        <v>300</v>
      </c>
    </row>
    <row r="478" spans="93:120" x14ac:dyDescent="0.25">
      <c r="CO478" t="s">
        <v>636</v>
      </c>
      <c r="CP478" t="s">
        <v>3</v>
      </c>
      <c r="CQ478" t="s">
        <v>493</v>
      </c>
      <c r="CR478">
        <v>46168</v>
      </c>
      <c r="CS478">
        <v>1</v>
      </c>
      <c r="CT478">
        <v>1</v>
      </c>
      <c r="CV478">
        <v>1</v>
      </c>
      <c r="CX478">
        <v>0</v>
      </c>
      <c r="CY478">
        <v>0</v>
      </c>
      <c r="CZ478">
        <v>0.19987268518518519</v>
      </c>
      <c r="DA478">
        <v>0.13831018518518517</v>
      </c>
      <c r="DB478">
        <v>195</v>
      </c>
      <c r="DC478">
        <v>267</v>
      </c>
      <c r="DD478">
        <v>37</v>
      </c>
      <c r="DE478" t="s">
        <v>828</v>
      </c>
      <c r="DF478">
        <v>14434</v>
      </c>
      <c r="DG478">
        <v>0.18970000000000001</v>
      </c>
      <c r="DH478">
        <v>1</v>
      </c>
      <c r="DI478">
        <v>2.7E-2</v>
      </c>
      <c r="DJ478">
        <v>250</v>
      </c>
      <c r="DK478">
        <v>250</v>
      </c>
      <c r="DL478">
        <v>250</v>
      </c>
      <c r="DM478">
        <v>1</v>
      </c>
      <c r="DO478">
        <v>76</v>
      </c>
      <c r="DP478">
        <v>250</v>
      </c>
    </row>
    <row r="479" spans="93:120" x14ac:dyDescent="0.25">
      <c r="CO479" t="s">
        <v>636</v>
      </c>
      <c r="CP479" t="s">
        <v>3</v>
      </c>
      <c r="CQ479" t="s">
        <v>32</v>
      </c>
      <c r="CR479">
        <v>46150</v>
      </c>
      <c r="CS479">
        <v>1</v>
      </c>
      <c r="CT479">
        <v>1</v>
      </c>
      <c r="CX479">
        <v>9.2592592592592588E-5</v>
      </c>
      <c r="CY479">
        <v>9.2592592592592588E-5</v>
      </c>
      <c r="CZ479">
        <v>0.14157407407407407</v>
      </c>
      <c r="DA479">
        <v>8.1261574074074069E-2</v>
      </c>
      <c r="DB479">
        <v>60</v>
      </c>
      <c r="DC479">
        <v>153</v>
      </c>
      <c r="DD479">
        <v>17</v>
      </c>
      <c r="DE479" t="s">
        <v>782</v>
      </c>
      <c r="DF479">
        <v>8776</v>
      </c>
      <c r="DG479">
        <v>0.2833</v>
      </c>
      <c r="DO479">
        <v>76</v>
      </c>
    </row>
    <row r="480" spans="93:120" x14ac:dyDescent="0.25">
      <c r="CO480" t="s">
        <v>636</v>
      </c>
      <c r="CP480" t="s">
        <v>3</v>
      </c>
      <c r="CQ480" t="s">
        <v>32</v>
      </c>
      <c r="CR480">
        <v>46162</v>
      </c>
      <c r="CS480">
        <v>1</v>
      </c>
      <c r="CT480">
        <v>1</v>
      </c>
      <c r="CV480">
        <v>1</v>
      </c>
      <c r="CX480">
        <v>1.3888888888888889E-4</v>
      </c>
      <c r="CY480">
        <v>1.3888888888888889E-4</v>
      </c>
      <c r="CZ480">
        <v>0.22414351851851852</v>
      </c>
      <c r="DA480">
        <v>0.15280092592592592</v>
      </c>
      <c r="DB480">
        <v>97</v>
      </c>
      <c r="DC480">
        <v>201</v>
      </c>
      <c r="DD480">
        <v>32</v>
      </c>
      <c r="DE480">
        <v>1.84375</v>
      </c>
      <c r="DF480">
        <v>35870</v>
      </c>
      <c r="DG480">
        <v>0.32990000000000003</v>
      </c>
      <c r="DH480">
        <v>1</v>
      </c>
      <c r="DI480">
        <v>3.1300000000000001E-2</v>
      </c>
      <c r="DJ480">
        <v>400</v>
      </c>
      <c r="DK480">
        <v>400</v>
      </c>
      <c r="DL480">
        <v>400</v>
      </c>
      <c r="DM480">
        <v>1</v>
      </c>
      <c r="DN480">
        <v>0.30919999999999997</v>
      </c>
      <c r="DO480">
        <v>76</v>
      </c>
      <c r="DP480">
        <v>400</v>
      </c>
    </row>
    <row r="481" spans="93:120" x14ac:dyDescent="0.25">
      <c r="CO481" t="s">
        <v>636</v>
      </c>
      <c r="CP481" t="s">
        <v>3</v>
      </c>
      <c r="CQ481" t="s">
        <v>564</v>
      </c>
      <c r="CR481">
        <v>46160</v>
      </c>
      <c r="CS481">
        <v>1</v>
      </c>
      <c r="CT481">
        <v>1</v>
      </c>
      <c r="CV481">
        <v>1</v>
      </c>
      <c r="CX481">
        <v>0</v>
      </c>
      <c r="CY481">
        <v>0</v>
      </c>
      <c r="CZ481">
        <v>0.201875</v>
      </c>
      <c r="DA481">
        <v>0.13721064814814815</v>
      </c>
      <c r="DB481">
        <v>99</v>
      </c>
      <c r="DC481">
        <v>173</v>
      </c>
      <c r="DD481">
        <v>23</v>
      </c>
      <c r="DE481" t="s">
        <v>849</v>
      </c>
      <c r="DF481">
        <v>17948</v>
      </c>
      <c r="DG481">
        <v>0.23230000000000001</v>
      </c>
      <c r="DH481">
        <v>4</v>
      </c>
      <c r="DI481">
        <v>0.1739</v>
      </c>
      <c r="DJ481">
        <v>5562</v>
      </c>
      <c r="DK481">
        <v>1391</v>
      </c>
      <c r="DL481">
        <v>5312</v>
      </c>
      <c r="DM481">
        <v>0.95509999999999995</v>
      </c>
      <c r="DN481">
        <v>0.1618</v>
      </c>
      <c r="DO481">
        <v>76</v>
      </c>
      <c r="DP481">
        <v>1771</v>
      </c>
    </row>
    <row r="482" spans="93:120" x14ac:dyDescent="0.25">
      <c r="CO482" t="s">
        <v>636</v>
      </c>
      <c r="CP482" t="s">
        <v>3</v>
      </c>
      <c r="CQ482" t="s">
        <v>96</v>
      </c>
      <c r="CR482">
        <v>46160</v>
      </c>
      <c r="CS482">
        <v>1</v>
      </c>
      <c r="CT482">
        <v>1</v>
      </c>
      <c r="CV482">
        <v>1</v>
      </c>
      <c r="CX482">
        <v>0</v>
      </c>
      <c r="CY482">
        <v>0</v>
      </c>
      <c r="CZ482">
        <v>0.19564814814814815</v>
      </c>
      <c r="DA482">
        <v>0.14555555555555555</v>
      </c>
      <c r="DB482">
        <v>73</v>
      </c>
      <c r="DC482">
        <v>169</v>
      </c>
      <c r="DD482">
        <v>24</v>
      </c>
      <c r="DE482">
        <v>2</v>
      </c>
      <c r="DF482">
        <v>12248</v>
      </c>
      <c r="DG482">
        <v>0.32879999999999998</v>
      </c>
      <c r="DH482">
        <v>2</v>
      </c>
      <c r="DI482">
        <v>8.3299999999999999E-2</v>
      </c>
      <c r="DJ482">
        <v>7250</v>
      </c>
      <c r="DK482">
        <v>3625</v>
      </c>
      <c r="DL482">
        <v>7250</v>
      </c>
      <c r="DM482">
        <v>1</v>
      </c>
      <c r="DN482">
        <v>0.13120000000000001</v>
      </c>
      <c r="DO482">
        <v>76</v>
      </c>
      <c r="DP482">
        <v>3625</v>
      </c>
    </row>
    <row r="483" spans="93:120" x14ac:dyDescent="0.25">
      <c r="CO483" t="s">
        <v>636</v>
      </c>
      <c r="CP483" t="s">
        <v>3</v>
      </c>
      <c r="CQ483" t="s">
        <v>68</v>
      </c>
      <c r="CR483">
        <v>46150</v>
      </c>
      <c r="CS483">
        <v>1</v>
      </c>
      <c r="CT483">
        <v>1</v>
      </c>
      <c r="CU483">
        <v>1</v>
      </c>
      <c r="CX483">
        <v>9.5370370370370366E-3</v>
      </c>
      <c r="CY483">
        <v>9.5370370370370366E-3</v>
      </c>
      <c r="CZ483">
        <v>0.21357638888888889</v>
      </c>
      <c r="DA483">
        <v>7.856481481481481E-2</v>
      </c>
      <c r="DB483">
        <v>69</v>
      </c>
      <c r="DC483">
        <v>101</v>
      </c>
      <c r="DD483">
        <v>14</v>
      </c>
      <c r="DE483" t="s">
        <v>850</v>
      </c>
      <c r="DF483">
        <v>38224</v>
      </c>
      <c r="DG483">
        <v>0.2029</v>
      </c>
      <c r="DO483">
        <v>76</v>
      </c>
    </row>
    <row r="484" spans="93:120" x14ac:dyDescent="0.25">
      <c r="CO484" t="s">
        <v>636</v>
      </c>
      <c r="CP484" t="s">
        <v>3</v>
      </c>
      <c r="CQ484" t="s">
        <v>29</v>
      </c>
      <c r="CR484">
        <v>46164</v>
      </c>
      <c r="CS484">
        <v>1</v>
      </c>
      <c r="CT484">
        <v>1</v>
      </c>
      <c r="CV484">
        <v>1</v>
      </c>
      <c r="CX484">
        <v>0</v>
      </c>
      <c r="CY484">
        <v>0</v>
      </c>
      <c r="CZ484">
        <v>0.199375</v>
      </c>
      <c r="DA484">
        <v>0.1255324074074074</v>
      </c>
      <c r="DB484">
        <v>121</v>
      </c>
      <c r="DC484">
        <v>206</v>
      </c>
      <c r="DD484">
        <v>21</v>
      </c>
      <c r="DE484" t="s">
        <v>674</v>
      </c>
      <c r="DF484">
        <v>15661</v>
      </c>
      <c r="DG484">
        <v>0.1736</v>
      </c>
      <c r="DH484">
        <v>1</v>
      </c>
      <c r="DI484">
        <v>4.7600000000000003E-2</v>
      </c>
      <c r="DJ484">
        <v>500</v>
      </c>
      <c r="DK484">
        <v>500</v>
      </c>
      <c r="DL484">
        <v>500</v>
      </c>
      <c r="DM484">
        <v>1</v>
      </c>
      <c r="DO484">
        <v>76</v>
      </c>
      <c r="DP484">
        <v>500</v>
      </c>
    </row>
    <row r="485" spans="93:120" x14ac:dyDescent="0.25">
      <c r="CO485" t="s">
        <v>636</v>
      </c>
      <c r="CP485" t="s">
        <v>3</v>
      </c>
      <c r="CQ485" t="s">
        <v>29</v>
      </c>
      <c r="CR485">
        <v>46168</v>
      </c>
      <c r="CS485">
        <v>1</v>
      </c>
      <c r="CT485">
        <v>1</v>
      </c>
      <c r="CV485">
        <v>1</v>
      </c>
      <c r="CX485">
        <v>1.25E-3</v>
      </c>
      <c r="CY485">
        <v>1.25E-3</v>
      </c>
      <c r="CZ485">
        <v>0.14774305555555556</v>
      </c>
      <c r="DA485">
        <v>0.17395833333333333</v>
      </c>
      <c r="DB485">
        <v>84</v>
      </c>
      <c r="DC485">
        <v>176</v>
      </c>
      <c r="DD485">
        <v>27</v>
      </c>
      <c r="DE485" t="s">
        <v>851</v>
      </c>
      <c r="DF485">
        <v>13090</v>
      </c>
      <c r="DG485">
        <v>0.32140000000000002</v>
      </c>
      <c r="DH485">
        <v>2</v>
      </c>
      <c r="DI485">
        <v>7.4099999999999999E-2</v>
      </c>
      <c r="DJ485">
        <v>3800</v>
      </c>
      <c r="DK485">
        <v>1900</v>
      </c>
      <c r="DL485">
        <v>3500</v>
      </c>
      <c r="DM485">
        <v>0.92110000000000003</v>
      </c>
      <c r="DN485">
        <v>0.1022</v>
      </c>
      <c r="DO485">
        <v>76</v>
      </c>
      <c r="DP485">
        <v>3500</v>
      </c>
    </row>
    <row r="486" spans="93:120" x14ac:dyDescent="0.25">
      <c r="CO486" t="s">
        <v>636</v>
      </c>
      <c r="CP486" t="s">
        <v>2</v>
      </c>
      <c r="CQ486" t="s">
        <v>22</v>
      </c>
      <c r="CR486">
        <v>46160</v>
      </c>
      <c r="CS486">
        <v>1</v>
      </c>
      <c r="CT486">
        <v>1</v>
      </c>
      <c r="CV486">
        <v>1</v>
      </c>
      <c r="CX486">
        <v>2.5462962962962961E-4</v>
      </c>
      <c r="CY486">
        <v>2.5462962962962961E-4</v>
      </c>
      <c r="CZ486">
        <v>0.16064814814814815</v>
      </c>
      <c r="DA486">
        <v>0.15351851851851853</v>
      </c>
      <c r="DB486">
        <v>67</v>
      </c>
      <c r="DC486">
        <v>115</v>
      </c>
      <c r="DD486">
        <v>11</v>
      </c>
      <c r="DE486" t="s">
        <v>852</v>
      </c>
      <c r="DF486">
        <v>36513</v>
      </c>
      <c r="DG486">
        <v>0.16420000000000001</v>
      </c>
      <c r="DO486">
        <v>74</v>
      </c>
    </row>
    <row r="487" spans="93:120" x14ac:dyDescent="0.25">
      <c r="CO487" t="s">
        <v>636</v>
      </c>
      <c r="CP487" t="s">
        <v>2</v>
      </c>
      <c r="CQ487" t="s">
        <v>24</v>
      </c>
      <c r="CR487">
        <v>46155</v>
      </c>
      <c r="CS487">
        <v>1</v>
      </c>
      <c r="CT487">
        <v>1</v>
      </c>
      <c r="CU487">
        <v>1</v>
      </c>
      <c r="CX487">
        <v>1.3668981481481482E-2</v>
      </c>
      <c r="CY487">
        <v>1.3668981481481482E-2</v>
      </c>
      <c r="CZ487">
        <v>0.17324074074074075</v>
      </c>
      <c r="DA487">
        <v>0.14798611111111112</v>
      </c>
      <c r="DB487">
        <v>56</v>
      </c>
      <c r="DC487">
        <v>125</v>
      </c>
      <c r="DD487">
        <v>24</v>
      </c>
      <c r="DE487" t="s">
        <v>689</v>
      </c>
      <c r="DF487">
        <v>29780</v>
      </c>
      <c r="DG487">
        <v>0.42859999999999998</v>
      </c>
      <c r="DH487">
        <v>1</v>
      </c>
      <c r="DI487">
        <v>4.1700000000000001E-2</v>
      </c>
      <c r="DJ487">
        <v>5290</v>
      </c>
      <c r="DK487">
        <v>5290</v>
      </c>
      <c r="DL487">
        <v>5290</v>
      </c>
      <c r="DM487">
        <v>1</v>
      </c>
      <c r="DN487">
        <v>0.1321</v>
      </c>
      <c r="DO487">
        <v>74</v>
      </c>
      <c r="DP487">
        <v>5290</v>
      </c>
    </row>
    <row r="488" spans="93:120" x14ac:dyDescent="0.25">
      <c r="CO488" t="s">
        <v>636</v>
      </c>
      <c r="CP488" t="s">
        <v>2</v>
      </c>
      <c r="CQ488" t="s">
        <v>65</v>
      </c>
      <c r="CR488">
        <v>46160</v>
      </c>
      <c r="CS488">
        <v>1</v>
      </c>
      <c r="CT488">
        <v>1</v>
      </c>
      <c r="CV488">
        <v>1</v>
      </c>
      <c r="CX488">
        <v>1.9675925925925926E-4</v>
      </c>
      <c r="CY488">
        <v>1.9675925925925926E-4</v>
      </c>
      <c r="CZ488">
        <v>0.2172337962962963</v>
      </c>
      <c r="DA488">
        <v>0.12474537037037037</v>
      </c>
      <c r="DB488">
        <v>34</v>
      </c>
      <c r="DC488">
        <v>86</v>
      </c>
      <c r="DD488">
        <v>11</v>
      </c>
      <c r="DE488" t="s">
        <v>673</v>
      </c>
      <c r="DF488">
        <v>14743</v>
      </c>
      <c r="DG488">
        <v>0.32350000000000001</v>
      </c>
      <c r="DO488">
        <v>74</v>
      </c>
    </row>
    <row r="489" spans="93:120" x14ac:dyDescent="0.25">
      <c r="CO489" t="s">
        <v>636</v>
      </c>
      <c r="CP489" t="s">
        <v>2</v>
      </c>
      <c r="CQ489" t="s">
        <v>65</v>
      </c>
      <c r="CR489">
        <v>46170</v>
      </c>
      <c r="CS489">
        <v>1</v>
      </c>
      <c r="CT489">
        <v>1</v>
      </c>
      <c r="CU489">
        <v>1</v>
      </c>
      <c r="CX489">
        <v>1.0833333333333334E-2</v>
      </c>
      <c r="CY489">
        <v>1.0833333333333334E-2</v>
      </c>
      <c r="CZ489">
        <v>0.18361111111111111</v>
      </c>
      <c r="DA489">
        <v>0.14905092592592592</v>
      </c>
      <c r="DB489">
        <v>33</v>
      </c>
      <c r="DC489">
        <v>63</v>
      </c>
      <c r="DD489">
        <v>9</v>
      </c>
      <c r="DE489" t="s">
        <v>674</v>
      </c>
      <c r="DF489">
        <v>11366</v>
      </c>
      <c r="DG489">
        <v>0.2727</v>
      </c>
      <c r="DH489">
        <v>1</v>
      </c>
      <c r="DI489">
        <v>0.1111</v>
      </c>
      <c r="DJ489">
        <v>3000</v>
      </c>
      <c r="DK489">
        <v>3000</v>
      </c>
      <c r="DL489">
        <v>3000</v>
      </c>
      <c r="DM489">
        <v>1</v>
      </c>
      <c r="DN489">
        <v>0.155</v>
      </c>
      <c r="DO489">
        <v>74</v>
      </c>
      <c r="DP489">
        <v>3000</v>
      </c>
    </row>
    <row r="490" spans="93:120" x14ac:dyDescent="0.25">
      <c r="CO490" t="s">
        <v>636</v>
      </c>
      <c r="CP490" t="s">
        <v>2</v>
      </c>
      <c r="CQ490" t="s">
        <v>37</v>
      </c>
      <c r="CR490">
        <v>46167</v>
      </c>
      <c r="CS490">
        <v>1</v>
      </c>
      <c r="CT490">
        <v>1</v>
      </c>
      <c r="CV490">
        <v>1</v>
      </c>
      <c r="CX490">
        <v>7.5231481481481482E-4</v>
      </c>
      <c r="CY490">
        <v>7.5231481481481482E-4</v>
      </c>
      <c r="CZ490">
        <v>0.21431712962962962</v>
      </c>
      <c r="DA490">
        <v>0.11599537037037037</v>
      </c>
      <c r="DB490">
        <v>79</v>
      </c>
      <c r="DC490">
        <v>98</v>
      </c>
      <c r="DD490">
        <v>8</v>
      </c>
      <c r="DE490">
        <v>1.25</v>
      </c>
      <c r="DF490">
        <v>15692</v>
      </c>
      <c r="DG490">
        <v>0.1013</v>
      </c>
      <c r="DH490">
        <v>1</v>
      </c>
      <c r="DI490">
        <v>0.125</v>
      </c>
      <c r="DJ490">
        <v>1434</v>
      </c>
      <c r="DK490">
        <v>1434</v>
      </c>
      <c r="DL490">
        <v>1434</v>
      </c>
      <c r="DM490">
        <v>1</v>
      </c>
      <c r="DO490">
        <v>74</v>
      </c>
      <c r="DP490">
        <v>1434</v>
      </c>
    </row>
    <row r="491" spans="93:120" x14ac:dyDescent="0.25">
      <c r="CO491" t="s">
        <v>636</v>
      </c>
      <c r="CP491" t="s">
        <v>2</v>
      </c>
      <c r="CQ491" t="s">
        <v>31</v>
      </c>
      <c r="CR491">
        <v>46160</v>
      </c>
      <c r="CS491">
        <v>1</v>
      </c>
      <c r="CT491">
        <v>1</v>
      </c>
      <c r="CV491">
        <v>1</v>
      </c>
      <c r="CX491">
        <v>1.1574074074074075E-4</v>
      </c>
      <c r="CY491">
        <v>1.1574074074074075E-4</v>
      </c>
      <c r="CZ491">
        <v>0.20041666666666666</v>
      </c>
      <c r="DA491">
        <v>0.12002314814814814</v>
      </c>
      <c r="DB491">
        <v>70</v>
      </c>
      <c r="DC491">
        <v>158</v>
      </c>
      <c r="DD491">
        <v>16</v>
      </c>
      <c r="DE491">
        <v>1.9375</v>
      </c>
      <c r="DF491">
        <v>14954</v>
      </c>
      <c r="DG491">
        <v>0.2286</v>
      </c>
      <c r="DO491">
        <v>74</v>
      </c>
    </row>
    <row r="492" spans="93:120" x14ac:dyDescent="0.25">
      <c r="CO492" t="s">
        <v>636</v>
      </c>
      <c r="CP492" t="s">
        <v>2</v>
      </c>
      <c r="CQ492" t="s">
        <v>25</v>
      </c>
      <c r="CR492">
        <v>46160</v>
      </c>
      <c r="CS492">
        <v>1</v>
      </c>
      <c r="CT492">
        <v>1</v>
      </c>
      <c r="CV492">
        <v>1</v>
      </c>
      <c r="CX492">
        <v>0</v>
      </c>
      <c r="CY492">
        <v>0</v>
      </c>
      <c r="CZ492">
        <v>0.18592592592592594</v>
      </c>
      <c r="DA492">
        <v>0.13765046296296296</v>
      </c>
      <c r="DB492">
        <v>39</v>
      </c>
      <c r="DC492">
        <v>90</v>
      </c>
      <c r="DD492">
        <v>15</v>
      </c>
      <c r="DE492" t="s">
        <v>742</v>
      </c>
      <c r="DF492">
        <v>26234</v>
      </c>
      <c r="DG492">
        <v>0.3846</v>
      </c>
      <c r="DO492">
        <v>74</v>
      </c>
    </row>
    <row r="493" spans="93:120" x14ac:dyDescent="0.25">
      <c r="CO493" t="s">
        <v>636</v>
      </c>
      <c r="CP493" t="s">
        <v>2</v>
      </c>
      <c r="CQ493" t="s">
        <v>10</v>
      </c>
      <c r="CR493">
        <v>46148</v>
      </c>
      <c r="CS493">
        <v>1</v>
      </c>
      <c r="CT493">
        <v>1</v>
      </c>
      <c r="CV493">
        <v>1</v>
      </c>
      <c r="CX493">
        <v>6.9444444444444444E-5</v>
      </c>
      <c r="CY493">
        <v>6.9444444444444444E-5</v>
      </c>
      <c r="CZ493">
        <v>0.24113425925925927</v>
      </c>
      <c r="DA493">
        <v>8.6238425925925927E-2</v>
      </c>
      <c r="DB493">
        <v>100</v>
      </c>
      <c r="DC493">
        <v>207</v>
      </c>
      <c r="DD493">
        <v>23</v>
      </c>
      <c r="DE493" t="s">
        <v>748</v>
      </c>
      <c r="DF493">
        <v>34895</v>
      </c>
      <c r="DG493">
        <v>0.23</v>
      </c>
      <c r="DH493">
        <v>1</v>
      </c>
      <c r="DI493">
        <v>4.3499999999999997E-2</v>
      </c>
      <c r="DJ493">
        <v>16987</v>
      </c>
      <c r="DK493">
        <v>16987</v>
      </c>
      <c r="DL493">
        <v>16987</v>
      </c>
      <c r="DM493">
        <v>1</v>
      </c>
      <c r="DN493">
        <v>0.13750000000000001</v>
      </c>
      <c r="DO493">
        <v>74</v>
      </c>
      <c r="DP493">
        <v>16987</v>
      </c>
    </row>
    <row r="494" spans="93:120" x14ac:dyDescent="0.25">
      <c r="CO494" t="s">
        <v>636</v>
      </c>
      <c r="CP494" t="s">
        <v>6</v>
      </c>
      <c r="CQ494" t="s">
        <v>19</v>
      </c>
      <c r="CR494">
        <v>46169</v>
      </c>
      <c r="CS494">
        <v>1</v>
      </c>
      <c r="CT494">
        <v>1</v>
      </c>
      <c r="CV494">
        <v>1</v>
      </c>
      <c r="CX494">
        <v>1.0416666666666667E-4</v>
      </c>
      <c r="CY494">
        <v>1.0416666666666667E-4</v>
      </c>
      <c r="CZ494">
        <v>0.20326388888888888</v>
      </c>
      <c r="DA494">
        <v>0.17197916666666666</v>
      </c>
      <c r="DB494">
        <v>144</v>
      </c>
      <c r="DC494">
        <v>257</v>
      </c>
      <c r="DD494">
        <v>16</v>
      </c>
      <c r="DE494">
        <v>2</v>
      </c>
      <c r="DF494">
        <v>27565</v>
      </c>
      <c r="DG494">
        <v>0.1111</v>
      </c>
      <c r="DH494">
        <v>1</v>
      </c>
      <c r="DI494">
        <v>6.25E-2</v>
      </c>
      <c r="DJ494">
        <v>2000</v>
      </c>
      <c r="DK494">
        <v>2000</v>
      </c>
      <c r="DL494">
        <v>2000</v>
      </c>
      <c r="DM494">
        <v>1</v>
      </c>
      <c r="DN494">
        <v>0.33910000000000001</v>
      </c>
      <c r="DO494">
        <v>74</v>
      </c>
      <c r="DP494">
        <v>2000</v>
      </c>
    </row>
    <row r="495" spans="93:120" x14ac:dyDescent="0.25">
      <c r="CO495" t="s">
        <v>636</v>
      </c>
      <c r="CP495" t="s">
        <v>6</v>
      </c>
      <c r="CQ495" t="s">
        <v>105</v>
      </c>
      <c r="CR495">
        <v>46150</v>
      </c>
      <c r="CS495">
        <v>1</v>
      </c>
      <c r="CT495">
        <v>1</v>
      </c>
      <c r="CV495">
        <v>1</v>
      </c>
      <c r="CX495">
        <v>3.2175925925925926E-3</v>
      </c>
      <c r="CY495">
        <v>3.2175925925925926E-3</v>
      </c>
      <c r="CZ495">
        <v>0.19768518518518519</v>
      </c>
      <c r="DA495">
        <v>9.2627314814814815E-2</v>
      </c>
      <c r="DB495">
        <v>62</v>
      </c>
      <c r="DC495">
        <v>139</v>
      </c>
      <c r="DD495">
        <v>16</v>
      </c>
      <c r="DE495">
        <v>1.8125</v>
      </c>
      <c r="DF495">
        <v>19325</v>
      </c>
      <c r="DG495">
        <v>0.2581</v>
      </c>
      <c r="DH495">
        <v>1</v>
      </c>
      <c r="DI495">
        <v>6.25E-2</v>
      </c>
      <c r="DJ495">
        <v>5000</v>
      </c>
      <c r="DK495">
        <v>5000</v>
      </c>
      <c r="DL495">
        <v>5000</v>
      </c>
      <c r="DM495">
        <v>1</v>
      </c>
      <c r="DO495">
        <v>74</v>
      </c>
      <c r="DP495">
        <v>5000</v>
      </c>
    </row>
    <row r="496" spans="93:120" x14ac:dyDescent="0.25">
      <c r="CO496" t="s">
        <v>636</v>
      </c>
      <c r="CP496" t="s">
        <v>6</v>
      </c>
      <c r="CQ496" t="s">
        <v>105</v>
      </c>
      <c r="CR496">
        <v>46171</v>
      </c>
      <c r="CS496">
        <v>1</v>
      </c>
      <c r="CT496">
        <v>1</v>
      </c>
      <c r="CU496">
        <v>1</v>
      </c>
      <c r="CX496">
        <v>1.1261574074074075E-2</v>
      </c>
      <c r="CY496">
        <v>1.1261574074074075E-2</v>
      </c>
      <c r="CZ496">
        <v>6.8587962962962962E-2</v>
      </c>
      <c r="DA496">
        <v>0.23947916666666666</v>
      </c>
      <c r="DB496">
        <v>56</v>
      </c>
      <c r="DC496">
        <v>121</v>
      </c>
      <c r="DD496">
        <v>16</v>
      </c>
      <c r="DE496">
        <v>1.375</v>
      </c>
      <c r="DF496">
        <v>52683</v>
      </c>
      <c r="DG496">
        <v>0.28570000000000001</v>
      </c>
      <c r="DH496">
        <v>1</v>
      </c>
      <c r="DI496">
        <v>6.25E-2</v>
      </c>
      <c r="DJ496">
        <v>3500</v>
      </c>
      <c r="DK496">
        <v>3500</v>
      </c>
      <c r="DL496">
        <v>3500</v>
      </c>
      <c r="DM496">
        <v>1</v>
      </c>
      <c r="DN496">
        <v>0.253</v>
      </c>
      <c r="DO496">
        <v>74</v>
      </c>
      <c r="DP496">
        <v>3500</v>
      </c>
    </row>
    <row r="497" spans="93:120" x14ac:dyDescent="0.25">
      <c r="CO497" t="s">
        <v>636</v>
      </c>
      <c r="CP497" t="s">
        <v>6</v>
      </c>
      <c r="CQ497" t="s">
        <v>35</v>
      </c>
      <c r="CR497">
        <v>46155</v>
      </c>
      <c r="CS497">
        <v>1</v>
      </c>
      <c r="CT497">
        <v>1</v>
      </c>
      <c r="CV497">
        <v>1</v>
      </c>
      <c r="CX497">
        <v>6.9444444444444444E-5</v>
      </c>
      <c r="CY497">
        <v>6.9444444444444444E-5</v>
      </c>
      <c r="CZ497">
        <v>0.18259259259259258</v>
      </c>
      <c r="DA497">
        <v>0.14873842592592593</v>
      </c>
      <c r="DB497">
        <v>69</v>
      </c>
      <c r="DC497">
        <v>128</v>
      </c>
      <c r="DD497">
        <v>23</v>
      </c>
      <c r="DE497" t="s">
        <v>853</v>
      </c>
      <c r="DF497">
        <v>19959</v>
      </c>
      <c r="DG497">
        <v>0.33329999999999999</v>
      </c>
      <c r="DH497">
        <v>1</v>
      </c>
      <c r="DI497">
        <v>4.3499999999999997E-2</v>
      </c>
      <c r="DJ497">
        <v>4500</v>
      </c>
      <c r="DK497">
        <v>4500</v>
      </c>
      <c r="DL497">
        <v>4500</v>
      </c>
      <c r="DM497">
        <v>1</v>
      </c>
      <c r="DO497">
        <v>74</v>
      </c>
      <c r="DP497">
        <v>4500</v>
      </c>
    </row>
    <row r="498" spans="93:120" x14ac:dyDescent="0.25">
      <c r="CO498" t="s">
        <v>636</v>
      </c>
      <c r="CP498" t="s">
        <v>6</v>
      </c>
      <c r="CQ498" t="s">
        <v>11</v>
      </c>
      <c r="CR498">
        <v>46154</v>
      </c>
      <c r="CS498">
        <v>1</v>
      </c>
      <c r="CT498">
        <v>1</v>
      </c>
      <c r="CV498">
        <v>1</v>
      </c>
      <c r="CX498">
        <v>2.0833333333333335E-4</v>
      </c>
      <c r="CY498">
        <v>2.0833333333333335E-4</v>
      </c>
      <c r="CZ498">
        <v>0.2980902777777778</v>
      </c>
      <c r="DA498">
        <v>0.13452546296296297</v>
      </c>
      <c r="DB498">
        <v>185</v>
      </c>
      <c r="DC498">
        <v>306</v>
      </c>
      <c r="DD498">
        <v>23</v>
      </c>
      <c r="DE498" t="s">
        <v>854</v>
      </c>
      <c r="DF498">
        <v>33273</v>
      </c>
      <c r="DG498">
        <v>0.12429999999999999</v>
      </c>
      <c r="DH498">
        <v>3</v>
      </c>
      <c r="DI498">
        <v>0.13039999999999999</v>
      </c>
      <c r="DJ498">
        <v>15200</v>
      </c>
      <c r="DK498">
        <v>5067</v>
      </c>
      <c r="DL498">
        <v>14200</v>
      </c>
      <c r="DM498">
        <v>0.93420000000000003</v>
      </c>
      <c r="DN498">
        <v>0.10489999999999999</v>
      </c>
      <c r="DO498">
        <v>74</v>
      </c>
      <c r="DP498">
        <v>7100</v>
      </c>
    </row>
    <row r="499" spans="93:120" x14ac:dyDescent="0.25">
      <c r="CO499" t="s">
        <v>636</v>
      </c>
      <c r="CP499" t="s">
        <v>6</v>
      </c>
      <c r="CQ499" t="s">
        <v>11</v>
      </c>
      <c r="CR499">
        <v>46171</v>
      </c>
      <c r="CS499">
        <v>1</v>
      </c>
      <c r="CT499">
        <v>1</v>
      </c>
      <c r="CU499">
        <v>1</v>
      </c>
      <c r="CX499">
        <v>7.3611111111111108E-3</v>
      </c>
      <c r="CY499">
        <v>7.3611111111111108E-3</v>
      </c>
      <c r="CZ499">
        <v>0.10655092592592592</v>
      </c>
      <c r="DA499">
        <v>0.25797453703703704</v>
      </c>
      <c r="DB499">
        <v>93</v>
      </c>
      <c r="DC499">
        <v>204</v>
      </c>
      <c r="DD499">
        <v>24</v>
      </c>
      <c r="DE499" t="s">
        <v>855</v>
      </c>
      <c r="DF499">
        <v>18084</v>
      </c>
      <c r="DG499">
        <v>0.2581</v>
      </c>
      <c r="DH499">
        <v>2</v>
      </c>
      <c r="DI499">
        <v>8.3299999999999999E-2</v>
      </c>
      <c r="DJ499">
        <v>7600</v>
      </c>
      <c r="DK499">
        <v>3800</v>
      </c>
      <c r="DL499">
        <v>7600</v>
      </c>
      <c r="DM499">
        <v>1</v>
      </c>
      <c r="DN499">
        <v>0.19</v>
      </c>
      <c r="DO499">
        <v>74</v>
      </c>
      <c r="DP499">
        <v>3800</v>
      </c>
    </row>
    <row r="500" spans="93:120" x14ac:dyDescent="0.25">
      <c r="CO500" t="s">
        <v>636</v>
      </c>
      <c r="CP500" t="s">
        <v>6</v>
      </c>
      <c r="CQ500" t="s">
        <v>97</v>
      </c>
      <c r="CR500">
        <v>46163</v>
      </c>
      <c r="CS500">
        <v>1</v>
      </c>
      <c r="CT500">
        <v>1</v>
      </c>
      <c r="CV500">
        <v>1</v>
      </c>
      <c r="CX500">
        <v>2.3148148148148147E-5</v>
      </c>
      <c r="CY500">
        <v>2.3148148148148147E-5</v>
      </c>
      <c r="CZ500">
        <v>0.20829861111111111</v>
      </c>
      <c r="DA500">
        <v>0.14251157407407408</v>
      </c>
      <c r="DB500">
        <v>158</v>
      </c>
      <c r="DC500">
        <v>206</v>
      </c>
      <c r="DD500">
        <v>25</v>
      </c>
      <c r="DE500">
        <v>1.72</v>
      </c>
      <c r="DF500">
        <v>22818</v>
      </c>
      <c r="DG500">
        <v>0.15820000000000001</v>
      </c>
      <c r="DH500">
        <v>1</v>
      </c>
      <c r="DI500">
        <v>0.04</v>
      </c>
      <c r="DJ500">
        <v>500</v>
      </c>
      <c r="DK500">
        <v>500</v>
      </c>
      <c r="DL500">
        <v>500</v>
      </c>
      <c r="DM500">
        <v>1</v>
      </c>
      <c r="DN500">
        <v>0.14169999999999999</v>
      </c>
      <c r="DO500">
        <v>74</v>
      </c>
      <c r="DP500">
        <v>500</v>
      </c>
    </row>
    <row r="501" spans="93:120" x14ac:dyDescent="0.25">
      <c r="CO501" t="s">
        <v>636</v>
      </c>
      <c r="CP501" t="s">
        <v>6</v>
      </c>
      <c r="CQ501" t="s">
        <v>97</v>
      </c>
      <c r="CR501">
        <v>46171</v>
      </c>
      <c r="CS501">
        <v>1</v>
      </c>
      <c r="CT501">
        <v>1</v>
      </c>
      <c r="CV501">
        <v>1</v>
      </c>
      <c r="CX501">
        <v>3.4722222222222222E-5</v>
      </c>
      <c r="CY501">
        <v>3.4722222222222222E-5</v>
      </c>
      <c r="CZ501">
        <v>0.14019675925925926</v>
      </c>
      <c r="DA501">
        <v>0.22409722222222223</v>
      </c>
      <c r="DB501">
        <v>131</v>
      </c>
      <c r="DC501">
        <v>216</v>
      </c>
      <c r="DD501">
        <v>14</v>
      </c>
      <c r="DE501" t="s">
        <v>705</v>
      </c>
      <c r="DF501">
        <v>16264</v>
      </c>
      <c r="DG501">
        <v>0.1069</v>
      </c>
      <c r="DH501">
        <v>2</v>
      </c>
      <c r="DI501">
        <v>0.1429</v>
      </c>
      <c r="DJ501">
        <v>5500</v>
      </c>
      <c r="DK501">
        <v>2750</v>
      </c>
      <c r="DL501">
        <v>4500</v>
      </c>
      <c r="DM501">
        <v>0.81820000000000004</v>
      </c>
      <c r="DN501">
        <v>0.20330000000000001</v>
      </c>
      <c r="DO501">
        <v>74</v>
      </c>
      <c r="DP501">
        <v>4500</v>
      </c>
    </row>
    <row r="502" spans="93:120" x14ac:dyDescent="0.25">
      <c r="CO502" t="s">
        <v>636</v>
      </c>
      <c r="CP502" t="s">
        <v>6</v>
      </c>
      <c r="CQ502" t="s">
        <v>34</v>
      </c>
      <c r="CR502">
        <v>46148</v>
      </c>
      <c r="CS502">
        <v>1</v>
      </c>
      <c r="CT502">
        <v>1</v>
      </c>
      <c r="CV502">
        <v>1</v>
      </c>
      <c r="CX502">
        <v>3.2175925925925926E-3</v>
      </c>
      <c r="CY502">
        <v>3.2175925925925926E-3</v>
      </c>
      <c r="CZ502">
        <v>0.24976851851851853</v>
      </c>
      <c r="DA502">
        <v>8.5439814814814816E-2</v>
      </c>
      <c r="DB502">
        <v>122</v>
      </c>
      <c r="DC502">
        <v>158</v>
      </c>
      <c r="DD502">
        <v>12</v>
      </c>
      <c r="DE502" t="s">
        <v>756</v>
      </c>
      <c r="DF502">
        <v>25138</v>
      </c>
      <c r="DG502">
        <v>9.8400000000000001E-2</v>
      </c>
      <c r="DH502">
        <v>1</v>
      </c>
      <c r="DI502">
        <v>8.3299999999999999E-2</v>
      </c>
      <c r="DJ502">
        <v>19400</v>
      </c>
      <c r="DK502">
        <v>19400</v>
      </c>
      <c r="DL502">
        <v>19400</v>
      </c>
      <c r="DM502">
        <v>1</v>
      </c>
      <c r="DN502">
        <v>0.35699999999999998</v>
      </c>
      <c r="DO502">
        <v>74</v>
      </c>
      <c r="DP502">
        <v>19400</v>
      </c>
    </row>
    <row r="503" spans="93:120" x14ac:dyDescent="0.25">
      <c r="CO503" t="s">
        <v>636</v>
      </c>
      <c r="CP503" t="s">
        <v>7</v>
      </c>
      <c r="CQ503" t="s">
        <v>18</v>
      </c>
      <c r="CR503">
        <v>46150</v>
      </c>
      <c r="CS503">
        <v>1</v>
      </c>
      <c r="CT503">
        <v>1</v>
      </c>
      <c r="CV503">
        <v>1</v>
      </c>
      <c r="CX503">
        <v>1.261574074074074E-3</v>
      </c>
      <c r="CY503">
        <v>1.261574074074074E-3</v>
      </c>
      <c r="CZ503">
        <v>0.22721064814814815</v>
      </c>
      <c r="DA503">
        <v>9.1886574074074079E-2</v>
      </c>
      <c r="DB503">
        <v>146</v>
      </c>
      <c r="DC503">
        <v>298</v>
      </c>
      <c r="DD503">
        <v>10</v>
      </c>
      <c r="DE503">
        <v>1</v>
      </c>
      <c r="DF503">
        <v>18738</v>
      </c>
      <c r="DG503">
        <v>6.8500000000000005E-2</v>
      </c>
      <c r="DO503">
        <v>74</v>
      </c>
    </row>
    <row r="504" spans="93:120" x14ac:dyDescent="0.25">
      <c r="CO504" t="s">
        <v>636</v>
      </c>
      <c r="CP504" t="s">
        <v>7</v>
      </c>
      <c r="CQ504" t="s">
        <v>18</v>
      </c>
      <c r="CR504">
        <v>46153</v>
      </c>
      <c r="CS504">
        <v>1</v>
      </c>
      <c r="CT504">
        <v>1</v>
      </c>
      <c r="CX504">
        <v>4.0856481481481481E-3</v>
      </c>
      <c r="CY504">
        <v>4.0856481481481481E-3</v>
      </c>
      <c r="CZ504">
        <v>0.19758101851851853</v>
      </c>
      <c r="DA504">
        <v>0.10880787037037037</v>
      </c>
      <c r="DB504">
        <v>116</v>
      </c>
      <c r="DC504">
        <v>242</v>
      </c>
      <c r="DD504">
        <v>13</v>
      </c>
      <c r="DE504" t="s">
        <v>711</v>
      </c>
      <c r="DF504">
        <v>45457</v>
      </c>
      <c r="DG504">
        <v>0.11210000000000001</v>
      </c>
      <c r="DH504">
        <v>1</v>
      </c>
      <c r="DI504">
        <v>7.6899999999999996E-2</v>
      </c>
      <c r="DJ504">
        <v>500</v>
      </c>
      <c r="DK504">
        <v>500</v>
      </c>
      <c r="DO504">
        <v>74</v>
      </c>
    </row>
    <row r="505" spans="93:120" x14ac:dyDescent="0.25">
      <c r="CO505" t="s">
        <v>636</v>
      </c>
      <c r="CP505" t="s">
        <v>7</v>
      </c>
      <c r="CQ505" t="s">
        <v>18</v>
      </c>
      <c r="CR505">
        <v>46167</v>
      </c>
      <c r="CS505">
        <v>1</v>
      </c>
      <c r="CT505">
        <v>1</v>
      </c>
      <c r="CX505">
        <v>4.1550925925925922E-3</v>
      </c>
      <c r="CY505">
        <v>4.1550925925925922E-3</v>
      </c>
      <c r="CZ505">
        <v>0.20177083333333334</v>
      </c>
      <c r="DA505">
        <v>0.12990740740740742</v>
      </c>
      <c r="DB505">
        <v>152</v>
      </c>
      <c r="DC505">
        <v>300</v>
      </c>
      <c r="DD505">
        <v>5</v>
      </c>
      <c r="DE505">
        <v>1.4</v>
      </c>
      <c r="DF505">
        <v>32177</v>
      </c>
      <c r="DG505">
        <v>3.2899999999999999E-2</v>
      </c>
      <c r="DO505">
        <v>74</v>
      </c>
    </row>
    <row r="506" spans="93:120" x14ac:dyDescent="0.25">
      <c r="CO506" t="s">
        <v>636</v>
      </c>
      <c r="CP506" t="s">
        <v>7</v>
      </c>
      <c r="CQ506" t="s">
        <v>18</v>
      </c>
      <c r="CR506">
        <v>46171</v>
      </c>
      <c r="CS506">
        <v>1</v>
      </c>
      <c r="CT506">
        <v>1</v>
      </c>
      <c r="CV506">
        <v>1</v>
      </c>
      <c r="CX506">
        <v>2.7777777777777778E-4</v>
      </c>
      <c r="CY506">
        <v>2.7777777777777778E-4</v>
      </c>
      <c r="CZ506">
        <v>0.14877314814814815</v>
      </c>
      <c r="DA506">
        <v>0.18244212962962963</v>
      </c>
      <c r="DB506">
        <v>90</v>
      </c>
      <c r="DC506">
        <v>231</v>
      </c>
      <c r="DD506">
        <v>23</v>
      </c>
      <c r="DE506" t="s">
        <v>856</v>
      </c>
      <c r="DF506">
        <v>25210</v>
      </c>
      <c r="DG506">
        <v>0.25559999999999999</v>
      </c>
      <c r="DH506">
        <v>1</v>
      </c>
      <c r="DI506">
        <v>4.3499999999999997E-2</v>
      </c>
      <c r="DJ506">
        <v>900</v>
      </c>
      <c r="DK506">
        <v>900</v>
      </c>
      <c r="DL506">
        <v>900</v>
      </c>
      <c r="DM506">
        <v>1</v>
      </c>
      <c r="DN506">
        <v>0.16669999999999999</v>
      </c>
      <c r="DO506">
        <v>74</v>
      </c>
      <c r="DP506">
        <v>900</v>
      </c>
    </row>
    <row r="507" spans="93:120" x14ac:dyDescent="0.25">
      <c r="CO507" t="s">
        <v>636</v>
      </c>
      <c r="CP507" t="s">
        <v>7</v>
      </c>
      <c r="CQ507" t="s">
        <v>60</v>
      </c>
      <c r="CR507">
        <v>46149</v>
      </c>
      <c r="CS507">
        <v>1</v>
      </c>
      <c r="CT507">
        <v>1</v>
      </c>
      <c r="CU507">
        <v>1</v>
      </c>
      <c r="CX507">
        <v>7.951388888888888E-3</v>
      </c>
      <c r="CY507">
        <v>7.951388888888888E-3</v>
      </c>
      <c r="CZ507">
        <v>0.22271990740740741</v>
      </c>
      <c r="DA507">
        <v>7.8067129629629625E-2</v>
      </c>
      <c r="DB507">
        <v>134</v>
      </c>
      <c r="DC507">
        <v>170</v>
      </c>
      <c r="DD507">
        <v>7</v>
      </c>
      <c r="DE507" t="s">
        <v>803</v>
      </c>
      <c r="DF507">
        <v>20644</v>
      </c>
      <c r="DG507">
        <v>5.2200000000000003E-2</v>
      </c>
      <c r="DO507">
        <v>74</v>
      </c>
    </row>
    <row r="508" spans="93:120" x14ac:dyDescent="0.25">
      <c r="CO508" t="s">
        <v>636</v>
      </c>
      <c r="CP508" t="s">
        <v>7</v>
      </c>
      <c r="CQ508" t="s">
        <v>60</v>
      </c>
      <c r="CR508">
        <v>46154</v>
      </c>
      <c r="CS508">
        <v>1</v>
      </c>
      <c r="CT508">
        <v>1</v>
      </c>
      <c r="CV508">
        <v>1</v>
      </c>
      <c r="CX508">
        <v>2.8935185185185184E-4</v>
      </c>
      <c r="CY508">
        <v>2.8935185185185184E-4</v>
      </c>
      <c r="CZ508">
        <v>0.29071759259259261</v>
      </c>
      <c r="DA508">
        <v>0.11015046296296296</v>
      </c>
      <c r="DB508">
        <v>163</v>
      </c>
      <c r="DC508">
        <v>226</v>
      </c>
      <c r="DD508">
        <v>8</v>
      </c>
      <c r="DE508">
        <v>1.75</v>
      </c>
      <c r="DF508">
        <v>15249</v>
      </c>
      <c r="DG508">
        <v>4.9099999999999998E-2</v>
      </c>
      <c r="DO508">
        <v>74</v>
      </c>
    </row>
    <row r="509" spans="93:120" x14ac:dyDescent="0.25">
      <c r="CO509" t="s">
        <v>636</v>
      </c>
      <c r="CP509" t="s">
        <v>7</v>
      </c>
      <c r="CQ509" t="s">
        <v>61</v>
      </c>
      <c r="CR509">
        <v>46148</v>
      </c>
      <c r="CS509">
        <v>1</v>
      </c>
      <c r="CT509">
        <v>1</v>
      </c>
      <c r="CV509">
        <v>1</v>
      </c>
      <c r="CX509">
        <v>2.3148148148148147E-5</v>
      </c>
      <c r="CY509">
        <v>2.3148148148148147E-5</v>
      </c>
      <c r="CZ509">
        <v>0.21653935185185186</v>
      </c>
      <c r="DA509">
        <v>9.9837962962962962E-2</v>
      </c>
      <c r="DB509">
        <v>83</v>
      </c>
      <c r="DC509">
        <v>256</v>
      </c>
      <c r="DD509">
        <v>21</v>
      </c>
      <c r="DE509" t="s">
        <v>678</v>
      </c>
      <c r="DF509">
        <v>35072</v>
      </c>
      <c r="DG509">
        <v>0.253</v>
      </c>
      <c r="DO509">
        <v>74</v>
      </c>
    </row>
    <row r="510" spans="93:120" x14ac:dyDescent="0.25">
      <c r="CO510" t="s">
        <v>636</v>
      </c>
      <c r="CP510" t="s">
        <v>7</v>
      </c>
      <c r="CQ510" t="s">
        <v>61</v>
      </c>
      <c r="CR510">
        <v>46167</v>
      </c>
      <c r="CS510">
        <v>1</v>
      </c>
      <c r="CT510">
        <v>1</v>
      </c>
      <c r="CU510">
        <v>1</v>
      </c>
      <c r="CX510">
        <v>0.2635763888888889</v>
      </c>
      <c r="CY510">
        <v>0.2635763888888889</v>
      </c>
      <c r="CZ510">
        <v>4.2314814814814812E-2</v>
      </c>
      <c r="DA510">
        <v>6.1180555555555557E-2</v>
      </c>
      <c r="DB510">
        <v>35</v>
      </c>
      <c r="DC510">
        <v>89</v>
      </c>
      <c r="DD510">
        <v>7</v>
      </c>
      <c r="DE510" t="s">
        <v>803</v>
      </c>
      <c r="DF510">
        <v>71239</v>
      </c>
      <c r="DG510">
        <v>0.2</v>
      </c>
      <c r="DO510">
        <v>74</v>
      </c>
    </row>
    <row r="511" spans="93:120" x14ac:dyDescent="0.25">
      <c r="CO511" t="s">
        <v>636</v>
      </c>
      <c r="CP511" t="s">
        <v>7</v>
      </c>
      <c r="CQ511" t="s">
        <v>80</v>
      </c>
      <c r="CR511">
        <v>46148</v>
      </c>
      <c r="CS511">
        <v>1</v>
      </c>
      <c r="CT511">
        <v>1</v>
      </c>
      <c r="CV511">
        <v>1</v>
      </c>
      <c r="CX511">
        <v>2.3148148148148149E-4</v>
      </c>
      <c r="CY511">
        <v>2.3148148148148149E-4</v>
      </c>
      <c r="CZ511">
        <v>0.21785879629629629</v>
      </c>
      <c r="DA511">
        <v>9.4618055555555552E-2</v>
      </c>
      <c r="DB511">
        <v>123</v>
      </c>
      <c r="DC511">
        <v>249</v>
      </c>
      <c r="DD511">
        <v>13</v>
      </c>
      <c r="DE511" t="s">
        <v>727</v>
      </c>
      <c r="DF511">
        <v>48490</v>
      </c>
      <c r="DG511">
        <v>0.1057</v>
      </c>
      <c r="DO511">
        <v>74</v>
      </c>
    </row>
    <row r="512" spans="93:120" x14ac:dyDescent="0.25">
      <c r="CO512" t="s">
        <v>636</v>
      </c>
      <c r="CP512" t="s">
        <v>7</v>
      </c>
      <c r="CQ512" t="s">
        <v>12</v>
      </c>
      <c r="CR512">
        <v>46171</v>
      </c>
      <c r="CS512">
        <v>1</v>
      </c>
      <c r="CT512">
        <v>1</v>
      </c>
      <c r="CV512">
        <v>1</v>
      </c>
      <c r="CX512">
        <v>2.3148148148148149E-4</v>
      </c>
      <c r="CY512">
        <v>2.3148148148148149E-4</v>
      </c>
      <c r="CZ512">
        <v>7.9247685185185185E-2</v>
      </c>
      <c r="DA512">
        <v>0.29365740740740742</v>
      </c>
      <c r="DB512">
        <v>95</v>
      </c>
      <c r="DC512">
        <v>266</v>
      </c>
      <c r="DD512">
        <v>19</v>
      </c>
      <c r="DE512" t="s">
        <v>792</v>
      </c>
      <c r="DF512">
        <v>24580</v>
      </c>
      <c r="DG512">
        <v>0.2</v>
      </c>
      <c r="DH512">
        <v>3</v>
      </c>
      <c r="DI512">
        <v>0.15790000000000001</v>
      </c>
      <c r="DJ512">
        <v>9100</v>
      </c>
      <c r="DK512">
        <v>3033</v>
      </c>
      <c r="DL512">
        <v>8000</v>
      </c>
      <c r="DM512">
        <v>0.87909999999999999</v>
      </c>
      <c r="DN512">
        <v>0.18970000000000001</v>
      </c>
      <c r="DO512">
        <v>74</v>
      </c>
      <c r="DP512">
        <v>4000</v>
      </c>
    </row>
    <row r="513" spans="93:120" x14ac:dyDescent="0.25">
      <c r="CO513" t="s">
        <v>636</v>
      </c>
      <c r="CP513" t="s">
        <v>7</v>
      </c>
      <c r="CQ513" t="s">
        <v>51</v>
      </c>
      <c r="CR513">
        <v>46148</v>
      </c>
      <c r="CS513">
        <v>1</v>
      </c>
      <c r="CT513">
        <v>1</v>
      </c>
      <c r="CV513">
        <v>1</v>
      </c>
      <c r="CX513">
        <v>3.4722222222222222E-5</v>
      </c>
      <c r="CY513">
        <v>3.4722222222222222E-5</v>
      </c>
      <c r="CZ513">
        <v>0.22430555555555556</v>
      </c>
      <c r="DA513">
        <v>9.4490740740740736E-2</v>
      </c>
      <c r="DB513">
        <v>88</v>
      </c>
      <c r="DC513">
        <v>246</v>
      </c>
      <c r="DD513">
        <v>13</v>
      </c>
      <c r="DE513" t="s">
        <v>734</v>
      </c>
      <c r="DF513">
        <v>25127</v>
      </c>
      <c r="DG513">
        <v>0.1477</v>
      </c>
      <c r="DO513">
        <v>74</v>
      </c>
    </row>
    <row r="514" spans="93:120" x14ac:dyDescent="0.25">
      <c r="CO514" t="s">
        <v>636</v>
      </c>
      <c r="CP514" t="s">
        <v>7</v>
      </c>
      <c r="CQ514" t="s">
        <v>51</v>
      </c>
      <c r="CR514">
        <v>46149</v>
      </c>
      <c r="CS514">
        <v>1</v>
      </c>
      <c r="CT514">
        <v>1</v>
      </c>
      <c r="CU514">
        <v>1</v>
      </c>
      <c r="CX514">
        <v>1.1400462962962963E-2</v>
      </c>
      <c r="CY514">
        <v>1.1400462962962963E-2</v>
      </c>
      <c r="CZ514">
        <v>0.22746527777777778</v>
      </c>
      <c r="DA514">
        <v>9.4097222222222221E-2</v>
      </c>
      <c r="DB514">
        <v>60</v>
      </c>
      <c r="DC514">
        <v>138</v>
      </c>
      <c r="DD514">
        <v>15</v>
      </c>
      <c r="DE514" t="s">
        <v>857</v>
      </c>
      <c r="DF514">
        <v>17647</v>
      </c>
      <c r="DG514">
        <v>0.25</v>
      </c>
      <c r="DO514">
        <v>74</v>
      </c>
    </row>
    <row r="515" spans="93:120" x14ac:dyDescent="0.25">
      <c r="CO515" t="s">
        <v>636</v>
      </c>
      <c r="CP515" t="s">
        <v>7</v>
      </c>
      <c r="CQ515" t="s">
        <v>51</v>
      </c>
      <c r="CR515">
        <v>46150</v>
      </c>
      <c r="CS515">
        <v>1</v>
      </c>
      <c r="CT515">
        <v>1</v>
      </c>
      <c r="CV515">
        <v>1</v>
      </c>
      <c r="CX515">
        <v>0</v>
      </c>
      <c r="CY515">
        <v>0</v>
      </c>
      <c r="CZ515">
        <v>0.22849537037037038</v>
      </c>
      <c r="DA515">
        <v>8.0243055555555554E-2</v>
      </c>
      <c r="DB515">
        <v>53</v>
      </c>
      <c r="DC515">
        <v>152</v>
      </c>
      <c r="DD515">
        <v>10</v>
      </c>
      <c r="DE515">
        <v>1.2</v>
      </c>
      <c r="DF515">
        <v>9811</v>
      </c>
      <c r="DG515">
        <v>0.18870000000000001</v>
      </c>
      <c r="DO515">
        <v>74</v>
      </c>
    </row>
    <row r="516" spans="93:120" x14ac:dyDescent="0.25">
      <c r="CO516" t="s">
        <v>636</v>
      </c>
      <c r="CP516" t="s">
        <v>7</v>
      </c>
      <c r="CQ516" t="s">
        <v>51</v>
      </c>
      <c r="CR516">
        <v>46156</v>
      </c>
      <c r="CS516">
        <v>1</v>
      </c>
      <c r="CT516">
        <v>1</v>
      </c>
      <c r="CU516">
        <v>1</v>
      </c>
      <c r="CX516">
        <v>7.7083333333333335E-3</v>
      </c>
      <c r="CY516">
        <v>7.7083333333333335E-3</v>
      </c>
      <c r="CZ516">
        <v>0.19290509259259259</v>
      </c>
      <c r="DA516">
        <v>0.12993055555555555</v>
      </c>
      <c r="DB516">
        <v>76</v>
      </c>
      <c r="DC516">
        <v>179</v>
      </c>
      <c r="DD516">
        <v>8</v>
      </c>
      <c r="DE516">
        <v>1.375</v>
      </c>
      <c r="DF516">
        <v>35118</v>
      </c>
      <c r="DG516">
        <v>0.1053</v>
      </c>
      <c r="DO516">
        <v>74</v>
      </c>
    </row>
    <row r="517" spans="93:120" x14ac:dyDescent="0.25">
      <c r="CO517" t="s">
        <v>636</v>
      </c>
      <c r="CP517" t="s">
        <v>7</v>
      </c>
      <c r="CQ517" t="s">
        <v>26</v>
      </c>
      <c r="CR517">
        <v>46148</v>
      </c>
      <c r="CS517">
        <v>1</v>
      </c>
      <c r="CT517">
        <v>1</v>
      </c>
      <c r="CV517">
        <v>1</v>
      </c>
      <c r="CX517">
        <v>2.3148148148148149E-4</v>
      </c>
      <c r="CY517">
        <v>2.3148148148148149E-4</v>
      </c>
      <c r="CZ517">
        <v>0.24675925925925926</v>
      </c>
      <c r="DA517">
        <v>7.6064814814814821E-2</v>
      </c>
      <c r="DB517">
        <v>177</v>
      </c>
      <c r="DC517">
        <v>363</v>
      </c>
      <c r="DD517">
        <v>22</v>
      </c>
      <c r="DE517" t="s">
        <v>847</v>
      </c>
      <c r="DF517">
        <v>30852</v>
      </c>
      <c r="DG517">
        <v>0.12429999999999999</v>
      </c>
      <c r="DO517">
        <v>74</v>
      </c>
    </row>
    <row r="518" spans="93:120" x14ac:dyDescent="0.25">
      <c r="CO518" t="s">
        <v>636</v>
      </c>
      <c r="CP518" t="s">
        <v>7</v>
      </c>
      <c r="CQ518" t="s">
        <v>26</v>
      </c>
      <c r="CR518">
        <v>46150</v>
      </c>
      <c r="CS518">
        <v>1</v>
      </c>
      <c r="CT518">
        <v>1</v>
      </c>
      <c r="CV518">
        <v>1</v>
      </c>
      <c r="CX518">
        <v>4.6296296296296294E-5</v>
      </c>
      <c r="CY518">
        <v>4.6296296296296294E-5</v>
      </c>
      <c r="CZ518">
        <v>0.21922453703703704</v>
      </c>
      <c r="DA518">
        <v>7.7499999999999999E-2</v>
      </c>
      <c r="DB518">
        <v>133</v>
      </c>
      <c r="DC518">
        <v>298</v>
      </c>
      <c r="DD518">
        <v>21</v>
      </c>
      <c r="DE518" t="s">
        <v>858</v>
      </c>
      <c r="DF518">
        <v>20716</v>
      </c>
      <c r="DG518">
        <v>0.15790000000000001</v>
      </c>
      <c r="DO518">
        <v>74</v>
      </c>
    </row>
    <row r="519" spans="93:120" x14ac:dyDescent="0.25">
      <c r="CO519" t="s">
        <v>636</v>
      </c>
      <c r="CP519" t="s">
        <v>7</v>
      </c>
      <c r="CQ519" t="s">
        <v>26</v>
      </c>
      <c r="CR519">
        <v>46154</v>
      </c>
      <c r="CS519">
        <v>1</v>
      </c>
      <c r="CT519">
        <v>1</v>
      </c>
      <c r="CV519">
        <v>1</v>
      </c>
      <c r="CX519">
        <v>4.6296296296296294E-5</v>
      </c>
      <c r="CY519">
        <v>4.6296296296296294E-5</v>
      </c>
      <c r="CZ519">
        <v>0.32217592592592592</v>
      </c>
      <c r="DA519">
        <v>0.12153935185185186</v>
      </c>
      <c r="DB519">
        <v>159</v>
      </c>
      <c r="DC519">
        <v>337</v>
      </c>
      <c r="DD519">
        <v>35</v>
      </c>
      <c r="DE519" t="s">
        <v>745</v>
      </c>
      <c r="DF519">
        <v>32479</v>
      </c>
      <c r="DG519">
        <v>0.22009999999999999</v>
      </c>
      <c r="DO519">
        <v>74</v>
      </c>
    </row>
    <row r="520" spans="93:120" x14ac:dyDescent="0.25">
      <c r="CO520" t="s">
        <v>636</v>
      </c>
      <c r="CP520" t="s">
        <v>7</v>
      </c>
      <c r="CQ520" t="s">
        <v>75</v>
      </c>
      <c r="CR520">
        <v>46148</v>
      </c>
      <c r="CS520">
        <v>1</v>
      </c>
      <c r="CT520">
        <v>1</v>
      </c>
      <c r="CV520">
        <v>1</v>
      </c>
      <c r="CX520">
        <v>4.6296296296296294E-5</v>
      </c>
      <c r="CY520">
        <v>4.6296296296296294E-5</v>
      </c>
      <c r="CZ520">
        <v>0.20689814814814814</v>
      </c>
      <c r="DA520">
        <v>0.10263888888888889</v>
      </c>
      <c r="DB520">
        <v>86</v>
      </c>
      <c r="DC520">
        <v>190</v>
      </c>
      <c r="DD520">
        <v>10</v>
      </c>
      <c r="DE520">
        <v>1.8</v>
      </c>
      <c r="DF520">
        <v>43226</v>
      </c>
      <c r="DG520">
        <v>0.1163</v>
      </c>
      <c r="DO520">
        <v>74</v>
      </c>
    </row>
    <row r="521" spans="93:120" x14ac:dyDescent="0.25">
      <c r="CO521" t="s">
        <v>636</v>
      </c>
      <c r="CP521" t="s">
        <v>604</v>
      </c>
      <c r="CQ521" t="s">
        <v>109</v>
      </c>
      <c r="CR521">
        <v>46160</v>
      </c>
      <c r="CS521">
        <v>1</v>
      </c>
      <c r="CT521">
        <v>1</v>
      </c>
      <c r="CV521">
        <v>1</v>
      </c>
      <c r="CX521">
        <v>1.3773148148148147E-3</v>
      </c>
      <c r="CY521">
        <v>1.3773148148148147E-3</v>
      </c>
      <c r="CZ521">
        <v>0.16581018518518517</v>
      </c>
      <c r="DA521">
        <v>0.16325231481481481</v>
      </c>
      <c r="DB521">
        <v>76</v>
      </c>
      <c r="DC521">
        <v>151</v>
      </c>
      <c r="DD521">
        <v>21</v>
      </c>
      <c r="DE521" t="s">
        <v>845</v>
      </c>
      <c r="DF521">
        <v>28623</v>
      </c>
      <c r="DG521">
        <v>0.27629999999999999</v>
      </c>
      <c r="DH521">
        <v>2</v>
      </c>
      <c r="DI521">
        <v>9.5200000000000007E-2</v>
      </c>
      <c r="DJ521">
        <v>3000</v>
      </c>
      <c r="DK521">
        <v>1500</v>
      </c>
      <c r="DL521">
        <v>2500</v>
      </c>
      <c r="DM521">
        <v>0.83330000000000004</v>
      </c>
      <c r="DN521">
        <v>0.1832</v>
      </c>
      <c r="DO521">
        <v>74</v>
      </c>
      <c r="DP521">
        <v>2500</v>
      </c>
    </row>
    <row r="522" spans="93:120" x14ac:dyDescent="0.25">
      <c r="CO522" t="s">
        <v>636</v>
      </c>
      <c r="CP522" t="s">
        <v>604</v>
      </c>
      <c r="CQ522" t="s">
        <v>109</v>
      </c>
      <c r="CR522">
        <v>46162</v>
      </c>
      <c r="CS522">
        <v>1</v>
      </c>
      <c r="CT522">
        <v>1</v>
      </c>
      <c r="CV522">
        <v>1</v>
      </c>
      <c r="CX522">
        <v>3.425925925925926E-3</v>
      </c>
      <c r="CY522">
        <v>3.425925925925926E-3</v>
      </c>
      <c r="CZ522">
        <v>0.23105324074074074</v>
      </c>
      <c r="DA522">
        <v>0.13972222222222222</v>
      </c>
      <c r="DB522">
        <v>87</v>
      </c>
      <c r="DC522">
        <v>117</v>
      </c>
      <c r="DD522">
        <v>16</v>
      </c>
      <c r="DE522">
        <v>1.8125</v>
      </c>
      <c r="DF522">
        <v>21949</v>
      </c>
      <c r="DG522">
        <v>0.18390000000000001</v>
      </c>
      <c r="DO522">
        <v>74</v>
      </c>
    </row>
    <row r="523" spans="93:120" x14ac:dyDescent="0.25">
      <c r="CO523" t="s">
        <v>636</v>
      </c>
      <c r="CP523" t="s">
        <v>604</v>
      </c>
      <c r="CQ523" t="s">
        <v>41</v>
      </c>
      <c r="CR523">
        <v>46162</v>
      </c>
      <c r="CS523">
        <v>1</v>
      </c>
      <c r="CT523">
        <v>1</v>
      </c>
      <c r="CV523">
        <v>1</v>
      </c>
      <c r="CX523">
        <v>2.7777777777777778E-4</v>
      </c>
      <c r="CY523">
        <v>2.7777777777777778E-4</v>
      </c>
      <c r="CZ523">
        <v>0.18309027777777778</v>
      </c>
      <c r="DA523">
        <v>0.15817129629629631</v>
      </c>
      <c r="DB523">
        <v>73</v>
      </c>
      <c r="DC523">
        <v>182</v>
      </c>
      <c r="DD523">
        <v>16</v>
      </c>
      <c r="DE523">
        <v>1.625</v>
      </c>
      <c r="DF523">
        <v>9839</v>
      </c>
      <c r="DG523">
        <v>0.21920000000000001</v>
      </c>
      <c r="DO523">
        <v>74</v>
      </c>
    </row>
    <row r="524" spans="93:120" x14ac:dyDescent="0.25">
      <c r="CO524" t="s">
        <v>636</v>
      </c>
      <c r="CP524" t="s">
        <v>604</v>
      </c>
      <c r="CQ524" t="s">
        <v>495</v>
      </c>
      <c r="CR524">
        <v>46146</v>
      </c>
      <c r="CS524">
        <v>1</v>
      </c>
      <c r="CT524">
        <v>1</v>
      </c>
      <c r="CU524">
        <v>1</v>
      </c>
      <c r="CX524">
        <v>5.6481481481481478E-3</v>
      </c>
      <c r="CY524">
        <v>5.6481481481481478E-3</v>
      </c>
      <c r="CZ524">
        <v>0.21358796296296295</v>
      </c>
      <c r="DA524">
        <v>0.11091435185185185</v>
      </c>
      <c r="DB524">
        <v>91</v>
      </c>
      <c r="DC524">
        <v>177</v>
      </c>
      <c r="DD524">
        <v>31</v>
      </c>
      <c r="DE524" t="s">
        <v>846</v>
      </c>
      <c r="DF524">
        <v>22403</v>
      </c>
      <c r="DG524">
        <v>0.3407</v>
      </c>
      <c r="DH524">
        <v>13</v>
      </c>
      <c r="DI524">
        <v>0.4194</v>
      </c>
      <c r="DJ524">
        <v>7440</v>
      </c>
      <c r="DK524">
        <v>572</v>
      </c>
      <c r="DL524">
        <v>4460</v>
      </c>
      <c r="DM524">
        <v>0.59950000000000003</v>
      </c>
      <c r="DN524">
        <v>0.622</v>
      </c>
      <c r="DO524">
        <v>74</v>
      </c>
      <c r="DP524">
        <v>446</v>
      </c>
    </row>
    <row r="525" spans="93:120" x14ac:dyDescent="0.25">
      <c r="CO525" t="s">
        <v>636</v>
      </c>
      <c r="CP525" t="s">
        <v>604</v>
      </c>
      <c r="CQ525" t="s">
        <v>600</v>
      </c>
      <c r="CR525">
        <v>46148</v>
      </c>
      <c r="CS525">
        <v>1</v>
      </c>
      <c r="CT525">
        <v>1</v>
      </c>
      <c r="CV525">
        <v>1</v>
      </c>
      <c r="CX525">
        <v>5.5555555555555556E-4</v>
      </c>
      <c r="CY525">
        <v>5.5555555555555556E-4</v>
      </c>
      <c r="CZ525">
        <v>0.24457175925925925</v>
      </c>
      <c r="DA525">
        <v>9.313657407407408E-2</v>
      </c>
      <c r="DB525">
        <v>111</v>
      </c>
      <c r="DC525">
        <v>227</v>
      </c>
      <c r="DD525">
        <v>30</v>
      </c>
      <c r="DE525" t="s">
        <v>859</v>
      </c>
      <c r="DF525">
        <v>23958</v>
      </c>
      <c r="DG525">
        <v>0.27029999999999998</v>
      </c>
      <c r="DO525">
        <v>74</v>
      </c>
    </row>
    <row r="526" spans="93:120" x14ac:dyDescent="0.25">
      <c r="CO526" t="s">
        <v>636</v>
      </c>
      <c r="CP526" t="s">
        <v>604</v>
      </c>
      <c r="CQ526" t="s">
        <v>600</v>
      </c>
      <c r="CR526">
        <v>46153</v>
      </c>
      <c r="CS526">
        <v>1</v>
      </c>
      <c r="CT526">
        <v>1</v>
      </c>
      <c r="CV526">
        <v>1</v>
      </c>
      <c r="CX526">
        <v>0</v>
      </c>
      <c r="CY526">
        <v>0</v>
      </c>
      <c r="CZ526">
        <v>0.19984953703703703</v>
      </c>
      <c r="DA526">
        <v>9.8935185185185182E-2</v>
      </c>
      <c r="DB526">
        <v>68</v>
      </c>
      <c r="DC526">
        <v>106</v>
      </c>
      <c r="DD526">
        <v>14</v>
      </c>
      <c r="DE526" t="s">
        <v>850</v>
      </c>
      <c r="DF526">
        <v>23512</v>
      </c>
      <c r="DG526">
        <v>0.2059</v>
      </c>
      <c r="DO526">
        <v>74</v>
      </c>
    </row>
    <row r="527" spans="93:120" x14ac:dyDescent="0.25">
      <c r="CO527" t="s">
        <v>636</v>
      </c>
      <c r="CP527" t="s">
        <v>604</v>
      </c>
      <c r="CQ527" t="s">
        <v>600</v>
      </c>
      <c r="CR527">
        <v>46162</v>
      </c>
      <c r="CS527">
        <v>1</v>
      </c>
      <c r="CT527">
        <v>1</v>
      </c>
      <c r="CV527">
        <v>1</v>
      </c>
      <c r="CX527">
        <v>0</v>
      </c>
      <c r="CY527">
        <v>0</v>
      </c>
      <c r="CZ527">
        <v>0.23866898148148147</v>
      </c>
      <c r="DA527">
        <v>0.13421296296296295</v>
      </c>
      <c r="DB527">
        <v>133</v>
      </c>
      <c r="DC527">
        <v>186</v>
      </c>
      <c r="DD527">
        <v>17</v>
      </c>
      <c r="DE527" t="s">
        <v>670</v>
      </c>
      <c r="DF527">
        <v>22867</v>
      </c>
      <c r="DG527">
        <v>0.1278</v>
      </c>
      <c r="DO527">
        <v>74</v>
      </c>
    </row>
    <row r="528" spans="93:120" x14ac:dyDescent="0.25">
      <c r="CO528" t="s">
        <v>636</v>
      </c>
      <c r="CP528" t="s">
        <v>604</v>
      </c>
      <c r="CQ528" t="s">
        <v>49</v>
      </c>
      <c r="CR528">
        <v>46148</v>
      </c>
      <c r="CS528">
        <v>1</v>
      </c>
      <c r="CT528">
        <v>1</v>
      </c>
      <c r="CV528">
        <v>1</v>
      </c>
      <c r="CX528">
        <v>6.9444444444444444E-5</v>
      </c>
      <c r="CY528">
        <v>6.9444444444444444E-5</v>
      </c>
      <c r="CZ528">
        <v>0.20640046296296297</v>
      </c>
      <c r="DA528">
        <v>0.10431712962962963</v>
      </c>
      <c r="DB528">
        <v>79</v>
      </c>
      <c r="DC528">
        <v>136</v>
      </c>
      <c r="DD528">
        <v>4</v>
      </c>
      <c r="DE528">
        <v>1.75</v>
      </c>
      <c r="DF528">
        <v>16518</v>
      </c>
      <c r="DG528">
        <v>5.0599999999999999E-2</v>
      </c>
      <c r="DO528">
        <v>74</v>
      </c>
    </row>
    <row r="529" spans="93:120" x14ac:dyDescent="0.25">
      <c r="CO529" t="s">
        <v>636</v>
      </c>
      <c r="CP529" t="s">
        <v>604</v>
      </c>
      <c r="CQ529" t="s">
        <v>599</v>
      </c>
      <c r="CR529">
        <v>46148</v>
      </c>
      <c r="CS529">
        <v>1</v>
      </c>
      <c r="CT529">
        <v>1</v>
      </c>
      <c r="CV529">
        <v>1</v>
      </c>
      <c r="CX529">
        <v>4.0509259259259258E-4</v>
      </c>
      <c r="CY529">
        <v>4.0509259259259258E-4</v>
      </c>
      <c r="CZ529">
        <v>0.24630787037037036</v>
      </c>
      <c r="DA529">
        <v>7.0057870370370368E-2</v>
      </c>
      <c r="DB529">
        <v>170</v>
      </c>
      <c r="DC529">
        <v>278</v>
      </c>
      <c r="DD529">
        <v>32</v>
      </c>
      <c r="DE529">
        <v>1.90625</v>
      </c>
      <c r="DF529">
        <v>11139</v>
      </c>
      <c r="DG529">
        <v>0.18820000000000001</v>
      </c>
      <c r="DO529">
        <v>74</v>
      </c>
    </row>
    <row r="530" spans="93:120" x14ac:dyDescent="0.25">
      <c r="CO530" t="s">
        <v>636</v>
      </c>
      <c r="CP530" t="s">
        <v>604</v>
      </c>
      <c r="CQ530" t="s">
        <v>599</v>
      </c>
      <c r="CR530">
        <v>46153</v>
      </c>
      <c r="CS530">
        <v>1</v>
      </c>
      <c r="CT530">
        <v>1</v>
      </c>
      <c r="CV530">
        <v>1</v>
      </c>
      <c r="CX530">
        <v>5.7870370370370373E-5</v>
      </c>
      <c r="CY530">
        <v>5.7870370370370373E-5</v>
      </c>
      <c r="CZ530">
        <v>0.18542824074074074</v>
      </c>
      <c r="DA530">
        <v>9.2731481481481484E-2</v>
      </c>
      <c r="DB530">
        <v>96</v>
      </c>
      <c r="DC530">
        <v>113</v>
      </c>
      <c r="DD530">
        <v>32</v>
      </c>
      <c r="DE530">
        <v>1.25</v>
      </c>
      <c r="DF530">
        <v>7350</v>
      </c>
      <c r="DG530">
        <v>0.33329999999999999</v>
      </c>
      <c r="DO530">
        <v>74</v>
      </c>
    </row>
    <row r="531" spans="93:120" x14ac:dyDescent="0.25">
      <c r="CO531" t="s">
        <v>636</v>
      </c>
      <c r="CP531" t="s">
        <v>604</v>
      </c>
      <c r="CQ531" t="s">
        <v>599</v>
      </c>
      <c r="CR531">
        <v>46162</v>
      </c>
      <c r="CS531">
        <v>1</v>
      </c>
      <c r="CT531">
        <v>1</v>
      </c>
      <c r="CV531">
        <v>1</v>
      </c>
      <c r="CX531">
        <v>0</v>
      </c>
      <c r="CY531">
        <v>0</v>
      </c>
      <c r="CZ531">
        <v>0.23197916666666665</v>
      </c>
      <c r="DA531">
        <v>0.12590277777777778</v>
      </c>
      <c r="DB531">
        <v>138</v>
      </c>
      <c r="DC531">
        <v>160</v>
      </c>
      <c r="DD531">
        <v>21</v>
      </c>
      <c r="DE531" t="s">
        <v>730</v>
      </c>
      <c r="DF531">
        <v>14817</v>
      </c>
      <c r="DG531">
        <v>0.1522</v>
      </c>
      <c r="DO531">
        <v>74</v>
      </c>
    </row>
    <row r="532" spans="93:120" x14ac:dyDescent="0.25">
      <c r="CO532" t="s">
        <v>636</v>
      </c>
      <c r="CP532" t="s">
        <v>604</v>
      </c>
      <c r="CQ532" t="s">
        <v>599</v>
      </c>
      <c r="CR532">
        <v>46163</v>
      </c>
      <c r="CS532">
        <v>1</v>
      </c>
      <c r="CT532">
        <v>1</v>
      </c>
      <c r="CV532">
        <v>1</v>
      </c>
      <c r="CX532">
        <v>0</v>
      </c>
      <c r="CY532">
        <v>0</v>
      </c>
      <c r="CZ532">
        <v>0.15261574074074075</v>
      </c>
      <c r="DA532">
        <v>0.1411111111111111</v>
      </c>
      <c r="DB532">
        <v>137</v>
      </c>
      <c r="DC532">
        <v>163</v>
      </c>
      <c r="DD532">
        <v>34</v>
      </c>
      <c r="DE532" t="s">
        <v>804</v>
      </c>
      <c r="DF532">
        <v>16195</v>
      </c>
      <c r="DG532">
        <v>0.2482</v>
      </c>
      <c r="DH532">
        <v>1</v>
      </c>
      <c r="DI532">
        <v>2.9399999999999999E-2</v>
      </c>
      <c r="DJ532">
        <v>200</v>
      </c>
      <c r="DK532">
        <v>200</v>
      </c>
      <c r="DO532">
        <v>74</v>
      </c>
    </row>
    <row r="533" spans="93:120" x14ac:dyDescent="0.25">
      <c r="CO533" t="s">
        <v>636</v>
      </c>
      <c r="CP533" t="s">
        <v>604</v>
      </c>
      <c r="CQ533" t="s">
        <v>599</v>
      </c>
      <c r="CR533">
        <v>46171</v>
      </c>
      <c r="CS533">
        <v>1</v>
      </c>
      <c r="CT533">
        <v>1</v>
      </c>
      <c r="CV533">
        <v>1</v>
      </c>
      <c r="CX533">
        <v>0</v>
      </c>
      <c r="CY533">
        <v>0</v>
      </c>
      <c r="CZ533">
        <v>0.15005787037037038</v>
      </c>
      <c r="DA533">
        <v>0.21424768518518519</v>
      </c>
      <c r="DB533">
        <v>102</v>
      </c>
      <c r="DC533">
        <v>130</v>
      </c>
      <c r="DD533">
        <v>16</v>
      </c>
      <c r="DE533">
        <v>1.625</v>
      </c>
      <c r="DF533">
        <v>7986</v>
      </c>
      <c r="DG533">
        <v>0.15690000000000001</v>
      </c>
      <c r="DH533">
        <v>1</v>
      </c>
      <c r="DI533">
        <v>6.25E-2</v>
      </c>
      <c r="DJ533">
        <v>2000</v>
      </c>
      <c r="DK533">
        <v>2000</v>
      </c>
      <c r="DO533">
        <v>74</v>
      </c>
    </row>
    <row r="534" spans="93:120" x14ac:dyDescent="0.25">
      <c r="CO534" t="s">
        <v>636</v>
      </c>
      <c r="CP534" t="s">
        <v>604</v>
      </c>
      <c r="CQ534" t="s">
        <v>549</v>
      </c>
      <c r="CR534">
        <v>46153</v>
      </c>
      <c r="CS534">
        <v>1</v>
      </c>
      <c r="CT534">
        <v>1</v>
      </c>
      <c r="CV534">
        <v>1</v>
      </c>
      <c r="CX534">
        <v>3.7037037037037035E-4</v>
      </c>
      <c r="CY534">
        <v>3.7037037037037035E-4</v>
      </c>
      <c r="CZ534">
        <v>0.19363425925925926</v>
      </c>
      <c r="DA534">
        <v>0.10655092592592592</v>
      </c>
      <c r="DB534">
        <v>104</v>
      </c>
      <c r="DC534">
        <v>167</v>
      </c>
      <c r="DD534">
        <v>53</v>
      </c>
      <c r="DE534" t="s">
        <v>860</v>
      </c>
      <c r="DF534">
        <v>10545</v>
      </c>
      <c r="DG534">
        <v>0.50960000000000005</v>
      </c>
      <c r="DO534">
        <v>74</v>
      </c>
    </row>
    <row r="535" spans="93:120" x14ac:dyDescent="0.25">
      <c r="CO535" t="s">
        <v>636</v>
      </c>
      <c r="CP535" t="s">
        <v>604</v>
      </c>
      <c r="CQ535" t="s">
        <v>77</v>
      </c>
      <c r="CR535">
        <v>46162</v>
      </c>
      <c r="CS535">
        <v>1</v>
      </c>
      <c r="CT535">
        <v>1</v>
      </c>
      <c r="CV535">
        <v>1</v>
      </c>
      <c r="CX535">
        <v>0</v>
      </c>
      <c r="CY535">
        <v>0</v>
      </c>
      <c r="CZ535">
        <v>0.25900462962962961</v>
      </c>
      <c r="DA535">
        <v>9.9918981481481484E-2</v>
      </c>
      <c r="DB535">
        <v>118</v>
      </c>
      <c r="DC535">
        <v>186</v>
      </c>
      <c r="DD535">
        <v>31</v>
      </c>
      <c r="DE535" t="s">
        <v>774</v>
      </c>
      <c r="DF535">
        <v>19601</v>
      </c>
      <c r="DG535">
        <v>0.26269999999999999</v>
      </c>
      <c r="DO535">
        <v>74</v>
      </c>
    </row>
    <row r="536" spans="93:120" x14ac:dyDescent="0.25">
      <c r="CO536" t="s">
        <v>636</v>
      </c>
      <c r="CP536" t="s">
        <v>604</v>
      </c>
      <c r="CQ536" t="s">
        <v>566</v>
      </c>
      <c r="CR536">
        <v>46153</v>
      </c>
      <c r="CS536">
        <v>1</v>
      </c>
      <c r="CT536">
        <v>1</v>
      </c>
      <c r="CV536">
        <v>1</v>
      </c>
      <c r="CX536">
        <v>2.4305555555555556E-3</v>
      </c>
      <c r="CY536">
        <v>2.4305555555555556E-3</v>
      </c>
      <c r="CZ536">
        <v>0.16921296296296295</v>
      </c>
      <c r="DA536">
        <v>0.14063657407407407</v>
      </c>
      <c r="DB536">
        <v>101</v>
      </c>
      <c r="DC536">
        <v>190</v>
      </c>
      <c r="DD536">
        <v>57</v>
      </c>
      <c r="DE536" t="s">
        <v>861</v>
      </c>
      <c r="DF536">
        <v>5964</v>
      </c>
      <c r="DG536">
        <v>0.56440000000000001</v>
      </c>
      <c r="DO536">
        <v>74</v>
      </c>
    </row>
    <row r="537" spans="93:120" x14ac:dyDescent="0.25">
      <c r="CO537" t="s">
        <v>636</v>
      </c>
      <c r="CP537" t="s">
        <v>604</v>
      </c>
      <c r="CQ537" t="s">
        <v>566</v>
      </c>
      <c r="CR537">
        <v>46154</v>
      </c>
      <c r="CS537">
        <v>1</v>
      </c>
      <c r="CT537">
        <v>1</v>
      </c>
      <c r="CV537">
        <v>1</v>
      </c>
      <c r="CX537">
        <v>2.4421296296296296E-3</v>
      </c>
      <c r="CY537">
        <v>2.4421296296296296E-3</v>
      </c>
      <c r="CZ537">
        <v>0.1603125</v>
      </c>
      <c r="DA537">
        <v>0.11785879629629629</v>
      </c>
      <c r="DB537">
        <v>254</v>
      </c>
      <c r="DC537">
        <v>388</v>
      </c>
      <c r="DD537">
        <v>51</v>
      </c>
      <c r="DE537" t="s">
        <v>862</v>
      </c>
      <c r="DF537">
        <v>8934</v>
      </c>
      <c r="DG537">
        <v>0.20080000000000001</v>
      </c>
      <c r="DH537">
        <v>1</v>
      </c>
      <c r="DI537">
        <v>1.9599999999999999E-2</v>
      </c>
      <c r="DJ537">
        <v>60</v>
      </c>
      <c r="DK537">
        <v>60</v>
      </c>
      <c r="DL537">
        <v>60</v>
      </c>
      <c r="DM537">
        <v>1</v>
      </c>
      <c r="DN537">
        <v>0.59550000000000003</v>
      </c>
      <c r="DO537">
        <v>74</v>
      </c>
      <c r="DP537">
        <v>60</v>
      </c>
    </row>
    <row r="538" spans="93:120" x14ac:dyDescent="0.25">
      <c r="CO538" t="s">
        <v>636</v>
      </c>
      <c r="CP538" t="s">
        <v>604</v>
      </c>
      <c r="CQ538" t="s">
        <v>78</v>
      </c>
      <c r="CR538">
        <v>46148</v>
      </c>
      <c r="CS538">
        <v>1</v>
      </c>
      <c r="CT538">
        <v>1</v>
      </c>
      <c r="CV538">
        <v>1</v>
      </c>
      <c r="CX538">
        <v>0</v>
      </c>
      <c r="CY538">
        <v>0</v>
      </c>
      <c r="CZ538">
        <v>0.22427083333333334</v>
      </c>
      <c r="DA538">
        <v>0.11348379629629629</v>
      </c>
      <c r="DB538">
        <v>91</v>
      </c>
      <c r="DC538">
        <v>204</v>
      </c>
      <c r="DD538">
        <v>30</v>
      </c>
      <c r="DE538" t="s">
        <v>863</v>
      </c>
      <c r="DF538">
        <v>29842</v>
      </c>
      <c r="DG538">
        <v>0.32969999999999999</v>
      </c>
      <c r="DO538">
        <v>74</v>
      </c>
    </row>
    <row r="539" spans="93:120" x14ac:dyDescent="0.25">
      <c r="CO539" t="s">
        <v>636</v>
      </c>
      <c r="CP539" t="s">
        <v>604</v>
      </c>
      <c r="CQ539" t="s">
        <v>78</v>
      </c>
      <c r="CR539">
        <v>46153</v>
      </c>
      <c r="CS539">
        <v>1</v>
      </c>
      <c r="CT539">
        <v>1</v>
      </c>
      <c r="CV539">
        <v>1</v>
      </c>
      <c r="CX539">
        <v>2.1875000000000002E-3</v>
      </c>
      <c r="CY539">
        <v>2.1875000000000002E-3</v>
      </c>
      <c r="CZ539">
        <v>0.18989583333333335</v>
      </c>
      <c r="DA539">
        <v>0.11031249999999999</v>
      </c>
      <c r="DB539">
        <v>59</v>
      </c>
      <c r="DC539">
        <v>130</v>
      </c>
      <c r="DD539">
        <v>22</v>
      </c>
      <c r="DE539" t="s">
        <v>864</v>
      </c>
      <c r="DF539">
        <v>21796</v>
      </c>
      <c r="DG539">
        <v>0.37290000000000001</v>
      </c>
      <c r="DO539">
        <v>74</v>
      </c>
    </row>
    <row r="540" spans="93:120" x14ac:dyDescent="0.25">
      <c r="CO540" t="s">
        <v>636</v>
      </c>
      <c r="CP540" t="s">
        <v>604</v>
      </c>
      <c r="CQ540" t="s">
        <v>48</v>
      </c>
      <c r="CR540">
        <v>46148</v>
      </c>
      <c r="CS540">
        <v>1</v>
      </c>
      <c r="CT540">
        <v>1</v>
      </c>
      <c r="CV540">
        <v>1</v>
      </c>
      <c r="CX540">
        <v>0</v>
      </c>
      <c r="CY540">
        <v>0</v>
      </c>
      <c r="CZ540">
        <v>0.23233796296296297</v>
      </c>
      <c r="DA540">
        <v>0.10356481481481482</v>
      </c>
      <c r="DB540">
        <v>84</v>
      </c>
      <c r="DC540">
        <v>149</v>
      </c>
      <c r="DD540">
        <v>19</v>
      </c>
      <c r="DE540" t="s">
        <v>746</v>
      </c>
      <c r="DF540">
        <v>16323</v>
      </c>
      <c r="DG540">
        <v>0.22620000000000001</v>
      </c>
      <c r="DO540">
        <v>74</v>
      </c>
    </row>
    <row r="541" spans="93:120" x14ac:dyDescent="0.25">
      <c r="CO541" t="s">
        <v>636</v>
      </c>
      <c r="CP541" t="s">
        <v>604</v>
      </c>
      <c r="CQ541" t="s">
        <v>48</v>
      </c>
      <c r="CR541">
        <v>46162</v>
      </c>
      <c r="CS541">
        <v>1</v>
      </c>
      <c r="CT541">
        <v>1</v>
      </c>
      <c r="CV541">
        <v>1</v>
      </c>
      <c r="CX541">
        <v>8.1018518518518516E-5</v>
      </c>
      <c r="CY541">
        <v>8.1018518518518516E-5</v>
      </c>
      <c r="CZ541">
        <v>0.23559027777777777</v>
      </c>
      <c r="DA541">
        <v>0.1436574074074074</v>
      </c>
      <c r="DB541">
        <v>112</v>
      </c>
      <c r="DC541">
        <v>157</v>
      </c>
      <c r="DD541">
        <v>27</v>
      </c>
      <c r="DE541" t="s">
        <v>865</v>
      </c>
      <c r="DF541">
        <v>25353</v>
      </c>
      <c r="DG541">
        <v>0.24110000000000001</v>
      </c>
      <c r="DO541">
        <v>74</v>
      </c>
    </row>
    <row r="542" spans="93:120" x14ac:dyDescent="0.25">
      <c r="CO542" t="s">
        <v>636</v>
      </c>
      <c r="CP542" t="s">
        <v>3</v>
      </c>
      <c r="CQ542" t="s">
        <v>58</v>
      </c>
      <c r="CR542">
        <v>46149</v>
      </c>
      <c r="CS542">
        <v>1</v>
      </c>
      <c r="CT542">
        <v>1</v>
      </c>
      <c r="CV542">
        <v>1</v>
      </c>
      <c r="CX542">
        <v>6.9444444444444444E-5</v>
      </c>
      <c r="CY542">
        <v>6.9444444444444444E-5</v>
      </c>
      <c r="CZ542">
        <v>0.24024305555555556</v>
      </c>
      <c r="DA542">
        <v>7.2222222222222215E-2</v>
      </c>
      <c r="DB542">
        <v>105</v>
      </c>
      <c r="DC542">
        <v>188</v>
      </c>
      <c r="DD542">
        <v>16</v>
      </c>
      <c r="DE542">
        <v>1.6875</v>
      </c>
      <c r="DF542">
        <v>18183</v>
      </c>
      <c r="DG542">
        <v>0.15240000000000001</v>
      </c>
      <c r="DO542">
        <v>74</v>
      </c>
    </row>
    <row r="543" spans="93:120" x14ac:dyDescent="0.25">
      <c r="CO543" t="s">
        <v>636</v>
      </c>
      <c r="CP543" t="s">
        <v>3</v>
      </c>
      <c r="CQ543" t="s">
        <v>85</v>
      </c>
      <c r="CR543">
        <v>46149</v>
      </c>
      <c r="CS543">
        <v>1</v>
      </c>
      <c r="CT543">
        <v>1</v>
      </c>
      <c r="CV543">
        <v>1</v>
      </c>
      <c r="CX543">
        <v>8.1018518518518516E-5</v>
      </c>
      <c r="CY543">
        <v>8.1018518518518516E-5</v>
      </c>
      <c r="CZ543">
        <v>0.26380787037037035</v>
      </c>
      <c r="DA543">
        <v>5.4768518518518522E-2</v>
      </c>
      <c r="DB543">
        <v>82</v>
      </c>
      <c r="DC543">
        <v>178</v>
      </c>
      <c r="DD543">
        <v>22</v>
      </c>
      <c r="DE543" t="s">
        <v>695</v>
      </c>
      <c r="DF543">
        <v>25021</v>
      </c>
      <c r="DG543">
        <v>0.26829999999999998</v>
      </c>
      <c r="DO543">
        <v>74</v>
      </c>
    </row>
    <row r="544" spans="93:120" x14ac:dyDescent="0.25">
      <c r="CO544" t="s">
        <v>636</v>
      </c>
      <c r="CP544" t="s">
        <v>3</v>
      </c>
      <c r="CQ544" t="s">
        <v>85</v>
      </c>
      <c r="CR544">
        <v>46170</v>
      </c>
      <c r="CS544">
        <v>1</v>
      </c>
      <c r="CT544">
        <v>1</v>
      </c>
      <c r="CV544">
        <v>1</v>
      </c>
      <c r="CX544">
        <v>2.5462962962962961E-4</v>
      </c>
      <c r="CY544">
        <v>2.5462962962962961E-4</v>
      </c>
      <c r="CZ544">
        <v>0.18731481481481482</v>
      </c>
      <c r="DA544">
        <v>0.15103009259259259</v>
      </c>
      <c r="DB544">
        <v>79</v>
      </c>
      <c r="DC544">
        <v>193</v>
      </c>
      <c r="DD544">
        <v>24</v>
      </c>
      <c r="DE544" t="s">
        <v>674</v>
      </c>
      <c r="DF544">
        <v>40846</v>
      </c>
      <c r="DG544">
        <v>0.30380000000000001</v>
      </c>
      <c r="DO544">
        <v>74</v>
      </c>
    </row>
    <row r="545" spans="93:120" x14ac:dyDescent="0.25">
      <c r="CO545" t="s">
        <v>636</v>
      </c>
      <c r="CP545" t="s">
        <v>3</v>
      </c>
      <c r="CQ545" t="s">
        <v>174</v>
      </c>
      <c r="CR545">
        <v>46149</v>
      </c>
      <c r="CS545">
        <v>1</v>
      </c>
      <c r="CT545">
        <v>1</v>
      </c>
      <c r="CV545">
        <v>1</v>
      </c>
      <c r="CX545">
        <v>4.6296296296296294E-5</v>
      </c>
      <c r="CY545">
        <v>4.6296296296296294E-5</v>
      </c>
      <c r="CZ545">
        <v>0.26247685185185188</v>
      </c>
      <c r="DA545">
        <v>5.3969907407407404E-2</v>
      </c>
      <c r="DB545">
        <v>176</v>
      </c>
      <c r="DC545">
        <v>246</v>
      </c>
      <c r="DD545">
        <v>13</v>
      </c>
      <c r="DE545" t="s">
        <v>708</v>
      </c>
      <c r="DF545">
        <v>13297</v>
      </c>
      <c r="DG545">
        <v>7.3899999999999993E-2</v>
      </c>
      <c r="DO545">
        <v>74</v>
      </c>
    </row>
    <row r="546" spans="93:120" x14ac:dyDescent="0.25">
      <c r="CO546" t="s">
        <v>636</v>
      </c>
      <c r="CP546" t="s">
        <v>3</v>
      </c>
      <c r="CQ546" t="s">
        <v>493</v>
      </c>
      <c r="CR546">
        <v>46147</v>
      </c>
      <c r="CS546">
        <v>1</v>
      </c>
      <c r="CT546">
        <v>1</v>
      </c>
      <c r="CV546">
        <v>1</v>
      </c>
      <c r="CX546">
        <v>4.6296296296296294E-5</v>
      </c>
      <c r="CY546">
        <v>4.6296296296296294E-5</v>
      </c>
      <c r="CZ546">
        <v>0.29679398148148151</v>
      </c>
      <c r="DA546">
        <v>6.3668981481481479E-2</v>
      </c>
      <c r="DB546">
        <v>174</v>
      </c>
      <c r="DC546">
        <v>331</v>
      </c>
      <c r="DD546">
        <v>39</v>
      </c>
      <c r="DE546" t="s">
        <v>765</v>
      </c>
      <c r="DF546">
        <v>11010</v>
      </c>
      <c r="DG546">
        <v>0.22409999999999999</v>
      </c>
      <c r="DH546">
        <v>3</v>
      </c>
      <c r="DI546">
        <v>7.6899999999999996E-2</v>
      </c>
      <c r="DJ546">
        <v>2635</v>
      </c>
      <c r="DK546">
        <v>878</v>
      </c>
      <c r="DL546">
        <v>2000</v>
      </c>
      <c r="DM546">
        <v>0.75900000000000001</v>
      </c>
      <c r="DN546">
        <v>0.2472</v>
      </c>
      <c r="DO546">
        <v>74</v>
      </c>
      <c r="DP546">
        <v>2000</v>
      </c>
    </row>
    <row r="547" spans="93:120" x14ac:dyDescent="0.25">
      <c r="CO547" t="s">
        <v>636</v>
      </c>
      <c r="CP547" t="s">
        <v>3</v>
      </c>
      <c r="CQ547" t="s">
        <v>493</v>
      </c>
      <c r="CR547">
        <v>46149</v>
      </c>
      <c r="CS547">
        <v>1</v>
      </c>
      <c r="CT547">
        <v>1</v>
      </c>
      <c r="CV547">
        <v>1</v>
      </c>
      <c r="CX547">
        <v>0</v>
      </c>
      <c r="CY547">
        <v>0</v>
      </c>
      <c r="CZ547">
        <v>0.26622685185185185</v>
      </c>
      <c r="DA547">
        <v>5.3055555555555557E-2</v>
      </c>
      <c r="DB547">
        <v>137</v>
      </c>
      <c r="DC547">
        <v>218</v>
      </c>
      <c r="DD547">
        <v>23</v>
      </c>
      <c r="DE547" t="s">
        <v>797</v>
      </c>
      <c r="DF547">
        <v>19068</v>
      </c>
      <c r="DG547">
        <v>0.16789999999999999</v>
      </c>
      <c r="DH547">
        <v>1</v>
      </c>
      <c r="DI547">
        <v>4.3499999999999997E-2</v>
      </c>
      <c r="DJ547">
        <v>535</v>
      </c>
      <c r="DK547">
        <v>535</v>
      </c>
      <c r="DO547">
        <v>74</v>
      </c>
    </row>
    <row r="548" spans="93:120" x14ac:dyDescent="0.25">
      <c r="CO548" t="s">
        <v>636</v>
      </c>
      <c r="CP548" t="s">
        <v>3</v>
      </c>
      <c r="CQ548" t="s">
        <v>493</v>
      </c>
      <c r="CR548">
        <v>46153</v>
      </c>
      <c r="CS548">
        <v>1</v>
      </c>
      <c r="CT548">
        <v>1</v>
      </c>
      <c r="CV548">
        <v>1</v>
      </c>
      <c r="CX548">
        <v>1.3888888888888889E-4</v>
      </c>
      <c r="CY548">
        <v>1.3888888888888889E-4</v>
      </c>
      <c r="CZ548">
        <v>0.22045138888888888</v>
      </c>
      <c r="DA548">
        <v>0.11201388888888889</v>
      </c>
      <c r="DB548">
        <v>138</v>
      </c>
      <c r="DC548">
        <v>337</v>
      </c>
      <c r="DD548">
        <v>16</v>
      </c>
      <c r="DE548">
        <v>1.875</v>
      </c>
      <c r="DF548">
        <v>10635</v>
      </c>
      <c r="DG548">
        <v>0.1159</v>
      </c>
      <c r="DH548">
        <v>2</v>
      </c>
      <c r="DI548">
        <v>0.125</v>
      </c>
      <c r="DJ548">
        <v>7450</v>
      </c>
      <c r="DK548">
        <v>3725</v>
      </c>
      <c r="DO548">
        <v>74</v>
      </c>
    </row>
    <row r="549" spans="93:120" x14ac:dyDescent="0.25">
      <c r="CO549" t="s">
        <v>636</v>
      </c>
      <c r="CP549" t="s">
        <v>3</v>
      </c>
      <c r="CQ549" t="s">
        <v>493</v>
      </c>
      <c r="CR549">
        <v>46160</v>
      </c>
      <c r="CS549">
        <v>1</v>
      </c>
      <c r="CT549">
        <v>1</v>
      </c>
      <c r="CV549">
        <v>1</v>
      </c>
      <c r="CX549">
        <v>1.8518518518518518E-4</v>
      </c>
      <c r="CY549">
        <v>1.8518518518518518E-4</v>
      </c>
      <c r="CZ549">
        <v>0.18217592592592594</v>
      </c>
      <c r="DA549">
        <v>0.12869212962962964</v>
      </c>
      <c r="DB549">
        <v>87</v>
      </c>
      <c r="DC549">
        <v>148</v>
      </c>
      <c r="DD549">
        <v>23</v>
      </c>
      <c r="DE549" t="s">
        <v>854</v>
      </c>
      <c r="DF549">
        <v>12449</v>
      </c>
      <c r="DG549">
        <v>0.26440000000000002</v>
      </c>
      <c r="DH549">
        <v>3</v>
      </c>
      <c r="DI549">
        <v>0.13039999999999999</v>
      </c>
      <c r="DJ549">
        <v>7680</v>
      </c>
      <c r="DK549">
        <v>2560</v>
      </c>
      <c r="DL549">
        <v>7450</v>
      </c>
      <c r="DM549">
        <v>0.97009999999999996</v>
      </c>
      <c r="DN549">
        <v>0.13339999999999999</v>
      </c>
      <c r="DO549">
        <v>74</v>
      </c>
      <c r="DP549">
        <v>3725</v>
      </c>
    </row>
    <row r="550" spans="93:120" x14ac:dyDescent="0.25">
      <c r="CO550" t="s">
        <v>636</v>
      </c>
      <c r="CP550" t="s">
        <v>3</v>
      </c>
      <c r="CQ550" t="s">
        <v>493</v>
      </c>
      <c r="CR550">
        <v>46164</v>
      </c>
      <c r="CS550">
        <v>1</v>
      </c>
      <c r="CT550">
        <v>1</v>
      </c>
      <c r="CV550">
        <v>1</v>
      </c>
      <c r="CX550">
        <v>1.0416666666666667E-4</v>
      </c>
      <c r="CY550">
        <v>1.0416666666666667E-4</v>
      </c>
      <c r="CZ550">
        <v>0.19891203703703703</v>
      </c>
      <c r="DA550">
        <v>0.13703703703703704</v>
      </c>
      <c r="DB550">
        <v>140</v>
      </c>
      <c r="DC550">
        <v>201</v>
      </c>
      <c r="DD550">
        <v>24</v>
      </c>
      <c r="DE550">
        <v>1.75</v>
      </c>
      <c r="DF550">
        <v>19224</v>
      </c>
      <c r="DG550">
        <v>0.1714</v>
      </c>
      <c r="DH550">
        <v>1</v>
      </c>
      <c r="DI550">
        <v>4.1700000000000001E-2</v>
      </c>
      <c r="DJ550">
        <v>300</v>
      </c>
      <c r="DK550">
        <v>300</v>
      </c>
      <c r="DL550">
        <v>300</v>
      </c>
      <c r="DM550">
        <v>1</v>
      </c>
      <c r="DO550">
        <v>74</v>
      </c>
      <c r="DP550">
        <v>300</v>
      </c>
    </row>
    <row r="551" spans="93:120" x14ac:dyDescent="0.25">
      <c r="CO551" t="s">
        <v>636</v>
      </c>
      <c r="CP551" t="s">
        <v>3</v>
      </c>
      <c r="CQ551" t="s">
        <v>493</v>
      </c>
      <c r="CR551">
        <v>46170</v>
      </c>
      <c r="CS551">
        <v>1</v>
      </c>
      <c r="CT551">
        <v>1</v>
      </c>
      <c r="CV551">
        <v>1</v>
      </c>
      <c r="CX551">
        <v>1.1574074074074073E-5</v>
      </c>
      <c r="CY551">
        <v>1.1574074074074073E-5</v>
      </c>
      <c r="CZ551">
        <v>0.19783564814814814</v>
      </c>
      <c r="DA551">
        <v>0.14206018518518518</v>
      </c>
      <c r="DB551">
        <v>184</v>
      </c>
      <c r="DC551">
        <v>243</v>
      </c>
      <c r="DD551">
        <v>29</v>
      </c>
      <c r="DE551" t="s">
        <v>866</v>
      </c>
      <c r="DF551">
        <v>21078</v>
      </c>
      <c r="DG551">
        <v>0.15759999999999999</v>
      </c>
      <c r="DO551">
        <v>74</v>
      </c>
    </row>
    <row r="552" spans="93:120" x14ac:dyDescent="0.25">
      <c r="CO552" t="s">
        <v>636</v>
      </c>
      <c r="CP552" t="s">
        <v>3</v>
      </c>
      <c r="CQ552" t="s">
        <v>32</v>
      </c>
      <c r="CR552">
        <v>46148</v>
      </c>
      <c r="CS552">
        <v>1</v>
      </c>
      <c r="CT552">
        <v>1</v>
      </c>
      <c r="CV552">
        <v>1</v>
      </c>
      <c r="CX552">
        <v>8.1018518518518516E-5</v>
      </c>
      <c r="CY552">
        <v>8.1018518518518516E-5</v>
      </c>
      <c r="CZ552">
        <v>0.24531249999999999</v>
      </c>
      <c r="DA552">
        <v>0.11021990740740741</v>
      </c>
      <c r="DB552">
        <v>109</v>
      </c>
      <c r="DC552">
        <v>262</v>
      </c>
      <c r="DD552">
        <v>32</v>
      </c>
      <c r="DE552">
        <v>2.15625</v>
      </c>
      <c r="DF552">
        <v>24068</v>
      </c>
      <c r="DG552">
        <v>0.29360000000000003</v>
      </c>
      <c r="DH552">
        <v>2</v>
      </c>
      <c r="DI552">
        <v>6.25E-2</v>
      </c>
      <c r="DJ552">
        <v>3150</v>
      </c>
      <c r="DK552">
        <v>1575</v>
      </c>
      <c r="DL552">
        <v>3000</v>
      </c>
      <c r="DM552">
        <v>0.95240000000000002</v>
      </c>
      <c r="DN552">
        <v>0.30919999999999997</v>
      </c>
      <c r="DO552">
        <v>74</v>
      </c>
      <c r="DP552">
        <v>3000</v>
      </c>
    </row>
    <row r="553" spans="93:120" x14ac:dyDescent="0.25">
      <c r="CO553" t="s">
        <v>636</v>
      </c>
      <c r="CP553" t="s">
        <v>3</v>
      </c>
      <c r="CQ553" t="s">
        <v>32</v>
      </c>
      <c r="CR553">
        <v>46149</v>
      </c>
      <c r="CS553">
        <v>1</v>
      </c>
      <c r="CT553">
        <v>1</v>
      </c>
      <c r="CV553">
        <v>1</v>
      </c>
      <c r="CX553">
        <v>1.0416666666666667E-4</v>
      </c>
      <c r="CY553">
        <v>1.0416666666666667E-4</v>
      </c>
      <c r="CZ553">
        <v>0.21606481481481482</v>
      </c>
      <c r="DA553">
        <v>8.8449074074074069E-2</v>
      </c>
      <c r="DB553">
        <v>111</v>
      </c>
      <c r="DC553">
        <v>217</v>
      </c>
      <c r="DD553">
        <v>29</v>
      </c>
      <c r="DE553" t="s">
        <v>867</v>
      </c>
      <c r="DF553">
        <v>20754</v>
      </c>
      <c r="DG553">
        <v>0.26129999999999998</v>
      </c>
      <c r="DO553">
        <v>74</v>
      </c>
    </row>
    <row r="554" spans="93:120" x14ac:dyDescent="0.25">
      <c r="CO554" t="s">
        <v>636</v>
      </c>
      <c r="CP554" t="s">
        <v>3</v>
      </c>
      <c r="CQ554" t="s">
        <v>32</v>
      </c>
      <c r="CR554">
        <v>46153</v>
      </c>
      <c r="CS554">
        <v>1</v>
      </c>
      <c r="CT554">
        <v>1</v>
      </c>
      <c r="CV554">
        <v>1</v>
      </c>
      <c r="CX554">
        <v>1.6203703703703703E-4</v>
      </c>
      <c r="CY554">
        <v>1.6203703703703703E-4</v>
      </c>
      <c r="CZ554">
        <v>0.19957175925925927</v>
      </c>
      <c r="DA554">
        <v>0.12694444444444444</v>
      </c>
      <c r="DB554">
        <v>98</v>
      </c>
      <c r="DC554">
        <v>220</v>
      </c>
      <c r="DD554">
        <v>28</v>
      </c>
      <c r="DE554" t="s">
        <v>722</v>
      </c>
      <c r="DF554">
        <v>36660</v>
      </c>
      <c r="DG554">
        <v>0.28570000000000001</v>
      </c>
      <c r="DH554">
        <v>2</v>
      </c>
      <c r="DI554">
        <v>7.1400000000000005E-2</v>
      </c>
      <c r="DJ554">
        <v>10400</v>
      </c>
      <c r="DK554">
        <v>5200</v>
      </c>
      <c r="DL554">
        <v>5000</v>
      </c>
      <c r="DM554">
        <v>0.48080000000000001</v>
      </c>
      <c r="DN554">
        <v>0.12740000000000001</v>
      </c>
      <c r="DO554">
        <v>74</v>
      </c>
      <c r="DP554">
        <v>5000</v>
      </c>
    </row>
    <row r="555" spans="93:120" x14ac:dyDescent="0.25">
      <c r="CO555" t="s">
        <v>636</v>
      </c>
      <c r="CP555" t="s">
        <v>3</v>
      </c>
      <c r="CQ555" t="s">
        <v>32</v>
      </c>
      <c r="CR555">
        <v>46170</v>
      </c>
      <c r="CS555">
        <v>1</v>
      </c>
      <c r="CT555">
        <v>1</v>
      </c>
      <c r="CV555">
        <v>1</v>
      </c>
      <c r="CX555">
        <v>4.1666666666666669E-4</v>
      </c>
      <c r="CY555">
        <v>4.1666666666666669E-4</v>
      </c>
      <c r="CZ555">
        <v>0.18273148148148149</v>
      </c>
      <c r="DA555">
        <v>0.14781250000000001</v>
      </c>
      <c r="DB555">
        <v>112</v>
      </c>
      <c r="DC555">
        <v>221</v>
      </c>
      <c r="DD555">
        <v>27</v>
      </c>
      <c r="DE555" t="s">
        <v>749</v>
      </c>
      <c r="DF555">
        <v>22710</v>
      </c>
      <c r="DG555">
        <v>0.24110000000000001</v>
      </c>
      <c r="DO555">
        <v>74</v>
      </c>
    </row>
    <row r="556" spans="93:120" x14ac:dyDescent="0.25">
      <c r="CO556" t="s">
        <v>636</v>
      </c>
      <c r="CP556" t="s">
        <v>3</v>
      </c>
      <c r="CQ556" t="s">
        <v>564</v>
      </c>
      <c r="CR556">
        <v>46170</v>
      </c>
      <c r="CS556">
        <v>1</v>
      </c>
      <c r="CT556">
        <v>1</v>
      </c>
      <c r="CV556">
        <v>1</v>
      </c>
      <c r="CX556">
        <v>0</v>
      </c>
      <c r="CY556">
        <v>0</v>
      </c>
      <c r="CZ556">
        <v>0.16097222222222221</v>
      </c>
      <c r="DA556">
        <v>0.19690972222222222</v>
      </c>
      <c r="DB556">
        <v>120</v>
      </c>
      <c r="DC556">
        <v>203</v>
      </c>
      <c r="DD556">
        <v>19</v>
      </c>
      <c r="DE556" t="s">
        <v>725</v>
      </c>
      <c r="DF556">
        <v>34023</v>
      </c>
      <c r="DG556">
        <v>0.1583</v>
      </c>
      <c r="DO556">
        <v>74</v>
      </c>
    </row>
    <row r="557" spans="93:120" x14ac:dyDescent="0.25">
      <c r="CO557" t="s">
        <v>636</v>
      </c>
      <c r="CP557" t="s">
        <v>3</v>
      </c>
      <c r="CQ557" t="s">
        <v>96</v>
      </c>
      <c r="CR557">
        <v>46149</v>
      </c>
      <c r="CS557">
        <v>1</v>
      </c>
      <c r="CT557">
        <v>1</v>
      </c>
      <c r="CV557">
        <v>1</v>
      </c>
      <c r="CX557">
        <v>0</v>
      </c>
      <c r="CY557">
        <v>0</v>
      </c>
      <c r="CZ557">
        <v>0.26421296296296298</v>
      </c>
      <c r="DA557">
        <v>6.7048611111111114E-2</v>
      </c>
      <c r="DB557">
        <v>107</v>
      </c>
      <c r="DC557">
        <v>167</v>
      </c>
      <c r="DD557">
        <v>22</v>
      </c>
      <c r="DE557" t="s">
        <v>740</v>
      </c>
      <c r="DF557">
        <v>13139</v>
      </c>
      <c r="DG557">
        <v>0.2056</v>
      </c>
      <c r="DO557">
        <v>74</v>
      </c>
    </row>
    <row r="558" spans="93:120" x14ac:dyDescent="0.25">
      <c r="CO558" t="s">
        <v>636</v>
      </c>
      <c r="CP558" t="s">
        <v>3</v>
      </c>
      <c r="CQ558" t="s">
        <v>68</v>
      </c>
      <c r="CR558">
        <v>46156</v>
      </c>
      <c r="CS558">
        <v>1</v>
      </c>
      <c r="CT558">
        <v>1</v>
      </c>
      <c r="CV558">
        <v>1</v>
      </c>
      <c r="CX558">
        <v>2.5462962962962961E-4</v>
      </c>
      <c r="CY558">
        <v>2.5462962962962961E-4</v>
      </c>
      <c r="CZ558">
        <v>0.16515046296296296</v>
      </c>
      <c r="DA558">
        <v>0.13641203703703703</v>
      </c>
      <c r="DB558">
        <v>74</v>
      </c>
      <c r="DC558">
        <v>173</v>
      </c>
      <c r="DD558">
        <v>20</v>
      </c>
      <c r="DE558">
        <v>1.7</v>
      </c>
      <c r="DF558">
        <v>28333</v>
      </c>
      <c r="DG558">
        <v>0.27029999999999998</v>
      </c>
      <c r="DH558">
        <v>1</v>
      </c>
      <c r="DI558">
        <v>0.05</v>
      </c>
      <c r="DJ558">
        <v>300</v>
      </c>
      <c r="DK558">
        <v>300</v>
      </c>
      <c r="DO558">
        <v>74</v>
      </c>
    </row>
    <row r="559" spans="93:120" x14ac:dyDescent="0.25">
      <c r="CO559" t="s">
        <v>636</v>
      </c>
      <c r="CP559" t="s">
        <v>2</v>
      </c>
      <c r="CQ559" t="s">
        <v>24</v>
      </c>
      <c r="CR559">
        <v>46161</v>
      </c>
      <c r="CS559">
        <v>1</v>
      </c>
      <c r="CT559">
        <v>1</v>
      </c>
      <c r="CV559">
        <v>1</v>
      </c>
      <c r="CX559">
        <v>4.0509259259259258E-4</v>
      </c>
      <c r="CY559">
        <v>4.0509259259259258E-4</v>
      </c>
      <c r="CZ559">
        <v>0.19170138888888888</v>
      </c>
      <c r="DA559">
        <v>0.17659722222222221</v>
      </c>
      <c r="DB559">
        <v>57</v>
      </c>
      <c r="DC559">
        <v>104</v>
      </c>
      <c r="DD559">
        <v>20</v>
      </c>
      <c r="DE559">
        <v>1.95</v>
      </c>
      <c r="DF559">
        <v>32290</v>
      </c>
      <c r="DG559">
        <v>0.35089999999999999</v>
      </c>
      <c r="DH559">
        <v>2</v>
      </c>
      <c r="DI559">
        <v>0.1</v>
      </c>
      <c r="DJ559">
        <v>4600</v>
      </c>
      <c r="DK559">
        <v>2300</v>
      </c>
      <c r="DL559">
        <v>4000</v>
      </c>
      <c r="DM559">
        <v>0.86960000000000004</v>
      </c>
      <c r="DN559">
        <v>0.1336</v>
      </c>
      <c r="DO559">
        <v>72</v>
      </c>
      <c r="DP559">
        <v>4000</v>
      </c>
    </row>
    <row r="560" spans="93:120" x14ac:dyDescent="0.25">
      <c r="CO560" t="s">
        <v>636</v>
      </c>
      <c r="CP560" t="s">
        <v>2</v>
      </c>
      <c r="CQ560" t="s">
        <v>24</v>
      </c>
      <c r="CR560">
        <v>46167</v>
      </c>
      <c r="CS560">
        <v>1</v>
      </c>
      <c r="CT560">
        <v>1</v>
      </c>
      <c r="CU560">
        <v>1</v>
      </c>
      <c r="CX560">
        <v>6.3194444444444444E-3</v>
      </c>
      <c r="CY560">
        <v>6.3194444444444444E-3</v>
      </c>
      <c r="CZ560">
        <v>0.19209490740740739</v>
      </c>
      <c r="DA560">
        <v>0.14387731481481481</v>
      </c>
      <c r="DB560">
        <v>54</v>
      </c>
      <c r="DC560">
        <v>107</v>
      </c>
      <c r="DD560">
        <v>21</v>
      </c>
      <c r="DE560" t="s">
        <v>790</v>
      </c>
      <c r="DF560">
        <v>20305</v>
      </c>
      <c r="DG560">
        <v>0.38890000000000002</v>
      </c>
      <c r="DH560">
        <v>2</v>
      </c>
      <c r="DI560">
        <v>9.5200000000000007E-2</v>
      </c>
      <c r="DJ560">
        <v>9800</v>
      </c>
      <c r="DK560">
        <v>4900</v>
      </c>
      <c r="DL560">
        <v>9800</v>
      </c>
      <c r="DM560">
        <v>1</v>
      </c>
      <c r="DN560">
        <v>0.18790000000000001</v>
      </c>
      <c r="DO560">
        <v>72</v>
      </c>
      <c r="DP560">
        <v>4900</v>
      </c>
    </row>
    <row r="561" spans="93:120" x14ac:dyDescent="0.25">
      <c r="CO561" t="s">
        <v>636</v>
      </c>
      <c r="CP561" t="s">
        <v>2</v>
      </c>
      <c r="CQ561" t="s">
        <v>31</v>
      </c>
      <c r="CR561">
        <v>46172</v>
      </c>
      <c r="CS561">
        <v>1</v>
      </c>
      <c r="CT561">
        <v>1</v>
      </c>
      <c r="CV561">
        <v>1</v>
      </c>
      <c r="CX561">
        <v>1.0416666666666667E-4</v>
      </c>
      <c r="CY561">
        <v>1.0416666666666667E-4</v>
      </c>
      <c r="CZ561">
        <v>0.17268518518518519</v>
      </c>
      <c r="DA561">
        <v>8.611111111111111E-3</v>
      </c>
      <c r="DB561">
        <v>29</v>
      </c>
      <c r="DC561">
        <v>51</v>
      </c>
      <c r="DD561">
        <v>9</v>
      </c>
      <c r="DE561" t="s">
        <v>718</v>
      </c>
      <c r="DF561">
        <v>20073</v>
      </c>
      <c r="DG561">
        <v>0.31030000000000002</v>
      </c>
      <c r="DH561">
        <v>1</v>
      </c>
      <c r="DI561">
        <v>0.1111</v>
      </c>
      <c r="DJ561">
        <v>2100</v>
      </c>
      <c r="DK561">
        <v>2100</v>
      </c>
      <c r="DO561">
        <v>72</v>
      </c>
    </row>
    <row r="562" spans="93:120" x14ac:dyDescent="0.25">
      <c r="CO562" t="s">
        <v>636</v>
      </c>
      <c r="CP562" t="s">
        <v>2</v>
      </c>
      <c r="CQ562" t="s">
        <v>25</v>
      </c>
      <c r="CR562">
        <v>46148</v>
      </c>
      <c r="CS562">
        <v>1</v>
      </c>
      <c r="CT562">
        <v>1</v>
      </c>
      <c r="CU562">
        <v>1</v>
      </c>
      <c r="CX562">
        <v>8.8078703703703704E-3</v>
      </c>
      <c r="CY562">
        <v>8.8078703703703704E-3</v>
      </c>
      <c r="CZ562">
        <v>0.21111111111111111</v>
      </c>
      <c r="DA562">
        <v>0.12097222222222222</v>
      </c>
      <c r="DB562">
        <v>48</v>
      </c>
      <c r="DC562">
        <v>128</v>
      </c>
      <c r="DD562">
        <v>18</v>
      </c>
      <c r="DE562" t="s">
        <v>868</v>
      </c>
      <c r="DF562">
        <v>46859</v>
      </c>
      <c r="DG562">
        <v>0.375</v>
      </c>
      <c r="DH562">
        <v>1</v>
      </c>
      <c r="DI562">
        <v>5.5599999999999997E-2</v>
      </c>
      <c r="DJ562">
        <v>3080</v>
      </c>
      <c r="DK562">
        <v>3080</v>
      </c>
      <c r="DL562">
        <v>3080</v>
      </c>
      <c r="DM562">
        <v>1</v>
      </c>
      <c r="DN562">
        <v>0.1817</v>
      </c>
      <c r="DO562">
        <v>72</v>
      </c>
      <c r="DP562">
        <v>3080</v>
      </c>
    </row>
    <row r="563" spans="93:120" x14ac:dyDescent="0.25">
      <c r="CO563" t="s">
        <v>636</v>
      </c>
      <c r="CP563" t="s">
        <v>2</v>
      </c>
      <c r="CQ563" t="s">
        <v>10</v>
      </c>
      <c r="CR563">
        <v>46146</v>
      </c>
      <c r="CS563">
        <v>1</v>
      </c>
      <c r="CT563">
        <v>1</v>
      </c>
      <c r="CV563">
        <v>1</v>
      </c>
      <c r="CX563">
        <v>1.6203703703703703E-4</v>
      </c>
      <c r="CY563">
        <v>1.6203703703703703E-4</v>
      </c>
      <c r="CZ563">
        <v>0.24839120370370371</v>
      </c>
      <c r="DA563">
        <v>9.6539351851851848E-2</v>
      </c>
      <c r="DB563">
        <v>81</v>
      </c>
      <c r="DC563">
        <v>153</v>
      </c>
      <c r="DD563">
        <v>26</v>
      </c>
      <c r="DE563" t="s">
        <v>708</v>
      </c>
      <c r="DF563">
        <v>15095</v>
      </c>
      <c r="DG563">
        <v>0.32100000000000001</v>
      </c>
      <c r="DH563">
        <v>1</v>
      </c>
      <c r="DI563">
        <v>3.85E-2</v>
      </c>
      <c r="DJ563">
        <v>210</v>
      </c>
      <c r="DK563">
        <v>210</v>
      </c>
      <c r="DL563">
        <v>210</v>
      </c>
      <c r="DM563">
        <v>1</v>
      </c>
      <c r="DO563">
        <v>72</v>
      </c>
      <c r="DP563">
        <v>210</v>
      </c>
    </row>
    <row r="564" spans="93:120" x14ac:dyDescent="0.25">
      <c r="CO564" t="s">
        <v>636</v>
      </c>
      <c r="CP564" t="s">
        <v>6</v>
      </c>
      <c r="CQ564" t="s">
        <v>97</v>
      </c>
      <c r="CR564">
        <v>46147</v>
      </c>
      <c r="CS564">
        <v>1</v>
      </c>
      <c r="CT564">
        <v>1</v>
      </c>
      <c r="CV564">
        <v>1</v>
      </c>
      <c r="CX564">
        <v>1.0416666666666667E-4</v>
      </c>
      <c r="CY564">
        <v>1.0416666666666667E-4</v>
      </c>
      <c r="CZ564">
        <v>0.28186342592592595</v>
      </c>
      <c r="DA564">
        <v>0.12390046296296296</v>
      </c>
      <c r="DB564">
        <v>167</v>
      </c>
      <c r="DC564">
        <v>251</v>
      </c>
      <c r="DD564">
        <v>27</v>
      </c>
      <c r="DE564">
        <v>2</v>
      </c>
      <c r="DF564">
        <v>22923</v>
      </c>
      <c r="DG564">
        <v>0.16170000000000001</v>
      </c>
      <c r="DH564">
        <v>1</v>
      </c>
      <c r="DI564">
        <v>3.6999999999999998E-2</v>
      </c>
      <c r="DJ564">
        <v>3300</v>
      </c>
      <c r="DK564">
        <v>3300</v>
      </c>
      <c r="DO564">
        <v>72</v>
      </c>
    </row>
    <row r="565" spans="93:120" x14ac:dyDescent="0.25">
      <c r="CO565" t="s">
        <v>636</v>
      </c>
      <c r="CP565" t="s">
        <v>604</v>
      </c>
      <c r="CQ565" t="s">
        <v>109</v>
      </c>
      <c r="CR565">
        <v>46146</v>
      </c>
      <c r="CS565">
        <v>1</v>
      </c>
      <c r="CT565">
        <v>1</v>
      </c>
      <c r="CU565">
        <v>1</v>
      </c>
      <c r="CX565">
        <v>5.6018518518518518E-3</v>
      </c>
      <c r="CY565">
        <v>5.6018518518518518E-3</v>
      </c>
      <c r="CZ565">
        <v>0.24032407407407408</v>
      </c>
      <c r="DA565">
        <v>8.5150462962962969E-2</v>
      </c>
      <c r="DB565">
        <v>73</v>
      </c>
      <c r="DC565">
        <v>106</v>
      </c>
      <c r="DD565">
        <v>24</v>
      </c>
      <c r="DE565">
        <v>1.5</v>
      </c>
      <c r="DF565">
        <v>16537</v>
      </c>
      <c r="DG565">
        <v>0.32879999999999998</v>
      </c>
      <c r="DH565">
        <v>6</v>
      </c>
      <c r="DI565">
        <v>0.25</v>
      </c>
      <c r="DJ565">
        <v>4333</v>
      </c>
      <c r="DK565">
        <v>722</v>
      </c>
      <c r="DL565">
        <v>3333</v>
      </c>
      <c r="DM565">
        <v>0.76919999999999999</v>
      </c>
      <c r="DN565">
        <v>0.2097</v>
      </c>
      <c r="DO565">
        <v>72</v>
      </c>
      <c r="DP565">
        <v>667</v>
      </c>
    </row>
    <row r="566" spans="93:120" x14ac:dyDescent="0.25">
      <c r="CO566" t="s">
        <v>636</v>
      </c>
      <c r="CP566" t="s">
        <v>604</v>
      </c>
      <c r="CQ566" t="s">
        <v>41</v>
      </c>
      <c r="CR566">
        <v>46148</v>
      </c>
      <c r="CS566">
        <v>1</v>
      </c>
      <c r="CT566">
        <v>1</v>
      </c>
      <c r="CU566">
        <v>1</v>
      </c>
      <c r="CX566">
        <v>4.4791666666666669E-3</v>
      </c>
      <c r="CY566">
        <v>4.4791666666666669E-3</v>
      </c>
      <c r="CZ566">
        <v>0.19070601851851851</v>
      </c>
      <c r="DA566">
        <v>9.1111111111111115E-2</v>
      </c>
      <c r="DB566">
        <v>116</v>
      </c>
      <c r="DC566">
        <v>240</v>
      </c>
      <c r="DD566">
        <v>24</v>
      </c>
      <c r="DE566">
        <v>2.625</v>
      </c>
      <c r="DF566">
        <v>9574</v>
      </c>
      <c r="DG566">
        <v>0.2069</v>
      </c>
      <c r="DH566">
        <v>1</v>
      </c>
      <c r="DI566">
        <v>4.1700000000000001E-2</v>
      </c>
      <c r="DJ566">
        <v>150</v>
      </c>
      <c r="DK566">
        <v>150</v>
      </c>
      <c r="DO566">
        <v>72</v>
      </c>
    </row>
    <row r="567" spans="93:120" x14ac:dyDescent="0.25">
      <c r="CO567" t="s">
        <v>636</v>
      </c>
      <c r="CP567" t="s">
        <v>604</v>
      </c>
      <c r="CQ567" t="s">
        <v>41</v>
      </c>
      <c r="CR567">
        <v>46168</v>
      </c>
      <c r="CS567">
        <v>1</v>
      </c>
      <c r="CT567">
        <v>1</v>
      </c>
      <c r="CU567">
        <v>1</v>
      </c>
      <c r="CX567">
        <v>1.4722222222222222E-2</v>
      </c>
      <c r="CY567">
        <v>1.4722222222222222E-2</v>
      </c>
      <c r="CZ567">
        <v>9.600694444444445E-2</v>
      </c>
      <c r="DA567">
        <v>0.17173611111111112</v>
      </c>
      <c r="DB567">
        <v>58</v>
      </c>
      <c r="DC567">
        <v>140</v>
      </c>
      <c r="DD567">
        <v>16</v>
      </c>
      <c r="DE567">
        <v>1.6875</v>
      </c>
      <c r="DF567">
        <v>11691</v>
      </c>
      <c r="DG567">
        <v>0.27589999999999998</v>
      </c>
      <c r="DH567">
        <v>2</v>
      </c>
      <c r="DI567">
        <v>0.125</v>
      </c>
      <c r="DJ567">
        <v>1850</v>
      </c>
      <c r="DK567">
        <v>925</v>
      </c>
      <c r="DL567">
        <v>350</v>
      </c>
      <c r="DM567">
        <v>0.18920000000000001</v>
      </c>
      <c r="DN567">
        <v>3.4799999999999998E-2</v>
      </c>
      <c r="DO567">
        <v>72</v>
      </c>
      <c r="DP567">
        <v>350</v>
      </c>
    </row>
    <row r="568" spans="93:120" x14ac:dyDescent="0.25">
      <c r="CO568" t="s">
        <v>636</v>
      </c>
      <c r="CP568" t="s">
        <v>604</v>
      </c>
      <c r="CQ568" t="s">
        <v>495</v>
      </c>
      <c r="CR568">
        <v>46157</v>
      </c>
      <c r="CS568">
        <v>1</v>
      </c>
      <c r="CT568">
        <v>1</v>
      </c>
      <c r="CV568">
        <v>1</v>
      </c>
      <c r="CX568">
        <v>5.3240740740740744E-4</v>
      </c>
      <c r="CY568">
        <v>5.3240740740740744E-4</v>
      </c>
      <c r="CZ568">
        <v>0.23537037037037037</v>
      </c>
      <c r="DA568">
        <v>7.0162037037037037E-2</v>
      </c>
      <c r="DB568">
        <v>62</v>
      </c>
      <c r="DC568">
        <v>119</v>
      </c>
      <c r="DD568">
        <v>20</v>
      </c>
      <c r="DE568">
        <v>1.8</v>
      </c>
      <c r="DF568">
        <v>22999</v>
      </c>
      <c r="DG568">
        <v>0.3226</v>
      </c>
      <c r="DH568">
        <v>2</v>
      </c>
      <c r="DI568">
        <v>0.1</v>
      </c>
      <c r="DJ568">
        <v>1800</v>
      </c>
      <c r="DK568">
        <v>900</v>
      </c>
      <c r="DO568">
        <v>72</v>
      </c>
    </row>
    <row r="569" spans="93:120" x14ac:dyDescent="0.25">
      <c r="CO569" t="s">
        <v>636</v>
      </c>
      <c r="CP569" t="s">
        <v>604</v>
      </c>
      <c r="CQ569" t="s">
        <v>600</v>
      </c>
      <c r="CR569">
        <v>46164</v>
      </c>
      <c r="CS569">
        <v>1</v>
      </c>
      <c r="CT569">
        <v>1</v>
      </c>
      <c r="CV569">
        <v>1</v>
      </c>
      <c r="CX569">
        <v>0</v>
      </c>
      <c r="CY569">
        <v>0</v>
      </c>
      <c r="CZ569">
        <v>0.20443287037037036</v>
      </c>
      <c r="DA569">
        <v>0.13436342592592593</v>
      </c>
      <c r="DB569">
        <v>122</v>
      </c>
      <c r="DC569">
        <v>184</v>
      </c>
      <c r="DD569">
        <v>24</v>
      </c>
      <c r="DE569" t="s">
        <v>869</v>
      </c>
      <c r="DF569">
        <v>17026</v>
      </c>
      <c r="DG569">
        <v>0.19670000000000001</v>
      </c>
      <c r="DH569">
        <v>1</v>
      </c>
      <c r="DI569">
        <v>4.1700000000000001E-2</v>
      </c>
      <c r="DJ569">
        <v>1450</v>
      </c>
      <c r="DK569">
        <v>1450</v>
      </c>
      <c r="DO569">
        <v>72</v>
      </c>
    </row>
    <row r="570" spans="93:120" x14ac:dyDescent="0.25">
      <c r="CO570" t="s">
        <v>636</v>
      </c>
      <c r="CP570" t="s">
        <v>604</v>
      </c>
      <c r="CQ570" t="s">
        <v>55</v>
      </c>
      <c r="CR570">
        <v>46147</v>
      </c>
      <c r="CS570">
        <v>1</v>
      </c>
      <c r="CT570">
        <v>1</v>
      </c>
      <c r="CV570">
        <v>1</v>
      </c>
      <c r="CX570">
        <v>8.1018518518518516E-5</v>
      </c>
      <c r="CY570">
        <v>8.1018518518518516E-5</v>
      </c>
      <c r="CZ570">
        <v>0.30560185185185185</v>
      </c>
      <c r="DA570">
        <v>8.6886574074074074E-2</v>
      </c>
      <c r="DB570">
        <v>221</v>
      </c>
      <c r="DC570">
        <v>410</v>
      </c>
      <c r="DD570">
        <v>51</v>
      </c>
      <c r="DE570" t="s">
        <v>699</v>
      </c>
      <c r="DF570">
        <v>7780</v>
      </c>
      <c r="DG570">
        <v>0.23080000000000001</v>
      </c>
      <c r="DH570">
        <v>2</v>
      </c>
      <c r="DI570">
        <v>3.9199999999999999E-2</v>
      </c>
      <c r="DJ570">
        <v>510</v>
      </c>
      <c r="DK570">
        <v>255</v>
      </c>
      <c r="DL570">
        <v>300</v>
      </c>
      <c r="DM570">
        <v>0.58819999999999995</v>
      </c>
      <c r="DO570">
        <v>72</v>
      </c>
      <c r="DP570">
        <v>300</v>
      </c>
    </row>
    <row r="571" spans="93:120" x14ac:dyDescent="0.25">
      <c r="CO571" t="s">
        <v>636</v>
      </c>
      <c r="CP571" t="s">
        <v>604</v>
      </c>
      <c r="CQ571" t="s">
        <v>55</v>
      </c>
      <c r="CR571">
        <v>46154</v>
      </c>
      <c r="CS571">
        <v>1</v>
      </c>
      <c r="CT571">
        <v>1</v>
      </c>
      <c r="CV571">
        <v>1</v>
      </c>
      <c r="CX571">
        <v>1.273148148148148E-4</v>
      </c>
      <c r="CY571">
        <v>1.273148148148148E-4</v>
      </c>
      <c r="CZ571">
        <v>0.29542824074074076</v>
      </c>
      <c r="DA571">
        <v>0.1058449074074074</v>
      </c>
      <c r="DB571">
        <v>273</v>
      </c>
      <c r="DC571">
        <v>361</v>
      </c>
      <c r="DD571">
        <v>41</v>
      </c>
      <c r="DE571" t="s">
        <v>870</v>
      </c>
      <c r="DF571">
        <v>10337</v>
      </c>
      <c r="DG571">
        <v>0.1502</v>
      </c>
      <c r="DH571">
        <v>1</v>
      </c>
      <c r="DI571">
        <v>2.4400000000000002E-2</v>
      </c>
      <c r="DJ571">
        <v>200</v>
      </c>
      <c r="DK571">
        <v>200</v>
      </c>
      <c r="DL571">
        <v>200</v>
      </c>
      <c r="DM571">
        <v>1</v>
      </c>
      <c r="DO571">
        <v>72</v>
      </c>
      <c r="DP571">
        <v>200</v>
      </c>
    </row>
    <row r="572" spans="93:120" x14ac:dyDescent="0.25">
      <c r="CO572" t="s">
        <v>636</v>
      </c>
      <c r="CP572" t="s">
        <v>604</v>
      </c>
      <c r="CQ572" t="s">
        <v>566</v>
      </c>
      <c r="CR572">
        <v>46150</v>
      </c>
      <c r="CS572">
        <v>1</v>
      </c>
      <c r="CT572">
        <v>1</v>
      </c>
      <c r="CU572">
        <v>1</v>
      </c>
      <c r="CX572">
        <v>7.3495370370370372E-3</v>
      </c>
      <c r="CY572">
        <v>7.3495370370370372E-3</v>
      </c>
      <c r="CZ572">
        <v>0.16464120370370369</v>
      </c>
      <c r="DA572">
        <v>0.12795138888888888</v>
      </c>
      <c r="DB572">
        <v>127</v>
      </c>
      <c r="DC572">
        <v>215</v>
      </c>
      <c r="DD572">
        <v>40</v>
      </c>
      <c r="DE572">
        <v>1.7749999999999999</v>
      </c>
      <c r="DF572">
        <v>11188</v>
      </c>
      <c r="DG572">
        <v>0.315</v>
      </c>
      <c r="DH572">
        <v>1</v>
      </c>
      <c r="DI572">
        <v>2.5000000000000001E-2</v>
      </c>
      <c r="DJ572">
        <v>1615</v>
      </c>
      <c r="DK572">
        <v>1615</v>
      </c>
      <c r="DL572">
        <v>1615</v>
      </c>
      <c r="DM572">
        <v>1</v>
      </c>
      <c r="DN572">
        <v>0.125</v>
      </c>
      <c r="DO572">
        <v>72</v>
      </c>
      <c r="DP572">
        <v>1615</v>
      </c>
    </row>
    <row r="573" spans="93:120" x14ac:dyDescent="0.25">
      <c r="CO573" t="s">
        <v>636</v>
      </c>
      <c r="CP573" t="s">
        <v>604</v>
      </c>
      <c r="CQ573" t="s">
        <v>566</v>
      </c>
      <c r="CR573">
        <v>46171</v>
      </c>
      <c r="CS573">
        <v>1</v>
      </c>
      <c r="CT573">
        <v>1</v>
      </c>
      <c r="CU573">
        <v>1</v>
      </c>
      <c r="CX573">
        <v>1.7222222222222222E-2</v>
      </c>
      <c r="CY573">
        <v>1.7222222222222222E-2</v>
      </c>
      <c r="CZ573">
        <v>0.19305555555555556</v>
      </c>
      <c r="DA573">
        <v>0.18671296296296297</v>
      </c>
      <c r="DB573">
        <v>121</v>
      </c>
      <c r="DC573">
        <v>210</v>
      </c>
      <c r="DD573">
        <v>35</v>
      </c>
      <c r="DE573" t="s">
        <v>812</v>
      </c>
      <c r="DF573">
        <v>7864</v>
      </c>
      <c r="DG573">
        <v>0.2893</v>
      </c>
      <c r="DH573">
        <v>1</v>
      </c>
      <c r="DI573">
        <v>2.86E-2</v>
      </c>
      <c r="DJ573">
        <v>180</v>
      </c>
      <c r="DK573">
        <v>180</v>
      </c>
      <c r="DL573">
        <v>180</v>
      </c>
      <c r="DM573">
        <v>1</v>
      </c>
      <c r="DN573">
        <v>0.1104</v>
      </c>
      <c r="DO573">
        <v>72</v>
      </c>
      <c r="DP573">
        <v>180</v>
      </c>
    </row>
    <row r="574" spans="93:120" x14ac:dyDescent="0.25">
      <c r="CO574" t="s">
        <v>636</v>
      </c>
      <c r="CP574" t="s">
        <v>604</v>
      </c>
      <c r="CQ574" t="s">
        <v>78</v>
      </c>
      <c r="CR574">
        <v>46169</v>
      </c>
      <c r="CS574">
        <v>1</v>
      </c>
      <c r="CT574">
        <v>1</v>
      </c>
      <c r="CV574">
        <v>1</v>
      </c>
      <c r="CX574">
        <v>3.5879629629629629E-4</v>
      </c>
      <c r="CY574">
        <v>3.5879629629629629E-4</v>
      </c>
      <c r="CZ574">
        <v>0.11390046296296297</v>
      </c>
      <c r="DA574">
        <v>0.1267824074074074</v>
      </c>
      <c r="DB574">
        <v>65</v>
      </c>
      <c r="DC574">
        <v>118</v>
      </c>
      <c r="DD574">
        <v>22</v>
      </c>
      <c r="DE574" t="s">
        <v>717</v>
      </c>
      <c r="DF574">
        <v>22866</v>
      </c>
      <c r="DG574">
        <v>0.33850000000000002</v>
      </c>
      <c r="DH574">
        <v>2</v>
      </c>
      <c r="DI574">
        <v>9.0899999999999995E-2</v>
      </c>
      <c r="DJ574">
        <v>3200</v>
      </c>
      <c r="DK574">
        <v>1600</v>
      </c>
      <c r="DO574">
        <v>72</v>
      </c>
    </row>
    <row r="575" spans="93:120" x14ac:dyDescent="0.25">
      <c r="CO575" t="s">
        <v>636</v>
      </c>
      <c r="CP575" t="s">
        <v>3</v>
      </c>
      <c r="CQ575" t="s">
        <v>564</v>
      </c>
      <c r="CR575">
        <v>46154</v>
      </c>
      <c r="CS575">
        <v>1</v>
      </c>
      <c r="CT575">
        <v>1</v>
      </c>
      <c r="CV575">
        <v>1</v>
      </c>
      <c r="CX575">
        <v>0</v>
      </c>
      <c r="CY575">
        <v>0</v>
      </c>
      <c r="CZ575">
        <v>0.29929398148148151</v>
      </c>
      <c r="DA575">
        <v>0.12361111111111112</v>
      </c>
      <c r="DB575">
        <v>133</v>
      </c>
      <c r="DC575">
        <v>242</v>
      </c>
      <c r="DD575">
        <v>30</v>
      </c>
      <c r="DE575" t="s">
        <v>742</v>
      </c>
      <c r="DF575">
        <v>28922</v>
      </c>
      <c r="DG575">
        <v>0.22559999999999999</v>
      </c>
      <c r="DH575">
        <v>1</v>
      </c>
      <c r="DI575">
        <v>3.3300000000000003E-2</v>
      </c>
      <c r="DJ575">
        <v>400</v>
      </c>
      <c r="DK575">
        <v>400</v>
      </c>
      <c r="DO575">
        <v>72</v>
      </c>
    </row>
    <row r="576" spans="93:120" x14ac:dyDescent="0.25">
      <c r="CO576" t="s">
        <v>636</v>
      </c>
      <c r="CP576" t="s">
        <v>3</v>
      </c>
      <c r="CQ576" t="s">
        <v>564</v>
      </c>
      <c r="CR576">
        <v>46167</v>
      </c>
      <c r="CS576">
        <v>1</v>
      </c>
      <c r="CT576">
        <v>1</v>
      </c>
      <c r="CV576">
        <v>1</v>
      </c>
      <c r="CX576">
        <v>0</v>
      </c>
      <c r="CY576">
        <v>0</v>
      </c>
      <c r="CZ576">
        <v>0.18469907407407407</v>
      </c>
      <c r="DA576">
        <v>0.16462962962962963</v>
      </c>
      <c r="DB576">
        <v>124</v>
      </c>
      <c r="DC576">
        <v>202</v>
      </c>
      <c r="DD576">
        <v>28</v>
      </c>
      <c r="DE576" t="s">
        <v>871</v>
      </c>
      <c r="DF576">
        <v>35659</v>
      </c>
      <c r="DG576">
        <v>0.2258</v>
      </c>
      <c r="DH576">
        <v>2</v>
      </c>
      <c r="DI576">
        <v>7.1400000000000005E-2</v>
      </c>
      <c r="DJ576">
        <v>885</v>
      </c>
      <c r="DK576">
        <v>443</v>
      </c>
      <c r="DO576">
        <v>72</v>
      </c>
    </row>
    <row r="577" spans="93:120" x14ac:dyDescent="0.25">
      <c r="CO577" t="s">
        <v>636</v>
      </c>
      <c r="CP577" t="s">
        <v>3</v>
      </c>
      <c r="CQ577" t="s">
        <v>96</v>
      </c>
      <c r="CR577">
        <v>46155</v>
      </c>
      <c r="CS577">
        <v>1</v>
      </c>
      <c r="CT577">
        <v>1</v>
      </c>
      <c r="CV577">
        <v>1</v>
      </c>
      <c r="CX577">
        <v>0</v>
      </c>
      <c r="CY577">
        <v>0</v>
      </c>
      <c r="CZ577">
        <v>0.20789351851851851</v>
      </c>
      <c r="DA577">
        <v>0.1188425925925926</v>
      </c>
      <c r="DB577">
        <v>89</v>
      </c>
      <c r="DC577">
        <v>184</v>
      </c>
      <c r="DD577">
        <v>41</v>
      </c>
      <c r="DE577" t="s">
        <v>872</v>
      </c>
      <c r="DF577">
        <v>17773</v>
      </c>
      <c r="DG577">
        <v>0.4607</v>
      </c>
      <c r="DH577">
        <v>1</v>
      </c>
      <c r="DI577">
        <v>2.4400000000000002E-2</v>
      </c>
      <c r="DJ577">
        <v>900</v>
      </c>
      <c r="DK577">
        <v>900</v>
      </c>
      <c r="DL577">
        <v>900</v>
      </c>
      <c r="DM577">
        <v>1</v>
      </c>
      <c r="DN577">
        <v>0.2109</v>
      </c>
      <c r="DO577">
        <v>72</v>
      </c>
      <c r="DP577">
        <v>900</v>
      </c>
    </row>
    <row r="578" spans="93:120" x14ac:dyDescent="0.25">
      <c r="CO578" t="s">
        <v>636</v>
      </c>
      <c r="CP578" t="s">
        <v>3</v>
      </c>
      <c r="CQ578" t="s">
        <v>79</v>
      </c>
      <c r="CR578">
        <v>46155</v>
      </c>
      <c r="CS578">
        <v>1</v>
      </c>
      <c r="CT578">
        <v>1</v>
      </c>
      <c r="CU578">
        <v>1</v>
      </c>
      <c r="CX578">
        <v>4.2476851851851851E-3</v>
      </c>
      <c r="CY578">
        <v>4.2476851851851851E-3</v>
      </c>
      <c r="CZ578">
        <v>0.19565972222222222</v>
      </c>
      <c r="DA578">
        <v>0.12493055555555556</v>
      </c>
      <c r="DB578">
        <v>99</v>
      </c>
      <c r="DC578">
        <v>205</v>
      </c>
      <c r="DD578">
        <v>30</v>
      </c>
      <c r="DE578">
        <v>1.5</v>
      </c>
      <c r="DF578">
        <v>24325</v>
      </c>
      <c r="DG578">
        <v>0.30299999999999999</v>
      </c>
      <c r="DH578">
        <v>1</v>
      </c>
      <c r="DI578">
        <v>3.3300000000000003E-2</v>
      </c>
      <c r="DJ578">
        <v>550</v>
      </c>
      <c r="DK578">
        <v>550</v>
      </c>
      <c r="DL578">
        <v>550</v>
      </c>
      <c r="DM578">
        <v>1</v>
      </c>
      <c r="DN578">
        <v>0.2152</v>
      </c>
      <c r="DO578">
        <v>72</v>
      </c>
      <c r="DP578">
        <v>550</v>
      </c>
    </row>
    <row r="579" spans="93:120" x14ac:dyDescent="0.25">
      <c r="CO579" t="s">
        <v>636</v>
      </c>
      <c r="CP579" t="s">
        <v>2</v>
      </c>
      <c r="CQ579" t="s">
        <v>22</v>
      </c>
      <c r="CR579">
        <v>46146</v>
      </c>
      <c r="CS579">
        <v>1</v>
      </c>
      <c r="CT579">
        <v>1</v>
      </c>
      <c r="CV579">
        <v>1</v>
      </c>
      <c r="CX579">
        <v>1.5046296296296296E-3</v>
      </c>
      <c r="CY579">
        <v>1.5046296296296296E-3</v>
      </c>
      <c r="CZ579">
        <v>0.26723379629629629</v>
      </c>
      <c r="DA579">
        <v>7.840277777777778E-2</v>
      </c>
      <c r="DB579">
        <v>59</v>
      </c>
      <c r="DC579">
        <v>97</v>
      </c>
      <c r="DD579">
        <v>22</v>
      </c>
      <c r="DE579" t="s">
        <v>873</v>
      </c>
      <c r="DF579">
        <v>16818</v>
      </c>
      <c r="DG579">
        <v>0.37290000000000001</v>
      </c>
      <c r="DH579">
        <v>5</v>
      </c>
      <c r="DI579">
        <v>0.2273</v>
      </c>
      <c r="DJ579">
        <v>6260</v>
      </c>
      <c r="DK579">
        <v>1252</v>
      </c>
      <c r="DL579">
        <v>4000</v>
      </c>
      <c r="DM579">
        <v>0.63900000000000001</v>
      </c>
      <c r="DN579">
        <v>7.9600000000000004E-2</v>
      </c>
      <c r="DO579">
        <v>70</v>
      </c>
      <c r="DP579">
        <v>1333</v>
      </c>
    </row>
    <row r="580" spans="93:120" x14ac:dyDescent="0.25">
      <c r="CO580" t="s">
        <v>636</v>
      </c>
      <c r="CP580" t="s">
        <v>2</v>
      </c>
      <c r="CQ580" t="s">
        <v>24</v>
      </c>
      <c r="CR580">
        <v>46154</v>
      </c>
      <c r="CS580">
        <v>1</v>
      </c>
      <c r="CT580">
        <v>1</v>
      </c>
      <c r="CV580">
        <v>1</v>
      </c>
      <c r="CX580">
        <v>1.7361111111111112E-4</v>
      </c>
      <c r="CY580">
        <v>1.7361111111111112E-4</v>
      </c>
      <c r="CZ580">
        <v>0.28249999999999997</v>
      </c>
      <c r="DA580">
        <v>0.1413425925925926</v>
      </c>
      <c r="DB580">
        <v>56</v>
      </c>
      <c r="DC580">
        <v>118</v>
      </c>
      <c r="DD580">
        <v>23</v>
      </c>
      <c r="DE580" t="s">
        <v>748</v>
      </c>
      <c r="DF580">
        <v>29157</v>
      </c>
      <c r="DG580">
        <v>0.41070000000000001</v>
      </c>
      <c r="DH580">
        <v>2</v>
      </c>
      <c r="DI580">
        <v>8.6999999999999994E-2</v>
      </c>
      <c r="DJ580">
        <v>1000</v>
      </c>
      <c r="DK580">
        <v>500</v>
      </c>
      <c r="DL580">
        <v>400</v>
      </c>
      <c r="DM580">
        <v>0.4</v>
      </c>
      <c r="DO580">
        <v>70</v>
      </c>
      <c r="DP580">
        <v>400</v>
      </c>
    </row>
    <row r="581" spans="93:120" x14ac:dyDescent="0.25">
      <c r="CO581" t="s">
        <v>636</v>
      </c>
      <c r="CP581" t="s">
        <v>2</v>
      </c>
      <c r="CQ581" t="s">
        <v>24</v>
      </c>
      <c r="CR581">
        <v>46157</v>
      </c>
      <c r="CS581">
        <v>1</v>
      </c>
      <c r="CT581">
        <v>1</v>
      </c>
      <c r="CU581">
        <v>1</v>
      </c>
      <c r="CX581">
        <v>9.525462962962963E-3</v>
      </c>
      <c r="CY581">
        <v>9.525462962962963E-3</v>
      </c>
      <c r="CZ581">
        <v>0.255</v>
      </c>
      <c r="DA581">
        <v>9.7592592592592592E-2</v>
      </c>
      <c r="DB581">
        <v>35</v>
      </c>
      <c r="DC581">
        <v>62</v>
      </c>
      <c r="DD581">
        <v>19</v>
      </c>
      <c r="DE581">
        <v>2</v>
      </c>
      <c r="DF581">
        <v>16488</v>
      </c>
      <c r="DG581">
        <v>0.54290000000000005</v>
      </c>
      <c r="DH581">
        <v>1</v>
      </c>
      <c r="DI581">
        <v>5.2600000000000001E-2</v>
      </c>
      <c r="DJ581">
        <v>600</v>
      </c>
      <c r="DK581">
        <v>600</v>
      </c>
      <c r="DL581">
        <v>600</v>
      </c>
      <c r="DM581">
        <v>1</v>
      </c>
      <c r="DO581">
        <v>70</v>
      </c>
      <c r="DP581">
        <v>600</v>
      </c>
    </row>
    <row r="582" spans="93:120" x14ac:dyDescent="0.25">
      <c r="CO582" t="s">
        <v>636</v>
      </c>
      <c r="CP582" t="s">
        <v>2</v>
      </c>
      <c r="CQ582" t="s">
        <v>13</v>
      </c>
      <c r="CR582">
        <v>46162</v>
      </c>
      <c r="CS582">
        <v>1</v>
      </c>
      <c r="CT582">
        <v>1</v>
      </c>
      <c r="CU582">
        <v>1</v>
      </c>
      <c r="CX582">
        <v>6.4004629629629628E-3</v>
      </c>
      <c r="CY582">
        <v>6.4004629629629628E-3</v>
      </c>
      <c r="CZ582">
        <v>0.20004629629629631</v>
      </c>
      <c r="DA582">
        <v>0.11984953703703703</v>
      </c>
      <c r="DB582">
        <v>97</v>
      </c>
      <c r="DC582">
        <v>200</v>
      </c>
      <c r="DD582">
        <v>13</v>
      </c>
      <c r="DE582" t="s">
        <v>874</v>
      </c>
      <c r="DF582">
        <v>41544</v>
      </c>
      <c r="DG582">
        <v>0.13400000000000001</v>
      </c>
      <c r="DH582">
        <v>1</v>
      </c>
      <c r="DI582">
        <v>7.6899999999999996E-2</v>
      </c>
      <c r="DJ582">
        <v>1300</v>
      </c>
      <c r="DK582">
        <v>1300</v>
      </c>
      <c r="DL582">
        <v>1300</v>
      </c>
      <c r="DM582">
        <v>1</v>
      </c>
      <c r="DN582">
        <v>0.1542</v>
      </c>
      <c r="DO582">
        <v>70</v>
      </c>
      <c r="DP582">
        <v>1300</v>
      </c>
    </row>
    <row r="583" spans="93:120" x14ac:dyDescent="0.25">
      <c r="CO583" t="s">
        <v>636</v>
      </c>
      <c r="CP583" t="s">
        <v>2</v>
      </c>
      <c r="CQ583" t="s">
        <v>13</v>
      </c>
      <c r="CR583">
        <v>46169</v>
      </c>
      <c r="CS583">
        <v>1</v>
      </c>
      <c r="CT583">
        <v>1</v>
      </c>
      <c r="CV583">
        <v>1</v>
      </c>
      <c r="CX583">
        <v>1.0416666666666667E-4</v>
      </c>
      <c r="CY583">
        <v>1.0416666666666667E-4</v>
      </c>
      <c r="CZ583">
        <v>0.1894675925925926</v>
      </c>
      <c r="DA583">
        <v>0.14913194444444444</v>
      </c>
      <c r="DB583">
        <v>86</v>
      </c>
      <c r="DC583">
        <v>172</v>
      </c>
      <c r="DD583">
        <v>21</v>
      </c>
      <c r="DE583" t="s">
        <v>679</v>
      </c>
      <c r="DF583">
        <v>22534</v>
      </c>
      <c r="DG583">
        <v>0.2442</v>
      </c>
      <c r="DH583">
        <v>1</v>
      </c>
      <c r="DI583">
        <v>4.7600000000000003E-2</v>
      </c>
      <c r="DJ583">
        <v>900</v>
      </c>
      <c r="DK583">
        <v>900</v>
      </c>
      <c r="DO583">
        <v>70</v>
      </c>
    </row>
    <row r="584" spans="93:120" x14ac:dyDescent="0.25">
      <c r="CO584" t="s">
        <v>636</v>
      </c>
      <c r="CP584" t="s">
        <v>2</v>
      </c>
      <c r="CQ584" t="s">
        <v>42</v>
      </c>
      <c r="CR584">
        <v>46170</v>
      </c>
      <c r="CS584">
        <v>1</v>
      </c>
      <c r="CT584">
        <v>1</v>
      </c>
      <c r="CU584">
        <v>1</v>
      </c>
      <c r="CX584">
        <v>1.1331018518518518E-2</v>
      </c>
      <c r="CY584">
        <v>1.1331018518518518E-2</v>
      </c>
      <c r="CZ584">
        <v>0.17024305555555555</v>
      </c>
      <c r="DA584">
        <v>0.1575462962962963</v>
      </c>
      <c r="DB584">
        <v>58</v>
      </c>
      <c r="DC584">
        <v>98</v>
      </c>
      <c r="DD584">
        <v>16</v>
      </c>
      <c r="DE584">
        <v>1.9375</v>
      </c>
      <c r="DF584">
        <v>21319</v>
      </c>
      <c r="DG584">
        <v>0.27589999999999998</v>
      </c>
      <c r="DH584">
        <v>1</v>
      </c>
      <c r="DI584">
        <v>6.25E-2</v>
      </c>
      <c r="DJ584">
        <v>400</v>
      </c>
      <c r="DK584">
        <v>400</v>
      </c>
      <c r="DL584">
        <v>400</v>
      </c>
      <c r="DM584">
        <v>1</v>
      </c>
      <c r="DN584">
        <v>0.26669999999999999</v>
      </c>
      <c r="DO584">
        <v>70</v>
      </c>
      <c r="DP584">
        <v>400</v>
      </c>
    </row>
    <row r="585" spans="93:120" x14ac:dyDescent="0.25">
      <c r="CO585" t="s">
        <v>636</v>
      </c>
      <c r="CP585" t="s">
        <v>2</v>
      </c>
      <c r="CQ585" t="s">
        <v>37</v>
      </c>
      <c r="CR585">
        <v>46157</v>
      </c>
      <c r="CS585">
        <v>1</v>
      </c>
      <c r="CT585">
        <v>1</v>
      </c>
      <c r="CV585">
        <v>1</v>
      </c>
      <c r="CX585">
        <v>1.3888888888888889E-4</v>
      </c>
      <c r="CY585">
        <v>1.3888888888888889E-4</v>
      </c>
      <c r="CZ585">
        <v>0.31146990740740743</v>
      </c>
      <c r="DA585">
        <v>3.349537037037037E-2</v>
      </c>
      <c r="DB585">
        <v>31</v>
      </c>
      <c r="DC585">
        <v>57</v>
      </c>
      <c r="DD585">
        <v>14</v>
      </c>
      <c r="DE585" t="s">
        <v>679</v>
      </c>
      <c r="DF585">
        <v>20758</v>
      </c>
      <c r="DG585">
        <v>0.4516</v>
      </c>
      <c r="DH585">
        <v>2</v>
      </c>
      <c r="DI585">
        <v>0.1429</v>
      </c>
      <c r="DJ585">
        <v>1200</v>
      </c>
      <c r="DK585">
        <v>600</v>
      </c>
      <c r="DL585">
        <v>500</v>
      </c>
      <c r="DM585">
        <v>0.41670000000000001</v>
      </c>
      <c r="DN585">
        <v>7.3700000000000002E-2</v>
      </c>
      <c r="DO585">
        <v>70</v>
      </c>
      <c r="DP585">
        <v>500</v>
      </c>
    </row>
    <row r="586" spans="93:120" x14ac:dyDescent="0.25">
      <c r="CO586" t="s">
        <v>636</v>
      </c>
      <c r="CP586" t="s">
        <v>2</v>
      </c>
      <c r="CQ586" t="s">
        <v>25</v>
      </c>
      <c r="CR586">
        <v>46146</v>
      </c>
      <c r="CS586">
        <v>1</v>
      </c>
      <c r="CT586">
        <v>1</v>
      </c>
      <c r="CU586">
        <v>1</v>
      </c>
      <c r="CX586">
        <v>1.0069444444444445E-2</v>
      </c>
      <c r="CY586">
        <v>1.0069444444444445E-2</v>
      </c>
      <c r="CZ586">
        <v>0.22842592592592592</v>
      </c>
      <c r="DA586">
        <v>0.10969907407407407</v>
      </c>
      <c r="DB586">
        <v>72</v>
      </c>
      <c r="DC586">
        <v>116</v>
      </c>
      <c r="DD586">
        <v>35</v>
      </c>
      <c r="DE586" t="s">
        <v>875</v>
      </c>
      <c r="DF586">
        <v>29375</v>
      </c>
      <c r="DG586">
        <v>0.48609999999999998</v>
      </c>
      <c r="DH586">
        <v>12</v>
      </c>
      <c r="DI586">
        <v>0.34289999999999998</v>
      </c>
      <c r="DJ586">
        <v>10690</v>
      </c>
      <c r="DK586">
        <v>891</v>
      </c>
      <c r="DL586">
        <v>8964</v>
      </c>
      <c r="DM586">
        <v>0.83850000000000002</v>
      </c>
      <c r="DO586">
        <v>70</v>
      </c>
      <c r="DP586">
        <v>815</v>
      </c>
    </row>
    <row r="587" spans="93:120" x14ac:dyDescent="0.25">
      <c r="CO587" t="s">
        <v>636</v>
      </c>
      <c r="CP587" t="s">
        <v>2</v>
      </c>
      <c r="CQ587" t="s">
        <v>25</v>
      </c>
      <c r="CR587">
        <v>46153</v>
      </c>
      <c r="CS587">
        <v>1</v>
      </c>
      <c r="CT587">
        <v>1</v>
      </c>
      <c r="CX587">
        <v>3.5879629629629629E-3</v>
      </c>
      <c r="CY587">
        <v>3.5879629629629629E-3</v>
      </c>
      <c r="CZ587">
        <v>0.17934027777777778</v>
      </c>
      <c r="DA587">
        <v>0.12731481481481483</v>
      </c>
      <c r="DB587">
        <v>52</v>
      </c>
      <c r="DC587">
        <v>109</v>
      </c>
      <c r="DD587">
        <v>15</v>
      </c>
      <c r="DE587" t="s">
        <v>710</v>
      </c>
      <c r="DF587">
        <v>26860</v>
      </c>
      <c r="DG587">
        <v>0.28849999999999998</v>
      </c>
      <c r="DH587">
        <v>1</v>
      </c>
      <c r="DI587">
        <v>6.6699999999999995E-2</v>
      </c>
      <c r="DJ587">
        <v>500</v>
      </c>
      <c r="DK587">
        <v>500</v>
      </c>
      <c r="DL587">
        <v>500</v>
      </c>
      <c r="DM587">
        <v>1</v>
      </c>
      <c r="DN587">
        <v>0.12520000000000001</v>
      </c>
      <c r="DO587">
        <v>70</v>
      </c>
      <c r="DP587">
        <v>500</v>
      </c>
    </row>
    <row r="588" spans="93:120" x14ac:dyDescent="0.25">
      <c r="CO588" t="s">
        <v>636</v>
      </c>
      <c r="CP588" t="s">
        <v>2</v>
      </c>
      <c r="CQ588" t="s">
        <v>25</v>
      </c>
      <c r="CR588">
        <v>46155</v>
      </c>
      <c r="CS588">
        <v>1</v>
      </c>
      <c r="CT588">
        <v>1</v>
      </c>
      <c r="CV588">
        <v>1</v>
      </c>
      <c r="CX588">
        <v>3.5879629629629629E-4</v>
      </c>
      <c r="CY588">
        <v>3.5879629629629629E-4</v>
      </c>
      <c r="CZ588">
        <v>0.19387731481481482</v>
      </c>
      <c r="DA588">
        <v>0.11373842592592592</v>
      </c>
      <c r="DB588">
        <v>64</v>
      </c>
      <c r="DC588">
        <v>144</v>
      </c>
      <c r="DD588">
        <v>30</v>
      </c>
      <c r="DE588" t="s">
        <v>739</v>
      </c>
      <c r="DF588">
        <v>26731</v>
      </c>
      <c r="DG588">
        <v>0.46879999999999999</v>
      </c>
      <c r="DH588">
        <v>1</v>
      </c>
      <c r="DI588">
        <v>3.3300000000000003E-2</v>
      </c>
      <c r="DJ588">
        <v>1500</v>
      </c>
      <c r="DK588">
        <v>1500</v>
      </c>
      <c r="DL588">
        <v>1500</v>
      </c>
      <c r="DM588">
        <v>1</v>
      </c>
      <c r="DN588">
        <v>0.1128</v>
      </c>
      <c r="DO588">
        <v>70</v>
      </c>
      <c r="DP588">
        <v>1500</v>
      </c>
    </row>
    <row r="589" spans="93:120" x14ac:dyDescent="0.25">
      <c r="CO589" t="s">
        <v>636</v>
      </c>
      <c r="CP589" t="s">
        <v>2</v>
      </c>
      <c r="CQ589" t="s">
        <v>25</v>
      </c>
      <c r="CR589">
        <v>46172</v>
      </c>
      <c r="CS589">
        <v>1</v>
      </c>
      <c r="CT589">
        <v>1</v>
      </c>
      <c r="CU589">
        <v>1</v>
      </c>
      <c r="CX589">
        <v>1.2314814814814815E-2</v>
      </c>
      <c r="CY589">
        <v>1.2314814814814815E-2</v>
      </c>
      <c r="CZ589">
        <v>5.0995370370370371E-2</v>
      </c>
      <c r="DA589">
        <v>0.12331018518518519</v>
      </c>
      <c r="DB589">
        <v>17</v>
      </c>
      <c r="DC589">
        <v>49</v>
      </c>
      <c r="DD589">
        <v>14</v>
      </c>
      <c r="DE589">
        <v>1.5</v>
      </c>
      <c r="DF589">
        <v>27734</v>
      </c>
      <c r="DG589">
        <v>0.82350000000000001</v>
      </c>
      <c r="DH589">
        <v>2</v>
      </c>
      <c r="DI589">
        <v>0.1429</v>
      </c>
      <c r="DJ589">
        <v>2725</v>
      </c>
      <c r="DK589">
        <v>1363</v>
      </c>
      <c r="DL589">
        <v>725</v>
      </c>
      <c r="DM589">
        <v>0.2661</v>
      </c>
      <c r="DN589">
        <v>4.7600000000000003E-2</v>
      </c>
      <c r="DO589">
        <v>70</v>
      </c>
      <c r="DP589">
        <v>725</v>
      </c>
    </row>
    <row r="590" spans="93:120" x14ac:dyDescent="0.25">
      <c r="CO590" t="s">
        <v>636</v>
      </c>
      <c r="CP590" t="s">
        <v>6</v>
      </c>
      <c r="CQ590" t="s">
        <v>105</v>
      </c>
      <c r="CR590">
        <v>46163</v>
      </c>
      <c r="CS590">
        <v>1</v>
      </c>
      <c r="CT590">
        <v>1</v>
      </c>
      <c r="CV590">
        <v>1</v>
      </c>
      <c r="CX590">
        <v>9.2592592592592588E-5</v>
      </c>
      <c r="CY590">
        <v>9.2592592592592588E-5</v>
      </c>
      <c r="CZ590">
        <v>0.19498842592592591</v>
      </c>
      <c r="DA590">
        <v>0.13344907407407408</v>
      </c>
      <c r="DB590">
        <v>78</v>
      </c>
      <c r="DC590">
        <v>169</v>
      </c>
      <c r="DD590">
        <v>16</v>
      </c>
      <c r="DE590">
        <v>2</v>
      </c>
      <c r="DF590">
        <v>37327</v>
      </c>
      <c r="DG590">
        <v>0.2051</v>
      </c>
      <c r="DH590">
        <v>1</v>
      </c>
      <c r="DI590">
        <v>6.25E-2</v>
      </c>
      <c r="DJ590">
        <v>500</v>
      </c>
      <c r="DK590">
        <v>500</v>
      </c>
      <c r="DO590">
        <v>70</v>
      </c>
    </row>
    <row r="591" spans="93:120" x14ac:dyDescent="0.25">
      <c r="CO591" t="s">
        <v>636</v>
      </c>
      <c r="CP591" t="s">
        <v>6</v>
      </c>
      <c r="CQ591" t="s">
        <v>35</v>
      </c>
      <c r="CR591">
        <v>46146</v>
      </c>
      <c r="CS591">
        <v>1</v>
      </c>
      <c r="CT591">
        <v>1</v>
      </c>
      <c r="CV591">
        <v>1</v>
      </c>
      <c r="CX591">
        <v>1.7361111111111112E-4</v>
      </c>
      <c r="CY591">
        <v>1.7361111111111112E-4</v>
      </c>
      <c r="CZ591">
        <v>0.1902662037037037</v>
      </c>
      <c r="DA591">
        <v>0.1411574074074074</v>
      </c>
      <c r="DB591">
        <v>66</v>
      </c>
      <c r="DC591">
        <v>114</v>
      </c>
      <c r="DD591">
        <v>34</v>
      </c>
      <c r="DE591" t="s">
        <v>821</v>
      </c>
      <c r="DF591">
        <v>28121</v>
      </c>
      <c r="DG591">
        <v>0.51519999999999999</v>
      </c>
      <c r="DH591">
        <v>14</v>
      </c>
      <c r="DI591">
        <v>0.4118</v>
      </c>
      <c r="DJ591">
        <v>21240</v>
      </c>
      <c r="DK591">
        <v>1517</v>
      </c>
      <c r="DL591">
        <v>20890</v>
      </c>
      <c r="DM591">
        <v>0.98350000000000004</v>
      </c>
      <c r="DN591">
        <v>0.31690000000000002</v>
      </c>
      <c r="DO591">
        <v>70</v>
      </c>
      <c r="DP591">
        <v>1607</v>
      </c>
    </row>
    <row r="592" spans="93:120" x14ac:dyDescent="0.25">
      <c r="CO592" t="s">
        <v>636</v>
      </c>
      <c r="CP592" t="s">
        <v>6</v>
      </c>
      <c r="CQ592" t="s">
        <v>35</v>
      </c>
      <c r="CR592">
        <v>46169</v>
      </c>
      <c r="CS592">
        <v>1</v>
      </c>
      <c r="CT592">
        <v>1</v>
      </c>
      <c r="CV592">
        <v>1</v>
      </c>
      <c r="CX592">
        <v>8.1018518518518516E-5</v>
      </c>
      <c r="CY592">
        <v>8.1018518518518516E-5</v>
      </c>
      <c r="CZ592">
        <v>0.16953703703703704</v>
      </c>
      <c r="DA592">
        <v>0.19495370370370371</v>
      </c>
      <c r="DB592">
        <v>62</v>
      </c>
      <c r="DC592">
        <v>134</v>
      </c>
      <c r="DD592">
        <v>21</v>
      </c>
      <c r="DE592" t="s">
        <v>876</v>
      </c>
      <c r="DF592">
        <v>24881</v>
      </c>
      <c r="DG592">
        <v>0.3387</v>
      </c>
      <c r="DH592">
        <v>2</v>
      </c>
      <c r="DI592">
        <v>9.5200000000000007E-2</v>
      </c>
      <c r="DJ592">
        <v>1401</v>
      </c>
      <c r="DK592">
        <v>701</v>
      </c>
      <c r="DL592">
        <v>701</v>
      </c>
      <c r="DM592">
        <v>0.50039999999999996</v>
      </c>
      <c r="DN592">
        <v>0.42849999999999999</v>
      </c>
      <c r="DO592">
        <v>70</v>
      </c>
      <c r="DP592">
        <v>351</v>
      </c>
    </row>
    <row r="593" spans="93:120" x14ac:dyDescent="0.25">
      <c r="CO593" t="s">
        <v>636</v>
      </c>
      <c r="CP593" t="s">
        <v>6</v>
      </c>
      <c r="CQ593" t="s">
        <v>11</v>
      </c>
      <c r="CR593">
        <v>46148</v>
      </c>
      <c r="CS593">
        <v>1</v>
      </c>
      <c r="CT593">
        <v>1</v>
      </c>
      <c r="CV593">
        <v>1</v>
      </c>
      <c r="CX593">
        <v>1.7361111111111112E-4</v>
      </c>
      <c r="CY593">
        <v>1.7361111111111112E-4</v>
      </c>
      <c r="CZ593">
        <v>0.26659722222222221</v>
      </c>
      <c r="DA593">
        <v>8.6504629629629626E-2</v>
      </c>
      <c r="DB593">
        <v>106</v>
      </c>
      <c r="DC593">
        <v>247</v>
      </c>
      <c r="DD593">
        <v>21</v>
      </c>
      <c r="DE593" t="s">
        <v>679</v>
      </c>
      <c r="DF593">
        <v>20219</v>
      </c>
      <c r="DG593">
        <v>0.1981</v>
      </c>
      <c r="DH593">
        <v>3</v>
      </c>
      <c r="DI593">
        <v>0.1429</v>
      </c>
      <c r="DJ593">
        <v>1283</v>
      </c>
      <c r="DK593">
        <v>428</v>
      </c>
      <c r="DL593">
        <v>300</v>
      </c>
      <c r="DM593">
        <v>0.23380000000000001</v>
      </c>
      <c r="DN593">
        <v>0.13159999999999999</v>
      </c>
      <c r="DO593">
        <v>70</v>
      </c>
      <c r="DP593">
        <v>300</v>
      </c>
    </row>
    <row r="594" spans="93:120" x14ac:dyDescent="0.25">
      <c r="CO594" t="s">
        <v>636</v>
      </c>
      <c r="CP594" t="s">
        <v>6</v>
      </c>
      <c r="CQ594" t="s">
        <v>97</v>
      </c>
      <c r="CR594">
        <v>46154</v>
      </c>
      <c r="CS594">
        <v>1</v>
      </c>
      <c r="CT594">
        <v>1</v>
      </c>
      <c r="CV594">
        <v>1</v>
      </c>
      <c r="CX594">
        <v>4.6296296296296294E-5</v>
      </c>
      <c r="CY594">
        <v>4.6296296296296294E-5</v>
      </c>
      <c r="CZ594">
        <v>0.26400462962962962</v>
      </c>
      <c r="DA594">
        <v>0.1660648148148148</v>
      </c>
      <c r="DB594">
        <v>194</v>
      </c>
      <c r="DC594">
        <v>243</v>
      </c>
      <c r="DD594">
        <v>20</v>
      </c>
      <c r="DE594">
        <v>1.65</v>
      </c>
      <c r="DF594">
        <v>8021</v>
      </c>
      <c r="DG594">
        <v>0.1031</v>
      </c>
      <c r="DH594">
        <v>3</v>
      </c>
      <c r="DI594">
        <v>0.15</v>
      </c>
      <c r="DJ594">
        <v>936</v>
      </c>
      <c r="DK594">
        <v>312</v>
      </c>
      <c r="DL594">
        <v>310</v>
      </c>
      <c r="DM594">
        <v>0.33119999999999999</v>
      </c>
      <c r="DO594">
        <v>70</v>
      </c>
      <c r="DP594">
        <v>310</v>
      </c>
    </row>
    <row r="595" spans="93:120" x14ac:dyDescent="0.25">
      <c r="CO595" t="s">
        <v>636</v>
      </c>
      <c r="CP595" t="s">
        <v>6</v>
      </c>
      <c r="CQ595" t="s">
        <v>34</v>
      </c>
      <c r="CR595">
        <v>46171</v>
      </c>
      <c r="CS595">
        <v>1</v>
      </c>
      <c r="CT595">
        <v>1</v>
      </c>
      <c r="CV595">
        <v>1</v>
      </c>
      <c r="CX595">
        <v>1.0416666666666667E-4</v>
      </c>
      <c r="CY595">
        <v>1.0416666666666667E-4</v>
      </c>
      <c r="CZ595">
        <v>0.13751157407407408</v>
      </c>
      <c r="DA595">
        <v>0.24241898148148147</v>
      </c>
      <c r="DB595">
        <v>83</v>
      </c>
      <c r="DC595">
        <v>120</v>
      </c>
      <c r="DD595">
        <v>9</v>
      </c>
      <c r="DE595" t="s">
        <v>726</v>
      </c>
      <c r="DF595">
        <v>31545</v>
      </c>
      <c r="DG595">
        <v>0.1084</v>
      </c>
      <c r="DH595">
        <v>1</v>
      </c>
      <c r="DI595">
        <v>0.1111</v>
      </c>
      <c r="DJ595">
        <v>2000</v>
      </c>
      <c r="DK595">
        <v>2000</v>
      </c>
      <c r="DL595">
        <v>2000</v>
      </c>
      <c r="DM595">
        <v>1</v>
      </c>
      <c r="DO595">
        <v>70</v>
      </c>
      <c r="DP595">
        <v>2000</v>
      </c>
    </row>
    <row r="596" spans="93:120" x14ac:dyDescent="0.25">
      <c r="CO596" t="s">
        <v>636</v>
      </c>
      <c r="CP596" t="s">
        <v>7</v>
      </c>
      <c r="CQ596" t="s">
        <v>18</v>
      </c>
      <c r="CR596">
        <v>46154</v>
      </c>
      <c r="CS596">
        <v>1</v>
      </c>
      <c r="CT596">
        <v>1</v>
      </c>
      <c r="CU596">
        <v>1</v>
      </c>
      <c r="CX596">
        <v>7.3379629629629628E-3</v>
      </c>
      <c r="CY596">
        <v>7.3379629629629628E-3</v>
      </c>
      <c r="CZ596">
        <v>0.28642361111111109</v>
      </c>
      <c r="DA596">
        <v>0.12707175925925926</v>
      </c>
      <c r="DB596">
        <v>163</v>
      </c>
      <c r="DC596">
        <v>337</v>
      </c>
      <c r="DD596">
        <v>21</v>
      </c>
      <c r="DE596" t="s">
        <v>817</v>
      </c>
      <c r="DF596">
        <v>19717</v>
      </c>
      <c r="DG596">
        <v>0.1288</v>
      </c>
      <c r="DO596">
        <v>70</v>
      </c>
    </row>
    <row r="597" spans="93:120" x14ac:dyDescent="0.25">
      <c r="CO597" t="s">
        <v>636</v>
      </c>
      <c r="CP597" t="s">
        <v>7</v>
      </c>
      <c r="CQ597" t="s">
        <v>60</v>
      </c>
      <c r="CR597">
        <v>46150</v>
      </c>
      <c r="CS597">
        <v>1</v>
      </c>
      <c r="CT597">
        <v>1</v>
      </c>
      <c r="CU597">
        <v>1</v>
      </c>
      <c r="CX597">
        <v>9.5370370370370366E-3</v>
      </c>
      <c r="CY597">
        <v>9.5370370370370366E-3</v>
      </c>
      <c r="CZ597">
        <v>0.24465277777777777</v>
      </c>
      <c r="DA597">
        <v>6.1192129629629631E-2</v>
      </c>
      <c r="DB597">
        <v>119</v>
      </c>
      <c r="DC597">
        <v>159</v>
      </c>
      <c r="DD597">
        <v>8</v>
      </c>
      <c r="DE597">
        <v>1.25</v>
      </c>
      <c r="DF597">
        <v>20642</v>
      </c>
      <c r="DG597">
        <v>6.7199999999999996E-2</v>
      </c>
      <c r="DO597">
        <v>70</v>
      </c>
    </row>
    <row r="598" spans="93:120" x14ac:dyDescent="0.25">
      <c r="CO598" t="s">
        <v>636</v>
      </c>
      <c r="CP598" t="s">
        <v>7</v>
      </c>
      <c r="CQ598" t="s">
        <v>61</v>
      </c>
      <c r="CR598">
        <v>46163</v>
      </c>
      <c r="CS598">
        <v>1</v>
      </c>
      <c r="CT598">
        <v>1</v>
      </c>
      <c r="CU598">
        <v>1</v>
      </c>
      <c r="CX598">
        <v>6.1805555555555555E-3</v>
      </c>
      <c r="CY598">
        <v>6.1805555555555555E-3</v>
      </c>
      <c r="CZ598">
        <v>0.21540509259259261</v>
      </c>
      <c r="DA598">
        <v>0.12577546296296296</v>
      </c>
      <c r="DB598">
        <v>119</v>
      </c>
      <c r="DC598">
        <v>245</v>
      </c>
      <c r="DD598">
        <v>22</v>
      </c>
      <c r="DE598">
        <v>1.5</v>
      </c>
      <c r="DF598">
        <v>26775</v>
      </c>
      <c r="DG598">
        <v>0.18490000000000001</v>
      </c>
      <c r="DH598">
        <v>1</v>
      </c>
      <c r="DI598">
        <v>4.5499999999999999E-2</v>
      </c>
      <c r="DJ598">
        <v>314</v>
      </c>
      <c r="DK598">
        <v>314</v>
      </c>
      <c r="DL598">
        <v>314</v>
      </c>
      <c r="DM598">
        <v>1</v>
      </c>
      <c r="DO598">
        <v>70</v>
      </c>
      <c r="DP598">
        <v>314</v>
      </c>
    </row>
    <row r="599" spans="93:120" x14ac:dyDescent="0.25">
      <c r="CO599" t="s">
        <v>636</v>
      </c>
      <c r="CP599" t="s">
        <v>7</v>
      </c>
      <c r="CQ599" t="s">
        <v>80</v>
      </c>
      <c r="CR599">
        <v>46150</v>
      </c>
      <c r="CS599">
        <v>1</v>
      </c>
      <c r="CT599">
        <v>1</v>
      </c>
      <c r="CX599">
        <v>3.9236111111111112E-3</v>
      </c>
      <c r="CY599">
        <v>3.9236111111111112E-3</v>
      </c>
      <c r="CZ599">
        <v>0.21689814814814815</v>
      </c>
      <c r="DA599">
        <v>9.8391203703703703E-2</v>
      </c>
      <c r="DB599">
        <v>58</v>
      </c>
      <c r="DC599">
        <v>135</v>
      </c>
      <c r="DD599">
        <v>9</v>
      </c>
      <c r="DE599" t="s">
        <v>697</v>
      </c>
      <c r="DF599">
        <v>36736</v>
      </c>
      <c r="DG599">
        <v>0.1552</v>
      </c>
      <c r="DO599">
        <v>70</v>
      </c>
    </row>
    <row r="600" spans="93:120" x14ac:dyDescent="0.25">
      <c r="CO600" t="s">
        <v>636</v>
      </c>
      <c r="CP600" t="s">
        <v>7</v>
      </c>
      <c r="CQ600" t="s">
        <v>72</v>
      </c>
      <c r="CR600">
        <v>46154</v>
      </c>
      <c r="CS600">
        <v>1</v>
      </c>
      <c r="CT600">
        <v>1</v>
      </c>
      <c r="CW600">
        <v>1</v>
      </c>
      <c r="CX600">
        <v>0</v>
      </c>
      <c r="CY600">
        <v>0</v>
      </c>
      <c r="CZ600">
        <v>0</v>
      </c>
      <c r="DA600">
        <v>0</v>
      </c>
      <c r="DO600">
        <v>70</v>
      </c>
    </row>
    <row r="601" spans="93:120" x14ac:dyDescent="0.25">
      <c r="CO601" t="s">
        <v>636</v>
      </c>
      <c r="CP601" t="s">
        <v>7</v>
      </c>
      <c r="CQ601" t="s">
        <v>72</v>
      </c>
      <c r="CR601">
        <v>46170</v>
      </c>
      <c r="CS601">
        <v>1</v>
      </c>
      <c r="CT601">
        <v>1</v>
      </c>
      <c r="CV601">
        <v>1</v>
      </c>
      <c r="CX601">
        <v>1.273148148148148E-4</v>
      </c>
      <c r="CY601">
        <v>1.273148148148148E-4</v>
      </c>
      <c r="CZ601">
        <v>0.15405092592592592</v>
      </c>
      <c r="DA601">
        <v>0.17549768518518519</v>
      </c>
      <c r="DB601">
        <v>100</v>
      </c>
      <c r="DC601">
        <v>237</v>
      </c>
      <c r="DD601">
        <v>17</v>
      </c>
      <c r="DE601" t="s">
        <v>821</v>
      </c>
      <c r="DF601">
        <v>38088</v>
      </c>
      <c r="DG601">
        <v>0.17</v>
      </c>
      <c r="DH601">
        <v>1</v>
      </c>
      <c r="DI601">
        <v>5.8799999999999998E-2</v>
      </c>
      <c r="DJ601">
        <v>600</v>
      </c>
      <c r="DK601">
        <v>600</v>
      </c>
      <c r="DO601">
        <v>70</v>
      </c>
    </row>
    <row r="602" spans="93:120" x14ac:dyDescent="0.25">
      <c r="CO602" t="s">
        <v>636</v>
      </c>
      <c r="CP602" t="s">
        <v>7</v>
      </c>
      <c r="CQ602" t="s">
        <v>12</v>
      </c>
      <c r="CR602">
        <v>46150</v>
      </c>
      <c r="CS602">
        <v>1</v>
      </c>
      <c r="CT602">
        <v>1</v>
      </c>
      <c r="CU602">
        <v>1</v>
      </c>
      <c r="CX602">
        <v>0.21839120370370371</v>
      </c>
      <c r="CY602">
        <v>0.21839120370370371</v>
      </c>
      <c r="CZ602">
        <v>8.9224537037037033E-2</v>
      </c>
      <c r="DA602">
        <v>6.4421296296296296E-2</v>
      </c>
      <c r="DB602">
        <v>44</v>
      </c>
      <c r="DC602">
        <v>107</v>
      </c>
      <c r="DD602">
        <v>6</v>
      </c>
      <c r="DE602">
        <v>1</v>
      </c>
      <c r="DF602">
        <v>82427</v>
      </c>
      <c r="DG602">
        <v>0.13639999999999999</v>
      </c>
      <c r="DO602">
        <v>70</v>
      </c>
    </row>
    <row r="603" spans="93:120" x14ac:dyDescent="0.25">
      <c r="CO603" t="s">
        <v>636</v>
      </c>
      <c r="CP603" t="s">
        <v>7</v>
      </c>
      <c r="CQ603" t="s">
        <v>51</v>
      </c>
      <c r="CR603">
        <v>46146</v>
      </c>
      <c r="CS603">
        <v>1</v>
      </c>
      <c r="CT603">
        <v>1</v>
      </c>
      <c r="CU603">
        <v>1</v>
      </c>
      <c r="CX603">
        <v>1.3946759259259259E-2</v>
      </c>
      <c r="CY603">
        <v>1.3946759259259259E-2</v>
      </c>
      <c r="CZ603">
        <v>0.23510416666666667</v>
      </c>
      <c r="DA603">
        <v>7.9247685185185185E-2</v>
      </c>
      <c r="DB603">
        <v>129</v>
      </c>
      <c r="DC603">
        <v>200</v>
      </c>
      <c r="DD603">
        <v>17</v>
      </c>
      <c r="DE603" t="s">
        <v>802</v>
      </c>
      <c r="DF603">
        <v>28476</v>
      </c>
      <c r="DG603">
        <v>0.1318</v>
      </c>
      <c r="DH603">
        <v>3</v>
      </c>
      <c r="DI603">
        <v>0.17649999999999999</v>
      </c>
      <c r="DJ603">
        <v>4250</v>
      </c>
      <c r="DK603">
        <v>1417</v>
      </c>
      <c r="DL603">
        <v>4250</v>
      </c>
      <c r="DM603">
        <v>1</v>
      </c>
      <c r="DN603">
        <v>0.3891</v>
      </c>
      <c r="DO603">
        <v>70</v>
      </c>
      <c r="DP603">
        <v>1417</v>
      </c>
    </row>
    <row r="604" spans="93:120" x14ac:dyDescent="0.25">
      <c r="CO604" t="s">
        <v>636</v>
      </c>
      <c r="CP604" t="s">
        <v>7</v>
      </c>
      <c r="CQ604" t="s">
        <v>51</v>
      </c>
      <c r="CR604">
        <v>46154</v>
      </c>
      <c r="CS604">
        <v>1</v>
      </c>
      <c r="CT604">
        <v>1</v>
      </c>
      <c r="CU604">
        <v>1</v>
      </c>
      <c r="CX604">
        <v>1.306712962962963E-2</v>
      </c>
      <c r="CY604">
        <v>1.306712962962963E-2</v>
      </c>
      <c r="CZ604">
        <v>0.27311342592592591</v>
      </c>
      <c r="DA604">
        <v>0.11822916666666666</v>
      </c>
      <c r="DB604">
        <v>88</v>
      </c>
      <c r="DC604">
        <v>275</v>
      </c>
      <c r="DD604">
        <v>15</v>
      </c>
      <c r="DE604">
        <v>1.4</v>
      </c>
      <c r="DF604">
        <v>19488</v>
      </c>
      <c r="DG604">
        <v>0.17050000000000001</v>
      </c>
      <c r="DO604">
        <v>70</v>
      </c>
    </row>
    <row r="605" spans="93:120" x14ac:dyDescent="0.25">
      <c r="CO605" t="s">
        <v>636</v>
      </c>
      <c r="CP605" t="s">
        <v>7</v>
      </c>
      <c r="CQ605" t="s">
        <v>51</v>
      </c>
      <c r="CR605">
        <v>46170</v>
      </c>
      <c r="CS605">
        <v>1</v>
      </c>
      <c r="CT605">
        <v>1</v>
      </c>
      <c r="CV605">
        <v>1</v>
      </c>
      <c r="CX605">
        <v>4.1666666666666669E-4</v>
      </c>
      <c r="CY605">
        <v>4.1666666666666669E-4</v>
      </c>
      <c r="CZ605">
        <v>0.13693287037037036</v>
      </c>
      <c r="DA605">
        <v>0.18987268518518519</v>
      </c>
      <c r="DB605">
        <v>87</v>
      </c>
      <c r="DC605">
        <v>234</v>
      </c>
      <c r="DD605">
        <v>14</v>
      </c>
      <c r="DE605" t="s">
        <v>877</v>
      </c>
      <c r="DF605">
        <v>19568</v>
      </c>
      <c r="DG605">
        <v>0.16089999999999999</v>
      </c>
      <c r="DH605">
        <v>1</v>
      </c>
      <c r="DI605">
        <v>7.1400000000000005E-2</v>
      </c>
      <c r="DJ605">
        <v>250</v>
      </c>
      <c r="DK605">
        <v>250</v>
      </c>
      <c r="DO605">
        <v>70</v>
      </c>
    </row>
    <row r="606" spans="93:120" x14ac:dyDescent="0.25">
      <c r="CO606" t="s">
        <v>636</v>
      </c>
      <c r="CP606" t="s">
        <v>7</v>
      </c>
      <c r="CQ606" t="s">
        <v>26</v>
      </c>
      <c r="CR606">
        <v>46147</v>
      </c>
      <c r="CS606">
        <v>1</v>
      </c>
      <c r="CT606">
        <v>1</v>
      </c>
      <c r="CV606">
        <v>1</v>
      </c>
      <c r="CX606">
        <v>9.2592592592592588E-5</v>
      </c>
      <c r="CY606">
        <v>9.2592592592592588E-5</v>
      </c>
      <c r="CZ606">
        <v>0.33401620370370372</v>
      </c>
      <c r="DA606">
        <v>9.1273148148148145E-2</v>
      </c>
      <c r="DB606">
        <v>175</v>
      </c>
      <c r="DC606">
        <v>396</v>
      </c>
      <c r="DD606">
        <v>41</v>
      </c>
      <c r="DE606" t="s">
        <v>878</v>
      </c>
      <c r="DF606">
        <v>43260</v>
      </c>
      <c r="DG606">
        <v>0.23430000000000001</v>
      </c>
      <c r="DH606">
        <v>1</v>
      </c>
      <c r="DI606">
        <v>2.4400000000000002E-2</v>
      </c>
      <c r="DJ606">
        <v>600</v>
      </c>
      <c r="DK606">
        <v>600</v>
      </c>
      <c r="DO606">
        <v>70</v>
      </c>
    </row>
    <row r="607" spans="93:120" x14ac:dyDescent="0.25">
      <c r="CO607" t="s">
        <v>636</v>
      </c>
      <c r="CP607" t="s">
        <v>7</v>
      </c>
      <c r="CQ607" t="s">
        <v>75</v>
      </c>
      <c r="CR607">
        <v>46154</v>
      </c>
      <c r="CS607">
        <v>1</v>
      </c>
      <c r="CT607">
        <v>1</v>
      </c>
      <c r="CX607">
        <v>0</v>
      </c>
      <c r="CY607">
        <v>0</v>
      </c>
      <c r="CZ607">
        <v>0</v>
      </c>
      <c r="DA607">
        <v>0</v>
      </c>
      <c r="DO607">
        <v>70</v>
      </c>
    </row>
    <row r="608" spans="93:120" x14ac:dyDescent="0.25">
      <c r="CO608" t="s">
        <v>636</v>
      </c>
      <c r="CP608" t="s">
        <v>604</v>
      </c>
      <c r="CQ608" t="s">
        <v>41</v>
      </c>
      <c r="CR608">
        <v>46171</v>
      </c>
      <c r="CS608">
        <v>1</v>
      </c>
      <c r="CT608">
        <v>1</v>
      </c>
      <c r="CU608">
        <v>1</v>
      </c>
      <c r="CX608">
        <v>2.9224537037037038E-2</v>
      </c>
      <c r="CY608">
        <v>2.9224537037037038E-2</v>
      </c>
      <c r="CZ608">
        <v>8.2777777777777783E-2</v>
      </c>
      <c r="DA608">
        <v>0.24681712962962962</v>
      </c>
      <c r="DB608">
        <v>51</v>
      </c>
      <c r="DC608">
        <v>151</v>
      </c>
      <c r="DD608">
        <v>13</v>
      </c>
      <c r="DE608" t="s">
        <v>879</v>
      </c>
      <c r="DF608">
        <v>5816</v>
      </c>
      <c r="DG608">
        <v>0.25490000000000002</v>
      </c>
      <c r="DH608">
        <v>1</v>
      </c>
      <c r="DI608">
        <v>7.6899999999999996E-2</v>
      </c>
      <c r="DJ608">
        <v>245</v>
      </c>
      <c r="DK608">
        <v>245</v>
      </c>
      <c r="DO608">
        <v>70</v>
      </c>
    </row>
    <row r="609" spans="93:120" x14ac:dyDescent="0.25">
      <c r="CO609" t="s">
        <v>636</v>
      </c>
      <c r="CP609" t="s">
        <v>604</v>
      </c>
      <c r="CQ609" t="s">
        <v>600</v>
      </c>
      <c r="CR609">
        <v>46154</v>
      </c>
      <c r="CS609">
        <v>1</v>
      </c>
      <c r="CT609">
        <v>1</v>
      </c>
      <c r="CV609">
        <v>1</v>
      </c>
      <c r="CX609">
        <v>0</v>
      </c>
      <c r="CY609">
        <v>0</v>
      </c>
      <c r="CZ609">
        <v>0.26211805555555556</v>
      </c>
      <c r="DA609">
        <v>0.13615740740740739</v>
      </c>
      <c r="DB609">
        <v>135</v>
      </c>
      <c r="DC609">
        <v>208</v>
      </c>
      <c r="DD609">
        <v>28</v>
      </c>
      <c r="DE609" t="s">
        <v>796</v>
      </c>
      <c r="DF609">
        <v>16154</v>
      </c>
      <c r="DG609">
        <v>0.2074</v>
      </c>
      <c r="DH609">
        <v>1</v>
      </c>
      <c r="DI609">
        <v>3.5700000000000003E-2</v>
      </c>
      <c r="DJ609">
        <v>490</v>
      </c>
      <c r="DK609">
        <v>490</v>
      </c>
      <c r="DO609">
        <v>70</v>
      </c>
    </row>
    <row r="610" spans="93:120" x14ac:dyDescent="0.25">
      <c r="CO610" t="s">
        <v>636</v>
      </c>
      <c r="CP610" t="s">
        <v>604</v>
      </c>
      <c r="CQ610" t="s">
        <v>49</v>
      </c>
      <c r="CR610">
        <v>46157</v>
      </c>
      <c r="CS610">
        <v>1</v>
      </c>
      <c r="CT610">
        <v>1</v>
      </c>
      <c r="CU610">
        <v>1</v>
      </c>
      <c r="CX610">
        <v>4.43287037037037E-3</v>
      </c>
      <c r="CY610">
        <v>4.43287037037037E-3</v>
      </c>
      <c r="CZ610">
        <v>0.22729166666666667</v>
      </c>
      <c r="DA610">
        <v>7.0300925925925919E-2</v>
      </c>
      <c r="DB610">
        <v>46</v>
      </c>
      <c r="DC610">
        <v>53</v>
      </c>
      <c r="DD610">
        <v>8</v>
      </c>
      <c r="DE610">
        <v>1.25</v>
      </c>
      <c r="DF610">
        <v>33347</v>
      </c>
      <c r="DG610">
        <v>0.1739</v>
      </c>
      <c r="DH610">
        <v>1</v>
      </c>
      <c r="DI610">
        <v>0.125</v>
      </c>
      <c r="DJ610">
        <v>500</v>
      </c>
      <c r="DK610">
        <v>500</v>
      </c>
      <c r="DO610">
        <v>70</v>
      </c>
    </row>
    <row r="611" spans="93:120" x14ac:dyDescent="0.25">
      <c r="CO611" t="s">
        <v>636</v>
      </c>
      <c r="CP611" t="s">
        <v>604</v>
      </c>
      <c r="CQ611" t="s">
        <v>549</v>
      </c>
      <c r="CR611">
        <v>46154</v>
      </c>
      <c r="CS611">
        <v>1</v>
      </c>
      <c r="CT611">
        <v>1</v>
      </c>
      <c r="CU611">
        <v>1</v>
      </c>
      <c r="CX611">
        <v>1.0115740740740741E-2</v>
      </c>
      <c r="CY611">
        <v>1.0115740740740741E-2</v>
      </c>
      <c r="CZ611">
        <v>0.29508101851851853</v>
      </c>
      <c r="DA611">
        <v>0.1322800925925926</v>
      </c>
      <c r="DB611">
        <v>243</v>
      </c>
      <c r="DC611">
        <v>357</v>
      </c>
      <c r="DD611">
        <v>66</v>
      </c>
      <c r="DE611" t="s">
        <v>880</v>
      </c>
      <c r="DF611">
        <v>7588</v>
      </c>
      <c r="DG611">
        <v>0.27160000000000001</v>
      </c>
      <c r="DH611">
        <v>1</v>
      </c>
      <c r="DI611">
        <v>1.52E-2</v>
      </c>
      <c r="DJ611">
        <v>90</v>
      </c>
      <c r="DK611">
        <v>90</v>
      </c>
      <c r="DL611">
        <v>90</v>
      </c>
      <c r="DM611">
        <v>1</v>
      </c>
      <c r="DN611">
        <v>0.42649999999999999</v>
      </c>
      <c r="DO611">
        <v>70</v>
      </c>
      <c r="DP611">
        <v>90</v>
      </c>
    </row>
    <row r="612" spans="93:120" x14ac:dyDescent="0.25">
      <c r="CO612" t="s">
        <v>636</v>
      </c>
      <c r="CP612" t="s">
        <v>604</v>
      </c>
      <c r="CQ612" t="s">
        <v>77</v>
      </c>
      <c r="CR612">
        <v>46161</v>
      </c>
      <c r="CS612">
        <v>1</v>
      </c>
      <c r="CT612">
        <v>1</v>
      </c>
      <c r="CU612">
        <v>1</v>
      </c>
      <c r="CX612">
        <v>2.4525462962962964E-2</v>
      </c>
      <c r="CY612">
        <v>2.4525462962962964E-2</v>
      </c>
      <c r="CZ612">
        <v>0.17784722222222221</v>
      </c>
      <c r="DA612">
        <v>0.13836805555555556</v>
      </c>
      <c r="DB612">
        <v>81</v>
      </c>
      <c r="DC612">
        <v>130</v>
      </c>
      <c r="DD612">
        <v>25</v>
      </c>
      <c r="DE612">
        <v>1.76</v>
      </c>
      <c r="DF612">
        <v>32438</v>
      </c>
      <c r="DG612">
        <v>0.30859999999999999</v>
      </c>
      <c r="DH612">
        <v>1</v>
      </c>
      <c r="DI612">
        <v>0.04</v>
      </c>
      <c r="DJ612">
        <v>1602</v>
      </c>
      <c r="DK612">
        <v>1602</v>
      </c>
      <c r="DO612">
        <v>70</v>
      </c>
    </row>
    <row r="613" spans="93:120" x14ac:dyDescent="0.25">
      <c r="CO613" t="s">
        <v>636</v>
      </c>
      <c r="CP613" t="s">
        <v>604</v>
      </c>
      <c r="CQ613" t="s">
        <v>77</v>
      </c>
      <c r="CR613">
        <v>46167</v>
      </c>
      <c r="CS613">
        <v>1</v>
      </c>
      <c r="CT613">
        <v>1</v>
      </c>
      <c r="CU613">
        <v>1</v>
      </c>
      <c r="CX613">
        <v>2.3379629629629629E-2</v>
      </c>
      <c r="CY613">
        <v>2.3379629629629629E-2</v>
      </c>
      <c r="CZ613">
        <v>0.12503472222222223</v>
      </c>
      <c r="DA613">
        <v>0.18438657407407408</v>
      </c>
      <c r="DB613">
        <v>74</v>
      </c>
      <c r="DC613">
        <v>136</v>
      </c>
      <c r="DD613">
        <v>29</v>
      </c>
      <c r="DE613" t="s">
        <v>881</v>
      </c>
      <c r="DF613">
        <v>25167</v>
      </c>
      <c r="DG613">
        <v>0.39190000000000003</v>
      </c>
      <c r="DH613">
        <v>1</v>
      </c>
      <c r="DI613">
        <v>3.4500000000000003E-2</v>
      </c>
      <c r="DJ613">
        <v>420</v>
      </c>
      <c r="DK613">
        <v>420</v>
      </c>
      <c r="DL613">
        <v>420</v>
      </c>
      <c r="DM613">
        <v>1</v>
      </c>
      <c r="DN613">
        <v>0.1244</v>
      </c>
      <c r="DO613">
        <v>70</v>
      </c>
      <c r="DP613">
        <v>420</v>
      </c>
    </row>
    <row r="614" spans="93:120" x14ac:dyDescent="0.25">
      <c r="CO614" t="s">
        <v>636</v>
      </c>
      <c r="CP614" t="s">
        <v>604</v>
      </c>
      <c r="CQ614" t="s">
        <v>78</v>
      </c>
      <c r="CR614">
        <v>46167</v>
      </c>
      <c r="CS614">
        <v>1</v>
      </c>
      <c r="CT614">
        <v>1</v>
      </c>
      <c r="CV614">
        <v>1</v>
      </c>
      <c r="CX614">
        <v>1.3888888888888889E-4</v>
      </c>
      <c r="CY614">
        <v>1.3888888888888889E-4</v>
      </c>
      <c r="CZ614">
        <v>0.17651620370370372</v>
      </c>
      <c r="DA614">
        <v>0.16436342592592593</v>
      </c>
      <c r="DB614">
        <v>73</v>
      </c>
      <c r="DC614">
        <v>149</v>
      </c>
      <c r="DD614">
        <v>28</v>
      </c>
      <c r="DE614" t="s">
        <v>803</v>
      </c>
      <c r="DF614">
        <v>24312</v>
      </c>
      <c r="DG614">
        <v>0.3836</v>
      </c>
      <c r="DH614">
        <v>2</v>
      </c>
      <c r="DI614">
        <v>7.1400000000000005E-2</v>
      </c>
      <c r="DJ614">
        <v>540</v>
      </c>
      <c r="DK614">
        <v>270</v>
      </c>
      <c r="DL614">
        <v>300</v>
      </c>
      <c r="DM614">
        <v>0.55559999999999998</v>
      </c>
      <c r="DO614">
        <v>70</v>
      </c>
      <c r="DP614">
        <v>300</v>
      </c>
    </row>
    <row r="615" spans="93:120" x14ac:dyDescent="0.25">
      <c r="CO615" t="s">
        <v>636</v>
      </c>
      <c r="CP615" t="s">
        <v>3</v>
      </c>
      <c r="CQ615" t="s">
        <v>58</v>
      </c>
      <c r="CR615">
        <v>46156</v>
      </c>
      <c r="CS615">
        <v>1</v>
      </c>
      <c r="CT615">
        <v>1</v>
      </c>
      <c r="CV615">
        <v>1</v>
      </c>
      <c r="CX615">
        <v>5.7870370370370373E-5</v>
      </c>
      <c r="CY615">
        <v>5.7870370370370373E-5</v>
      </c>
      <c r="CZ615">
        <v>0.15918981481481481</v>
      </c>
      <c r="DA615">
        <v>0.18662037037037038</v>
      </c>
      <c r="DB615">
        <v>122</v>
      </c>
      <c r="DC615">
        <v>245</v>
      </c>
      <c r="DD615">
        <v>35</v>
      </c>
      <c r="DE615" t="s">
        <v>882</v>
      </c>
      <c r="DF615">
        <v>38114</v>
      </c>
      <c r="DG615">
        <v>0.28689999999999999</v>
      </c>
      <c r="DH615">
        <v>1</v>
      </c>
      <c r="DI615">
        <v>2.86E-2</v>
      </c>
      <c r="DJ615">
        <v>1100</v>
      </c>
      <c r="DK615">
        <v>1100</v>
      </c>
      <c r="DO615">
        <v>70</v>
      </c>
    </row>
    <row r="616" spans="93:120" x14ac:dyDescent="0.25">
      <c r="CO616" t="s">
        <v>636</v>
      </c>
      <c r="CP616" t="s">
        <v>3</v>
      </c>
      <c r="CQ616" t="s">
        <v>85</v>
      </c>
      <c r="CR616">
        <v>46147</v>
      </c>
      <c r="CS616">
        <v>1</v>
      </c>
      <c r="CT616">
        <v>1</v>
      </c>
      <c r="CU616">
        <v>1</v>
      </c>
      <c r="CX616">
        <v>7.905092592592592E-3</v>
      </c>
      <c r="CY616">
        <v>7.905092592592592E-3</v>
      </c>
      <c r="CZ616">
        <v>0.26196759259259261</v>
      </c>
      <c r="DA616">
        <v>8.6898148148148155E-2</v>
      </c>
      <c r="DB616">
        <v>95</v>
      </c>
      <c r="DC616">
        <v>239</v>
      </c>
      <c r="DD616">
        <v>37</v>
      </c>
      <c r="DE616" t="s">
        <v>883</v>
      </c>
      <c r="DF616">
        <v>23811</v>
      </c>
      <c r="DG616">
        <v>0.38950000000000001</v>
      </c>
      <c r="DH616">
        <v>1</v>
      </c>
      <c r="DI616">
        <v>2.7E-2</v>
      </c>
      <c r="DJ616">
        <v>700</v>
      </c>
      <c r="DK616">
        <v>700</v>
      </c>
      <c r="DL616">
        <v>700</v>
      </c>
      <c r="DM616">
        <v>1</v>
      </c>
      <c r="DN616">
        <v>0.64870000000000005</v>
      </c>
      <c r="DO616">
        <v>70</v>
      </c>
      <c r="DP616">
        <v>700</v>
      </c>
    </row>
    <row r="617" spans="93:120" x14ac:dyDescent="0.25">
      <c r="CO617" t="s">
        <v>636</v>
      </c>
      <c r="CP617" t="s">
        <v>3</v>
      </c>
      <c r="CQ617" t="s">
        <v>493</v>
      </c>
      <c r="CR617">
        <v>46148</v>
      </c>
      <c r="CS617">
        <v>1</v>
      </c>
      <c r="CT617">
        <v>1</v>
      </c>
      <c r="CV617">
        <v>1</v>
      </c>
      <c r="CX617">
        <v>1.7361111111111112E-4</v>
      </c>
      <c r="CY617">
        <v>1.7361111111111112E-4</v>
      </c>
      <c r="CZ617">
        <v>0.28108796296296296</v>
      </c>
      <c r="DA617">
        <v>6.6608796296296291E-2</v>
      </c>
      <c r="DB617">
        <v>176</v>
      </c>
      <c r="DC617">
        <v>309</v>
      </c>
      <c r="DD617">
        <v>26</v>
      </c>
      <c r="DE617" t="s">
        <v>884</v>
      </c>
      <c r="DF617">
        <v>8904</v>
      </c>
      <c r="DG617">
        <v>0.1477</v>
      </c>
      <c r="DH617">
        <v>3</v>
      </c>
      <c r="DI617">
        <v>0.1154</v>
      </c>
      <c r="DJ617">
        <v>6600</v>
      </c>
      <c r="DK617">
        <v>2200</v>
      </c>
      <c r="DL617">
        <v>4950</v>
      </c>
      <c r="DM617">
        <v>0.75</v>
      </c>
      <c r="DN617">
        <v>0.14460000000000001</v>
      </c>
      <c r="DO617">
        <v>70</v>
      </c>
      <c r="DP617">
        <v>2475</v>
      </c>
    </row>
    <row r="618" spans="93:120" x14ac:dyDescent="0.25">
      <c r="CO618" t="s">
        <v>636</v>
      </c>
      <c r="CP618" t="s">
        <v>3</v>
      </c>
      <c r="CQ618" t="s">
        <v>32</v>
      </c>
      <c r="CR618">
        <v>46171</v>
      </c>
      <c r="CS618">
        <v>1</v>
      </c>
      <c r="CT618">
        <v>1</v>
      </c>
      <c r="CX618">
        <v>3.6805555555555554E-3</v>
      </c>
      <c r="CY618">
        <v>3.6805555555555554E-3</v>
      </c>
      <c r="CZ618">
        <v>0.15282407407407408</v>
      </c>
      <c r="DA618">
        <v>9.6516203703703701E-2</v>
      </c>
      <c r="DB618">
        <v>95</v>
      </c>
      <c r="DC618">
        <v>215</v>
      </c>
      <c r="DD618">
        <v>30</v>
      </c>
      <c r="DE618">
        <v>2</v>
      </c>
      <c r="DF618">
        <v>32166</v>
      </c>
      <c r="DG618">
        <v>0.31580000000000003</v>
      </c>
      <c r="DH618">
        <v>2</v>
      </c>
      <c r="DI618">
        <v>6.6699999999999995E-2</v>
      </c>
      <c r="DJ618">
        <v>1000</v>
      </c>
      <c r="DK618">
        <v>500</v>
      </c>
      <c r="DL618">
        <v>1000</v>
      </c>
      <c r="DM618">
        <v>1</v>
      </c>
      <c r="DN618">
        <v>0.1598</v>
      </c>
      <c r="DO618">
        <v>70</v>
      </c>
      <c r="DP618">
        <v>500</v>
      </c>
    </row>
    <row r="619" spans="93:120" x14ac:dyDescent="0.25">
      <c r="CO619" t="s">
        <v>636</v>
      </c>
      <c r="CP619" t="s">
        <v>3</v>
      </c>
      <c r="CQ619" t="s">
        <v>564</v>
      </c>
      <c r="CR619">
        <v>46147</v>
      </c>
      <c r="CS619">
        <v>1</v>
      </c>
      <c r="CT619">
        <v>1</v>
      </c>
      <c r="CV619">
        <v>1</v>
      </c>
      <c r="CX619">
        <v>0</v>
      </c>
      <c r="CY619">
        <v>0</v>
      </c>
      <c r="CZ619">
        <v>0.27783564814814815</v>
      </c>
      <c r="DA619">
        <v>7.6412037037037042E-2</v>
      </c>
      <c r="DB619">
        <v>133</v>
      </c>
      <c r="DC619">
        <v>266</v>
      </c>
      <c r="DD619">
        <v>33</v>
      </c>
      <c r="DE619" t="s">
        <v>885</v>
      </c>
      <c r="DF619">
        <v>22274</v>
      </c>
      <c r="DG619">
        <v>0.24809999999999999</v>
      </c>
      <c r="DH619">
        <v>2</v>
      </c>
      <c r="DI619">
        <v>6.0600000000000001E-2</v>
      </c>
      <c r="DJ619">
        <v>650</v>
      </c>
      <c r="DK619">
        <v>325</v>
      </c>
      <c r="DL619">
        <v>500</v>
      </c>
      <c r="DM619">
        <v>0.76919999999999999</v>
      </c>
      <c r="DN619">
        <v>0.20519999999999999</v>
      </c>
      <c r="DO619">
        <v>70</v>
      </c>
      <c r="DP619">
        <v>500</v>
      </c>
    </row>
    <row r="620" spans="93:120" x14ac:dyDescent="0.25">
      <c r="CO620" t="s">
        <v>636</v>
      </c>
      <c r="CP620" t="s">
        <v>3</v>
      </c>
      <c r="CQ620" t="s">
        <v>564</v>
      </c>
      <c r="CR620">
        <v>46157</v>
      </c>
      <c r="CS620">
        <v>1</v>
      </c>
      <c r="CT620">
        <v>1</v>
      </c>
      <c r="CV620">
        <v>1</v>
      </c>
      <c r="CX620">
        <v>0</v>
      </c>
      <c r="CY620">
        <v>0</v>
      </c>
      <c r="CZ620">
        <v>0.33064814814814814</v>
      </c>
      <c r="DA620">
        <v>6.1805555555555555E-3</v>
      </c>
      <c r="DB620">
        <v>147</v>
      </c>
      <c r="DC620">
        <v>216</v>
      </c>
      <c r="DD620">
        <v>29</v>
      </c>
      <c r="DE620" t="s">
        <v>867</v>
      </c>
      <c r="DF620">
        <v>19455</v>
      </c>
      <c r="DG620">
        <v>0.1973</v>
      </c>
      <c r="DH620">
        <v>1</v>
      </c>
      <c r="DI620">
        <v>3.4500000000000003E-2</v>
      </c>
      <c r="DJ620">
        <v>250</v>
      </c>
      <c r="DK620">
        <v>250</v>
      </c>
      <c r="DO620">
        <v>70</v>
      </c>
    </row>
    <row r="621" spans="93:120" x14ac:dyDescent="0.25">
      <c r="CO621" t="s">
        <v>636</v>
      </c>
      <c r="CP621" t="s">
        <v>3</v>
      </c>
      <c r="CQ621" t="s">
        <v>68</v>
      </c>
      <c r="CR621">
        <v>46161</v>
      </c>
      <c r="CS621">
        <v>1</v>
      </c>
      <c r="CT621">
        <v>1</v>
      </c>
      <c r="CV621">
        <v>1</v>
      </c>
      <c r="CX621">
        <v>1.8518518518518518E-4</v>
      </c>
      <c r="CY621">
        <v>1.8518518518518518E-4</v>
      </c>
      <c r="CZ621">
        <v>0.18278935185185186</v>
      </c>
      <c r="DA621">
        <v>6.969907407407408E-2</v>
      </c>
      <c r="DB621">
        <v>87</v>
      </c>
      <c r="DC621">
        <v>173</v>
      </c>
      <c r="DD621">
        <v>17</v>
      </c>
      <c r="DE621" t="s">
        <v>782</v>
      </c>
      <c r="DF621">
        <v>26942</v>
      </c>
      <c r="DG621">
        <v>0.19539999999999999</v>
      </c>
      <c r="DH621">
        <v>1</v>
      </c>
      <c r="DI621">
        <v>5.8799999999999998E-2</v>
      </c>
      <c r="DJ621">
        <v>320</v>
      </c>
      <c r="DK621">
        <v>320</v>
      </c>
      <c r="DO621">
        <v>70</v>
      </c>
    </row>
    <row r="622" spans="93:120" x14ac:dyDescent="0.25">
      <c r="CO622" t="s">
        <v>636</v>
      </c>
      <c r="CP622" t="s">
        <v>3</v>
      </c>
      <c r="CQ622" t="s">
        <v>29</v>
      </c>
      <c r="CR622">
        <v>46167</v>
      </c>
      <c r="CS622">
        <v>1</v>
      </c>
      <c r="CT622">
        <v>1</v>
      </c>
      <c r="CV622">
        <v>1</v>
      </c>
      <c r="CX622">
        <v>8.7962962962962962E-4</v>
      </c>
      <c r="CY622">
        <v>8.7962962962962962E-4</v>
      </c>
      <c r="CZ622">
        <v>0.15615740740740741</v>
      </c>
      <c r="DA622">
        <v>0.17061342592592593</v>
      </c>
      <c r="DB622">
        <v>100</v>
      </c>
      <c r="DC622">
        <v>209</v>
      </c>
      <c r="DD622">
        <v>42</v>
      </c>
      <c r="DE622" t="s">
        <v>876</v>
      </c>
      <c r="DF622">
        <v>12961</v>
      </c>
      <c r="DG622">
        <v>0.42</v>
      </c>
      <c r="DH622">
        <v>2</v>
      </c>
      <c r="DI622">
        <v>4.7600000000000003E-2</v>
      </c>
      <c r="DJ622">
        <v>459</v>
      </c>
      <c r="DK622">
        <v>230</v>
      </c>
      <c r="DL622">
        <v>209</v>
      </c>
      <c r="DM622">
        <v>0.45529999999999998</v>
      </c>
      <c r="DO622">
        <v>70</v>
      </c>
      <c r="DP622">
        <v>209</v>
      </c>
    </row>
    <row r="623" spans="93:120" x14ac:dyDescent="0.25">
      <c r="CO623" t="s">
        <v>636</v>
      </c>
      <c r="CP623" t="s">
        <v>3</v>
      </c>
      <c r="CQ623" t="s">
        <v>79</v>
      </c>
      <c r="CR623">
        <v>46147</v>
      </c>
      <c r="CS623">
        <v>1</v>
      </c>
      <c r="CT623">
        <v>1</v>
      </c>
      <c r="CU623">
        <v>1</v>
      </c>
      <c r="CX623">
        <v>5.5787037037037038E-3</v>
      </c>
      <c r="CY623">
        <v>5.5787037037037038E-3</v>
      </c>
      <c r="CZ623">
        <v>0.21878472222222223</v>
      </c>
      <c r="DA623">
        <v>0.11833333333333333</v>
      </c>
      <c r="DB623">
        <v>75</v>
      </c>
      <c r="DC623">
        <v>186</v>
      </c>
      <c r="DD623">
        <v>21</v>
      </c>
      <c r="DE623" t="s">
        <v>753</v>
      </c>
      <c r="DF623">
        <v>17892</v>
      </c>
      <c r="DG623">
        <v>0.28000000000000003</v>
      </c>
      <c r="DH623">
        <v>4</v>
      </c>
      <c r="DI623">
        <v>0.1905</v>
      </c>
      <c r="DJ623">
        <v>17020</v>
      </c>
      <c r="DK623">
        <v>4255</v>
      </c>
      <c r="DL623">
        <v>15650</v>
      </c>
      <c r="DM623">
        <v>0.91949999999999998</v>
      </c>
      <c r="DN623">
        <v>0.1152</v>
      </c>
      <c r="DO623">
        <v>70</v>
      </c>
      <c r="DP623">
        <v>7825</v>
      </c>
    </row>
    <row r="624" spans="93:120" x14ac:dyDescent="0.25">
      <c r="CO624" t="s">
        <v>636</v>
      </c>
      <c r="CP624" t="s">
        <v>3</v>
      </c>
      <c r="CQ624" t="s">
        <v>79</v>
      </c>
      <c r="CR624">
        <v>46160</v>
      </c>
      <c r="CS624">
        <v>1</v>
      </c>
      <c r="CT624">
        <v>1</v>
      </c>
      <c r="CV624">
        <v>1</v>
      </c>
      <c r="CX624">
        <v>1.6087962962962963E-3</v>
      </c>
      <c r="CY624">
        <v>1.6087962962962963E-3</v>
      </c>
      <c r="CZ624">
        <v>0.18890046296296295</v>
      </c>
      <c r="DA624">
        <v>0.13782407407407407</v>
      </c>
      <c r="DB624">
        <v>43</v>
      </c>
      <c r="DC624">
        <v>93</v>
      </c>
      <c r="DD624">
        <v>21</v>
      </c>
      <c r="DE624" t="s">
        <v>678</v>
      </c>
      <c r="DF624">
        <v>28149</v>
      </c>
      <c r="DG624">
        <v>0.4884</v>
      </c>
      <c r="DH624">
        <v>6</v>
      </c>
      <c r="DI624">
        <v>0.28570000000000001</v>
      </c>
      <c r="DJ624">
        <v>5920</v>
      </c>
      <c r="DK624">
        <v>987</v>
      </c>
      <c r="DL624">
        <v>5240</v>
      </c>
      <c r="DM624">
        <v>0.8851</v>
      </c>
      <c r="DN624">
        <v>0.17510000000000001</v>
      </c>
      <c r="DO624">
        <v>70</v>
      </c>
      <c r="DP624">
        <v>1747</v>
      </c>
    </row>
    <row r="625" spans="93:120" x14ac:dyDescent="0.25">
      <c r="CO625" t="s">
        <v>636</v>
      </c>
      <c r="CP625" t="s">
        <v>3</v>
      </c>
      <c r="CQ625" t="s">
        <v>79</v>
      </c>
      <c r="CR625">
        <v>46169</v>
      </c>
      <c r="CS625">
        <v>1</v>
      </c>
      <c r="CT625">
        <v>1</v>
      </c>
      <c r="CU625">
        <v>1</v>
      </c>
      <c r="CX625">
        <v>1.9016203703703705E-2</v>
      </c>
      <c r="CY625">
        <v>1.9016203703703705E-2</v>
      </c>
      <c r="CZ625">
        <v>0.19737268518518519</v>
      </c>
      <c r="DA625">
        <v>0.12949074074074074</v>
      </c>
      <c r="DB625">
        <v>91</v>
      </c>
      <c r="DC625">
        <v>191</v>
      </c>
      <c r="DD625">
        <v>25</v>
      </c>
      <c r="DE625">
        <v>1.36</v>
      </c>
      <c r="DF625">
        <v>37938</v>
      </c>
      <c r="DG625">
        <v>0.2747</v>
      </c>
      <c r="DH625">
        <v>1</v>
      </c>
      <c r="DI625">
        <v>0.04</v>
      </c>
      <c r="DJ625">
        <v>750</v>
      </c>
      <c r="DK625">
        <v>750</v>
      </c>
      <c r="DO625">
        <v>70</v>
      </c>
    </row>
    <row r="626" spans="93:120" x14ac:dyDescent="0.25">
      <c r="CO626" t="s">
        <v>636</v>
      </c>
      <c r="CP626" t="s">
        <v>2</v>
      </c>
      <c r="CQ626" t="s">
        <v>65</v>
      </c>
      <c r="CR626">
        <v>46153</v>
      </c>
      <c r="CS626">
        <v>1</v>
      </c>
      <c r="CT626">
        <v>1</v>
      </c>
      <c r="CV626">
        <v>1</v>
      </c>
      <c r="CX626">
        <v>3.8194444444444446E-4</v>
      </c>
      <c r="CY626">
        <v>3.8194444444444446E-4</v>
      </c>
      <c r="CZ626">
        <v>0.23721064814814816</v>
      </c>
      <c r="DA626">
        <v>0.1207175925925926</v>
      </c>
      <c r="DB626">
        <v>53</v>
      </c>
      <c r="DC626">
        <v>111</v>
      </c>
      <c r="DD626">
        <v>13</v>
      </c>
      <c r="DE626" t="s">
        <v>886</v>
      </c>
      <c r="DF626">
        <v>10907</v>
      </c>
      <c r="DG626">
        <v>0.24529999999999999</v>
      </c>
      <c r="DO626">
        <v>68</v>
      </c>
    </row>
    <row r="627" spans="93:120" x14ac:dyDescent="0.25">
      <c r="CO627" t="s">
        <v>636</v>
      </c>
      <c r="CP627" t="s">
        <v>2</v>
      </c>
      <c r="CQ627" t="s">
        <v>31</v>
      </c>
      <c r="CR627">
        <v>46153</v>
      </c>
      <c r="CS627">
        <v>1</v>
      </c>
      <c r="CT627">
        <v>1</v>
      </c>
      <c r="CV627">
        <v>1</v>
      </c>
      <c r="CX627">
        <v>3.1597222222222222E-3</v>
      </c>
      <c r="CY627">
        <v>3.1597222222222222E-3</v>
      </c>
      <c r="CZ627">
        <v>0.24893518518518518</v>
      </c>
      <c r="DA627">
        <v>8.0046296296296296E-2</v>
      </c>
      <c r="DB627">
        <v>63</v>
      </c>
      <c r="DC627">
        <v>120</v>
      </c>
      <c r="DD627">
        <v>16</v>
      </c>
      <c r="DE627">
        <v>1.5625</v>
      </c>
      <c r="DF627">
        <v>23266</v>
      </c>
      <c r="DG627">
        <v>0.254</v>
      </c>
      <c r="DO627">
        <v>68</v>
      </c>
    </row>
    <row r="628" spans="93:120" x14ac:dyDescent="0.25">
      <c r="CO628" t="s">
        <v>636</v>
      </c>
      <c r="CP628" t="s">
        <v>2</v>
      </c>
      <c r="CQ628" t="s">
        <v>10</v>
      </c>
      <c r="CR628">
        <v>46153</v>
      </c>
      <c r="CS628">
        <v>1</v>
      </c>
      <c r="CT628">
        <v>1</v>
      </c>
      <c r="CV628">
        <v>1</v>
      </c>
      <c r="CX628">
        <v>1.273148148148148E-4</v>
      </c>
      <c r="CY628">
        <v>1.273148148148148E-4</v>
      </c>
      <c r="CZ628">
        <v>0.23871527777777779</v>
      </c>
      <c r="DA628">
        <v>9.8101851851851857E-2</v>
      </c>
      <c r="DB628">
        <v>117</v>
      </c>
      <c r="DC628">
        <v>221</v>
      </c>
      <c r="DD628">
        <v>18</v>
      </c>
      <c r="DE628" t="s">
        <v>767</v>
      </c>
      <c r="DF628">
        <v>30851</v>
      </c>
      <c r="DG628">
        <v>0.15379999999999999</v>
      </c>
      <c r="DO628">
        <v>68</v>
      </c>
    </row>
    <row r="629" spans="93:120" x14ac:dyDescent="0.25">
      <c r="CO629" t="s">
        <v>636</v>
      </c>
      <c r="CP629" t="s">
        <v>6</v>
      </c>
      <c r="CQ629" t="s">
        <v>19</v>
      </c>
      <c r="CR629">
        <v>46168</v>
      </c>
      <c r="CS629">
        <v>1</v>
      </c>
      <c r="CT629">
        <v>1</v>
      </c>
      <c r="CV629">
        <v>1</v>
      </c>
      <c r="CX629">
        <v>3.4722222222222222E-5</v>
      </c>
      <c r="CY629">
        <v>3.4722222222222222E-5</v>
      </c>
      <c r="CZ629">
        <v>0.19888888888888889</v>
      </c>
      <c r="DA629">
        <v>0.16822916666666668</v>
      </c>
      <c r="DB629">
        <v>184</v>
      </c>
      <c r="DC629">
        <v>318</v>
      </c>
      <c r="DD629">
        <v>30</v>
      </c>
      <c r="DE629">
        <v>1.8</v>
      </c>
      <c r="DF629">
        <v>23401</v>
      </c>
      <c r="DG629">
        <v>0.16300000000000001</v>
      </c>
      <c r="DH629">
        <v>1</v>
      </c>
      <c r="DI629">
        <v>3.3300000000000003E-2</v>
      </c>
      <c r="DJ629">
        <v>7600</v>
      </c>
      <c r="DK629">
        <v>7600</v>
      </c>
      <c r="DL629">
        <v>7600</v>
      </c>
      <c r="DM629">
        <v>1</v>
      </c>
      <c r="DN629">
        <v>0.1079</v>
      </c>
      <c r="DO629">
        <v>68</v>
      </c>
      <c r="DP629">
        <v>7600</v>
      </c>
    </row>
    <row r="630" spans="93:120" x14ac:dyDescent="0.25">
      <c r="CO630" t="s">
        <v>636</v>
      </c>
      <c r="CP630" t="s">
        <v>6</v>
      </c>
      <c r="CQ630" t="s">
        <v>19</v>
      </c>
      <c r="CR630">
        <v>46172</v>
      </c>
      <c r="CS630">
        <v>1</v>
      </c>
      <c r="CT630">
        <v>1</v>
      </c>
      <c r="CV630">
        <v>1</v>
      </c>
      <c r="CX630">
        <v>1.1574074074074075E-4</v>
      </c>
      <c r="CY630">
        <v>1.1574074074074075E-4</v>
      </c>
      <c r="CZ630">
        <v>0.19444444444444445</v>
      </c>
      <c r="DA630">
        <v>5.6365740740740742E-3</v>
      </c>
      <c r="DB630">
        <v>60</v>
      </c>
      <c r="DC630">
        <v>93</v>
      </c>
      <c r="DD630">
        <v>17</v>
      </c>
      <c r="DE630">
        <v>1</v>
      </c>
      <c r="DF630">
        <v>27409</v>
      </c>
      <c r="DG630">
        <v>0.2833</v>
      </c>
      <c r="DH630">
        <v>1</v>
      </c>
      <c r="DI630">
        <v>5.8799999999999998E-2</v>
      </c>
      <c r="DJ630">
        <v>7000</v>
      </c>
      <c r="DK630">
        <v>7000</v>
      </c>
      <c r="DO630">
        <v>68</v>
      </c>
    </row>
    <row r="631" spans="93:120" x14ac:dyDescent="0.25">
      <c r="CO631" t="s">
        <v>636</v>
      </c>
      <c r="CP631" t="s">
        <v>6</v>
      </c>
      <c r="CQ631" t="s">
        <v>11</v>
      </c>
      <c r="CR631">
        <v>46147</v>
      </c>
      <c r="CS631">
        <v>1</v>
      </c>
      <c r="CT631">
        <v>1</v>
      </c>
      <c r="CV631">
        <v>1</v>
      </c>
      <c r="CX631">
        <v>1.3078703703703703E-3</v>
      </c>
      <c r="CY631">
        <v>1.3078703703703703E-3</v>
      </c>
      <c r="CZ631">
        <v>0.30637731481481484</v>
      </c>
      <c r="DA631">
        <v>0.10122685185185185</v>
      </c>
      <c r="DB631">
        <v>158</v>
      </c>
      <c r="DC631">
        <v>332</v>
      </c>
      <c r="DD631">
        <v>26</v>
      </c>
      <c r="DE631">
        <v>2</v>
      </c>
      <c r="DF631">
        <v>15568</v>
      </c>
      <c r="DG631">
        <v>0.1646</v>
      </c>
      <c r="DH631">
        <v>1</v>
      </c>
      <c r="DI631">
        <v>3.85E-2</v>
      </c>
      <c r="DJ631">
        <v>300</v>
      </c>
      <c r="DK631">
        <v>300</v>
      </c>
      <c r="DO631">
        <v>68</v>
      </c>
    </row>
    <row r="632" spans="93:120" x14ac:dyDescent="0.25">
      <c r="CO632" t="s">
        <v>636</v>
      </c>
      <c r="CP632" t="s">
        <v>6</v>
      </c>
      <c r="CQ632" t="s">
        <v>97</v>
      </c>
      <c r="CR632">
        <v>46146</v>
      </c>
      <c r="CS632">
        <v>1</v>
      </c>
      <c r="CT632">
        <v>1</v>
      </c>
      <c r="CX632">
        <v>0</v>
      </c>
      <c r="CY632">
        <v>0</v>
      </c>
      <c r="CZ632">
        <v>0.21444444444444444</v>
      </c>
      <c r="DA632">
        <v>0.12282407407407407</v>
      </c>
      <c r="DB632">
        <v>112</v>
      </c>
      <c r="DC632">
        <v>160</v>
      </c>
      <c r="DD632">
        <v>47</v>
      </c>
      <c r="DE632" t="s">
        <v>887</v>
      </c>
      <c r="DF632">
        <v>10932</v>
      </c>
      <c r="DG632">
        <v>0.41959999999999997</v>
      </c>
      <c r="DH632">
        <v>26</v>
      </c>
      <c r="DI632">
        <v>0.55320000000000003</v>
      </c>
      <c r="DJ632">
        <v>19050</v>
      </c>
      <c r="DK632">
        <v>733</v>
      </c>
      <c r="DL632">
        <v>17250</v>
      </c>
      <c r="DM632">
        <v>0.90549999999999997</v>
      </c>
      <c r="DN632">
        <v>0.36559999999999998</v>
      </c>
      <c r="DO632">
        <v>68</v>
      </c>
      <c r="DP632">
        <v>750</v>
      </c>
    </row>
    <row r="633" spans="93:120" x14ac:dyDescent="0.25">
      <c r="CO633" t="s">
        <v>636</v>
      </c>
      <c r="CP633" t="s">
        <v>6</v>
      </c>
      <c r="CQ633" t="s">
        <v>97</v>
      </c>
      <c r="CR633">
        <v>46167</v>
      </c>
      <c r="CS633">
        <v>1</v>
      </c>
      <c r="CT633">
        <v>1</v>
      </c>
      <c r="CV633">
        <v>1</v>
      </c>
      <c r="CX633">
        <v>1.9675925925925926E-4</v>
      </c>
      <c r="CY633">
        <v>1.9675925925925926E-4</v>
      </c>
      <c r="CZ633">
        <v>0.16553240740740741</v>
      </c>
      <c r="DA633">
        <v>0.15873842592592594</v>
      </c>
      <c r="DB633">
        <v>123</v>
      </c>
      <c r="DC633">
        <v>187</v>
      </c>
      <c r="DD633">
        <v>22</v>
      </c>
      <c r="DE633" t="s">
        <v>807</v>
      </c>
      <c r="DF633">
        <v>14424</v>
      </c>
      <c r="DG633">
        <v>0.1789</v>
      </c>
      <c r="DH633">
        <v>2</v>
      </c>
      <c r="DI633">
        <v>9.0899999999999995E-2</v>
      </c>
      <c r="DJ633">
        <v>6130</v>
      </c>
      <c r="DK633">
        <v>3065</v>
      </c>
      <c r="DL633">
        <v>2500</v>
      </c>
      <c r="DM633">
        <v>0.4078</v>
      </c>
      <c r="DN633">
        <v>0.1091</v>
      </c>
      <c r="DO633">
        <v>68</v>
      </c>
      <c r="DP633">
        <v>2500</v>
      </c>
    </row>
    <row r="634" spans="93:120" x14ac:dyDescent="0.25">
      <c r="CO634" t="s">
        <v>636</v>
      </c>
      <c r="CP634" t="s">
        <v>6</v>
      </c>
      <c r="CQ634" t="s">
        <v>76</v>
      </c>
      <c r="CR634">
        <v>46148</v>
      </c>
      <c r="CS634">
        <v>1</v>
      </c>
      <c r="CT634">
        <v>1</v>
      </c>
      <c r="CV634">
        <v>1</v>
      </c>
      <c r="CX634">
        <v>3.4722222222222222E-5</v>
      </c>
      <c r="CY634">
        <v>3.4722222222222222E-5</v>
      </c>
      <c r="CZ634">
        <v>0.25877314814814817</v>
      </c>
      <c r="DA634">
        <v>8.0763888888888885E-2</v>
      </c>
      <c r="DB634">
        <v>161</v>
      </c>
      <c r="DC634">
        <v>201</v>
      </c>
      <c r="DD634">
        <v>9</v>
      </c>
      <c r="DE634" t="s">
        <v>707</v>
      </c>
      <c r="DF634">
        <v>14470</v>
      </c>
      <c r="DG634">
        <v>5.5899999999999998E-2</v>
      </c>
      <c r="DH634">
        <v>1</v>
      </c>
      <c r="DI634">
        <v>0.1111</v>
      </c>
      <c r="DJ634">
        <v>777</v>
      </c>
      <c r="DK634">
        <v>777</v>
      </c>
      <c r="DL634">
        <v>500</v>
      </c>
      <c r="DM634">
        <v>0.64349999999999996</v>
      </c>
      <c r="DN634">
        <v>0.47560000000000002</v>
      </c>
      <c r="DO634">
        <v>68</v>
      </c>
      <c r="DP634">
        <v>500</v>
      </c>
    </row>
    <row r="635" spans="93:120" x14ac:dyDescent="0.25">
      <c r="CO635" t="s">
        <v>636</v>
      </c>
      <c r="CP635" t="s">
        <v>7</v>
      </c>
      <c r="CQ635" t="s">
        <v>80</v>
      </c>
      <c r="CR635">
        <v>46147</v>
      </c>
      <c r="CS635">
        <v>1</v>
      </c>
      <c r="CT635">
        <v>1</v>
      </c>
      <c r="CV635">
        <v>1</v>
      </c>
      <c r="CX635">
        <v>1.273148148148148E-4</v>
      </c>
      <c r="CY635">
        <v>1.273148148148148E-4</v>
      </c>
      <c r="CZ635">
        <v>0.27254629629629629</v>
      </c>
      <c r="DA635">
        <v>0.14329861111111111</v>
      </c>
      <c r="DB635">
        <v>121</v>
      </c>
      <c r="DC635">
        <v>251</v>
      </c>
      <c r="DD635">
        <v>12</v>
      </c>
      <c r="DE635" t="s">
        <v>674</v>
      </c>
      <c r="DF635">
        <v>34054</v>
      </c>
      <c r="DG635">
        <v>9.9199999999999997E-2</v>
      </c>
      <c r="DO635">
        <v>68</v>
      </c>
    </row>
    <row r="636" spans="93:120" x14ac:dyDescent="0.25">
      <c r="CO636" t="s">
        <v>636</v>
      </c>
      <c r="CP636" t="s">
        <v>7</v>
      </c>
      <c r="CQ636" t="s">
        <v>51</v>
      </c>
      <c r="CR636">
        <v>46147</v>
      </c>
      <c r="CS636">
        <v>1</v>
      </c>
      <c r="CT636">
        <v>1</v>
      </c>
      <c r="CV636">
        <v>1</v>
      </c>
      <c r="CX636">
        <v>4.0509259259259258E-4</v>
      </c>
      <c r="CY636">
        <v>4.0509259259259258E-4</v>
      </c>
      <c r="CZ636">
        <v>0.31679398148148147</v>
      </c>
      <c r="DA636">
        <v>8.3645833333333336E-2</v>
      </c>
      <c r="DB636">
        <v>208</v>
      </c>
      <c r="DC636">
        <v>405</v>
      </c>
      <c r="DD636">
        <v>13</v>
      </c>
      <c r="DE636" t="s">
        <v>708</v>
      </c>
      <c r="DF636">
        <v>29562</v>
      </c>
      <c r="DG636">
        <v>6.25E-2</v>
      </c>
      <c r="DO636">
        <v>68</v>
      </c>
    </row>
    <row r="637" spans="93:120" x14ac:dyDescent="0.25">
      <c r="CO637" t="s">
        <v>636</v>
      </c>
      <c r="CP637" t="s">
        <v>7</v>
      </c>
      <c r="CQ637" t="s">
        <v>75</v>
      </c>
      <c r="CR637">
        <v>46146</v>
      </c>
      <c r="CS637">
        <v>1</v>
      </c>
      <c r="CT637">
        <v>1</v>
      </c>
      <c r="CU637">
        <v>1</v>
      </c>
      <c r="CX637">
        <v>2.3865740740740739E-2</v>
      </c>
      <c r="CY637">
        <v>2.3865740740740739E-2</v>
      </c>
      <c r="CZ637">
        <v>0.21959490740740742</v>
      </c>
      <c r="DA637">
        <v>8.9687500000000003E-2</v>
      </c>
      <c r="DB637">
        <v>86</v>
      </c>
      <c r="DC637">
        <v>145</v>
      </c>
      <c r="DD637">
        <v>29</v>
      </c>
      <c r="DE637" t="s">
        <v>888</v>
      </c>
      <c r="DF637">
        <v>20292</v>
      </c>
      <c r="DG637">
        <v>0.3372</v>
      </c>
      <c r="DH637">
        <v>11</v>
      </c>
      <c r="DI637">
        <v>0.37930000000000003</v>
      </c>
      <c r="DJ637">
        <v>22579</v>
      </c>
      <c r="DK637">
        <v>2053</v>
      </c>
      <c r="DL637">
        <v>9023</v>
      </c>
      <c r="DM637">
        <v>0.39960000000000001</v>
      </c>
      <c r="DN637">
        <v>0.34439999999999998</v>
      </c>
      <c r="DO637">
        <v>68</v>
      </c>
      <c r="DP637">
        <v>1289</v>
      </c>
    </row>
    <row r="638" spans="93:120" x14ac:dyDescent="0.25">
      <c r="CO638" t="s">
        <v>636</v>
      </c>
      <c r="CP638" t="s">
        <v>7</v>
      </c>
      <c r="CQ638" t="s">
        <v>75</v>
      </c>
      <c r="CR638">
        <v>46147</v>
      </c>
      <c r="CS638">
        <v>1</v>
      </c>
      <c r="CT638">
        <v>1</v>
      </c>
      <c r="CV638">
        <v>1</v>
      </c>
      <c r="CX638">
        <v>1.0416666666666667E-4</v>
      </c>
      <c r="CY638">
        <v>1.0416666666666667E-4</v>
      </c>
      <c r="CZ638">
        <v>0.30938657407407405</v>
      </c>
      <c r="DA638">
        <v>8.8032407407407406E-2</v>
      </c>
      <c r="DB638">
        <v>130</v>
      </c>
      <c r="DC638">
        <v>253</v>
      </c>
      <c r="DD638">
        <v>15</v>
      </c>
      <c r="DE638" t="s">
        <v>808</v>
      </c>
      <c r="DF638">
        <v>30522</v>
      </c>
      <c r="DG638">
        <v>0.1154</v>
      </c>
      <c r="DO638">
        <v>68</v>
      </c>
    </row>
    <row r="639" spans="93:120" x14ac:dyDescent="0.25">
      <c r="CO639" t="s">
        <v>636</v>
      </c>
      <c r="CP639" t="s">
        <v>604</v>
      </c>
      <c r="CQ639" t="s">
        <v>41</v>
      </c>
      <c r="CR639">
        <v>46156</v>
      </c>
      <c r="CS639">
        <v>1</v>
      </c>
      <c r="CT639">
        <v>1</v>
      </c>
      <c r="CU639">
        <v>1</v>
      </c>
      <c r="CX639">
        <v>7.9398148148148145E-3</v>
      </c>
      <c r="CY639">
        <v>7.9398148148148145E-3</v>
      </c>
      <c r="CZ639">
        <v>0.18111111111111111</v>
      </c>
      <c r="DA639">
        <v>0.12891203703703705</v>
      </c>
      <c r="DB639">
        <v>92</v>
      </c>
      <c r="DC639">
        <v>166</v>
      </c>
      <c r="DD639">
        <v>40</v>
      </c>
      <c r="DE639">
        <v>1.6</v>
      </c>
      <c r="DF639">
        <v>12252</v>
      </c>
      <c r="DG639">
        <v>0.43480000000000002</v>
      </c>
      <c r="DH639">
        <v>1</v>
      </c>
      <c r="DI639">
        <v>2.5000000000000001E-2</v>
      </c>
      <c r="DJ639">
        <v>300</v>
      </c>
      <c r="DK639">
        <v>300</v>
      </c>
      <c r="DO639">
        <v>68</v>
      </c>
    </row>
    <row r="640" spans="93:120" x14ac:dyDescent="0.25">
      <c r="CO640" t="s">
        <v>636</v>
      </c>
      <c r="CP640" t="s">
        <v>604</v>
      </c>
      <c r="CQ640" t="s">
        <v>599</v>
      </c>
      <c r="CR640">
        <v>46157</v>
      </c>
      <c r="CS640">
        <v>1</v>
      </c>
      <c r="CT640">
        <v>1</v>
      </c>
      <c r="CV640">
        <v>1</v>
      </c>
      <c r="CX640">
        <v>0</v>
      </c>
      <c r="CY640">
        <v>0</v>
      </c>
      <c r="CZ640">
        <v>0.24636574074074075</v>
      </c>
      <c r="DA640">
        <v>8.8773148148148143E-2</v>
      </c>
      <c r="DB640">
        <v>138</v>
      </c>
      <c r="DC640">
        <v>202</v>
      </c>
      <c r="DD640">
        <v>33</v>
      </c>
      <c r="DE640" t="s">
        <v>889</v>
      </c>
      <c r="DF640">
        <v>5772</v>
      </c>
      <c r="DG640">
        <v>0.23910000000000001</v>
      </c>
      <c r="DH640">
        <v>2</v>
      </c>
      <c r="DI640">
        <v>6.0600000000000001E-2</v>
      </c>
      <c r="DJ640">
        <v>380</v>
      </c>
      <c r="DK640">
        <v>190</v>
      </c>
      <c r="DO640">
        <v>68</v>
      </c>
    </row>
    <row r="641" spans="93:120" x14ac:dyDescent="0.25">
      <c r="CO641" t="s">
        <v>636</v>
      </c>
      <c r="CP641" t="s">
        <v>604</v>
      </c>
      <c r="CQ641" t="s">
        <v>77</v>
      </c>
      <c r="CR641">
        <v>46153</v>
      </c>
      <c r="CS641">
        <v>1</v>
      </c>
      <c r="CT641">
        <v>1</v>
      </c>
      <c r="CU641">
        <v>1</v>
      </c>
      <c r="CX641">
        <v>1.3541666666666667E-2</v>
      </c>
      <c r="CY641">
        <v>1.3541666666666667E-2</v>
      </c>
      <c r="CZ641">
        <v>0.17761574074074074</v>
      </c>
      <c r="DA641">
        <v>8.5115740740740742E-2</v>
      </c>
      <c r="DB641">
        <v>76</v>
      </c>
      <c r="DC641">
        <v>138</v>
      </c>
      <c r="DD641">
        <v>13</v>
      </c>
      <c r="DE641" t="s">
        <v>743</v>
      </c>
      <c r="DF641">
        <v>15513</v>
      </c>
      <c r="DG641">
        <v>0.1711</v>
      </c>
      <c r="DO641">
        <v>68</v>
      </c>
    </row>
    <row r="642" spans="93:120" x14ac:dyDescent="0.25">
      <c r="CO642" t="s">
        <v>636</v>
      </c>
      <c r="CP642" t="s">
        <v>604</v>
      </c>
      <c r="CQ642" t="s">
        <v>55</v>
      </c>
      <c r="CR642">
        <v>46153</v>
      </c>
      <c r="CS642">
        <v>1</v>
      </c>
      <c r="CT642">
        <v>1</v>
      </c>
      <c r="CW642">
        <v>1</v>
      </c>
      <c r="CX642">
        <v>0</v>
      </c>
      <c r="CY642">
        <v>0</v>
      </c>
      <c r="CZ642">
        <v>0</v>
      </c>
      <c r="DA642">
        <v>0</v>
      </c>
      <c r="DO642">
        <v>68</v>
      </c>
    </row>
    <row r="643" spans="93:120" x14ac:dyDescent="0.25">
      <c r="CO643" t="s">
        <v>636</v>
      </c>
      <c r="CP643" t="s">
        <v>604</v>
      </c>
      <c r="CQ643" t="s">
        <v>48</v>
      </c>
      <c r="CR643">
        <v>46153</v>
      </c>
      <c r="CS643">
        <v>1</v>
      </c>
      <c r="CT643">
        <v>1</v>
      </c>
      <c r="CU643">
        <v>1</v>
      </c>
      <c r="CX643">
        <v>4.2546296296296297E-2</v>
      </c>
      <c r="CY643">
        <v>4.2546296296296297E-2</v>
      </c>
      <c r="CZ643">
        <v>0.15815972222222222</v>
      </c>
      <c r="DA643">
        <v>8.5532407407407404E-2</v>
      </c>
      <c r="DB643">
        <v>64</v>
      </c>
      <c r="DC643">
        <v>72</v>
      </c>
      <c r="DD643">
        <v>17</v>
      </c>
      <c r="DE643" t="s">
        <v>890</v>
      </c>
      <c r="DF643">
        <v>8501</v>
      </c>
      <c r="DG643">
        <v>0.2656</v>
      </c>
      <c r="DO643">
        <v>68</v>
      </c>
    </row>
    <row r="644" spans="93:120" x14ac:dyDescent="0.25">
      <c r="CO644" t="s">
        <v>636</v>
      </c>
      <c r="CP644" t="s">
        <v>3</v>
      </c>
      <c r="CQ644" t="s">
        <v>564</v>
      </c>
      <c r="CR644">
        <v>46162</v>
      </c>
      <c r="CS644">
        <v>1</v>
      </c>
      <c r="CT644">
        <v>1</v>
      </c>
      <c r="CV644">
        <v>1</v>
      </c>
      <c r="CX644">
        <v>0</v>
      </c>
      <c r="CY644">
        <v>0</v>
      </c>
      <c r="CZ644">
        <v>0.2603935185185185</v>
      </c>
      <c r="DA644">
        <v>0.1333101851851852</v>
      </c>
      <c r="DB644">
        <v>125</v>
      </c>
      <c r="DC644">
        <v>207</v>
      </c>
      <c r="DD644">
        <v>28</v>
      </c>
      <c r="DE644" t="s">
        <v>762</v>
      </c>
      <c r="DF644">
        <v>27066</v>
      </c>
      <c r="DG644">
        <v>0.224</v>
      </c>
      <c r="DH644">
        <v>2</v>
      </c>
      <c r="DI644">
        <v>7.1400000000000005E-2</v>
      </c>
      <c r="DJ644">
        <v>3500</v>
      </c>
      <c r="DK644">
        <v>1750</v>
      </c>
      <c r="DL644">
        <v>2000</v>
      </c>
      <c r="DM644">
        <v>0.57140000000000002</v>
      </c>
      <c r="DN644">
        <v>0.1835</v>
      </c>
      <c r="DO644">
        <v>68</v>
      </c>
      <c r="DP644">
        <v>2000</v>
      </c>
    </row>
    <row r="645" spans="93:120" x14ac:dyDescent="0.25">
      <c r="CO645" t="s">
        <v>636</v>
      </c>
      <c r="CP645" t="s">
        <v>3</v>
      </c>
      <c r="CQ645" t="s">
        <v>564</v>
      </c>
      <c r="CR645">
        <v>46164</v>
      </c>
      <c r="CS645">
        <v>1</v>
      </c>
      <c r="CT645">
        <v>1</v>
      </c>
      <c r="CV645">
        <v>1</v>
      </c>
      <c r="CX645">
        <v>0</v>
      </c>
      <c r="CY645">
        <v>0</v>
      </c>
      <c r="CZ645">
        <v>0.2119212962962963</v>
      </c>
      <c r="DA645">
        <v>0.13372685185185185</v>
      </c>
      <c r="DB645">
        <v>115</v>
      </c>
      <c r="DC645">
        <v>217</v>
      </c>
      <c r="DD645">
        <v>21</v>
      </c>
      <c r="DE645" t="s">
        <v>745</v>
      </c>
      <c r="DF645">
        <v>40441</v>
      </c>
      <c r="DG645">
        <v>0.18260000000000001</v>
      </c>
      <c r="DH645">
        <v>2</v>
      </c>
      <c r="DI645">
        <v>9.5200000000000007E-2</v>
      </c>
      <c r="DJ645">
        <v>2040</v>
      </c>
      <c r="DK645">
        <v>1020</v>
      </c>
      <c r="DL645">
        <v>1800</v>
      </c>
      <c r="DM645">
        <v>0.88239999999999996</v>
      </c>
      <c r="DN645">
        <v>0.1353</v>
      </c>
      <c r="DO645">
        <v>68</v>
      </c>
      <c r="DP645">
        <v>1800</v>
      </c>
    </row>
    <row r="646" spans="93:120" x14ac:dyDescent="0.25">
      <c r="CO646" t="s">
        <v>636</v>
      </c>
      <c r="CP646" t="s">
        <v>3</v>
      </c>
      <c r="CQ646" t="s">
        <v>68</v>
      </c>
      <c r="CR646">
        <v>46170</v>
      </c>
      <c r="CS646">
        <v>1</v>
      </c>
      <c r="CT646">
        <v>1</v>
      </c>
      <c r="CU646">
        <v>1</v>
      </c>
      <c r="CX646">
        <v>4.3055555555555555E-3</v>
      </c>
      <c r="CY646">
        <v>4.3055555555555555E-3</v>
      </c>
      <c r="CZ646">
        <v>0.14859953703703704</v>
      </c>
      <c r="DA646">
        <v>7.7175925925925926E-2</v>
      </c>
      <c r="DB646">
        <v>67</v>
      </c>
      <c r="DC646">
        <v>106</v>
      </c>
      <c r="DD646">
        <v>17</v>
      </c>
      <c r="DE646" t="s">
        <v>820</v>
      </c>
      <c r="DF646">
        <v>25647</v>
      </c>
      <c r="DG646">
        <v>0.25369999999999998</v>
      </c>
      <c r="DO646">
        <v>68</v>
      </c>
    </row>
    <row r="647" spans="93:120" x14ac:dyDescent="0.25">
      <c r="CO647" t="s">
        <v>636</v>
      </c>
      <c r="CP647" t="s">
        <v>2</v>
      </c>
      <c r="CQ647" t="s">
        <v>22</v>
      </c>
      <c r="CR647">
        <v>46150</v>
      </c>
      <c r="CS647">
        <v>1</v>
      </c>
      <c r="CT647">
        <v>1</v>
      </c>
      <c r="CV647">
        <v>1</v>
      </c>
      <c r="CX647">
        <v>9.0277777777777774E-4</v>
      </c>
      <c r="CY647">
        <v>9.0277777777777774E-4</v>
      </c>
      <c r="CZ647">
        <v>0.1696412037037037</v>
      </c>
      <c r="DA647">
        <v>9.0636574074074078E-2</v>
      </c>
      <c r="DB647">
        <v>52</v>
      </c>
      <c r="DC647">
        <v>114</v>
      </c>
      <c r="DD647">
        <v>6</v>
      </c>
      <c r="DE647" t="s">
        <v>674</v>
      </c>
      <c r="DF647">
        <v>34906</v>
      </c>
      <c r="DG647">
        <v>0.1154</v>
      </c>
      <c r="DO647">
        <v>66</v>
      </c>
    </row>
    <row r="648" spans="93:120" x14ac:dyDescent="0.25">
      <c r="CO648" t="s">
        <v>636</v>
      </c>
      <c r="CP648" t="s">
        <v>2</v>
      </c>
      <c r="CQ648" t="s">
        <v>22</v>
      </c>
      <c r="CR648">
        <v>46156</v>
      </c>
      <c r="CS648">
        <v>1</v>
      </c>
      <c r="CT648">
        <v>1</v>
      </c>
      <c r="CU648">
        <v>1</v>
      </c>
      <c r="CX648">
        <v>1.5787037037037037E-2</v>
      </c>
      <c r="CY648">
        <v>1.5787037037037037E-2</v>
      </c>
      <c r="CZ648">
        <v>0.18525462962962963</v>
      </c>
      <c r="DA648">
        <v>0.14380787037037038</v>
      </c>
      <c r="DB648">
        <v>65</v>
      </c>
      <c r="DC648">
        <v>122</v>
      </c>
      <c r="DD648">
        <v>17</v>
      </c>
      <c r="DE648" t="s">
        <v>670</v>
      </c>
      <c r="DF648">
        <v>28329</v>
      </c>
      <c r="DG648">
        <v>0.26150000000000001</v>
      </c>
      <c r="DH648">
        <v>1</v>
      </c>
      <c r="DI648">
        <v>5.8799999999999998E-2</v>
      </c>
      <c r="DJ648">
        <v>2500</v>
      </c>
      <c r="DK648">
        <v>2500</v>
      </c>
      <c r="DO648">
        <v>66</v>
      </c>
    </row>
    <row r="649" spans="93:120" x14ac:dyDescent="0.25">
      <c r="CO649" t="s">
        <v>636</v>
      </c>
      <c r="CP649" t="s">
        <v>2</v>
      </c>
      <c r="CQ649" t="s">
        <v>24</v>
      </c>
      <c r="CR649">
        <v>46168</v>
      </c>
      <c r="CS649">
        <v>1</v>
      </c>
      <c r="CT649">
        <v>1</v>
      </c>
      <c r="CV649">
        <v>1</v>
      </c>
      <c r="CX649">
        <v>7.8703703703703705E-4</v>
      </c>
      <c r="CY649">
        <v>7.8703703703703705E-4</v>
      </c>
      <c r="CZ649">
        <v>0.19883101851851853</v>
      </c>
      <c r="DA649">
        <v>0.1625462962962963</v>
      </c>
      <c r="DB649">
        <v>48</v>
      </c>
      <c r="DC649">
        <v>100</v>
      </c>
      <c r="DD649">
        <v>23</v>
      </c>
      <c r="DE649" t="s">
        <v>826</v>
      </c>
      <c r="DF649">
        <v>29699</v>
      </c>
      <c r="DG649">
        <v>0.47920000000000001</v>
      </c>
      <c r="DH649">
        <v>1</v>
      </c>
      <c r="DI649">
        <v>4.3499999999999997E-2</v>
      </c>
      <c r="DJ649">
        <v>8000</v>
      </c>
      <c r="DK649">
        <v>8000</v>
      </c>
      <c r="DL649">
        <v>1000</v>
      </c>
      <c r="DM649">
        <v>0.125</v>
      </c>
      <c r="DN649">
        <v>2.1399999999999999E-2</v>
      </c>
      <c r="DO649">
        <v>66</v>
      </c>
      <c r="DP649">
        <v>1000</v>
      </c>
    </row>
    <row r="650" spans="93:120" x14ac:dyDescent="0.25">
      <c r="CO650" t="s">
        <v>636</v>
      </c>
      <c r="CP650" t="s">
        <v>2</v>
      </c>
      <c r="CQ650" t="s">
        <v>42</v>
      </c>
      <c r="CR650">
        <v>46160</v>
      </c>
      <c r="CS650">
        <v>1</v>
      </c>
      <c r="CT650">
        <v>1</v>
      </c>
      <c r="CU650">
        <v>1</v>
      </c>
      <c r="CX650">
        <v>1.6458333333333332E-2</v>
      </c>
      <c r="CY650">
        <v>1.6458333333333332E-2</v>
      </c>
      <c r="CZ650">
        <v>0.18300925925925926</v>
      </c>
      <c r="DA650">
        <v>0.12714120370370371</v>
      </c>
      <c r="DB650">
        <v>88</v>
      </c>
      <c r="DC650">
        <v>162</v>
      </c>
      <c r="DD650">
        <v>24</v>
      </c>
      <c r="DE650" t="s">
        <v>869</v>
      </c>
      <c r="DF650">
        <v>23543</v>
      </c>
      <c r="DG650">
        <v>0.2727</v>
      </c>
      <c r="DO650">
        <v>66</v>
      </c>
    </row>
    <row r="651" spans="93:120" x14ac:dyDescent="0.25">
      <c r="CO651" t="s">
        <v>636</v>
      </c>
      <c r="CP651" t="s">
        <v>2</v>
      </c>
      <c r="CQ651" t="s">
        <v>65</v>
      </c>
      <c r="CR651">
        <v>46150</v>
      </c>
      <c r="CS651">
        <v>1</v>
      </c>
      <c r="CT651">
        <v>1</v>
      </c>
      <c r="CV651">
        <v>1</v>
      </c>
      <c r="CX651">
        <v>1.5046296296296297E-4</v>
      </c>
      <c r="CY651">
        <v>1.5046296296296297E-4</v>
      </c>
      <c r="CZ651">
        <v>0.22290509259259259</v>
      </c>
      <c r="DA651">
        <v>8.7268518518518523E-2</v>
      </c>
      <c r="DB651">
        <v>41</v>
      </c>
      <c r="DC651">
        <v>91</v>
      </c>
      <c r="DD651">
        <v>8</v>
      </c>
      <c r="DE651">
        <v>1.375</v>
      </c>
      <c r="DF651">
        <v>22312</v>
      </c>
      <c r="DG651">
        <v>0.1951</v>
      </c>
      <c r="DO651">
        <v>66</v>
      </c>
    </row>
    <row r="652" spans="93:120" x14ac:dyDescent="0.25">
      <c r="CO652" t="s">
        <v>636</v>
      </c>
      <c r="CP652" t="s">
        <v>2</v>
      </c>
      <c r="CQ652" t="s">
        <v>37</v>
      </c>
      <c r="CR652">
        <v>46160</v>
      </c>
      <c r="CS652">
        <v>1</v>
      </c>
      <c r="CT652">
        <v>1</v>
      </c>
      <c r="CW652">
        <v>1</v>
      </c>
      <c r="CX652">
        <v>0</v>
      </c>
      <c r="CY652">
        <v>0</v>
      </c>
      <c r="CZ652">
        <v>0</v>
      </c>
      <c r="DA652">
        <v>0</v>
      </c>
      <c r="DO652">
        <v>66</v>
      </c>
    </row>
    <row r="653" spans="93:120" x14ac:dyDescent="0.25">
      <c r="CO653" t="s">
        <v>636</v>
      </c>
      <c r="CP653" t="s">
        <v>7</v>
      </c>
      <c r="CQ653" t="s">
        <v>80</v>
      </c>
      <c r="CR653">
        <v>46153</v>
      </c>
      <c r="CS653">
        <v>1</v>
      </c>
      <c r="CT653">
        <v>1</v>
      </c>
      <c r="CV653">
        <v>1</v>
      </c>
      <c r="CX653">
        <v>8.1018518518518516E-5</v>
      </c>
      <c r="CY653">
        <v>8.1018518518518516E-5</v>
      </c>
      <c r="CZ653">
        <v>0.22493055555555555</v>
      </c>
      <c r="DA653">
        <v>0.12153935185185186</v>
      </c>
      <c r="DB653">
        <v>57</v>
      </c>
      <c r="DC653">
        <v>132</v>
      </c>
      <c r="DD653">
        <v>14</v>
      </c>
      <c r="DE653">
        <v>1.5</v>
      </c>
      <c r="DF653">
        <v>12347</v>
      </c>
      <c r="DG653">
        <v>0.24560000000000001</v>
      </c>
      <c r="DO653">
        <v>66</v>
      </c>
    </row>
    <row r="654" spans="93:120" x14ac:dyDescent="0.25">
      <c r="CO654" t="s">
        <v>636</v>
      </c>
      <c r="CP654" t="s">
        <v>7</v>
      </c>
      <c r="CQ654" t="s">
        <v>72</v>
      </c>
      <c r="CR654">
        <v>46168</v>
      </c>
      <c r="CS654">
        <v>1</v>
      </c>
      <c r="CT654">
        <v>1</v>
      </c>
      <c r="CV654">
        <v>1</v>
      </c>
      <c r="CX654">
        <v>3.9351851851851852E-4</v>
      </c>
      <c r="CY654">
        <v>3.9351851851851852E-4</v>
      </c>
      <c r="CZ654">
        <v>0.16065972222222222</v>
      </c>
      <c r="DA654">
        <v>0.17792824074074073</v>
      </c>
      <c r="DB654">
        <v>115</v>
      </c>
      <c r="DC654">
        <v>249</v>
      </c>
      <c r="DD654">
        <v>17</v>
      </c>
      <c r="DE654" t="s">
        <v>891</v>
      </c>
      <c r="DF654">
        <v>34078</v>
      </c>
      <c r="DG654">
        <v>0.14779999999999999</v>
      </c>
      <c r="DH654">
        <v>1</v>
      </c>
      <c r="DI654">
        <v>5.8799999999999998E-2</v>
      </c>
      <c r="DJ654">
        <v>4200</v>
      </c>
      <c r="DK654">
        <v>4200</v>
      </c>
      <c r="DO654">
        <v>66</v>
      </c>
    </row>
    <row r="655" spans="93:120" x14ac:dyDescent="0.25">
      <c r="CO655" t="s">
        <v>636</v>
      </c>
      <c r="CP655" t="s">
        <v>7</v>
      </c>
      <c r="CQ655" t="s">
        <v>12</v>
      </c>
      <c r="CR655">
        <v>46148</v>
      </c>
      <c r="CS655">
        <v>1</v>
      </c>
      <c r="CT655">
        <v>1</v>
      </c>
      <c r="CU655">
        <v>1</v>
      </c>
      <c r="CX655">
        <v>7.5231481481481477E-3</v>
      </c>
      <c r="CY655">
        <v>7.5231481481481477E-3</v>
      </c>
      <c r="CZ655">
        <v>0.21164351851851851</v>
      </c>
      <c r="DA655">
        <v>9.9456018518518513E-2</v>
      </c>
      <c r="DB655">
        <v>87</v>
      </c>
      <c r="DC655">
        <v>259</v>
      </c>
      <c r="DD655">
        <v>26</v>
      </c>
      <c r="DE655" t="s">
        <v>733</v>
      </c>
      <c r="DF655">
        <v>16170</v>
      </c>
      <c r="DG655">
        <v>0.2989</v>
      </c>
      <c r="DO655">
        <v>66</v>
      </c>
    </row>
    <row r="656" spans="93:120" x14ac:dyDescent="0.25">
      <c r="CO656" t="s">
        <v>636</v>
      </c>
      <c r="CP656" t="s">
        <v>7</v>
      </c>
      <c r="CQ656" t="s">
        <v>12</v>
      </c>
      <c r="CR656">
        <v>46153</v>
      </c>
      <c r="CS656">
        <v>1</v>
      </c>
      <c r="CT656">
        <v>1</v>
      </c>
      <c r="CV656">
        <v>1</v>
      </c>
      <c r="CX656">
        <v>2.3148148148148149E-4</v>
      </c>
      <c r="CY656">
        <v>2.3148148148148149E-4</v>
      </c>
      <c r="CZ656">
        <v>0.22299768518518517</v>
      </c>
      <c r="DA656">
        <v>7.947916666666667E-2</v>
      </c>
      <c r="DB656">
        <v>87</v>
      </c>
      <c r="DC656">
        <v>219</v>
      </c>
      <c r="DD656">
        <v>10</v>
      </c>
      <c r="DE656">
        <v>1.2</v>
      </c>
      <c r="DF656">
        <v>37753</v>
      </c>
      <c r="DG656">
        <v>0.1149</v>
      </c>
      <c r="DO656">
        <v>66</v>
      </c>
    </row>
    <row r="657" spans="93:120" x14ac:dyDescent="0.25">
      <c r="CO657" t="s">
        <v>636</v>
      </c>
      <c r="CP657" t="s">
        <v>604</v>
      </c>
      <c r="CQ657" t="s">
        <v>109</v>
      </c>
      <c r="CR657">
        <v>46163</v>
      </c>
      <c r="CS657">
        <v>1</v>
      </c>
      <c r="CT657">
        <v>1</v>
      </c>
      <c r="CV657">
        <v>1</v>
      </c>
      <c r="CX657">
        <v>7.1759259259259259E-4</v>
      </c>
      <c r="CY657">
        <v>7.1759259259259259E-4</v>
      </c>
      <c r="CZ657">
        <v>0.16150462962962964</v>
      </c>
      <c r="DA657">
        <v>0.12155092592592592</v>
      </c>
      <c r="DB657">
        <v>74</v>
      </c>
      <c r="DC657">
        <v>163</v>
      </c>
      <c r="DD657">
        <v>24</v>
      </c>
      <c r="DE657">
        <v>1.625</v>
      </c>
      <c r="DF657">
        <v>31036</v>
      </c>
      <c r="DG657">
        <v>0.32429999999999998</v>
      </c>
      <c r="DO657">
        <v>66</v>
      </c>
    </row>
    <row r="658" spans="93:120" x14ac:dyDescent="0.25">
      <c r="CO658" t="s">
        <v>636</v>
      </c>
      <c r="CP658" t="s">
        <v>604</v>
      </c>
      <c r="CQ658" t="s">
        <v>41</v>
      </c>
      <c r="CR658">
        <v>46146</v>
      </c>
      <c r="CS658">
        <v>1</v>
      </c>
      <c r="CT658">
        <v>1</v>
      </c>
      <c r="CV658">
        <v>1</v>
      </c>
      <c r="CX658">
        <v>1.0416666666666667E-4</v>
      </c>
      <c r="CY658">
        <v>1.0416666666666667E-4</v>
      </c>
      <c r="CZ658">
        <v>0.18122685185185186</v>
      </c>
      <c r="DA658">
        <v>0.10900462962962963</v>
      </c>
      <c r="DB658">
        <v>89</v>
      </c>
      <c r="DC658">
        <v>131</v>
      </c>
      <c r="DD658">
        <v>28</v>
      </c>
      <c r="DE658" t="s">
        <v>745</v>
      </c>
      <c r="DF658">
        <v>12760</v>
      </c>
      <c r="DG658">
        <v>0.31459999999999999</v>
      </c>
      <c r="DH658">
        <v>4</v>
      </c>
      <c r="DI658">
        <v>0.1429</v>
      </c>
      <c r="DJ658">
        <v>2400</v>
      </c>
      <c r="DK658">
        <v>600</v>
      </c>
      <c r="DL658">
        <v>1800</v>
      </c>
      <c r="DM658">
        <v>0.75</v>
      </c>
      <c r="DO658">
        <v>66</v>
      </c>
      <c r="DP658">
        <v>900</v>
      </c>
    </row>
    <row r="659" spans="93:120" x14ac:dyDescent="0.25">
      <c r="CO659" t="s">
        <v>636</v>
      </c>
      <c r="CP659" t="s">
        <v>604</v>
      </c>
      <c r="CQ659" t="s">
        <v>600</v>
      </c>
      <c r="CR659">
        <v>46161</v>
      </c>
      <c r="CS659">
        <v>1</v>
      </c>
      <c r="CT659">
        <v>1</v>
      </c>
      <c r="CV659">
        <v>1</v>
      </c>
      <c r="CX659">
        <v>0</v>
      </c>
      <c r="CY659">
        <v>0</v>
      </c>
      <c r="CZ659">
        <v>0.21237268518518518</v>
      </c>
      <c r="DA659">
        <v>0.13912037037037037</v>
      </c>
      <c r="DB659">
        <v>122</v>
      </c>
      <c r="DC659">
        <v>181</v>
      </c>
      <c r="DD659">
        <v>25</v>
      </c>
      <c r="DE659">
        <v>1.76</v>
      </c>
      <c r="DF659">
        <v>24734</v>
      </c>
      <c r="DG659">
        <v>0.2049</v>
      </c>
      <c r="DO659">
        <v>66</v>
      </c>
    </row>
    <row r="660" spans="93:120" x14ac:dyDescent="0.25">
      <c r="CO660" t="s">
        <v>636</v>
      </c>
      <c r="CP660" t="s">
        <v>604</v>
      </c>
      <c r="CQ660" t="s">
        <v>49</v>
      </c>
      <c r="CR660">
        <v>46161</v>
      </c>
      <c r="CS660">
        <v>1</v>
      </c>
      <c r="CT660">
        <v>1</v>
      </c>
      <c r="CV660">
        <v>1</v>
      </c>
      <c r="CX660">
        <v>3.0555555555555557E-3</v>
      </c>
      <c r="CY660">
        <v>3.0555555555555557E-3</v>
      </c>
      <c r="CZ660">
        <v>0.20412037037037037</v>
      </c>
      <c r="DA660">
        <v>0.12885416666666666</v>
      </c>
      <c r="DB660">
        <v>76</v>
      </c>
      <c r="DC660">
        <v>107</v>
      </c>
      <c r="DD660">
        <v>9</v>
      </c>
      <c r="DE660" t="s">
        <v>697</v>
      </c>
      <c r="DF660">
        <v>30484</v>
      </c>
      <c r="DG660">
        <v>0.11840000000000001</v>
      </c>
      <c r="DO660">
        <v>66</v>
      </c>
    </row>
    <row r="661" spans="93:120" x14ac:dyDescent="0.25">
      <c r="CO661" t="s">
        <v>636</v>
      </c>
      <c r="CP661" t="s">
        <v>604</v>
      </c>
      <c r="CQ661" t="s">
        <v>49</v>
      </c>
      <c r="CR661">
        <v>46163</v>
      </c>
      <c r="CS661">
        <v>1</v>
      </c>
      <c r="CT661">
        <v>1</v>
      </c>
      <c r="CV661">
        <v>1</v>
      </c>
      <c r="CX661">
        <v>0</v>
      </c>
      <c r="CY661">
        <v>0</v>
      </c>
      <c r="CZ661">
        <v>0.15150462962962963</v>
      </c>
      <c r="DA661">
        <v>0.13237268518518519</v>
      </c>
      <c r="DB661">
        <v>59</v>
      </c>
      <c r="DC661">
        <v>87</v>
      </c>
      <c r="DD661">
        <v>5</v>
      </c>
      <c r="DE661">
        <v>1.2</v>
      </c>
      <c r="DF661">
        <v>19852</v>
      </c>
      <c r="DG661">
        <v>8.4699999999999998E-2</v>
      </c>
      <c r="DO661">
        <v>66</v>
      </c>
    </row>
    <row r="662" spans="93:120" x14ac:dyDescent="0.25">
      <c r="CO662" t="s">
        <v>636</v>
      </c>
      <c r="CP662" t="s">
        <v>604</v>
      </c>
      <c r="CQ662" t="s">
        <v>599</v>
      </c>
      <c r="CR662">
        <v>46146</v>
      </c>
      <c r="CS662">
        <v>1</v>
      </c>
      <c r="CT662">
        <v>1</v>
      </c>
      <c r="CV662">
        <v>1</v>
      </c>
      <c r="CX662">
        <v>6.9444444444444444E-5</v>
      </c>
      <c r="CY662">
        <v>6.9444444444444444E-5</v>
      </c>
      <c r="CZ662">
        <v>0.25322916666666667</v>
      </c>
      <c r="DA662">
        <v>6.4421296296296296E-2</v>
      </c>
      <c r="DB662">
        <v>105</v>
      </c>
      <c r="DC662">
        <v>152</v>
      </c>
      <c r="DD662">
        <v>26</v>
      </c>
      <c r="DE662" t="s">
        <v>757</v>
      </c>
      <c r="DF662">
        <v>3528</v>
      </c>
      <c r="DG662">
        <v>0.24759999999999999</v>
      </c>
      <c r="DH662">
        <v>1</v>
      </c>
      <c r="DI662">
        <v>3.85E-2</v>
      </c>
      <c r="DJ662">
        <v>200</v>
      </c>
      <c r="DK662">
        <v>200</v>
      </c>
      <c r="DL662">
        <v>200</v>
      </c>
      <c r="DM662">
        <v>1</v>
      </c>
      <c r="DO662">
        <v>66</v>
      </c>
      <c r="DP662">
        <v>200</v>
      </c>
    </row>
    <row r="663" spans="93:120" x14ac:dyDescent="0.25">
      <c r="CO663" t="s">
        <v>636</v>
      </c>
      <c r="CP663" t="s">
        <v>604</v>
      </c>
      <c r="CQ663" t="s">
        <v>599</v>
      </c>
      <c r="CR663">
        <v>46156</v>
      </c>
      <c r="CS663">
        <v>1</v>
      </c>
      <c r="CT663">
        <v>1</v>
      </c>
      <c r="CV663">
        <v>1</v>
      </c>
      <c r="CX663">
        <v>0</v>
      </c>
      <c r="CY663">
        <v>0</v>
      </c>
      <c r="CZ663">
        <v>0.20653935185185185</v>
      </c>
      <c r="DA663">
        <v>0.11895833333333333</v>
      </c>
      <c r="DB663">
        <v>150</v>
      </c>
      <c r="DC663">
        <v>194</v>
      </c>
      <c r="DD663">
        <v>37</v>
      </c>
      <c r="DE663" t="s">
        <v>892</v>
      </c>
      <c r="DF663">
        <v>7040</v>
      </c>
      <c r="DG663">
        <v>0.2467</v>
      </c>
      <c r="DO663">
        <v>66</v>
      </c>
    </row>
    <row r="664" spans="93:120" x14ac:dyDescent="0.25">
      <c r="CO664" t="s">
        <v>636</v>
      </c>
      <c r="CP664" t="s">
        <v>604</v>
      </c>
      <c r="CQ664" t="s">
        <v>599</v>
      </c>
      <c r="CR664">
        <v>46169</v>
      </c>
      <c r="CS664">
        <v>1</v>
      </c>
      <c r="CT664">
        <v>1</v>
      </c>
      <c r="CV664">
        <v>1</v>
      </c>
      <c r="CX664">
        <v>7.9861111111111116E-4</v>
      </c>
      <c r="CY664">
        <v>7.9861111111111116E-4</v>
      </c>
      <c r="CZ664">
        <v>0.17452546296296295</v>
      </c>
      <c r="DA664">
        <v>0.16119212962962962</v>
      </c>
      <c r="DB664">
        <v>99</v>
      </c>
      <c r="DC664">
        <v>117</v>
      </c>
      <c r="DD664">
        <v>19</v>
      </c>
      <c r="DE664" t="s">
        <v>861</v>
      </c>
      <c r="DF664">
        <v>28613</v>
      </c>
      <c r="DG664">
        <v>0.19189999999999999</v>
      </c>
      <c r="DH664">
        <v>1</v>
      </c>
      <c r="DI664">
        <v>5.2600000000000001E-2</v>
      </c>
      <c r="DJ664">
        <v>500</v>
      </c>
      <c r="DK664">
        <v>500</v>
      </c>
      <c r="DO664">
        <v>66</v>
      </c>
    </row>
    <row r="665" spans="93:120" x14ac:dyDescent="0.25">
      <c r="CO665" t="s">
        <v>636</v>
      </c>
      <c r="CP665" t="s">
        <v>604</v>
      </c>
      <c r="CQ665" t="s">
        <v>77</v>
      </c>
      <c r="CR665">
        <v>46154</v>
      </c>
      <c r="CS665">
        <v>1</v>
      </c>
      <c r="CT665">
        <v>1</v>
      </c>
      <c r="CU665">
        <v>1</v>
      </c>
      <c r="CX665">
        <v>9.571759259259259E-3</v>
      </c>
      <c r="CY665">
        <v>9.571759259259259E-3</v>
      </c>
      <c r="CZ665">
        <v>0.30068287037037039</v>
      </c>
      <c r="DA665">
        <v>0.11278935185185185</v>
      </c>
      <c r="DB665">
        <v>134</v>
      </c>
      <c r="DC665">
        <v>213</v>
      </c>
      <c r="DD665">
        <v>33</v>
      </c>
      <c r="DE665" t="s">
        <v>766</v>
      </c>
      <c r="DF665">
        <v>18146</v>
      </c>
      <c r="DG665">
        <v>0.24629999999999999</v>
      </c>
      <c r="DH665">
        <v>1</v>
      </c>
      <c r="DI665">
        <v>3.0300000000000001E-2</v>
      </c>
      <c r="DJ665">
        <v>2000</v>
      </c>
      <c r="DK665">
        <v>2000</v>
      </c>
      <c r="DO665">
        <v>66</v>
      </c>
    </row>
    <row r="666" spans="93:120" x14ac:dyDescent="0.25">
      <c r="CO666" t="s">
        <v>636</v>
      </c>
      <c r="CP666" t="s">
        <v>604</v>
      </c>
      <c r="CQ666" t="s">
        <v>77</v>
      </c>
      <c r="CR666">
        <v>46156</v>
      </c>
      <c r="CS666">
        <v>1</v>
      </c>
      <c r="CT666">
        <v>1</v>
      </c>
      <c r="CV666">
        <v>1</v>
      </c>
      <c r="CX666">
        <v>0</v>
      </c>
      <c r="CY666">
        <v>0</v>
      </c>
      <c r="CZ666">
        <v>0.18785879629629629</v>
      </c>
      <c r="DA666">
        <v>0.14824074074074073</v>
      </c>
      <c r="DB666">
        <v>105</v>
      </c>
      <c r="DC666">
        <v>192</v>
      </c>
      <c r="DD666">
        <v>33</v>
      </c>
      <c r="DE666" t="s">
        <v>695</v>
      </c>
      <c r="DF666">
        <v>21000</v>
      </c>
      <c r="DG666">
        <v>0.31430000000000002</v>
      </c>
      <c r="DO666">
        <v>66</v>
      </c>
    </row>
    <row r="667" spans="93:120" x14ac:dyDescent="0.25">
      <c r="CO667" t="s">
        <v>636</v>
      </c>
      <c r="CP667" t="s">
        <v>604</v>
      </c>
      <c r="CQ667" t="s">
        <v>77</v>
      </c>
      <c r="CR667">
        <v>46163</v>
      </c>
      <c r="CS667">
        <v>1</v>
      </c>
      <c r="CT667">
        <v>1</v>
      </c>
      <c r="CV667">
        <v>1</v>
      </c>
      <c r="CX667">
        <v>0</v>
      </c>
      <c r="CY667">
        <v>0</v>
      </c>
      <c r="CZ667">
        <v>0.16168981481481481</v>
      </c>
      <c r="DA667">
        <v>0.13276620370370371</v>
      </c>
      <c r="DB667">
        <v>92</v>
      </c>
      <c r="DC667">
        <v>203</v>
      </c>
      <c r="DD667">
        <v>17</v>
      </c>
      <c r="DE667" t="s">
        <v>820</v>
      </c>
      <c r="DF667">
        <v>21840</v>
      </c>
      <c r="DG667">
        <v>0.18479999999999999</v>
      </c>
      <c r="DO667">
        <v>66</v>
      </c>
    </row>
    <row r="668" spans="93:120" x14ac:dyDescent="0.25">
      <c r="CO668" t="s">
        <v>636</v>
      </c>
      <c r="CP668" t="s">
        <v>604</v>
      </c>
      <c r="CQ668" t="s">
        <v>55</v>
      </c>
      <c r="CR668">
        <v>46156</v>
      </c>
      <c r="CS668">
        <v>1</v>
      </c>
      <c r="CT668">
        <v>1</v>
      </c>
      <c r="CV668">
        <v>1</v>
      </c>
      <c r="CX668">
        <v>1.0416666666666667E-4</v>
      </c>
      <c r="CY668">
        <v>1.0416666666666667E-4</v>
      </c>
      <c r="CZ668">
        <v>0.20048611111111111</v>
      </c>
      <c r="DA668">
        <v>0.10312499999999999</v>
      </c>
      <c r="DB668">
        <v>171</v>
      </c>
      <c r="DC668">
        <v>249</v>
      </c>
      <c r="DD668">
        <v>25</v>
      </c>
      <c r="DE668">
        <v>1.56</v>
      </c>
      <c r="DF668">
        <v>9545</v>
      </c>
      <c r="DG668">
        <v>0.1462</v>
      </c>
      <c r="DO668">
        <v>66</v>
      </c>
    </row>
    <row r="669" spans="93:120" x14ac:dyDescent="0.25">
      <c r="CO669" t="s">
        <v>636</v>
      </c>
      <c r="CP669" t="s">
        <v>604</v>
      </c>
      <c r="CQ669" t="s">
        <v>55</v>
      </c>
      <c r="CR669">
        <v>46161</v>
      </c>
      <c r="CS669">
        <v>1</v>
      </c>
      <c r="CT669">
        <v>1</v>
      </c>
      <c r="CV669">
        <v>1</v>
      </c>
      <c r="CX669">
        <v>1.0416666666666667E-4</v>
      </c>
      <c r="CY669">
        <v>1.0416666666666667E-4</v>
      </c>
      <c r="CZ669">
        <v>0.2454513888888889</v>
      </c>
      <c r="DA669">
        <v>0.12299768518518518</v>
      </c>
      <c r="DB669">
        <v>203</v>
      </c>
      <c r="DC669">
        <v>290</v>
      </c>
      <c r="DD669">
        <v>32</v>
      </c>
      <c r="DE669">
        <v>1.59375</v>
      </c>
      <c r="DF669">
        <v>12326</v>
      </c>
      <c r="DG669">
        <v>0.15759999999999999</v>
      </c>
      <c r="DO669">
        <v>66</v>
      </c>
    </row>
    <row r="670" spans="93:120" x14ac:dyDescent="0.25">
      <c r="CO670" t="s">
        <v>636</v>
      </c>
      <c r="CP670" t="s">
        <v>604</v>
      </c>
      <c r="CQ670" t="s">
        <v>55</v>
      </c>
      <c r="CR670">
        <v>46163</v>
      </c>
      <c r="CS670">
        <v>1</v>
      </c>
      <c r="CT670">
        <v>1</v>
      </c>
      <c r="CV670">
        <v>1</v>
      </c>
      <c r="CX670">
        <v>4.6296296296296294E-5</v>
      </c>
      <c r="CY670">
        <v>4.6296296296296294E-5</v>
      </c>
      <c r="CZ670">
        <v>0.16335648148148149</v>
      </c>
      <c r="DA670">
        <v>0.13394675925925925</v>
      </c>
      <c r="DB670">
        <v>133</v>
      </c>
      <c r="DC670">
        <v>184</v>
      </c>
      <c r="DD670">
        <v>14</v>
      </c>
      <c r="DE670" t="s">
        <v>762</v>
      </c>
      <c r="DF670">
        <v>12150</v>
      </c>
      <c r="DG670">
        <v>0.1053</v>
      </c>
      <c r="DO670">
        <v>66</v>
      </c>
    </row>
    <row r="671" spans="93:120" x14ac:dyDescent="0.25">
      <c r="CO671" t="s">
        <v>636</v>
      </c>
      <c r="CP671" t="s">
        <v>604</v>
      </c>
      <c r="CQ671" t="s">
        <v>566</v>
      </c>
      <c r="CR671">
        <v>46148</v>
      </c>
      <c r="CS671">
        <v>1</v>
      </c>
      <c r="CT671">
        <v>1</v>
      </c>
      <c r="CU671">
        <v>1</v>
      </c>
      <c r="CX671">
        <v>1.1828703703703704E-2</v>
      </c>
      <c r="CY671">
        <v>1.1828703703703704E-2</v>
      </c>
      <c r="CZ671">
        <v>0.22592592592592592</v>
      </c>
      <c r="DA671">
        <v>7.0624999999999993E-2</v>
      </c>
      <c r="DB671">
        <v>169</v>
      </c>
      <c r="DC671">
        <v>398</v>
      </c>
      <c r="DD671">
        <v>42</v>
      </c>
      <c r="DE671" t="s">
        <v>893</v>
      </c>
      <c r="DF671">
        <v>6804</v>
      </c>
      <c r="DG671">
        <v>0.2485</v>
      </c>
      <c r="DO671">
        <v>66</v>
      </c>
    </row>
    <row r="672" spans="93:120" x14ac:dyDescent="0.25">
      <c r="CO672" t="s">
        <v>636</v>
      </c>
      <c r="CP672" t="s">
        <v>604</v>
      </c>
      <c r="CQ672" t="s">
        <v>566</v>
      </c>
      <c r="CR672">
        <v>46162</v>
      </c>
      <c r="CS672">
        <v>1</v>
      </c>
      <c r="CT672">
        <v>1</v>
      </c>
      <c r="CU672">
        <v>1</v>
      </c>
      <c r="CX672">
        <v>1.3171296296296296E-2</v>
      </c>
      <c r="CY672">
        <v>1.3171296296296296E-2</v>
      </c>
      <c r="CZ672">
        <v>0.20129629629629631</v>
      </c>
      <c r="DA672">
        <v>0.16503472222222224</v>
      </c>
      <c r="DB672">
        <v>111</v>
      </c>
      <c r="DC672">
        <v>197</v>
      </c>
      <c r="DD672">
        <v>30</v>
      </c>
      <c r="DE672">
        <v>1.6</v>
      </c>
      <c r="DF672">
        <v>9103</v>
      </c>
      <c r="DG672">
        <v>0.27029999999999998</v>
      </c>
      <c r="DO672">
        <v>66</v>
      </c>
    </row>
    <row r="673" spans="93:120" x14ac:dyDescent="0.25">
      <c r="CO673" t="s">
        <v>636</v>
      </c>
      <c r="CP673" t="s">
        <v>604</v>
      </c>
      <c r="CQ673" t="s">
        <v>48</v>
      </c>
      <c r="CR673">
        <v>46156</v>
      </c>
      <c r="CS673">
        <v>1</v>
      </c>
      <c r="CT673">
        <v>1</v>
      </c>
      <c r="CV673">
        <v>1</v>
      </c>
      <c r="CX673">
        <v>0</v>
      </c>
      <c r="CY673">
        <v>0</v>
      </c>
      <c r="CZ673">
        <v>0.17931712962962962</v>
      </c>
      <c r="DA673">
        <v>0.13546296296296295</v>
      </c>
      <c r="DB673">
        <v>106</v>
      </c>
      <c r="DC673">
        <v>151</v>
      </c>
      <c r="DD673">
        <v>24</v>
      </c>
      <c r="DE673" t="s">
        <v>674</v>
      </c>
      <c r="DF673">
        <v>18853</v>
      </c>
      <c r="DG673">
        <v>0.22639999999999999</v>
      </c>
      <c r="DO673">
        <v>66</v>
      </c>
    </row>
    <row r="674" spans="93:120" x14ac:dyDescent="0.25">
      <c r="CO674" t="s">
        <v>636</v>
      </c>
      <c r="CP674" t="s">
        <v>604</v>
      </c>
      <c r="CQ674" t="s">
        <v>601</v>
      </c>
      <c r="CR674">
        <v>46148</v>
      </c>
      <c r="CS674">
        <v>1</v>
      </c>
      <c r="CT674">
        <v>1</v>
      </c>
      <c r="CU674">
        <v>1</v>
      </c>
      <c r="CX674">
        <v>4.6203703703703705E-2</v>
      </c>
      <c r="CY674">
        <v>4.6203703703703705E-2</v>
      </c>
      <c r="CZ674">
        <v>0.20432870370370371</v>
      </c>
      <c r="DA674">
        <v>9.8148148148148151E-2</v>
      </c>
      <c r="DB674">
        <v>145</v>
      </c>
      <c r="DC674">
        <v>305</v>
      </c>
      <c r="DD674">
        <v>60</v>
      </c>
      <c r="DE674" t="s">
        <v>894</v>
      </c>
      <c r="DF674">
        <v>5601</v>
      </c>
      <c r="DG674">
        <v>0.4138</v>
      </c>
      <c r="DO674">
        <v>66</v>
      </c>
    </row>
    <row r="675" spans="93:120" x14ac:dyDescent="0.25">
      <c r="CO675" t="s">
        <v>636</v>
      </c>
      <c r="CP675" t="s">
        <v>604</v>
      </c>
      <c r="CQ675" t="s">
        <v>601</v>
      </c>
      <c r="CR675">
        <v>46162</v>
      </c>
      <c r="CS675">
        <v>1</v>
      </c>
      <c r="CT675">
        <v>1</v>
      </c>
      <c r="CU675">
        <v>1</v>
      </c>
      <c r="CX675">
        <v>1.6643518518518519E-2</v>
      </c>
      <c r="CY675">
        <v>1.6643518518518519E-2</v>
      </c>
      <c r="CZ675">
        <v>0.21813657407407408</v>
      </c>
      <c r="DA675">
        <v>0.14283564814814814</v>
      </c>
      <c r="DB675">
        <v>129</v>
      </c>
      <c r="DC675">
        <v>145</v>
      </c>
      <c r="DD675">
        <v>24</v>
      </c>
      <c r="DE675">
        <v>1.5</v>
      </c>
      <c r="DF675">
        <v>9479</v>
      </c>
      <c r="DG675">
        <v>0.186</v>
      </c>
      <c r="DO675">
        <v>66</v>
      </c>
    </row>
    <row r="676" spans="93:120" x14ac:dyDescent="0.25">
      <c r="CO676" t="s">
        <v>636</v>
      </c>
      <c r="CP676" t="s">
        <v>3</v>
      </c>
      <c r="CQ676" t="s">
        <v>85</v>
      </c>
      <c r="CR676">
        <v>46155</v>
      </c>
      <c r="CS676">
        <v>1</v>
      </c>
      <c r="CT676">
        <v>1</v>
      </c>
      <c r="CV676">
        <v>1</v>
      </c>
      <c r="CX676">
        <v>2.3148148148148147E-5</v>
      </c>
      <c r="CY676">
        <v>2.3148148148148147E-5</v>
      </c>
      <c r="CZ676">
        <v>0.20432870370370371</v>
      </c>
      <c r="DA676">
        <v>0.11137731481481482</v>
      </c>
      <c r="DB676">
        <v>61</v>
      </c>
      <c r="DC676">
        <v>178</v>
      </c>
      <c r="DD676">
        <v>23</v>
      </c>
      <c r="DE676" t="s">
        <v>895</v>
      </c>
      <c r="DF676">
        <v>33789</v>
      </c>
      <c r="DG676">
        <v>0.377</v>
      </c>
      <c r="DH676">
        <v>2</v>
      </c>
      <c r="DI676">
        <v>8.6999999999999994E-2</v>
      </c>
      <c r="DJ676">
        <v>1650</v>
      </c>
      <c r="DK676">
        <v>825</v>
      </c>
      <c r="DO676">
        <v>66</v>
      </c>
    </row>
    <row r="677" spans="93:120" x14ac:dyDescent="0.25">
      <c r="CO677" t="s">
        <v>636</v>
      </c>
      <c r="CP677" t="s">
        <v>3</v>
      </c>
      <c r="CQ677" t="s">
        <v>85</v>
      </c>
      <c r="CR677">
        <v>46169</v>
      </c>
      <c r="CS677">
        <v>1</v>
      </c>
      <c r="CT677">
        <v>1</v>
      </c>
      <c r="CV677">
        <v>1</v>
      </c>
      <c r="CX677">
        <v>4.9768518518518521E-4</v>
      </c>
      <c r="CY677">
        <v>4.9768518518518521E-4</v>
      </c>
      <c r="CZ677">
        <v>0.1922800925925926</v>
      </c>
      <c r="DA677">
        <v>0.14038194444444443</v>
      </c>
      <c r="DB677">
        <v>90</v>
      </c>
      <c r="DC677">
        <v>202</v>
      </c>
      <c r="DD677">
        <v>28</v>
      </c>
      <c r="DE677" t="s">
        <v>896</v>
      </c>
      <c r="DF677">
        <v>37444</v>
      </c>
      <c r="DG677">
        <v>0.31109999999999999</v>
      </c>
      <c r="DH677">
        <v>1</v>
      </c>
      <c r="DI677">
        <v>3.5700000000000003E-2</v>
      </c>
      <c r="DJ677">
        <v>210</v>
      </c>
      <c r="DK677">
        <v>210</v>
      </c>
      <c r="DO677">
        <v>66</v>
      </c>
    </row>
    <row r="678" spans="93:120" x14ac:dyDescent="0.25">
      <c r="CO678" t="s">
        <v>636</v>
      </c>
      <c r="CP678" t="s">
        <v>3</v>
      </c>
      <c r="CQ678" t="s">
        <v>32</v>
      </c>
      <c r="CR678">
        <v>46146</v>
      </c>
      <c r="CS678">
        <v>1</v>
      </c>
      <c r="CT678">
        <v>1</v>
      </c>
      <c r="CU678">
        <v>1</v>
      </c>
      <c r="CX678">
        <v>6.0416666666666665E-3</v>
      </c>
      <c r="CY678">
        <v>6.0416666666666665E-3</v>
      </c>
      <c r="CZ678">
        <v>0.28114583333333332</v>
      </c>
      <c r="DA678">
        <v>5.4398148148148147E-2</v>
      </c>
      <c r="DB678">
        <v>143</v>
      </c>
      <c r="DC678">
        <v>245</v>
      </c>
      <c r="DD678">
        <v>55</v>
      </c>
      <c r="DE678" t="s">
        <v>897</v>
      </c>
      <c r="DF678">
        <v>25344</v>
      </c>
      <c r="DG678">
        <v>0.3846</v>
      </c>
      <c r="DH678">
        <v>8</v>
      </c>
      <c r="DI678">
        <v>0.14549999999999999</v>
      </c>
      <c r="DJ678">
        <v>6027</v>
      </c>
      <c r="DK678">
        <v>753</v>
      </c>
      <c r="DL678">
        <v>5427</v>
      </c>
      <c r="DM678">
        <v>0.90039999999999998</v>
      </c>
      <c r="DO678">
        <v>66</v>
      </c>
      <c r="DP678">
        <v>775</v>
      </c>
    </row>
    <row r="679" spans="93:120" x14ac:dyDescent="0.25">
      <c r="CO679" t="s">
        <v>636</v>
      </c>
      <c r="CP679" t="s">
        <v>3</v>
      </c>
      <c r="CQ679" t="s">
        <v>96</v>
      </c>
      <c r="CR679">
        <v>46169</v>
      </c>
      <c r="CS679">
        <v>1</v>
      </c>
      <c r="CT679">
        <v>1</v>
      </c>
      <c r="CV679">
        <v>1</v>
      </c>
      <c r="CX679">
        <v>0</v>
      </c>
      <c r="CY679">
        <v>0</v>
      </c>
      <c r="CZ679">
        <v>0.1784375</v>
      </c>
      <c r="DA679">
        <v>0.15484953703703705</v>
      </c>
      <c r="DB679">
        <v>101</v>
      </c>
      <c r="DC679">
        <v>197</v>
      </c>
      <c r="DD679">
        <v>18</v>
      </c>
      <c r="DE679" t="s">
        <v>749</v>
      </c>
      <c r="DF679">
        <v>22949</v>
      </c>
      <c r="DG679">
        <v>0.1782</v>
      </c>
      <c r="DO679">
        <v>66</v>
      </c>
    </row>
    <row r="680" spans="93:120" x14ac:dyDescent="0.25">
      <c r="CO680" t="s">
        <v>636</v>
      </c>
      <c r="CP680" t="s">
        <v>3</v>
      </c>
      <c r="CQ680" t="s">
        <v>29</v>
      </c>
      <c r="CR680">
        <v>46169</v>
      </c>
      <c r="CS680">
        <v>1</v>
      </c>
      <c r="CT680">
        <v>1</v>
      </c>
      <c r="CV680">
        <v>1</v>
      </c>
      <c r="CX680">
        <v>2.1990740740740742E-3</v>
      </c>
      <c r="CY680">
        <v>2.1990740740740742E-3</v>
      </c>
      <c r="CZ680">
        <v>0.16843749999999999</v>
      </c>
      <c r="DA680">
        <v>0.1456712962962963</v>
      </c>
      <c r="DB680">
        <v>99</v>
      </c>
      <c r="DC680">
        <v>180</v>
      </c>
      <c r="DD680">
        <v>18</v>
      </c>
      <c r="DE680" t="s">
        <v>749</v>
      </c>
      <c r="DF680">
        <v>10525</v>
      </c>
      <c r="DG680">
        <v>0.18179999999999999</v>
      </c>
      <c r="DO680">
        <v>66</v>
      </c>
    </row>
    <row r="681" spans="93:120" x14ac:dyDescent="0.25">
      <c r="CO681" t="s">
        <v>636</v>
      </c>
      <c r="CP681" t="s">
        <v>2</v>
      </c>
      <c r="CQ681" t="s">
        <v>22</v>
      </c>
      <c r="CR681">
        <v>46164</v>
      </c>
      <c r="CS681">
        <v>1</v>
      </c>
      <c r="CT681">
        <v>1</v>
      </c>
      <c r="CV681">
        <v>1</v>
      </c>
      <c r="CX681">
        <v>2.6620370370370372E-4</v>
      </c>
      <c r="CY681">
        <v>2.6620370370370372E-4</v>
      </c>
      <c r="CZ681">
        <v>0.20684027777777778</v>
      </c>
      <c r="DA681">
        <v>0.12253472222222223</v>
      </c>
      <c r="DB681">
        <v>32</v>
      </c>
      <c r="DC681">
        <v>54</v>
      </c>
      <c r="DD681">
        <v>8</v>
      </c>
      <c r="DE681">
        <v>1.875</v>
      </c>
      <c r="DF681">
        <v>26805</v>
      </c>
      <c r="DG681">
        <v>0.25</v>
      </c>
      <c r="DO681">
        <v>64</v>
      </c>
    </row>
    <row r="682" spans="93:120" x14ac:dyDescent="0.25">
      <c r="CO682" t="s">
        <v>636</v>
      </c>
      <c r="CP682" t="s">
        <v>2</v>
      </c>
      <c r="CQ682" t="s">
        <v>24</v>
      </c>
      <c r="CR682">
        <v>46164</v>
      </c>
      <c r="CS682">
        <v>1</v>
      </c>
      <c r="CT682">
        <v>1</v>
      </c>
      <c r="CV682">
        <v>1</v>
      </c>
      <c r="CX682">
        <v>3.0092592592592595E-4</v>
      </c>
      <c r="CY682">
        <v>3.0092592592592595E-4</v>
      </c>
      <c r="CZ682">
        <v>0.19561342592592593</v>
      </c>
      <c r="DA682">
        <v>0.15266203703703704</v>
      </c>
      <c r="DB682">
        <v>52</v>
      </c>
      <c r="DC682">
        <v>109</v>
      </c>
      <c r="DD682">
        <v>17</v>
      </c>
      <c r="DE682" t="s">
        <v>744</v>
      </c>
      <c r="DF682">
        <v>22757</v>
      </c>
      <c r="DG682">
        <v>0.32690000000000002</v>
      </c>
      <c r="DO682">
        <v>64</v>
      </c>
    </row>
    <row r="683" spans="93:120" x14ac:dyDescent="0.25">
      <c r="CO683" t="s">
        <v>636</v>
      </c>
      <c r="CP683" t="s">
        <v>2</v>
      </c>
      <c r="CQ683" t="s">
        <v>13</v>
      </c>
      <c r="CR683">
        <v>46161</v>
      </c>
      <c r="CS683">
        <v>1</v>
      </c>
      <c r="CT683">
        <v>1</v>
      </c>
      <c r="CV683">
        <v>1</v>
      </c>
      <c r="CX683">
        <v>1.4004629629629629E-3</v>
      </c>
      <c r="CY683">
        <v>1.4004629629629629E-3</v>
      </c>
      <c r="CZ683">
        <v>0.22348379629629631</v>
      </c>
      <c r="DA683">
        <v>0.13280092592592593</v>
      </c>
      <c r="DB683">
        <v>98</v>
      </c>
      <c r="DC683">
        <v>197</v>
      </c>
      <c r="DD683">
        <v>23</v>
      </c>
      <c r="DE683" t="s">
        <v>827</v>
      </c>
      <c r="DF683">
        <v>22368</v>
      </c>
      <c r="DG683">
        <v>0.23469999999999999</v>
      </c>
      <c r="DO683">
        <v>64</v>
      </c>
    </row>
    <row r="684" spans="93:120" x14ac:dyDescent="0.25">
      <c r="CO684" t="s">
        <v>636</v>
      </c>
      <c r="CP684" t="s">
        <v>2</v>
      </c>
      <c r="CQ684" t="s">
        <v>42</v>
      </c>
      <c r="CR684">
        <v>46163</v>
      </c>
      <c r="CS684">
        <v>1</v>
      </c>
      <c r="CT684">
        <v>1</v>
      </c>
      <c r="CV684">
        <v>1</v>
      </c>
      <c r="CX684">
        <v>1.8518518518518518E-4</v>
      </c>
      <c r="CY684">
        <v>1.8518518518518518E-4</v>
      </c>
      <c r="CZ684">
        <v>0.17359953703703704</v>
      </c>
      <c r="DA684">
        <v>0.13840277777777779</v>
      </c>
      <c r="DB684">
        <v>107</v>
      </c>
      <c r="DC684">
        <v>180</v>
      </c>
      <c r="DD684">
        <v>19</v>
      </c>
      <c r="DE684" t="s">
        <v>683</v>
      </c>
      <c r="DF684">
        <v>21692</v>
      </c>
      <c r="DG684">
        <v>0.17760000000000001</v>
      </c>
      <c r="DO684">
        <v>64</v>
      </c>
    </row>
    <row r="685" spans="93:120" x14ac:dyDescent="0.25">
      <c r="CO685" t="s">
        <v>636</v>
      </c>
      <c r="CP685" t="s">
        <v>2</v>
      </c>
      <c r="CQ685" t="s">
        <v>65</v>
      </c>
      <c r="CR685">
        <v>46164</v>
      </c>
      <c r="CS685">
        <v>1</v>
      </c>
      <c r="CT685">
        <v>1</v>
      </c>
      <c r="CV685">
        <v>1</v>
      </c>
      <c r="CX685">
        <v>2.4305555555555555E-4</v>
      </c>
      <c r="CY685">
        <v>2.4305555555555555E-4</v>
      </c>
      <c r="CZ685">
        <v>0.20510416666666667</v>
      </c>
      <c r="DA685">
        <v>0.15015046296296297</v>
      </c>
      <c r="DB685">
        <v>36</v>
      </c>
      <c r="DC685">
        <v>64</v>
      </c>
      <c r="DD685">
        <v>8</v>
      </c>
      <c r="DE685">
        <v>1</v>
      </c>
      <c r="DF685">
        <v>24153</v>
      </c>
      <c r="DG685">
        <v>0.22220000000000001</v>
      </c>
      <c r="DO685">
        <v>64</v>
      </c>
    </row>
    <row r="686" spans="93:120" x14ac:dyDescent="0.25">
      <c r="CO686" t="s">
        <v>636</v>
      </c>
      <c r="CP686" t="s">
        <v>2</v>
      </c>
      <c r="CQ686" t="s">
        <v>37</v>
      </c>
      <c r="CR686">
        <v>46163</v>
      </c>
      <c r="CS686">
        <v>1</v>
      </c>
      <c r="CT686">
        <v>1</v>
      </c>
      <c r="CV686">
        <v>1</v>
      </c>
      <c r="CX686">
        <v>1.1574074074074075E-4</v>
      </c>
      <c r="CY686">
        <v>1.1574074074074075E-4</v>
      </c>
      <c r="CZ686">
        <v>0.18603009259259259</v>
      </c>
      <c r="DA686">
        <v>0.1340625</v>
      </c>
      <c r="DB686">
        <v>117</v>
      </c>
      <c r="DC686">
        <v>146</v>
      </c>
      <c r="DD686">
        <v>13</v>
      </c>
      <c r="DE686" t="s">
        <v>764</v>
      </c>
      <c r="DF686">
        <v>35100</v>
      </c>
      <c r="DG686">
        <v>0.1111</v>
      </c>
      <c r="DO686">
        <v>64</v>
      </c>
    </row>
    <row r="687" spans="93:120" x14ac:dyDescent="0.25">
      <c r="CO687" t="s">
        <v>636</v>
      </c>
      <c r="CP687" t="s">
        <v>2</v>
      </c>
      <c r="CQ687" t="s">
        <v>37</v>
      </c>
      <c r="CR687">
        <v>46164</v>
      </c>
      <c r="CS687">
        <v>1</v>
      </c>
      <c r="CT687">
        <v>1</v>
      </c>
      <c r="CV687">
        <v>1</v>
      </c>
      <c r="CX687">
        <v>1.7361111111111112E-4</v>
      </c>
      <c r="CY687">
        <v>1.7361111111111112E-4</v>
      </c>
      <c r="CZ687">
        <v>0.20017361111111112</v>
      </c>
      <c r="DA687">
        <v>0.13898148148148148</v>
      </c>
      <c r="DB687">
        <v>33</v>
      </c>
      <c r="DC687">
        <v>41</v>
      </c>
      <c r="DD687">
        <v>10</v>
      </c>
      <c r="DE687">
        <v>1.3</v>
      </c>
      <c r="DF687">
        <v>24329</v>
      </c>
      <c r="DG687">
        <v>0.30299999999999999</v>
      </c>
      <c r="DO687">
        <v>64</v>
      </c>
    </row>
    <row r="688" spans="93:120" x14ac:dyDescent="0.25">
      <c r="CO688" t="s">
        <v>636</v>
      </c>
      <c r="CP688" t="s">
        <v>2</v>
      </c>
      <c r="CQ688" t="s">
        <v>31</v>
      </c>
      <c r="CR688">
        <v>46163</v>
      </c>
      <c r="CS688">
        <v>1</v>
      </c>
      <c r="CT688">
        <v>1</v>
      </c>
      <c r="CV688">
        <v>1</v>
      </c>
      <c r="CX688">
        <v>3.3564814814814812E-4</v>
      </c>
      <c r="CY688">
        <v>3.3564814814814812E-4</v>
      </c>
      <c r="CZ688">
        <v>0.20848379629629629</v>
      </c>
      <c r="DA688">
        <v>0.13405092592592593</v>
      </c>
      <c r="DB688">
        <v>70</v>
      </c>
      <c r="DC688">
        <v>143</v>
      </c>
      <c r="DD688">
        <v>10</v>
      </c>
      <c r="DE688">
        <v>2</v>
      </c>
      <c r="DF688">
        <v>24787</v>
      </c>
      <c r="DG688">
        <v>0.1429</v>
      </c>
      <c r="DO688">
        <v>64</v>
      </c>
    </row>
    <row r="689" spans="93:120" x14ac:dyDescent="0.25">
      <c r="CO689" t="s">
        <v>636</v>
      </c>
      <c r="CP689" t="s">
        <v>2</v>
      </c>
      <c r="CQ689" t="s">
        <v>25</v>
      </c>
      <c r="CR689">
        <v>46164</v>
      </c>
      <c r="CS689">
        <v>1</v>
      </c>
      <c r="CT689">
        <v>1</v>
      </c>
      <c r="CV689">
        <v>1</v>
      </c>
      <c r="CX689">
        <v>1.8518518518518518E-4</v>
      </c>
      <c r="CY689">
        <v>1.8518518518518518E-4</v>
      </c>
      <c r="CZ689">
        <v>0.15015046296296297</v>
      </c>
      <c r="DA689">
        <v>0.17350694444444445</v>
      </c>
      <c r="DB689">
        <v>33</v>
      </c>
      <c r="DC689">
        <v>59</v>
      </c>
      <c r="DD689">
        <v>15</v>
      </c>
      <c r="DE689" t="s">
        <v>898</v>
      </c>
      <c r="DF689">
        <v>36977</v>
      </c>
      <c r="DG689">
        <v>0.45450000000000002</v>
      </c>
      <c r="DO689">
        <v>64</v>
      </c>
    </row>
    <row r="690" spans="93:120" x14ac:dyDescent="0.25">
      <c r="CO690" t="s">
        <v>636</v>
      </c>
      <c r="CP690" t="s">
        <v>2</v>
      </c>
      <c r="CQ690" t="s">
        <v>10</v>
      </c>
      <c r="CR690">
        <v>46161</v>
      </c>
      <c r="CS690">
        <v>1</v>
      </c>
      <c r="CT690">
        <v>1</v>
      </c>
      <c r="CV690">
        <v>1</v>
      </c>
      <c r="CX690">
        <v>1.1574074074074075E-4</v>
      </c>
      <c r="CY690">
        <v>1.1574074074074075E-4</v>
      </c>
      <c r="CZ690">
        <v>0.23620370370370369</v>
      </c>
      <c r="DA690">
        <v>0.12869212962962964</v>
      </c>
      <c r="DB690">
        <v>145</v>
      </c>
      <c r="DC690">
        <v>287</v>
      </c>
      <c r="DD690">
        <v>38</v>
      </c>
      <c r="DE690" t="s">
        <v>899</v>
      </c>
      <c r="DF690">
        <v>33144</v>
      </c>
      <c r="DG690">
        <v>0.2621</v>
      </c>
      <c r="DO690">
        <v>64</v>
      </c>
    </row>
    <row r="691" spans="93:120" x14ac:dyDescent="0.25">
      <c r="CO691" t="s">
        <v>636</v>
      </c>
      <c r="CP691" t="s">
        <v>2</v>
      </c>
      <c r="CQ691" t="s">
        <v>10</v>
      </c>
      <c r="CR691">
        <v>46163</v>
      </c>
      <c r="CS691">
        <v>1</v>
      </c>
      <c r="CT691">
        <v>1</v>
      </c>
      <c r="CV691">
        <v>1</v>
      </c>
      <c r="CX691">
        <v>1.8518518518518518E-4</v>
      </c>
      <c r="CY691">
        <v>1.8518518518518518E-4</v>
      </c>
      <c r="CZ691">
        <v>0.18332175925925925</v>
      </c>
      <c r="DA691">
        <v>0.16012731481481482</v>
      </c>
      <c r="DB691">
        <v>97</v>
      </c>
      <c r="DC691">
        <v>212</v>
      </c>
      <c r="DD691">
        <v>23</v>
      </c>
      <c r="DE691" t="s">
        <v>895</v>
      </c>
      <c r="DF691">
        <v>31734</v>
      </c>
      <c r="DG691">
        <v>0.23710000000000001</v>
      </c>
      <c r="DO691">
        <v>64</v>
      </c>
    </row>
    <row r="692" spans="93:120" x14ac:dyDescent="0.25">
      <c r="CO692" t="s">
        <v>636</v>
      </c>
      <c r="CP692" t="s">
        <v>2</v>
      </c>
      <c r="CQ692" t="s">
        <v>10</v>
      </c>
      <c r="CR692">
        <v>46168</v>
      </c>
      <c r="CS692">
        <v>1</v>
      </c>
      <c r="CT692">
        <v>1</v>
      </c>
      <c r="CV692">
        <v>1</v>
      </c>
      <c r="CX692">
        <v>3.4722222222222222E-5</v>
      </c>
      <c r="CY692">
        <v>3.4722222222222222E-5</v>
      </c>
      <c r="CZ692">
        <v>0.19962962962962963</v>
      </c>
      <c r="DA692">
        <v>0.16096064814814814</v>
      </c>
      <c r="DB692">
        <v>129</v>
      </c>
      <c r="DC692">
        <v>216</v>
      </c>
      <c r="DD692">
        <v>25</v>
      </c>
      <c r="DE692">
        <v>1.76</v>
      </c>
      <c r="DF692">
        <v>30399</v>
      </c>
      <c r="DG692">
        <v>0.1938</v>
      </c>
      <c r="DO692">
        <v>64</v>
      </c>
    </row>
    <row r="693" spans="93:120" x14ac:dyDescent="0.25">
      <c r="CO693" t="s">
        <v>636</v>
      </c>
      <c r="CP693" t="s">
        <v>6</v>
      </c>
      <c r="CQ693" t="s">
        <v>19</v>
      </c>
      <c r="CR693">
        <v>46157</v>
      </c>
      <c r="CS693">
        <v>1</v>
      </c>
      <c r="CT693">
        <v>1</v>
      </c>
      <c r="CV693">
        <v>1</v>
      </c>
      <c r="CX693">
        <v>2.3148148148148149E-4</v>
      </c>
      <c r="CY693">
        <v>2.3148148148148149E-4</v>
      </c>
      <c r="CZ693">
        <v>0.27392361111111113</v>
      </c>
      <c r="DA693">
        <v>7.363425925925926E-2</v>
      </c>
      <c r="DB693">
        <v>101</v>
      </c>
      <c r="DC693">
        <v>127</v>
      </c>
      <c r="DD693">
        <v>15</v>
      </c>
      <c r="DE693" t="s">
        <v>723</v>
      </c>
      <c r="DF693">
        <v>29319</v>
      </c>
      <c r="DG693">
        <v>0.14849999999999999</v>
      </c>
      <c r="DO693">
        <v>64</v>
      </c>
    </row>
    <row r="694" spans="93:120" x14ac:dyDescent="0.25">
      <c r="CO694" t="s">
        <v>636</v>
      </c>
      <c r="CP694" t="s">
        <v>6</v>
      </c>
      <c r="CQ694" t="s">
        <v>19</v>
      </c>
      <c r="CR694">
        <v>46170</v>
      </c>
      <c r="CS694">
        <v>1</v>
      </c>
      <c r="CT694">
        <v>1</v>
      </c>
      <c r="CV694">
        <v>1</v>
      </c>
      <c r="CX694">
        <v>0</v>
      </c>
      <c r="CY694">
        <v>0</v>
      </c>
      <c r="CZ694">
        <v>0.19809027777777777</v>
      </c>
      <c r="DA694">
        <v>0.13936342592592593</v>
      </c>
      <c r="DB694">
        <v>172</v>
      </c>
      <c r="DC694">
        <v>331</v>
      </c>
      <c r="DD694">
        <v>17</v>
      </c>
      <c r="DE694" t="s">
        <v>891</v>
      </c>
      <c r="DF694">
        <v>32877</v>
      </c>
      <c r="DG694">
        <v>9.8799999999999999E-2</v>
      </c>
      <c r="DO694">
        <v>64</v>
      </c>
    </row>
    <row r="695" spans="93:120" x14ac:dyDescent="0.25">
      <c r="CO695" t="s">
        <v>636</v>
      </c>
      <c r="CP695" t="s">
        <v>6</v>
      </c>
      <c r="CQ695" t="s">
        <v>105</v>
      </c>
      <c r="CR695">
        <v>46156</v>
      </c>
      <c r="CS695">
        <v>1</v>
      </c>
      <c r="CT695">
        <v>1</v>
      </c>
      <c r="CV695">
        <v>1</v>
      </c>
      <c r="CX695">
        <v>1.273148148148148E-4</v>
      </c>
      <c r="CY695">
        <v>1.273148148148148E-4</v>
      </c>
      <c r="CZ695">
        <v>0.12788194444444445</v>
      </c>
      <c r="DA695">
        <v>0.15341435185185184</v>
      </c>
      <c r="DB695">
        <v>96</v>
      </c>
      <c r="DC695">
        <v>201</v>
      </c>
      <c r="DD695">
        <v>23</v>
      </c>
      <c r="DE695" t="s">
        <v>895</v>
      </c>
      <c r="DF695">
        <v>24449</v>
      </c>
      <c r="DG695">
        <v>0.23960000000000001</v>
      </c>
      <c r="DO695">
        <v>64</v>
      </c>
    </row>
    <row r="696" spans="93:120" x14ac:dyDescent="0.25">
      <c r="CO696" t="s">
        <v>636</v>
      </c>
      <c r="CP696" t="s">
        <v>6</v>
      </c>
      <c r="CQ696" t="s">
        <v>105</v>
      </c>
      <c r="CR696">
        <v>46164</v>
      </c>
      <c r="CS696">
        <v>1</v>
      </c>
      <c r="CT696">
        <v>1</v>
      </c>
      <c r="CV696">
        <v>1</v>
      </c>
      <c r="CX696">
        <v>6.9444444444444444E-5</v>
      </c>
      <c r="CY696">
        <v>6.9444444444444444E-5</v>
      </c>
      <c r="CZ696">
        <v>0.20601851851851852</v>
      </c>
      <c r="DA696">
        <v>0.12432870370370371</v>
      </c>
      <c r="DB696">
        <v>57</v>
      </c>
      <c r="DC696">
        <v>116</v>
      </c>
      <c r="DD696">
        <v>7</v>
      </c>
      <c r="DE696" t="s">
        <v>850</v>
      </c>
      <c r="DF696">
        <v>20719</v>
      </c>
      <c r="DG696">
        <v>0.12280000000000001</v>
      </c>
      <c r="DO696">
        <v>64</v>
      </c>
    </row>
    <row r="697" spans="93:120" x14ac:dyDescent="0.25">
      <c r="CO697" t="s">
        <v>636</v>
      </c>
      <c r="CP697" t="s">
        <v>6</v>
      </c>
      <c r="CQ697" t="s">
        <v>105</v>
      </c>
      <c r="CR697">
        <v>46170</v>
      </c>
      <c r="CS697">
        <v>1</v>
      </c>
      <c r="CT697">
        <v>1</v>
      </c>
      <c r="CV697">
        <v>1</v>
      </c>
      <c r="CX697">
        <v>1.3888888888888889E-4</v>
      </c>
      <c r="CY697">
        <v>1.3888888888888889E-4</v>
      </c>
      <c r="CZ697">
        <v>0.16016203703703705</v>
      </c>
      <c r="DA697">
        <v>0.14910879629629631</v>
      </c>
      <c r="DB697">
        <v>64</v>
      </c>
      <c r="DC697">
        <v>127</v>
      </c>
      <c r="DD697">
        <v>14</v>
      </c>
      <c r="DE697" t="s">
        <v>745</v>
      </c>
      <c r="DF697">
        <v>44241</v>
      </c>
      <c r="DG697">
        <v>0.21879999999999999</v>
      </c>
      <c r="DO697">
        <v>64</v>
      </c>
    </row>
    <row r="698" spans="93:120" x14ac:dyDescent="0.25">
      <c r="CO698" t="s">
        <v>636</v>
      </c>
      <c r="CP698" t="s">
        <v>6</v>
      </c>
      <c r="CQ698" t="s">
        <v>105</v>
      </c>
      <c r="CR698">
        <v>46172</v>
      </c>
      <c r="CS698">
        <v>1</v>
      </c>
      <c r="CT698">
        <v>1</v>
      </c>
      <c r="CV698">
        <v>1</v>
      </c>
      <c r="CX698">
        <v>2.0833333333333335E-4</v>
      </c>
      <c r="CY698">
        <v>2.0833333333333335E-4</v>
      </c>
      <c r="CZ698">
        <v>0.1920138888888889</v>
      </c>
      <c r="DA698">
        <v>0</v>
      </c>
      <c r="DB698">
        <v>9</v>
      </c>
      <c r="DC698">
        <v>10</v>
      </c>
      <c r="DD698">
        <v>5</v>
      </c>
      <c r="DE698">
        <v>1</v>
      </c>
      <c r="DF698">
        <v>6807</v>
      </c>
      <c r="DG698">
        <v>0.55559999999999998</v>
      </c>
      <c r="DO698">
        <v>64</v>
      </c>
    </row>
    <row r="699" spans="93:120" x14ac:dyDescent="0.25">
      <c r="CO699" t="s">
        <v>636</v>
      </c>
      <c r="CP699" t="s">
        <v>6</v>
      </c>
      <c r="CQ699" t="s">
        <v>35</v>
      </c>
      <c r="CR699">
        <v>46148</v>
      </c>
      <c r="CS699">
        <v>1</v>
      </c>
      <c r="CT699">
        <v>1</v>
      </c>
      <c r="CV699">
        <v>1</v>
      </c>
      <c r="CX699">
        <v>6.8287037037037036E-4</v>
      </c>
      <c r="CY699">
        <v>6.8287037037037036E-4</v>
      </c>
      <c r="CZ699">
        <v>0.23699074074074075</v>
      </c>
      <c r="DA699">
        <v>9.7488425925925923E-2</v>
      </c>
      <c r="DB699">
        <v>88</v>
      </c>
      <c r="DC699">
        <v>200</v>
      </c>
      <c r="DD699">
        <v>16</v>
      </c>
      <c r="DE699">
        <v>2.125</v>
      </c>
      <c r="DF699">
        <v>9952</v>
      </c>
      <c r="DG699">
        <v>0.18179999999999999</v>
      </c>
      <c r="DH699">
        <v>2</v>
      </c>
      <c r="DI699">
        <v>0.125</v>
      </c>
      <c r="DJ699">
        <v>580</v>
      </c>
      <c r="DK699">
        <v>290</v>
      </c>
      <c r="DL699">
        <v>180</v>
      </c>
      <c r="DM699">
        <v>0.31030000000000002</v>
      </c>
      <c r="DN699">
        <v>8.7999999999999995E-2</v>
      </c>
      <c r="DO699">
        <v>64</v>
      </c>
      <c r="DP699">
        <v>180</v>
      </c>
    </row>
    <row r="700" spans="93:120" x14ac:dyDescent="0.25">
      <c r="CO700" t="s">
        <v>636</v>
      </c>
      <c r="CP700" t="s">
        <v>6</v>
      </c>
      <c r="CQ700" t="s">
        <v>11</v>
      </c>
      <c r="CR700">
        <v>46157</v>
      </c>
      <c r="CS700">
        <v>1</v>
      </c>
      <c r="CT700">
        <v>1</v>
      </c>
      <c r="CV700">
        <v>1</v>
      </c>
      <c r="CX700">
        <v>9.2592592592592588E-5</v>
      </c>
      <c r="CY700">
        <v>9.2592592592592588E-5</v>
      </c>
      <c r="CZ700">
        <v>0.25109953703703702</v>
      </c>
      <c r="DA700">
        <v>8.8067129629629634E-2</v>
      </c>
      <c r="DB700">
        <v>101</v>
      </c>
      <c r="DC700">
        <v>145</v>
      </c>
      <c r="DD700">
        <v>19</v>
      </c>
      <c r="DE700" t="s">
        <v>792</v>
      </c>
      <c r="DF700">
        <v>30630</v>
      </c>
      <c r="DG700">
        <v>0.18809999999999999</v>
      </c>
      <c r="DO700">
        <v>64</v>
      </c>
    </row>
    <row r="701" spans="93:120" x14ac:dyDescent="0.25">
      <c r="CO701" t="s">
        <v>636</v>
      </c>
      <c r="CP701" t="s">
        <v>6</v>
      </c>
      <c r="CQ701" t="s">
        <v>11</v>
      </c>
      <c r="CR701">
        <v>46160</v>
      </c>
      <c r="CS701">
        <v>1</v>
      </c>
      <c r="CT701">
        <v>1</v>
      </c>
      <c r="CV701">
        <v>1</v>
      </c>
      <c r="CX701">
        <v>1.0416666666666667E-4</v>
      </c>
      <c r="CY701">
        <v>1.0416666666666667E-4</v>
      </c>
      <c r="CZ701">
        <v>0.19314814814814815</v>
      </c>
      <c r="DA701">
        <v>0.15679398148148149</v>
      </c>
      <c r="DB701">
        <v>133</v>
      </c>
      <c r="DC701">
        <v>219</v>
      </c>
      <c r="DD701">
        <v>23</v>
      </c>
      <c r="DE701" t="s">
        <v>747</v>
      </c>
      <c r="DF701">
        <v>29630</v>
      </c>
      <c r="DG701">
        <v>0.1729</v>
      </c>
      <c r="DH701">
        <v>1</v>
      </c>
      <c r="DI701">
        <v>4.3499999999999997E-2</v>
      </c>
      <c r="DJ701">
        <v>1099</v>
      </c>
      <c r="DK701">
        <v>1099</v>
      </c>
      <c r="DL701">
        <v>300</v>
      </c>
      <c r="DM701">
        <v>0.27300000000000002</v>
      </c>
      <c r="DO701">
        <v>64</v>
      </c>
      <c r="DP701">
        <v>300</v>
      </c>
    </row>
    <row r="702" spans="93:120" x14ac:dyDescent="0.25">
      <c r="CO702" t="s">
        <v>636</v>
      </c>
      <c r="CP702" t="s">
        <v>6</v>
      </c>
      <c r="CQ702" t="s">
        <v>11</v>
      </c>
      <c r="CR702">
        <v>46162</v>
      </c>
      <c r="CS702">
        <v>1</v>
      </c>
      <c r="CT702">
        <v>1</v>
      </c>
      <c r="CV702">
        <v>1</v>
      </c>
      <c r="CX702">
        <v>3.4722222222222222E-5</v>
      </c>
      <c r="CY702">
        <v>3.4722222222222222E-5</v>
      </c>
      <c r="CZ702">
        <v>0.25443287037037038</v>
      </c>
      <c r="DA702">
        <v>0.12674768518518517</v>
      </c>
      <c r="DB702">
        <v>144</v>
      </c>
      <c r="DC702">
        <v>289</v>
      </c>
      <c r="DD702">
        <v>28</v>
      </c>
      <c r="DE702" t="s">
        <v>896</v>
      </c>
      <c r="DF702">
        <v>14501</v>
      </c>
      <c r="DG702">
        <v>0.19439999999999999</v>
      </c>
      <c r="DH702">
        <v>1</v>
      </c>
      <c r="DI702">
        <v>3.5700000000000003E-2</v>
      </c>
      <c r="DJ702">
        <v>370</v>
      </c>
      <c r="DK702">
        <v>370</v>
      </c>
      <c r="DO702">
        <v>64</v>
      </c>
    </row>
    <row r="703" spans="93:120" x14ac:dyDescent="0.25">
      <c r="CO703" t="s">
        <v>636</v>
      </c>
      <c r="CP703" t="s">
        <v>6</v>
      </c>
      <c r="CQ703" t="s">
        <v>11</v>
      </c>
      <c r="CR703">
        <v>46172</v>
      </c>
      <c r="CS703">
        <v>1</v>
      </c>
      <c r="CT703">
        <v>1</v>
      </c>
      <c r="CV703">
        <v>1</v>
      </c>
      <c r="CX703">
        <v>6.9444444444444444E-5</v>
      </c>
      <c r="CY703">
        <v>6.9444444444444444E-5</v>
      </c>
      <c r="CZ703">
        <v>0.1870023148148148</v>
      </c>
      <c r="DA703">
        <v>4.7800925925925927E-3</v>
      </c>
      <c r="DB703">
        <v>40</v>
      </c>
      <c r="DC703">
        <v>77</v>
      </c>
      <c r="DD703">
        <v>18</v>
      </c>
      <c r="DE703" t="s">
        <v>794</v>
      </c>
      <c r="DF703">
        <v>7023</v>
      </c>
      <c r="DG703">
        <v>0.45</v>
      </c>
      <c r="DO703">
        <v>64</v>
      </c>
    </row>
    <row r="704" spans="93:120" x14ac:dyDescent="0.25">
      <c r="CO704" t="s">
        <v>636</v>
      </c>
      <c r="CP704" t="s">
        <v>6</v>
      </c>
      <c r="CQ704" t="s">
        <v>97</v>
      </c>
      <c r="CR704">
        <v>46157</v>
      </c>
      <c r="CS704">
        <v>1</v>
      </c>
      <c r="CT704">
        <v>1</v>
      </c>
      <c r="CV704">
        <v>1</v>
      </c>
      <c r="CX704">
        <v>3.4722222222222222E-5</v>
      </c>
      <c r="CY704">
        <v>3.4722222222222222E-5</v>
      </c>
      <c r="CZ704">
        <v>0.23273148148148148</v>
      </c>
      <c r="DA704">
        <v>0.10033564814814815</v>
      </c>
      <c r="DB704">
        <v>110</v>
      </c>
      <c r="DC704">
        <v>137</v>
      </c>
      <c r="DD704">
        <v>17</v>
      </c>
      <c r="DE704" t="s">
        <v>820</v>
      </c>
      <c r="DF704">
        <v>15665</v>
      </c>
      <c r="DG704">
        <v>0.1545</v>
      </c>
      <c r="DO704">
        <v>64</v>
      </c>
    </row>
    <row r="705" spans="93:120" x14ac:dyDescent="0.25">
      <c r="CO705" t="s">
        <v>636</v>
      </c>
      <c r="CP705" t="s">
        <v>6</v>
      </c>
      <c r="CQ705" t="s">
        <v>97</v>
      </c>
      <c r="CR705">
        <v>46170</v>
      </c>
      <c r="CS705">
        <v>1</v>
      </c>
      <c r="CT705">
        <v>1</v>
      </c>
      <c r="CV705">
        <v>1</v>
      </c>
      <c r="CX705">
        <v>1.1574074074074075E-4</v>
      </c>
      <c r="CY705">
        <v>1.1574074074074075E-4</v>
      </c>
      <c r="CZ705">
        <v>0.1670949074074074</v>
      </c>
      <c r="DA705">
        <v>0.15434027777777778</v>
      </c>
      <c r="DB705">
        <v>172</v>
      </c>
      <c r="DC705">
        <v>202</v>
      </c>
      <c r="DD705">
        <v>13</v>
      </c>
      <c r="DE705" t="s">
        <v>799</v>
      </c>
      <c r="DF705">
        <v>15065</v>
      </c>
      <c r="DG705">
        <v>7.5600000000000001E-2</v>
      </c>
      <c r="DO705">
        <v>64</v>
      </c>
    </row>
    <row r="706" spans="93:120" x14ac:dyDescent="0.25">
      <c r="CO706" t="s">
        <v>636</v>
      </c>
      <c r="CP706" t="s">
        <v>6</v>
      </c>
      <c r="CQ706" t="s">
        <v>34</v>
      </c>
      <c r="CR706">
        <v>46156</v>
      </c>
      <c r="CS706">
        <v>1</v>
      </c>
      <c r="CT706">
        <v>1</v>
      </c>
      <c r="CV706">
        <v>1</v>
      </c>
      <c r="CX706">
        <v>2.0254629629629629E-3</v>
      </c>
      <c r="CY706">
        <v>2.0254629629629629E-3</v>
      </c>
      <c r="CZ706">
        <v>0.14393518518518519</v>
      </c>
      <c r="DA706">
        <v>0.14850694444444446</v>
      </c>
      <c r="DB706">
        <v>96</v>
      </c>
      <c r="DC706">
        <v>110</v>
      </c>
      <c r="DD706">
        <v>9</v>
      </c>
      <c r="DE706" t="s">
        <v>706</v>
      </c>
      <c r="DF706">
        <v>19308</v>
      </c>
      <c r="DG706">
        <v>9.3799999999999994E-2</v>
      </c>
      <c r="DO706">
        <v>64</v>
      </c>
    </row>
    <row r="707" spans="93:120" x14ac:dyDescent="0.25">
      <c r="CO707" t="s">
        <v>636</v>
      </c>
      <c r="CP707" t="s">
        <v>6</v>
      </c>
      <c r="CQ707" t="s">
        <v>34</v>
      </c>
      <c r="CR707">
        <v>46164</v>
      </c>
      <c r="CS707">
        <v>1</v>
      </c>
      <c r="CT707">
        <v>1</v>
      </c>
      <c r="CV707">
        <v>1</v>
      </c>
      <c r="CX707">
        <v>1.7361111111111112E-4</v>
      </c>
      <c r="CY707">
        <v>1.7361111111111112E-4</v>
      </c>
      <c r="CZ707">
        <v>0.20777777777777778</v>
      </c>
      <c r="DA707">
        <v>0.12233796296296297</v>
      </c>
      <c r="DB707">
        <v>115</v>
      </c>
      <c r="DC707">
        <v>124</v>
      </c>
      <c r="DD707">
        <v>7</v>
      </c>
      <c r="DE707" t="s">
        <v>850</v>
      </c>
      <c r="DF707">
        <v>26003</v>
      </c>
      <c r="DG707">
        <v>6.0900000000000003E-2</v>
      </c>
      <c r="DO707">
        <v>64</v>
      </c>
    </row>
    <row r="708" spans="93:120" x14ac:dyDescent="0.25">
      <c r="CO708" t="s">
        <v>636</v>
      </c>
      <c r="CP708" t="s">
        <v>6</v>
      </c>
      <c r="CQ708" t="s">
        <v>34</v>
      </c>
      <c r="CR708">
        <v>46170</v>
      </c>
      <c r="CS708">
        <v>1</v>
      </c>
      <c r="CT708">
        <v>1</v>
      </c>
      <c r="CV708">
        <v>1</v>
      </c>
      <c r="CX708">
        <v>5.7870370370370373E-5</v>
      </c>
      <c r="CY708">
        <v>5.7870370370370373E-5</v>
      </c>
      <c r="CZ708">
        <v>0.17459490740740741</v>
      </c>
      <c r="DA708">
        <v>0.14606481481481481</v>
      </c>
      <c r="DB708">
        <v>114</v>
      </c>
      <c r="DC708">
        <v>127</v>
      </c>
      <c r="DD708">
        <v>10</v>
      </c>
      <c r="DE708">
        <v>1.3</v>
      </c>
      <c r="DF708">
        <v>12095</v>
      </c>
      <c r="DG708">
        <v>8.77E-2</v>
      </c>
      <c r="DO708">
        <v>64</v>
      </c>
    </row>
    <row r="709" spans="93:120" x14ac:dyDescent="0.25">
      <c r="CO709" t="s">
        <v>636</v>
      </c>
      <c r="CP709" t="s">
        <v>6</v>
      </c>
      <c r="CQ709" t="s">
        <v>34</v>
      </c>
      <c r="CR709">
        <v>46172</v>
      </c>
      <c r="CS709">
        <v>1</v>
      </c>
      <c r="CT709">
        <v>1</v>
      </c>
      <c r="CV709">
        <v>1</v>
      </c>
      <c r="CX709">
        <v>4.6296296296296294E-5</v>
      </c>
      <c r="CY709">
        <v>4.6296296296296294E-5</v>
      </c>
      <c r="CZ709">
        <v>0.12895833333333334</v>
      </c>
      <c r="DA709">
        <v>5.6307870370370369E-2</v>
      </c>
      <c r="DB709">
        <v>31</v>
      </c>
      <c r="DC709">
        <v>38</v>
      </c>
      <c r="DD709">
        <v>4</v>
      </c>
      <c r="DE709">
        <v>1.5</v>
      </c>
      <c r="DF709">
        <v>5836</v>
      </c>
      <c r="DG709">
        <v>0.129</v>
      </c>
      <c r="DO709">
        <v>64</v>
      </c>
    </row>
    <row r="710" spans="93:120" x14ac:dyDescent="0.25">
      <c r="CO710" t="s">
        <v>636</v>
      </c>
      <c r="CP710" t="s">
        <v>6</v>
      </c>
      <c r="CQ710" t="s">
        <v>76</v>
      </c>
      <c r="CR710">
        <v>46164</v>
      </c>
      <c r="CS710">
        <v>1</v>
      </c>
      <c r="CT710">
        <v>1</v>
      </c>
      <c r="CV710">
        <v>1</v>
      </c>
      <c r="CX710">
        <v>8.1018518518518516E-5</v>
      </c>
      <c r="CY710">
        <v>8.1018518518518516E-5</v>
      </c>
      <c r="CZ710">
        <v>0.19796296296296295</v>
      </c>
      <c r="DA710">
        <v>0.11262731481481482</v>
      </c>
      <c r="DB710">
        <v>124</v>
      </c>
      <c r="DC710">
        <v>139</v>
      </c>
      <c r="DD710">
        <v>5</v>
      </c>
      <c r="DE710">
        <v>1.8</v>
      </c>
      <c r="DF710">
        <v>33699</v>
      </c>
      <c r="DG710">
        <v>4.0300000000000002E-2</v>
      </c>
      <c r="DO710">
        <v>64</v>
      </c>
    </row>
    <row r="711" spans="93:120" x14ac:dyDescent="0.25">
      <c r="CO711" t="s">
        <v>636</v>
      </c>
      <c r="CP711" t="s">
        <v>7</v>
      </c>
      <c r="CQ711" t="s">
        <v>60</v>
      </c>
      <c r="CR711">
        <v>46157</v>
      </c>
      <c r="CS711">
        <v>1</v>
      </c>
      <c r="CT711">
        <v>1</v>
      </c>
      <c r="CV711">
        <v>1</v>
      </c>
      <c r="CX711">
        <v>5.6712962962962967E-4</v>
      </c>
      <c r="CY711">
        <v>5.6712962962962967E-4</v>
      </c>
      <c r="CZ711">
        <v>0.32303240740740741</v>
      </c>
      <c r="DA711">
        <v>3.6458333333333334E-3</v>
      </c>
      <c r="DB711">
        <v>100</v>
      </c>
      <c r="DC711">
        <v>113</v>
      </c>
      <c r="DD711">
        <v>6</v>
      </c>
      <c r="DE711">
        <v>1.5</v>
      </c>
      <c r="DF711">
        <v>10683</v>
      </c>
      <c r="DG711">
        <v>0.06</v>
      </c>
      <c r="DO711">
        <v>64</v>
      </c>
    </row>
    <row r="712" spans="93:120" x14ac:dyDescent="0.25">
      <c r="CO712" t="s">
        <v>636</v>
      </c>
      <c r="CP712" t="s">
        <v>7</v>
      </c>
      <c r="CQ712" t="s">
        <v>12</v>
      </c>
      <c r="CR712">
        <v>46157</v>
      </c>
      <c r="CS712">
        <v>1</v>
      </c>
      <c r="CT712">
        <v>1</v>
      </c>
      <c r="CV712">
        <v>1</v>
      </c>
      <c r="CX712">
        <v>2.199074074074074E-4</v>
      </c>
      <c r="CY712">
        <v>2.199074074074074E-4</v>
      </c>
      <c r="CZ712">
        <v>0.30866898148148147</v>
      </c>
      <c r="DA712">
        <v>2.2939814814814816E-2</v>
      </c>
      <c r="DB712">
        <v>98</v>
      </c>
      <c r="DC712">
        <v>118</v>
      </c>
      <c r="DD712">
        <v>26</v>
      </c>
      <c r="DE712" t="s">
        <v>743</v>
      </c>
      <c r="DF712">
        <v>27120</v>
      </c>
      <c r="DG712">
        <v>0.26529999999999998</v>
      </c>
      <c r="DO712">
        <v>64</v>
      </c>
    </row>
    <row r="713" spans="93:120" x14ac:dyDescent="0.25">
      <c r="CO713" t="s">
        <v>636</v>
      </c>
      <c r="CP713" t="s">
        <v>7</v>
      </c>
      <c r="CQ713" t="s">
        <v>51</v>
      </c>
      <c r="CR713">
        <v>46157</v>
      </c>
      <c r="CS713">
        <v>1</v>
      </c>
      <c r="CT713">
        <v>1</v>
      </c>
      <c r="CV713">
        <v>1</v>
      </c>
      <c r="CX713">
        <v>6.9444444444444444E-5</v>
      </c>
      <c r="CY713">
        <v>6.9444444444444444E-5</v>
      </c>
      <c r="CZ713">
        <v>0.31939814814814815</v>
      </c>
      <c r="DA713">
        <v>1.8518518518518518E-4</v>
      </c>
      <c r="DB713">
        <v>52</v>
      </c>
      <c r="DC713">
        <v>131</v>
      </c>
      <c r="DD713">
        <v>4</v>
      </c>
      <c r="DE713">
        <v>1.25</v>
      </c>
      <c r="DF713">
        <v>21938</v>
      </c>
      <c r="DG713">
        <v>7.6899999999999996E-2</v>
      </c>
      <c r="DO713">
        <v>64</v>
      </c>
    </row>
    <row r="714" spans="93:120" x14ac:dyDescent="0.25">
      <c r="CO714" t="s">
        <v>636</v>
      </c>
      <c r="CP714" t="s">
        <v>7</v>
      </c>
      <c r="CQ714" t="s">
        <v>26</v>
      </c>
      <c r="CR714">
        <v>46146</v>
      </c>
      <c r="CS714">
        <v>1</v>
      </c>
      <c r="CT714">
        <v>1</v>
      </c>
      <c r="CV714">
        <v>1</v>
      </c>
      <c r="CX714">
        <v>9.2592592592592588E-5</v>
      </c>
      <c r="CY714">
        <v>9.2592592592592588E-5</v>
      </c>
      <c r="CZ714">
        <v>0.28721064814814817</v>
      </c>
      <c r="DA714">
        <v>6.9490740740740742E-2</v>
      </c>
      <c r="DB714">
        <v>144</v>
      </c>
      <c r="DC714">
        <v>313</v>
      </c>
      <c r="DD714">
        <v>32</v>
      </c>
      <c r="DE714">
        <v>1.8125</v>
      </c>
      <c r="DF714">
        <v>21042</v>
      </c>
      <c r="DG714">
        <v>0.22220000000000001</v>
      </c>
      <c r="DH714">
        <v>6</v>
      </c>
      <c r="DI714">
        <v>0.1875</v>
      </c>
      <c r="DJ714">
        <v>3850</v>
      </c>
      <c r="DK714">
        <v>642</v>
      </c>
      <c r="DL714">
        <v>3060</v>
      </c>
      <c r="DM714">
        <v>0.79479999999999995</v>
      </c>
      <c r="DN714">
        <v>0.45729999999999998</v>
      </c>
      <c r="DO714">
        <v>64</v>
      </c>
      <c r="DP714">
        <v>765</v>
      </c>
    </row>
    <row r="715" spans="93:120" x14ac:dyDescent="0.25">
      <c r="CO715" t="s">
        <v>636</v>
      </c>
      <c r="CP715" t="s">
        <v>7</v>
      </c>
      <c r="CQ715" t="s">
        <v>75</v>
      </c>
      <c r="CR715">
        <v>46157</v>
      </c>
      <c r="CS715">
        <v>1</v>
      </c>
      <c r="CT715">
        <v>1</v>
      </c>
      <c r="CV715">
        <v>1</v>
      </c>
      <c r="CX715">
        <v>1.6203703703703703E-4</v>
      </c>
      <c r="CY715">
        <v>1.6203703703703703E-4</v>
      </c>
      <c r="CZ715">
        <v>0.29638888888888887</v>
      </c>
      <c r="DA715">
        <v>2.5648148148148149E-2</v>
      </c>
      <c r="DB715">
        <v>85</v>
      </c>
      <c r="DC715">
        <v>155</v>
      </c>
      <c r="DD715">
        <v>17</v>
      </c>
      <c r="DE715" t="s">
        <v>728</v>
      </c>
      <c r="DF715">
        <v>20494</v>
      </c>
      <c r="DG715">
        <v>0.2</v>
      </c>
      <c r="DO715">
        <v>64</v>
      </c>
    </row>
    <row r="716" spans="93:120" x14ac:dyDescent="0.25">
      <c r="CO716" t="s">
        <v>636</v>
      </c>
      <c r="CP716" t="s">
        <v>7</v>
      </c>
      <c r="CQ716" t="s">
        <v>75</v>
      </c>
      <c r="CR716">
        <v>46164</v>
      </c>
      <c r="CS716">
        <v>1</v>
      </c>
      <c r="CT716">
        <v>1</v>
      </c>
      <c r="CV716">
        <v>1</v>
      </c>
      <c r="CX716">
        <v>2.4305555555555555E-4</v>
      </c>
      <c r="CY716">
        <v>2.4305555555555555E-4</v>
      </c>
      <c r="CZ716">
        <v>0.18765046296296295</v>
      </c>
      <c r="DA716">
        <v>0.13236111111111112</v>
      </c>
      <c r="DB716">
        <v>91</v>
      </c>
      <c r="DC716">
        <v>168</v>
      </c>
      <c r="DD716">
        <v>14</v>
      </c>
      <c r="DE716">
        <v>1.5</v>
      </c>
      <c r="DF716">
        <v>36731</v>
      </c>
      <c r="DG716">
        <v>0.15379999999999999</v>
      </c>
      <c r="DH716">
        <v>1</v>
      </c>
      <c r="DI716">
        <v>7.1400000000000005E-2</v>
      </c>
      <c r="DJ716">
        <v>1000</v>
      </c>
      <c r="DK716">
        <v>1000</v>
      </c>
      <c r="DO716">
        <v>64</v>
      </c>
    </row>
    <row r="717" spans="93:120" x14ac:dyDescent="0.25">
      <c r="CO717" t="s">
        <v>636</v>
      </c>
      <c r="CP717" t="s">
        <v>604</v>
      </c>
      <c r="CQ717" t="s">
        <v>109</v>
      </c>
      <c r="CR717">
        <v>46150</v>
      </c>
      <c r="CS717">
        <v>1</v>
      </c>
      <c r="CT717">
        <v>1</v>
      </c>
      <c r="CV717">
        <v>1</v>
      </c>
      <c r="CX717">
        <v>1.1574074074074075E-4</v>
      </c>
      <c r="CY717">
        <v>1.1574074074074075E-4</v>
      </c>
      <c r="CZ717">
        <v>0.2058912037037037</v>
      </c>
      <c r="DA717">
        <v>8.6944444444444449E-2</v>
      </c>
      <c r="DB717">
        <v>66</v>
      </c>
      <c r="DC717">
        <v>120</v>
      </c>
      <c r="DD717">
        <v>13</v>
      </c>
      <c r="DE717" t="s">
        <v>734</v>
      </c>
      <c r="DF717">
        <v>24347</v>
      </c>
      <c r="DG717">
        <v>0.19700000000000001</v>
      </c>
      <c r="DO717">
        <v>64</v>
      </c>
    </row>
    <row r="718" spans="93:120" x14ac:dyDescent="0.25">
      <c r="CO718" t="s">
        <v>636</v>
      </c>
      <c r="CP718" t="s">
        <v>604</v>
      </c>
      <c r="CQ718" t="s">
        <v>41</v>
      </c>
      <c r="CR718">
        <v>46150</v>
      </c>
      <c r="CS718">
        <v>1</v>
      </c>
      <c r="CT718">
        <v>1</v>
      </c>
      <c r="CV718">
        <v>1</v>
      </c>
      <c r="CX718">
        <v>2.4305555555555555E-4</v>
      </c>
      <c r="CY718">
        <v>2.4305555555555555E-4</v>
      </c>
      <c r="CZ718">
        <v>0.17707175925925925</v>
      </c>
      <c r="DA718">
        <v>0.10203703703703704</v>
      </c>
      <c r="DB718">
        <v>74</v>
      </c>
      <c r="DC718">
        <v>157</v>
      </c>
      <c r="DD718">
        <v>29</v>
      </c>
      <c r="DE718" t="s">
        <v>842</v>
      </c>
      <c r="DF718">
        <v>6147</v>
      </c>
      <c r="DG718">
        <v>0.39190000000000003</v>
      </c>
      <c r="DO718">
        <v>64</v>
      </c>
    </row>
    <row r="719" spans="93:120" x14ac:dyDescent="0.25">
      <c r="CO719" t="s">
        <v>636</v>
      </c>
      <c r="CP719" t="s">
        <v>604</v>
      </c>
      <c r="CQ719" t="s">
        <v>495</v>
      </c>
      <c r="CR719">
        <v>46150</v>
      </c>
      <c r="CS719">
        <v>1</v>
      </c>
      <c r="CT719">
        <v>1</v>
      </c>
      <c r="CV719">
        <v>1</v>
      </c>
      <c r="CX719">
        <v>0</v>
      </c>
      <c r="CY719">
        <v>0</v>
      </c>
      <c r="CZ719">
        <v>0.18277777777777779</v>
      </c>
      <c r="DA719">
        <v>0.11074074074074074</v>
      </c>
      <c r="DB719">
        <v>61</v>
      </c>
      <c r="DC719">
        <v>185</v>
      </c>
      <c r="DD719">
        <v>19</v>
      </c>
      <c r="DE719" t="s">
        <v>721</v>
      </c>
      <c r="DF719">
        <v>15964</v>
      </c>
      <c r="DG719">
        <v>0.3115</v>
      </c>
      <c r="DO719">
        <v>64</v>
      </c>
    </row>
    <row r="720" spans="93:120" x14ac:dyDescent="0.25">
      <c r="CO720" t="s">
        <v>636</v>
      </c>
      <c r="CP720" t="s">
        <v>604</v>
      </c>
      <c r="CQ720" t="s">
        <v>495</v>
      </c>
      <c r="CR720">
        <v>46155</v>
      </c>
      <c r="CS720">
        <v>1</v>
      </c>
      <c r="CT720">
        <v>1</v>
      </c>
      <c r="CV720">
        <v>1</v>
      </c>
      <c r="CX720">
        <v>1.7361111111111112E-4</v>
      </c>
      <c r="CY720">
        <v>1.7361111111111112E-4</v>
      </c>
      <c r="CZ720">
        <v>0.20438657407407407</v>
      </c>
      <c r="DA720">
        <v>0.13317129629629629</v>
      </c>
      <c r="DB720">
        <v>164</v>
      </c>
      <c r="DC720">
        <v>322</v>
      </c>
      <c r="DD720">
        <v>24</v>
      </c>
      <c r="DE720" t="s">
        <v>716</v>
      </c>
      <c r="DF720">
        <v>14840</v>
      </c>
      <c r="DG720">
        <v>0.14630000000000001</v>
      </c>
      <c r="DH720">
        <v>1</v>
      </c>
      <c r="DI720">
        <v>4.1700000000000001E-2</v>
      </c>
      <c r="DJ720">
        <v>350</v>
      </c>
      <c r="DK720">
        <v>350</v>
      </c>
      <c r="DO720">
        <v>64</v>
      </c>
    </row>
    <row r="721" spans="93:120" x14ac:dyDescent="0.25">
      <c r="CO721" t="s">
        <v>636</v>
      </c>
      <c r="CP721" t="s">
        <v>604</v>
      </c>
      <c r="CQ721" t="s">
        <v>600</v>
      </c>
      <c r="CR721">
        <v>46150</v>
      </c>
      <c r="CS721">
        <v>1</v>
      </c>
      <c r="CT721">
        <v>1</v>
      </c>
      <c r="CV721">
        <v>1</v>
      </c>
      <c r="CX721">
        <v>0</v>
      </c>
      <c r="CY721">
        <v>0</v>
      </c>
      <c r="CZ721">
        <v>0.19159722222222222</v>
      </c>
      <c r="DA721">
        <v>8.1909722222222217E-2</v>
      </c>
      <c r="DB721">
        <v>83</v>
      </c>
      <c r="DC721">
        <v>127</v>
      </c>
      <c r="DD721">
        <v>13</v>
      </c>
      <c r="DE721" t="s">
        <v>704</v>
      </c>
      <c r="DF721">
        <v>10459</v>
      </c>
      <c r="DG721">
        <v>0.15659999999999999</v>
      </c>
      <c r="DO721">
        <v>64</v>
      </c>
    </row>
    <row r="722" spans="93:120" x14ac:dyDescent="0.25">
      <c r="CO722" t="s">
        <v>636</v>
      </c>
      <c r="CP722" t="s">
        <v>604</v>
      </c>
      <c r="CQ722" t="s">
        <v>49</v>
      </c>
      <c r="CR722">
        <v>46150</v>
      </c>
      <c r="CS722">
        <v>1</v>
      </c>
      <c r="CT722">
        <v>1</v>
      </c>
      <c r="CV722">
        <v>1</v>
      </c>
      <c r="CX722">
        <v>0</v>
      </c>
      <c r="CY722">
        <v>0</v>
      </c>
      <c r="CZ722">
        <v>0.13922453703703705</v>
      </c>
      <c r="DA722">
        <v>7.1076388888888883E-2</v>
      </c>
      <c r="DB722">
        <v>24</v>
      </c>
      <c r="DC722">
        <v>33</v>
      </c>
      <c r="DD722">
        <v>7</v>
      </c>
      <c r="DE722">
        <v>1</v>
      </c>
      <c r="DF722">
        <v>16557</v>
      </c>
      <c r="DG722">
        <v>0.29170000000000001</v>
      </c>
      <c r="DO722">
        <v>64</v>
      </c>
    </row>
    <row r="723" spans="93:120" x14ac:dyDescent="0.25">
      <c r="CO723" t="s">
        <v>636</v>
      </c>
      <c r="CP723" t="s">
        <v>604</v>
      </c>
      <c r="CQ723" t="s">
        <v>549</v>
      </c>
      <c r="CR723">
        <v>46147</v>
      </c>
      <c r="CS723">
        <v>1</v>
      </c>
      <c r="CT723">
        <v>1</v>
      </c>
      <c r="CV723">
        <v>1</v>
      </c>
      <c r="CX723">
        <v>2.6620370370370372E-4</v>
      </c>
      <c r="CY723">
        <v>2.6620370370370372E-4</v>
      </c>
      <c r="CZ723">
        <v>0.28297453703703701</v>
      </c>
      <c r="DA723">
        <v>0.14304398148148148</v>
      </c>
      <c r="DB723">
        <v>201</v>
      </c>
      <c r="DC723">
        <v>395</v>
      </c>
      <c r="DD723">
        <v>90</v>
      </c>
      <c r="DE723" t="s">
        <v>672</v>
      </c>
      <c r="DF723">
        <v>7565</v>
      </c>
      <c r="DG723">
        <v>0.44779999999999998</v>
      </c>
      <c r="DH723">
        <v>2</v>
      </c>
      <c r="DI723">
        <v>2.2200000000000001E-2</v>
      </c>
      <c r="DJ723">
        <v>770</v>
      </c>
      <c r="DK723">
        <v>385</v>
      </c>
      <c r="DL723">
        <v>390</v>
      </c>
      <c r="DM723">
        <v>0.50649999999999995</v>
      </c>
      <c r="DN723">
        <v>0.15790000000000001</v>
      </c>
      <c r="DO723">
        <v>64</v>
      </c>
      <c r="DP723">
        <v>390</v>
      </c>
    </row>
    <row r="724" spans="93:120" x14ac:dyDescent="0.25">
      <c r="CO724" t="s">
        <v>636</v>
      </c>
      <c r="CP724" t="s">
        <v>604</v>
      </c>
      <c r="CQ724" t="s">
        <v>549</v>
      </c>
      <c r="CR724">
        <v>46150</v>
      </c>
      <c r="CS724">
        <v>1</v>
      </c>
      <c r="CT724">
        <v>1</v>
      </c>
      <c r="CV724">
        <v>1</v>
      </c>
      <c r="CX724">
        <v>0</v>
      </c>
      <c r="CY724">
        <v>0</v>
      </c>
      <c r="CZ724">
        <v>0.22055555555555556</v>
      </c>
      <c r="DA724">
        <v>8.1689814814814812E-2</v>
      </c>
      <c r="DB724">
        <v>122</v>
      </c>
      <c r="DC724">
        <v>193</v>
      </c>
      <c r="DD724">
        <v>51</v>
      </c>
      <c r="DE724" t="s">
        <v>900</v>
      </c>
      <c r="DF724">
        <v>10426</v>
      </c>
      <c r="DG724">
        <v>0.41799999999999998</v>
      </c>
      <c r="DO724">
        <v>64</v>
      </c>
    </row>
    <row r="725" spans="93:120" x14ac:dyDescent="0.25">
      <c r="CO725" t="s">
        <v>636</v>
      </c>
      <c r="CP725" t="s">
        <v>604</v>
      </c>
      <c r="CQ725" t="s">
        <v>77</v>
      </c>
      <c r="CR725">
        <v>46150</v>
      </c>
      <c r="CS725">
        <v>1</v>
      </c>
      <c r="CT725">
        <v>1</v>
      </c>
      <c r="CV725">
        <v>1</v>
      </c>
      <c r="CX725">
        <v>0</v>
      </c>
      <c r="CY725">
        <v>0</v>
      </c>
      <c r="CZ725">
        <v>0.20289351851851853</v>
      </c>
      <c r="DA725">
        <v>0.11384259259259259</v>
      </c>
      <c r="DB725">
        <v>82</v>
      </c>
      <c r="DC725">
        <v>144</v>
      </c>
      <c r="DD725">
        <v>19</v>
      </c>
      <c r="DE725" t="s">
        <v>721</v>
      </c>
      <c r="DF725">
        <v>19556</v>
      </c>
      <c r="DG725">
        <v>0.23169999999999999</v>
      </c>
      <c r="DO725">
        <v>64</v>
      </c>
    </row>
    <row r="726" spans="93:120" x14ac:dyDescent="0.25">
      <c r="CO726" t="s">
        <v>636</v>
      </c>
      <c r="CP726" t="s">
        <v>604</v>
      </c>
      <c r="CQ726" t="s">
        <v>77</v>
      </c>
      <c r="CR726">
        <v>46168</v>
      </c>
      <c r="CS726">
        <v>1</v>
      </c>
      <c r="CT726">
        <v>1</v>
      </c>
      <c r="CU726">
        <v>1</v>
      </c>
      <c r="CX726">
        <v>7.0300925925925919E-2</v>
      </c>
      <c r="CY726">
        <v>7.0300925925925919E-2</v>
      </c>
      <c r="CZ726">
        <v>0.12435185185185185</v>
      </c>
      <c r="DA726">
        <v>0.14284722222222221</v>
      </c>
      <c r="DB726">
        <v>73</v>
      </c>
      <c r="DC726">
        <v>149</v>
      </c>
      <c r="DD726">
        <v>25</v>
      </c>
      <c r="DE726">
        <v>1.76</v>
      </c>
      <c r="DF726">
        <v>12528</v>
      </c>
      <c r="DG726">
        <v>0.34250000000000003</v>
      </c>
      <c r="DH726">
        <v>1</v>
      </c>
      <c r="DI726">
        <v>0.04</v>
      </c>
      <c r="DJ726">
        <v>590</v>
      </c>
      <c r="DK726">
        <v>590</v>
      </c>
      <c r="DO726">
        <v>64</v>
      </c>
    </row>
    <row r="727" spans="93:120" x14ac:dyDescent="0.25">
      <c r="CO727" t="s">
        <v>636</v>
      </c>
      <c r="CP727" t="s">
        <v>604</v>
      </c>
      <c r="CQ727" t="s">
        <v>55</v>
      </c>
      <c r="CR727">
        <v>46164</v>
      </c>
      <c r="CS727">
        <v>1</v>
      </c>
      <c r="CT727">
        <v>1</v>
      </c>
      <c r="CV727">
        <v>1</v>
      </c>
      <c r="CX727">
        <v>3.4722222222222222E-5</v>
      </c>
      <c r="CY727">
        <v>3.4722222222222222E-5</v>
      </c>
      <c r="CZ727">
        <v>0.21668981481481481</v>
      </c>
      <c r="DA727">
        <v>0.12679398148148149</v>
      </c>
      <c r="DB727">
        <v>183</v>
      </c>
      <c r="DC727">
        <v>242</v>
      </c>
      <c r="DD727">
        <v>26</v>
      </c>
      <c r="DE727" t="s">
        <v>704</v>
      </c>
      <c r="DF727">
        <v>7444</v>
      </c>
      <c r="DG727">
        <v>0.1421</v>
      </c>
      <c r="DH727">
        <v>1</v>
      </c>
      <c r="DI727">
        <v>3.85E-2</v>
      </c>
      <c r="DJ727">
        <v>400</v>
      </c>
      <c r="DK727">
        <v>400</v>
      </c>
      <c r="DO727">
        <v>64</v>
      </c>
    </row>
    <row r="728" spans="93:120" x14ac:dyDescent="0.25">
      <c r="CO728" t="s">
        <v>636</v>
      </c>
      <c r="CP728" t="s">
        <v>604</v>
      </c>
      <c r="CQ728" t="s">
        <v>601</v>
      </c>
      <c r="CR728">
        <v>46164</v>
      </c>
      <c r="CS728">
        <v>1</v>
      </c>
      <c r="CT728">
        <v>1</v>
      </c>
      <c r="CV728">
        <v>1</v>
      </c>
      <c r="CX728">
        <v>0</v>
      </c>
      <c r="CY728">
        <v>0</v>
      </c>
      <c r="CZ728">
        <v>0.19559027777777777</v>
      </c>
      <c r="DA728">
        <v>0.13045138888888888</v>
      </c>
      <c r="DB728">
        <v>131</v>
      </c>
      <c r="DC728">
        <v>159</v>
      </c>
      <c r="DD728">
        <v>26</v>
      </c>
      <c r="DE728" t="s">
        <v>727</v>
      </c>
      <c r="DF728">
        <v>8817</v>
      </c>
      <c r="DG728">
        <v>0.19850000000000001</v>
      </c>
      <c r="DH728">
        <v>1</v>
      </c>
      <c r="DI728">
        <v>3.85E-2</v>
      </c>
      <c r="DJ728">
        <v>500</v>
      </c>
      <c r="DK728">
        <v>500</v>
      </c>
      <c r="DO728">
        <v>64</v>
      </c>
    </row>
    <row r="729" spans="93:120" x14ac:dyDescent="0.25">
      <c r="CO729" t="s">
        <v>636</v>
      </c>
      <c r="CP729" t="s">
        <v>3</v>
      </c>
      <c r="CQ729" t="s">
        <v>58</v>
      </c>
      <c r="CR729">
        <v>46160</v>
      </c>
      <c r="CS729">
        <v>1</v>
      </c>
      <c r="CT729">
        <v>1</v>
      </c>
      <c r="CV729">
        <v>1</v>
      </c>
      <c r="CX729">
        <v>1.6203703703703703E-4</v>
      </c>
      <c r="CY729">
        <v>1.6203703703703703E-4</v>
      </c>
      <c r="CZ729">
        <v>0.17570601851851853</v>
      </c>
      <c r="DA729">
        <v>0.16008101851851853</v>
      </c>
      <c r="DB729">
        <v>79</v>
      </c>
      <c r="DC729">
        <v>200</v>
      </c>
      <c r="DD729">
        <v>38</v>
      </c>
      <c r="DE729" t="s">
        <v>836</v>
      </c>
      <c r="DF729">
        <v>24180</v>
      </c>
      <c r="DG729">
        <v>0.48099999999999998</v>
      </c>
      <c r="DH729">
        <v>4</v>
      </c>
      <c r="DI729">
        <v>0.1053</v>
      </c>
      <c r="DJ729">
        <v>4750</v>
      </c>
      <c r="DK729">
        <v>1188</v>
      </c>
      <c r="DL729">
        <v>4350</v>
      </c>
      <c r="DM729">
        <v>0.91579999999999995</v>
      </c>
      <c r="DN729">
        <v>0.15440000000000001</v>
      </c>
      <c r="DO729">
        <v>64</v>
      </c>
      <c r="DP729">
        <v>1450</v>
      </c>
    </row>
    <row r="730" spans="93:120" x14ac:dyDescent="0.25">
      <c r="CO730" t="s">
        <v>636</v>
      </c>
      <c r="CP730" t="s">
        <v>3</v>
      </c>
      <c r="CQ730" t="s">
        <v>85</v>
      </c>
      <c r="CR730">
        <v>46148</v>
      </c>
      <c r="CS730">
        <v>1</v>
      </c>
      <c r="CT730">
        <v>1</v>
      </c>
      <c r="CV730">
        <v>1</v>
      </c>
      <c r="CX730">
        <v>2.0833333333333335E-4</v>
      </c>
      <c r="CY730">
        <v>2.0833333333333335E-4</v>
      </c>
      <c r="CZ730">
        <v>0.26344907407407409</v>
      </c>
      <c r="DA730">
        <v>8.020833333333334E-2</v>
      </c>
      <c r="DB730">
        <v>65</v>
      </c>
      <c r="DC730">
        <v>184</v>
      </c>
      <c r="DD730">
        <v>29</v>
      </c>
      <c r="DE730" t="s">
        <v>901</v>
      </c>
      <c r="DF730">
        <v>22067</v>
      </c>
      <c r="DG730">
        <v>0.44619999999999999</v>
      </c>
      <c r="DH730">
        <v>1</v>
      </c>
      <c r="DI730">
        <v>3.4500000000000003E-2</v>
      </c>
      <c r="DJ730">
        <v>10000</v>
      </c>
      <c r="DK730">
        <v>10000</v>
      </c>
      <c r="DL730">
        <v>10000</v>
      </c>
      <c r="DM730">
        <v>1</v>
      </c>
      <c r="DN730">
        <v>0.14330000000000001</v>
      </c>
      <c r="DO730">
        <v>64</v>
      </c>
      <c r="DP730">
        <v>10000</v>
      </c>
    </row>
    <row r="731" spans="93:120" x14ac:dyDescent="0.25">
      <c r="CO731" t="s">
        <v>636</v>
      </c>
      <c r="CP731" t="s">
        <v>3</v>
      </c>
      <c r="CQ731" t="s">
        <v>493</v>
      </c>
      <c r="CR731">
        <v>46163</v>
      </c>
      <c r="CS731">
        <v>1</v>
      </c>
      <c r="CT731">
        <v>1</v>
      </c>
      <c r="CV731">
        <v>1</v>
      </c>
      <c r="CX731">
        <v>1.1574074074074075E-4</v>
      </c>
      <c r="CY731">
        <v>1.1574074074074075E-4</v>
      </c>
      <c r="CZ731">
        <v>0.22180555555555556</v>
      </c>
      <c r="DA731">
        <v>0.11694444444444445</v>
      </c>
      <c r="DB731">
        <v>179</v>
      </c>
      <c r="DC731">
        <v>253</v>
      </c>
      <c r="DD731">
        <v>33</v>
      </c>
      <c r="DE731" t="s">
        <v>766</v>
      </c>
      <c r="DF731">
        <v>18731</v>
      </c>
      <c r="DG731">
        <v>0.18440000000000001</v>
      </c>
      <c r="DO731">
        <v>64</v>
      </c>
    </row>
    <row r="732" spans="93:120" x14ac:dyDescent="0.25">
      <c r="CO732" t="s">
        <v>636</v>
      </c>
      <c r="CP732" t="s">
        <v>3</v>
      </c>
      <c r="CQ732" t="s">
        <v>32</v>
      </c>
      <c r="CR732">
        <v>46163</v>
      </c>
      <c r="CS732">
        <v>1</v>
      </c>
      <c r="CT732">
        <v>1</v>
      </c>
      <c r="CV732">
        <v>1</v>
      </c>
      <c r="CX732">
        <v>8.1018518518518516E-5</v>
      </c>
      <c r="CY732">
        <v>8.1018518518518516E-5</v>
      </c>
      <c r="CZ732">
        <v>0.17495370370370369</v>
      </c>
      <c r="DA732">
        <v>0.17354166666666668</v>
      </c>
      <c r="DB732">
        <v>108</v>
      </c>
      <c r="DC732">
        <v>228</v>
      </c>
      <c r="DD732">
        <v>29</v>
      </c>
      <c r="DE732" t="s">
        <v>902</v>
      </c>
      <c r="DF732">
        <v>40308</v>
      </c>
      <c r="DG732">
        <v>0.26850000000000002</v>
      </c>
      <c r="DO732">
        <v>64</v>
      </c>
    </row>
    <row r="733" spans="93:120" x14ac:dyDescent="0.25">
      <c r="CO733" t="s">
        <v>636</v>
      </c>
      <c r="CP733" t="s">
        <v>3</v>
      </c>
      <c r="CQ733" t="s">
        <v>68</v>
      </c>
      <c r="CR733">
        <v>46148</v>
      </c>
      <c r="CS733">
        <v>1</v>
      </c>
      <c r="CT733">
        <v>1</v>
      </c>
      <c r="CU733">
        <v>1</v>
      </c>
      <c r="CX733">
        <v>7.8344907407407405E-2</v>
      </c>
      <c r="CY733">
        <v>7.8344907407407405E-2</v>
      </c>
      <c r="CZ733">
        <v>0.17548611111111112</v>
      </c>
      <c r="DA733">
        <v>8.4849537037037043E-2</v>
      </c>
      <c r="DB733">
        <v>72</v>
      </c>
      <c r="DC733">
        <v>173</v>
      </c>
      <c r="DD733">
        <v>20</v>
      </c>
      <c r="DE733">
        <v>1.95</v>
      </c>
      <c r="DF733">
        <v>25271</v>
      </c>
      <c r="DG733">
        <v>0.27779999999999999</v>
      </c>
      <c r="DH733">
        <v>2</v>
      </c>
      <c r="DI733">
        <v>0.1</v>
      </c>
      <c r="DJ733">
        <v>2173</v>
      </c>
      <c r="DK733">
        <v>1087</v>
      </c>
      <c r="DL733">
        <v>2000</v>
      </c>
      <c r="DM733">
        <v>0.9204</v>
      </c>
      <c r="DN733">
        <v>0.2</v>
      </c>
      <c r="DO733">
        <v>64</v>
      </c>
      <c r="DP733">
        <v>2000</v>
      </c>
    </row>
    <row r="734" spans="93:120" x14ac:dyDescent="0.25">
      <c r="CO734" t="s">
        <v>636</v>
      </c>
      <c r="CP734" t="s">
        <v>2</v>
      </c>
      <c r="CQ734" t="s">
        <v>22</v>
      </c>
      <c r="CR734">
        <v>46168</v>
      </c>
      <c r="CS734">
        <v>1</v>
      </c>
      <c r="CT734">
        <v>1</v>
      </c>
      <c r="CU734">
        <v>1</v>
      </c>
      <c r="CX734">
        <v>1.4537037037037038E-2</v>
      </c>
      <c r="CY734">
        <v>1.4537037037037038E-2</v>
      </c>
      <c r="CZ734">
        <v>0.18104166666666666</v>
      </c>
      <c r="DA734">
        <v>0.13469907407407408</v>
      </c>
      <c r="DB734">
        <v>68</v>
      </c>
      <c r="DC734">
        <v>119</v>
      </c>
      <c r="DD734">
        <v>17</v>
      </c>
      <c r="DE734" t="s">
        <v>670</v>
      </c>
      <c r="DF734">
        <v>24986</v>
      </c>
      <c r="DG734">
        <v>0.25</v>
      </c>
      <c r="DO734">
        <v>62</v>
      </c>
    </row>
    <row r="735" spans="93:120" x14ac:dyDescent="0.25">
      <c r="CO735" t="s">
        <v>636</v>
      </c>
      <c r="CP735" t="s">
        <v>2</v>
      </c>
      <c r="CQ735" t="s">
        <v>24</v>
      </c>
      <c r="CR735">
        <v>46146</v>
      </c>
      <c r="CS735">
        <v>1</v>
      </c>
      <c r="CT735">
        <v>1</v>
      </c>
      <c r="CU735">
        <v>1</v>
      </c>
      <c r="CX735">
        <v>2.3391203703703702E-2</v>
      </c>
      <c r="CY735">
        <v>2.3391203703703702E-2</v>
      </c>
      <c r="CZ735">
        <v>0.22081018518518519</v>
      </c>
      <c r="DA735">
        <v>0.10729166666666666</v>
      </c>
      <c r="DB735">
        <v>69</v>
      </c>
      <c r="DC735">
        <v>116</v>
      </c>
      <c r="DD735">
        <v>29</v>
      </c>
      <c r="DE735" t="s">
        <v>866</v>
      </c>
      <c r="DF735">
        <v>22613</v>
      </c>
      <c r="DG735">
        <v>0.42030000000000001</v>
      </c>
      <c r="DH735">
        <v>11</v>
      </c>
      <c r="DI735">
        <v>0.37930000000000003</v>
      </c>
      <c r="DJ735">
        <v>6532</v>
      </c>
      <c r="DK735">
        <v>594</v>
      </c>
      <c r="DL735">
        <v>1991</v>
      </c>
      <c r="DM735">
        <v>0.30480000000000002</v>
      </c>
      <c r="DO735">
        <v>62</v>
      </c>
      <c r="DP735">
        <v>398</v>
      </c>
    </row>
    <row r="736" spans="93:120" x14ac:dyDescent="0.25">
      <c r="CO736" t="s">
        <v>636</v>
      </c>
      <c r="CP736" t="s">
        <v>2</v>
      </c>
      <c r="CQ736" t="s">
        <v>13</v>
      </c>
      <c r="CR736">
        <v>46168</v>
      </c>
      <c r="CS736">
        <v>1</v>
      </c>
      <c r="CT736">
        <v>1</v>
      </c>
      <c r="CU736">
        <v>1</v>
      </c>
      <c r="CX736">
        <v>1.480324074074074E-2</v>
      </c>
      <c r="CY736">
        <v>1.480324074074074E-2</v>
      </c>
      <c r="CZ736">
        <v>0.18518518518518517</v>
      </c>
      <c r="DA736">
        <v>0.1233449074074074</v>
      </c>
      <c r="DB736">
        <v>80</v>
      </c>
      <c r="DC736">
        <v>155</v>
      </c>
      <c r="DD736">
        <v>15</v>
      </c>
      <c r="DE736" t="s">
        <v>742</v>
      </c>
      <c r="DF736">
        <v>30619</v>
      </c>
      <c r="DG736">
        <v>0.1875</v>
      </c>
      <c r="DO736">
        <v>62</v>
      </c>
    </row>
    <row r="737" spans="93:120" x14ac:dyDescent="0.25">
      <c r="CO737" t="s">
        <v>636</v>
      </c>
      <c r="CP737" t="s">
        <v>2</v>
      </c>
      <c r="CQ737" t="s">
        <v>42</v>
      </c>
      <c r="CR737">
        <v>46153</v>
      </c>
      <c r="CS737">
        <v>1</v>
      </c>
      <c r="CT737">
        <v>1</v>
      </c>
      <c r="CU737">
        <v>1</v>
      </c>
      <c r="CX737">
        <v>9.3865740740740732E-3</v>
      </c>
      <c r="CY737">
        <v>9.3865740740740732E-3</v>
      </c>
      <c r="CZ737">
        <v>0.21659722222222222</v>
      </c>
      <c r="DA737">
        <v>9.9328703703703697E-2</v>
      </c>
      <c r="DB737">
        <v>96</v>
      </c>
      <c r="DC737">
        <v>139</v>
      </c>
      <c r="DD737">
        <v>17</v>
      </c>
      <c r="DE737" t="s">
        <v>728</v>
      </c>
      <c r="DF737">
        <v>22793</v>
      </c>
      <c r="DG737">
        <v>0.17710000000000001</v>
      </c>
      <c r="DO737">
        <v>62</v>
      </c>
    </row>
    <row r="738" spans="93:120" x14ac:dyDescent="0.25">
      <c r="CO738" t="s">
        <v>636</v>
      </c>
      <c r="CP738" t="s">
        <v>2</v>
      </c>
      <c r="CQ738" t="s">
        <v>42</v>
      </c>
      <c r="CR738">
        <v>46168</v>
      </c>
      <c r="CS738">
        <v>1</v>
      </c>
      <c r="CT738">
        <v>1</v>
      </c>
      <c r="CX738">
        <v>4.0972222222222226E-3</v>
      </c>
      <c r="CY738">
        <v>4.0972222222222226E-3</v>
      </c>
      <c r="CZ738">
        <v>0.19002314814814814</v>
      </c>
      <c r="DA738">
        <v>0.13956018518518518</v>
      </c>
      <c r="DB738">
        <v>61</v>
      </c>
      <c r="DC738">
        <v>101</v>
      </c>
      <c r="DD738">
        <v>14</v>
      </c>
      <c r="DE738" t="s">
        <v>745</v>
      </c>
      <c r="DF738">
        <v>38926</v>
      </c>
      <c r="DG738">
        <v>0.22950000000000001</v>
      </c>
      <c r="DO738">
        <v>62</v>
      </c>
    </row>
    <row r="739" spans="93:120" x14ac:dyDescent="0.25">
      <c r="CO739" t="s">
        <v>636</v>
      </c>
      <c r="CP739" t="s">
        <v>2</v>
      </c>
      <c r="CQ739" t="s">
        <v>37</v>
      </c>
      <c r="CR739">
        <v>46150</v>
      </c>
      <c r="CS739">
        <v>1</v>
      </c>
      <c r="CT739">
        <v>1</v>
      </c>
      <c r="CU739">
        <v>1</v>
      </c>
      <c r="CX739">
        <v>8.564814814814815E-3</v>
      </c>
      <c r="CY739">
        <v>8.564814814814815E-3</v>
      </c>
      <c r="CZ739">
        <v>9.6157407407407414E-2</v>
      </c>
      <c r="DA739">
        <v>4.6307870370370367E-2</v>
      </c>
      <c r="DB739">
        <v>10</v>
      </c>
      <c r="DC739">
        <v>23</v>
      </c>
      <c r="DD739">
        <v>3</v>
      </c>
      <c r="DE739" t="s">
        <v>674</v>
      </c>
      <c r="DF739">
        <v>39311</v>
      </c>
      <c r="DG739">
        <v>0.3</v>
      </c>
      <c r="DO739">
        <v>62</v>
      </c>
    </row>
    <row r="740" spans="93:120" x14ac:dyDescent="0.25">
      <c r="CO740" t="s">
        <v>636</v>
      </c>
      <c r="CP740" t="s">
        <v>2</v>
      </c>
      <c r="CQ740" t="s">
        <v>37</v>
      </c>
      <c r="CR740">
        <v>46153</v>
      </c>
      <c r="CS740">
        <v>1</v>
      </c>
      <c r="CT740">
        <v>1</v>
      </c>
      <c r="CU740">
        <v>1</v>
      </c>
      <c r="CX740">
        <v>5.1307870370370372E-2</v>
      </c>
      <c r="CY740">
        <v>5.1307870370370372E-2</v>
      </c>
      <c r="CZ740">
        <v>0.14851851851851852</v>
      </c>
      <c r="DA740">
        <v>0.12428240740740741</v>
      </c>
      <c r="DB740">
        <v>40</v>
      </c>
      <c r="DC740">
        <v>55</v>
      </c>
      <c r="DD740">
        <v>7</v>
      </c>
      <c r="DE740" t="s">
        <v>850</v>
      </c>
      <c r="DF740">
        <v>45081</v>
      </c>
      <c r="DG740">
        <v>0.17499999999999999</v>
      </c>
      <c r="DO740">
        <v>62</v>
      </c>
    </row>
    <row r="741" spans="93:120" x14ac:dyDescent="0.25">
      <c r="CO741" t="s">
        <v>636</v>
      </c>
      <c r="CP741" t="s">
        <v>2</v>
      </c>
      <c r="CQ741" t="s">
        <v>31</v>
      </c>
      <c r="CR741">
        <v>46150</v>
      </c>
      <c r="CS741">
        <v>1</v>
      </c>
      <c r="CT741">
        <v>1</v>
      </c>
      <c r="CU741">
        <v>1</v>
      </c>
      <c r="CX741">
        <v>8.8078703703703704E-3</v>
      </c>
      <c r="CY741">
        <v>8.8078703703703704E-3</v>
      </c>
      <c r="CZ741">
        <v>0.22203703703703703</v>
      </c>
      <c r="DA741">
        <v>6.3807870370370376E-2</v>
      </c>
      <c r="DB741">
        <v>43</v>
      </c>
      <c r="DC741">
        <v>108</v>
      </c>
      <c r="DD741">
        <v>10</v>
      </c>
      <c r="DE741">
        <v>1.2</v>
      </c>
      <c r="DF741">
        <v>39564</v>
      </c>
      <c r="DG741">
        <v>0.2326</v>
      </c>
      <c r="DO741">
        <v>62</v>
      </c>
    </row>
    <row r="742" spans="93:120" x14ac:dyDescent="0.25">
      <c r="CO742" t="s">
        <v>636</v>
      </c>
      <c r="CP742" t="s">
        <v>2</v>
      </c>
      <c r="CQ742" t="s">
        <v>31</v>
      </c>
      <c r="CR742">
        <v>46168</v>
      </c>
      <c r="CS742">
        <v>1</v>
      </c>
      <c r="CT742">
        <v>1</v>
      </c>
      <c r="CU742">
        <v>1</v>
      </c>
      <c r="CX742">
        <v>5.7638888888888887E-3</v>
      </c>
      <c r="CY742">
        <v>5.7638888888888887E-3</v>
      </c>
      <c r="CZ742">
        <v>0.18050925925925926</v>
      </c>
      <c r="DA742">
        <v>0.13503472222222221</v>
      </c>
      <c r="DB742">
        <v>68</v>
      </c>
      <c r="DC742">
        <v>137</v>
      </c>
      <c r="DD742">
        <v>12</v>
      </c>
      <c r="DE742" t="s">
        <v>674</v>
      </c>
      <c r="DF742">
        <v>32075</v>
      </c>
      <c r="DG742">
        <v>0.17649999999999999</v>
      </c>
      <c r="DO742">
        <v>62</v>
      </c>
    </row>
    <row r="743" spans="93:120" x14ac:dyDescent="0.25">
      <c r="CO743" t="s">
        <v>636</v>
      </c>
      <c r="CP743" t="s">
        <v>6</v>
      </c>
      <c r="CQ743" t="s">
        <v>19</v>
      </c>
      <c r="CR743">
        <v>46149</v>
      </c>
      <c r="CS743">
        <v>1</v>
      </c>
      <c r="CT743">
        <v>1</v>
      </c>
      <c r="CV743">
        <v>1</v>
      </c>
      <c r="CX743">
        <v>8.1018518518518516E-5</v>
      </c>
      <c r="CY743">
        <v>8.1018518518518516E-5</v>
      </c>
      <c r="CZ743">
        <v>0.26079861111111113</v>
      </c>
      <c r="DA743">
        <v>9.9259259259259255E-2</v>
      </c>
      <c r="DB743">
        <v>184</v>
      </c>
      <c r="DC743">
        <v>281</v>
      </c>
      <c r="DD743">
        <v>21</v>
      </c>
      <c r="DE743" t="s">
        <v>679</v>
      </c>
      <c r="DF743">
        <v>35936</v>
      </c>
      <c r="DG743">
        <v>0.11409999999999999</v>
      </c>
      <c r="DH743">
        <v>1</v>
      </c>
      <c r="DI743">
        <v>4.7600000000000003E-2</v>
      </c>
      <c r="DJ743">
        <v>700</v>
      </c>
      <c r="DK743">
        <v>700</v>
      </c>
      <c r="DL743">
        <v>700</v>
      </c>
      <c r="DM743">
        <v>1</v>
      </c>
      <c r="DN743">
        <v>0.15190000000000001</v>
      </c>
      <c r="DO743">
        <v>62</v>
      </c>
      <c r="DP743">
        <v>700</v>
      </c>
    </row>
    <row r="744" spans="93:120" x14ac:dyDescent="0.25">
      <c r="CO744" t="s">
        <v>636</v>
      </c>
      <c r="CP744" t="s">
        <v>6</v>
      </c>
      <c r="CQ744" t="s">
        <v>105</v>
      </c>
      <c r="CR744">
        <v>46162</v>
      </c>
      <c r="CS744">
        <v>1</v>
      </c>
      <c r="CT744">
        <v>1</v>
      </c>
      <c r="CU744">
        <v>1</v>
      </c>
      <c r="CX744">
        <v>5.9618055555555556E-2</v>
      </c>
      <c r="CY744">
        <v>5.9618055555555556E-2</v>
      </c>
      <c r="CZ744">
        <v>0.1650925925925926</v>
      </c>
      <c r="DA744">
        <v>0.13092592592592592</v>
      </c>
      <c r="DB744">
        <v>78</v>
      </c>
      <c r="DC744">
        <v>175</v>
      </c>
      <c r="DD744">
        <v>14</v>
      </c>
      <c r="DE744" t="s">
        <v>796</v>
      </c>
      <c r="DF744">
        <v>59602</v>
      </c>
      <c r="DG744">
        <v>0.17949999999999999</v>
      </c>
      <c r="DH744">
        <v>1</v>
      </c>
      <c r="DI744">
        <v>7.1400000000000005E-2</v>
      </c>
      <c r="DJ744">
        <v>1500</v>
      </c>
      <c r="DK744">
        <v>1500</v>
      </c>
      <c r="DL744">
        <v>100</v>
      </c>
      <c r="DM744">
        <v>6.6699999999999995E-2</v>
      </c>
      <c r="DO744">
        <v>62</v>
      </c>
      <c r="DP744">
        <v>100</v>
      </c>
    </row>
    <row r="745" spans="93:120" x14ac:dyDescent="0.25">
      <c r="CO745" t="s">
        <v>636</v>
      </c>
      <c r="CP745" t="s">
        <v>6</v>
      </c>
      <c r="CQ745" t="s">
        <v>76</v>
      </c>
      <c r="CR745">
        <v>46146</v>
      </c>
      <c r="CS745">
        <v>1</v>
      </c>
      <c r="CT745">
        <v>1</v>
      </c>
      <c r="CU745">
        <v>1</v>
      </c>
      <c r="CX745">
        <v>1.7187500000000001E-2</v>
      </c>
      <c r="CY745">
        <v>1.7187500000000001E-2</v>
      </c>
      <c r="CZ745">
        <v>0.24791666666666667</v>
      </c>
      <c r="DA745">
        <v>5.6759259259259259E-2</v>
      </c>
      <c r="DB745">
        <v>104</v>
      </c>
      <c r="DC745">
        <v>141</v>
      </c>
      <c r="DD745">
        <v>32</v>
      </c>
      <c r="DE745">
        <v>1.6875</v>
      </c>
      <c r="DF745">
        <v>15544</v>
      </c>
      <c r="DG745">
        <v>0.30769999999999997</v>
      </c>
      <c r="DH745">
        <v>6</v>
      </c>
      <c r="DI745">
        <v>0.1875</v>
      </c>
      <c r="DJ745">
        <v>9234</v>
      </c>
      <c r="DK745">
        <v>1539</v>
      </c>
      <c r="DL745">
        <v>8684</v>
      </c>
      <c r="DM745">
        <v>0.94040000000000001</v>
      </c>
      <c r="DN745">
        <v>0.99990000000000001</v>
      </c>
      <c r="DO745">
        <v>62</v>
      </c>
      <c r="DP745">
        <v>1737</v>
      </c>
    </row>
    <row r="746" spans="93:120" x14ac:dyDescent="0.25">
      <c r="CO746" t="s">
        <v>636</v>
      </c>
      <c r="CP746" t="s">
        <v>604</v>
      </c>
      <c r="CQ746" t="s">
        <v>109</v>
      </c>
      <c r="CR746">
        <v>46147</v>
      </c>
      <c r="CS746">
        <v>1</v>
      </c>
      <c r="CT746">
        <v>1</v>
      </c>
      <c r="CU746">
        <v>1</v>
      </c>
      <c r="CX746">
        <v>1.1909722222222223E-2</v>
      </c>
      <c r="CY746">
        <v>1.1909722222222223E-2</v>
      </c>
      <c r="CZ746">
        <v>0.31381944444444443</v>
      </c>
      <c r="DA746">
        <v>0.10206018518518518</v>
      </c>
      <c r="DB746">
        <v>102</v>
      </c>
      <c r="DC746">
        <v>159</v>
      </c>
      <c r="DD746">
        <v>20</v>
      </c>
      <c r="DE746">
        <v>2.15</v>
      </c>
      <c r="DF746">
        <v>12472</v>
      </c>
      <c r="DG746">
        <v>0.1961</v>
      </c>
      <c r="DH746">
        <v>1</v>
      </c>
      <c r="DI746">
        <v>0.05</v>
      </c>
      <c r="DJ746">
        <v>500</v>
      </c>
      <c r="DK746">
        <v>500</v>
      </c>
      <c r="DO746">
        <v>62</v>
      </c>
    </row>
    <row r="747" spans="93:120" x14ac:dyDescent="0.25">
      <c r="CO747" t="s">
        <v>636</v>
      </c>
      <c r="CP747" t="s">
        <v>604</v>
      </c>
      <c r="CQ747" t="s">
        <v>55</v>
      </c>
      <c r="CR747">
        <v>46157</v>
      </c>
      <c r="CS747">
        <v>1</v>
      </c>
      <c r="CT747">
        <v>1</v>
      </c>
      <c r="CV747">
        <v>1</v>
      </c>
      <c r="CX747">
        <v>1.0416666666666667E-4</v>
      </c>
      <c r="CY747">
        <v>1.0416666666666667E-4</v>
      </c>
      <c r="CZ747">
        <v>0.25283564814814813</v>
      </c>
      <c r="DA747">
        <v>7.4965277777777783E-2</v>
      </c>
      <c r="DB747">
        <v>119</v>
      </c>
      <c r="DC747">
        <v>175</v>
      </c>
      <c r="DD747">
        <v>40</v>
      </c>
      <c r="DE747">
        <v>1.825</v>
      </c>
      <c r="DF747">
        <v>6768</v>
      </c>
      <c r="DG747">
        <v>0.33610000000000001</v>
      </c>
      <c r="DH747">
        <v>2</v>
      </c>
      <c r="DI747">
        <v>0.05</v>
      </c>
      <c r="DJ747">
        <v>280</v>
      </c>
      <c r="DK747">
        <v>140</v>
      </c>
      <c r="DO747">
        <v>62</v>
      </c>
    </row>
    <row r="748" spans="93:120" x14ac:dyDescent="0.25">
      <c r="CO748" t="s">
        <v>636</v>
      </c>
      <c r="CP748" t="s">
        <v>604</v>
      </c>
      <c r="CQ748" t="s">
        <v>566</v>
      </c>
      <c r="CR748">
        <v>46146</v>
      </c>
      <c r="CS748">
        <v>1</v>
      </c>
      <c r="CT748">
        <v>1</v>
      </c>
      <c r="CU748">
        <v>1</v>
      </c>
      <c r="CX748">
        <v>6.3425925925925924E-3</v>
      </c>
      <c r="CY748">
        <v>6.3425925925925924E-3</v>
      </c>
      <c r="CZ748">
        <v>0.21884259259259259</v>
      </c>
      <c r="DA748">
        <v>0.10328703703703704</v>
      </c>
      <c r="DB748">
        <v>128</v>
      </c>
      <c r="DC748">
        <v>210</v>
      </c>
      <c r="DD748">
        <v>49</v>
      </c>
      <c r="DE748" t="s">
        <v>903</v>
      </c>
      <c r="DF748">
        <v>7426</v>
      </c>
      <c r="DG748">
        <v>0.38279999999999997</v>
      </c>
      <c r="DH748">
        <v>1</v>
      </c>
      <c r="DI748">
        <v>2.0400000000000001E-2</v>
      </c>
      <c r="DJ748">
        <v>300</v>
      </c>
      <c r="DK748">
        <v>300</v>
      </c>
      <c r="DL748">
        <v>300</v>
      </c>
      <c r="DM748">
        <v>1</v>
      </c>
      <c r="DN748">
        <v>0.23899999999999999</v>
      </c>
      <c r="DO748">
        <v>62</v>
      </c>
      <c r="DP748">
        <v>300</v>
      </c>
    </row>
    <row r="749" spans="93:120" x14ac:dyDescent="0.25">
      <c r="CO749" t="s">
        <v>636</v>
      </c>
      <c r="CP749" t="s">
        <v>3</v>
      </c>
      <c r="CQ749" t="s">
        <v>493</v>
      </c>
      <c r="CR749">
        <v>46162</v>
      </c>
      <c r="CS749">
        <v>1</v>
      </c>
      <c r="CT749">
        <v>1</v>
      </c>
      <c r="CV749">
        <v>1</v>
      </c>
      <c r="CX749">
        <v>2.3148148148148147E-5</v>
      </c>
      <c r="CY749">
        <v>2.3148148148148147E-5</v>
      </c>
      <c r="CZ749">
        <v>0.25474537037037037</v>
      </c>
      <c r="DA749">
        <v>0.12734953703703702</v>
      </c>
      <c r="DB749">
        <v>155</v>
      </c>
      <c r="DC749">
        <v>264</v>
      </c>
      <c r="DD749">
        <v>31</v>
      </c>
      <c r="DE749" t="s">
        <v>904</v>
      </c>
      <c r="DF749">
        <v>29274</v>
      </c>
      <c r="DG749">
        <v>0.2</v>
      </c>
      <c r="DH749">
        <v>2</v>
      </c>
      <c r="DI749">
        <v>6.4500000000000002E-2</v>
      </c>
      <c r="DJ749">
        <v>950</v>
      </c>
      <c r="DK749">
        <v>475</v>
      </c>
      <c r="DL749">
        <v>500</v>
      </c>
      <c r="DM749">
        <v>0.52629999999999999</v>
      </c>
      <c r="DN749">
        <v>0.21729999999999999</v>
      </c>
      <c r="DO749">
        <v>62</v>
      </c>
      <c r="DP749">
        <v>500</v>
      </c>
    </row>
    <row r="750" spans="93:120" x14ac:dyDescent="0.25">
      <c r="CO750" t="s">
        <v>636</v>
      </c>
      <c r="CP750" t="s">
        <v>3</v>
      </c>
      <c r="CQ750" t="s">
        <v>564</v>
      </c>
      <c r="CR750">
        <v>46153</v>
      </c>
      <c r="CS750">
        <v>1</v>
      </c>
      <c r="CT750">
        <v>1</v>
      </c>
      <c r="CV750">
        <v>1</v>
      </c>
      <c r="CX750">
        <v>0</v>
      </c>
      <c r="CY750">
        <v>0</v>
      </c>
      <c r="CZ750">
        <v>0.21672453703703703</v>
      </c>
      <c r="DA750">
        <v>0.12466435185185185</v>
      </c>
      <c r="DB750">
        <v>86</v>
      </c>
      <c r="DC750">
        <v>189</v>
      </c>
      <c r="DD750">
        <v>16</v>
      </c>
      <c r="DE750">
        <v>1.625</v>
      </c>
      <c r="DF750">
        <v>35523</v>
      </c>
      <c r="DG750">
        <v>0.186</v>
      </c>
      <c r="DH750">
        <v>1</v>
      </c>
      <c r="DI750">
        <v>6.25E-2</v>
      </c>
      <c r="DJ750">
        <v>250</v>
      </c>
      <c r="DK750">
        <v>250</v>
      </c>
      <c r="DO750">
        <v>62</v>
      </c>
    </row>
    <row r="751" spans="93:120" x14ac:dyDescent="0.25">
      <c r="CO751" t="s">
        <v>636</v>
      </c>
      <c r="CP751" t="s">
        <v>3</v>
      </c>
      <c r="CQ751" t="s">
        <v>79</v>
      </c>
      <c r="CR751">
        <v>46148</v>
      </c>
      <c r="CS751">
        <v>1</v>
      </c>
      <c r="CT751">
        <v>1</v>
      </c>
      <c r="CX751">
        <v>3.9583333333333337E-3</v>
      </c>
      <c r="CY751">
        <v>3.9583333333333337E-3</v>
      </c>
      <c r="CZ751">
        <v>0.20746527777777779</v>
      </c>
      <c r="DA751">
        <v>6.6354166666666672E-2</v>
      </c>
      <c r="DB751">
        <v>66</v>
      </c>
      <c r="DC751">
        <v>172</v>
      </c>
      <c r="DD751">
        <v>22</v>
      </c>
      <c r="DE751" t="s">
        <v>905</v>
      </c>
      <c r="DF751">
        <v>30125</v>
      </c>
      <c r="DG751">
        <v>0.33329999999999999</v>
      </c>
      <c r="DH751">
        <v>1</v>
      </c>
      <c r="DI751">
        <v>4.5499999999999999E-2</v>
      </c>
      <c r="DJ751">
        <v>1000</v>
      </c>
      <c r="DK751">
        <v>1000</v>
      </c>
      <c r="DL751">
        <v>1000</v>
      </c>
      <c r="DM751">
        <v>1</v>
      </c>
      <c r="DN751">
        <v>0.20930000000000001</v>
      </c>
      <c r="DO751">
        <v>62</v>
      </c>
      <c r="DP751">
        <v>1000</v>
      </c>
    </row>
    <row r="752" spans="93:120" x14ac:dyDescent="0.25">
      <c r="CO752" t="s">
        <v>636</v>
      </c>
      <c r="CP752" t="s">
        <v>2</v>
      </c>
      <c r="CQ752" t="s">
        <v>37</v>
      </c>
      <c r="CR752">
        <v>46146</v>
      </c>
      <c r="CS752">
        <v>1</v>
      </c>
      <c r="CT752">
        <v>1</v>
      </c>
      <c r="CV752">
        <v>1</v>
      </c>
      <c r="CX752">
        <v>0</v>
      </c>
      <c r="CY752">
        <v>0</v>
      </c>
      <c r="CZ752">
        <v>0.24458333333333335</v>
      </c>
      <c r="DA752">
        <v>9.0624999999999997E-2</v>
      </c>
      <c r="DB752">
        <v>73</v>
      </c>
      <c r="DC752">
        <v>97</v>
      </c>
      <c r="DD752">
        <v>8</v>
      </c>
      <c r="DE752">
        <v>1.375</v>
      </c>
      <c r="DF752">
        <v>28938</v>
      </c>
      <c r="DG752">
        <v>0.1096</v>
      </c>
      <c r="DH752">
        <v>2</v>
      </c>
      <c r="DI752">
        <v>0.25</v>
      </c>
      <c r="DJ752">
        <v>1050</v>
      </c>
      <c r="DK752">
        <v>525</v>
      </c>
      <c r="DL752">
        <v>330</v>
      </c>
      <c r="DM752">
        <v>0.31430000000000002</v>
      </c>
      <c r="DO752">
        <v>60</v>
      </c>
      <c r="DP752">
        <v>330</v>
      </c>
    </row>
    <row r="753" spans="93:120" x14ac:dyDescent="0.25">
      <c r="CO753" t="s">
        <v>636</v>
      </c>
      <c r="CP753" t="s">
        <v>2</v>
      </c>
      <c r="CQ753" t="s">
        <v>25</v>
      </c>
      <c r="CR753">
        <v>46149</v>
      </c>
      <c r="CS753">
        <v>1</v>
      </c>
      <c r="CT753">
        <v>1</v>
      </c>
      <c r="CU753">
        <v>1</v>
      </c>
      <c r="CX753">
        <v>1.3645833333333333E-2</v>
      </c>
      <c r="CY753">
        <v>1.3645833333333333E-2</v>
      </c>
      <c r="CZ753">
        <v>0.15537037037037038</v>
      </c>
      <c r="DA753">
        <v>0.12013888888888889</v>
      </c>
      <c r="DB753">
        <v>53</v>
      </c>
      <c r="DC753">
        <v>95</v>
      </c>
      <c r="DD753">
        <v>12</v>
      </c>
      <c r="DE753">
        <v>2</v>
      </c>
      <c r="DF753">
        <v>22041</v>
      </c>
      <c r="DG753">
        <v>0.22639999999999999</v>
      </c>
      <c r="DH753">
        <v>1</v>
      </c>
      <c r="DI753">
        <v>8.3299999999999999E-2</v>
      </c>
      <c r="DJ753">
        <v>3845</v>
      </c>
      <c r="DK753">
        <v>3845</v>
      </c>
      <c r="DL753">
        <v>500</v>
      </c>
      <c r="DM753">
        <v>0.13</v>
      </c>
      <c r="DN753">
        <v>2.35E-2</v>
      </c>
      <c r="DO753">
        <v>60</v>
      </c>
      <c r="DP753">
        <v>500</v>
      </c>
    </row>
    <row r="754" spans="93:120" x14ac:dyDescent="0.25">
      <c r="CO754" t="s">
        <v>636</v>
      </c>
      <c r="CP754" t="s">
        <v>6</v>
      </c>
      <c r="CQ754" t="s">
        <v>19</v>
      </c>
      <c r="CR754">
        <v>46146</v>
      </c>
      <c r="CS754">
        <v>1</v>
      </c>
      <c r="CT754">
        <v>1</v>
      </c>
      <c r="CU754">
        <v>1</v>
      </c>
      <c r="CX754">
        <v>1.1747685185185186E-2</v>
      </c>
      <c r="CY754">
        <v>1.1747685185185186E-2</v>
      </c>
      <c r="CZ754">
        <v>0.24475694444444446</v>
      </c>
      <c r="DA754">
        <v>7.4664351851851857E-2</v>
      </c>
      <c r="DB754">
        <v>114</v>
      </c>
      <c r="DC754">
        <v>155</v>
      </c>
      <c r="DD754">
        <v>35</v>
      </c>
      <c r="DE754" t="s">
        <v>906</v>
      </c>
      <c r="DF754">
        <v>23895</v>
      </c>
      <c r="DG754">
        <v>0.307</v>
      </c>
      <c r="DH754">
        <v>5</v>
      </c>
      <c r="DI754">
        <v>0.1429</v>
      </c>
      <c r="DJ754">
        <v>3385</v>
      </c>
      <c r="DK754">
        <v>677</v>
      </c>
      <c r="DL754">
        <v>3385</v>
      </c>
      <c r="DM754">
        <v>1</v>
      </c>
      <c r="DN754">
        <v>0.37880000000000003</v>
      </c>
      <c r="DO754">
        <v>60</v>
      </c>
      <c r="DP754">
        <v>677</v>
      </c>
    </row>
    <row r="755" spans="93:120" x14ac:dyDescent="0.25">
      <c r="CO755" t="s">
        <v>636</v>
      </c>
      <c r="CP755" t="s">
        <v>6</v>
      </c>
      <c r="CQ755" t="s">
        <v>19</v>
      </c>
      <c r="CR755">
        <v>46147</v>
      </c>
      <c r="CS755">
        <v>1</v>
      </c>
      <c r="CT755">
        <v>1</v>
      </c>
      <c r="CV755">
        <v>1</v>
      </c>
      <c r="CX755">
        <v>8.1018518518518516E-5</v>
      </c>
      <c r="CY755">
        <v>8.1018518518518516E-5</v>
      </c>
      <c r="CZ755">
        <v>0.31332175925925926</v>
      </c>
      <c r="DA755">
        <v>9.8738425925925924E-2</v>
      </c>
      <c r="DB755">
        <v>199</v>
      </c>
      <c r="DC755">
        <v>359</v>
      </c>
      <c r="DD755">
        <v>32</v>
      </c>
      <c r="DE755">
        <v>1.9375</v>
      </c>
      <c r="DF755">
        <v>23250</v>
      </c>
      <c r="DG755">
        <v>0.1608</v>
      </c>
      <c r="DO755">
        <v>60</v>
      </c>
    </row>
    <row r="756" spans="93:120" x14ac:dyDescent="0.25">
      <c r="CO756" t="s">
        <v>636</v>
      </c>
      <c r="CP756" t="s">
        <v>6</v>
      </c>
      <c r="CQ756" t="s">
        <v>76</v>
      </c>
      <c r="CR756">
        <v>46147</v>
      </c>
      <c r="CS756">
        <v>1</v>
      </c>
      <c r="CT756">
        <v>1</v>
      </c>
      <c r="CV756">
        <v>1</v>
      </c>
      <c r="CX756">
        <v>3.3101851851851851E-3</v>
      </c>
      <c r="CY756">
        <v>3.3101851851851851E-3</v>
      </c>
      <c r="CZ756">
        <v>0.29149305555555555</v>
      </c>
      <c r="DA756">
        <v>5.1053240740740739E-2</v>
      </c>
      <c r="DB756">
        <v>152</v>
      </c>
      <c r="DC756">
        <v>220</v>
      </c>
      <c r="DD756">
        <v>21</v>
      </c>
      <c r="DE756" t="s">
        <v>753</v>
      </c>
      <c r="DF756">
        <v>13878</v>
      </c>
      <c r="DG756">
        <v>0.13819999999999999</v>
      </c>
      <c r="DO756">
        <v>60</v>
      </c>
    </row>
    <row r="757" spans="93:120" x14ac:dyDescent="0.25">
      <c r="CO757" t="s">
        <v>636</v>
      </c>
      <c r="CP757" t="s">
        <v>7</v>
      </c>
      <c r="CQ757" t="s">
        <v>18</v>
      </c>
      <c r="CR757">
        <v>46146</v>
      </c>
      <c r="CS757">
        <v>1</v>
      </c>
      <c r="CT757">
        <v>1</v>
      </c>
      <c r="CU757">
        <v>1</v>
      </c>
      <c r="CX757">
        <v>2.7546296296296298E-2</v>
      </c>
      <c r="CY757">
        <v>2.7546296296296298E-2</v>
      </c>
      <c r="CZ757">
        <v>0.22372685185185184</v>
      </c>
      <c r="DA757">
        <v>9.0636574074074078E-2</v>
      </c>
      <c r="DB757">
        <v>96</v>
      </c>
      <c r="DC757">
        <v>127</v>
      </c>
      <c r="DD757">
        <v>25</v>
      </c>
      <c r="DE757">
        <v>1.36</v>
      </c>
      <c r="DF757">
        <v>30629</v>
      </c>
      <c r="DG757">
        <v>0.26040000000000002</v>
      </c>
      <c r="DH757">
        <v>5</v>
      </c>
      <c r="DI757">
        <v>0.2</v>
      </c>
      <c r="DJ757">
        <v>5230</v>
      </c>
      <c r="DK757">
        <v>1046</v>
      </c>
      <c r="DL757">
        <v>4630</v>
      </c>
      <c r="DM757">
        <v>0.88529999999999998</v>
      </c>
      <c r="DO757">
        <v>60</v>
      </c>
      <c r="DP757">
        <v>1158</v>
      </c>
    </row>
    <row r="758" spans="93:120" x14ac:dyDescent="0.25">
      <c r="CO758" t="s">
        <v>636</v>
      </c>
      <c r="CP758" t="s">
        <v>7</v>
      </c>
      <c r="CQ758" t="s">
        <v>18</v>
      </c>
      <c r="CR758">
        <v>46147</v>
      </c>
      <c r="CS758">
        <v>1</v>
      </c>
      <c r="CT758">
        <v>1</v>
      </c>
      <c r="CU758">
        <v>1</v>
      </c>
      <c r="CX758">
        <v>1.2372685185185184E-2</v>
      </c>
      <c r="CY758">
        <v>1.2372685185185184E-2</v>
      </c>
      <c r="CZ758">
        <v>0.28858796296296296</v>
      </c>
      <c r="DA758">
        <v>0.10756944444444444</v>
      </c>
      <c r="DB758">
        <v>132</v>
      </c>
      <c r="DC758">
        <v>260</v>
      </c>
      <c r="DD758">
        <v>16</v>
      </c>
      <c r="DE758">
        <v>1.5625</v>
      </c>
      <c r="DF758">
        <v>61886</v>
      </c>
      <c r="DG758">
        <v>0.1212</v>
      </c>
      <c r="DO758">
        <v>60</v>
      </c>
    </row>
    <row r="759" spans="93:120" x14ac:dyDescent="0.25">
      <c r="CO759" t="s">
        <v>636</v>
      </c>
      <c r="CP759" t="s">
        <v>7</v>
      </c>
      <c r="CQ759" t="s">
        <v>61</v>
      </c>
      <c r="CR759">
        <v>46146</v>
      </c>
      <c r="CS759">
        <v>1</v>
      </c>
      <c r="CT759">
        <v>1</v>
      </c>
      <c r="CV759">
        <v>1</v>
      </c>
      <c r="CX759">
        <v>1.273148148148148E-4</v>
      </c>
      <c r="CY759">
        <v>1.273148148148148E-4</v>
      </c>
      <c r="CZ759">
        <v>0.2272800925925926</v>
      </c>
      <c r="DA759">
        <v>0.10622685185185185</v>
      </c>
      <c r="DB759">
        <v>128</v>
      </c>
      <c r="DC759">
        <v>272</v>
      </c>
      <c r="DD759">
        <v>42</v>
      </c>
      <c r="DE759" t="s">
        <v>907</v>
      </c>
      <c r="DF759">
        <v>32809</v>
      </c>
      <c r="DG759">
        <v>0.3281</v>
      </c>
      <c r="DH759">
        <v>11</v>
      </c>
      <c r="DI759">
        <v>0.26190000000000002</v>
      </c>
      <c r="DJ759">
        <v>6024</v>
      </c>
      <c r="DK759">
        <v>548</v>
      </c>
      <c r="DL759">
        <v>5303</v>
      </c>
      <c r="DM759">
        <v>0.88029999999999997</v>
      </c>
      <c r="DO759">
        <v>60</v>
      </c>
      <c r="DP759">
        <v>530</v>
      </c>
    </row>
    <row r="760" spans="93:120" x14ac:dyDescent="0.25">
      <c r="CO760" t="s">
        <v>636</v>
      </c>
      <c r="CP760" t="s">
        <v>7</v>
      </c>
      <c r="CQ760" t="s">
        <v>72</v>
      </c>
      <c r="CR760">
        <v>46153</v>
      </c>
      <c r="CS760">
        <v>1</v>
      </c>
      <c r="CT760">
        <v>1</v>
      </c>
      <c r="CW760">
        <v>1</v>
      </c>
      <c r="CX760">
        <v>0</v>
      </c>
      <c r="CY760">
        <v>0</v>
      </c>
      <c r="CZ760">
        <v>0</v>
      </c>
      <c r="DA760">
        <v>0</v>
      </c>
      <c r="DO760">
        <v>60</v>
      </c>
    </row>
    <row r="761" spans="93:120" x14ac:dyDescent="0.25">
      <c r="CO761" t="s">
        <v>636</v>
      </c>
      <c r="CP761" t="s">
        <v>7</v>
      </c>
      <c r="CQ761" t="s">
        <v>12</v>
      </c>
      <c r="CR761">
        <v>46147</v>
      </c>
      <c r="CS761">
        <v>1</v>
      </c>
      <c r="CT761">
        <v>1</v>
      </c>
      <c r="CU761">
        <v>1</v>
      </c>
      <c r="CX761">
        <v>0.19119212962962964</v>
      </c>
      <c r="CY761">
        <v>0.19119212962962964</v>
      </c>
      <c r="CZ761">
        <v>0.1834375</v>
      </c>
      <c r="DA761">
        <v>6.5798611111111113E-2</v>
      </c>
      <c r="DB761">
        <v>88</v>
      </c>
      <c r="DC761">
        <v>223</v>
      </c>
      <c r="DD761">
        <v>21</v>
      </c>
      <c r="DE761" t="s">
        <v>788</v>
      </c>
      <c r="DF761">
        <v>53256</v>
      </c>
      <c r="DG761">
        <v>0.23860000000000001</v>
      </c>
      <c r="DO761">
        <v>60</v>
      </c>
    </row>
    <row r="762" spans="93:120" x14ac:dyDescent="0.25">
      <c r="CO762" t="s">
        <v>636</v>
      </c>
      <c r="CP762" t="s">
        <v>7</v>
      </c>
      <c r="CQ762" t="s">
        <v>26</v>
      </c>
      <c r="CR762">
        <v>46153</v>
      </c>
      <c r="CS762">
        <v>1</v>
      </c>
      <c r="CT762">
        <v>1</v>
      </c>
      <c r="CU762">
        <v>1</v>
      </c>
      <c r="CX762">
        <v>8.0787037037037043E-3</v>
      </c>
      <c r="CY762">
        <v>8.0787037037037043E-3</v>
      </c>
      <c r="CZ762">
        <v>0.2545486111111111</v>
      </c>
      <c r="DA762">
        <v>0.11241898148148148</v>
      </c>
      <c r="DB762">
        <v>147</v>
      </c>
      <c r="DC762">
        <v>280</v>
      </c>
      <c r="DD762">
        <v>26</v>
      </c>
      <c r="DE762" t="s">
        <v>879</v>
      </c>
      <c r="DF762">
        <v>32263</v>
      </c>
      <c r="DG762">
        <v>0.1769</v>
      </c>
      <c r="DO762">
        <v>60</v>
      </c>
    </row>
    <row r="763" spans="93:120" x14ac:dyDescent="0.25">
      <c r="CO763" t="s">
        <v>636</v>
      </c>
      <c r="CP763" t="s">
        <v>604</v>
      </c>
      <c r="CQ763" t="s">
        <v>495</v>
      </c>
      <c r="CR763">
        <v>46170</v>
      </c>
      <c r="CS763">
        <v>1</v>
      </c>
      <c r="CT763">
        <v>1</v>
      </c>
      <c r="CU763">
        <v>1</v>
      </c>
      <c r="CX763">
        <v>4.2476851851851851E-3</v>
      </c>
      <c r="CY763">
        <v>4.2476851851851851E-3</v>
      </c>
      <c r="CZ763">
        <v>0.18171296296296297</v>
      </c>
      <c r="DA763">
        <v>0.21299768518518519</v>
      </c>
      <c r="DB763">
        <v>101</v>
      </c>
      <c r="DC763">
        <v>242</v>
      </c>
      <c r="DD763">
        <v>18</v>
      </c>
      <c r="DE763" t="s">
        <v>674</v>
      </c>
      <c r="DF763">
        <v>28241</v>
      </c>
      <c r="DG763">
        <v>0.1782</v>
      </c>
      <c r="DH763">
        <v>1</v>
      </c>
      <c r="DI763">
        <v>5.5599999999999997E-2</v>
      </c>
      <c r="DJ763">
        <v>2000</v>
      </c>
      <c r="DK763">
        <v>2000</v>
      </c>
      <c r="DO763">
        <v>60</v>
      </c>
    </row>
    <row r="764" spans="93:120" x14ac:dyDescent="0.25">
      <c r="CO764" t="s">
        <v>636</v>
      </c>
      <c r="CP764" t="s">
        <v>604</v>
      </c>
      <c r="CQ764" t="s">
        <v>600</v>
      </c>
      <c r="CR764">
        <v>46147</v>
      </c>
      <c r="CS764">
        <v>1</v>
      </c>
      <c r="CT764">
        <v>1</v>
      </c>
      <c r="CV764">
        <v>1</v>
      </c>
      <c r="CX764">
        <v>7.6388888888888893E-4</v>
      </c>
      <c r="CY764">
        <v>7.6388888888888893E-4</v>
      </c>
      <c r="CZ764">
        <v>0.32662037037037039</v>
      </c>
      <c r="DA764">
        <v>9.5925925925925928E-2</v>
      </c>
      <c r="DB764">
        <v>153</v>
      </c>
      <c r="DC764">
        <v>271</v>
      </c>
      <c r="DD764">
        <v>50</v>
      </c>
      <c r="DE764">
        <v>2.3199999999999998</v>
      </c>
      <c r="DF764">
        <v>18441</v>
      </c>
      <c r="DG764">
        <v>0.32679999999999998</v>
      </c>
      <c r="DO764">
        <v>60</v>
      </c>
    </row>
    <row r="765" spans="93:120" x14ac:dyDescent="0.25">
      <c r="CO765" t="s">
        <v>636</v>
      </c>
      <c r="CP765" t="s">
        <v>604</v>
      </c>
      <c r="CQ765" t="s">
        <v>49</v>
      </c>
      <c r="CR765">
        <v>46156</v>
      </c>
      <c r="CS765">
        <v>1</v>
      </c>
      <c r="CT765">
        <v>1</v>
      </c>
      <c r="CU765">
        <v>1</v>
      </c>
      <c r="CX765">
        <v>5.185185185185185E-3</v>
      </c>
      <c r="CY765">
        <v>5.185185185185185E-3</v>
      </c>
      <c r="CZ765">
        <v>0.18747685185185184</v>
      </c>
      <c r="DA765">
        <v>9.9525462962962968E-2</v>
      </c>
      <c r="DB765">
        <v>80</v>
      </c>
      <c r="DC765">
        <v>112</v>
      </c>
      <c r="DD765">
        <v>9</v>
      </c>
      <c r="DE765" t="s">
        <v>690</v>
      </c>
      <c r="DF765">
        <v>19161</v>
      </c>
      <c r="DG765">
        <v>0.1125</v>
      </c>
      <c r="DO765">
        <v>60</v>
      </c>
    </row>
    <row r="766" spans="93:120" x14ac:dyDescent="0.25">
      <c r="CO766" t="s">
        <v>636</v>
      </c>
      <c r="CP766" t="s">
        <v>604</v>
      </c>
      <c r="CQ766" t="s">
        <v>599</v>
      </c>
      <c r="CR766">
        <v>46147</v>
      </c>
      <c r="CS766">
        <v>1</v>
      </c>
      <c r="CT766">
        <v>1</v>
      </c>
      <c r="CV766">
        <v>1</v>
      </c>
      <c r="CX766">
        <v>8.1018518518518516E-5</v>
      </c>
      <c r="CY766">
        <v>8.1018518518518516E-5</v>
      </c>
      <c r="CZ766">
        <v>0.31701388888888887</v>
      </c>
      <c r="DA766">
        <v>9.3645833333333331E-2</v>
      </c>
      <c r="DB766">
        <v>185</v>
      </c>
      <c r="DC766">
        <v>344</v>
      </c>
      <c r="DD766">
        <v>39</v>
      </c>
      <c r="DE766" t="s">
        <v>708</v>
      </c>
      <c r="DF766">
        <v>7064</v>
      </c>
      <c r="DG766">
        <v>0.21079999999999999</v>
      </c>
      <c r="DO766">
        <v>60</v>
      </c>
    </row>
    <row r="767" spans="93:120" x14ac:dyDescent="0.25">
      <c r="CO767" t="s">
        <v>636</v>
      </c>
      <c r="CP767" t="s">
        <v>604</v>
      </c>
      <c r="CQ767" t="s">
        <v>566</v>
      </c>
      <c r="CR767">
        <v>46156</v>
      </c>
      <c r="CS767">
        <v>1</v>
      </c>
      <c r="CT767">
        <v>1</v>
      </c>
      <c r="CU767">
        <v>1</v>
      </c>
      <c r="CX767">
        <v>9.5370370370370366E-3</v>
      </c>
      <c r="CY767">
        <v>9.5370370370370366E-3</v>
      </c>
      <c r="CZ767">
        <v>0.14483796296296297</v>
      </c>
      <c r="DA767">
        <v>0.17809027777777778</v>
      </c>
      <c r="DB767">
        <v>131</v>
      </c>
      <c r="DC767">
        <v>247</v>
      </c>
      <c r="DD767">
        <v>41</v>
      </c>
      <c r="DE767" t="s">
        <v>908</v>
      </c>
      <c r="DF767">
        <v>9703</v>
      </c>
      <c r="DG767">
        <v>0.313</v>
      </c>
      <c r="DO767">
        <v>60</v>
      </c>
    </row>
    <row r="768" spans="93:120" x14ac:dyDescent="0.25">
      <c r="CO768" t="s">
        <v>636</v>
      </c>
      <c r="CP768" t="s">
        <v>604</v>
      </c>
      <c r="CQ768" t="s">
        <v>566</v>
      </c>
      <c r="CR768">
        <v>46161</v>
      </c>
      <c r="CS768">
        <v>1</v>
      </c>
      <c r="CT768">
        <v>1</v>
      </c>
      <c r="CU768">
        <v>1</v>
      </c>
      <c r="CX768">
        <v>4.7222222222222223E-3</v>
      </c>
      <c r="CY768">
        <v>4.7222222222222223E-3</v>
      </c>
      <c r="CZ768">
        <v>0.18440972222222221</v>
      </c>
      <c r="DA768">
        <v>0.17598379629629629</v>
      </c>
      <c r="DB768">
        <v>165</v>
      </c>
      <c r="DC768">
        <v>267</v>
      </c>
      <c r="DD768">
        <v>44</v>
      </c>
      <c r="DE768" t="s">
        <v>909</v>
      </c>
      <c r="DF768">
        <v>14290</v>
      </c>
      <c r="DG768">
        <v>0.26669999999999999</v>
      </c>
      <c r="DO768">
        <v>60</v>
      </c>
    </row>
    <row r="769" spans="93:120" x14ac:dyDescent="0.25">
      <c r="CO769" t="s">
        <v>636</v>
      </c>
      <c r="CP769" t="s">
        <v>604</v>
      </c>
      <c r="CQ769" t="s">
        <v>48</v>
      </c>
      <c r="CR769">
        <v>46161</v>
      </c>
      <c r="CS769">
        <v>1</v>
      </c>
      <c r="CT769">
        <v>1</v>
      </c>
      <c r="CU769">
        <v>1</v>
      </c>
      <c r="CX769">
        <v>5.2314814814814811E-3</v>
      </c>
      <c r="CY769">
        <v>5.2314814814814811E-3</v>
      </c>
      <c r="CZ769">
        <v>0.22113425925925925</v>
      </c>
      <c r="DA769">
        <v>0.1315625</v>
      </c>
      <c r="DB769">
        <v>109</v>
      </c>
      <c r="DC769">
        <v>152</v>
      </c>
      <c r="DD769">
        <v>31</v>
      </c>
      <c r="DE769" t="s">
        <v>910</v>
      </c>
      <c r="DF769">
        <v>17433</v>
      </c>
      <c r="DG769">
        <v>0.28439999999999999</v>
      </c>
      <c r="DO769">
        <v>60</v>
      </c>
    </row>
    <row r="770" spans="93:120" x14ac:dyDescent="0.25">
      <c r="CO770" t="s">
        <v>636</v>
      </c>
      <c r="CP770" t="s">
        <v>604</v>
      </c>
      <c r="CQ770" t="s">
        <v>601</v>
      </c>
      <c r="CR770">
        <v>46157</v>
      </c>
      <c r="CS770">
        <v>1</v>
      </c>
      <c r="CT770">
        <v>1</v>
      </c>
      <c r="CU770">
        <v>1</v>
      </c>
      <c r="CX770">
        <v>2.2662037037037036E-2</v>
      </c>
      <c r="CY770">
        <v>2.2662037037037036E-2</v>
      </c>
      <c r="CZ770">
        <v>0.21144675925925926</v>
      </c>
      <c r="DA770">
        <v>8.2650462962962967E-2</v>
      </c>
      <c r="DB770">
        <v>172</v>
      </c>
      <c r="DC770">
        <v>254</v>
      </c>
      <c r="DD770">
        <v>69</v>
      </c>
      <c r="DE770" t="s">
        <v>911</v>
      </c>
      <c r="DF770">
        <v>7037</v>
      </c>
      <c r="DG770">
        <v>0.4012</v>
      </c>
      <c r="DH770">
        <v>3</v>
      </c>
      <c r="DI770">
        <v>4.3499999999999997E-2</v>
      </c>
      <c r="DJ770">
        <v>995</v>
      </c>
      <c r="DK770">
        <v>332</v>
      </c>
      <c r="DL770">
        <v>250</v>
      </c>
      <c r="DM770">
        <v>0.25130000000000002</v>
      </c>
      <c r="DN770">
        <v>5.6599999999999998E-2</v>
      </c>
      <c r="DO770">
        <v>60</v>
      </c>
      <c r="DP770">
        <v>250</v>
      </c>
    </row>
    <row r="771" spans="93:120" x14ac:dyDescent="0.25">
      <c r="CO771" t="s">
        <v>636</v>
      </c>
      <c r="CP771" t="s">
        <v>604</v>
      </c>
      <c r="CQ771" t="s">
        <v>601</v>
      </c>
      <c r="CR771">
        <v>46161</v>
      </c>
      <c r="CS771">
        <v>1</v>
      </c>
      <c r="CT771">
        <v>1</v>
      </c>
      <c r="CU771">
        <v>1</v>
      </c>
      <c r="CX771">
        <v>2.193287037037037E-2</v>
      </c>
      <c r="CY771">
        <v>2.193287037037037E-2</v>
      </c>
      <c r="CZ771">
        <v>0.19421296296296298</v>
      </c>
      <c r="DA771">
        <v>0.14884259259259258</v>
      </c>
      <c r="DB771">
        <v>158</v>
      </c>
      <c r="DC771">
        <v>189</v>
      </c>
      <c r="DD771">
        <v>49</v>
      </c>
      <c r="DE771" t="s">
        <v>912</v>
      </c>
      <c r="DF771">
        <v>11392</v>
      </c>
      <c r="DG771">
        <v>0.31009999999999999</v>
      </c>
      <c r="DO771">
        <v>60</v>
      </c>
    </row>
    <row r="772" spans="93:120" x14ac:dyDescent="0.25">
      <c r="CO772" t="s">
        <v>636</v>
      </c>
      <c r="CP772" t="s">
        <v>3</v>
      </c>
      <c r="CQ772" t="s">
        <v>85</v>
      </c>
      <c r="CR772">
        <v>46156</v>
      </c>
      <c r="CS772">
        <v>1</v>
      </c>
      <c r="CT772">
        <v>1</v>
      </c>
      <c r="CV772">
        <v>1</v>
      </c>
      <c r="CX772">
        <v>1.9675925925925926E-4</v>
      </c>
      <c r="CY772">
        <v>1.9675925925925926E-4</v>
      </c>
      <c r="CZ772">
        <v>0.16944444444444445</v>
      </c>
      <c r="DA772">
        <v>0.16064814814814815</v>
      </c>
      <c r="DB772">
        <v>95</v>
      </c>
      <c r="DC772">
        <v>204</v>
      </c>
      <c r="DD772">
        <v>36</v>
      </c>
      <c r="DE772" t="s">
        <v>794</v>
      </c>
      <c r="DF772">
        <v>42239</v>
      </c>
      <c r="DG772">
        <v>0.37890000000000001</v>
      </c>
      <c r="DO772">
        <v>60</v>
      </c>
    </row>
    <row r="773" spans="93:120" x14ac:dyDescent="0.25">
      <c r="CO773" t="s">
        <v>636</v>
      </c>
      <c r="CP773" t="s">
        <v>3</v>
      </c>
      <c r="CQ773" t="s">
        <v>85</v>
      </c>
      <c r="CR773">
        <v>46163</v>
      </c>
      <c r="CS773">
        <v>1</v>
      </c>
      <c r="CT773">
        <v>1</v>
      </c>
      <c r="CU773">
        <v>1</v>
      </c>
      <c r="CX773">
        <v>6.7025462962962967E-2</v>
      </c>
      <c r="CY773">
        <v>6.7025462962962967E-2</v>
      </c>
      <c r="CZ773">
        <v>0.16945601851851852</v>
      </c>
      <c r="DA773">
        <v>0.12100694444444444</v>
      </c>
      <c r="DB773">
        <v>66</v>
      </c>
      <c r="DC773">
        <v>156</v>
      </c>
      <c r="DD773">
        <v>26</v>
      </c>
      <c r="DE773" t="s">
        <v>711</v>
      </c>
      <c r="DF773">
        <v>33788</v>
      </c>
      <c r="DG773">
        <v>0.39389999999999997</v>
      </c>
      <c r="DO773">
        <v>60</v>
      </c>
    </row>
    <row r="774" spans="93:120" x14ac:dyDescent="0.25">
      <c r="CO774" t="s">
        <v>636</v>
      </c>
      <c r="CP774" t="s">
        <v>3</v>
      </c>
      <c r="CQ774" t="s">
        <v>174</v>
      </c>
      <c r="CR774">
        <v>46156</v>
      </c>
      <c r="CS774">
        <v>1</v>
      </c>
      <c r="CT774">
        <v>1</v>
      </c>
      <c r="CV774">
        <v>1</v>
      </c>
      <c r="CX774">
        <v>2.3148148148148147E-5</v>
      </c>
      <c r="CY774">
        <v>2.3148148148148147E-5</v>
      </c>
      <c r="CZ774">
        <v>0.10089120370370371</v>
      </c>
      <c r="DA774">
        <v>1.5949074074074074E-2</v>
      </c>
      <c r="DB774">
        <v>69</v>
      </c>
      <c r="DC774">
        <v>92</v>
      </c>
      <c r="DD774">
        <v>12</v>
      </c>
      <c r="DE774" t="s">
        <v>703</v>
      </c>
      <c r="DF774">
        <v>19490</v>
      </c>
      <c r="DG774">
        <v>0.1739</v>
      </c>
      <c r="DO774">
        <v>60</v>
      </c>
    </row>
    <row r="775" spans="93:120" x14ac:dyDescent="0.25">
      <c r="CO775" t="s">
        <v>636</v>
      </c>
      <c r="CP775" t="s">
        <v>3</v>
      </c>
      <c r="CQ775" t="s">
        <v>32</v>
      </c>
      <c r="CR775">
        <v>46156</v>
      </c>
      <c r="CS775">
        <v>1</v>
      </c>
      <c r="CT775">
        <v>1</v>
      </c>
      <c r="CV775">
        <v>1</v>
      </c>
      <c r="CX775">
        <v>1.7361111111111112E-4</v>
      </c>
      <c r="CY775">
        <v>1.7361111111111112E-4</v>
      </c>
      <c r="CZ775">
        <v>0.16305555555555556</v>
      </c>
      <c r="DA775">
        <v>0.15732638888888889</v>
      </c>
      <c r="DB775">
        <v>87</v>
      </c>
      <c r="DC775">
        <v>184</v>
      </c>
      <c r="DD775">
        <v>21</v>
      </c>
      <c r="DE775" t="s">
        <v>817</v>
      </c>
      <c r="DF775">
        <v>20207</v>
      </c>
      <c r="DG775">
        <v>0.2414</v>
      </c>
      <c r="DO775">
        <v>60</v>
      </c>
    </row>
    <row r="776" spans="93:120" x14ac:dyDescent="0.25">
      <c r="CO776" t="s">
        <v>636</v>
      </c>
      <c r="CP776" t="s">
        <v>3</v>
      </c>
      <c r="CQ776" t="s">
        <v>96</v>
      </c>
      <c r="CR776">
        <v>46162</v>
      </c>
      <c r="CS776">
        <v>1</v>
      </c>
      <c r="CT776">
        <v>1</v>
      </c>
      <c r="CV776">
        <v>1</v>
      </c>
      <c r="CX776">
        <v>0</v>
      </c>
      <c r="CY776">
        <v>0</v>
      </c>
      <c r="CZ776">
        <v>0.26501157407407405</v>
      </c>
      <c r="DA776">
        <v>0.13190972222222222</v>
      </c>
      <c r="DB776">
        <v>117</v>
      </c>
      <c r="DC776">
        <v>253</v>
      </c>
      <c r="DD776">
        <v>41</v>
      </c>
      <c r="DE776" t="s">
        <v>913</v>
      </c>
      <c r="DF776">
        <v>20961</v>
      </c>
      <c r="DG776">
        <v>0.35039999999999999</v>
      </c>
      <c r="DH776">
        <v>1</v>
      </c>
      <c r="DI776">
        <v>2.4400000000000002E-2</v>
      </c>
      <c r="DJ776">
        <v>500</v>
      </c>
      <c r="DK776">
        <v>500</v>
      </c>
      <c r="DL776">
        <v>500</v>
      </c>
      <c r="DM776">
        <v>1</v>
      </c>
      <c r="DO776">
        <v>60</v>
      </c>
      <c r="DP776">
        <v>500</v>
      </c>
    </row>
    <row r="777" spans="93:120" x14ac:dyDescent="0.25">
      <c r="CO777" t="s">
        <v>636</v>
      </c>
      <c r="CP777" t="s">
        <v>3</v>
      </c>
      <c r="CQ777" t="s">
        <v>29</v>
      </c>
      <c r="CR777">
        <v>46160</v>
      </c>
      <c r="CS777">
        <v>1</v>
      </c>
      <c r="CT777">
        <v>1</v>
      </c>
      <c r="CU777">
        <v>1</v>
      </c>
      <c r="CX777">
        <v>2.2060185185185186E-2</v>
      </c>
      <c r="CY777">
        <v>2.2060185185185186E-2</v>
      </c>
      <c r="CZ777">
        <v>0.19107638888888889</v>
      </c>
      <c r="DA777">
        <v>0.12730324074074073</v>
      </c>
      <c r="DB777">
        <v>71</v>
      </c>
      <c r="DC777">
        <v>133</v>
      </c>
      <c r="DD777">
        <v>32</v>
      </c>
      <c r="DE777">
        <v>2</v>
      </c>
      <c r="DF777">
        <v>15908</v>
      </c>
      <c r="DG777">
        <v>0.45069999999999999</v>
      </c>
      <c r="DH777">
        <v>2</v>
      </c>
      <c r="DI777">
        <v>6.25E-2</v>
      </c>
      <c r="DJ777">
        <v>4700</v>
      </c>
      <c r="DK777">
        <v>2350</v>
      </c>
      <c r="DL777">
        <v>4700</v>
      </c>
      <c r="DM777">
        <v>1</v>
      </c>
      <c r="DN777">
        <v>0.10920000000000001</v>
      </c>
      <c r="DO777">
        <v>60</v>
      </c>
      <c r="DP777">
        <v>2350</v>
      </c>
    </row>
    <row r="778" spans="93:120" x14ac:dyDescent="0.25">
      <c r="CO778" t="s">
        <v>636</v>
      </c>
      <c r="CP778" t="s">
        <v>3</v>
      </c>
      <c r="CQ778" t="s">
        <v>79</v>
      </c>
      <c r="CR778">
        <v>46163</v>
      </c>
      <c r="CS778">
        <v>1</v>
      </c>
      <c r="CT778">
        <v>1</v>
      </c>
      <c r="CX778">
        <v>3.7962962962962963E-3</v>
      </c>
      <c r="CY778">
        <v>3.7962962962962963E-3</v>
      </c>
      <c r="CZ778">
        <v>0.18319444444444444</v>
      </c>
      <c r="DA778">
        <v>0.16060185185185186</v>
      </c>
      <c r="DB778">
        <v>54</v>
      </c>
      <c r="DC778">
        <v>114</v>
      </c>
      <c r="DD778">
        <v>18</v>
      </c>
      <c r="DE778" t="s">
        <v>715</v>
      </c>
      <c r="DF778">
        <v>33791</v>
      </c>
      <c r="DG778">
        <v>0.33329999999999999</v>
      </c>
      <c r="DO778">
        <v>60</v>
      </c>
    </row>
    <row r="779" spans="93:120" x14ac:dyDescent="0.25">
      <c r="CO779" t="s">
        <v>636</v>
      </c>
      <c r="CP779" t="s">
        <v>2</v>
      </c>
      <c r="CQ779" t="s">
        <v>24</v>
      </c>
      <c r="CR779">
        <v>46169</v>
      </c>
      <c r="CS779">
        <v>1</v>
      </c>
      <c r="CT779">
        <v>1</v>
      </c>
      <c r="CU779">
        <v>1</v>
      </c>
      <c r="CX779">
        <v>9.525462962962963E-3</v>
      </c>
      <c r="CY779">
        <v>9.525462962962963E-3</v>
      </c>
      <c r="CZ779">
        <v>0.19930555555555557</v>
      </c>
      <c r="DA779">
        <v>0.14133101851851851</v>
      </c>
      <c r="DB779">
        <v>43</v>
      </c>
      <c r="DC779">
        <v>93</v>
      </c>
      <c r="DD779">
        <v>24</v>
      </c>
      <c r="DE779" t="s">
        <v>736</v>
      </c>
      <c r="DF779">
        <v>41558</v>
      </c>
      <c r="DG779">
        <v>0.55810000000000004</v>
      </c>
      <c r="DH779">
        <v>1</v>
      </c>
      <c r="DI779">
        <v>4.1700000000000001E-2</v>
      </c>
      <c r="DJ779">
        <v>360</v>
      </c>
      <c r="DK779">
        <v>360</v>
      </c>
      <c r="DO779">
        <v>58</v>
      </c>
    </row>
    <row r="780" spans="93:120" x14ac:dyDescent="0.25">
      <c r="CO780" t="s">
        <v>636</v>
      </c>
      <c r="CP780" t="s">
        <v>2</v>
      </c>
      <c r="CQ780" t="s">
        <v>13</v>
      </c>
      <c r="CR780">
        <v>46149</v>
      </c>
      <c r="CS780">
        <v>1</v>
      </c>
      <c r="CT780">
        <v>1</v>
      </c>
      <c r="CU780">
        <v>1</v>
      </c>
      <c r="CX780">
        <v>2.4120370370370372E-2</v>
      </c>
      <c r="CY780">
        <v>2.4120370370370372E-2</v>
      </c>
      <c r="CZ780">
        <v>0.1865162037037037</v>
      </c>
      <c r="DA780">
        <v>8.7187500000000001E-2</v>
      </c>
      <c r="DB780">
        <v>61</v>
      </c>
      <c r="DC780">
        <v>134</v>
      </c>
      <c r="DD780">
        <v>13</v>
      </c>
      <c r="DE780" t="s">
        <v>704</v>
      </c>
      <c r="DF780">
        <v>18003</v>
      </c>
      <c r="DG780">
        <v>0.21310000000000001</v>
      </c>
      <c r="DH780">
        <v>1</v>
      </c>
      <c r="DI780">
        <v>7.6899999999999996E-2</v>
      </c>
      <c r="DJ780">
        <v>1500</v>
      </c>
      <c r="DK780">
        <v>1500</v>
      </c>
      <c r="DO780">
        <v>58</v>
      </c>
    </row>
    <row r="781" spans="93:120" x14ac:dyDescent="0.25">
      <c r="CO781" t="s">
        <v>636</v>
      </c>
      <c r="CP781" t="s">
        <v>2</v>
      </c>
      <c r="CQ781" t="s">
        <v>42</v>
      </c>
      <c r="CR781">
        <v>46147</v>
      </c>
      <c r="CS781">
        <v>1</v>
      </c>
      <c r="CT781">
        <v>1</v>
      </c>
      <c r="CU781">
        <v>1</v>
      </c>
      <c r="CX781">
        <v>1.1539351851851851E-2</v>
      </c>
      <c r="CY781">
        <v>1.1539351851851851E-2</v>
      </c>
      <c r="CZ781">
        <v>0.27336805555555554</v>
      </c>
      <c r="DA781">
        <v>0.12136574074074075</v>
      </c>
      <c r="DB781">
        <v>92</v>
      </c>
      <c r="DC781">
        <v>168</v>
      </c>
      <c r="DD781">
        <v>25</v>
      </c>
      <c r="DE781">
        <v>2.4</v>
      </c>
      <c r="DF781">
        <v>19492</v>
      </c>
      <c r="DG781">
        <v>0.2717</v>
      </c>
      <c r="DH781">
        <v>1</v>
      </c>
      <c r="DI781">
        <v>0.04</v>
      </c>
      <c r="DJ781">
        <v>200</v>
      </c>
      <c r="DK781">
        <v>200</v>
      </c>
      <c r="DO781">
        <v>58</v>
      </c>
    </row>
    <row r="782" spans="93:120" x14ac:dyDescent="0.25">
      <c r="CO782" t="s">
        <v>636</v>
      </c>
      <c r="CP782" t="s">
        <v>2</v>
      </c>
      <c r="CQ782" t="s">
        <v>42</v>
      </c>
      <c r="CR782">
        <v>46161</v>
      </c>
      <c r="CS782">
        <v>1</v>
      </c>
      <c r="CT782">
        <v>1</v>
      </c>
      <c r="CU782">
        <v>1</v>
      </c>
      <c r="CX782">
        <v>2.6539351851851852E-2</v>
      </c>
      <c r="CY782">
        <v>2.6539351851851852E-2</v>
      </c>
      <c r="CZ782">
        <v>0.19488425925925926</v>
      </c>
      <c r="DA782">
        <v>0.12857638888888889</v>
      </c>
      <c r="DB782">
        <v>86</v>
      </c>
      <c r="DC782">
        <v>156</v>
      </c>
      <c r="DD782">
        <v>22</v>
      </c>
      <c r="DE782" t="s">
        <v>695</v>
      </c>
      <c r="DF782">
        <v>25706</v>
      </c>
      <c r="DG782">
        <v>0.25580000000000003</v>
      </c>
      <c r="DO782">
        <v>58</v>
      </c>
    </row>
    <row r="783" spans="93:120" x14ac:dyDescent="0.25">
      <c r="CO783" t="s">
        <v>636</v>
      </c>
      <c r="CP783" t="s">
        <v>2</v>
      </c>
      <c r="CQ783" t="s">
        <v>37</v>
      </c>
      <c r="CR783">
        <v>46161</v>
      </c>
      <c r="CS783">
        <v>1</v>
      </c>
      <c r="CT783">
        <v>1</v>
      </c>
      <c r="CU783">
        <v>1</v>
      </c>
      <c r="CX783">
        <v>1.0717592592592593E-2</v>
      </c>
      <c r="CY783">
        <v>1.0717592592592593E-2</v>
      </c>
      <c r="CZ783">
        <v>0.21525462962962963</v>
      </c>
      <c r="DA783">
        <v>0.12542824074074074</v>
      </c>
      <c r="DB783">
        <v>91</v>
      </c>
      <c r="DC783">
        <v>124</v>
      </c>
      <c r="DD783">
        <v>15</v>
      </c>
      <c r="DE783" t="s">
        <v>742</v>
      </c>
      <c r="DF783">
        <v>24837</v>
      </c>
      <c r="DG783">
        <v>0.1648</v>
      </c>
      <c r="DO783">
        <v>58</v>
      </c>
    </row>
    <row r="784" spans="93:120" x14ac:dyDescent="0.25">
      <c r="CO784" t="s">
        <v>636</v>
      </c>
      <c r="CP784" t="s">
        <v>2</v>
      </c>
      <c r="CQ784" t="s">
        <v>31</v>
      </c>
      <c r="CR784">
        <v>46154</v>
      </c>
      <c r="CS784">
        <v>1</v>
      </c>
      <c r="CT784">
        <v>1</v>
      </c>
      <c r="CV784">
        <v>1</v>
      </c>
      <c r="CX784">
        <v>6.9444444444444444E-5</v>
      </c>
      <c r="CY784">
        <v>6.9444444444444444E-5</v>
      </c>
      <c r="CZ784">
        <v>0.3087037037037037</v>
      </c>
      <c r="DA784">
        <v>0.10425925925925926</v>
      </c>
      <c r="DB784">
        <v>87</v>
      </c>
      <c r="DC784">
        <v>140</v>
      </c>
      <c r="DD784">
        <v>16</v>
      </c>
      <c r="DE784">
        <v>2</v>
      </c>
      <c r="DF784">
        <v>15660</v>
      </c>
      <c r="DG784">
        <v>0.18390000000000001</v>
      </c>
      <c r="DH784">
        <v>1</v>
      </c>
      <c r="DI784">
        <v>6.25E-2</v>
      </c>
      <c r="DJ784">
        <v>250</v>
      </c>
      <c r="DK784">
        <v>250</v>
      </c>
      <c r="DO784">
        <v>58</v>
      </c>
    </row>
    <row r="785" spans="93:120" x14ac:dyDescent="0.25">
      <c r="CO785" t="s">
        <v>636</v>
      </c>
      <c r="CP785" t="s">
        <v>2</v>
      </c>
      <c r="CQ785" t="s">
        <v>25</v>
      </c>
      <c r="CR785">
        <v>46161</v>
      </c>
      <c r="CS785">
        <v>1</v>
      </c>
      <c r="CT785">
        <v>1</v>
      </c>
      <c r="CU785">
        <v>1</v>
      </c>
      <c r="CX785">
        <v>0.16043981481481481</v>
      </c>
      <c r="CY785">
        <v>0.16043981481481481</v>
      </c>
      <c r="CZ785">
        <v>0.10050925925925926</v>
      </c>
      <c r="DA785">
        <v>0.14303240740740741</v>
      </c>
      <c r="DB785">
        <v>46</v>
      </c>
      <c r="DC785">
        <v>77</v>
      </c>
      <c r="DD785">
        <v>10</v>
      </c>
      <c r="DE785">
        <v>1.5</v>
      </c>
      <c r="DF785">
        <v>23431</v>
      </c>
      <c r="DG785">
        <v>0.21740000000000001</v>
      </c>
      <c r="DO785">
        <v>58</v>
      </c>
    </row>
    <row r="786" spans="93:120" x14ac:dyDescent="0.25">
      <c r="CO786" t="s">
        <v>636</v>
      </c>
      <c r="CP786" t="s">
        <v>2</v>
      </c>
      <c r="CQ786" t="s">
        <v>10</v>
      </c>
      <c r="CR786">
        <v>46147</v>
      </c>
      <c r="CS786">
        <v>1</v>
      </c>
      <c r="CT786">
        <v>1</v>
      </c>
      <c r="CV786">
        <v>1</v>
      </c>
      <c r="CX786">
        <v>2.6620370370370372E-4</v>
      </c>
      <c r="CY786">
        <v>2.6620370370370372E-4</v>
      </c>
      <c r="CZ786">
        <v>0.31887731481481479</v>
      </c>
      <c r="DA786">
        <v>9.1932870370370373E-2</v>
      </c>
      <c r="DB786">
        <v>171</v>
      </c>
      <c r="DC786">
        <v>302</v>
      </c>
      <c r="DD786">
        <v>37</v>
      </c>
      <c r="DE786" t="s">
        <v>914</v>
      </c>
      <c r="DF786">
        <v>34469</v>
      </c>
      <c r="DG786">
        <v>0.21640000000000001</v>
      </c>
      <c r="DH786">
        <v>1</v>
      </c>
      <c r="DI786">
        <v>2.7E-2</v>
      </c>
      <c r="DJ786">
        <v>420</v>
      </c>
      <c r="DK786">
        <v>420</v>
      </c>
      <c r="DO786">
        <v>58</v>
      </c>
    </row>
    <row r="787" spans="93:120" x14ac:dyDescent="0.25">
      <c r="CO787" t="s">
        <v>636</v>
      </c>
      <c r="CP787" t="s">
        <v>2</v>
      </c>
      <c r="CQ787" t="s">
        <v>10</v>
      </c>
      <c r="CR787">
        <v>46155</v>
      </c>
      <c r="CS787">
        <v>1</v>
      </c>
      <c r="CT787">
        <v>1</v>
      </c>
      <c r="CV787">
        <v>1</v>
      </c>
      <c r="CX787">
        <v>3.4722222222222222E-5</v>
      </c>
      <c r="CY787">
        <v>3.4722222222222222E-5</v>
      </c>
      <c r="CZ787">
        <v>0.20780092592592592</v>
      </c>
      <c r="DA787">
        <v>0.13180555555555556</v>
      </c>
      <c r="DB787">
        <v>119</v>
      </c>
      <c r="DC787">
        <v>217</v>
      </c>
      <c r="DD787">
        <v>23</v>
      </c>
      <c r="DE787" t="s">
        <v>747</v>
      </c>
      <c r="DF787">
        <v>23709</v>
      </c>
      <c r="DG787">
        <v>0.1933</v>
      </c>
      <c r="DH787">
        <v>2</v>
      </c>
      <c r="DI787">
        <v>8.6999999999999994E-2</v>
      </c>
      <c r="DJ787">
        <v>570</v>
      </c>
      <c r="DK787">
        <v>285</v>
      </c>
      <c r="DL787">
        <v>150</v>
      </c>
      <c r="DM787">
        <v>0.26319999999999999</v>
      </c>
      <c r="DN787">
        <v>5.4199999999999998E-2</v>
      </c>
      <c r="DO787">
        <v>58</v>
      </c>
      <c r="DP787">
        <v>150</v>
      </c>
    </row>
    <row r="788" spans="93:120" x14ac:dyDescent="0.25">
      <c r="CO788" t="s">
        <v>636</v>
      </c>
      <c r="CP788" t="s">
        <v>6</v>
      </c>
      <c r="CQ788" t="s">
        <v>35</v>
      </c>
      <c r="CR788">
        <v>46150</v>
      </c>
      <c r="CS788">
        <v>1</v>
      </c>
      <c r="CT788">
        <v>1</v>
      </c>
      <c r="CV788">
        <v>1</v>
      </c>
      <c r="CX788">
        <v>5.7870370370370373E-5</v>
      </c>
      <c r="CY788">
        <v>5.7870370370370373E-5</v>
      </c>
      <c r="CZ788">
        <v>0.22890046296296296</v>
      </c>
      <c r="DA788">
        <v>8.6435185185185184E-2</v>
      </c>
      <c r="DB788">
        <v>90</v>
      </c>
      <c r="DC788">
        <v>144</v>
      </c>
      <c r="DD788">
        <v>10</v>
      </c>
      <c r="DE788">
        <v>1.5</v>
      </c>
      <c r="DF788">
        <v>20938</v>
      </c>
      <c r="DG788">
        <v>0.1111</v>
      </c>
      <c r="DH788">
        <v>1</v>
      </c>
      <c r="DI788">
        <v>0.1</v>
      </c>
      <c r="DJ788">
        <v>548</v>
      </c>
      <c r="DK788">
        <v>548</v>
      </c>
      <c r="DO788">
        <v>58</v>
      </c>
    </row>
    <row r="789" spans="93:120" x14ac:dyDescent="0.25">
      <c r="CO789" t="s">
        <v>636</v>
      </c>
      <c r="CP789" t="s">
        <v>6</v>
      </c>
      <c r="CQ789" t="s">
        <v>11</v>
      </c>
      <c r="CR789">
        <v>46150</v>
      </c>
      <c r="CS789">
        <v>1</v>
      </c>
      <c r="CT789">
        <v>1</v>
      </c>
      <c r="CU789">
        <v>1</v>
      </c>
      <c r="CX789">
        <v>9.9189814814814817E-3</v>
      </c>
      <c r="CY789">
        <v>9.9189814814814817E-3</v>
      </c>
      <c r="CZ789">
        <v>0.16240740740740742</v>
      </c>
      <c r="DA789">
        <v>0.11336805555555556</v>
      </c>
      <c r="DB789">
        <v>83</v>
      </c>
      <c r="DC789">
        <v>184</v>
      </c>
      <c r="DD789">
        <v>19</v>
      </c>
      <c r="DE789" t="s">
        <v>721</v>
      </c>
      <c r="DF789">
        <v>26625</v>
      </c>
      <c r="DG789">
        <v>0.22889999999999999</v>
      </c>
      <c r="DH789">
        <v>2</v>
      </c>
      <c r="DI789">
        <v>0.1053</v>
      </c>
      <c r="DJ789">
        <v>7150</v>
      </c>
      <c r="DK789">
        <v>3575</v>
      </c>
      <c r="DL789">
        <v>5500</v>
      </c>
      <c r="DM789">
        <v>0.76919999999999999</v>
      </c>
      <c r="DN789">
        <v>9.1899999999999996E-2</v>
      </c>
      <c r="DO789">
        <v>58</v>
      </c>
      <c r="DP789">
        <v>5500</v>
      </c>
    </row>
    <row r="790" spans="93:120" x14ac:dyDescent="0.25">
      <c r="CO790" t="s">
        <v>636</v>
      </c>
      <c r="CP790" t="s">
        <v>6</v>
      </c>
      <c r="CQ790" t="s">
        <v>11</v>
      </c>
      <c r="CR790">
        <v>46167</v>
      </c>
      <c r="CS790">
        <v>1</v>
      </c>
      <c r="CT790">
        <v>1</v>
      </c>
      <c r="CV790">
        <v>1</v>
      </c>
      <c r="CX790">
        <v>9.837962962962962E-4</v>
      </c>
      <c r="CY790">
        <v>9.837962962962962E-4</v>
      </c>
      <c r="CZ790">
        <v>0.17479166666666668</v>
      </c>
      <c r="DA790">
        <v>0.15957175925925926</v>
      </c>
      <c r="DB790">
        <v>118</v>
      </c>
      <c r="DC790">
        <v>199</v>
      </c>
      <c r="DD790">
        <v>35</v>
      </c>
      <c r="DE790" t="s">
        <v>882</v>
      </c>
      <c r="DF790">
        <v>9356</v>
      </c>
      <c r="DG790">
        <v>0.29659999999999997</v>
      </c>
      <c r="DH790">
        <v>1</v>
      </c>
      <c r="DI790">
        <v>2.86E-2</v>
      </c>
      <c r="DJ790">
        <v>500</v>
      </c>
      <c r="DK790">
        <v>500</v>
      </c>
      <c r="DO790">
        <v>58</v>
      </c>
    </row>
    <row r="791" spans="93:120" x14ac:dyDescent="0.25">
      <c r="CO791" t="s">
        <v>636</v>
      </c>
      <c r="CP791" t="s">
        <v>6</v>
      </c>
      <c r="CQ791" t="s">
        <v>34</v>
      </c>
      <c r="CR791">
        <v>46169</v>
      </c>
      <c r="CS791">
        <v>1</v>
      </c>
      <c r="CT791">
        <v>1</v>
      </c>
      <c r="CU791">
        <v>1</v>
      </c>
      <c r="CX791">
        <v>4.5138888888888885E-3</v>
      </c>
      <c r="CY791">
        <v>4.5138888888888885E-3</v>
      </c>
      <c r="CZ791">
        <v>0.19248842592592594</v>
      </c>
      <c r="DA791">
        <v>0.1487037037037037</v>
      </c>
      <c r="DB791">
        <v>169</v>
      </c>
      <c r="DC791">
        <v>180</v>
      </c>
      <c r="DD791">
        <v>10</v>
      </c>
      <c r="DE791">
        <v>1.8</v>
      </c>
      <c r="DF791">
        <v>19014</v>
      </c>
      <c r="DG791">
        <v>5.9200000000000003E-2</v>
      </c>
      <c r="DH791">
        <v>1</v>
      </c>
      <c r="DI791">
        <v>0.1</v>
      </c>
      <c r="DJ791">
        <v>3500</v>
      </c>
      <c r="DK791">
        <v>3500</v>
      </c>
      <c r="DO791">
        <v>58</v>
      </c>
    </row>
    <row r="792" spans="93:120" x14ac:dyDescent="0.25">
      <c r="CO792" t="s">
        <v>636</v>
      </c>
      <c r="CP792" t="s">
        <v>604</v>
      </c>
      <c r="CQ792" t="s">
        <v>41</v>
      </c>
      <c r="CR792">
        <v>46157</v>
      </c>
      <c r="CS792">
        <v>1</v>
      </c>
      <c r="CT792">
        <v>1</v>
      </c>
      <c r="CV792">
        <v>1</v>
      </c>
      <c r="CX792">
        <v>3.2407407407407406E-4</v>
      </c>
      <c r="CY792">
        <v>3.2407407407407406E-4</v>
      </c>
      <c r="CZ792">
        <v>0.22373842592592594</v>
      </c>
      <c r="DA792">
        <v>6.2743055555555552E-2</v>
      </c>
      <c r="DB792">
        <v>61</v>
      </c>
      <c r="DC792">
        <v>117</v>
      </c>
      <c r="DD792">
        <v>31</v>
      </c>
      <c r="DE792" t="s">
        <v>750</v>
      </c>
      <c r="DF792">
        <v>10296</v>
      </c>
      <c r="DG792">
        <v>0.50819999999999999</v>
      </c>
      <c r="DH792">
        <v>1</v>
      </c>
      <c r="DI792">
        <v>3.2300000000000002E-2</v>
      </c>
      <c r="DJ792">
        <v>302</v>
      </c>
      <c r="DK792">
        <v>302</v>
      </c>
      <c r="DO792">
        <v>58</v>
      </c>
    </row>
    <row r="793" spans="93:120" x14ac:dyDescent="0.25">
      <c r="CO793" t="s">
        <v>636</v>
      </c>
      <c r="CP793" t="s">
        <v>604</v>
      </c>
      <c r="CQ793" t="s">
        <v>495</v>
      </c>
      <c r="CR793">
        <v>46160</v>
      </c>
      <c r="CS793">
        <v>1</v>
      </c>
      <c r="CT793">
        <v>1</v>
      </c>
      <c r="CU793">
        <v>1</v>
      </c>
      <c r="CX793">
        <v>2.0682870370370369E-2</v>
      </c>
      <c r="CY793">
        <v>2.0682870370370369E-2</v>
      </c>
      <c r="CZ793">
        <v>0.16371527777777778</v>
      </c>
      <c r="DA793">
        <v>0.17042824074074073</v>
      </c>
      <c r="DB793">
        <v>57</v>
      </c>
      <c r="DC793">
        <v>137</v>
      </c>
      <c r="DD793">
        <v>19</v>
      </c>
      <c r="DE793" t="s">
        <v>791</v>
      </c>
      <c r="DF793">
        <v>28944</v>
      </c>
      <c r="DG793">
        <v>0.33329999999999999</v>
      </c>
      <c r="DH793">
        <v>2</v>
      </c>
      <c r="DI793">
        <v>0.1053</v>
      </c>
      <c r="DJ793">
        <v>3710</v>
      </c>
      <c r="DK793">
        <v>1855</v>
      </c>
      <c r="DL793">
        <v>2460</v>
      </c>
      <c r="DM793">
        <v>0.66310000000000002</v>
      </c>
      <c r="DN793">
        <v>0.1376</v>
      </c>
      <c r="DO793">
        <v>58</v>
      </c>
      <c r="DP793">
        <v>2460</v>
      </c>
    </row>
    <row r="794" spans="93:120" x14ac:dyDescent="0.25">
      <c r="CO794" t="s">
        <v>636</v>
      </c>
      <c r="CP794" t="s">
        <v>604</v>
      </c>
      <c r="CQ794" t="s">
        <v>549</v>
      </c>
      <c r="CR794">
        <v>46163</v>
      </c>
      <c r="CS794">
        <v>1</v>
      </c>
      <c r="CT794">
        <v>1</v>
      </c>
      <c r="CU794">
        <v>1</v>
      </c>
      <c r="CX794">
        <v>7.5347222222222222E-3</v>
      </c>
      <c r="CY794">
        <v>7.5347222222222222E-3</v>
      </c>
      <c r="CZ794">
        <v>0.16023148148148147</v>
      </c>
      <c r="DA794">
        <v>0.12858796296296296</v>
      </c>
      <c r="DB794">
        <v>116</v>
      </c>
      <c r="DC794">
        <v>218</v>
      </c>
      <c r="DD794">
        <v>27</v>
      </c>
      <c r="DE794" t="s">
        <v>674</v>
      </c>
      <c r="DF794">
        <v>9738</v>
      </c>
      <c r="DG794">
        <v>0.23280000000000001</v>
      </c>
      <c r="DO794">
        <v>58</v>
      </c>
    </row>
    <row r="795" spans="93:120" x14ac:dyDescent="0.25">
      <c r="CO795" t="s">
        <v>636</v>
      </c>
      <c r="CP795" t="s">
        <v>604</v>
      </c>
      <c r="CQ795" t="s">
        <v>566</v>
      </c>
      <c r="CR795">
        <v>46163</v>
      </c>
      <c r="CS795">
        <v>1</v>
      </c>
      <c r="CT795">
        <v>1</v>
      </c>
      <c r="CX795">
        <v>3.9930555555555552E-3</v>
      </c>
      <c r="CY795">
        <v>3.9930555555555552E-3</v>
      </c>
      <c r="CZ795">
        <v>0.14857638888888888</v>
      </c>
      <c r="DA795">
        <v>0.15900462962962963</v>
      </c>
      <c r="DB795">
        <v>139</v>
      </c>
      <c r="DC795">
        <v>221</v>
      </c>
      <c r="DD795">
        <v>37</v>
      </c>
      <c r="DE795" t="s">
        <v>915</v>
      </c>
      <c r="DF795">
        <v>10370</v>
      </c>
      <c r="DG795">
        <v>0.26619999999999999</v>
      </c>
      <c r="DO795">
        <v>58</v>
      </c>
    </row>
    <row r="796" spans="93:120" x14ac:dyDescent="0.25">
      <c r="CO796" t="s">
        <v>636</v>
      </c>
      <c r="CP796" t="s">
        <v>3</v>
      </c>
      <c r="CQ796" t="s">
        <v>96</v>
      </c>
      <c r="CR796">
        <v>46146</v>
      </c>
      <c r="CS796">
        <v>1</v>
      </c>
      <c r="CT796">
        <v>1</v>
      </c>
      <c r="CU796">
        <v>1</v>
      </c>
      <c r="CX796">
        <v>1.0833333333333334E-2</v>
      </c>
      <c r="CY796">
        <v>1.0833333333333334E-2</v>
      </c>
      <c r="CZ796">
        <v>0.2545486111111111</v>
      </c>
      <c r="DA796">
        <v>7.8206018518518522E-2</v>
      </c>
      <c r="DB796">
        <v>100</v>
      </c>
      <c r="DC796">
        <v>157</v>
      </c>
      <c r="DD796">
        <v>53</v>
      </c>
      <c r="DE796" t="s">
        <v>916</v>
      </c>
      <c r="DF796">
        <v>16340</v>
      </c>
      <c r="DG796">
        <v>0.53</v>
      </c>
      <c r="DH796">
        <v>6</v>
      </c>
      <c r="DI796">
        <v>0.1132</v>
      </c>
      <c r="DJ796">
        <v>3210</v>
      </c>
      <c r="DK796">
        <v>535</v>
      </c>
      <c r="DL796">
        <v>2401</v>
      </c>
      <c r="DM796">
        <v>0.748</v>
      </c>
      <c r="DN796">
        <v>1.5694999999999999</v>
      </c>
      <c r="DO796">
        <v>58</v>
      </c>
      <c r="DP796">
        <v>600</v>
      </c>
    </row>
    <row r="797" spans="93:120" x14ac:dyDescent="0.25">
      <c r="CO797" t="s">
        <v>636</v>
      </c>
      <c r="CP797" t="s">
        <v>3</v>
      </c>
      <c r="CQ797" t="s">
        <v>96</v>
      </c>
      <c r="CR797">
        <v>46148</v>
      </c>
      <c r="CS797">
        <v>1</v>
      </c>
      <c r="CT797">
        <v>1</v>
      </c>
      <c r="CU797">
        <v>1</v>
      </c>
      <c r="CX797">
        <v>4.1898148148148146E-3</v>
      </c>
      <c r="CY797">
        <v>4.1898148148148146E-3</v>
      </c>
      <c r="CZ797">
        <v>0.27386574074074072</v>
      </c>
      <c r="DA797">
        <v>9.0162037037037041E-2</v>
      </c>
      <c r="DB797">
        <v>95</v>
      </c>
      <c r="DC797">
        <v>219</v>
      </c>
      <c r="DD797">
        <v>31</v>
      </c>
      <c r="DE797" t="s">
        <v>917</v>
      </c>
      <c r="DF797">
        <v>11429</v>
      </c>
      <c r="DG797">
        <v>0.32629999999999998</v>
      </c>
      <c r="DH797">
        <v>2</v>
      </c>
      <c r="DI797">
        <v>6.4500000000000002E-2</v>
      </c>
      <c r="DJ797">
        <v>2870</v>
      </c>
      <c r="DK797">
        <v>1435</v>
      </c>
      <c r="DL797">
        <v>2500</v>
      </c>
      <c r="DM797">
        <v>0.87109999999999999</v>
      </c>
      <c r="DN797">
        <v>0.22550000000000001</v>
      </c>
      <c r="DO797">
        <v>58</v>
      </c>
      <c r="DP797">
        <v>2500</v>
      </c>
    </row>
    <row r="798" spans="93:120" x14ac:dyDescent="0.25">
      <c r="CO798" t="s">
        <v>636</v>
      </c>
      <c r="CP798" t="s">
        <v>2</v>
      </c>
      <c r="CQ798" t="s">
        <v>22</v>
      </c>
      <c r="CR798">
        <v>46163</v>
      </c>
      <c r="CS798">
        <v>1</v>
      </c>
      <c r="CT798">
        <v>1</v>
      </c>
      <c r="CX798">
        <v>3.7384259259259259E-3</v>
      </c>
      <c r="CY798">
        <v>3.7384259259259259E-3</v>
      </c>
      <c r="CZ798">
        <v>0.22043981481481481</v>
      </c>
      <c r="DA798">
        <v>0.11646990740740741</v>
      </c>
      <c r="DB798">
        <v>69</v>
      </c>
      <c r="DC798">
        <v>126</v>
      </c>
      <c r="DD798">
        <v>23</v>
      </c>
      <c r="DE798" t="s">
        <v>854</v>
      </c>
      <c r="DF798">
        <v>26231</v>
      </c>
      <c r="DG798">
        <v>0.33329999999999999</v>
      </c>
      <c r="DO798">
        <v>56</v>
      </c>
    </row>
    <row r="799" spans="93:120" x14ac:dyDescent="0.25">
      <c r="CO799" t="s">
        <v>636</v>
      </c>
      <c r="CP799" t="s">
        <v>2</v>
      </c>
      <c r="CQ799" t="s">
        <v>13</v>
      </c>
      <c r="CR799">
        <v>46147</v>
      </c>
      <c r="CS799">
        <v>1</v>
      </c>
      <c r="CT799">
        <v>1</v>
      </c>
      <c r="CV799">
        <v>1</v>
      </c>
      <c r="CX799">
        <v>4.6296296296296294E-5</v>
      </c>
      <c r="CY799">
        <v>4.6296296296296294E-5</v>
      </c>
      <c r="CZ799">
        <v>0.3268287037037037</v>
      </c>
      <c r="DA799">
        <v>8.1030092592592598E-2</v>
      </c>
      <c r="DB799">
        <v>95</v>
      </c>
      <c r="DC799">
        <v>215</v>
      </c>
      <c r="DD799">
        <v>26</v>
      </c>
      <c r="DE799" t="s">
        <v>884</v>
      </c>
      <c r="DF799">
        <v>16660</v>
      </c>
      <c r="DG799">
        <v>0.2737</v>
      </c>
      <c r="DO799">
        <v>56</v>
      </c>
    </row>
    <row r="800" spans="93:120" x14ac:dyDescent="0.25">
      <c r="CO800" t="s">
        <v>636</v>
      </c>
      <c r="CP800" t="s">
        <v>2</v>
      </c>
      <c r="CQ800" t="s">
        <v>13</v>
      </c>
      <c r="CR800">
        <v>46156</v>
      </c>
      <c r="CS800">
        <v>1</v>
      </c>
      <c r="CT800">
        <v>1</v>
      </c>
      <c r="CV800">
        <v>1</v>
      </c>
      <c r="CX800">
        <v>1.6203703703703703E-4</v>
      </c>
      <c r="CY800">
        <v>1.6203703703703703E-4</v>
      </c>
      <c r="CZ800">
        <v>0.21184027777777778</v>
      </c>
      <c r="DA800">
        <v>0.11104166666666666</v>
      </c>
      <c r="DB800">
        <v>82</v>
      </c>
      <c r="DC800">
        <v>184</v>
      </c>
      <c r="DD800">
        <v>21</v>
      </c>
      <c r="DE800">
        <v>2</v>
      </c>
      <c r="DF800">
        <v>18956</v>
      </c>
      <c r="DG800">
        <v>0.25609999999999999</v>
      </c>
      <c r="DO800">
        <v>56</v>
      </c>
    </row>
    <row r="801" spans="93:119" x14ac:dyDescent="0.25">
      <c r="CO801" t="s">
        <v>636</v>
      </c>
      <c r="CP801" t="s">
        <v>2</v>
      </c>
      <c r="CQ801" t="s">
        <v>13</v>
      </c>
      <c r="CR801">
        <v>46172</v>
      </c>
      <c r="CS801">
        <v>1</v>
      </c>
      <c r="CT801">
        <v>1</v>
      </c>
      <c r="CV801">
        <v>1</v>
      </c>
      <c r="CX801">
        <v>2.1759259259259258E-3</v>
      </c>
      <c r="CY801">
        <v>2.1759259259259258E-3</v>
      </c>
      <c r="CZ801">
        <v>0.13106481481481483</v>
      </c>
      <c r="DA801">
        <v>5.5555555555555552E-2</v>
      </c>
      <c r="DB801">
        <v>7</v>
      </c>
      <c r="DC801">
        <v>9</v>
      </c>
      <c r="DD801">
        <v>3</v>
      </c>
      <c r="DE801">
        <v>1</v>
      </c>
      <c r="DF801">
        <v>28481</v>
      </c>
      <c r="DG801">
        <v>0.42859999999999998</v>
      </c>
      <c r="DO801">
        <v>56</v>
      </c>
    </row>
    <row r="802" spans="93:119" x14ac:dyDescent="0.25">
      <c r="CO802" t="s">
        <v>636</v>
      </c>
      <c r="CP802" t="s">
        <v>2</v>
      </c>
      <c r="CQ802" t="s">
        <v>65</v>
      </c>
      <c r="CR802">
        <v>46149</v>
      </c>
      <c r="CS802">
        <v>1</v>
      </c>
      <c r="CT802">
        <v>1</v>
      </c>
      <c r="CV802">
        <v>1</v>
      </c>
      <c r="CX802">
        <v>1.3888888888888889E-4</v>
      </c>
      <c r="CY802">
        <v>1.3888888888888889E-4</v>
      </c>
      <c r="CZ802">
        <v>0.21046296296296296</v>
      </c>
      <c r="DA802">
        <v>8.0740740740740738E-2</v>
      </c>
      <c r="DB802">
        <v>55</v>
      </c>
      <c r="DC802">
        <v>106</v>
      </c>
      <c r="DD802">
        <v>16</v>
      </c>
      <c r="DE802">
        <v>1.4375</v>
      </c>
      <c r="DF802">
        <v>14846</v>
      </c>
      <c r="DG802">
        <v>0.29089999999999999</v>
      </c>
      <c r="DO802">
        <v>56</v>
      </c>
    </row>
    <row r="803" spans="93:119" x14ac:dyDescent="0.25">
      <c r="CO803" t="s">
        <v>636</v>
      </c>
      <c r="CP803" t="s">
        <v>2</v>
      </c>
      <c r="CQ803" t="s">
        <v>65</v>
      </c>
      <c r="CR803">
        <v>46156</v>
      </c>
      <c r="CS803">
        <v>1</v>
      </c>
      <c r="CT803">
        <v>1</v>
      </c>
      <c r="CV803">
        <v>1</v>
      </c>
      <c r="CX803">
        <v>1.273148148148148E-4</v>
      </c>
      <c r="CY803">
        <v>1.273148148148148E-4</v>
      </c>
      <c r="CZ803">
        <v>0.20825231481481482</v>
      </c>
      <c r="DA803">
        <v>0.13689814814814816</v>
      </c>
      <c r="DB803">
        <v>47</v>
      </c>
      <c r="DC803">
        <v>103</v>
      </c>
      <c r="DD803">
        <v>16</v>
      </c>
      <c r="DE803">
        <v>1.4375</v>
      </c>
      <c r="DF803">
        <v>15053</v>
      </c>
      <c r="DG803">
        <v>0.34039999999999998</v>
      </c>
      <c r="DO803">
        <v>56</v>
      </c>
    </row>
    <row r="804" spans="93:119" x14ac:dyDescent="0.25">
      <c r="CO804" t="s">
        <v>636</v>
      </c>
      <c r="CP804" t="s">
        <v>2</v>
      </c>
      <c r="CQ804" t="s">
        <v>65</v>
      </c>
      <c r="CR804">
        <v>46169</v>
      </c>
      <c r="CS804">
        <v>1</v>
      </c>
      <c r="CT804">
        <v>1</v>
      </c>
      <c r="CV804">
        <v>1</v>
      </c>
      <c r="CX804">
        <v>2.7777777777777778E-4</v>
      </c>
      <c r="CY804">
        <v>2.7777777777777778E-4</v>
      </c>
      <c r="CZ804">
        <v>0.19673611111111111</v>
      </c>
      <c r="DA804">
        <v>0.15106481481481482</v>
      </c>
      <c r="DB804">
        <v>27</v>
      </c>
      <c r="DC804">
        <v>49</v>
      </c>
      <c r="DD804">
        <v>7</v>
      </c>
      <c r="DE804" t="s">
        <v>694</v>
      </c>
      <c r="DF804">
        <v>15089</v>
      </c>
      <c r="DG804">
        <v>0.25929999999999997</v>
      </c>
      <c r="DO804">
        <v>56</v>
      </c>
    </row>
    <row r="805" spans="93:119" x14ac:dyDescent="0.25">
      <c r="CO805" t="s">
        <v>636</v>
      </c>
      <c r="CP805" t="s">
        <v>2</v>
      </c>
      <c r="CQ805" t="s">
        <v>65</v>
      </c>
      <c r="CR805">
        <v>46172</v>
      </c>
      <c r="CS805">
        <v>1</v>
      </c>
      <c r="CT805">
        <v>1</v>
      </c>
      <c r="CV805">
        <v>1</v>
      </c>
      <c r="CX805">
        <v>2.199074074074074E-4</v>
      </c>
      <c r="CY805">
        <v>2.199074074074074E-4</v>
      </c>
      <c r="CZ805">
        <v>0.10906250000000001</v>
      </c>
      <c r="DA805">
        <v>8.1087962962962959E-2</v>
      </c>
      <c r="DB805">
        <v>12</v>
      </c>
      <c r="DC805">
        <v>27</v>
      </c>
      <c r="DD805">
        <v>4</v>
      </c>
      <c r="DE805">
        <v>1.75</v>
      </c>
      <c r="DF805">
        <v>14321</v>
      </c>
      <c r="DG805">
        <v>0.33329999999999999</v>
      </c>
      <c r="DO805">
        <v>56</v>
      </c>
    </row>
    <row r="806" spans="93:119" x14ac:dyDescent="0.25">
      <c r="CO806" t="s">
        <v>636</v>
      </c>
      <c r="CP806" t="s">
        <v>2</v>
      </c>
      <c r="CQ806" t="s">
        <v>31</v>
      </c>
      <c r="CR806">
        <v>46149</v>
      </c>
      <c r="CS806">
        <v>1</v>
      </c>
      <c r="CT806">
        <v>1</v>
      </c>
      <c r="CV806">
        <v>1</v>
      </c>
      <c r="CX806">
        <v>2.0833333333333335E-4</v>
      </c>
      <c r="CY806">
        <v>2.0833333333333335E-4</v>
      </c>
      <c r="CZ806">
        <v>0.14636574074074074</v>
      </c>
      <c r="DA806">
        <v>4.2928240740740739E-2</v>
      </c>
      <c r="DB806">
        <v>23</v>
      </c>
      <c r="DC806">
        <v>52</v>
      </c>
      <c r="DD806">
        <v>8</v>
      </c>
      <c r="DE806">
        <v>1.75</v>
      </c>
      <c r="DF806">
        <v>26193</v>
      </c>
      <c r="DG806">
        <v>0.3478</v>
      </c>
      <c r="DO806">
        <v>56</v>
      </c>
    </row>
    <row r="807" spans="93:119" x14ac:dyDescent="0.25">
      <c r="CO807" t="s">
        <v>636</v>
      </c>
      <c r="CP807" t="s">
        <v>2</v>
      </c>
      <c r="CQ807" t="s">
        <v>31</v>
      </c>
      <c r="CR807">
        <v>46169</v>
      </c>
      <c r="CS807">
        <v>1</v>
      </c>
      <c r="CT807">
        <v>1</v>
      </c>
      <c r="CV807">
        <v>1</v>
      </c>
      <c r="CX807">
        <v>1.6203703703703703E-4</v>
      </c>
      <c r="CY807">
        <v>1.6203703703703703E-4</v>
      </c>
      <c r="CZ807">
        <v>0.14309027777777777</v>
      </c>
      <c r="DA807">
        <v>0.16047453703703704</v>
      </c>
      <c r="DB807">
        <v>80</v>
      </c>
      <c r="DC807">
        <v>192</v>
      </c>
      <c r="DD807">
        <v>18</v>
      </c>
      <c r="DE807">
        <v>2</v>
      </c>
      <c r="DF807">
        <v>23986</v>
      </c>
      <c r="DG807">
        <v>0.22500000000000001</v>
      </c>
      <c r="DO807">
        <v>56</v>
      </c>
    </row>
    <row r="808" spans="93:119" x14ac:dyDescent="0.25">
      <c r="CO808" t="s">
        <v>636</v>
      </c>
      <c r="CP808" t="s">
        <v>2</v>
      </c>
      <c r="CQ808" t="s">
        <v>10</v>
      </c>
      <c r="CR808">
        <v>46149</v>
      </c>
      <c r="CS808">
        <v>1</v>
      </c>
      <c r="CT808">
        <v>1</v>
      </c>
      <c r="CV808">
        <v>1</v>
      </c>
      <c r="CX808">
        <v>4.6296296296296294E-5</v>
      </c>
      <c r="CY808">
        <v>4.6296296296296294E-5</v>
      </c>
      <c r="CZ808">
        <v>0.20769675925925926</v>
      </c>
      <c r="DA808">
        <v>8.774305555555556E-2</v>
      </c>
      <c r="DB808">
        <v>134</v>
      </c>
      <c r="DC808">
        <v>231</v>
      </c>
      <c r="DD808">
        <v>20</v>
      </c>
      <c r="DE808">
        <v>1.4</v>
      </c>
      <c r="DF808">
        <v>33865</v>
      </c>
      <c r="DG808">
        <v>0.14929999999999999</v>
      </c>
      <c r="DO808">
        <v>56</v>
      </c>
    </row>
    <row r="809" spans="93:119" x14ac:dyDescent="0.25">
      <c r="CO809" t="s">
        <v>636</v>
      </c>
      <c r="CP809" t="s">
        <v>2</v>
      </c>
      <c r="CQ809" t="s">
        <v>10</v>
      </c>
      <c r="CR809">
        <v>46169</v>
      </c>
      <c r="CS809">
        <v>1</v>
      </c>
      <c r="CT809">
        <v>1</v>
      </c>
      <c r="CV809">
        <v>1</v>
      </c>
      <c r="CX809">
        <v>8.1018518518518516E-5</v>
      </c>
      <c r="CY809">
        <v>8.1018518518518516E-5</v>
      </c>
      <c r="CZ809">
        <v>0.16534722222222223</v>
      </c>
      <c r="DA809">
        <v>0.17612268518518517</v>
      </c>
      <c r="DB809">
        <v>163</v>
      </c>
      <c r="DC809">
        <v>276</v>
      </c>
      <c r="DD809">
        <v>30</v>
      </c>
      <c r="DE809">
        <v>1.5</v>
      </c>
      <c r="DF809">
        <v>41644</v>
      </c>
      <c r="DG809">
        <v>0.184</v>
      </c>
      <c r="DO809">
        <v>56</v>
      </c>
    </row>
    <row r="810" spans="93:119" x14ac:dyDescent="0.25">
      <c r="CO810" t="s">
        <v>636</v>
      </c>
      <c r="CP810" t="s">
        <v>2</v>
      </c>
      <c r="CQ810" t="s">
        <v>10</v>
      </c>
      <c r="CR810">
        <v>46172</v>
      </c>
      <c r="CS810">
        <v>1</v>
      </c>
      <c r="CT810">
        <v>1</v>
      </c>
      <c r="CV810">
        <v>1</v>
      </c>
      <c r="CX810">
        <v>1.0416666666666667E-4</v>
      </c>
      <c r="CY810">
        <v>1.0416666666666667E-4</v>
      </c>
      <c r="CZ810">
        <v>0.11715277777777777</v>
      </c>
      <c r="DA810">
        <v>7.0578703703703699E-2</v>
      </c>
      <c r="DB810">
        <v>39</v>
      </c>
      <c r="DC810">
        <v>61</v>
      </c>
      <c r="DD810">
        <v>18</v>
      </c>
      <c r="DE810" t="s">
        <v>781</v>
      </c>
      <c r="DF810">
        <v>23319</v>
      </c>
      <c r="DG810">
        <v>0.46150000000000002</v>
      </c>
      <c r="DO810">
        <v>56</v>
      </c>
    </row>
    <row r="811" spans="93:119" x14ac:dyDescent="0.25">
      <c r="CO811" t="s">
        <v>636</v>
      </c>
      <c r="CP811" t="s">
        <v>6</v>
      </c>
      <c r="CQ811" t="s">
        <v>19</v>
      </c>
      <c r="CR811">
        <v>46156</v>
      </c>
      <c r="CS811">
        <v>1</v>
      </c>
      <c r="CT811">
        <v>1</v>
      </c>
      <c r="CU811">
        <v>1</v>
      </c>
      <c r="CX811">
        <v>8.5300925925925926E-3</v>
      </c>
      <c r="CY811">
        <v>8.5300925925925926E-3</v>
      </c>
      <c r="CZ811">
        <v>0.15592592592592591</v>
      </c>
      <c r="DA811">
        <v>0.14422453703703703</v>
      </c>
      <c r="DB811">
        <v>203</v>
      </c>
      <c r="DC811">
        <v>324</v>
      </c>
      <c r="DD811">
        <v>35</v>
      </c>
      <c r="DE811" t="s">
        <v>918</v>
      </c>
      <c r="DF811">
        <v>30673</v>
      </c>
      <c r="DG811">
        <v>0.1724</v>
      </c>
      <c r="DO811">
        <v>56</v>
      </c>
    </row>
    <row r="812" spans="93:119" x14ac:dyDescent="0.25">
      <c r="CO812" t="s">
        <v>636</v>
      </c>
      <c r="CP812" t="s">
        <v>6</v>
      </c>
      <c r="CQ812" t="s">
        <v>19</v>
      </c>
      <c r="CR812">
        <v>46162</v>
      </c>
      <c r="CS812">
        <v>1</v>
      </c>
      <c r="CT812">
        <v>1</v>
      </c>
      <c r="CV812">
        <v>1</v>
      </c>
      <c r="CX812">
        <v>9.2592592592592588E-5</v>
      </c>
      <c r="CY812">
        <v>9.2592592592592588E-5</v>
      </c>
      <c r="CZ812">
        <v>0.25525462962962964</v>
      </c>
      <c r="DA812">
        <v>0.14085648148148147</v>
      </c>
      <c r="DB812">
        <v>226</v>
      </c>
      <c r="DC812">
        <v>349</v>
      </c>
      <c r="DD812">
        <v>29</v>
      </c>
      <c r="DE812" t="s">
        <v>867</v>
      </c>
      <c r="DF812">
        <v>39644</v>
      </c>
      <c r="DG812">
        <v>0.1283</v>
      </c>
      <c r="DO812">
        <v>56</v>
      </c>
    </row>
    <row r="813" spans="93:119" x14ac:dyDescent="0.25">
      <c r="CO813" t="s">
        <v>636</v>
      </c>
      <c r="CP813" t="s">
        <v>6</v>
      </c>
      <c r="CQ813" t="s">
        <v>19</v>
      </c>
      <c r="CR813">
        <v>46163</v>
      </c>
      <c r="CS813">
        <v>1</v>
      </c>
      <c r="CT813">
        <v>1</v>
      </c>
      <c r="CV813">
        <v>1</v>
      </c>
      <c r="CX813">
        <v>1.7361111111111112E-4</v>
      </c>
      <c r="CY813">
        <v>1.7361111111111112E-4</v>
      </c>
      <c r="CZ813">
        <v>0.21659722222222222</v>
      </c>
      <c r="DA813">
        <v>0.14582175925925925</v>
      </c>
      <c r="DB813">
        <v>219</v>
      </c>
      <c r="DC813">
        <v>333</v>
      </c>
      <c r="DD813">
        <v>17</v>
      </c>
      <c r="DE813" t="s">
        <v>728</v>
      </c>
      <c r="DF813">
        <v>35101</v>
      </c>
      <c r="DG813">
        <v>7.7600000000000002E-2</v>
      </c>
      <c r="DO813">
        <v>56</v>
      </c>
    </row>
    <row r="814" spans="93:119" x14ac:dyDescent="0.25">
      <c r="CO814" t="s">
        <v>636</v>
      </c>
      <c r="CP814" t="s">
        <v>6</v>
      </c>
      <c r="CQ814" t="s">
        <v>35</v>
      </c>
      <c r="CR814">
        <v>46164</v>
      </c>
      <c r="CS814">
        <v>1</v>
      </c>
      <c r="CT814">
        <v>1</v>
      </c>
      <c r="CU814">
        <v>1</v>
      </c>
      <c r="CX814">
        <v>1.8692129629629628E-2</v>
      </c>
      <c r="CY814">
        <v>1.8692129629629628E-2</v>
      </c>
      <c r="CZ814">
        <v>0.1855324074074074</v>
      </c>
      <c r="DA814">
        <v>0.1426736111111111</v>
      </c>
      <c r="DB814">
        <v>48</v>
      </c>
      <c r="DC814">
        <v>82</v>
      </c>
      <c r="DD814">
        <v>17</v>
      </c>
      <c r="DE814" t="s">
        <v>891</v>
      </c>
      <c r="DF814">
        <v>23562</v>
      </c>
      <c r="DG814">
        <v>0.35420000000000001</v>
      </c>
      <c r="DO814">
        <v>56</v>
      </c>
    </row>
    <row r="815" spans="93:119" x14ac:dyDescent="0.25">
      <c r="CO815" t="s">
        <v>636</v>
      </c>
      <c r="CP815" t="s">
        <v>6</v>
      </c>
      <c r="CQ815" t="s">
        <v>34</v>
      </c>
      <c r="CR815">
        <v>46162</v>
      </c>
      <c r="CS815">
        <v>1</v>
      </c>
      <c r="CT815">
        <v>1</v>
      </c>
      <c r="CV815">
        <v>1</v>
      </c>
      <c r="CX815">
        <v>2.3148148148148147E-5</v>
      </c>
      <c r="CY815">
        <v>2.3148148148148147E-5</v>
      </c>
      <c r="CZ815">
        <v>0.2363425925925926</v>
      </c>
      <c r="DA815">
        <v>0.13747685185185185</v>
      </c>
      <c r="DB815">
        <v>134</v>
      </c>
      <c r="DC815">
        <v>152</v>
      </c>
      <c r="DD815">
        <v>17</v>
      </c>
      <c r="DE815" t="s">
        <v>821</v>
      </c>
      <c r="DF815">
        <v>16045</v>
      </c>
      <c r="DG815">
        <v>0.12690000000000001</v>
      </c>
      <c r="DO815">
        <v>56</v>
      </c>
    </row>
    <row r="816" spans="93:119" x14ac:dyDescent="0.25">
      <c r="CO816" t="s">
        <v>636</v>
      </c>
      <c r="CP816" t="s">
        <v>6</v>
      </c>
      <c r="CQ816" t="s">
        <v>76</v>
      </c>
      <c r="CR816">
        <v>46156</v>
      </c>
      <c r="CS816">
        <v>1</v>
      </c>
      <c r="CT816">
        <v>1</v>
      </c>
      <c r="CU816">
        <v>1</v>
      </c>
      <c r="CX816">
        <v>6.099537037037037E-3</v>
      </c>
      <c r="CY816">
        <v>6.099537037037037E-3</v>
      </c>
      <c r="CZ816">
        <v>0.16939814814814816</v>
      </c>
      <c r="DA816">
        <v>9.2372685185185183E-2</v>
      </c>
      <c r="DB816">
        <v>144</v>
      </c>
      <c r="DC816">
        <v>174</v>
      </c>
      <c r="DD816">
        <v>20</v>
      </c>
      <c r="DE816">
        <v>1.8</v>
      </c>
      <c r="DF816">
        <v>18339</v>
      </c>
      <c r="DG816">
        <v>0.1389</v>
      </c>
      <c r="DO816">
        <v>56</v>
      </c>
    </row>
    <row r="817" spans="93:119" x14ac:dyDescent="0.25">
      <c r="CO817" t="s">
        <v>636</v>
      </c>
      <c r="CP817" t="s">
        <v>6</v>
      </c>
      <c r="CQ817" t="s">
        <v>76</v>
      </c>
      <c r="CR817">
        <v>46157</v>
      </c>
      <c r="CS817">
        <v>1</v>
      </c>
      <c r="CT817">
        <v>1</v>
      </c>
      <c r="CU817">
        <v>1</v>
      </c>
      <c r="CX817">
        <v>1.3148148148148148E-2</v>
      </c>
      <c r="CY817">
        <v>1.3148148148148148E-2</v>
      </c>
      <c r="CZ817">
        <v>0.23313657407407407</v>
      </c>
      <c r="DA817">
        <v>7.4143518518518525E-2</v>
      </c>
      <c r="DB817">
        <v>73</v>
      </c>
      <c r="DC817">
        <v>77</v>
      </c>
      <c r="DD817">
        <v>16</v>
      </c>
      <c r="DE817">
        <v>1.25</v>
      </c>
      <c r="DF817">
        <v>14817</v>
      </c>
      <c r="DG817">
        <v>0.21920000000000001</v>
      </c>
      <c r="DO817">
        <v>56</v>
      </c>
    </row>
    <row r="818" spans="93:119" x14ac:dyDescent="0.25">
      <c r="CO818" t="s">
        <v>636</v>
      </c>
      <c r="CP818" t="s">
        <v>6</v>
      </c>
      <c r="CQ818" t="s">
        <v>76</v>
      </c>
      <c r="CR818">
        <v>46162</v>
      </c>
      <c r="CS818">
        <v>1</v>
      </c>
      <c r="CT818">
        <v>1</v>
      </c>
      <c r="CV818">
        <v>1</v>
      </c>
      <c r="CX818">
        <v>4.6296296296296294E-5</v>
      </c>
      <c r="CY818">
        <v>4.6296296296296294E-5</v>
      </c>
      <c r="CZ818">
        <v>0.24552083333333333</v>
      </c>
      <c r="DA818">
        <v>0.11085648148148149</v>
      </c>
      <c r="DB818">
        <v>163</v>
      </c>
      <c r="DC818">
        <v>190</v>
      </c>
      <c r="DD818">
        <v>19</v>
      </c>
      <c r="DE818" t="s">
        <v>792</v>
      </c>
      <c r="DF818">
        <v>23450</v>
      </c>
      <c r="DG818">
        <v>0.1166</v>
      </c>
      <c r="DO818">
        <v>56</v>
      </c>
    </row>
    <row r="819" spans="93:119" x14ac:dyDescent="0.25">
      <c r="CO819" t="s">
        <v>636</v>
      </c>
      <c r="CP819" t="s">
        <v>6</v>
      </c>
      <c r="CQ819" t="s">
        <v>76</v>
      </c>
      <c r="CR819">
        <v>46170</v>
      </c>
      <c r="CS819">
        <v>1</v>
      </c>
      <c r="CT819">
        <v>1</v>
      </c>
      <c r="CU819">
        <v>1</v>
      </c>
      <c r="CX819">
        <v>6.3888888888888893E-3</v>
      </c>
      <c r="CY819">
        <v>6.3888888888888893E-3</v>
      </c>
      <c r="CZ819">
        <v>0.17019675925925926</v>
      </c>
      <c r="DA819">
        <v>0.14484953703703704</v>
      </c>
      <c r="DB819">
        <v>175</v>
      </c>
      <c r="DC819">
        <v>193</v>
      </c>
      <c r="DD819">
        <v>10</v>
      </c>
      <c r="DE819">
        <v>1.8</v>
      </c>
      <c r="DF819">
        <v>8828</v>
      </c>
      <c r="DG819">
        <v>5.7099999999999998E-2</v>
      </c>
      <c r="DO819">
        <v>56</v>
      </c>
    </row>
    <row r="820" spans="93:119" x14ac:dyDescent="0.25">
      <c r="CO820" t="s">
        <v>636</v>
      </c>
      <c r="CP820" t="s">
        <v>6</v>
      </c>
      <c r="CQ820" t="s">
        <v>76</v>
      </c>
      <c r="CR820">
        <v>46172</v>
      </c>
      <c r="CS820">
        <v>1</v>
      </c>
      <c r="CT820">
        <v>1</v>
      </c>
      <c r="CX820">
        <v>1.3888888888888889E-4</v>
      </c>
      <c r="CY820">
        <v>1.3888888888888889E-4</v>
      </c>
      <c r="CZ820">
        <v>0.11837962962962963</v>
      </c>
      <c r="DA820">
        <v>1.1574074074074073E-5</v>
      </c>
      <c r="DB820">
        <v>31</v>
      </c>
      <c r="DC820">
        <v>32</v>
      </c>
      <c r="DD820">
        <v>7</v>
      </c>
      <c r="DE820">
        <v>1</v>
      </c>
      <c r="DF820">
        <v>12806</v>
      </c>
      <c r="DG820">
        <v>0.2258</v>
      </c>
      <c r="DO820">
        <v>56</v>
      </c>
    </row>
    <row r="821" spans="93:119" x14ac:dyDescent="0.25">
      <c r="CO821" t="s">
        <v>636</v>
      </c>
      <c r="CP821" t="s">
        <v>7</v>
      </c>
      <c r="CQ821" t="s">
        <v>60</v>
      </c>
      <c r="CR821">
        <v>46170</v>
      </c>
      <c r="CS821">
        <v>1</v>
      </c>
      <c r="CT821">
        <v>1</v>
      </c>
      <c r="CV821">
        <v>1</v>
      </c>
      <c r="CX821">
        <v>1.273148148148148E-4</v>
      </c>
      <c r="CY821">
        <v>1.273148148148148E-4</v>
      </c>
      <c r="CZ821">
        <v>0.17181712962962964</v>
      </c>
      <c r="DA821">
        <v>0.14887731481481481</v>
      </c>
      <c r="DB821">
        <v>209</v>
      </c>
      <c r="DC821">
        <v>244</v>
      </c>
      <c r="DD821">
        <v>11</v>
      </c>
      <c r="DE821" t="s">
        <v>673</v>
      </c>
      <c r="DF821">
        <v>32990</v>
      </c>
      <c r="DG821">
        <v>5.2600000000000001E-2</v>
      </c>
      <c r="DO821">
        <v>56</v>
      </c>
    </row>
    <row r="822" spans="93:119" x14ac:dyDescent="0.25">
      <c r="CO822" t="s">
        <v>636</v>
      </c>
      <c r="CP822" t="s">
        <v>7</v>
      </c>
      <c r="CQ822" t="s">
        <v>61</v>
      </c>
      <c r="CR822">
        <v>46157</v>
      </c>
      <c r="CS822">
        <v>1</v>
      </c>
      <c r="CT822">
        <v>1</v>
      </c>
      <c r="CU822">
        <v>1</v>
      </c>
      <c r="CX822">
        <v>4.7106481481481478E-3</v>
      </c>
      <c r="CY822">
        <v>4.7106481481481478E-3</v>
      </c>
      <c r="CZ822">
        <v>0.20613425925925927</v>
      </c>
      <c r="DA822">
        <v>0.11606481481481482</v>
      </c>
      <c r="DB822">
        <v>72</v>
      </c>
      <c r="DC822">
        <v>113</v>
      </c>
      <c r="DD822">
        <v>10</v>
      </c>
      <c r="DE822">
        <v>1.4</v>
      </c>
      <c r="DF822">
        <v>22616</v>
      </c>
      <c r="DG822">
        <v>0.1389</v>
      </c>
      <c r="DO822">
        <v>56</v>
      </c>
    </row>
    <row r="823" spans="93:119" x14ac:dyDescent="0.25">
      <c r="CO823" t="s">
        <v>636</v>
      </c>
      <c r="CP823" t="s">
        <v>7</v>
      </c>
      <c r="CQ823" t="s">
        <v>80</v>
      </c>
      <c r="CR823">
        <v>46168</v>
      </c>
      <c r="CS823">
        <v>1</v>
      </c>
      <c r="CT823">
        <v>1</v>
      </c>
      <c r="CV823">
        <v>1</v>
      </c>
      <c r="CX823">
        <v>4.6296296296296294E-5</v>
      </c>
      <c r="CY823">
        <v>4.6296296296296294E-5</v>
      </c>
      <c r="CZ823">
        <v>0.16172453703703704</v>
      </c>
      <c r="DA823">
        <v>0.16896990740740742</v>
      </c>
      <c r="DB823">
        <v>81</v>
      </c>
      <c r="DC823">
        <v>152</v>
      </c>
      <c r="DD823">
        <v>12</v>
      </c>
      <c r="DE823" t="s">
        <v>716</v>
      </c>
      <c r="DF823">
        <v>23464</v>
      </c>
      <c r="DG823">
        <v>0.14810000000000001</v>
      </c>
      <c r="DO823">
        <v>56</v>
      </c>
    </row>
    <row r="824" spans="93:119" x14ac:dyDescent="0.25">
      <c r="CO824" t="s">
        <v>636</v>
      </c>
      <c r="CP824" t="s">
        <v>7</v>
      </c>
      <c r="CQ824" t="s">
        <v>80</v>
      </c>
      <c r="CR824">
        <v>46170</v>
      </c>
      <c r="CS824">
        <v>1</v>
      </c>
      <c r="CT824">
        <v>1</v>
      </c>
      <c r="CV824">
        <v>1</v>
      </c>
      <c r="CX824">
        <v>2.7777777777777778E-4</v>
      </c>
      <c r="CY824">
        <v>2.7777777777777778E-4</v>
      </c>
      <c r="CZ824">
        <v>0.14847222222222223</v>
      </c>
      <c r="DA824">
        <v>0.16484953703703703</v>
      </c>
      <c r="DB824">
        <v>85</v>
      </c>
      <c r="DC824">
        <v>157</v>
      </c>
      <c r="DD824">
        <v>11</v>
      </c>
      <c r="DE824" t="s">
        <v>847</v>
      </c>
      <c r="DF824">
        <v>30517</v>
      </c>
      <c r="DG824">
        <v>0.12939999999999999</v>
      </c>
      <c r="DO824">
        <v>56</v>
      </c>
    </row>
    <row r="825" spans="93:119" x14ac:dyDescent="0.25">
      <c r="CO825" t="s">
        <v>636</v>
      </c>
      <c r="CP825" t="s">
        <v>7</v>
      </c>
      <c r="CQ825" t="s">
        <v>72</v>
      </c>
      <c r="CR825">
        <v>46164</v>
      </c>
      <c r="CS825">
        <v>1</v>
      </c>
      <c r="CT825">
        <v>1</v>
      </c>
      <c r="CV825">
        <v>1</v>
      </c>
      <c r="CX825">
        <v>4.6296296296296294E-5</v>
      </c>
      <c r="CY825">
        <v>4.6296296296296294E-5</v>
      </c>
      <c r="CZ825">
        <v>0.19585648148148149</v>
      </c>
      <c r="DA825">
        <v>0.12695601851851851</v>
      </c>
      <c r="DB825">
        <v>127</v>
      </c>
      <c r="DC825">
        <v>259</v>
      </c>
      <c r="DD825">
        <v>5</v>
      </c>
      <c r="DE825">
        <v>1.8</v>
      </c>
      <c r="DF825">
        <v>19698</v>
      </c>
      <c r="DG825">
        <v>3.9399999999999998E-2</v>
      </c>
      <c r="DO825">
        <v>56</v>
      </c>
    </row>
    <row r="826" spans="93:119" x14ac:dyDescent="0.25">
      <c r="CO826" t="s">
        <v>636</v>
      </c>
      <c r="CP826" t="s">
        <v>7</v>
      </c>
      <c r="CQ826" t="s">
        <v>12</v>
      </c>
      <c r="CR826">
        <v>46164</v>
      </c>
      <c r="CS826">
        <v>1</v>
      </c>
      <c r="CT826">
        <v>1</v>
      </c>
      <c r="CV826">
        <v>1</v>
      </c>
      <c r="CX826">
        <v>2.199074074074074E-4</v>
      </c>
      <c r="CY826">
        <v>2.199074074074074E-4</v>
      </c>
      <c r="CZ826">
        <v>0.19711805555555556</v>
      </c>
      <c r="DA826">
        <v>0.14378472222222222</v>
      </c>
      <c r="DB826">
        <v>60</v>
      </c>
      <c r="DC826">
        <v>154</v>
      </c>
      <c r="DD826">
        <v>9</v>
      </c>
      <c r="DE826" t="s">
        <v>767</v>
      </c>
      <c r="DF826">
        <v>13068</v>
      </c>
      <c r="DG826">
        <v>0.15</v>
      </c>
      <c r="DO826">
        <v>56</v>
      </c>
    </row>
    <row r="827" spans="93:119" x14ac:dyDescent="0.25">
      <c r="CO827" t="s">
        <v>636</v>
      </c>
      <c r="CP827" t="s">
        <v>7</v>
      </c>
      <c r="CQ827" t="s">
        <v>12</v>
      </c>
      <c r="CR827">
        <v>46168</v>
      </c>
      <c r="CS827">
        <v>1</v>
      </c>
      <c r="CT827">
        <v>1</v>
      </c>
      <c r="CV827">
        <v>1</v>
      </c>
      <c r="CX827">
        <v>3.1250000000000001E-4</v>
      </c>
      <c r="CY827">
        <v>3.1250000000000001E-4</v>
      </c>
      <c r="CZ827">
        <v>0.1532175925925926</v>
      </c>
      <c r="DA827">
        <v>0.17276620370370371</v>
      </c>
      <c r="DB827">
        <v>74</v>
      </c>
      <c r="DC827">
        <v>193</v>
      </c>
      <c r="DD827">
        <v>14</v>
      </c>
      <c r="DE827" t="s">
        <v>745</v>
      </c>
      <c r="DF827">
        <v>43074</v>
      </c>
      <c r="DG827">
        <v>0.18920000000000001</v>
      </c>
      <c r="DO827">
        <v>56</v>
      </c>
    </row>
    <row r="828" spans="93:119" x14ac:dyDescent="0.25">
      <c r="CO828" t="s">
        <v>636</v>
      </c>
      <c r="CP828" t="s">
        <v>7</v>
      </c>
      <c r="CQ828" t="s">
        <v>12</v>
      </c>
      <c r="CR828">
        <v>46170</v>
      </c>
      <c r="CS828">
        <v>1</v>
      </c>
      <c r="CT828">
        <v>1</v>
      </c>
      <c r="CV828">
        <v>1</v>
      </c>
      <c r="CX828">
        <v>3.9351851851851852E-4</v>
      </c>
      <c r="CY828">
        <v>3.9351851851851852E-4</v>
      </c>
      <c r="CZ828">
        <v>0.15781249999999999</v>
      </c>
      <c r="DA828">
        <v>0.16479166666666667</v>
      </c>
      <c r="DB828">
        <v>96</v>
      </c>
      <c r="DC828">
        <v>201</v>
      </c>
      <c r="DD828">
        <v>18</v>
      </c>
      <c r="DE828" t="s">
        <v>715</v>
      </c>
      <c r="DF828">
        <v>32717</v>
      </c>
      <c r="DG828">
        <v>0.1875</v>
      </c>
      <c r="DO828">
        <v>56</v>
      </c>
    </row>
    <row r="829" spans="93:119" x14ac:dyDescent="0.25">
      <c r="CO829" t="s">
        <v>636</v>
      </c>
      <c r="CP829" t="s">
        <v>7</v>
      </c>
      <c r="CQ829" t="s">
        <v>51</v>
      </c>
      <c r="CR829">
        <v>46164</v>
      </c>
      <c r="CS829">
        <v>1</v>
      </c>
      <c r="CT829">
        <v>1</v>
      </c>
      <c r="CV829">
        <v>1</v>
      </c>
      <c r="CX829">
        <v>4.1666666666666669E-4</v>
      </c>
      <c r="CY829">
        <v>4.1666666666666669E-4</v>
      </c>
      <c r="CZ829">
        <v>0.18182870370370371</v>
      </c>
      <c r="DA829">
        <v>0.15107638888888889</v>
      </c>
      <c r="DB829">
        <v>55</v>
      </c>
      <c r="DC829">
        <v>155</v>
      </c>
      <c r="DD829">
        <v>8</v>
      </c>
      <c r="DE829">
        <v>1.125</v>
      </c>
      <c r="DF829">
        <v>37584</v>
      </c>
      <c r="DG829">
        <v>0.14549999999999999</v>
      </c>
      <c r="DO829">
        <v>56</v>
      </c>
    </row>
    <row r="830" spans="93:119" x14ac:dyDescent="0.25">
      <c r="CO830" t="s">
        <v>636</v>
      </c>
      <c r="CP830" t="s">
        <v>7</v>
      </c>
      <c r="CQ830" t="s">
        <v>26</v>
      </c>
      <c r="CR830">
        <v>46164</v>
      </c>
      <c r="CS830">
        <v>1</v>
      </c>
      <c r="CT830">
        <v>1</v>
      </c>
      <c r="CV830">
        <v>1</v>
      </c>
      <c r="CX830">
        <v>8.1018518518518516E-5</v>
      </c>
      <c r="CY830">
        <v>8.1018518518518516E-5</v>
      </c>
      <c r="CZ830">
        <v>0.22207175925925926</v>
      </c>
      <c r="DA830">
        <v>0.13402777777777777</v>
      </c>
      <c r="DB830">
        <v>140</v>
      </c>
      <c r="DC830">
        <v>260</v>
      </c>
      <c r="DD830">
        <v>16</v>
      </c>
      <c r="DE830">
        <v>1.4375</v>
      </c>
      <c r="DF830">
        <v>38011</v>
      </c>
      <c r="DG830">
        <v>0.1143</v>
      </c>
      <c r="DO830">
        <v>56</v>
      </c>
    </row>
    <row r="831" spans="93:119" x14ac:dyDescent="0.25">
      <c r="CO831" t="s">
        <v>636</v>
      </c>
      <c r="CP831" t="s">
        <v>7</v>
      </c>
      <c r="CQ831" t="s">
        <v>26</v>
      </c>
      <c r="CR831">
        <v>46168</v>
      </c>
      <c r="CS831">
        <v>1</v>
      </c>
      <c r="CT831">
        <v>1</v>
      </c>
      <c r="CV831">
        <v>1</v>
      </c>
      <c r="CX831">
        <v>4.6296296296296294E-5</v>
      </c>
      <c r="CY831">
        <v>4.6296296296296294E-5</v>
      </c>
      <c r="CZ831">
        <v>0.15516203703703704</v>
      </c>
      <c r="DA831">
        <v>0.18224537037037036</v>
      </c>
      <c r="DB831">
        <v>143</v>
      </c>
      <c r="DC831">
        <v>342</v>
      </c>
      <c r="DD831">
        <v>19</v>
      </c>
      <c r="DE831" t="s">
        <v>691</v>
      </c>
      <c r="DF831">
        <v>23489</v>
      </c>
      <c r="DG831">
        <v>0.13289999999999999</v>
      </c>
      <c r="DO831">
        <v>56</v>
      </c>
    </row>
    <row r="832" spans="93:119" x14ac:dyDescent="0.25">
      <c r="CO832" t="s">
        <v>636</v>
      </c>
      <c r="CP832" t="s">
        <v>7</v>
      </c>
      <c r="CQ832" t="s">
        <v>26</v>
      </c>
      <c r="CR832">
        <v>46170</v>
      </c>
      <c r="CS832">
        <v>1</v>
      </c>
      <c r="CT832">
        <v>1</v>
      </c>
      <c r="CV832">
        <v>1</v>
      </c>
      <c r="CX832">
        <v>4.6296296296296294E-5</v>
      </c>
      <c r="CY832">
        <v>4.6296296296296294E-5</v>
      </c>
      <c r="CZ832">
        <v>0.13982638888888888</v>
      </c>
      <c r="DA832">
        <v>0.16873842592592592</v>
      </c>
      <c r="DB832">
        <v>127</v>
      </c>
      <c r="DC832">
        <v>291</v>
      </c>
      <c r="DD832">
        <v>18</v>
      </c>
      <c r="DE832" t="s">
        <v>718</v>
      </c>
      <c r="DF832">
        <v>38014</v>
      </c>
      <c r="DG832">
        <v>0.14169999999999999</v>
      </c>
      <c r="DO832">
        <v>56</v>
      </c>
    </row>
    <row r="833" spans="93:119" x14ac:dyDescent="0.25">
      <c r="CO833" t="s">
        <v>636</v>
      </c>
      <c r="CP833" t="s">
        <v>604</v>
      </c>
      <c r="CQ833" t="s">
        <v>109</v>
      </c>
      <c r="CR833">
        <v>46155</v>
      </c>
      <c r="CS833">
        <v>1</v>
      </c>
      <c r="CT833">
        <v>1</v>
      </c>
      <c r="CV833">
        <v>1</v>
      </c>
      <c r="CX833">
        <v>2.199074074074074E-4</v>
      </c>
      <c r="CY833">
        <v>2.199074074074074E-4</v>
      </c>
      <c r="CZ833">
        <v>0.22528935185185187</v>
      </c>
      <c r="DA833">
        <v>0.10021990740740741</v>
      </c>
      <c r="DB833">
        <v>83</v>
      </c>
      <c r="DC833">
        <v>142</v>
      </c>
      <c r="DD833">
        <v>21</v>
      </c>
      <c r="DE833" t="s">
        <v>788</v>
      </c>
      <c r="DF833">
        <v>23419</v>
      </c>
      <c r="DG833">
        <v>0.253</v>
      </c>
      <c r="DO833">
        <v>56</v>
      </c>
    </row>
    <row r="834" spans="93:119" x14ac:dyDescent="0.25">
      <c r="CO834" t="s">
        <v>636</v>
      </c>
      <c r="CP834" t="s">
        <v>604</v>
      </c>
      <c r="CQ834" t="s">
        <v>109</v>
      </c>
      <c r="CR834">
        <v>46164</v>
      </c>
      <c r="CS834">
        <v>1</v>
      </c>
      <c r="CT834">
        <v>1</v>
      </c>
      <c r="CV834">
        <v>1</v>
      </c>
      <c r="CX834">
        <v>1.5046296296296297E-4</v>
      </c>
      <c r="CY834">
        <v>1.5046296296296297E-4</v>
      </c>
      <c r="CZ834">
        <v>0.21315972222222221</v>
      </c>
      <c r="DA834">
        <v>0.1153125</v>
      </c>
      <c r="DB834">
        <v>83</v>
      </c>
      <c r="DC834">
        <v>141</v>
      </c>
      <c r="DD834">
        <v>20</v>
      </c>
      <c r="DE834">
        <v>1.65</v>
      </c>
      <c r="DF834">
        <v>39645</v>
      </c>
      <c r="DG834">
        <v>0.24099999999999999</v>
      </c>
      <c r="DO834">
        <v>56</v>
      </c>
    </row>
    <row r="835" spans="93:119" x14ac:dyDescent="0.25">
      <c r="CO835" t="s">
        <v>636</v>
      </c>
      <c r="CP835" t="s">
        <v>604</v>
      </c>
      <c r="CQ835" t="s">
        <v>41</v>
      </c>
      <c r="CR835">
        <v>46155</v>
      </c>
      <c r="CS835">
        <v>1</v>
      </c>
      <c r="CT835">
        <v>1</v>
      </c>
      <c r="CV835">
        <v>1</v>
      </c>
      <c r="CX835">
        <v>1.7361111111111112E-4</v>
      </c>
      <c r="CY835">
        <v>1.7361111111111112E-4</v>
      </c>
      <c r="CZ835">
        <v>0.18606481481481482</v>
      </c>
      <c r="DA835">
        <v>0.15004629629629629</v>
      </c>
      <c r="DB835">
        <v>110</v>
      </c>
      <c r="DC835">
        <v>202</v>
      </c>
      <c r="DD835">
        <v>37</v>
      </c>
      <c r="DE835" t="s">
        <v>828</v>
      </c>
      <c r="DF835">
        <v>10399</v>
      </c>
      <c r="DG835">
        <v>0.33639999999999998</v>
      </c>
      <c r="DO835">
        <v>56</v>
      </c>
    </row>
    <row r="836" spans="93:119" x14ac:dyDescent="0.25">
      <c r="CO836" t="s">
        <v>636</v>
      </c>
      <c r="CP836" t="s">
        <v>604</v>
      </c>
      <c r="CQ836" t="s">
        <v>495</v>
      </c>
      <c r="CR836">
        <v>46167</v>
      </c>
      <c r="CS836">
        <v>1</v>
      </c>
      <c r="CT836">
        <v>1</v>
      </c>
      <c r="CU836">
        <v>1</v>
      </c>
      <c r="CX836">
        <v>5.8796296296296296E-3</v>
      </c>
      <c r="CY836">
        <v>5.8796296296296296E-3</v>
      </c>
      <c r="CZ836">
        <v>0.17005787037037037</v>
      </c>
      <c r="DA836">
        <v>0.13773148148148148</v>
      </c>
      <c r="DB836">
        <v>127</v>
      </c>
      <c r="DC836">
        <v>302</v>
      </c>
      <c r="DD836">
        <v>18</v>
      </c>
      <c r="DE836" t="s">
        <v>674</v>
      </c>
      <c r="DF836">
        <v>39037</v>
      </c>
      <c r="DG836">
        <v>0.14169999999999999</v>
      </c>
      <c r="DH836">
        <v>1</v>
      </c>
      <c r="DI836">
        <v>5.5599999999999997E-2</v>
      </c>
      <c r="DJ836">
        <v>600</v>
      </c>
      <c r="DK836">
        <v>600</v>
      </c>
      <c r="DO836">
        <v>56</v>
      </c>
    </row>
    <row r="837" spans="93:119" x14ac:dyDescent="0.25">
      <c r="CO837" t="s">
        <v>636</v>
      </c>
      <c r="CP837" t="s">
        <v>604</v>
      </c>
      <c r="CQ837" t="s">
        <v>495</v>
      </c>
      <c r="CR837">
        <v>46169</v>
      </c>
      <c r="CS837">
        <v>1</v>
      </c>
      <c r="CT837">
        <v>1</v>
      </c>
      <c r="CV837">
        <v>1</v>
      </c>
      <c r="CX837">
        <v>2.9861111111111113E-3</v>
      </c>
      <c r="CY837">
        <v>2.9861111111111113E-3</v>
      </c>
      <c r="CZ837">
        <v>0.21189814814814814</v>
      </c>
      <c r="DA837">
        <v>0.13572916666666668</v>
      </c>
      <c r="DB837">
        <v>82</v>
      </c>
      <c r="DC837">
        <v>202</v>
      </c>
      <c r="DD837">
        <v>10</v>
      </c>
      <c r="DE837">
        <v>1.9</v>
      </c>
      <c r="DF837">
        <v>35875</v>
      </c>
      <c r="DG837">
        <v>0.122</v>
      </c>
      <c r="DO837">
        <v>56</v>
      </c>
    </row>
    <row r="838" spans="93:119" x14ac:dyDescent="0.25">
      <c r="CO838" t="s">
        <v>636</v>
      </c>
      <c r="CP838" t="s">
        <v>604</v>
      </c>
      <c r="CQ838" t="s">
        <v>600</v>
      </c>
      <c r="CR838">
        <v>46169</v>
      </c>
      <c r="CS838">
        <v>1</v>
      </c>
      <c r="CT838">
        <v>1</v>
      </c>
      <c r="CV838">
        <v>1</v>
      </c>
      <c r="CX838">
        <v>0</v>
      </c>
      <c r="CY838">
        <v>0</v>
      </c>
      <c r="CZ838">
        <v>0.18402777777777779</v>
      </c>
      <c r="DA838">
        <v>0.16325231481481481</v>
      </c>
      <c r="DB838">
        <v>88</v>
      </c>
      <c r="DC838">
        <v>177</v>
      </c>
      <c r="DD838">
        <v>19</v>
      </c>
      <c r="DE838" t="s">
        <v>691</v>
      </c>
      <c r="DF838">
        <v>24522</v>
      </c>
      <c r="DG838">
        <v>0.21590000000000001</v>
      </c>
      <c r="DO838">
        <v>56</v>
      </c>
    </row>
    <row r="839" spans="93:119" x14ac:dyDescent="0.25">
      <c r="CO839" t="s">
        <v>636</v>
      </c>
      <c r="CP839" t="s">
        <v>604</v>
      </c>
      <c r="CQ839" t="s">
        <v>600</v>
      </c>
      <c r="CR839">
        <v>46171</v>
      </c>
      <c r="CS839">
        <v>1</v>
      </c>
      <c r="CT839">
        <v>1</v>
      </c>
      <c r="CV839">
        <v>1</v>
      </c>
      <c r="CX839">
        <v>1.7361111111111112E-4</v>
      </c>
      <c r="CY839">
        <v>1.7361111111111112E-4</v>
      </c>
      <c r="CZ839">
        <v>0.17751157407407409</v>
      </c>
      <c r="DA839">
        <v>0.20380787037037038</v>
      </c>
      <c r="DB839">
        <v>98</v>
      </c>
      <c r="DC839">
        <v>190</v>
      </c>
      <c r="DD839">
        <v>17</v>
      </c>
      <c r="DE839" t="s">
        <v>782</v>
      </c>
      <c r="DF839">
        <v>18716</v>
      </c>
      <c r="DG839">
        <v>0.17349999999999999</v>
      </c>
      <c r="DO839">
        <v>56</v>
      </c>
    </row>
    <row r="840" spans="93:119" x14ac:dyDescent="0.25">
      <c r="CO840" t="s">
        <v>636</v>
      </c>
      <c r="CP840" t="s">
        <v>604</v>
      </c>
      <c r="CQ840" t="s">
        <v>49</v>
      </c>
      <c r="CR840">
        <v>46164</v>
      </c>
      <c r="CS840">
        <v>1</v>
      </c>
      <c r="CT840">
        <v>1</v>
      </c>
      <c r="CV840">
        <v>1</v>
      </c>
      <c r="CX840">
        <v>0</v>
      </c>
      <c r="CY840">
        <v>0</v>
      </c>
      <c r="CZ840">
        <v>0.19962962962962963</v>
      </c>
      <c r="DA840">
        <v>5.9363425925925924E-2</v>
      </c>
      <c r="DB840">
        <v>66</v>
      </c>
      <c r="DC840">
        <v>98</v>
      </c>
      <c r="DD840">
        <v>10</v>
      </c>
      <c r="DE840">
        <v>1.5</v>
      </c>
      <c r="DF840">
        <v>43529</v>
      </c>
      <c r="DG840">
        <v>0.1515</v>
      </c>
      <c r="DO840">
        <v>56</v>
      </c>
    </row>
    <row r="841" spans="93:119" x14ac:dyDescent="0.25">
      <c r="CO841" t="s">
        <v>636</v>
      </c>
      <c r="CP841" t="s">
        <v>604</v>
      </c>
      <c r="CQ841" t="s">
        <v>49</v>
      </c>
      <c r="CR841">
        <v>46168</v>
      </c>
      <c r="CS841">
        <v>1</v>
      </c>
      <c r="CT841">
        <v>1</v>
      </c>
      <c r="CV841">
        <v>1</v>
      </c>
      <c r="CX841">
        <v>0</v>
      </c>
      <c r="CY841">
        <v>0</v>
      </c>
      <c r="CZ841">
        <v>0.17571759259259259</v>
      </c>
      <c r="DA841">
        <v>0.14297453703703702</v>
      </c>
      <c r="DB841">
        <v>62</v>
      </c>
      <c r="DC841">
        <v>99</v>
      </c>
      <c r="DD841">
        <v>9</v>
      </c>
      <c r="DE841" t="s">
        <v>674</v>
      </c>
      <c r="DF841">
        <v>28738</v>
      </c>
      <c r="DG841">
        <v>0.1452</v>
      </c>
      <c r="DO841">
        <v>56</v>
      </c>
    </row>
    <row r="842" spans="93:119" x14ac:dyDescent="0.25">
      <c r="CO842" t="s">
        <v>636</v>
      </c>
      <c r="CP842" t="s">
        <v>604</v>
      </c>
      <c r="CQ842" t="s">
        <v>49</v>
      </c>
      <c r="CR842">
        <v>46170</v>
      </c>
      <c r="CS842">
        <v>1</v>
      </c>
      <c r="CT842">
        <v>1</v>
      </c>
      <c r="CV842">
        <v>1</v>
      </c>
      <c r="CX842">
        <v>0</v>
      </c>
      <c r="CY842">
        <v>0</v>
      </c>
      <c r="CZ842">
        <v>0.14710648148148148</v>
      </c>
      <c r="DA842">
        <v>0.17719907407407406</v>
      </c>
      <c r="DB842">
        <v>41</v>
      </c>
      <c r="DC842">
        <v>60</v>
      </c>
      <c r="DD842">
        <v>8</v>
      </c>
      <c r="DE842">
        <v>1.75</v>
      </c>
      <c r="DF842">
        <v>19559</v>
      </c>
      <c r="DG842">
        <v>0.1951</v>
      </c>
      <c r="DO842">
        <v>56</v>
      </c>
    </row>
    <row r="843" spans="93:119" x14ac:dyDescent="0.25">
      <c r="CO843" t="s">
        <v>636</v>
      </c>
      <c r="CP843" t="s">
        <v>604</v>
      </c>
      <c r="CQ843" t="s">
        <v>49</v>
      </c>
      <c r="CR843">
        <v>46171</v>
      </c>
      <c r="CS843">
        <v>1</v>
      </c>
      <c r="CT843">
        <v>1</v>
      </c>
      <c r="CV843">
        <v>1</v>
      </c>
      <c r="CX843">
        <v>0</v>
      </c>
      <c r="CY843">
        <v>0</v>
      </c>
      <c r="CZ843">
        <v>0.22306712962962963</v>
      </c>
      <c r="DA843">
        <v>0.13047453703703704</v>
      </c>
      <c r="DB843">
        <v>53</v>
      </c>
      <c r="DC843">
        <v>78</v>
      </c>
      <c r="DD843">
        <v>10</v>
      </c>
      <c r="DE843">
        <v>1.4</v>
      </c>
      <c r="DF843">
        <v>28491</v>
      </c>
      <c r="DG843">
        <v>0.18870000000000001</v>
      </c>
      <c r="DO843">
        <v>56</v>
      </c>
    </row>
    <row r="844" spans="93:119" x14ac:dyDescent="0.25">
      <c r="CO844" t="s">
        <v>636</v>
      </c>
      <c r="CP844" t="s">
        <v>604</v>
      </c>
      <c r="CQ844" t="s">
        <v>599</v>
      </c>
      <c r="CR844">
        <v>46164</v>
      </c>
      <c r="CS844">
        <v>1</v>
      </c>
      <c r="CT844">
        <v>1</v>
      </c>
      <c r="CV844">
        <v>1</v>
      </c>
      <c r="CX844">
        <v>0</v>
      </c>
      <c r="CY844">
        <v>0</v>
      </c>
      <c r="CZ844">
        <v>0.18884259259259259</v>
      </c>
      <c r="DA844">
        <v>0.13582175925925927</v>
      </c>
      <c r="DB844">
        <v>132</v>
      </c>
      <c r="DC844">
        <v>165</v>
      </c>
      <c r="DD844">
        <v>24</v>
      </c>
      <c r="DE844" t="s">
        <v>919</v>
      </c>
      <c r="DF844">
        <v>9884</v>
      </c>
      <c r="DG844">
        <v>0.18179999999999999</v>
      </c>
      <c r="DO844">
        <v>56</v>
      </c>
    </row>
    <row r="845" spans="93:119" x14ac:dyDescent="0.25">
      <c r="CO845" t="s">
        <v>636</v>
      </c>
      <c r="CP845" t="s">
        <v>604</v>
      </c>
      <c r="CQ845" t="s">
        <v>599</v>
      </c>
      <c r="CR845">
        <v>46168</v>
      </c>
      <c r="CS845">
        <v>1</v>
      </c>
      <c r="CT845">
        <v>1</v>
      </c>
      <c r="CV845">
        <v>1</v>
      </c>
      <c r="CX845">
        <v>1.5046296296296297E-4</v>
      </c>
      <c r="CY845">
        <v>1.5046296296296297E-4</v>
      </c>
      <c r="CZ845">
        <v>0.18157407407407408</v>
      </c>
      <c r="DA845">
        <v>9.0231481481481482E-2</v>
      </c>
      <c r="DB845">
        <v>120</v>
      </c>
      <c r="DC845">
        <v>158</v>
      </c>
      <c r="DD845">
        <v>25</v>
      </c>
      <c r="DE845">
        <v>1.52</v>
      </c>
      <c r="DF845">
        <v>11862</v>
      </c>
      <c r="DG845">
        <v>0.20830000000000001</v>
      </c>
      <c r="DO845">
        <v>56</v>
      </c>
    </row>
    <row r="846" spans="93:119" x14ac:dyDescent="0.25">
      <c r="CO846" t="s">
        <v>636</v>
      </c>
      <c r="CP846" t="s">
        <v>604</v>
      </c>
      <c r="CQ846" t="s">
        <v>599</v>
      </c>
      <c r="CR846">
        <v>46170</v>
      </c>
      <c r="CS846">
        <v>1</v>
      </c>
      <c r="CT846">
        <v>1</v>
      </c>
      <c r="CV846">
        <v>1</v>
      </c>
      <c r="CX846">
        <v>0</v>
      </c>
      <c r="CY846">
        <v>0</v>
      </c>
      <c r="CZ846">
        <v>0.14958333333333335</v>
      </c>
      <c r="DA846">
        <v>0.16737268518518519</v>
      </c>
      <c r="DB846">
        <v>112</v>
      </c>
      <c r="DC846">
        <v>145</v>
      </c>
      <c r="DD846">
        <v>16</v>
      </c>
      <c r="DE846">
        <v>1.5625</v>
      </c>
      <c r="DF846">
        <v>10728</v>
      </c>
      <c r="DG846">
        <v>0.1429</v>
      </c>
      <c r="DO846">
        <v>56</v>
      </c>
    </row>
    <row r="847" spans="93:119" x14ac:dyDescent="0.25">
      <c r="CO847" t="s">
        <v>636</v>
      </c>
      <c r="CP847" t="s">
        <v>604</v>
      </c>
      <c r="CQ847" t="s">
        <v>549</v>
      </c>
      <c r="CR847">
        <v>46168</v>
      </c>
      <c r="CS847">
        <v>1</v>
      </c>
      <c r="CT847">
        <v>1</v>
      </c>
      <c r="CV847">
        <v>1</v>
      </c>
      <c r="CX847">
        <v>3.4722222222222222E-5</v>
      </c>
      <c r="CY847">
        <v>3.4722222222222222E-5</v>
      </c>
      <c r="CZ847">
        <v>0.19869212962962962</v>
      </c>
      <c r="DA847">
        <v>0.12917824074074075</v>
      </c>
      <c r="DB847">
        <v>161</v>
      </c>
      <c r="DC847">
        <v>258</v>
      </c>
      <c r="DD847">
        <v>35</v>
      </c>
      <c r="DE847" t="s">
        <v>920</v>
      </c>
      <c r="DF847">
        <v>11785</v>
      </c>
      <c r="DG847">
        <v>0.21740000000000001</v>
      </c>
      <c r="DO847">
        <v>56</v>
      </c>
    </row>
    <row r="848" spans="93:119" x14ac:dyDescent="0.25">
      <c r="CO848" t="s">
        <v>636</v>
      </c>
      <c r="CP848" t="s">
        <v>604</v>
      </c>
      <c r="CQ848" t="s">
        <v>549</v>
      </c>
      <c r="CR848">
        <v>46170</v>
      </c>
      <c r="CS848">
        <v>1</v>
      </c>
      <c r="CT848">
        <v>1</v>
      </c>
      <c r="CV848">
        <v>1</v>
      </c>
      <c r="CX848">
        <v>0</v>
      </c>
      <c r="CY848">
        <v>0</v>
      </c>
      <c r="CZ848">
        <v>0.19515046296296296</v>
      </c>
      <c r="DA848">
        <v>0.14592592592592593</v>
      </c>
      <c r="DB848">
        <v>148</v>
      </c>
      <c r="DC848">
        <v>232</v>
      </c>
      <c r="DD848">
        <v>28</v>
      </c>
      <c r="DE848" t="s">
        <v>871</v>
      </c>
      <c r="DF848">
        <v>16357</v>
      </c>
      <c r="DG848">
        <v>0.18920000000000001</v>
      </c>
      <c r="DH848">
        <v>1</v>
      </c>
      <c r="DI848">
        <v>3.5700000000000003E-2</v>
      </c>
      <c r="DJ848">
        <v>270</v>
      </c>
      <c r="DK848">
        <v>270</v>
      </c>
      <c r="DO848">
        <v>56</v>
      </c>
    </row>
    <row r="849" spans="93:120" x14ac:dyDescent="0.25">
      <c r="CO849" t="s">
        <v>636</v>
      </c>
      <c r="CP849" t="s">
        <v>604</v>
      </c>
      <c r="CQ849" t="s">
        <v>77</v>
      </c>
      <c r="CR849">
        <v>46164</v>
      </c>
      <c r="CS849">
        <v>1</v>
      </c>
      <c r="CT849">
        <v>1</v>
      </c>
      <c r="CV849">
        <v>1</v>
      </c>
      <c r="CX849">
        <v>0</v>
      </c>
      <c r="CY849">
        <v>0</v>
      </c>
      <c r="CZ849">
        <v>0.2152662037037037</v>
      </c>
      <c r="DA849">
        <v>8.8298611111111105E-2</v>
      </c>
      <c r="DB849">
        <v>111</v>
      </c>
      <c r="DC849">
        <v>221</v>
      </c>
      <c r="DD849">
        <v>19</v>
      </c>
      <c r="DE849" t="s">
        <v>921</v>
      </c>
      <c r="DF849">
        <v>20414</v>
      </c>
      <c r="DG849">
        <v>0.17119999999999999</v>
      </c>
      <c r="DO849">
        <v>56</v>
      </c>
    </row>
    <row r="850" spans="93:120" x14ac:dyDescent="0.25">
      <c r="CO850" t="s">
        <v>636</v>
      </c>
      <c r="CP850" t="s">
        <v>604</v>
      </c>
      <c r="CQ850" t="s">
        <v>55</v>
      </c>
      <c r="CR850">
        <v>46171</v>
      </c>
      <c r="CS850">
        <v>1</v>
      </c>
      <c r="CT850">
        <v>1</v>
      </c>
      <c r="CV850">
        <v>1</v>
      </c>
      <c r="CX850">
        <v>2.6620370370370372E-4</v>
      </c>
      <c r="CY850">
        <v>2.6620370370370372E-4</v>
      </c>
      <c r="CZ850">
        <v>0.2074074074074074</v>
      </c>
      <c r="DA850">
        <v>0.18381944444444445</v>
      </c>
      <c r="DB850">
        <v>138</v>
      </c>
      <c r="DC850">
        <v>213</v>
      </c>
      <c r="DD850">
        <v>15</v>
      </c>
      <c r="DE850" t="s">
        <v>710</v>
      </c>
      <c r="DF850">
        <v>22975</v>
      </c>
      <c r="DG850">
        <v>0.1087</v>
      </c>
      <c r="DO850">
        <v>56</v>
      </c>
    </row>
    <row r="851" spans="93:120" x14ac:dyDescent="0.25">
      <c r="CO851" t="s">
        <v>636</v>
      </c>
      <c r="CP851" t="s">
        <v>604</v>
      </c>
      <c r="CQ851" t="s">
        <v>566</v>
      </c>
      <c r="CR851">
        <v>46164</v>
      </c>
      <c r="CS851">
        <v>1</v>
      </c>
      <c r="CT851">
        <v>1</v>
      </c>
      <c r="CV851">
        <v>1</v>
      </c>
      <c r="CX851">
        <v>0</v>
      </c>
      <c r="CY851">
        <v>0</v>
      </c>
      <c r="CZ851">
        <v>0.20072916666666665</v>
      </c>
      <c r="DA851">
        <v>0.14957175925925925</v>
      </c>
      <c r="DB851">
        <v>170</v>
      </c>
      <c r="DC851">
        <v>256</v>
      </c>
      <c r="DD851">
        <v>31</v>
      </c>
      <c r="DE851" t="s">
        <v>922</v>
      </c>
      <c r="DF851">
        <v>11504</v>
      </c>
      <c r="DG851">
        <v>0.18240000000000001</v>
      </c>
      <c r="DH851">
        <v>1</v>
      </c>
      <c r="DI851">
        <v>3.2300000000000002E-2</v>
      </c>
      <c r="DJ851">
        <v>180</v>
      </c>
      <c r="DK851">
        <v>180</v>
      </c>
      <c r="DO851">
        <v>56</v>
      </c>
    </row>
    <row r="852" spans="93:120" x14ac:dyDescent="0.25">
      <c r="CO852" t="s">
        <v>636</v>
      </c>
      <c r="CP852" t="s">
        <v>604</v>
      </c>
      <c r="CQ852" t="s">
        <v>48</v>
      </c>
      <c r="CR852">
        <v>46155</v>
      </c>
      <c r="CS852">
        <v>1</v>
      </c>
      <c r="CT852">
        <v>1</v>
      </c>
      <c r="CV852">
        <v>1</v>
      </c>
      <c r="CX852">
        <v>1.7361111111111112E-4</v>
      </c>
      <c r="CY852">
        <v>1.7361111111111112E-4</v>
      </c>
      <c r="CZ852">
        <v>0.19721064814814815</v>
      </c>
      <c r="DA852">
        <v>0.13640046296296296</v>
      </c>
      <c r="DB852">
        <v>106</v>
      </c>
      <c r="DC852">
        <v>138</v>
      </c>
      <c r="DD852">
        <v>29</v>
      </c>
      <c r="DE852" t="s">
        <v>867</v>
      </c>
      <c r="DF852">
        <v>11481</v>
      </c>
      <c r="DG852">
        <v>0.27360000000000001</v>
      </c>
      <c r="DO852">
        <v>56</v>
      </c>
    </row>
    <row r="853" spans="93:120" x14ac:dyDescent="0.25">
      <c r="CO853" t="s">
        <v>636</v>
      </c>
      <c r="CP853" t="s">
        <v>604</v>
      </c>
      <c r="CQ853" t="s">
        <v>48</v>
      </c>
      <c r="CR853">
        <v>46168</v>
      </c>
      <c r="CS853">
        <v>1</v>
      </c>
      <c r="CT853">
        <v>1</v>
      </c>
      <c r="CV853">
        <v>1</v>
      </c>
      <c r="CX853">
        <v>0</v>
      </c>
      <c r="CY853">
        <v>0</v>
      </c>
      <c r="CZ853">
        <v>0.1839699074074074</v>
      </c>
      <c r="DA853">
        <v>0.13938657407407407</v>
      </c>
      <c r="DB853">
        <v>82</v>
      </c>
      <c r="DC853">
        <v>123</v>
      </c>
      <c r="DD853">
        <v>26</v>
      </c>
      <c r="DE853" t="s">
        <v>704</v>
      </c>
      <c r="DF853">
        <v>25043</v>
      </c>
      <c r="DG853">
        <v>0.31709999999999999</v>
      </c>
      <c r="DO853">
        <v>56</v>
      </c>
    </row>
    <row r="854" spans="93:120" x14ac:dyDescent="0.25">
      <c r="CO854" t="s">
        <v>636</v>
      </c>
      <c r="CP854" t="s">
        <v>604</v>
      </c>
      <c r="CQ854" t="s">
        <v>48</v>
      </c>
      <c r="CR854">
        <v>46169</v>
      </c>
      <c r="CS854">
        <v>1</v>
      </c>
      <c r="CT854">
        <v>1</v>
      </c>
      <c r="CV854">
        <v>1</v>
      </c>
      <c r="CX854">
        <v>0</v>
      </c>
      <c r="CY854">
        <v>0</v>
      </c>
      <c r="CZ854">
        <v>0.20065972222222223</v>
      </c>
      <c r="DA854">
        <v>0.13439814814814816</v>
      </c>
      <c r="DB854">
        <v>90</v>
      </c>
      <c r="DC854">
        <v>121</v>
      </c>
      <c r="DD854">
        <v>13</v>
      </c>
      <c r="DE854" t="s">
        <v>843</v>
      </c>
      <c r="DF854">
        <v>18506</v>
      </c>
      <c r="DG854">
        <v>0.1444</v>
      </c>
      <c r="DO854">
        <v>56</v>
      </c>
    </row>
    <row r="855" spans="93:120" x14ac:dyDescent="0.25">
      <c r="CO855" t="s">
        <v>636</v>
      </c>
      <c r="CP855" t="s">
        <v>604</v>
      </c>
      <c r="CQ855" t="s">
        <v>48</v>
      </c>
      <c r="CR855">
        <v>46170</v>
      </c>
      <c r="CS855">
        <v>1</v>
      </c>
      <c r="CT855">
        <v>1</v>
      </c>
      <c r="CV855">
        <v>1</v>
      </c>
      <c r="CX855">
        <v>1.3888888888888889E-4</v>
      </c>
      <c r="CY855">
        <v>1.3888888888888889E-4</v>
      </c>
      <c r="CZ855">
        <v>0.18699074074074074</v>
      </c>
      <c r="DA855">
        <v>0.1424074074074074</v>
      </c>
      <c r="DB855">
        <v>70</v>
      </c>
      <c r="DC855">
        <v>101</v>
      </c>
      <c r="DD855">
        <v>16</v>
      </c>
      <c r="DE855">
        <v>1.625</v>
      </c>
      <c r="DF855">
        <v>26973</v>
      </c>
      <c r="DG855">
        <v>0.2286</v>
      </c>
      <c r="DO855">
        <v>56</v>
      </c>
    </row>
    <row r="856" spans="93:120" x14ac:dyDescent="0.25">
      <c r="CO856" t="s">
        <v>636</v>
      </c>
      <c r="CP856" t="s">
        <v>3</v>
      </c>
      <c r="CQ856" t="s">
        <v>58</v>
      </c>
      <c r="CR856">
        <v>46154</v>
      </c>
      <c r="CS856">
        <v>1</v>
      </c>
      <c r="CT856">
        <v>1</v>
      </c>
      <c r="CV856">
        <v>1</v>
      </c>
      <c r="CX856">
        <v>8.1018518518518516E-5</v>
      </c>
      <c r="CY856">
        <v>8.1018518518518516E-5</v>
      </c>
      <c r="CZ856">
        <v>0.26973379629629629</v>
      </c>
      <c r="DA856">
        <v>0.13901620370370371</v>
      </c>
      <c r="DB856">
        <v>111</v>
      </c>
      <c r="DC856">
        <v>251</v>
      </c>
      <c r="DD856">
        <v>35</v>
      </c>
      <c r="DE856" t="s">
        <v>918</v>
      </c>
      <c r="DF856">
        <v>33406</v>
      </c>
      <c r="DG856">
        <v>0.31530000000000002</v>
      </c>
      <c r="DO856">
        <v>56</v>
      </c>
    </row>
    <row r="857" spans="93:120" x14ac:dyDescent="0.25">
      <c r="CO857" t="s">
        <v>636</v>
      </c>
      <c r="CP857" t="s">
        <v>3</v>
      </c>
      <c r="CQ857" t="s">
        <v>58</v>
      </c>
      <c r="CR857">
        <v>46161</v>
      </c>
      <c r="CS857">
        <v>1</v>
      </c>
      <c r="CT857">
        <v>1</v>
      </c>
      <c r="CV857">
        <v>1</v>
      </c>
      <c r="CX857">
        <v>4.3981481481481481E-4</v>
      </c>
      <c r="CY857">
        <v>4.3981481481481481E-4</v>
      </c>
      <c r="CZ857">
        <v>0.18481481481481482</v>
      </c>
      <c r="DA857">
        <v>0.14509259259259261</v>
      </c>
      <c r="DB857">
        <v>118</v>
      </c>
      <c r="DC857">
        <v>233</v>
      </c>
      <c r="DD857">
        <v>29</v>
      </c>
      <c r="DE857" t="s">
        <v>867</v>
      </c>
      <c r="DF857">
        <v>29021</v>
      </c>
      <c r="DG857">
        <v>0.24579999999999999</v>
      </c>
      <c r="DO857">
        <v>56</v>
      </c>
    </row>
    <row r="858" spans="93:120" x14ac:dyDescent="0.25">
      <c r="CO858" t="s">
        <v>636</v>
      </c>
      <c r="CP858" t="s">
        <v>3</v>
      </c>
      <c r="CQ858" t="s">
        <v>58</v>
      </c>
      <c r="CR858">
        <v>46162</v>
      </c>
      <c r="CS858">
        <v>1</v>
      </c>
      <c r="CT858">
        <v>1</v>
      </c>
      <c r="CV858">
        <v>1</v>
      </c>
      <c r="CX858">
        <v>5.7870370370370373E-5</v>
      </c>
      <c r="CY858">
        <v>5.7870370370370373E-5</v>
      </c>
      <c r="CZ858">
        <v>0.23335648148148147</v>
      </c>
      <c r="DA858">
        <v>0.14724537037037036</v>
      </c>
      <c r="DB858">
        <v>111</v>
      </c>
      <c r="DC858">
        <v>258</v>
      </c>
      <c r="DD858">
        <v>35</v>
      </c>
      <c r="DE858" t="s">
        <v>923</v>
      </c>
      <c r="DF858">
        <v>26372</v>
      </c>
      <c r="DG858">
        <v>0.31530000000000002</v>
      </c>
      <c r="DH858">
        <v>2</v>
      </c>
      <c r="DI858">
        <v>5.7099999999999998E-2</v>
      </c>
      <c r="DJ858">
        <v>1750</v>
      </c>
      <c r="DK858">
        <v>875</v>
      </c>
      <c r="DL858">
        <v>1500</v>
      </c>
      <c r="DM858">
        <v>0.85709999999999997</v>
      </c>
      <c r="DN858">
        <v>0.17269999999999999</v>
      </c>
      <c r="DO858">
        <v>56</v>
      </c>
      <c r="DP858">
        <v>1500</v>
      </c>
    </row>
    <row r="859" spans="93:120" x14ac:dyDescent="0.25">
      <c r="CO859" t="s">
        <v>636</v>
      </c>
      <c r="CP859" t="s">
        <v>3</v>
      </c>
      <c r="CQ859" t="s">
        <v>85</v>
      </c>
      <c r="CR859">
        <v>46146</v>
      </c>
      <c r="CS859">
        <v>1</v>
      </c>
      <c r="CT859">
        <v>1</v>
      </c>
      <c r="CV859">
        <v>1</v>
      </c>
      <c r="CX859">
        <v>0</v>
      </c>
      <c r="CY859">
        <v>0</v>
      </c>
      <c r="CZ859">
        <v>0.29655092592592591</v>
      </c>
      <c r="DA859">
        <v>5.5011574074074074E-2</v>
      </c>
      <c r="DB859">
        <v>95</v>
      </c>
      <c r="DC859">
        <v>192</v>
      </c>
      <c r="DD859">
        <v>63</v>
      </c>
      <c r="DE859" t="s">
        <v>876</v>
      </c>
      <c r="DF859">
        <v>19273</v>
      </c>
      <c r="DG859">
        <v>0.66320000000000001</v>
      </c>
      <c r="DH859">
        <v>5</v>
      </c>
      <c r="DI859">
        <v>7.9399999999999998E-2</v>
      </c>
      <c r="DJ859">
        <v>5132</v>
      </c>
      <c r="DK859">
        <v>1026</v>
      </c>
      <c r="DL859">
        <v>4035</v>
      </c>
      <c r="DM859">
        <v>0.78620000000000001</v>
      </c>
      <c r="DO859">
        <v>56</v>
      </c>
      <c r="DP859">
        <v>1009</v>
      </c>
    </row>
    <row r="860" spans="93:120" x14ac:dyDescent="0.25">
      <c r="CO860" t="s">
        <v>636</v>
      </c>
      <c r="CP860" t="s">
        <v>3</v>
      </c>
      <c r="CQ860" t="s">
        <v>85</v>
      </c>
      <c r="CR860">
        <v>46167</v>
      </c>
      <c r="CS860">
        <v>1</v>
      </c>
      <c r="CT860">
        <v>1</v>
      </c>
      <c r="CV860">
        <v>1</v>
      </c>
      <c r="CX860">
        <v>1.6203703703703703E-4</v>
      </c>
      <c r="CY860">
        <v>1.6203703703703703E-4</v>
      </c>
      <c r="CZ860">
        <v>0.20317129629629629</v>
      </c>
      <c r="DA860">
        <v>0.13701388888888888</v>
      </c>
      <c r="DB860">
        <v>89</v>
      </c>
      <c r="DC860">
        <v>197</v>
      </c>
      <c r="DD860">
        <v>31</v>
      </c>
      <c r="DE860" t="s">
        <v>798</v>
      </c>
      <c r="DF860">
        <v>12395</v>
      </c>
      <c r="DG860">
        <v>0.3483</v>
      </c>
      <c r="DO860">
        <v>56</v>
      </c>
    </row>
    <row r="861" spans="93:120" x14ac:dyDescent="0.25">
      <c r="CO861" t="s">
        <v>636</v>
      </c>
      <c r="CP861" t="s">
        <v>3</v>
      </c>
      <c r="CQ861" t="s">
        <v>493</v>
      </c>
      <c r="CR861">
        <v>46154</v>
      </c>
      <c r="CS861">
        <v>1</v>
      </c>
      <c r="CT861">
        <v>1</v>
      </c>
      <c r="CV861">
        <v>1</v>
      </c>
      <c r="CX861">
        <v>0</v>
      </c>
      <c r="CY861">
        <v>0</v>
      </c>
      <c r="CZ861">
        <v>0.30984953703703705</v>
      </c>
      <c r="DA861">
        <v>0.10476851851851852</v>
      </c>
      <c r="DB861">
        <v>212</v>
      </c>
      <c r="DC861">
        <v>361</v>
      </c>
      <c r="DD861">
        <v>46</v>
      </c>
      <c r="DE861" t="s">
        <v>924</v>
      </c>
      <c r="DF861">
        <v>22081</v>
      </c>
      <c r="DG861">
        <v>0.217</v>
      </c>
      <c r="DO861">
        <v>56</v>
      </c>
    </row>
    <row r="862" spans="93:120" x14ac:dyDescent="0.25">
      <c r="CO862" t="s">
        <v>636</v>
      </c>
      <c r="CP862" t="s">
        <v>3</v>
      </c>
      <c r="CQ862" t="s">
        <v>32</v>
      </c>
      <c r="CR862">
        <v>46157</v>
      </c>
      <c r="CS862">
        <v>1</v>
      </c>
      <c r="CT862">
        <v>1</v>
      </c>
      <c r="CV862">
        <v>1</v>
      </c>
      <c r="CX862">
        <v>1.0416666666666667E-4</v>
      </c>
      <c r="CY862">
        <v>1.0416666666666667E-4</v>
      </c>
      <c r="CZ862">
        <v>0.25560185185185186</v>
      </c>
      <c r="DA862">
        <v>6.0231481481481483E-2</v>
      </c>
      <c r="DB862">
        <v>93</v>
      </c>
      <c r="DC862">
        <v>159</v>
      </c>
      <c r="DD862">
        <v>42</v>
      </c>
      <c r="DE862" t="s">
        <v>925</v>
      </c>
      <c r="DF862">
        <v>31926</v>
      </c>
      <c r="DG862">
        <v>0.4516</v>
      </c>
      <c r="DO862">
        <v>56</v>
      </c>
    </row>
    <row r="863" spans="93:120" x14ac:dyDescent="0.25">
      <c r="CO863" t="s">
        <v>636</v>
      </c>
      <c r="CP863" t="s">
        <v>3</v>
      </c>
      <c r="CQ863" t="s">
        <v>564</v>
      </c>
      <c r="CR863">
        <v>46161</v>
      </c>
      <c r="CS863">
        <v>1</v>
      </c>
      <c r="CT863">
        <v>1</v>
      </c>
      <c r="CV863">
        <v>1</v>
      </c>
      <c r="CX863">
        <v>0</v>
      </c>
      <c r="CY863">
        <v>0</v>
      </c>
      <c r="CZ863">
        <v>0.21606481481481482</v>
      </c>
      <c r="DA863">
        <v>0.12390046296296296</v>
      </c>
      <c r="DB863">
        <v>115</v>
      </c>
      <c r="DC863">
        <v>181</v>
      </c>
      <c r="DD863">
        <v>25</v>
      </c>
      <c r="DE863">
        <v>1.88</v>
      </c>
      <c r="DF863">
        <v>26897</v>
      </c>
      <c r="DG863">
        <v>0.21740000000000001</v>
      </c>
      <c r="DO863">
        <v>56</v>
      </c>
    </row>
    <row r="864" spans="93:120" x14ac:dyDescent="0.25">
      <c r="CO864" t="s">
        <v>636</v>
      </c>
      <c r="CP864" t="s">
        <v>3</v>
      </c>
      <c r="CQ864" t="s">
        <v>96</v>
      </c>
      <c r="CR864">
        <v>46154</v>
      </c>
      <c r="CS864">
        <v>1</v>
      </c>
      <c r="CT864">
        <v>1</v>
      </c>
      <c r="CV864">
        <v>1</v>
      </c>
      <c r="CX864">
        <v>1.1574074074074075E-4</v>
      </c>
      <c r="CY864">
        <v>1.1574074074074075E-4</v>
      </c>
      <c r="CZ864">
        <v>0.2696412037037037</v>
      </c>
      <c r="DA864">
        <v>0.12013888888888889</v>
      </c>
      <c r="DB864">
        <v>109</v>
      </c>
      <c r="DC864">
        <v>211</v>
      </c>
      <c r="DD864">
        <v>36</v>
      </c>
      <c r="DE864" t="s">
        <v>755</v>
      </c>
      <c r="DF864">
        <v>27491</v>
      </c>
      <c r="DG864">
        <v>0.33029999999999998</v>
      </c>
      <c r="DO864">
        <v>56</v>
      </c>
    </row>
    <row r="865" spans="93:120" x14ac:dyDescent="0.25">
      <c r="CO865" t="s">
        <v>636</v>
      </c>
      <c r="CP865" t="s">
        <v>3</v>
      </c>
      <c r="CQ865" t="s">
        <v>96</v>
      </c>
      <c r="CR865">
        <v>46157</v>
      </c>
      <c r="CS865">
        <v>1</v>
      </c>
      <c r="CT865">
        <v>1</v>
      </c>
      <c r="CV865">
        <v>1</v>
      </c>
      <c r="CX865">
        <v>0</v>
      </c>
      <c r="CY865">
        <v>0</v>
      </c>
      <c r="CZ865">
        <v>0.28545138888888888</v>
      </c>
      <c r="DA865">
        <v>4.1296296296296296E-2</v>
      </c>
      <c r="DB865">
        <v>123</v>
      </c>
      <c r="DC865">
        <v>204</v>
      </c>
      <c r="DD865">
        <v>48</v>
      </c>
      <c r="DE865" t="s">
        <v>926</v>
      </c>
      <c r="DF865">
        <v>16897</v>
      </c>
      <c r="DG865">
        <v>0.39019999999999999</v>
      </c>
      <c r="DO865">
        <v>56</v>
      </c>
    </row>
    <row r="866" spans="93:120" x14ac:dyDescent="0.25">
      <c r="CO866" t="s">
        <v>636</v>
      </c>
      <c r="CP866" t="s">
        <v>3</v>
      </c>
      <c r="CQ866" t="s">
        <v>29</v>
      </c>
      <c r="CR866">
        <v>46161</v>
      </c>
      <c r="CS866">
        <v>1</v>
      </c>
      <c r="CT866">
        <v>1</v>
      </c>
      <c r="CV866">
        <v>1</v>
      </c>
      <c r="CX866">
        <v>1.4236111111111112E-3</v>
      </c>
      <c r="CY866">
        <v>1.4236111111111112E-3</v>
      </c>
      <c r="CZ866">
        <v>0.17329861111111111</v>
      </c>
      <c r="DA866">
        <v>0.14429398148148148</v>
      </c>
      <c r="DB866">
        <v>125</v>
      </c>
      <c r="DC866">
        <v>213</v>
      </c>
      <c r="DD866">
        <v>35</v>
      </c>
      <c r="DE866">
        <v>1.8</v>
      </c>
      <c r="DF866">
        <v>27326</v>
      </c>
      <c r="DG866">
        <v>0.28000000000000003</v>
      </c>
      <c r="DO866">
        <v>56</v>
      </c>
    </row>
    <row r="867" spans="93:120" x14ac:dyDescent="0.25">
      <c r="CO867" t="s">
        <v>636</v>
      </c>
      <c r="CP867" t="s">
        <v>3</v>
      </c>
      <c r="CQ867" t="s">
        <v>79</v>
      </c>
      <c r="CR867">
        <v>46157</v>
      </c>
      <c r="CS867">
        <v>1</v>
      </c>
      <c r="CT867">
        <v>1</v>
      </c>
      <c r="CV867">
        <v>1</v>
      </c>
      <c r="CX867">
        <v>2.3148148148148149E-4</v>
      </c>
      <c r="CY867">
        <v>2.3148148148148149E-4</v>
      </c>
      <c r="CZ867">
        <v>0.32400462962962961</v>
      </c>
      <c r="DA867">
        <v>1.6458333333333332E-2</v>
      </c>
      <c r="DB867">
        <v>154</v>
      </c>
      <c r="DC867">
        <v>255</v>
      </c>
      <c r="DD867">
        <v>28</v>
      </c>
      <c r="DE867" t="s">
        <v>762</v>
      </c>
      <c r="DF867">
        <v>15056</v>
      </c>
      <c r="DG867">
        <v>0.18179999999999999</v>
      </c>
      <c r="DO867">
        <v>56</v>
      </c>
    </row>
    <row r="868" spans="93:120" x14ac:dyDescent="0.25">
      <c r="CO868" t="s">
        <v>636</v>
      </c>
      <c r="CP868" t="s">
        <v>6</v>
      </c>
      <c r="CQ868" t="s">
        <v>11</v>
      </c>
      <c r="CR868">
        <v>46149</v>
      </c>
      <c r="CS868">
        <v>1</v>
      </c>
      <c r="CT868">
        <v>1</v>
      </c>
      <c r="CV868">
        <v>1</v>
      </c>
      <c r="CX868">
        <v>1.5509259259259259E-3</v>
      </c>
      <c r="CY868">
        <v>1.5509259259259259E-3</v>
      </c>
      <c r="CZ868">
        <v>0.24087962962962964</v>
      </c>
      <c r="DA868">
        <v>0.10980324074074074</v>
      </c>
      <c r="DB868">
        <v>135</v>
      </c>
      <c r="DC868">
        <v>247</v>
      </c>
      <c r="DD868">
        <v>27</v>
      </c>
      <c r="DE868" t="s">
        <v>927</v>
      </c>
      <c r="DF868">
        <v>32603</v>
      </c>
      <c r="DG868">
        <v>0.2</v>
      </c>
      <c r="DH868">
        <v>2</v>
      </c>
      <c r="DI868">
        <v>7.4099999999999999E-2</v>
      </c>
      <c r="DJ868">
        <v>1479</v>
      </c>
      <c r="DK868">
        <v>740</v>
      </c>
      <c r="DO868">
        <v>54</v>
      </c>
    </row>
    <row r="869" spans="93:120" x14ac:dyDescent="0.25">
      <c r="CO869" t="s">
        <v>636</v>
      </c>
      <c r="CP869" t="s">
        <v>7</v>
      </c>
      <c r="CQ869" t="s">
        <v>12</v>
      </c>
      <c r="CR869">
        <v>46146</v>
      </c>
      <c r="CS869">
        <v>1</v>
      </c>
      <c r="CT869">
        <v>1</v>
      </c>
      <c r="CU869">
        <v>1</v>
      </c>
      <c r="CX869">
        <v>2.539351851851852E-2</v>
      </c>
      <c r="CY869">
        <v>2.539351851851852E-2</v>
      </c>
      <c r="CZ869">
        <v>0.23325231481481482</v>
      </c>
      <c r="DA869">
        <v>9.4791666666666663E-2</v>
      </c>
      <c r="DB869">
        <v>71</v>
      </c>
      <c r="DC869">
        <v>128</v>
      </c>
      <c r="DD869">
        <v>20</v>
      </c>
      <c r="DE869">
        <v>1.55</v>
      </c>
      <c r="DF869">
        <v>21233</v>
      </c>
      <c r="DG869">
        <v>0.28170000000000001</v>
      </c>
      <c r="DH869">
        <v>1</v>
      </c>
      <c r="DI869">
        <v>0.05</v>
      </c>
      <c r="DJ869">
        <v>1000</v>
      </c>
      <c r="DK869">
        <v>1000</v>
      </c>
      <c r="DL869">
        <v>1000</v>
      </c>
      <c r="DM869">
        <v>1</v>
      </c>
      <c r="DO869">
        <v>54</v>
      </c>
      <c r="DP869">
        <v>1000</v>
      </c>
    </row>
    <row r="870" spans="93:120" x14ac:dyDescent="0.25">
      <c r="CO870" t="s">
        <v>636</v>
      </c>
      <c r="CP870" t="s">
        <v>604</v>
      </c>
      <c r="CQ870" t="s">
        <v>566</v>
      </c>
      <c r="CR870">
        <v>46147</v>
      </c>
      <c r="CS870">
        <v>1</v>
      </c>
      <c r="CT870">
        <v>1</v>
      </c>
      <c r="CU870">
        <v>1</v>
      </c>
      <c r="CX870">
        <v>1.8020833333333333E-2</v>
      </c>
      <c r="CY870">
        <v>1.8020833333333333E-2</v>
      </c>
      <c r="CZ870">
        <v>0.27553240740740742</v>
      </c>
      <c r="DA870">
        <v>9.2824074074074073E-2</v>
      </c>
      <c r="DB870">
        <v>230</v>
      </c>
      <c r="DC870">
        <v>475</v>
      </c>
      <c r="DD870">
        <v>75</v>
      </c>
      <c r="DE870" t="s">
        <v>928</v>
      </c>
      <c r="DF870">
        <v>4996</v>
      </c>
      <c r="DG870">
        <v>0.3261</v>
      </c>
      <c r="DO870">
        <v>54</v>
      </c>
    </row>
    <row r="871" spans="93:120" x14ac:dyDescent="0.25">
      <c r="CO871" t="s">
        <v>636</v>
      </c>
      <c r="CP871" t="s">
        <v>604</v>
      </c>
      <c r="CQ871" t="s">
        <v>601</v>
      </c>
      <c r="CR871">
        <v>46147</v>
      </c>
      <c r="CS871">
        <v>1</v>
      </c>
      <c r="CT871">
        <v>1</v>
      </c>
      <c r="CU871">
        <v>1</v>
      </c>
      <c r="CX871">
        <v>3.0972222222222224E-2</v>
      </c>
      <c r="CY871">
        <v>3.0972222222222224E-2</v>
      </c>
      <c r="CZ871">
        <v>0.25785879629629632</v>
      </c>
      <c r="DA871">
        <v>0.11763888888888889</v>
      </c>
      <c r="DB871">
        <v>175</v>
      </c>
      <c r="DC871">
        <v>348</v>
      </c>
      <c r="DD871">
        <v>101</v>
      </c>
      <c r="DE871" t="s">
        <v>929</v>
      </c>
      <c r="DF871">
        <v>5667</v>
      </c>
      <c r="DG871">
        <v>0.57709999999999995</v>
      </c>
      <c r="DO871">
        <v>54</v>
      </c>
    </row>
    <row r="872" spans="93:120" x14ac:dyDescent="0.25">
      <c r="CO872" t="s">
        <v>636</v>
      </c>
      <c r="CP872" t="s">
        <v>3</v>
      </c>
      <c r="CQ872" t="s">
        <v>493</v>
      </c>
      <c r="CR872">
        <v>46146</v>
      </c>
      <c r="CS872">
        <v>1</v>
      </c>
      <c r="CT872">
        <v>1</v>
      </c>
      <c r="CV872">
        <v>1</v>
      </c>
      <c r="CX872">
        <v>1.1574074074074075E-4</v>
      </c>
      <c r="CY872">
        <v>1.1574074074074075E-4</v>
      </c>
      <c r="CZ872">
        <v>0.2769212962962963</v>
      </c>
      <c r="DA872">
        <v>7.7615740740740735E-2</v>
      </c>
      <c r="DB872">
        <v>150</v>
      </c>
      <c r="DC872">
        <v>237</v>
      </c>
      <c r="DD872">
        <v>70</v>
      </c>
      <c r="DE872" t="s">
        <v>930</v>
      </c>
      <c r="DF872">
        <v>16263</v>
      </c>
      <c r="DG872">
        <v>0.4667</v>
      </c>
      <c r="DH872">
        <v>8</v>
      </c>
      <c r="DI872">
        <v>0.1143</v>
      </c>
      <c r="DJ872">
        <v>6790</v>
      </c>
      <c r="DK872">
        <v>849</v>
      </c>
      <c r="DL872">
        <v>3510</v>
      </c>
      <c r="DM872">
        <v>0.51690000000000003</v>
      </c>
      <c r="DN872">
        <v>0.1157</v>
      </c>
      <c r="DO872">
        <v>54</v>
      </c>
      <c r="DP872">
        <v>878</v>
      </c>
    </row>
    <row r="873" spans="93:120" x14ac:dyDescent="0.25">
      <c r="CO873" t="s">
        <v>636</v>
      </c>
      <c r="CP873" t="s">
        <v>3</v>
      </c>
      <c r="CQ873" t="s">
        <v>68</v>
      </c>
      <c r="CR873">
        <v>46160</v>
      </c>
      <c r="CS873">
        <v>1</v>
      </c>
      <c r="CT873">
        <v>1</v>
      </c>
      <c r="CV873">
        <v>1</v>
      </c>
      <c r="CX873">
        <v>2.3032407407407407E-3</v>
      </c>
      <c r="CY873">
        <v>2.3032407407407407E-3</v>
      </c>
      <c r="CZ873">
        <v>0.13667824074074075</v>
      </c>
      <c r="DA873">
        <v>0.16973379629629629</v>
      </c>
      <c r="DB873">
        <v>84</v>
      </c>
      <c r="DC873">
        <v>172</v>
      </c>
      <c r="DD873">
        <v>30</v>
      </c>
      <c r="DE873">
        <v>1.5</v>
      </c>
      <c r="DF873">
        <v>37102</v>
      </c>
      <c r="DG873">
        <v>0.35709999999999997</v>
      </c>
      <c r="DH873">
        <v>1</v>
      </c>
      <c r="DI873">
        <v>3.3300000000000003E-2</v>
      </c>
      <c r="DJ873">
        <v>300</v>
      </c>
      <c r="DK873">
        <v>300</v>
      </c>
      <c r="DL873">
        <v>300</v>
      </c>
      <c r="DM873">
        <v>1</v>
      </c>
      <c r="DO873">
        <v>54</v>
      </c>
      <c r="DP873">
        <v>300</v>
      </c>
    </row>
    <row r="874" spans="93:120" x14ac:dyDescent="0.25">
      <c r="CO874" t="s">
        <v>636</v>
      </c>
      <c r="CP874" t="s">
        <v>2</v>
      </c>
      <c r="CQ874" t="s">
        <v>22</v>
      </c>
      <c r="CR874">
        <v>46147</v>
      </c>
      <c r="CS874">
        <v>1</v>
      </c>
      <c r="CT874">
        <v>1</v>
      </c>
      <c r="CU874">
        <v>1</v>
      </c>
      <c r="CX874">
        <v>9.5486111111111119E-3</v>
      </c>
      <c r="CY874">
        <v>9.5486111111111119E-3</v>
      </c>
      <c r="CZ874">
        <v>0.31291666666666668</v>
      </c>
      <c r="DA874">
        <v>9.7199074074074077E-2</v>
      </c>
      <c r="DB874">
        <v>119</v>
      </c>
      <c r="DC874">
        <v>219</v>
      </c>
      <c r="DD874">
        <v>34</v>
      </c>
      <c r="DE874" t="s">
        <v>931</v>
      </c>
      <c r="DF874">
        <v>20027</v>
      </c>
      <c r="DG874">
        <v>0.28570000000000001</v>
      </c>
      <c r="DO874">
        <v>52</v>
      </c>
    </row>
    <row r="875" spans="93:120" x14ac:dyDescent="0.25">
      <c r="CO875" t="s">
        <v>636</v>
      </c>
      <c r="CP875" t="s">
        <v>2</v>
      </c>
      <c r="CQ875" t="s">
        <v>25</v>
      </c>
      <c r="CR875">
        <v>46147</v>
      </c>
      <c r="CS875">
        <v>1</v>
      </c>
      <c r="CT875">
        <v>1</v>
      </c>
      <c r="CU875">
        <v>1</v>
      </c>
      <c r="CX875">
        <v>8.5069444444444437E-3</v>
      </c>
      <c r="CY875">
        <v>8.5069444444444437E-3</v>
      </c>
      <c r="CZ875">
        <v>0.29802083333333335</v>
      </c>
      <c r="DA875">
        <v>8.8564814814814818E-2</v>
      </c>
      <c r="DB875">
        <v>70</v>
      </c>
      <c r="DC875">
        <v>142</v>
      </c>
      <c r="DD875">
        <v>23</v>
      </c>
      <c r="DE875" t="s">
        <v>932</v>
      </c>
      <c r="DF875">
        <v>21329</v>
      </c>
      <c r="DG875">
        <v>0.3286</v>
      </c>
      <c r="DO875">
        <v>52</v>
      </c>
    </row>
    <row r="876" spans="93:120" x14ac:dyDescent="0.25">
      <c r="CO876" t="s">
        <v>636</v>
      </c>
      <c r="CP876" t="s">
        <v>6</v>
      </c>
      <c r="CQ876" t="s">
        <v>105</v>
      </c>
      <c r="CR876">
        <v>46147</v>
      </c>
      <c r="CS876">
        <v>1</v>
      </c>
      <c r="CT876">
        <v>1</v>
      </c>
      <c r="CU876">
        <v>1</v>
      </c>
      <c r="CX876">
        <v>2.0706018518518519E-2</v>
      </c>
      <c r="CY876">
        <v>2.0706018518518519E-2</v>
      </c>
      <c r="CZ876">
        <v>0.28402777777777777</v>
      </c>
      <c r="DA876">
        <v>9.1134259259259262E-2</v>
      </c>
      <c r="DB876">
        <v>101</v>
      </c>
      <c r="DC876">
        <v>208</v>
      </c>
      <c r="DD876">
        <v>21</v>
      </c>
      <c r="DE876" t="s">
        <v>788</v>
      </c>
      <c r="DF876">
        <v>53059</v>
      </c>
      <c r="DG876">
        <v>0.2079</v>
      </c>
      <c r="DO876">
        <v>52</v>
      </c>
    </row>
    <row r="877" spans="93:120" x14ac:dyDescent="0.25">
      <c r="CO877" t="s">
        <v>636</v>
      </c>
      <c r="CP877" t="s">
        <v>6</v>
      </c>
      <c r="CQ877" t="s">
        <v>11</v>
      </c>
      <c r="CR877">
        <v>46155</v>
      </c>
      <c r="CS877">
        <v>1</v>
      </c>
      <c r="CT877">
        <v>1</v>
      </c>
      <c r="CV877">
        <v>1</v>
      </c>
      <c r="CX877">
        <v>2.5462962962962961E-4</v>
      </c>
      <c r="CY877">
        <v>2.5462962962962961E-4</v>
      </c>
      <c r="CZ877">
        <v>0.20686342592592594</v>
      </c>
      <c r="DA877">
        <v>0.18026620370370369</v>
      </c>
      <c r="DB877">
        <v>101</v>
      </c>
      <c r="DC877">
        <v>181</v>
      </c>
      <c r="DD877">
        <v>43</v>
      </c>
      <c r="DE877" t="s">
        <v>933</v>
      </c>
      <c r="DF877">
        <v>16960</v>
      </c>
      <c r="DG877">
        <v>0.42570000000000002</v>
      </c>
      <c r="DH877">
        <v>1</v>
      </c>
      <c r="DI877">
        <v>2.3300000000000001E-2</v>
      </c>
      <c r="DJ877">
        <v>361</v>
      </c>
      <c r="DK877">
        <v>361</v>
      </c>
      <c r="DO877">
        <v>52</v>
      </c>
    </row>
    <row r="878" spans="93:120" x14ac:dyDescent="0.25">
      <c r="CO878" t="s">
        <v>636</v>
      </c>
      <c r="CP878" t="s">
        <v>6</v>
      </c>
      <c r="CQ878" t="s">
        <v>34</v>
      </c>
      <c r="CR878">
        <v>46146</v>
      </c>
      <c r="CS878">
        <v>1</v>
      </c>
      <c r="CT878">
        <v>1</v>
      </c>
      <c r="CU878">
        <v>1</v>
      </c>
      <c r="CX878">
        <v>1.1956018518518519E-2</v>
      </c>
      <c r="CY878">
        <v>1.1956018518518519E-2</v>
      </c>
      <c r="CZ878">
        <v>0.18392361111111111</v>
      </c>
      <c r="DA878">
        <v>0.11081018518518519</v>
      </c>
      <c r="DB878">
        <v>84</v>
      </c>
      <c r="DC878">
        <v>106</v>
      </c>
      <c r="DD878">
        <v>9</v>
      </c>
      <c r="DE878">
        <v>2</v>
      </c>
      <c r="DF878">
        <v>20854</v>
      </c>
      <c r="DG878">
        <v>0.1071</v>
      </c>
      <c r="DH878">
        <v>4</v>
      </c>
      <c r="DI878">
        <v>0.44440000000000002</v>
      </c>
      <c r="DJ878">
        <v>12270</v>
      </c>
      <c r="DK878">
        <v>3068</v>
      </c>
      <c r="DL878">
        <v>6000</v>
      </c>
      <c r="DM878">
        <v>0.48899999999999999</v>
      </c>
      <c r="DN878">
        <v>0.125</v>
      </c>
      <c r="DO878">
        <v>52</v>
      </c>
      <c r="DP878">
        <v>2000</v>
      </c>
    </row>
    <row r="879" spans="93:120" x14ac:dyDescent="0.25">
      <c r="CO879" t="s">
        <v>636</v>
      </c>
      <c r="CP879" t="s">
        <v>7</v>
      </c>
      <c r="CQ879" t="s">
        <v>72</v>
      </c>
      <c r="CR879">
        <v>46169</v>
      </c>
      <c r="CS879">
        <v>1</v>
      </c>
      <c r="CT879">
        <v>1</v>
      </c>
      <c r="CV879">
        <v>1</v>
      </c>
      <c r="CX879">
        <v>3.7037037037037035E-4</v>
      </c>
      <c r="CY879">
        <v>3.7037037037037035E-4</v>
      </c>
      <c r="CZ879">
        <v>0.16858796296296297</v>
      </c>
      <c r="DA879">
        <v>0.1572800925925926</v>
      </c>
      <c r="DB879">
        <v>134</v>
      </c>
      <c r="DC879">
        <v>311</v>
      </c>
      <c r="DD879">
        <v>16</v>
      </c>
      <c r="DE879">
        <v>1.8125</v>
      </c>
      <c r="DF879">
        <v>39982</v>
      </c>
      <c r="DG879">
        <v>0.11940000000000001</v>
      </c>
      <c r="DH879">
        <v>1</v>
      </c>
      <c r="DI879">
        <v>6.25E-2</v>
      </c>
      <c r="DJ879">
        <v>200</v>
      </c>
      <c r="DK879">
        <v>200</v>
      </c>
      <c r="DO879">
        <v>52</v>
      </c>
    </row>
    <row r="880" spans="93:120" x14ac:dyDescent="0.25">
      <c r="CO880" t="s">
        <v>636</v>
      </c>
      <c r="CP880" t="s">
        <v>604</v>
      </c>
      <c r="CQ880" t="s">
        <v>41</v>
      </c>
      <c r="CR880">
        <v>46154</v>
      </c>
      <c r="CS880">
        <v>1</v>
      </c>
      <c r="CT880">
        <v>1</v>
      </c>
      <c r="CV880">
        <v>1</v>
      </c>
      <c r="CX880">
        <v>5.4398148148148144E-4</v>
      </c>
      <c r="CY880">
        <v>5.4398148148148144E-4</v>
      </c>
      <c r="CZ880">
        <v>0.22348379629629631</v>
      </c>
      <c r="DA880">
        <v>0.17460648148148147</v>
      </c>
      <c r="DB880">
        <v>126</v>
      </c>
      <c r="DC880">
        <v>227</v>
      </c>
      <c r="DD880">
        <v>32</v>
      </c>
      <c r="DE880">
        <v>1.90625</v>
      </c>
      <c r="DF880">
        <v>6897</v>
      </c>
      <c r="DG880">
        <v>0.254</v>
      </c>
      <c r="DO880">
        <v>52</v>
      </c>
    </row>
    <row r="881" spans="93:120" x14ac:dyDescent="0.25">
      <c r="CO881" t="s">
        <v>636</v>
      </c>
      <c r="CP881" t="s">
        <v>604</v>
      </c>
      <c r="CQ881" t="s">
        <v>77</v>
      </c>
      <c r="CR881">
        <v>46169</v>
      </c>
      <c r="CS881">
        <v>1</v>
      </c>
      <c r="CT881">
        <v>1</v>
      </c>
      <c r="CU881">
        <v>1</v>
      </c>
      <c r="CX881">
        <v>4.3981481481481484E-3</v>
      </c>
      <c r="CY881">
        <v>4.3981481481481484E-3</v>
      </c>
      <c r="CZ881">
        <v>0.19314814814814815</v>
      </c>
      <c r="DA881">
        <v>0.17487268518518517</v>
      </c>
      <c r="DB881">
        <v>87</v>
      </c>
      <c r="DC881">
        <v>158</v>
      </c>
      <c r="DD881">
        <v>19</v>
      </c>
      <c r="DE881" t="s">
        <v>682</v>
      </c>
      <c r="DF881">
        <v>23885</v>
      </c>
      <c r="DG881">
        <v>0.21840000000000001</v>
      </c>
      <c r="DO881">
        <v>52</v>
      </c>
    </row>
    <row r="882" spans="93:120" x14ac:dyDescent="0.25">
      <c r="CO882" t="s">
        <v>636</v>
      </c>
      <c r="CP882" t="s">
        <v>604</v>
      </c>
      <c r="CQ882" t="s">
        <v>566</v>
      </c>
      <c r="CR882">
        <v>46169</v>
      </c>
      <c r="CS882">
        <v>1</v>
      </c>
      <c r="CT882">
        <v>1</v>
      </c>
      <c r="CU882">
        <v>1</v>
      </c>
      <c r="CX882">
        <v>1.7916666666666668E-2</v>
      </c>
      <c r="CY882">
        <v>1.7916666666666668E-2</v>
      </c>
      <c r="CZ882">
        <v>0.16250000000000001</v>
      </c>
      <c r="DA882">
        <v>0.1705787037037037</v>
      </c>
      <c r="DB882">
        <v>149</v>
      </c>
      <c r="DC882">
        <v>253</v>
      </c>
      <c r="DD882">
        <v>31</v>
      </c>
      <c r="DE882" t="s">
        <v>934</v>
      </c>
      <c r="DF882">
        <v>12303</v>
      </c>
      <c r="DG882">
        <v>0.20810000000000001</v>
      </c>
      <c r="DO882">
        <v>52</v>
      </c>
    </row>
    <row r="883" spans="93:120" x14ac:dyDescent="0.25">
      <c r="CO883" t="s">
        <v>636</v>
      </c>
      <c r="CP883" t="s">
        <v>604</v>
      </c>
      <c r="CQ883" t="s">
        <v>48</v>
      </c>
      <c r="CR883">
        <v>46154</v>
      </c>
      <c r="CS883">
        <v>1</v>
      </c>
      <c r="CT883">
        <v>1</v>
      </c>
      <c r="CV883">
        <v>1</v>
      </c>
      <c r="CX883">
        <v>0</v>
      </c>
      <c r="CY883">
        <v>0</v>
      </c>
      <c r="CZ883">
        <v>0.27629629629629632</v>
      </c>
      <c r="DA883">
        <v>0.13511574074074073</v>
      </c>
      <c r="DB883">
        <v>105</v>
      </c>
      <c r="DC883">
        <v>162</v>
      </c>
      <c r="DD883">
        <v>26</v>
      </c>
      <c r="DE883" t="s">
        <v>884</v>
      </c>
      <c r="DF883">
        <v>16027</v>
      </c>
      <c r="DG883">
        <v>0.24759999999999999</v>
      </c>
      <c r="DO883">
        <v>52</v>
      </c>
    </row>
    <row r="884" spans="93:120" x14ac:dyDescent="0.25">
      <c r="CO884" t="s">
        <v>636</v>
      </c>
      <c r="CP884" t="s">
        <v>604</v>
      </c>
      <c r="CQ884" t="s">
        <v>601</v>
      </c>
      <c r="CR884">
        <v>46154</v>
      </c>
      <c r="CS884">
        <v>1</v>
      </c>
      <c r="CT884">
        <v>1</v>
      </c>
      <c r="CU884">
        <v>1</v>
      </c>
      <c r="CX884">
        <v>1.6157407407407409E-2</v>
      </c>
      <c r="CY884">
        <v>1.6157407407407409E-2</v>
      </c>
      <c r="CZ884">
        <v>0.26994212962962966</v>
      </c>
      <c r="DA884">
        <v>0.13744212962962962</v>
      </c>
      <c r="DB884">
        <v>184</v>
      </c>
      <c r="DC884">
        <v>255</v>
      </c>
      <c r="DD884">
        <v>72</v>
      </c>
      <c r="DE884" t="s">
        <v>935</v>
      </c>
      <c r="DF884">
        <v>7325</v>
      </c>
      <c r="DG884">
        <v>0.39129999999999998</v>
      </c>
      <c r="DH884">
        <v>1</v>
      </c>
      <c r="DI884">
        <v>1.3899999999999999E-2</v>
      </c>
      <c r="DJ884">
        <v>480</v>
      </c>
      <c r="DK884">
        <v>480</v>
      </c>
      <c r="DO884">
        <v>52</v>
      </c>
    </row>
    <row r="885" spans="93:120" x14ac:dyDescent="0.25">
      <c r="CO885" t="s">
        <v>636</v>
      </c>
      <c r="CP885" t="s">
        <v>604</v>
      </c>
      <c r="CQ885" t="s">
        <v>601</v>
      </c>
      <c r="CR885">
        <v>46169</v>
      </c>
      <c r="CS885">
        <v>1</v>
      </c>
      <c r="CT885">
        <v>1</v>
      </c>
      <c r="CW885">
        <v>1</v>
      </c>
      <c r="CX885">
        <v>0</v>
      </c>
      <c r="CY885">
        <v>0</v>
      </c>
      <c r="CZ885">
        <v>0</v>
      </c>
      <c r="DA885">
        <v>0</v>
      </c>
      <c r="DO885">
        <v>52</v>
      </c>
    </row>
    <row r="886" spans="93:120" x14ac:dyDescent="0.25">
      <c r="CO886" t="s">
        <v>636</v>
      </c>
      <c r="CP886" t="s">
        <v>3</v>
      </c>
      <c r="CQ886" t="s">
        <v>564</v>
      </c>
      <c r="CR886">
        <v>46146</v>
      </c>
      <c r="CS886">
        <v>1</v>
      </c>
      <c r="CT886">
        <v>1</v>
      </c>
      <c r="CV886">
        <v>1</v>
      </c>
      <c r="CX886">
        <v>0</v>
      </c>
      <c r="CY886">
        <v>0</v>
      </c>
      <c r="CZ886">
        <v>0.28930555555555554</v>
      </c>
      <c r="DA886">
        <v>5.6365740740740744E-2</v>
      </c>
      <c r="DB886">
        <v>165</v>
      </c>
      <c r="DC886">
        <v>257</v>
      </c>
      <c r="DD886">
        <v>51</v>
      </c>
      <c r="DE886">
        <v>2</v>
      </c>
      <c r="DF886">
        <v>18123</v>
      </c>
      <c r="DG886">
        <v>0.30909999999999999</v>
      </c>
      <c r="DH886">
        <v>4</v>
      </c>
      <c r="DI886">
        <v>7.8399999999999997E-2</v>
      </c>
      <c r="DJ886">
        <v>1560</v>
      </c>
      <c r="DK886">
        <v>390</v>
      </c>
      <c r="DL886">
        <v>1230</v>
      </c>
      <c r="DM886">
        <v>0.78849999999999998</v>
      </c>
      <c r="DN886">
        <v>0.2147</v>
      </c>
      <c r="DO886">
        <v>52</v>
      </c>
      <c r="DP886">
        <v>410</v>
      </c>
    </row>
    <row r="887" spans="93:120" x14ac:dyDescent="0.25">
      <c r="CO887" t="s">
        <v>636</v>
      </c>
      <c r="CP887" t="s">
        <v>3</v>
      </c>
      <c r="CQ887" t="s">
        <v>79</v>
      </c>
      <c r="CR887">
        <v>46153</v>
      </c>
      <c r="CS887">
        <v>1</v>
      </c>
      <c r="CT887">
        <v>1</v>
      </c>
      <c r="CU887">
        <v>1</v>
      </c>
      <c r="CX887">
        <v>7.1759259259259259E-3</v>
      </c>
      <c r="CY887">
        <v>7.1759259259259259E-3</v>
      </c>
      <c r="CZ887">
        <v>0.22743055555555555</v>
      </c>
      <c r="DA887">
        <v>9.9108796296296292E-2</v>
      </c>
      <c r="DB887">
        <v>111</v>
      </c>
      <c r="DC887">
        <v>261</v>
      </c>
      <c r="DD887">
        <v>19</v>
      </c>
      <c r="DE887" t="s">
        <v>936</v>
      </c>
      <c r="DF887">
        <v>19627</v>
      </c>
      <c r="DG887">
        <v>0.17119999999999999</v>
      </c>
      <c r="DH887">
        <v>1</v>
      </c>
      <c r="DI887">
        <v>5.2600000000000001E-2</v>
      </c>
      <c r="DJ887">
        <v>400</v>
      </c>
      <c r="DK887">
        <v>400</v>
      </c>
      <c r="DO887">
        <v>52</v>
      </c>
    </row>
    <row r="888" spans="93:120" x14ac:dyDescent="0.25">
      <c r="CO888" t="s">
        <v>636</v>
      </c>
      <c r="CP888" t="s">
        <v>3</v>
      </c>
      <c r="CQ888" t="s">
        <v>79</v>
      </c>
      <c r="CR888">
        <v>46156</v>
      </c>
      <c r="CS888">
        <v>1</v>
      </c>
      <c r="CT888">
        <v>1</v>
      </c>
      <c r="CU888">
        <v>1</v>
      </c>
      <c r="CX888">
        <v>7.9745370370370369E-3</v>
      </c>
      <c r="CY888">
        <v>7.9745370370370369E-3</v>
      </c>
      <c r="CZ888">
        <v>0.17362268518518517</v>
      </c>
      <c r="DA888">
        <v>0.15200231481481483</v>
      </c>
      <c r="DB888">
        <v>75</v>
      </c>
      <c r="DC888">
        <v>179</v>
      </c>
      <c r="DD888">
        <v>24</v>
      </c>
      <c r="DE888" t="s">
        <v>869</v>
      </c>
      <c r="DF888">
        <v>40041</v>
      </c>
      <c r="DG888">
        <v>0.32</v>
      </c>
      <c r="DO888">
        <v>52</v>
      </c>
    </row>
    <row r="889" spans="93:120" x14ac:dyDescent="0.25">
      <c r="CO889" t="s">
        <v>636</v>
      </c>
      <c r="CP889" t="s">
        <v>2</v>
      </c>
      <c r="CQ889" t="s">
        <v>22</v>
      </c>
      <c r="CR889">
        <v>46154</v>
      </c>
      <c r="CS889">
        <v>1</v>
      </c>
      <c r="CT889">
        <v>1</v>
      </c>
      <c r="CV889">
        <v>1</v>
      </c>
      <c r="CX889">
        <v>2.3611111111111111E-3</v>
      </c>
      <c r="CY889">
        <v>2.3611111111111111E-3</v>
      </c>
      <c r="CZ889">
        <v>0.21284722222222222</v>
      </c>
      <c r="DA889">
        <v>0.19747685185185185</v>
      </c>
      <c r="DB889">
        <v>115</v>
      </c>
      <c r="DC889">
        <v>193</v>
      </c>
      <c r="DD889">
        <v>17</v>
      </c>
      <c r="DE889" t="s">
        <v>839</v>
      </c>
      <c r="DF889">
        <v>23579</v>
      </c>
      <c r="DG889">
        <v>0.14779999999999999</v>
      </c>
      <c r="DO889">
        <v>50</v>
      </c>
    </row>
    <row r="890" spans="93:120" x14ac:dyDescent="0.25">
      <c r="CO890" t="s">
        <v>636</v>
      </c>
      <c r="CP890" t="s">
        <v>2</v>
      </c>
      <c r="CQ890" t="s">
        <v>42</v>
      </c>
      <c r="CR890">
        <v>46149</v>
      </c>
      <c r="CS890">
        <v>1</v>
      </c>
      <c r="CT890">
        <v>1</v>
      </c>
      <c r="CU890">
        <v>1</v>
      </c>
      <c r="CX890">
        <v>1.5578703703703704E-2</v>
      </c>
      <c r="CY890">
        <v>1.5578703703703704E-2</v>
      </c>
      <c r="CZ890">
        <v>0.17271990740740742</v>
      </c>
      <c r="DA890">
        <v>8.5949074074074081E-2</v>
      </c>
      <c r="DB890">
        <v>65</v>
      </c>
      <c r="DC890">
        <v>91</v>
      </c>
      <c r="DD890">
        <v>12</v>
      </c>
      <c r="DE890" t="s">
        <v>712</v>
      </c>
      <c r="DF890">
        <v>39153</v>
      </c>
      <c r="DG890">
        <v>0.18459999999999999</v>
      </c>
      <c r="DO890">
        <v>50</v>
      </c>
    </row>
    <row r="891" spans="93:120" x14ac:dyDescent="0.25">
      <c r="CO891" t="s">
        <v>636</v>
      </c>
      <c r="CP891" t="s">
        <v>2</v>
      </c>
      <c r="CQ891" t="s">
        <v>42</v>
      </c>
      <c r="CR891">
        <v>46157</v>
      </c>
      <c r="CS891">
        <v>1</v>
      </c>
      <c r="CT891">
        <v>1</v>
      </c>
      <c r="CV891">
        <v>1</v>
      </c>
      <c r="CX891">
        <v>1.273148148148148E-4</v>
      </c>
      <c r="CY891">
        <v>1.273148148148148E-4</v>
      </c>
      <c r="CZ891">
        <v>0.32784722222222223</v>
      </c>
      <c r="DA891">
        <v>7.9282407407407409E-3</v>
      </c>
      <c r="DB891">
        <v>88</v>
      </c>
      <c r="DC891">
        <v>138</v>
      </c>
      <c r="DD891">
        <v>16</v>
      </c>
      <c r="DE891">
        <v>1.875</v>
      </c>
      <c r="DF891">
        <v>25378</v>
      </c>
      <c r="DG891">
        <v>0.18179999999999999</v>
      </c>
      <c r="DO891">
        <v>50</v>
      </c>
    </row>
    <row r="892" spans="93:120" x14ac:dyDescent="0.25">
      <c r="CO892" t="s">
        <v>636</v>
      </c>
      <c r="CP892" t="s">
        <v>2</v>
      </c>
      <c r="CQ892" t="s">
        <v>65</v>
      </c>
      <c r="CR892">
        <v>46154</v>
      </c>
      <c r="CS892">
        <v>1</v>
      </c>
      <c r="CT892">
        <v>1</v>
      </c>
      <c r="CV892">
        <v>1</v>
      </c>
      <c r="CX892">
        <v>1.9675925925925926E-4</v>
      </c>
      <c r="CY892">
        <v>1.9675925925925926E-4</v>
      </c>
      <c r="CZ892">
        <v>0.30863425925925925</v>
      </c>
      <c r="DA892">
        <v>0.11190972222222222</v>
      </c>
      <c r="DB892">
        <v>78</v>
      </c>
      <c r="DC892">
        <v>153</v>
      </c>
      <c r="DD892">
        <v>17</v>
      </c>
      <c r="DE892" t="s">
        <v>728</v>
      </c>
      <c r="DF892">
        <v>13898</v>
      </c>
      <c r="DG892">
        <v>0.21790000000000001</v>
      </c>
      <c r="DO892">
        <v>50</v>
      </c>
    </row>
    <row r="893" spans="93:120" x14ac:dyDescent="0.25">
      <c r="CO893" t="s">
        <v>636</v>
      </c>
      <c r="CP893" t="s">
        <v>2</v>
      </c>
      <c r="CQ893" t="s">
        <v>31</v>
      </c>
      <c r="CR893">
        <v>46156</v>
      </c>
      <c r="CS893">
        <v>1</v>
      </c>
      <c r="CT893">
        <v>1</v>
      </c>
      <c r="CW893">
        <v>1</v>
      </c>
      <c r="CX893">
        <v>0</v>
      </c>
      <c r="CY893">
        <v>0</v>
      </c>
      <c r="CZ893">
        <v>0</v>
      </c>
      <c r="DA893">
        <v>0</v>
      </c>
      <c r="DO893">
        <v>50</v>
      </c>
    </row>
    <row r="894" spans="93:120" x14ac:dyDescent="0.25">
      <c r="CO894" t="s">
        <v>636</v>
      </c>
      <c r="CP894" t="s">
        <v>2</v>
      </c>
      <c r="CQ894" t="s">
        <v>25</v>
      </c>
      <c r="CR894">
        <v>46156</v>
      </c>
      <c r="CS894">
        <v>1</v>
      </c>
      <c r="CT894">
        <v>1</v>
      </c>
      <c r="CW894">
        <v>1</v>
      </c>
      <c r="CX894">
        <v>0</v>
      </c>
      <c r="CY894">
        <v>0</v>
      </c>
      <c r="CZ894">
        <v>0</v>
      </c>
      <c r="DA894">
        <v>0</v>
      </c>
      <c r="DO894">
        <v>50</v>
      </c>
    </row>
    <row r="895" spans="93:120" x14ac:dyDescent="0.25">
      <c r="CO895" t="s">
        <v>636</v>
      </c>
      <c r="CP895" t="s">
        <v>2</v>
      </c>
      <c r="CQ895" t="s">
        <v>25</v>
      </c>
      <c r="CR895">
        <v>46169</v>
      </c>
      <c r="CS895">
        <v>1</v>
      </c>
      <c r="CT895">
        <v>1</v>
      </c>
      <c r="CU895">
        <v>1</v>
      </c>
      <c r="CX895">
        <v>9.9421296296296289E-3</v>
      </c>
      <c r="CY895">
        <v>9.9421296296296289E-3</v>
      </c>
      <c r="CZ895">
        <v>0.17505787037037038</v>
      </c>
      <c r="DA895">
        <v>0.14086805555555557</v>
      </c>
      <c r="DB895">
        <v>88</v>
      </c>
      <c r="DC895">
        <v>141</v>
      </c>
      <c r="DD895">
        <v>26</v>
      </c>
      <c r="DE895" t="s">
        <v>937</v>
      </c>
      <c r="DF895">
        <v>24434</v>
      </c>
      <c r="DG895">
        <v>0.29549999999999998</v>
      </c>
      <c r="DO895">
        <v>50</v>
      </c>
    </row>
    <row r="896" spans="93:120" x14ac:dyDescent="0.25">
      <c r="CO896" t="s">
        <v>636</v>
      </c>
      <c r="CP896" t="s">
        <v>2</v>
      </c>
      <c r="CQ896" t="s">
        <v>10</v>
      </c>
      <c r="CR896">
        <v>46154</v>
      </c>
      <c r="CS896">
        <v>1</v>
      </c>
      <c r="CT896">
        <v>1</v>
      </c>
      <c r="CV896">
        <v>1</v>
      </c>
      <c r="CX896">
        <v>2.3148148148148147E-5</v>
      </c>
      <c r="CY896">
        <v>2.3148148148148147E-5</v>
      </c>
      <c r="CZ896">
        <v>0.30546296296296294</v>
      </c>
      <c r="DA896">
        <v>0.11444444444444445</v>
      </c>
      <c r="DB896">
        <v>132</v>
      </c>
      <c r="DC896">
        <v>245</v>
      </c>
      <c r="DD896">
        <v>23</v>
      </c>
      <c r="DE896" t="s">
        <v>797</v>
      </c>
      <c r="DF896">
        <v>25592</v>
      </c>
      <c r="DG896">
        <v>0.17419999999999999</v>
      </c>
      <c r="DO896">
        <v>50</v>
      </c>
    </row>
    <row r="897" spans="93:120" x14ac:dyDescent="0.25">
      <c r="CO897" t="s">
        <v>636</v>
      </c>
      <c r="CP897" t="s">
        <v>6</v>
      </c>
      <c r="CQ897" t="s">
        <v>19</v>
      </c>
      <c r="CR897">
        <v>46160</v>
      </c>
      <c r="CS897">
        <v>1</v>
      </c>
      <c r="CT897">
        <v>1</v>
      </c>
      <c r="CV897">
        <v>1</v>
      </c>
      <c r="CX897">
        <v>0</v>
      </c>
      <c r="CY897">
        <v>0</v>
      </c>
      <c r="CZ897">
        <v>0.22195601851851851</v>
      </c>
      <c r="DA897">
        <v>0.14707175925925925</v>
      </c>
      <c r="DB897">
        <v>164</v>
      </c>
      <c r="DC897">
        <v>230</v>
      </c>
      <c r="DD897">
        <v>24</v>
      </c>
      <c r="DE897" t="s">
        <v>732</v>
      </c>
      <c r="DF897">
        <v>31689</v>
      </c>
      <c r="DG897">
        <v>0.14630000000000001</v>
      </c>
      <c r="DO897">
        <v>50</v>
      </c>
    </row>
    <row r="898" spans="93:120" x14ac:dyDescent="0.25">
      <c r="CO898" t="s">
        <v>636</v>
      </c>
      <c r="CP898" t="s">
        <v>6</v>
      </c>
      <c r="CQ898" t="s">
        <v>105</v>
      </c>
      <c r="CR898">
        <v>46154</v>
      </c>
      <c r="CS898">
        <v>1</v>
      </c>
      <c r="CT898">
        <v>1</v>
      </c>
      <c r="CV898">
        <v>1</v>
      </c>
      <c r="CX898">
        <v>1.6203703703703703E-4</v>
      </c>
      <c r="CY898">
        <v>1.6203703703703703E-4</v>
      </c>
      <c r="CZ898">
        <v>0.30349537037037039</v>
      </c>
      <c r="DA898">
        <v>0.10875</v>
      </c>
      <c r="DB898">
        <v>161</v>
      </c>
      <c r="DC898">
        <v>270</v>
      </c>
      <c r="DD898">
        <v>21</v>
      </c>
      <c r="DE898" t="s">
        <v>803</v>
      </c>
      <c r="DF898">
        <v>32937</v>
      </c>
      <c r="DG898">
        <v>0.13039999999999999</v>
      </c>
      <c r="DO898">
        <v>50</v>
      </c>
    </row>
    <row r="899" spans="93:120" x14ac:dyDescent="0.25">
      <c r="CO899" t="s">
        <v>636</v>
      </c>
      <c r="CP899" t="s">
        <v>6</v>
      </c>
      <c r="CQ899" t="s">
        <v>105</v>
      </c>
      <c r="CR899">
        <v>46160</v>
      </c>
      <c r="CS899">
        <v>1</v>
      </c>
      <c r="CT899">
        <v>1</v>
      </c>
      <c r="CV899">
        <v>1</v>
      </c>
      <c r="CX899">
        <v>1.8518518518518518E-4</v>
      </c>
      <c r="CY899">
        <v>1.8518518518518518E-4</v>
      </c>
      <c r="CZ899">
        <v>0.2089236111111111</v>
      </c>
      <c r="DA899">
        <v>0.12280092592592592</v>
      </c>
      <c r="DB899">
        <v>64</v>
      </c>
      <c r="DC899">
        <v>118</v>
      </c>
      <c r="DD899">
        <v>16</v>
      </c>
      <c r="DE899">
        <v>1.625</v>
      </c>
      <c r="DF899">
        <v>59133</v>
      </c>
      <c r="DG899">
        <v>0.25</v>
      </c>
      <c r="DO899">
        <v>50</v>
      </c>
    </row>
    <row r="900" spans="93:120" x14ac:dyDescent="0.25">
      <c r="CO900" t="s">
        <v>636</v>
      </c>
      <c r="CP900" t="s">
        <v>6</v>
      </c>
      <c r="CQ900" t="s">
        <v>35</v>
      </c>
      <c r="CR900">
        <v>46154</v>
      </c>
      <c r="CS900">
        <v>1</v>
      </c>
      <c r="CT900">
        <v>1</v>
      </c>
      <c r="CV900">
        <v>1</v>
      </c>
      <c r="CX900">
        <v>4.6296296296296294E-5</v>
      </c>
      <c r="CY900">
        <v>4.6296296296296294E-5</v>
      </c>
      <c r="CZ900">
        <v>0.27679398148148149</v>
      </c>
      <c r="DA900">
        <v>0.1507175925925926</v>
      </c>
      <c r="DB900">
        <v>134</v>
      </c>
      <c r="DC900">
        <v>223</v>
      </c>
      <c r="DD900">
        <v>17</v>
      </c>
      <c r="DE900" t="s">
        <v>891</v>
      </c>
      <c r="DF900">
        <v>16206</v>
      </c>
      <c r="DG900">
        <v>0.12690000000000001</v>
      </c>
      <c r="DO900">
        <v>50</v>
      </c>
    </row>
    <row r="901" spans="93:120" x14ac:dyDescent="0.25">
      <c r="CO901" t="s">
        <v>636</v>
      </c>
      <c r="CP901" t="s">
        <v>6</v>
      </c>
      <c r="CQ901" t="s">
        <v>97</v>
      </c>
      <c r="CR901">
        <v>46149</v>
      </c>
      <c r="CS901">
        <v>1</v>
      </c>
      <c r="CT901">
        <v>1</v>
      </c>
      <c r="CV901">
        <v>1</v>
      </c>
      <c r="CX901">
        <v>1.1574074074074073E-5</v>
      </c>
      <c r="CY901">
        <v>1.1574074074074073E-5</v>
      </c>
      <c r="CZ901">
        <v>0.26510416666666664</v>
      </c>
      <c r="DA901">
        <v>8.5925925925925919E-2</v>
      </c>
      <c r="DB901">
        <v>237</v>
      </c>
      <c r="DC901">
        <v>287</v>
      </c>
      <c r="DD901">
        <v>18</v>
      </c>
      <c r="DE901" t="s">
        <v>755</v>
      </c>
      <c r="DF901">
        <v>18176</v>
      </c>
      <c r="DG901">
        <v>7.5899999999999995E-2</v>
      </c>
      <c r="DH901">
        <v>1</v>
      </c>
      <c r="DI901">
        <v>5.5599999999999997E-2</v>
      </c>
      <c r="DJ901">
        <v>450</v>
      </c>
      <c r="DK901">
        <v>450</v>
      </c>
      <c r="DL901">
        <v>225</v>
      </c>
      <c r="DM901">
        <v>0.5</v>
      </c>
      <c r="DN901">
        <v>0.80359999999999998</v>
      </c>
      <c r="DO901">
        <v>50</v>
      </c>
      <c r="DP901">
        <v>225</v>
      </c>
    </row>
    <row r="902" spans="93:120" x14ac:dyDescent="0.25">
      <c r="CO902" t="s">
        <v>636</v>
      </c>
      <c r="CP902" t="s">
        <v>6</v>
      </c>
      <c r="CQ902" t="s">
        <v>76</v>
      </c>
      <c r="CR902">
        <v>46154</v>
      </c>
      <c r="CS902">
        <v>1</v>
      </c>
      <c r="CT902">
        <v>1</v>
      </c>
      <c r="CV902">
        <v>1</v>
      </c>
      <c r="CX902">
        <v>9.2592592592592588E-5</v>
      </c>
      <c r="CY902">
        <v>9.2592592592592588E-5</v>
      </c>
      <c r="CZ902">
        <v>0.31100694444444443</v>
      </c>
      <c r="DA902">
        <v>9.8668981481481483E-2</v>
      </c>
      <c r="DB902">
        <v>185</v>
      </c>
      <c r="DC902">
        <v>217</v>
      </c>
      <c r="DD902">
        <v>16</v>
      </c>
      <c r="DE902">
        <v>2</v>
      </c>
      <c r="DF902">
        <v>23921</v>
      </c>
      <c r="DG902">
        <v>8.6499999999999994E-2</v>
      </c>
      <c r="DO902">
        <v>50</v>
      </c>
    </row>
    <row r="903" spans="93:120" x14ac:dyDescent="0.25">
      <c r="CO903" t="s">
        <v>636</v>
      </c>
      <c r="CP903" t="s">
        <v>7</v>
      </c>
      <c r="CQ903" t="s">
        <v>18</v>
      </c>
      <c r="CR903">
        <v>46160</v>
      </c>
      <c r="CS903">
        <v>1</v>
      </c>
      <c r="CT903">
        <v>1</v>
      </c>
      <c r="CV903">
        <v>1</v>
      </c>
      <c r="CX903">
        <v>1.6087962962962963E-3</v>
      </c>
      <c r="CY903">
        <v>1.6087962962962963E-3</v>
      </c>
      <c r="CZ903">
        <v>0.23940972222222223</v>
      </c>
      <c r="DA903">
        <v>7.7175925925925926E-2</v>
      </c>
      <c r="DB903">
        <v>125</v>
      </c>
      <c r="DC903">
        <v>230</v>
      </c>
      <c r="DD903">
        <v>13</v>
      </c>
      <c r="DE903" t="s">
        <v>843</v>
      </c>
      <c r="DF903">
        <v>20277</v>
      </c>
      <c r="DG903">
        <v>0.104</v>
      </c>
      <c r="DO903">
        <v>50</v>
      </c>
    </row>
    <row r="904" spans="93:120" x14ac:dyDescent="0.25">
      <c r="CO904" t="s">
        <v>636</v>
      </c>
      <c r="CP904" t="s">
        <v>7</v>
      </c>
      <c r="CQ904" t="s">
        <v>18</v>
      </c>
      <c r="CR904">
        <v>46163</v>
      </c>
      <c r="CS904">
        <v>1</v>
      </c>
      <c r="CT904">
        <v>1</v>
      </c>
      <c r="CV904">
        <v>1</v>
      </c>
      <c r="CX904">
        <v>1.5162037037037036E-3</v>
      </c>
      <c r="CY904">
        <v>1.5162037037037036E-3</v>
      </c>
      <c r="CZ904">
        <v>0.20069444444444445</v>
      </c>
      <c r="DA904">
        <v>0.13296296296296295</v>
      </c>
      <c r="DB904">
        <v>119</v>
      </c>
      <c r="DC904">
        <v>236</v>
      </c>
      <c r="DD904">
        <v>14</v>
      </c>
      <c r="DE904" t="s">
        <v>803</v>
      </c>
      <c r="DF904">
        <v>24462</v>
      </c>
      <c r="DG904">
        <v>0.1176</v>
      </c>
      <c r="DO904">
        <v>50</v>
      </c>
    </row>
    <row r="905" spans="93:120" x14ac:dyDescent="0.25">
      <c r="CO905" t="s">
        <v>636</v>
      </c>
      <c r="CP905" t="s">
        <v>7</v>
      </c>
      <c r="CQ905" t="s">
        <v>60</v>
      </c>
      <c r="CR905">
        <v>46160</v>
      </c>
      <c r="CS905">
        <v>1</v>
      </c>
      <c r="CT905">
        <v>1</v>
      </c>
      <c r="CV905">
        <v>1</v>
      </c>
      <c r="CX905">
        <v>6.9444444444444444E-5</v>
      </c>
      <c r="CY905">
        <v>6.9444444444444444E-5</v>
      </c>
      <c r="CZ905">
        <v>0.21228009259259259</v>
      </c>
      <c r="DA905">
        <v>0.11803240740740741</v>
      </c>
      <c r="DB905">
        <v>139</v>
      </c>
      <c r="DC905">
        <v>181</v>
      </c>
      <c r="DD905">
        <v>7</v>
      </c>
      <c r="DE905" t="s">
        <v>679</v>
      </c>
      <c r="DF905">
        <v>5470</v>
      </c>
      <c r="DG905">
        <v>5.04E-2</v>
      </c>
      <c r="DO905">
        <v>50</v>
      </c>
    </row>
    <row r="906" spans="93:120" x14ac:dyDescent="0.25">
      <c r="CO906" t="s">
        <v>636</v>
      </c>
      <c r="CP906" t="s">
        <v>7</v>
      </c>
      <c r="CQ906" t="s">
        <v>80</v>
      </c>
      <c r="CR906">
        <v>46163</v>
      </c>
      <c r="CS906">
        <v>1</v>
      </c>
      <c r="CT906">
        <v>1</v>
      </c>
      <c r="CV906">
        <v>1</v>
      </c>
      <c r="CX906">
        <v>8.1018518518518516E-5</v>
      </c>
      <c r="CY906">
        <v>8.1018518518518516E-5</v>
      </c>
      <c r="CZ906">
        <v>0.19122685185185184</v>
      </c>
      <c r="DA906">
        <v>0.14624999999999999</v>
      </c>
      <c r="DB906">
        <v>98</v>
      </c>
      <c r="DC906">
        <v>172</v>
      </c>
      <c r="DD906">
        <v>10</v>
      </c>
      <c r="DE906">
        <v>2</v>
      </c>
      <c r="DF906">
        <v>19753</v>
      </c>
      <c r="DG906">
        <v>0.10199999999999999</v>
      </c>
      <c r="DO906">
        <v>50</v>
      </c>
    </row>
    <row r="907" spans="93:120" x14ac:dyDescent="0.25">
      <c r="CO907" t="s">
        <v>636</v>
      </c>
      <c r="CP907" t="s">
        <v>7</v>
      </c>
      <c r="CQ907" t="s">
        <v>72</v>
      </c>
      <c r="CR907">
        <v>46160</v>
      </c>
      <c r="CS907">
        <v>1</v>
      </c>
      <c r="CT907">
        <v>1</v>
      </c>
      <c r="CV907">
        <v>1</v>
      </c>
      <c r="CX907">
        <v>1.7361111111111112E-4</v>
      </c>
      <c r="CY907">
        <v>1.7361111111111112E-4</v>
      </c>
      <c r="CZ907">
        <v>0.18945601851851851</v>
      </c>
      <c r="DA907">
        <v>0.14283564814814814</v>
      </c>
      <c r="DB907">
        <v>109</v>
      </c>
      <c r="DC907">
        <v>261</v>
      </c>
      <c r="DD907">
        <v>21</v>
      </c>
      <c r="DE907" t="s">
        <v>718</v>
      </c>
      <c r="DF907">
        <v>46943</v>
      </c>
      <c r="DG907">
        <v>0.19270000000000001</v>
      </c>
      <c r="DO907">
        <v>50</v>
      </c>
    </row>
    <row r="908" spans="93:120" x14ac:dyDescent="0.25">
      <c r="CO908" t="s">
        <v>636</v>
      </c>
      <c r="CP908" t="s">
        <v>7</v>
      </c>
      <c r="CQ908" t="s">
        <v>12</v>
      </c>
      <c r="CR908">
        <v>46163</v>
      </c>
      <c r="CS908">
        <v>1</v>
      </c>
      <c r="CT908">
        <v>1</v>
      </c>
      <c r="CV908">
        <v>1</v>
      </c>
      <c r="CX908">
        <v>2.4074074074074076E-3</v>
      </c>
      <c r="CY908">
        <v>2.4074074074074076E-3</v>
      </c>
      <c r="CZ908">
        <v>0.15785879629629629</v>
      </c>
      <c r="DA908">
        <v>0.17621527777777779</v>
      </c>
      <c r="DB908">
        <v>116</v>
      </c>
      <c r="DC908">
        <v>333</v>
      </c>
      <c r="DD908">
        <v>17</v>
      </c>
      <c r="DE908" t="s">
        <v>782</v>
      </c>
      <c r="DF908">
        <v>28440</v>
      </c>
      <c r="DG908">
        <v>0.14660000000000001</v>
      </c>
      <c r="DO908">
        <v>50</v>
      </c>
    </row>
    <row r="909" spans="93:120" x14ac:dyDescent="0.25">
      <c r="CO909" t="s">
        <v>636</v>
      </c>
      <c r="CP909" t="s">
        <v>7</v>
      </c>
      <c r="CQ909" t="s">
        <v>51</v>
      </c>
      <c r="CR909">
        <v>46160</v>
      </c>
      <c r="CS909">
        <v>1</v>
      </c>
      <c r="CT909">
        <v>1</v>
      </c>
      <c r="CV909">
        <v>1</v>
      </c>
      <c r="CX909">
        <v>2.8703703703703703E-3</v>
      </c>
      <c r="CY909">
        <v>2.8703703703703703E-3</v>
      </c>
      <c r="CZ909">
        <v>0.20685185185185184</v>
      </c>
      <c r="DA909">
        <v>0.12201388888888889</v>
      </c>
      <c r="DB909">
        <v>93</v>
      </c>
      <c r="DC909">
        <v>320</v>
      </c>
      <c r="DD909">
        <v>10</v>
      </c>
      <c r="DE909">
        <v>1.5</v>
      </c>
      <c r="DF909">
        <v>20101</v>
      </c>
      <c r="DG909">
        <v>0.1075</v>
      </c>
      <c r="DO909">
        <v>50</v>
      </c>
    </row>
    <row r="910" spans="93:120" x14ac:dyDescent="0.25">
      <c r="CO910" t="s">
        <v>636</v>
      </c>
      <c r="CP910" t="s">
        <v>7</v>
      </c>
      <c r="CQ910" t="s">
        <v>75</v>
      </c>
      <c r="CR910">
        <v>46163</v>
      </c>
      <c r="CS910">
        <v>1</v>
      </c>
      <c r="CT910">
        <v>1</v>
      </c>
      <c r="CV910">
        <v>1</v>
      </c>
      <c r="CX910">
        <v>2.199074074074074E-4</v>
      </c>
      <c r="CY910">
        <v>2.199074074074074E-4</v>
      </c>
      <c r="CZ910">
        <v>0.20099537037037038</v>
      </c>
      <c r="DA910">
        <v>0.12260416666666667</v>
      </c>
      <c r="DB910">
        <v>78</v>
      </c>
      <c r="DC910">
        <v>162</v>
      </c>
      <c r="DD910">
        <v>14</v>
      </c>
      <c r="DE910" t="s">
        <v>796</v>
      </c>
      <c r="DF910">
        <v>39832</v>
      </c>
      <c r="DG910">
        <v>0.17949999999999999</v>
      </c>
      <c r="DO910">
        <v>50</v>
      </c>
    </row>
    <row r="911" spans="93:120" x14ac:dyDescent="0.25">
      <c r="CO911" t="s">
        <v>636</v>
      </c>
      <c r="CP911" t="s">
        <v>604</v>
      </c>
      <c r="CQ911" t="s">
        <v>109</v>
      </c>
      <c r="CR911">
        <v>46171</v>
      </c>
      <c r="CS911">
        <v>1</v>
      </c>
      <c r="CT911">
        <v>1</v>
      </c>
      <c r="CU911">
        <v>1</v>
      </c>
      <c r="CX911">
        <v>1.9398148148148147E-2</v>
      </c>
      <c r="CY911">
        <v>1.9398148148148147E-2</v>
      </c>
      <c r="CZ911">
        <v>0.19424768518518518</v>
      </c>
      <c r="DA911">
        <v>0.16378472222222223</v>
      </c>
      <c r="DB911">
        <v>36</v>
      </c>
      <c r="DC911">
        <v>79</v>
      </c>
      <c r="DD911">
        <v>12</v>
      </c>
      <c r="DE911" t="s">
        <v>674</v>
      </c>
      <c r="DF911">
        <v>18193</v>
      </c>
      <c r="DG911">
        <v>0.33329999999999999</v>
      </c>
      <c r="DO911">
        <v>50</v>
      </c>
    </row>
    <row r="912" spans="93:120" x14ac:dyDescent="0.25">
      <c r="CO912" t="s">
        <v>636</v>
      </c>
      <c r="CP912" t="s">
        <v>604</v>
      </c>
      <c r="CQ912" t="s">
        <v>600</v>
      </c>
      <c r="CR912">
        <v>46167</v>
      </c>
      <c r="CS912">
        <v>1</v>
      </c>
      <c r="CT912">
        <v>1</v>
      </c>
      <c r="CV912">
        <v>1</v>
      </c>
      <c r="CX912">
        <v>1.6203703703703703E-4</v>
      </c>
      <c r="CY912">
        <v>1.6203703703703703E-4</v>
      </c>
      <c r="CZ912">
        <v>0.16054398148148147</v>
      </c>
      <c r="DA912">
        <v>0.17309027777777777</v>
      </c>
      <c r="DB912">
        <v>128</v>
      </c>
      <c r="DC912">
        <v>226</v>
      </c>
      <c r="DD912">
        <v>23</v>
      </c>
      <c r="DE912" t="s">
        <v>895</v>
      </c>
      <c r="DF912">
        <v>17460</v>
      </c>
      <c r="DG912">
        <v>0.1797</v>
      </c>
      <c r="DO912">
        <v>50</v>
      </c>
    </row>
    <row r="913" spans="93:119" x14ac:dyDescent="0.25">
      <c r="CO913" t="s">
        <v>636</v>
      </c>
      <c r="CP913" t="s">
        <v>604</v>
      </c>
      <c r="CQ913" t="s">
        <v>566</v>
      </c>
      <c r="CR913">
        <v>46168</v>
      </c>
      <c r="CS913">
        <v>1</v>
      </c>
      <c r="CT913">
        <v>1</v>
      </c>
      <c r="CU913">
        <v>1</v>
      </c>
      <c r="CX913">
        <v>1.5057870370370371E-2</v>
      </c>
      <c r="CY913">
        <v>1.5057870370370371E-2</v>
      </c>
      <c r="CZ913">
        <v>0.15055555555555555</v>
      </c>
      <c r="DA913">
        <v>0.18660879629629629</v>
      </c>
      <c r="DB913">
        <v>166</v>
      </c>
      <c r="DC913">
        <v>282</v>
      </c>
      <c r="DD913">
        <v>47</v>
      </c>
      <c r="DE913" t="s">
        <v>938</v>
      </c>
      <c r="DF913">
        <v>9589</v>
      </c>
      <c r="DG913">
        <v>0.28310000000000002</v>
      </c>
      <c r="DO913">
        <v>50</v>
      </c>
    </row>
    <row r="914" spans="93:119" x14ac:dyDescent="0.25">
      <c r="CO914" t="s">
        <v>636</v>
      </c>
      <c r="CP914" t="s">
        <v>604</v>
      </c>
      <c r="CQ914" t="s">
        <v>566</v>
      </c>
      <c r="CR914">
        <v>46170</v>
      </c>
      <c r="CS914">
        <v>1</v>
      </c>
      <c r="CT914">
        <v>1</v>
      </c>
      <c r="CU914">
        <v>1</v>
      </c>
      <c r="CX914">
        <v>1.667824074074074E-2</v>
      </c>
      <c r="CY914">
        <v>1.667824074074074E-2</v>
      </c>
      <c r="CZ914">
        <v>0.17590277777777777</v>
      </c>
      <c r="DA914">
        <v>0.16810185185185186</v>
      </c>
      <c r="DB914">
        <v>140</v>
      </c>
      <c r="DC914">
        <v>230</v>
      </c>
      <c r="DD914">
        <v>36</v>
      </c>
      <c r="DE914" t="s">
        <v>718</v>
      </c>
      <c r="DF914">
        <v>9826</v>
      </c>
      <c r="DG914">
        <v>0.2571</v>
      </c>
      <c r="DO914">
        <v>50</v>
      </c>
    </row>
    <row r="915" spans="93:119" x14ac:dyDescent="0.25">
      <c r="CO915" t="s">
        <v>636</v>
      </c>
      <c r="CP915" t="s">
        <v>604</v>
      </c>
      <c r="CQ915" t="s">
        <v>601</v>
      </c>
      <c r="CR915">
        <v>46168</v>
      </c>
      <c r="CS915">
        <v>1</v>
      </c>
      <c r="CT915">
        <v>1</v>
      </c>
      <c r="CW915">
        <v>1</v>
      </c>
      <c r="CX915">
        <v>0</v>
      </c>
      <c r="CY915">
        <v>0</v>
      </c>
      <c r="CZ915">
        <v>0</v>
      </c>
      <c r="DA915">
        <v>0</v>
      </c>
      <c r="DO915">
        <v>50</v>
      </c>
    </row>
    <row r="916" spans="93:119" x14ac:dyDescent="0.25">
      <c r="CO916" t="s">
        <v>636</v>
      </c>
      <c r="CP916" t="s">
        <v>604</v>
      </c>
      <c r="CQ916" t="s">
        <v>601</v>
      </c>
      <c r="CR916">
        <v>46170</v>
      </c>
      <c r="CS916">
        <v>1</v>
      </c>
      <c r="CT916">
        <v>1</v>
      </c>
      <c r="CW916">
        <v>1</v>
      </c>
      <c r="CX916">
        <v>0</v>
      </c>
      <c r="CY916">
        <v>0</v>
      </c>
      <c r="CZ916">
        <v>0</v>
      </c>
      <c r="DA916">
        <v>0</v>
      </c>
      <c r="DO916">
        <v>50</v>
      </c>
    </row>
    <row r="917" spans="93:119" x14ac:dyDescent="0.25">
      <c r="CO917" t="s">
        <v>636</v>
      </c>
      <c r="CP917" t="s">
        <v>604</v>
      </c>
      <c r="CQ917" t="s">
        <v>601</v>
      </c>
      <c r="CR917">
        <v>46171</v>
      </c>
      <c r="CS917">
        <v>1</v>
      </c>
      <c r="CT917">
        <v>1</v>
      </c>
      <c r="CW917">
        <v>1</v>
      </c>
      <c r="CX917">
        <v>0</v>
      </c>
      <c r="CY917">
        <v>0</v>
      </c>
      <c r="CZ917">
        <v>0</v>
      </c>
      <c r="DA917">
        <v>0</v>
      </c>
      <c r="DO917">
        <v>50</v>
      </c>
    </row>
    <row r="918" spans="93:119" x14ac:dyDescent="0.25">
      <c r="CO918" t="s">
        <v>636</v>
      </c>
      <c r="CP918" t="s">
        <v>3</v>
      </c>
      <c r="CQ918" t="s">
        <v>58</v>
      </c>
      <c r="CR918">
        <v>46164</v>
      </c>
      <c r="CS918">
        <v>1</v>
      </c>
      <c r="CT918">
        <v>1</v>
      </c>
      <c r="CV918">
        <v>1</v>
      </c>
      <c r="CX918">
        <v>1.3888888888888889E-4</v>
      </c>
      <c r="CY918">
        <v>1.3888888888888889E-4</v>
      </c>
      <c r="CZ918">
        <v>0.18230324074074075</v>
      </c>
      <c r="DA918">
        <v>0.15278935185185186</v>
      </c>
      <c r="DB918">
        <v>85</v>
      </c>
      <c r="DC918">
        <v>201</v>
      </c>
      <c r="DD918">
        <v>22</v>
      </c>
      <c r="DE918" t="s">
        <v>695</v>
      </c>
      <c r="DF918">
        <v>34789</v>
      </c>
      <c r="DG918">
        <v>0.25879999999999997</v>
      </c>
      <c r="DO918">
        <v>50</v>
      </c>
    </row>
    <row r="919" spans="93:119" x14ac:dyDescent="0.25">
      <c r="CO919" t="s">
        <v>636</v>
      </c>
      <c r="CP919" t="s">
        <v>3</v>
      </c>
      <c r="CQ919" t="s">
        <v>85</v>
      </c>
      <c r="CR919">
        <v>46162</v>
      </c>
      <c r="CS919">
        <v>1</v>
      </c>
      <c r="CT919">
        <v>1</v>
      </c>
      <c r="CV919">
        <v>1</v>
      </c>
      <c r="CX919">
        <v>1.273148148148148E-4</v>
      </c>
      <c r="CY919">
        <v>1.273148148148148E-4</v>
      </c>
      <c r="CZ919">
        <v>0.25575231481481481</v>
      </c>
      <c r="DA919">
        <v>0.12456018518518519</v>
      </c>
      <c r="DB919">
        <v>78</v>
      </c>
      <c r="DC919">
        <v>177</v>
      </c>
      <c r="DD919">
        <v>28</v>
      </c>
      <c r="DE919" t="s">
        <v>784</v>
      </c>
      <c r="DF919">
        <v>35369</v>
      </c>
      <c r="DG919">
        <v>0.35899999999999999</v>
      </c>
      <c r="DH919">
        <v>2</v>
      </c>
      <c r="DI919">
        <v>7.1400000000000005E-2</v>
      </c>
      <c r="DJ919">
        <v>463</v>
      </c>
      <c r="DK919">
        <v>232</v>
      </c>
      <c r="DO919">
        <v>50</v>
      </c>
    </row>
    <row r="920" spans="93:119" x14ac:dyDescent="0.25">
      <c r="CO920" t="s">
        <v>636</v>
      </c>
      <c r="CP920" t="s">
        <v>3</v>
      </c>
      <c r="CQ920" t="s">
        <v>85</v>
      </c>
      <c r="CR920">
        <v>46168</v>
      </c>
      <c r="CS920">
        <v>1</v>
      </c>
      <c r="CT920">
        <v>1</v>
      </c>
      <c r="CV920">
        <v>1</v>
      </c>
      <c r="CX920">
        <v>1.8518518518518518E-4</v>
      </c>
      <c r="CY920">
        <v>1.8518518518518518E-4</v>
      </c>
      <c r="CZ920">
        <v>0.2000925925925926</v>
      </c>
      <c r="DA920">
        <v>0.14284722222222221</v>
      </c>
      <c r="DB920">
        <v>105</v>
      </c>
      <c r="DC920">
        <v>225</v>
      </c>
      <c r="DD920">
        <v>41</v>
      </c>
      <c r="DE920" t="s">
        <v>939</v>
      </c>
      <c r="DF920">
        <v>29471</v>
      </c>
      <c r="DG920">
        <v>0.39050000000000001</v>
      </c>
      <c r="DO920">
        <v>50</v>
      </c>
    </row>
    <row r="921" spans="93:119" x14ac:dyDescent="0.25">
      <c r="CO921" t="s">
        <v>636</v>
      </c>
      <c r="CP921" t="s">
        <v>3</v>
      </c>
      <c r="CQ921" t="s">
        <v>32</v>
      </c>
      <c r="CR921">
        <v>46168</v>
      </c>
      <c r="CS921">
        <v>1</v>
      </c>
      <c r="CT921">
        <v>1</v>
      </c>
      <c r="CV921">
        <v>1</v>
      </c>
      <c r="CX921">
        <v>1.273148148148148E-4</v>
      </c>
      <c r="CY921">
        <v>1.273148148148148E-4</v>
      </c>
      <c r="CZ921">
        <v>0.18351851851851853</v>
      </c>
      <c r="DA921">
        <v>0.16118055555555555</v>
      </c>
      <c r="DB921">
        <v>140</v>
      </c>
      <c r="DC921">
        <v>259</v>
      </c>
      <c r="DD921">
        <v>37</v>
      </c>
      <c r="DE921" t="s">
        <v>940</v>
      </c>
      <c r="DF921">
        <v>32369</v>
      </c>
      <c r="DG921">
        <v>0.26429999999999998</v>
      </c>
      <c r="DO921">
        <v>50</v>
      </c>
    </row>
    <row r="922" spans="93:119" x14ac:dyDescent="0.25">
      <c r="CO922" t="s">
        <v>636</v>
      </c>
      <c r="CP922" t="s">
        <v>3</v>
      </c>
      <c r="CQ922" t="s">
        <v>96</v>
      </c>
      <c r="CR922">
        <v>46164</v>
      </c>
      <c r="CS922">
        <v>1</v>
      </c>
      <c r="CT922">
        <v>1</v>
      </c>
      <c r="CV922">
        <v>1</v>
      </c>
      <c r="CX922">
        <v>0</v>
      </c>
      <c r="CY922">
        <v>0</v>
      </c>
      <c r="CZ922">
        <v>0.18430555555555556</v>
      </c>
      <c r="DA922">
        <v>0.16141203703703705</v>
      </c>
      <c r="DB922">
        <v>76</v>
      </c>
      <c r="DC922">
        <v>162</v>
      </c>
      <c r="DD922">
        <v>9</v>
      </c>
      <c r="DE922" t="s">
        <v>767</v>
      </c>
      <c r="DF922">
        <v>30425</v>
      </c>
      <c r="DG922">
        <v>0.11840000000000001</v>
      </c>
      <c r="DO922">
        <v>50</v>
      </c>
    </row>
    <row r="923" spans="93:119" x14ac:dyDescent="0.25">
      <c r="CO923" t="s">
        <v>636</v>
      </c>
      <c r="CP923" t="s">
        <v>3</v>
      </c>
      <c r="CQ923" t="s">
        <v>68</v>
      </c>
      <c r="CR923">
        <v>46167</v>
      </c>
      <c r="CS923">
        <v>1</v>
      </c>
      <c r="CT923">
        <v>1</v>
      </c>
      <c r="CU923">
        <v>1</v>
      </c>
      <c r="CX923">
        <v>7.4768518518518517E-3</v>
      </c>
      <c r="CY923">
        <v>7.4768518518518517E-3</v>
      </c>
      <c r="CZ923">
        <v>0.18780092592592593</v>
      </c>
      <c r="DA923">
        <v>0.12692129629629631</v>
      </c>
      <c r="DB923">
        <v>83</v>
      </c>
      <c r="DC923">
        <v>158</v>
      </c>
      <c r="DD923">
        <v>32</v>
      </c>
      <c r="DE923">
        <v>1.46875</v>
      </c>
      <c r="DF923">
        <v>10630</v>
      </c>
      <c r="DG923">
        <v>0.38550000000000001</v>
      </c>
      <c r="DO923">
        <v>50</v>
      </c>
    </row>
    <row r="924" spans="93:119" x14ac:dyDescent="0.25">
      <c r="CO924" t="s">
        <v>636</v>
      </c>
      <c r="CP924" t="s">
        <v>3</v>
      </c>
      <c r="CQ924" t="s">
        <v>79</v>
      </c>
      <c r="CR924">
        <v>46167</v>
      </c>
      <c r="CS924">
        <v>1</v>
      </c>
      <c r="CT924">
        <v>1</v>
      </c>
      <c r="CW924">
        <v>1</v>
      </c>
      <c r="CX924">
        <v>0</v>
      </c>
      <c r="CY924">
        <v>0</v>
      </c>
      <c r="CZ924">
        <v>0</v>
      </c>
      <c r="DA924">
        <v>0</v>
      </c>
      <c r="DO924">
        <v>50</v>
      </c>
    </row>
    <row r="925" spans="93:119" x14ac:dyDescent="0.25">
      <c r="CO925" t="s">
        <v>636</v>
      </c>
      <c r="CP925" t="s">
        <v>2</v>
      </c>
      <c r="CQ925" t="s">
        <v>42</v>
      </c>
      <c r="CR925">
        <v>46172</v>
      </c>
      <c r="CS925">
        <v>1</v>
      </c>
      <c r="CT925">
        <v>1</v>
      </c>
      <c r="CU925">
        <v>1</v>
      </c>
      <c r="CX925">
        <v>1.6944444444444446E-2</v>
      </c>
      <c r="CY925">
        <v>1.6944444444444446E-2</v>
      </c>
      <c r="CZ925">
        <v>0.1431712962962963</v>
      </c>
      <c r="DA925">
        <v>2.5879629629629631E-2</v>
      </c>
      <c r="DB925">
        <v>16</v>
      </c>
      <c r="DC925">
        <v>20</v>
      </c>
      <c r="DD925">
        <v>10</v>
      </c>
      <c r="DE925">
        <v>1</v>
      </c>
      <c r="DF925">
        <v>24378</v>
      </c>
      <c r="DG925">
        <v>0.625</v>
      </c>
      <c r="DO925">
        <v>48</v>
      </c>
    </row>
    <row r="926" spans="93:119" x14ac:dyDescent="0.25">
      <c r="CO926" t="s">
        <v>636</v>
      </c>
      <c r="CP926" t="s">
        <v>6</v>
      </c>
      <c r="CQ926" t="s">
        <v>105</v>
      </c>
      <c r="CR926">
        <v>46167</v>
      </c>
      <c r="CS926">
        <v>1</v>
      </c>
      <c r="CT926">
        <v>1</v>
      </c>
      <c r="CV926">
        <v>1</v>
      </c>
      <c r="CX926">
        <v>3.0555555555555557E-3</v>
      </c>
      <c r="CY926">
        <v>3.0555555555555557E-3</v>
      </c>
      <c r="CZ926">
        <v>0.14847222222222223</v>
      </c>
      <c r="DA926">
        <v>0.16484953703703703</v>
      </c>
      <c r="DB926">
        <v>71</v>
      </c>
      <c r="DC926">
        <v>155</v>
      </c>
      <c r="DD926">
        <v>14</v>
      </c>
      <c r="DE926" t="s">
        <v>745</v>
      </c>
      <c r="DF926">
        <v>10092</v>
      </c>
      <c r="DG926">
        <v>0.19719999999999999</v>
      </c>
      <c r="DO926">
        <v>48</v>
      </c>
    </row>
    <row r="927" spans="93:119" x14ac:dyDescent="0.25">
      <c r="CO927" t="s">
        <v>636</v>
      </c>
      <c r="CP927" t="s">
        <v>6</v>
      </c>
      <c r="CQ927" t="s">
        <v>35</v>
      </c>
      <c r="CR927">
        <v>46163</v>
      </c>
      <c r="CS927">
        <v>1</v>
      </c>
      <c r="CT927">
        <v>1</v>
      </c>
      <c r="CU927">
        <v>1</v>
      </c>
      <c r="CX927">
        <v>0.12722222222222221</v>
      </c>
      <c r="CY927">
        <v>0.12722222222222221</v>
      </c>
      <c r="CZ927">
        <v>8.4664351851851852E-2</v>
      </c>
      <c r="DA927">
        <v>0.14780092592592592</v>
      </c>
      <c r="DB927">
        <v>39</v>
      </c>
      <c r="DC927">
        <v>77</v>
      </c>
      <c r="DD927">
        <v>12</v>
      </c>
      <c r="DE927">
        <v>1.5</v>
      </c>
      <c r="DF927">
        <v>34970</v>
      </c>
      <c r="DG927">
        <v>0.30769999999999997</v>
      </c>
      <c r="DO927">
        <v>48</v>
      </c>
    </row>
    <row r="928" spans="93:119" x14ac:dyDescent="0.25">
      <c r="CO928" t="s">
        <v>636</v>
      </c>
      <c r="CP928" t="s">
        <v>6</v>
      </c>
      <c r="CQ928" t="s">
        <v>76</v>
      </c>
      <c r="CR928">
        <v>46163</v>
      </c>
      <c r="CS928">
        <v>1</v>
      </c>
      <c r="CT928">
        <v>1</v>
      </c>
      <c r="CU928">
        <v>1</v>
      </c>
      <c r="CX928">
        <v>1.0775462962962962E-2</v>
      </c>
      <c r="CY928">
        <v>1.0775462962962962E-2</v>
      </c>
      <c r="CZ928">
        <v>0.20371527777777779</v>
      </c>
      <c r="DA928">
        <v>0.12243055555555556</v>
      </c>
      <c r="DB928">
        <v>141</v>
      </c>
      <c r="DC928">
        <v>166</v>
      </c>
      <c r="DD928">
        <v>13</v>
      </c>
      <c r="DE928" t="s">
        <v>764</v>
      </c>
      <c r="DF928">
        <v>13961</v>
      </c>
      <c r="DG928">
        <v>9.2200000000000004E-2</v>
      </c>
      <c r="DO928">
        <v>48</v>
      </c>
    </row>
    <row r="929" spans="93:120" x14ac:dyDescent="0.25">
      <c r="CO929" t="s">
        <v>636</v>
      </c>
      <c r="CP929" t="s">
        <v>7</v>
      </c>
      <c r="CQ929" t="s">
        <v>51</v>
      </c>
      <c r="CR929">
        <v>46168</v>
      </c>
      <c r="CS929">
        <v>1</v>
      </c>
      <c r="CT929">
        <v>1</v>
      </c>
      <c r="CU929">
        <v>1</v>
      </c>
      <c r="CX929">
        <v>8.5069444444444437E-3</v>
      </c>
      <c r="CY929">
        <v>8.5069444444444437E-3</v>
      </c>
      <c r="CZ929">
        <v>0.16259259259259259</v>
      </c>
      <c r="DA929">
        <v>0.13994212962962962</v>
      </c>
      <c r="DB929">
        <v>120</v>
      </c>
      <c r="DC929">
        <v>287</v>
      </c>
      <c r="DD929">
        <v>7</v>
      </c>
      <c r="DE929" t="s">
        <v>745</v>
      </c>
      <c r="DF929">
        <v>52820</v>
      </c>
      <c r="DG929">
        <v>5.8299999999999998E-2</v>
      </c>
      <c r="DO929">
        <v>48</v>
      </c>
    </row>
    <row r="930" spans="93:120" x14ac:dyDescent="0.25">
      <c r="CO930" t="s">
        <v>636</v>
      </c>
      <c r="CP930" t="s">
        <v>604</v>
      </c>
      <c r="CQ930" t="s">
        <v>600</v>
      </c>
      <c r="CR930">
        <v>46157</v>
      </c>
      <c r="CS930">
        <v>1</v>
      </c>
      <c r="CT930">
        <v>1</v>
      </c>
      <c r="CV930">
        <v>1</v>
      </c>
      <c r="CX930">
        <v>0</v>
      </c>
      <c r="CY930">
        <v>0</v>
      </c>
      <c r="CZ930">
        <v>0.23306712962962964</v>
      </c>
      <c r="DA930">
        <v>9.3715277777777772E-2</v>
      </c>
      <c r="DB930">
        <v>75</v>
      </c>
      <c r="DC930">
        <v>107</v>
      </c>
      <c r="DD930">
        <v>25</v>
      </c>
      <c r="DE930">
        <v>1.84</v>
      </c>
      <c r="DF930">
        <v>13927</v>
      </c>
      <c r="DG930">
        <v>0.33329999999999999</v>
      </c>
      <c r="DO930">
        <v>48</v>
      </c>
    </row>
    <row r="931" spans="93:120" x14ac:dyDescent="0.25">
      <c r="CO931" t="s">
        <v>636</v>
      </c>
      <c r="CP931" t="s">
        <v>604</v>
      </c>
      <c r="CQ931" t="s">
        <v>566</v>
      </c>
      <c r="CR931">
        <v>46155</v>
      </c>
      <c r="CS931">
        <v>1</v>
      </c>
      <c r="CT931">
        <v>1</v>
      </c>
      <c r="CU931">
        <v>1</v>
      </c>
      <c r="CX931">
        <v>1.1064814814814816E-2</v>
      </c>
      <c r="CY931">
        <v>1.1064814814814816E-2</v>
      </c>
      <c r="CZ931">
        <v>0.17201388888888888</v>
      </c>
      <c r="DA931">
        <v>0.1725925925925926</v>
      </c>
      <c r="DB931">
        <v>166</v>
      </c>
      <c r="DC931">
        <v>262</v>
      </c>
      <c r="DD931">
        <v>51</v>
      </c>
      <c r="DE931" t="s">
        <v>674</v>
      </c>
      <c r="DF931">
        <v>5363</v>
      </c>
      <c r="DG931">
        <v>0.30719999999999997</v>
      </c>
      <c r="DO931">
        <v>48</v>
      </c>
    </row>
    <row r="932" spans="93:120" x14ac:dyDescent="0.25">
      <c r="CO932" t="s">
        <v>636</v>
      </c>
      <c r="CP932" t="s">
        <v>604</v>
      </c>
      <c r="CQ932" t="s">
        <v>78</v>
      </c>
      <c r="CR932">
        <v>46157</v>
      </c>
      <c r="CS932">
        <v>1</v>
      </c>
      <c r="CT932">
        <v>1</v>
      </c>
      <c r="CV932">
        <v>1</v>
      </c>
      <c r="CX932">
        <v>0</v>
      </c>
      <c r="CY932">
        <v>0</v>
      </c>
      <c r="CZ932">
        <v>0.28145833333333331</v>
      </c>
      <c r="DA932">
        <v>5.8344907407407408E-2</v>
      </c>
      <c r="DB932">
        <v>42</v>
      </c>
      <c r="DC932">
        <v>46</v>
      </c>
      <c r="DD932">
        <v>24</v>
      </c>
      <c r="DE932" t="s">
        <v>732</v>
      </c>
      <c r="DF932">
        <v>19697</v>
      </c>
      <c r="DG932">
        <v>0.57140000000000002</v>
      </c>
      <c r="DO932">
        <v>48</v>
      </c>
    </row>
    <row r="933" spans="93:120" x14ac:dyDescent="0.25">
      <c r="CO933" t="s">
        <v>636</v>
      </c>
      <c r="CP933" t="s">
        <v>604</v>
      </c>
      <c r="CQ933" t="s">
        <v>601</v>
      </c>
      <c r="CR933">
        <v>46155</v>
      </c>
      <c r="CS933">
        <v>1</v>
      </c>
      <c r="CT933">
        <v>1</v>
      </c>
      <c r="CU933">
        <v>1</v>
      </c>
      <c r="CX933">
        <v>2.0127314814814813E-2</v>
      </c>
      <c r="CY933">
        <v>2.0127314814814813E-2</v>
      </c>
      <c r="CZ933">
        <v>0.19339120370370369</v>
      </c>
      <c r="DA933">
        <v>0.12021990740740741</v>
      </c>
      <c r="DB933">
        <v>158</v>
      </c>
      <c r="DC933">
        <v>222</v>
      </c>
      <c r="DD933">
        <v>66</v>
      </c>
      <c r="DE933" t="s">
        <v>941</v>
      </c>
      <c r="DF933">
        <v>7161</v>
      </c>
      <c r="DG933">
        <v>0.41770000000000002</v>
      </c>
      <c r="DH933">
        <v>1</v>
      </c>
      <c r="DI933">
        <v>1.52E-2</v>
      </c>
      <c r="DJ933">
        <v>240</v>
      </c>
      <c r="DK933">
        <v>240</v>
      </c>
      <c r="DO933">
        <v>48</v>
      </c>
    </row>
    <row r="934" spans="93:120" x14ac:dyDescent="0.25">
      <c r="CO934" t="s">
        <v>636</v>
      </c>
      <c r="CP934" t="s">
        <v>3</v>
      </c>
      <c r="CQ934" t="s">
        <v>58</v>
      </c>
      <c r="CR934">
        <v>46153</v>
      </c>
      <c r="CS934">
        <v>1</v>
      </c>
      <c r="CT934">
        <v>1</v>
      </c>
      <c r="CV934">
        <v>1</v>
      </c>
      <c r="CX934">
        <v>1.6203703703703703E-4</v>
      </c>
      <c r="CY934">
        <v>1.6203703703703703E-4</v>
      </c>
      <c r="CZ934">
        <v>0.2011226851851852</v>
      </c>
      <c r="DA934">
        <v>0.13428240740740741</v>
      </c>
      <c r="DB934">
        <v>137</v>
      </c>
      <c r="DC934">
        <v>251</v>
      </c>
      <c r="DD934">
        <v>24</v>
      </c>
      <c r="DE934">
        <v>1.25</v>
      </c>
      <c r="DF934">
        <v>21526</v>
      </c>
      <c r="DG934">
        <v>0.17519999999999999</v>
      </c>
      <c r="DO934">
        <v>48</v>
      </c>
    </row>
    <row r="935" spans="93:120" x14ac:dyDescent="0.25">
      <c r="CO935" t="s">
        <v>636</v>
      </c>
      <c r="CP935" t="s">
        <v>3</v>
      </c>
      <c r="CQ935" t="s">
        <v>174</v>
      </c>
      <c r="CR935">
        <v>46146</v>
      </c>
      <c r="CS935">
        <v>1</v>
      </c>
      <c r="CT935">
        <v>1</v>
      </c>
      <c r="CV935">
        <v>1</v>
      </c>
      <c r="CX935">
        <v>1.1574074074074073E-5</v>
      </c>
      <c r="CY935">
        <v>1.1574074074074073E-5</v>
      </c>
      <c r="CZ935">
        <v>0.27381944444444445</v>
      </c>
      <c r="DA935">
        <v>6.7627314814814821E-2</v>
      </c>
      <c r="DB935">
        <v>128</v>
      </c>
      <c r="DC935">
        <v>192</v>
      </c>
      <c r="DD935">
        <v>41</v>
      </c>
      <c r="DE935" t="s">
        <v>942</v>
      </c>
      <c r="DF935">
        <v>14555</v>
      </c>
      <c r="DG935">
        <v>0.32029999999999997</v>
      </c>
      <c r="DH935">
        <v>4</v>
      </c>
      <c r="DI935">
        <v>9.7600000000000006E-2</v>
      </c>
      <c r="DJ935">
        <v>1155</v>
      </c>
      <c r="DK935">
        <v>289</v>
      </c>
      <c r="DL935">
        <v>785</v>
      </c>
      <c r="DM935">
        <v>0.67969999999999997</v>
      </c>
      <c r="DN935">
        <v>0.15379999999999999</v>
      </c>
      <c r="DO935">
        <v>48</v>
      </c>
      <c r="DP935">
        <v>393</v>
      </c>
    </row>
    <row r="936" spans="93:120" x14ac:dyDescent="0.25">
      <c r="CO936" t="s">
        <v>636</v>
      </c>
      <c r="CP936" t="s">
        <v>3</v>
      </c>
      <c r="CQ936" t="s">
        <v>174</v>
      </c>
      <c r="CR936">
        <v>46153</v>
      </c>
      <c r="CS936">
        <v>1</v>
      </c>
      <c r="CT936">
        <v>1</v>
      </c>
      <c r="CV936">
        <v>1</v>
      </c>
      <c r="CX936">
        <v>1.6666666666666668E-3</v>
      </c>
      <c r="CY936">
        <v>1.6666666666666668E-3</v>
      </c>
      <c r="CZ936">
        <v>0.23248842592592592</v>
      </c>
      <c r="DA936">
        <v>8.953703703703704E-2</v>
      </c>
      <c r="DB936">
        <v>136</v>
      </c>
      <c r="DC936">
        <v>189</v>
      </c>
      <c r="DD936">
        <v>11</v>
      </c>
      <c r="DE936" t="s">
        <v>852</v>
      </c>
      <c r="DF936">
        <v>12373</v>
      </c>
      <c r="DG936">
        <v>8.09E-2</v>
      </c>
      <c r="DO936">
        <v>48</v>
      </c>
    </row>
    <row r="937" spans="93:120" x14ac:dyDescent="0.25">
      <c r="CO937" t="s">
        <v>636</v>
      </c>
      <c r="CP937" t="s">
        <v>3</v>
      </c>
      <c r="CQ937" t="s">
        <v>174</v>
      </c>
      <c r="CR937">
        <v>46154</v>
      </c>
      <c r="CS937">
        <v>1</v>
      </c>
      <c r="CT937">
        <v>1</v>
      </c>
      <c r="CW937">
        <v>1</v>
      </c>
      <c r="CX937">
        <v>0</v>
      </c>
      <c r="CY937">
        <v>0</v>
      </c>
      <c r="CZ937">
        <v>0</v>
      </c>
      <c r="DA937">
        <v>0</v>
      </c>
      <c r="DO937">
        <v>48</v>
      </c>
    </row>
    <row r="938" spans="93:120" x14ac:dyDescent="0.25">
      <c r="CO938" t="s">
        <v>636</v>
      </c>
      <c r="CP938" t="s">
        <v>3</v>
      </c>
      <c r="CQ938" t="s">
        <v>174</v>
      </c>
      <c r="CR938">
        <v>46157</v>
      </c>
      <c r="CS938">
        <v>1</v>
      </c>
      <c r="CT938">
        <v>1</v>
      </c>
      <c r="CW938">
        <v>1</v>
      </c>
      <c r="CX938">
        <v>0</v>
      </c>
      <c r="CY938">
        <v>0</v>
      </c>
      <c r="CZ938">
        <v>0</v>
      </c>
      <c r="DA938">
        <v>0</v>
      </c>
      <c r="DO938">
        <v>48</v>
      </c>
    </row>
    <row r="939" spans="93:120" x14ac:dyDescent="0.25">
      <c r="CO939" t="s">
        <v>636</v>
      </c>
      <c r="CP939" t="s">
        <v>2</v>
      </c>
      <c r="CQ939" t="s">
        <v>22</v>
      </c>
      <c r="CR939">
        <v>46148</v>
      </c>
      <c r="CS939">
        <v>1</v>
      </c>
      <c r="CT939">
        <v>1</v>
      </c>
      <c r="CU939">
        <v>1</v>
      </c>
      <c r="CX939">
        <v>7.905092592592592E-3</v>
      </c>
      <c r="CY939">
        <v>7.905092592592592E-3</v>
      </c>
      <c r="CZ939">
        <v>0.22510416666666666</v>
      </c>
      <c r="DA939">
        <v>9.2615740740740735E-2</v>
      </c>
      <c r="DB939">
        <v>77</v>
      </c>
      <c r="DC939">
        <v>145</v>
      </c>
      <c r="DD939">
        <v>22</v>
      </c>
      <c r="DE939" t="s">
        <v>943</v>
      </c>
      <c r="DF939">
        <v>23895</v>
      </c>
      <c r="DG939">
        <v>0.28570000000000001</v>
      </c>
      <c r="DH939">
        <v>1</v>
      </c>
      <c r="DI939">
        <v>4.5499999999999999E-2</v>
      </c>
      <c r="DJ939">
        <v>150</v>
      </c>
      <c r="DK939">
        <v>150</v>
      </c>
      <c r="DO939">
        <v>46</v>
      </c>
    </row>
    <row r="940" spans="93:120" x14ac:dyDescent="0.25">
      <c r="CO940" t="s">
        <v>636</v>
      </c>
      <c r="CP940" t="s">
        <v>2</v>
      </c>
      <c r="CQ940" t="s">
        <v>22</v>
      </c>
      <c r="CR940">
        <v>46155</v>
      </c>
      <c r="CS940">
        <v>1</v>
      </c>
      <c r="CT940">
        <v>1</v>
      </c>
      <c r="CV940">
        <v>1</v>
      </c>
      <c r="CX940">
        <v>0</v>
      </c>
      <c r="CY940">
        <v>0</v>
      </c>
      <c r="CZ940">
        <v>0.1960648148148148</v>
      </c>
      <c r="DA940">
        <v>0.11498842592592592</v>
      </c>
      <c r="DB940">
        <v>58</v>
      </c>
      <c r="DC940">
        <v>97</v>
      </c>
      <c r="DD940">
        <v>21</v>
      </c>
      <c r="DE940" t="s">
        <v>788</v>
      </c>
      <c r="DF940">
        <v>27392</v>
      </c>
      <c r="DG940">
        <v>0.36209999999999998</v>
      </c>
      <c r="DO940">
        <v>46</v>
      </c>
    </row>
    <row r="941" spans="93:120" x14ac:dyDescent="0.25">
      <c r="CO941" t="s">
        <v>636</v>
      </c>
      <c r="CP941" t="s">
        <v>2</v>
      </c>
      <c r="CQ941" t="s">
        <v>24</v>
      </c>
      <c r="CR941">
        <v>46148</v>
      </c>
      <c r="CS941">
        <v>1</v>
      </c>
      <c r="CT941">
        <v>1</v>
      </c>
      <c r="CV941">
        <v>1</v>
      </c>
      <c r="CX941">
        <v>1.6203703703703703E-4</v>
      </c>
      <c r="CY941">
        <v>1.6203703703703703E-4</v>
      </c>
      <c r="CZ941">
        <v>0.24304398148148149</v>
      </c>
      <c r="DA941">
        <v>0.67149305555555561</v>
      </c>
      <c r="DB941">
        <v>52</v>
      </c>
      <c r="DC941">
        <v>119</v>
      </c>
      <c r="DD941">
        <v>16</v>
      </c>
      <c r="DE941">
        <v>1.8125</v>
      </c>
      <c r="DF941">
        <v>29133</v>
      </c>
      <c r="DG941">
        <v>0.30769999999999997</v>
      </c>
      <c r="DO941">
        <v>46</v>
      </c>
    </row>
    <row r="942" spans="93:120" x14ac:dyDescent="0.25">
      <c r="CO942" t="s">
        <v>636</v>
      </c>
      <c r="CP942" t="s">
        <v>2</v>
      </c>
      <c r="CQ942" t="s">
        <v>24</v>
      </c>
      <c r="CR942">
        <v>46162</v>
      </c>
      <c r="CS942">
        <v>1</v>
      </c>
      <c r="CT942">
        <v>1</v>
      </c>
      <c r="CV942">
        <v>1</v>
      </c>
      <c r="CX942">
        <v>3.9351851851851852E-4</v>
      </c>
      <c r="CY942">
        <v>3.9351851851851852E-4</v>
      </c>
      <c r="CZ942">
        <v>0.18835648148148149</v>
      </c>
      <c r="DA942">
        <v>0.13892361111111112</v>
      </c>
      <c r="DB942">
        <v>49</v>
      </c>
      <c r="DC942">
        <v>112</v>
      </c>
      <c r="DD942">
        <v>20</v>
      </c>
      <c r="DE942">
        <v>1.65</v>
      </c>
      <c r="DF942">
        <v>21719</v>
      </c>
      <c r="DG942">
        <v>0.40820000000000001</v>
      </c>
      <c r="DO942">
        <v>46</v>
      </c>
    </row>
    <row r="943" spans="93:120" x14ac:dyDescent="0.25">
      <c r="CO943" t="s">
        <v>636</v>
      </c>
      <c r="CP943" t="s">
        <v>2</v>
      </c>
      <c r="CQ943" t="s">
        <v>13</v>
      </c>
      <c r="CR943">
        <v>46148</v>
      </c>
      <c r="CS943">
        <v>1</v>
      </c>
      <c r="CT943">
        <v>1</v>
      </c>
      <c r="CV943">
        <v>1</v>
      </c>
      <c r="CX943">
        <v>1.5046296296296297E-4</v>
      </c>
      <c r="CY943">
        <v>1.5046296296296297E-4</v>
      </c>
      <c r="CZ943">
        <v>0.25261574074074072</v>
      </c>
      <c r="DA943">
        <v>5.4398148148148147E-2</v>
      </c>
      <c r="DB943">
        <v>80</v>
      </c>
      <c r="DC943">
        <v>181</v>
      </c>
      <c r="DD943">
        <v>21</v>
      </c>
      <c r="DE943" t="s">
        <v>944</v>
      </c>
      <c r="DF943">
        <v>21492</v>
      </c>
      <c r="DG943">
        <v>0.26250000000000001</v>
      </c>
      <c r="DO943">
        <v>46</v>
      </c>
    </row>
    <row r="944" spans="93:120" x14ac:dyDescent="0.25">
      <c r="CO944" t="s">
        <v>636</v>
      </c>
      <c r="CP944" t="s">
        <v>2</v>
      </c>
      <c r="CQ944" t="s">
        <v>13</v>
      </c>
      <c r="CR944">
        <v>46155</v>
      </c>
      <c r="CS944">
        <v>1</v>
      </c>
      <c r="CT944">
        <v>1</v>
      </c>
      <c r="CV944">
        <v>1</v>
      </c>
      <c r="CX944">
        <v>6.9444444444444444E-5</v>
      </c>
      <c r="CY944">
        <v>6.9444444444444444E-5</v>
      </c>
      <c r="CZ944">
        <v>0.20877314814814815</v>
      </c>
      <c r="DA944">
        <v>0.12174768518518518</v>
      </c>
      <c r="DB944">
        <v>87</v>
      </c>
      <c r="DC944">
        <v>177</v>
      </c>
      <c r="DD944">
        <v>29</v>
      </c>
      <c r="DE944" t="s">
        <v>945</v>
      </c>
      <c r="DF944">
        <v>21142</v>
      </c>
      <c r="DG944">
        <v>0.33329999999999999</v>
      </c>
      <c r="DO944">
        <v>46</v>
      </c>
    </row>
    <row r="945" spans="93:119" x14ac:dyDescent="0.25">
      <c r="CO945" t="s">
        <v>636</v>
      </c>
      <c r="CP945" t="s">
        <v>2</v>
      </c>
      <c r="CQ945" t="s">
        <v>65</v>
      </c>
      <c r="CR945">
        <v>46171</v>
      </c>
      <c r="CS945">
        <v>1</v>
      </c>
      <c r="CT945">
        <v>1</v>
      </c>
      <c r="CV945">
        <v>1</v>
      </c>
      <c r="CX945">
        <v>3.5879629629629629E-4</v>
      </c>
      <c r="CY945">
        <v>3.5879629629629629E-4</v>
      </c>
      <c r="CZ945">
        <v>0.1255324074074074</v>
      </c>
      <c r="DA945">
        <v>0.24557870370370372</v>
      </c>
      <c r="DB945">
        <v>24</v>
      </c>
      <c r="DC945">
        <v>48</v>
      </c>
      <c r="DD945">
        <v>11</v>
      </c>
      <c r="DE945" t="s">
        <v>847</v>
      </c>
      <c r="DF945">
        <v>10337</v>
      </c>
      <c r="DG945">
        <v>0.45829999999999999</v>
      </c>
      <c r="DO945">
        <v>46</v>
      </c>
    </row>
    <row r="946" spans="93:119" x14ac:dyDescent="0.25">
      <c r="CO946" t="s">
        <v>636</v>
      </c>
      <c r="CP946" t="s">
        <v>2</v>
      </c>
      <c r="CQ946" t="s">
        <v>37</v>
      </c>
      <c r="CR946">
        <v>46148</v>
      </c>
      <c r="CS946">
        <v>1</v>
      </c>
      <c r="CT946">
        <v>1</v>
      </c>
      <c r="CV946">
        <v>1</v>
      </c>
      <c r="CX946">
        <v>3.460648148148148E-3</v>
      </c>
      <c r="CY946">
        <v>3.460648148148148E-3</v>
      </c>
      <c r="CZ946">
        <v>0.23686342592592594</v>
      </c>
      <c r="DA946">
        <v>8.0613425925925922E-2</v>
      </c>
      <c r="DB946">
        <v>86</v>
      </c>
      <c r="DC946">
        <v>156</v>
      </c>
      <c r="DD946">
        <v>5</v>
      </c>
      <c r="DE946">
        <v>2.4</v>
      </c>
      <c r="DF946">
        <v>47877</v>
      </c>
      <c r="DG946">
        <v>5.8099999999999999E-2</v>
      </c>
      <c r="DO946">
        <v>46</v>
      </c>
    </row>
    <row r="947" spans="93:119" x14ac:dyDescent="0.25">
      <c r="CO947" t="s">
        <v>636</v>
      </c>
      <c r="CP947" t="s">
        <v>2</v>
      </c>
      <c r="CQ947" t="s">
        <v>31</v>
      </c>
      <c r="CR947">
        <v>46162</v>
      </c>
      <c r="CS947">
        <v>1</v>
      </c>
      <c r="CT947">
        <v>1</v>
      </c>
      <c r="CV947">
        <v>1</v>
      </c>
      <c r="CX947">
        <v>3.9351851851851852E-4</v>
      </c>
      <c r="CY947">
        <v>3.9351851851851852E-4</v>
      </c>
      <c r="CZ947">
        <v>0.22690972222222222</v>
      </c>
      <c r="DA947">
        <v>0.1000462962962963</v>
      </c>
      <c r="DB947">
        <v>80</v>
      </c>
      <c r="DC947">
        <v>152</v>
      </c>
      <c r="DD947">
        <v>19</v>
      </c>
      <c r="DE947" t="s">
        <v>683</v>
      </c>
      <c r="DF947">
        <v>17086</v>
      </c>
      <c r="DG947">
        <v>0.23749999999999999</v>
      </c>
      <c r="DO947">
        <v>46</v>
      </c>
    </row>
    <row r="948" spans="93:119" x14ac:dyDescent="0.25">
      <c r="CO948" t="s">
        <v>636</v>
      </c>
      <c r="CP948" t="s">
        <v>2</v>
      </c>
      <c r="CQ948" t="s">
        <v>31</v>
      </c>
      <c r="CR948">
        <v>46170</v>
      </c>
      <c r="CS948">
        <v>1</v>
      </c>
      <c r="CT948">
        <v>1</v>
      </c>
      <c r="CV948">
        <v>1</v>
      </c>
      <c r="CX948">
        <v>2.0833333333333335E-4</v>
      </c>
      <c r="CY948">
        <v>2.0833333333333335E-4</v>
      </c>
      <c r="CZ948">
        <v>0.18373842592592593</v>
      </c>
      <c r="DA948">
        <v>0.1655787037037037</v>
      </c>
      <c r="DB948">
        <v>87</v>
      </c>
      <c r="DC948">
        <v>187</v>
      </c>
      <c r="DD948">
        <v>13</v>
      </c>
      <c r="DE948" t="s">
        <v>787</v>
      </c>
      <c r="DF948">
        <v>31117</v>
      </c>
      <c r="DG948">
        <v>0.14940000000000001</v>
      </c>
      <c r="DO948">
        <v>46</v>
      </c>
    </row>
    <row r="949" spans="93:119" x14ac:dyDescent="0.25">
      <c r="CO949" t="s">
        <v>636</v>
      </c>
      <c r="CP949" t="s">
        <v>2</v>
      </c>
      <c r="CQ949" t="s">
        <v>10</v>
      </c>
      <c r="CR949">
        <v>46171</v>
      </c>
      <c r="CS949">
        <v>1</v>
      </c>
      <c r="CT949">
        <v>1</v>
      </c>
      <c r="CV949">
        <v>1</v>
      </c>
      <c r="CX949">
        <v>1.5046296296296297E-4</v>
      </c>
      <c r="CY949">
        <v>1.5046296296296297E-4</v>
      </c>
      <c r="CZ949">
        <v>0.19112268518518519</v>
      </c>
      <c r="DA949">
        <v>0.17979166666666666</v>
      </c>
      <c r="DB949">
        <v>104</v>
      </c>
      <c r="DC949">
        <v>178</v>
      </c>
      <c r="DD949">
        <v>19</v>
      </c>
      <c r="DE949" t="s">
        <v>691</v>
      </c>
      <c r="DF949">
        <v>28110</v>
      </c>
      <c r="DG949">
        <v>0.1827</v>
      </c>
      <c r="DO949">
        <v>46</v>
      </c>
    </row>
    <row r="950" spans="93:119" x14ac:dyDescent="0.25">
      <c r="CO950" t="s">
        <v>636</v>
      </c>
      <c r="CP950" t="s">
        <v>6</v>
      </c>
      <c r="CQ950" t="s">
        <v>19</v>
      </c>
      <c r="CR950">
        <v>46161</v>
      </c>
      <c r="CS950">
        <v>1</v>
      </c>
      <c r="CT950">
        <v>1</v>
      </c>
      <c r="CV950">
        <v>1</v>
      </c>
      <c r="CX950">
        <v>0</v>
      </c>
      <c r="CY950">
        <v>0</v>
      </c>
      <c r="CZ950">
        <v>0.23159722222222223</v>
      </c>
      <c r="DA950">
        <v>0.13464120370370369</v>
      </c>
      <c r="DB950">
        <v>255</v>
      </c>
      <c r="DC950">
        <v>387</v>
      </c>
      <c r="DD950">
        <v>36</v>
      </c>
      <c r="DE950" t="s">
        <v>946</v>
      </c>
      <c r="DF950">
        <v>25748</v>
      </c>
      <c r="DG950">
        <v>0.14119999999999999</v>
      </c>
      <c r="DO950">
        <v>46</v>
      </c>
    </row>
    <row r="951" spans="93:119" x14ac:dyDescent="0.25">
      <c r="CO951" t="s">
        <v>636</v>
      </c>
      <c r="CP951" t="s">
        <v>6</v>
      </c>
      <c r="CQ951" t="s">
        <v>105</v>
      </c>
      <c r="CR951">
        <v>46153</v>
      </c>
      <c r="CS951">
        <v>1</v>
      </c>
      <c r="CT951">
        <v>1</v>
      </c>
      <c r="CV951">
        <v>1</v>
      </c>
      <c r="CX951">
        <v>1.9675925925925924E-3</v>
      </c>
      <c r="CY951">
        <v>1.9675925925925924E-3</v>
      </c>
      <c r="CZ951">
        <v>0.20364583333333333</v>
      </c>
      <c r="DA951">
        <v>0.1233912037037037</v>
      </c>
      <c r="DB951">
        <v>81</v>
      </c>
      <c r="DC951">
        <v>168</v>
      </c>
      <c r="DD951">
        <v>16</v>
      </c>
      <c r="DE951">
        <v>1.375</v>
      </c>
      <c r="DF951">
        <v>12729</v>
      </c>
      <c r="DG951">
        <v>0.19750000000000001</v>
      </c>
      <c r="DO951">
        <v>46</v>
      </c>
    </row>
    <row r="952" spans="93:119" x14ac:dyDescent="0.25">
      <c r="CO952" t="s">
        <v>636</v>
      </c>
      <c r="CP952" t="s">
        <v>6</v>
      </c>
      <c r="CQ952" t="s">
        <v>105</v>
      </c>
      <c r="CR952">
        <v>46161</v>
      </c>
      <c r="CS952">
        <v>1</v>
      </c>
      <c r="CT952">
        <v>1</v>
      </c>
      <c r="CV952">
        <v>1</v>
      </c>
      <c r="CX952">
        <v>2.199074074074074E-4</v>
      </c>
      <c r="CY952">
        <v>2.199074074074074E-4</v>
      </c>
      <c r="CZ952">
        <v>0.21219907407407407</v>
      </c>
      <c r="DA952">
        <v>0.12445601851851852</v>
      </c>
      <c r="DB952">
        <v>83</v>
      </c>
      <c r="DC952">
        <v>153</v>
      </c>
      <c r="DD952">
        <v>21</v>
      </c>
      <c r="DE952" t="s">
        <v>803</v>
      </c>
      <c r="DF952">
        <v>22339</v>
      </c>
      <c r="DG952">
        <v>0.253</v>
      </c>
      <c r="DO952">
        <v>46</v>
      </c>
    </row>
    <row r="953" spans="93:119" x14ac:dyDescent="0.25">
      <c r="CO953" t="s">
        <v>636</v>
      </c>
      <c r="CP953" t="s">
        <v>6</v>
      </c>
      <c r="CQ953" t="s">
        <v>35</v>
      </c>
      <c r="CR953">
        <v>46153</v>
      </c>
      <c r="CS953">
        <v>1</v>
      </c>
      <c r="CT953">
        <v>1</v>
      </c>
      <c r="CV953">
        <v>1</v>
      </c>
      <c r="CX953">
        <v>1.2962962962962963E-3</v>
      </c>
      <c r="CY953">
        <v>1.2962962962962963E-3</v>
      </c>
      <c r="CZ953">
        <v>0.19714120370370369</v>
      </c>
      <c r="DA953">
        <v>0.13196759259259258</v>
      </c>
      <c r="DB953">
        <v>68</v>
      </c>
      <c r="DC953">
        <v>135</v>
      </c>
      <c r="DD953">
        <v>13</v>
      </c>
      <c r="DE953" t="s">
        <v>843</v>
      </c>
      <c r="DF953">
        <v>20037</v>
      </c>
      <c r="DG953">
        <v>0.19120000000000001</v>
      </c>
      <c r="DO953">
        <v>46</v>
      </c>
    </row>
    <row r="954" spans="93:119" x14ac:dyDescent="0.25">
      <c r="CO954" t="s">
        <v>636</v>
      </c>
      <c r="CP954" t="s">
        <v>7</v>
      </c>
      <c r="CQ954" t="s">
        <v>61</v>
      </c>
      <c r="CR954">
        <v>46171</v>
      </c>
      <c r="CS954">
        <v>1</v>
      </c>
      <c r="CT954">
        <v>1</v>
      </c>
      <c r="CV954">
        <v>1</v>
      </c>
      <c r="CX954">
        <v>1.3888888888888889E-4</v>
      </c>
      <c r="CY954">
        <v>1.3888888888888889E-4</v>
      </c>
      <c r="CZ954">
        <v>0.12028935185185186</v>
      </c>
      <c r="DA954">
        <v>0.24085648148148148</v>
      </c>
      <c r="DB954">
        <v>93</v>
      </c>
      <c r="DC954">
        <v>267</v>
      </c>
      <c r="DD954">
        <v>25</v>
      </c>
      <c r="DE954">
        <v>1.52</v>
      </c>
      <c r="DF954">
        <v>43654</v>
      </c>
      <c r="DG954">
        <v>0.26879999999999998</v>
      </c>
      <c r="DO954">
        <v>46</v>
      </c>
    </row>
    <row r="955" spans="93:119" x14ac:dyDescent="0.25">
      <c r="CO955" t="s">
        <v>636</v>
      </c>
      <c r="CP955" t="s">
        <v>7</v>
      </c>
      <c r="CQ955" t="s">
        <v>80</v>
      </c>
      <c r="CR955">
        <v>46161</v>
      </c>
      <c r="CS955">
        <v>1</v>
      </c>
      <c r="CT955">
        <v>1</v>
      </c>
      <c r="CV955">
        <v>1</v>
      </c>
      <c r="CX955">
        <v>1.273148148148148E-4</v>
      </c>
      <c r="CY955">
        <v>1.273148148148148E-4</v>
      </c>
      <c r="CZ955">
        <v>0.2144675925925926</v>
      </c>
      <c r="DA955">
        <v>0.13386574074074073</v>
      </c>
      <c r="DB955">
        <v>72</v>
      </c>
      <c r="DC955">
        <v>144</v>
      </c>
      <c r="DD955">
        <v>9</v>
      </c>
      <c r="DE955" t="s">
        <v>690</v>
      </c>
      <c r="DF955">
        <v>24850</v>
      </c>
      <c r="DG955">
        <v>0.125</v>
      </c>
      <c r="DO955">
        <v>46</v>
      </c>
    </row>
    <row r="956" spans="93:119" x14ac:dyDescent="0.25">
      <c r="CO956" t="s">
        <v>636</v>
      </c>
      <c r="CP956" t="s">
        <v>7</v>
      </c>
      <c r="CQ956" t="s">
        <v>72</v>
      </c>
      <c r="CR956">
        <v>46161</v>
      </c>
      <c r="CS956">
        <v>1</v>
      </c>
      <c r="CT956">
        <v>1</v>
      </c>
      <c r="CV956">
        <v>1</v>
      </c>
      <c r="CX956">
        <v>9.3749999999999997E-4</v>
      </c>
      <c r="CY956">
        <v>9.3749999999999997E-4</v>
      </c>
      <c r="CZ956">
        <v>0.20342592592592593</v>
      </c>
      <c r="DA956">
        <v>0.15201388888888889</v>
      </c>
      <c r="DB956">
        <v>119</v>
      </c>
      <c r="DC956">
        <v>280</v>
      </c>
      <c r="DD956">
        <v>26</v>
      </c>
      <c r="DE956" t="s">
        <v>805</v>
      </c>
      <c r="DF956">
        <v>30901</v>
      </c>
      <c r="DG956">
        <v>0.2185</v>
      </c>
      <c r="DO956">
        <v>46</v>
      </c>
    </row>
    <row r="957" spans="93:119" x14ac:dyDescent="0.25">
      <c r="CO957" t="s">
        <v>636</v>
      </c>
      <c r="CP957" t="s">
        <v>7</v>
      </c>
      <c r="CQ957" t="s">
        <v>51</v>
      </c>
      <c r="CR957">
        <v>46171</v>
      </c>
      <c r="CS957">
        <v>1</v>
      </c>
      <c r="CT957">
        <v>1</v>
      </c>
      <c r="CV957">
        <v>1</v>
      </c>
      <c r="CX957">
        <v>3.2407407407407406E-4</v>
      </c>
      <c r="CY957">
        <v>3.2407407407407406E-4</v>
      </c>
      <c r="CZ957">
        <v>0.11813657407407407</v>
      </c>
      <c r="DA957">
        <v>0.2300925925925926</v>
      </c>
      <c r="DB957">
        <v>60</v>
      </c>
      <c r="DC957">
        <v>184</v>
      </c>
      <c r="DD957">
        <v>8</v>
      </c>
      <c r="DE957">
        <v>1.25</v>
      </c>
      <c r="DF957">
        <v>11014</v>
      </c>
      <c r="DG957">
        <v>0.1333</v>
      </c>
      <c r="DO957">
        <v>46</v>
      </c>
    </row>
    <row r="958" spans="93:119" x14ac:dyDescent="0.25">
      <c r="CO958" t="s">
        <v>636</v>
      </c>
      <c r="CP958" t="s">
        <v>7</v>
      </c>
      <c r="CQ958" t="s">
        <v>26</v>
      </c>
      <c r="CR958">
        <v>46161</v>
      </c>
      <c r="CS958">
        <v>1</v>
      </c>
      <c r="CT958">
        <v>1</v>
      </c>
      <c r="CV958">
        <v>1</v>
      </c>
      <c r="CX958">
        <v>6.9444444444444444E-5</v>
      </c>
      <c r="CY958">
        <v>6.9444444444444444E-5</v>
      </c>
      <c r="CZ958">
        <v>0.22755787037037037</v>
      </c>
      <c r="DA958">
        <v>0.13766203703703703</v>
      </c>
      <c r="DB958">
        <v>130</v>
      </c>
      <c r="DC958">
        <v>239</v>
      </c>
      <c r="DD958">
        <v>29</v>
      </c>
      <c r="DE958" t="s">
        <v>947</v>
      </c>
      <c r="DF958">
        <v>31892</v>
      </c>
      <c r="DG958">
        <v>0.22309999999999999</v>
      </c>
      <c r="DO958">
        <v>46</v>
      </c>
    </row>
    <row r="959" spans="93:119" x14ac:dyDescent="0.25">
      <c r="CO959" t="s">
        <v>636</v>
      </c>
      <c r="CP959" t="s">
        <v>7</v>
      </c>
      <c r="CQ959" t="s">
        <v>75</v>
      </c>
      <c r="CR959">
        <v>46161</v>
      </c>
      <c r="CS959">
        <v>1</v>
      </c>
      <c r="CT959">
        <v>1</v>
      </c>
      <c r="CV959">
        <v>1</v>
      </c>
      <c r="CX959">
        <v>3.1250000000000001E-4</v>
      </c>
      <c r="CY959">
        <v>3.1250000000000001E-4</v>
      </c>
      <c r="CZ959">
        <v>0.22819444444444445</v>
      </c>
      <c r="DA959">
        <v>0.11849537037037038</v>
      </c>
      <c r="DB959">
        <v>116</v>
      </c>
      <c r="DC959">
        <v>219</v>
      </c>
      <c r="DD959">
        <v>20</v>
      </c>
      <c r="DE959">
        <v>2</v>
      </c>
      <c r="DF959">
        <v>34232</v>
      </c>
      <c r="DG959">
        <v>0.1724</v>
      </c>
      <c r="DO959">
        <v>46</v>
      </c>
    </row>
    <row r="960" spans="93:119" x14ac:dyDescent="0.25">
      <c r="CO960" t="s">
        <v>636</v>
      </c>
      <c r="CP960" t="s">
        <v>604</v>
      </c>
      <c r="CQ960" t="s">
        <v>49</v>
      </c>
      <c r="CR960">
        <v>46167</v>
      </c>
      <c r="CS960">
        <v>1</v>
      </c>
      <c r="CT960">
        <v>1</v>
      </c>
      <c r="CX960">
        <v>1.3888888888888889E-3</v>
      </c>
      <c r="CY960">
        <v>1.3888888888888889E-3</v>
      </c>
      <c r="CZ960">
        <v>0.11449074074074074</v>
      </c>
      <c r="DA960">
        <v>6.6469907407407408E-2</v>
      </c>
      <c r="DB960">
        <v>32</v>
      </c>
      <c r="DC960">
        <v>48</v>
      </c>
      <c r="DD960">
        <v>3</v>
      </c>
      <c r="DE960" t="s">
        <v>718</v>
      </c>
      <c r="DF960">
        <v>40156</v>
      </c>
      <c r="DG960">
        <v>9.3799999999999994E-2</v>
      </c>
      <c r="DO960">
        <v>46</v>
      </c>
    </row>
    <row r="961" spans="93:120" x14ac:dyDescent="0.25">
      <c r="CO961" t="s">
        <v>636</v>
      </c>
      <c r="CP961" t="s">
        <v>604</v>
      </c>
      <c r="CQ961" t="s">
        <v>549</v>
      </c>
      <c r="CR961">
        <v>46146</v>
      </c>
      <c r="CS961">
        <v>1</v>
      </c>
      <c r="CT961">
        <v>1</v>
      </c>
      <c r="CU961">
        <v>1</v>
      </c>
      <c r="CX961">
        <v>5.0115740740740737E-3</v>
      </c>
      <c r="CY961">
        <v>5.0115740740740737E-3</v>
      </c>
      <c r="CZ961">
        <v>0.24229166666666666</v>
      </c>
      <c r="DA961">
        <v>8.5243055555555558E-2</v>
      </c>
      <c r="DB961">
        <v>140</v>
      </c>
      <c r="DC961">
        <v>209</v>
      </c>
      <c r="DD961">
        <v>44</v>
      </c>
      <c r="DE961">
        <v>1.75</v>
      </c>
      <c r="DF961">
        <v>6953</v>
      </c>
      <c r="DG961">
        <v>0.31430000000000002</v>
      </c>
      <c r="DH961">
        <v>5</v>
      </c>
      <c r="DI961">
        <v>0.11360000000000001</v>
      </c>
      <c r="DJ961">
        <v>1528</v>
      </c>
      <c r="DK961">
        <v>306</v>
      </c>
      <c r="DL961">
        <v>620</v>
      </c>
      <c r="DM961">
        <v>0.40579999999999999</v>
      </c>
      <c r="DO961">
        <v>46</v>
      </c>
      <c r="DP961">
        <v>310</v>
      </c>
    </row>
    <row r="962" spans="93:120" x14ac:dyDescent="0.25">
      <c r="CO962" t="s">
        <v>636</v>
      </c>
      <c r="CP962" t="s">
        <v>604</v>
      </c>
      <c r="CQ962" t="s">
        <v>549</v>
      </c>
      <c r="CR962">
        <v>46167</v>
      </c>
      <c r="CS962">
        <v>1</v>
      </c>
      <c r="CT962">
        <v>1</v>
      </c>
      <c r="CX962">
        <v>4.0740740740740737E-3</v>
      </c>
      <c r="CY962">
        <v>4.0740740740740737E-3</v>
      </c>
      <c r="CZ962">
        <v>0.17063657407407407</v>
      </c>
      <c r="DA962">
        <v>0.138125</v>
      </c>
      <c r="DB962">
        <v>143</v>
      </c>
      <c r="DC962">
        <v>234</v>
      </c>
      <c r="DD962">
        <v>27</v>
      </c>
      <c r="DE962" t="s">
        <v>674</v>
      </c>
      <c r="DF962">
        <v>8699</v>
      </c>
      <c r="DG962">
        <v>0.1888</v>
      </c>
      <c r="DO962">
        <v>46</v>
      </c>
    </row>
    <row r="963" spans="93:120" x14ac:dyDescent="0.25">
      <c r="CO963" t="s">
        <v>636</v>
      </c>
      <c r="CP963" t="s">
        <v>604</v>
      </c>
      <c r="CQ963" t="s">
        <v>566</v>
      </c>
      <c r="CR963">
        <v>46167</v>
      </c>
      <c r="CS963">
        <v>1</v>
      </c>
      <c r="CT963">
        <v>1</v>
      </c>
      <c r="CU963">
        <v>1</v>
      </c>
      <c r="CX963">
        <v>1.90625E-2</v>
      </c>
      <c r="CY963">
        <v>1.90625E-2</v>
      </c>
      <c r="CZ963">
        <v>0.13589120370370369</v>
      </c>
      <c r="DA963">
        <v>0.17906250000000001</v>
      </c>
      <c r="DB963">
        <v>119</v>
      </c>
      <c r="DC963">
        <v>201</v>
      </c>
      <c r="DD963">
        <v>27</v>
      </c>
      <c r="DE963" t="s">
        <v>697</v>
      </c>
      <c r="DF963">
        <v>12060</v>
      </c>
      <c r="DG963">
        <v>0.22689999999999999</v>
      </c>
      <c r="DO963">
        <v>46</v>
      </c>
    </row>
    <row r="964" spans="93:120" x14ac:dyDescent="0.25">
      <c r="CO964" t="s">
        <v>636</v>
      </c>
      <c r="CP964" t="s">
        <v>604</v>
      </c>
      <c r="CQ964" t="s">
        <v>601</v>
      </c>
      <c r="CR964">
        <v>46167</v>
      </c>
      <c r="CS964">
        <v>1</v>
      </c>
      <c r="CT964">
        <v>1</v>
      </c>
      <c r="CW964">
        <v>1</v>
      </c>
      <c r="CX964">
        <v>0</v>
      </c>
      <c r="CY964">
        <v>0</v>
      </c>
      <c r="CZ964">
        <v>0</v>
      </c>
      <c r="DA964">
        <v>0</v>
      </c>
      <c r="DO964">
        <v>46</v>
      </c>
    </row>
    <row r="965" spans="93:120" x14ac:dyDescent="0.25">
      <c r="CO965" t="s">
        <v>636</v>
      </c>
      <c r="CP965" t="s">
        <v>3</v>
      </c>
      <c r="CQ965" t="s">
        <v>58</v>
      </c>
      <c r="CR965">
        <v>46171</v>
      </c>
      <c r="CS965">
        <v>1</v>
      </c>
      <c r="CT965">
        <v>1</v>
      </c>
      <c r="CV965">
        <v>1</v>
      </c>
      <c r="CX965">
        <v>4.6296296296296294E-5</v>
      </c>
      <c r="CY965">
        <v>4.6296296296296294E-5</v>
      </c>
      <c r="CZ965">
        <v>0.15546296296296297</v>
      </c>
      <c r="DA965">
        <v>0.20019675925925925</v>
      </c>
      <c r="DB965">
        <v>111</v>
      </c>
      <c r="DC965">
        <v>251</v>
      </c>
      <c r="DD965">
        <v>29</v>
      </c>
      <c r="DE965" t="s">
        <v>902</v>
      </c>
      <c r="DF965">
        <v>27390</v>
      </c>
      <c r="DG965">
        <v>0.26129999999999998</v>
      </c>
      <c r="DH965">
        <v>1</v>
      </c>
      <c r="DI965">
        <v>3.4500000000000003E-2</v>
      </c>
      <c r="DJ965">
        <v>280</v>
      </c>
      <c r="DK965">
        <v>280</v>
      </c>
      <c r="DO965">
        <v>46</v>
      </c>
    </row>
    <row r="966" spans="93:120" x14ac:dyDescent="0.25">
      <c r="CO966" t="s">
        <v>636</v>
      </c>
      <c r="CP966" t="s">
        <v>3</v>
      </c>
      <c r="CQ966" t="s">
        <v>174</v>
      </c>
      <c r="CR966">
        <v>46147</v>
      </c>
      <c r="CS966">
        <v>1</v>
      </c>
      <c r="CT966">
        <v>1</v>
      </c>
      <c r="CV966">
        <v>1</v>
      </c>
      <c r="CX966">
        <v>3.3564814814814812E-4</v>
      </c>
      <c r="CY966">
        <v>3.3564814814814812E-4</v>
      </c>
      <c r="CZ966">
        <v>0.27740740740740738</v>
      </c>
      <c r="DA966">
        <v>7.0127314814814809E-2</v>
      </c>
      <c r="DB966">
        <v>165</v>
      </c>
      <c r="DC966">
        <v>259</v>
      </c>
      <c r="DD966">
        <v>28</v>
      </c>
      <c r="DE966" t="s">
        <v>948</v>
      </c>
      <c r="DF966">
        <v>11618</v>
      </c>
      <c r="DG966">
        <v>0.16969999999999999</v>
      </c>
      <c r="DO966">
        <v>46</v>
      </c>
    </row>
    <row r="967" spans="93:120" x14ac:dyDescent="0.25">
      <c r="CO967" t="s">
        <v>636</v>
      </c>
      <c r="CP967" t="s">
        <v>3</v>
      </c>
      <c r="CQ967" t="s">
        <v>32</v>
      </c>
      <c r="CR967">
        <v>46155</v>
      </c>
      <c r="CS967">
        <v>1</v>
      </c>
      <c r="CT967">
        <v>1</v>
      </c>
      <c r="CV967">
        <v>1</v>
      </c>
      <c r="CX967">
        <v>1.1574074074074075E-4</v>
      </c>
      <c r="CY967">
        <v>1.1574074074074075E-4</v>
      </c>
      <c r="CZ967">
        <v>0.19498842592592591</v>
      </c>
      <c r="DA967">
        <v>0.14943287037037037</v>
      </c>
      <c r="DB967">
        <v>95</v>
      </c>
      <c r="DC967">
        <v>209</v>
      </c>
      <c r="DD967">
        <v>32</v>
      </c>
      <c r="DE967">
        <v>1.5</v>
      </c>
      <c r="DF967">
        <v>23741</v>
      </c>
      <c r="DG967">
        <v>0.33679999999999999</v>
      </c>
      <c r="DH967">
        <v>1</v>
      </c>
      <c r="DI967">
        <v>3.1300000000000001E-2</v>
      </c>
      <c r="DJ967">
        <v>250</v>
      </c>
      <c r="DK967">
        <v>250</v>
      </c>
      <c r="DO967">
        <v>46</v>
      </c>
    </row>
    <row r="968" spans="93:120" x14ac:dyDescent="0.25">
      <c r="CO968" t="s">
        <v>636</v>
      </c>
      <c r="CP968" t="s">
        <v>3</v>
      </c>
      <c r="CQ968" t="s">
        <v>68</v>
      </c>
      <c r="CR968">
        <v>46147</v>
      </c>
      <c r="CS968">
        <v>1</v>
      </c>
      <c r="CT968">
        <v>1</v>
      </c>
      <c r="CV968">
        <v>1</v>
      </c>
      <c r="CX968">
        <v>1.7361111111111112E-4</v>
      </c>
      <c r="CY968">
        <v>1.7361111111111112E-4</v>
      </c>
      <c r="CZ968">
        <v>0.25256944444444446</v>
      </c>
      <c r="DA968">
        <v>4.2233796296296297E-2</v>
      </c>
      <c r="DB968">
        <v>80</v>
      </c>
      <c r="DC968">
        <v>173</v>
      </c>
      <c r="DD968">
        <v>24</v>
      </c>
      <c r="DE968" t="s">
        <v>855</v>
      </c>
      <c r="DF968">
        <v>28524</v>
      </c>
      <c r="DG968">
        <v>0.3</v>
      </c>
      <c r="DO968">
        <v>46</v>
      </c>
    </row>
    <row r="969" spans="93:120" x14ac:dyDescent="0.25">
      <c r="CO969" t="s">
        <v>636</v>
      </c>
      <c r="CP969" t="s">
        <v>3</v>
      </c>
      <c r="CQ969" t="s">
        <v>68</v>
      </c>
      <c r="CR969">
        <v>46171</v>
      </c>
      <c r="CS969">
        <v>1</v>
      </c>
      <c r="CT969">
        <v>1</v>
      </c>
      <c r="CV969">
        <v>1</v>
      </c>
      <c r="CX969">
        <v>8.1018518518518516E-5</v>
      </c>
      <c r="CY969">
        <v>8.1018518518518516E-5</v>
      </c>
      <c r="CZ969">
        <v>5.1921296296296299E-2</v>
      </c>
      <c r="DA969">
        <v>0.28435185185185186</v>
      </c>
      <c r="DB969">
        <v>74</v>
      </c>
      <c r="DC969">
        <v>148</v>
      </c>
      <c r="DD969">
        <v>26</v>
      </c>
      <c r="DE969" t="s">
        <v>711</v>
      </c>
      <c r="DF969">
        <v>21086</v>
      </c>
      <c r="DG969">
        <v>0.35139999999999999</v>
      </c>
      <c r="DO969">
        <v>46</v>
      </c>
    </row>
    <row r="970" spans="93:120" x14ac:dyDescent="0.25">
      <c r="CO970" t="s">
        <v>636</v>
      </c>
      <c r="CP970" t="s">
        <v>2</v>
      </c>
      <c r="CQ970" t="s">
        <v>13</v>
      </c>
      <c r="CR970">
        <v>46157</v>
      </c>
      <c r="CS970">
        <v>1</v>
      </c>
      <c r="CT970">
        <v>1</v>
      </c>
      <c r="CU970">
        <v>1</v>
      </c>
      <c r="CX970">
        <v>4.363425925925926E-3</v>
      </c>
      <c r="CY970">
        <v>4.363425925925926E-3</v>
      </c>
      <c r="CZ970">
        <v>0.33443287037037039</v>
      </c>
      <c r="DA970">
        <v>4.8379629629629632E-3</v>
      </c>
      <c r="DB970">
        <v>20</v>
      </c>
      <c r="DC970">
        <v>49</v>
      </c>
      <c r="DD970">
        <v>14</v>
      </c>
      <c r="DE970" t="s">
        <v>700</v>
      </c>
      <c r="DF970">
        <v>17929</v>
      </c>
      <c r="DG970">
        <v>0.7</v>
      </c>
      <c r="DO970">
        <v>44</v>
      </c>
    </row>
    <row r="971" spans="93:120" x14ac:dyDescent="0.25">
      <c r="CO971" t="s">
        <v>636</v>
      </c>
      <c r="CP971" t="s">
        <v>2</v>
      </c>
      <c r="CQ971" t="s">
        <v>31</v>
      </c>
      <c r="CR971">
        <v>46157</v>
      </c>
      <c r="CS971">
        <v>1</v>
      </c>
      <c r="CT971">
        <v>1</v>
      </c>
      <c r="CW971">
        <v>1</v>
      </c>
      <c r="CX971">
        <v>0</v>
      </c>
      <c r="CY971">
        <v>0</v>
      </c>
      <c r="CZ971">
        <v>0</v>
      </c>
      <c r="DA971">
        <v>0</v>
      </c>
      <c r="DO971">
        <v>44</v>
      </c>
    </row>
    <row r="972" spans="93:120" x14ac:dyDescent="0.25">
      <c r="CO972" t="s">
        <v>636</v>
      </c>
      <c r="CP972" t="s">
        <v>2</v>
      </c>
      <c r="CQ972" t="s">
        <v>25</v>
      </c>
      <c r="CR972">
        <v>46157</v>
      </c>
      <c r="CS972">
        <v>1</v>
      </c>
      <c r="CT972">
        <v>1</v>
      </c>
      <c r="CU972">
        <v>1</v>
      </c>
      <c r="CX972">
        <v>1.1747685185185186E-2</v>
      </c>
      <c r="CY972">
        <v>1.1747685185185186E-2</v>
      </c>
      <c r="CZ972">
        <v>0.29964120370370373</v>
      </c>
      <c r="DA972">
        <v>2.6956018518518518E-2</v>
      </c>
      <c r="DB972">
        <v>30</v>
      </c>
      <c r="DC972">
        <v>48</v>
      </c>
      <c r="DD972">
        <v>12</v>
      </c>
      <c r="DE972" t="s">
        <v>716</v>
      </c>
      <c r="DF972">
        <v>22903</v>
      </c>
      <c r="DG972">
        <v>0.4</v>
      </c>
      <c r="DO972">
        <v>44</v>
      </c>
    </row>
    <row r="973" spans="93:120" x14ac:dyDescent="0.25">
      <c r="CO973" t="s">
        <v>636</v>
      </c>
      <c r="CP973" t="s">
        <v>2</v>
      </c>
      <c r="CQ973" t="s">
        <v>25</v>
      </c>
      <c r="CR973">
        <v>46167</v>
      </c>
      <c r="CS973">
        <v>1</v>
      </c>
      <c r="CT973">
        <v>1</v>
      </c>
      <c r="CU973">
        <v>1</v>
      </c>
      <c r="CX973">
        <v>1.5034722222222222E-2</v>
      </c>
      <c r="CY973">
        <v>1.5034722222222222E-2</v>
      </c>
      <c r="CZ973">
        <v>0.14113425925925926</v>
      </c>
      <c r="DA973">
        <v>0.17008101851851851</v>
      </c>
      <c r="DB973">
        <v>55</v>
      </c>
      <c r="DC973">
        <v>98</v>
      </c>
      <c r="DD973">
        <v>15</v>
      </c>
      <c r="DE973" t="s">
        <v>674</v>
      </c>
      <c r="DF973">
        <v>25446</v>
      </c>
      <c r="DG973">
        <v>0.2727</v>
      </c>
      <c r="DH973">
        <v>1</v>
      </c>
      <c r="DI973">
        <v>6.6699999999999995E-2</v>
      </c>
      <c r="DJ973">
        <v>650</v>
      </c>
      <c r="DK973">
        <v>650</v>
      </c>
      <c r="DO973">
        <v>44</v>
      </c>
    </row>
    <row r="974" spans="93:120" x14ac:dyDescent="0.25">
      <c r="CO974" t="s">
        <v>636</v>
      </c>
      <c r="CP974" t="s">
        <v>6</v>
      </c>
      <c r="CQ974" t="s">
        <v>35</v>
      </c>
      <c r="CR974">
        <v>46168</v>
      </c>
      <c r="CS974">
        <v>1</v>
      </c>
      <c r="CT974">
        <v>1</v>
      </c>
      <c r="CU974">
        <v>1</v>
      </c>
      <c r="CX974">
        <v>6.4120370370370373E-3</v>
      </c>
      <c r="CY974">
        <v>6.4120370370370373E-3</v>
      </c>
      <c r="CZ974">
        <v>0.16931712962962964</v>
      </c>
      <c r="DA974">
        <v>0.17435185185185184</v>
      </c>
      <c r="DB974">
        <v>59</v>
      </c>
      <c r="DC974">
        <v>116</v>
      </c>
      <c r="DD974">
        <v>20</v>
      </c>
      <c r="DE974">
        <v>1.7</v>
      </c>
      <c r="DF974">
        <v>16964</v>
      </c>
      <c r="DG974">
        <v>0.33900000000000002</v>
      </c>
      <c r="DH974">
        <v>1</v>
      </c>
      <c r="DI974">
        <v>0.05</v>
      </c>
      <c r="DJ974">
        <v>281</v>
      </c>
      <c r="DK974">
        <v>281</v>
      </c>
      <c r="DO974">
        <v>44</v>
      </c>
    </row>
    <row r="975" spans="93:120" x14ac:dyDescent="0.25">
      <c r="CO975" t="s">
        <v>636</v>
      </c>
      <c r="CP975" t="s">
        <v>6</v>
      </c>
      <c r="CQ975" t="s">
        <v>11</v>
      </c>
      <c r="CR975">
        <v>46146</v>
      </c>
      <c r="CS975">
        <v>1</v>
      </c>
      <c r="CT975">
        <v>1</v>
      </c>
      <c r="CX975">
        <v>1.5046296296296297E-4</v>
      </c>
      <c r="CY975">
        <v>1.5046296296296297E-4</v>
      </c>
      <c r="CZ975">
        <v>0.27266203703703706</v>
      </c>
      <c r="DA975">
        <v>6.1180555555555557E-2</v>
      </c>
      <c r="DB975">
        <v>118</v>
      </c>
      <c r="DC975">
        <v>189</v>
      </c>
      <c r="DD975">
        <v>48</v>
      </c>
      <c r="DE975" t="s">
        <v>949</v>
      </c>
      <c r="DF975">
        <v>13597</v>
      </c>
      <c r="DG975">
        <v>0.40679999999999999</v>
      </c>
      <c r="DH975">
        <v>10</v>
      </c>
      <c r="DI975">
        <v>0.20830000000000001</v>
      </c>
      <c r="DJ975">
        <v>13032</v>
      </c>
      <c r="DK975">
        <v>1303</v>
      </c>
      <c r="DL975">
        <v>10232</v>
      </c>
      <c r="DM975">
        <v>0.78510000000000002</v>
      </c>
      <c r="DO975">
        <v>44</v>
      </c>
      <c r="DP975">
        <v>1279</v>
      </c>
    </row>
    <row r="976" spans="93:120" x14ac:dyDescent="0.25">
      <c r="CO976" t="s">
        <v>636</v>
      </c>
      <c r="CP976" t="s">
        <v>7</v>
      </c>
      <c r="CQ976" t="s">
        <v>75</v>
      </c>
      <c r="CR976">
        <v>46169</v>
      </c>
      <c r="CS976">
        <v>1</v>
      </c>
      <c r="CT976">
        <v>1</v>
      </c>
      <c r="CU976">
        <v>1</v>
      </c>
      <c r="CX976">
        <v>1.1539351851851851E-2</v>
      </c>
      <c r="CY976">
        <v>1.1539351851851851E-2</v>
      </c>
      <c r="CZ976">
        <v>0.18579861111111112</v>
      </c>
      <c r="DA976">
        <v>0.13449074074074074</v>
      </c>
      <c r="DB976">
        <v>99</v>
      </c>
      <c r="DC976">
        <v>207</v>
      </c>
      <c r="DD976">
        <v>17</v>
      </c>
      <c r="DE976" t="s">
        <v>821</v>
      </c>
      <c r="DF976">
        <v>33510</v>
      </c>
      <c r="DG976">
        <v>0.17169999999999999</v>
      </c>
      <c r="DH976">
        <v>1</v>
      </c>
      <c r="DI976">
        <v>5.8799999999999998E-2</v>
      </c>
      <c r="DJ976">
        <v>1700</v>
      </c>
      <c r="DK976">
        <v>1700</v>
      </c>
      <c r="DO976">
        <v>44</v>
      </c>
    </row>
    <row r="977" spans="93:119" x14ac:dyDescent="0.25">
      <c r="CO977" t="s">
        <v>636</v>
      </c>
      <c r="CP977" t="s">
        <v>3</v>
      </c>
      <c r="CQ977" t="s">
        <v>79</v>
      </c>
      <c r="CR977">
        <v>46168</v>
      </c>
      <c r="CS977">
        <v>1</v>
      </c>
      <c r="CT977">
        <v>1</v>
      </c>
      <c r="CU977">
        <v>1</v>
      </c>
      <c r="CX977">
        <v>1.4560185185185185E-2</v>
      </c>
      <c r="CY977">
        <v>1.4560185185185185E-2</v>
      </c>
      <c r="CZ977">
        <v>0.16305555555555556</v>
      </c>
      <c r="DA977">
        <v>0.15089120370370371</v>
      </c>
      <c r="DB977">
        <v>86</v>
      </c>
      <c r="DC977">
        <v>176</v>
      </c>
      <c r="DD977">
        <v>27</v>
      </c>
      <c r="DE977" t="s">
        <v>726</v>
      </c>
      <c r="DF977">
        <v>39473</v>
      </c>
      <c r="DG977">
        <v>0.314</v>
      </c>
      <c r="DO977">
        <v>44</v>
      </c>
    </row>
    <row r="978" spans="93:119" x14ac:dyDescent="0.25">
      <c r="CO978" t="s">
        <v>636</v>
      </c>
      <c r="CP978" t="s">
        <v>2</v>
      </c>
      <c r="CQ978" t="s">
        <v>22</v>
      </c>
      <c r="CR978">
        <v>46170</v>
      </c>
      <c r="CS978">
        <v>1</v>
      </c>
      <c r="CT978">
        <v>1</v>
      </c>
      <c r="CU978">
        <v>1</v>
      </c>
      <c r="CX978">
        <v>1.4456018518518519E-2</v>
      </c>
      <c r="CY978">
        <v>1.4456018518518519E-2</v>
      </c>
      <c r="CZ978">
        <v>0.15390046296296298</v>
      </c>
      <c r="DA978">
        <v>0.15371527777777777</v>
      </c>
      <c r="DB978">
        <v>58</v>
      </c>
      <c r="DC978">
        <v>98</v>
      </c>
      <c r="DD978">
        <v>15</v>
      </c>
      <c r="DE978" t="s">
        <v>898</v>
      </c>
      <c r="DF978">
        <v>32670</v>
      </c>
      <c r="DG978">
        <v>0.2586</v>
      </c>
      <c r="DO978">
        <v>42</v>
      </c>
    </row>
    <row r="979" spans="93:119" x14ac:dyDescent="0.25">
      <c r="CO979" t="s">
        <v>636</v>
      </c>
      <c r="CP979" t="s">
        <v>2</v>
      </c>
      <c r="CQ979" t="s">
        <v>24</v>
      </c>
      <c r="CR979">
        <v>46170</v>
      </c>
      <c r="CS979">
        <v>1</v>
      </c>
      <c r="CT979">
        <v>1</v>
      </c>
      <c r="CU979">
        <v>1</v>
      </c>
      <c r="CX979">
        <v>5.7060185185185183E-3</v>
      </c>
      <c r="CY979">
        <v>5.7060185185185183E-3</v>
      </c>
      <c r="CZ979">
        <v>0.18915509259259258</v>
      </c>
      <c r="DA979">
        <v>0.15682870370370369</v>
      </c>
      <c r="DB979">
        <v>61</v>
      </c>
      <c r="DC979">
        <v>111</v>
      </c>
      <c r="DD979">
        <v>22</v>
      </c>
      <c r="DE979" t="s">
        <v>740</v>
      </c>
      <c r="DF979">
        <v>27188</v>
      </c>
      <c r="DG979">
        <v>0.36070000000000002</v>
      </c>
      <c r="DO979">
        <v>42</v>
      </c>
    </row>
    <row r="980" spans="93:119" x14ac:dyDescent="0.25">
      <c r="CO980" t="s">
        <v>636</v>
      </c>
      <c r="CP980" t="s">
        <v>2</v>
      </c>
      <c r="CQ980" t="s">
        <v>31</v>
      </c>
      <c r="CR980">
        <v>46167</v>
      </c>
      <c r="CS980">
        <v>1</v>
      </c>
      <c r="CT980">
        <v>1</v>
      </c>
      <c r="CV980">
        <v>1</v>
      </c>
      <c r="CX980">
        <v>5.3240740740740744E-4</v>
      </c>
      <c r="CY980">
        <v>5.3240740740740744E-4</v>
      </c>
      <c r="CZ980">
        <v>0.1362962962962963</v>
      </c>
      <c r="DA980">
        <v>0.11826388888888889</v>
      </c>
      <c r="DB980">
        <v>71</v>
      </c>
      <c r="DC980">
        <v>141</v>
      </c>
      <c r="DD980">
        <v>12</v>
      </c>
      <c r="DE980" t="s">
        <v>687</v>
      </c>
      <c r="DF980">
        <v>39916</v>
      </c>
      <c r="DG980">
        <v>0.16900000000000001</v>
      </c>
      <c r="DO980">
        <v>42</v>
      </c>
    </row>
    <row r="981" spans="93:119" x14ac:dyDescent="0.25">
      <c r="CO981" t="s">
        <v>636</v>
      </c>
      <c r="CP981" t="s">
        <v>2</v>
      </c>
      <c r="CQ981" t="s">
        <v>25</v>
      </c>
      <c r="CR981">
        <v>46170</v>
      </c>
      <c r="CS981">
        <v>1</v>
      </c>
      <c r="CT981">
        <v>1</v>
      </c>
      <c r="CU981">
        <v>1</v>
      </c>
      <c r="CX981">
        <v>5.6944444444444447E-3</v>
      </c>
      <c r="CY981">
        <v>5.6944444444444447E-3</v>
      </c>
      <c r="CZ981">
        <v>0.16802083333333334</v>
      </c>
      <c r="DA981">
        <v>0.15476851851851853</v>
      </c>
      <c r="DB981">
        <v>115</v>
      </c>
      <c r="DC981">
        <v>143</v>
      </c>
      <c r="DD981">
        <v>16</v>
      </c>
      <c r="DE981">
        <v>1.5</v>
      </c>
      <c r="DF981">
        <v>28872</v>
      </c>
      <c r="DG981">
        <v>0.1391</v>
      </c>
      <c r="DO981">
        <v>42</v>
      </c>
    </row>
    <row r="982" spans="93:119" x14ac:dyDescent="0.25">
      <c r="CO982" t="s">
        <v>636</v>
      </c>
      <c r="CP982" t="s">
        <v>2</v>
      </c>
      <c r="CQ982" t="s">
        <v>10</v>
      </c>
      <c r="CR982">
        <v>46167</v>
      </c>
      <c r="CS982">
        <v>1</v>
      </c>
      <c r="CT982">
        <v>1</v>
      </c>
      <c r="CV982">
        <v>1</v>
      </c>
      <c r="CX982">
        <v>1.6203703703703703E-4</v>
      </c>
      <c r="CY982">
        <v>1.6203703703703703E-4</v>
      </c>
      <c r="CZ982">
        <v>0.19282407407407406</v>
      </c>
      <c r="DA982">
        <v>0.14952546296296296</v>
      </c>
      <c r="DB982">
        <v>169</v>
      </c>
      <c r="DC982">
        <v>251</v>
      </c>
      <c r="DD982">
        <v>22</v>
      </c>
      <c r="DE982" t="s">
        <v>717</v>
      </c>
      <c r="DF982">
        <v>27221</v>
      </c>
      <c r="DG982">
        <v>0.13020000000000001</v>
      </c>
      <c r="DO982">
        <v>42</v>
      </c>
    </row>
    <row r="983" spans="93:119" x14ac:dyDescent="0.25">
      <c r="CO983" t="s">
        <v>636</v>
      </c>
      <c r="CP983" t="s">
        <v>6</v>
      </c>
      <c r="CQ983" t="s">
        <v>19</v>
      </c>
      <c r="CR983">
        <v>46150</v>
      </c>
      <c r="CS983">
        <v>1</v>
      </c>
      <c r="CT983">
        <v>1</v>
      </c>
      <c r="CV983">
        <v>1</v>
      </c>
      <c r="CX983">
        <v>1.5046296296296297E-4</v>
      </c>
      <c r="CY983">
        <v>1.5046296296296297E-4</v>
      </c>
      <c r="CZ983">
        <v>0.23342592592592593</v>
      </c>
      <c r="DA983">
        <v>9.0648148148148144E-2</v>
      </c>
      <c r="DB983">
        <v>163</v>
      </c>
      <c r="DC983">
        <v>235</v>
      </c>
      <c r="DD983">
        <v>18</v>
      </c>
      <c r="DE983" t="s">
        <v>794</v>
      </c>
      <c r="DF983">
        <v>27099</v>
      </c>
      <c r="DG983">
        <v>0.1104</v>
      </c>
      <c r="DO983">
        <v>42</v>
      </c>
    </row>
    <row r="984" spans="93:119" x14ac:dyDescent="0.25">
      <c r="CO984" t="s">
        <v>636</v>
      </c>
      <c r="CP984" t="s">
        <v>6</v>
      </c>
      <c r="CQ984" t="s">
        <v>35</v>
      </c>
      <c r="CR984">
        <v>46149</v>
      </c>
      <c r="CS984">
        <v>1</v>
      </c>
      <c r="CT984">
        <v>1</v>
      </c>
      <c r="CV984">
        <v>1</v>
      </c>
      <c r="CX984">
        <v>8.1018518518518516E-5</v>
      </c>
      <c r="CY984">
        <v>8.1018518518518516E-5</v>
      </c>
      <c r="CZ984">
        <v>0.24469907407407407</v>
      </c>
      <c r="DA984">
        <v>9.0775462962962961E-2</v>
      </c>
      <c r="DB984">
        <v>76</v>
      </c>
      <c r="DC984">
        <v>149</v>
      </c>
      <c r="DD984">
        <v>15</v>
      </c>
      <c r="DE984" t="s">
        <v>739</v>
      </c>
      <c r="DF984">
        <v>20045</v>
      </c>
      <c r="DG984">
        <v>0.19739999999999999</v>
      </c>
      <c r="DH984">
        <v>1</v>
      </c>
      <c r="DI984">
        <v>6.6699999999999995E-2</v>
      </c>
      <c r="DJ984">
        <v>2000</v>
      </c>
      <c r="DK984">
        <v>2000</v>
      </c>
      <c r="DO984">
        <v>42</v>
      </c>
    </row>
    <row r="985" spans="93:119" x14ac:dyDescent="0.25">
      <c r="CO985" t="s">
        <v>636</v>
      </c>
      <c r="CP985" t="s">
        <v>6</v>
      </c>
      <c r="CQ985" t="s">
        <v>76</v>
      </c>
      <c r="CR985">
        <v>46155</v>
      </c>
      <c r="CS985">
        <v>1</v>
      </c>
      <c r="CT985">
        <v>1</v>
      </c>
      <c r="CV985">
        <v>1</v>
      </c>
      <c r="CX985">
        <v>2.4305555555555555E-4</v>
      </c>
      <c r="CY985">
        <v>2.4305555555555555E-4</v>
      </c>
      <c r="CZ985">
        <v>0.20127314814814815</v>
      </c>
      <c r="DA985">
        <v>0.11832175925925927</v>
      </c>
      <c r="DB985">
        <v>144</v>
      </c>
      <c r="DC985">
        <v>179</v>
      </c>
      <c r="DD985">
        <v>30</v>
      </c>
      <c r="DE985" t="s">
        <v>739</v>
      </c>
      <c r="DF985">
        <v>24700</v>
      </c>
      <c r="DG985">
        <v>0.20830000000000001</v>
      </c>
      <c r="DO985">
        <v>42</v>
      </c>
    </row>
    <row r="986" spans="93:119" x14ac:dyDescent="0.25">
      <c r="CO986" t="s">
        <v>636</v>
      </c>
      <c r="CP986" t="s">
        <v>6</v>
      </c>
      <c r="CQ986" t="s">
        <v>76</v>
      </c>
      <c r="CR986">
        <v>46160</v>
      </c>
      <c r="CS986">
        <v>1</v>
      </c>
      <c r="CT986">
        <v>1</v>
      </c>
      <c r="CW986">
        <v>1</v>
      </c>
      <c r="CX986">
        <v>0</v>
      </c>
      <c r="CY986">
        <v>0</v>
      </c>
      <c r="CZ986">
        <v>0</v>
      </c>
      <c r="DA986">
        <v>0</v>
      </c>
      <c r="DO986">
        <v>42</v>
      </c>
    </row>
    <row r="987" spans="93:119" x14ac:dyDescent="0.25">
      <c r="CO987" t="s">
        <v>636</v>
      </c>
      <c r="CP987" t="s">
        <v>2</v>
      </c>
      <c r="CQ987" t="s">
        <v>24</v>
      </c>
      <c r="CR987">
        <v>46171</v>
      </c>
      <c r="CS987">
        <v>1</v>
      </c>
      <c r="CT987">
        <v>1</v>
      </c>
      <c r="CU987">
        <v>1</v>
      </c>
      <c r="CX987">
        <v>1.7916666666666668E-2</v>
      </c>
      <c r="CY987">
        <v>1.7916666666666668E-2</v>
      </c>
      <c r="CZ987">
        <v>0.15225694444444443</v>
      </c>
      <c r="DA987">
        <v>0.17245370370370369</v>
      </c>
      <c r="DB987">
        <v>35</v>
      </c>
      <c r="DC987">
        <v>84</v>
      </c>
      <c r="DD987">
        <v>19</v>
      </c>
      <c r="DE987" t="s">
        <v>950</v>
      </c>
      <c r="DF987">
        <v>29974</v>
      </c>
      <c r="DG987">
        <v>0.54290000000000005</v>
      </c>
      <c r="DO987">
        <v>40</v>
      </c>
    </row>
    <row r="988" spans="93:119" x14ac:dyDescent="0.25">
      <c r="CO988" t="s">
        <v>636</v>
      </c>
      <c r="CP988" t="s">
        <v>2</v>
      </c>
      <c r="CQ988" t="s">
        <v>31</v>
      </c>
      <c r="CR988">
        <v>46146</v>
      </c>
      <c r="CS988">
        <v>1</v>
      </c>
      <c r="CT988">
        <v>1</v>
      </c>
      <c r="CV988">
        <v>1</v>
      </c>
      <c r="CX988">
        <v>6.9444444444444444E-5</v>
      </c>
      <c r="CY988">
        <v>6.9444444444444444E-5</v>
      </c>
      <c r="CZ988">
        <v>0.32260416666666669</v>
      </c>
      <c r="DA988">
        <v>2.3379629629629629E-2</v>
      </c>
      <c r="DB988">
        <v>52</v>
      </c>
      <c r="DC988">
        <v>103</v>
      </c>
      <c r="DD988">
        <v>18</v>
      </c>
      <c r="DE988" t="s">
        <v>689</v>
      </c>
      <c r="DF988">
        <v>19728</v>
      </c>
      <c r="DG988">
        <v>0.34620000000000001</v>
      </c>
      <c r="DO988">
        <v>40</v>
      </c>
    </row>
    <row r="989" spans="93:119" x14ac:dyDescent="0.25">
      <c r="CO989" t="s">
        <v>636</v>
      </c>
      <c r="CP989" t="s">
        <v>2</v>
      </c>
      <c r="CQ989" t="s">
        <v>31</v>
      </c>
      <c r="CR989">
        <v>46155</v>
      </c>
      <c r="CS989">
        <v>1</v>
      </c>
      <c r="CT989">
        <v>1</v>
      </c>
      <c r="CU989">
        <v>1</v>
      </c>
      <c r="CX989">
        <v>6.6319444444444446E-3</v>
      </c>
      <c r="CY989">
        <v>6.6319444444444446E-3</v>
      </c>
      <c r="CZ989">
        <v>0.19431712962962963</v>
      </c>
      <c r="DA989">
        <v>0.12372685185185185</v>
      </c>
      <c r="DB989">
        <v>58</v>
      </c>
      <c r="DC989">
        <v>120</v>
      </c>
      <c r="DD989">
        <v>24</v>
      </c>
      <c r="DE989" t="s">
        <v>674</v>
      </c>
      <c r="DF989">
        <v>23923</v>
      </c>
      <c r="DG989">
        <v>0.4138</v>
      </c>
      <c r="DO989">
        <v>40</v>
      </c>
    </row>
    <row r="990" spans="93:119" x14ac:dyDescent="0.25">
      <c r="CO990" t="s">
        <v>636</v>
      </c>
      <c r="CP990" t="s">
        <v>2</v>
      </c>
      <c r="CQ990" t="s">
        <v>25</v>
      </c>
      <c r="CR990">
        <v>46162</v>
      </c>
      <c r="CS990">
        <v>1</v>
      </c>
      <c r="CT990">
        <v>1</v>
      </c>
      <c r="CU990">
        <v>1</v>
      </c>
      <c r="CX990">
        <v>1.03125E-2</v>
      </c>
      <c r="CY990">
        <v>1.03125E-2</v>
      </c>
      <c r="CZ990">
        <v>0.18543981481481481</v>
      </c>
      <c r="DA990">
        <v>0.11452546296296297</v>
      </c>
      <c r="DB990">
        <v>68</v>
      </c>
      <c r="DC990">
        <v>132</v>
      </c>
      <c r="DD990">
        <v>18</v>
      </c>
      <c r="DE990" t="s">
        <v>697</v>
      </c>
      <c r="DF990">
        <v>23613</v>
      </c>
      <c r="DG990">
        <v>0.26469999999999999</v>
      </c>
      <c r="DO990">
        <v>40</v>
      </c>
    </row>
    <row r="991" spans="93:119" x14ac:dyDescent="0.25">
      <c r="CO991" t="s">
        <v>636</v>
      </c>
      <c r="CP991" t="s">
        <v>2</v>
      </c>
      <c r="CQ991" t="s">
        <v>25</v>
      </c>
      <c r="CR991">
        <v>46171</v>
      </c>
      <c r="CS991">
        <v>1</v>
      </c>
      <c r="CT991">
        <v>1</v>
      </c>
      <c r="CU991">
        <v>1</v>
      </c>
      <c r="CX991">
        <v>2.0439814814814813E-2</v>
      </c>
      <c r="CY991">
        <v>2.0439814814814813E-2</v>
      </c>
      <c r="CZ991">
        <v>0.12562499999999999</v>
      </c>
      <c r="DA991">
        <v>0.16817129629629629</v>
      </c>
      <c r="DB991">
        <v>46</v>
      </c>
      <c r="DC991">
        <v>89</v>
      </c>
      <c r="DD991">
        <v>13</v>
      </c>
      <c r="DE991" t="s">
        <v>711</v>
      </c>
      <c r="DF991">
        <v>35584</v>
      </c>
      <c r="DG991">
        <v>0.28260000000000002</v>
      </c>
      <c r="DO991">
        <v>40</v>
      </c>
    </row>
    <row r="992" spans="93:119" x14ac:dyDescent="0.25">
      <c r="CO992" t="s">
        <v>636</v>
      </c>
      <c r="CP992" t="s">
        <v>6</v>
      </c>
      <c r="CQ992" t="s">
        <v>34</v>
      </c>
      <c r="CR992">
        <v>46161</v>
      </c>
      <c r="CS992">
        <v>1</v>
      </c>
      <c r="CT992">
        <v>1</v>
      </c>
      <c r="CU992">
        <v>1</v>
      </c>
      <c r="CX992">
        <v>5.8101851851851856E-3</v>
      </c>
      <c r="CY992">
        <v>5.8101851851851856E-3</v>
      </c>
      <c r="CZ992">
        <v>0.2038888888888889</v>
      </c>
      <c r="DA992">
        <v>0.14179398148148148</v>
      </c>
      <c r="DB992">
        <v>91</v>
      </c>
      <c r="DC992">
        <v>109</v>
      </c>
      <c r="DD992">
        <v>13</v>
      </c>
      <c r="DE992" t="s">
        <v>787</v>
      </c>
      <c r="DF992">
        <v>29221</v>
      </c>
      <c r="DG992">
        <v>0.1429</v>
      </c>
      <c r="DO992">
        <v>40</v>
      </c>
    </row>
    <row r="993" spans="93:119" x14ac:dyDescent="0.25">
      <c r="CO993" t="s">
        <v>636</v>
      </c>
      <c r="CP993" t="s">
        <v>6</v>
      </c>
      <c r="CQ993" t="s">
        <v>76</v>
      </c>
      <c r="CR993">
        <v>46167</v>
      </c>
      <c r="CS993">
        <v>1</v>
      </c>
      <c r="CT993">
        <v>1</v>
      </c>
      <c r="CU993">
        <v>1</v>
      </c>
      <c r="CX993">
        <v>1.8124999999999999E-2</v>
      </c>
      <c r="CY993">
        <v>1.8124999999999999E-2</v>
      </c>
      <c r="CZ993">
        <v>0.15833333333333333</v>
      </c>
      <c r="DA993">
        <v>6.5960648148148143E-2</v>
      </c>
      <c r="DB993">
        <v>129</v>
      </c>
      <c r="DC993">
        <v>153</v>
      </c>
      <c r="DD993">
        <v>14</v>
      </c>
      <c r="DE993" t="s">
        <v>745</v>
      </c>
      <c r="DF993">
        <v>7776</v>
      </c>
      <c r="DG993">
        <v>0.1085</v>
      </c>
      <c r="DO993">
        <v>40</v>
      </c>
    </row>
    <row r="994" spans="93:119" x14ac:dyDescent="0.25">
      <c r="CO994" t="s">
        <v>636</v>
      </c>
      <c r="CP994" t="s">
        <v>604</v>
      </c>
      <c r="CQ994" t="s">
        <v>41</v>
      </c>
      <c r="CR994">
        <v>46160</v>
      </c>
      <c r="CS994">
        <v>1</v>
      </c>
      <c r="CT994">
        <v>1</v>
      </c>
      <c r="CU994">
        <v>1</v>
      </c>
      <c r="CX994">
        <v>1.4872685185185185E-2</v>
      </c>
      <c r="CY994">
        <v>1.4872685185185185E-2</v>
      </c>
      <c r="CZ994">
        <v>0.13157407407407407</v>
      </c>
      <c r="DA994">
        <v>0.17678240740740742</v>
      </c>
      <c r="DB994">
        <v>50</v>
      </c>
      <c r="DC994">
        <v>110</v>
      </c>
      <c r="DD994">
        <v>24</v>
      </c>
      <c r="DE994" t="s">
        <v>731</v>
      </c>
      <c r="DF994">
        <v>5339</v>
      </c>
      <c r="DG994">
        <v>0.48</v>
      </c>
      <c r="DO994">
        <v>40</v>
      </c>
    </row>
    <row r="995" spans="93:119" x14ac:dyDescent="0.25">
      <c r="CO995" t="s">
        <v>636</v>
      </c>
      <c r="CP995" t="s">
        <v>604</v>
      </c>
      <c r="CQ995" t="s">
        <v>549</v>
      </c>
      <c r="CR995">
        <v>46160</v>
      </c>
      <c r="CS995">
        <v>1</v>
      </c>
      <c r="CT995">
        <v>1</v>
      </c>
      <c r="CU995">
        <v>1</v>
      </c>
      <c r="CX995">
        <v>2.133101851851852E-2</v>
      </c>
      <c r="CY995">
        <v>2.133101851851852E-2</v>
      </c>
      <c r="CZ995">
        <v>0.15636574074074075</v>
      </c>
      <c r="DA995">
        <v>0.16376157407407407</v>
      </c>
      <c r="DB995">
        <v>131</v>
      </c>
      <c r="DC995">
        <v>224</v>
      </c>
      <c r="DD995">
        <v>38</v>
      </c>
      <c r="DE995" t="s">
        <v>951</v>
      </c>
      <c r="DF995">
        <v>14083</v>
      </c>
      <c r="DG995">
        <v>0.29010000000000002</v>
      </c>
      <c r="DO995">
        <v>40</v>
      </c>
    </row>
    <row r="996" spans="93:119" x14ac:dyDescent="0.25">
      <c r="CO996" t="s">
        <v>636</v>
      </c>
      <c r="CP996" t="s">
        <v>604</v>
      </c>
      <c r="CQ996" t="s">
        <v>77</v>
      </c>
      <c r="CR996">
        <v>46160</v>
      </c>
      <c r="CS996">
        <v>1</v>
      </c>
      <c r="CT996">
        <v>1</v>
      </c>
      <c r="CU996">
        <v>1</v>
      </c>
      <c r="CX996">
        <v>5.4745370370370373E-3</v>
      </c>
      <c r="CY996">
        <v>5.4745370370370373E-3</v>
      </c>
      <c r="CZ996">
        <v>0.17412037037037037</v>
      </c>
      <c r="DA996">
        <v>0.13519675925925925</v>
      </c>
      <c r="DB996">
        <v>59</v>
      </c>
      <c r="DC996">
        <v>116</v>
      </c>
      <c r="DD996">
        <v>19</v>
      </c>
      <c r="DE996" t="s">
        <v>691</v>
      </c>
      <c r="DF996">
        <v>21935</v>
      </c>
      <c r="DG996">
        <v>0.32200000000000001</v>
      </c>
      <c r="DO996">
        <v>40</v>
      </c>
    </row>
    <row r="997" spans="93:119" x14ac:dyDescent="0.25">
      <c r="CO997" t="s">
        <v>636</v>
      </c>
      <c r="CP997" t="s">
        <v>604</v>
      </c>
      <c r="CQ997" t="s">
        <v>566</v>
      </c>
      <c r="CR997">
        <v>46157</v>
      </c>
      <c r="CS997">
        <v>1</v>
      </c>
      <c r="CT997">
        <v>1</v>
      </c>
      <c r="CU997">
        <v>1</v>
      </c>
      <c r="CX997">
        <v>5.3935185185185188E-3</v>
      </c>
      <c r="CY997">
        <v>5.3935185185185188E-3</v>
      </c>
      <c r="CZ997">
        <v>0.21512731481481481</v>
      </c>
      <c r="DA997">
        <v>0.11431712962962963</v>
      </c>
      <c r="DB997">
        <v>87</v>
      </c>
      <c r="DC997">
        <v>134</v>
      </c>
      <c r="DD997">
        <v>38</v>
      </c>
      <c r="DE997" t="s">
        <v>836</v>
      </c>
      <c r="DF997">
        <v>8689</v>
      </c>
      <c r="DG997">
        <v>0.43680000000000002</v>
      </c>
      <c r="DO997">
        <v>40</v>
      </c>
    </row>
    <row r="998" spans="93:119" x14ac:dyDescent="0.25">
      <c r="CO998" t="s">
        <v>636</v>
      </c>
      <c r="CP998" t="s">
        <v>604</v>
      </c>
      <c r="CQ998" t="s">
        <v>566</v>
      </c>
      <c r="CR998">
        <v>46160</v>
      </c>
      <c r="CS998">
        <v>1</v>
      </c>
      <c r="CT998">
        <v>1</v>
      </c>
      <c r="CU998">
        <v>1</v>
      </c>
      <c r="CX998">
        <v>8.1250000000000003E-3</v>
      </c>
      <c r="CY998">
        <v>8.1250000000000003E-3</v>
      </c>
      <c r="CZ998">
        <v>0.13501157407407408</v>
      </c>
      <c r="DA998">
        <v>0.18539351851851851</v>
      </c>
      <c r="DB998">
        <v>119</v>
      </c>
      <c r="DC998">
        <v>206</v>
      </c>
      <c r="DD998">
        <v>32</v>
      </c>
      <c r="DE998">
        <v>1.5625</v>
      </c>
      <c r="DF998">
        <v>12663</v>
      </c>
      <c r="DG998">
        <v>0.26889999999999997</v>
      </c>
      <c r="DO998">
        <v>40</v>
      </c>
    </row>
    <row r="999" spans="93:119" x14ac:dyDescent="0.25">
      <c r="CO999" t="s">
        <v>636</v>
      </c>
      <c r="CP999" t="s">
        <v>604</v>
      </c>
      <c r="CQ999" t="s">
        <v>601</v>
      </c>
      <c r="CR999">
        <v>46146</v>
      </c>
      <c r="CS999">
        <v>1</v>
      </c>
      <c r="CT999">
        <v>1</v>
      </c>
      <c r="CU999">
        <v>1</v>
      </c>
      <c r="CX999">
        <v>5.0347222222222225E-3</v>
      </c>
      <c r="CY999">
        <v>5.0347222222222225E-3</v>
      </c>
      <c r="CZ999">
        <v>0.24207175925925925</v>
      </c>
      <c r="DA999">
        <v>8.4456018518518514E-2</v>
      </c>
      <c r="DB999">
        <v>122</v>
      </c>
      <c r="DC999">
        <v>165</v>
      </c>
      <c r="DD999">
        <v>43</v>
      </c>
      <c r="DE999" t="s">
        <v>952</v>
      </c>
      <c r="DF999">
        <v>6041</v>
      </c>
      <c r="DG999">
        <v>0.35249999999999998</v>
      </c>
      <c r="DH999">
        <v>1</v>
      </c>
      <c r="DI999">
        <v>2.3300000000000001E-2</v>
      </c>
      <c r="DJ999">
        <v>245</v>
      </c>
      <c r="DK999">
        <v>245</v>
      </c>
      <c r="DO999">
        <v>40</v>
      </c>
    </row>
    <row r="1000" spans="93:119" x14ac:dyDescent="0.25">
      <c r="CO1000" t="s">
        <v>636</v>
      </c>
      <c r="CP1000" t="s">
        <v>604</v>
      </c>
      <c r="CQ1000" t="s">
        <v>601</v>
      </c>
      <c r="CR1000">
        <v>46160</v>
      </c>
      <c r="CS1000">
        <v>1</v>
      </c>
      <c r="CT1000">
        <v>1</v>
      </c>
      <c r="CX1000">
        <v>0</v>
      </c>
      <c r="CY1000">
        <v>0</v>
      </c>
      <c r="CZ1000">
        <v>0</v>
      </c>
      <c r="DA1000">
        <v>0</v>
      </c>
      <c r="DO1000">
        <v>40</v>
      </c>
    </row>
    <row r="1001" spans="93:119" x14ac:dyDescent="0.25">
      <c r="CO1001" t="s">
        <v>636</v>
      </c>
      <c r="CP1001" t="s">
        <v>3</v>
      </c>
      <c r="CQ1001" t="s">
        <v>58</v>
      </c>
      <c r="CR1001">
        <v>46148</v>
      </c>
      <c r="CS1001">
        <v>1</v>
      </c>
      <c r="CT1001">
        <v>1</v>
      </c>
      <c r="CV1001">
        <v>1</v>
      </c>
      <c r="CX1001">
        <v>1.1574074074074075E-4</v>
      </c>
      <c r="CY1001">
        <v>1.1574074074074075E-4</v>
      </c>
      <c r="CZ1001">
        <v>0.23657407407407408</v>
      </c>
      <c r="DA1001">
        <v>9.043981481481482E-2</v>
      </c>
      <c r="DB1001">
        <v>114</v>
      </c>
      <c r="DC1001">
        <v>276</v>
      </c>
      <c r="DD1001">
        <v>26</v>
      </c>
      <c r="DE1001" t="s">
        <v>801</v>
      </c>
      <c r="DF1001">
        <v>25422</v>
      </c>
      <c r="DG1001">
        <v>0.2281</v>
      </c>
      <c r="DH1001">
        <v>2</v>
      </c>
      <c r="DI1001">
        <v>7.6899999999999996E-2</v>
      </c>
      <c r="DJ1001">
        <v>920</v>
      </c>
      <c r="DK1001">
        <v>460</v>
      </c>
      <c r="DO1001">
        <v>40</v>
      </c>
    </row>
    <row r="1002" spans="93:119" x14ac:dyDescent="0.25">
      <c r="CO1002" t="s">
        <v>636</v>
      </c>
      <c r="CP1002" t="s">
        <v>3</v>
      </c>
      <c r="CQ1002" t="s">
        <v>32</v>
      </c>
      <c r="CR1002">
        <v>46147</v>
      </c>
      <c r="CS1002">
        <v>1</v>
      </c>
      <c r="CT1002">
        <v>1</v>
      </c>
      <c r="CU1002">
        <v>1</v>
      </c>
      <c r="CX1002">
        <v>1.0636574074074074E-2</v>
      </c>
      <c r="CY1002">
        <v>1.0636574074074074E-2</v>
      </c>
      <c r="CZ1002">
        <v>0.23869212962962963</v>
      </c>
      <c r="DA1002">
        <v>0.10706018518518519</v>
      </c>
      <c r="DB1002">
        <v>128</v>
      </c>
      <c r="DC1002">
        <v>308</v>
      </c>
      <c r="DD1002">
        <v>38</v>
      </c>
      <c r="DE1002" t="s">
        <v>953</v>
      </c>
      <c r="DF1002">
        <v>16456</v>
      </c>
      <c r="DG1002">
        <v>0.2969</v>
      </c>
      <c r="DO1002">
        <v>40</v>
      </c>
    </row>
    <row r="1003" spans="93:119" x14ac:dyDescent="0.25">
      <c r="CO1003" t="s">
        <v>636</v>
      </c>
      <c r="CP1003" t="s">
        <v>3</v>
      </c>
      <c r="CQ1003" t="s">
        <v>79</v>
      </c>
      <c r="CR1003">
        <v>46171</v>
      </c>
      <c r="CS1003">
        <v>1</v>
      </c>
      <c r="CT1003">
        <v>1</v>
      </c>
      <c r="CU1003">
        <v>1</v>
      </c>
      <c r="CX1003">
        <v>2.6909722222222224E-2</v>
      </c>
      <c r="CY1003">
        <v>2.6909722222222224E-2</v>
      </c>
      <c r="CZ1003">
        <v>0.1456712962962963</v>
      </c>
      <c r="DA1003">
        <v>0.16711805555555556</v>
      </c>
      <c r="DB1003">
        <v>63</v>
      </c>
      <c r="DC1003">
        <v>159</v>
      </c>
      <c r="DD1003">
        <v>18</v>
      </c>
      <c r="DE1003">
        <v>1.5</v>
      </c>
      <c r="DF1003">
        <v>49351</v>
      </c>
      <c r="DG1003">
        <v>0.28570000000000001</v>
      </c>
      <c r="DO1003">
        <v>40</v>
      </c>
    </row>
    <row r="1004" spans="93:119" x14ac:dyDescent="0.25">
      <c r="CO1004" t="s">
        <v>636</v>
      </c>
      <c r="CP1004" t="s">
        <v>6</v>
      </c>
      <c r="CQ1004" t="s">
        <v>97</v>
      </c>
      <c r="CR1004">
        <v>46168</v>
      </c>
      <c r="CS1004">
        <v>1</v>
      </c>
      <c r="CT1004">
        <v>1</v>
      </c>
      <c r="CV1004">
        <v>1</v>
      </c>
      <c r="CX1004">
        <v>1.0416666666666667E-4</v>
      </c>
      <c r="CY1004">
        <v>1.0416666666666667E-4</v>
      </c>
      <c r="CZ1004">
        <v>0.19369212962962962</v>
      </c>
      <c r="DA1004">
        <v>0.14931712962962962</v>
      </c>
      <c r="DB1004">
        <v>155</v>
      </c>
      <c r="DC1004">
        <v>213</v>
      </c>
      <c r="DD1004">
        <v>20</v>
      </c>
      <c r="DE1004">
        <v>1.6</v>
      </c>
      <c r="DF1004">
        <v>17958</v>
      </c>
      <c r="DG1004">
        <v>0.129</v>
      </c>
      <c r="DO1004">
        <v>38</v>
      </c>
    </row>
    <row r="1005" spans="93:119" x14ac:dyDescent="0.25">
      <c r="CO1005" t="s">
        <v>636</v>
      </c>
      <c r="CP1005" t="s">
        <v>6</v>
      </c>
      <c r="CQ1005" t="s">
        <v>76</v>
      </c>
      <c r="CR1005">
        <v>46153</v>
      </c>
      <c r="CS1005">
        <v>1</v>
      </c>
      <c r="CT1005">
        <v>1</v>
      </c>
      <c r="CU1005">
        <v>1</v>
      </c>
      <c r="CX1005">
        <v>6.0370370370370373E-2</v>
      </c>
      <c r="CY1005">
        <v>6.0370370370370373E-2</v>
      </c>
      <c r="CZ1005">
        <v>0.17761574074074074</v>
      </c>
      <c r="DA1005">
        <v>9.2418981481481477E-2</v>
      </c>
      <c r="DB1005">
        <v>108</v>
      </c>
      <c r="DC1005">
        <v>140</v>
      </c>
      <c r="DD1005">
        <v>9</v>
      </c>
      <c r="DE1005" t="s">
        <v>674</v>
      </c>
      <c r="DF1005">
        <v>26431</v>
      </c>
      <c r="DG1005">
        <v>8.3299999999999999E-2</v>
      </c>
      <c r="DO1005">
        <v>38</v>
      </c>
    </row>
    <row r="1006" spans="93:119" x14ac:dyDescent="0.25">
      <c r="CO1006" t="s">
        <v>636</v>
      </c>
      <c r="CP1006" t="s">
        <v>7</v>
      </c>
      <c r="CQ1006" t="s">
        <v>60</v>
      </c>
      <c r="CR1006">
        <v>46169</v>
      </c>
      <c r="CS1006">
        <v>1</v>
      </c>
      <c r="CT1006">
        <v>1</v>
      </c>
      <c r="CV1006">
        <v>1</v>
      </c>
      <c r="CX1006">
        <v>3.4722222222222222E-5</v>
      </c>
      <c r="CY1006">
        <v>3.4722222222222222E-5</v>
      </c>
      <c r="CZ1006">
        <v>0.19797453703703705</v>
      </c>
      <c r="DA1006">
        <v>0.13756944444444444</v>
      </c>
      <c r="DB1006">
        <v>180</v>
      </c>
      <c r="DC1006">
        <v>249</v>
      </c>
      <c r="DD1006">
        <v>10</v>
      </c>
      <c r="DE1006">
        <v>1.7</v>
      </c>
      <c r="DF1006">
        <v>26383</v>
      </c>
      <c r="DG1006">
        <v>5.5599999999999997E-2</v>
      </c>
      <c r="DO1006">
        <v>38</v>
      </c>
    </row>
    <row r="1007" spans="93:119" x14ac:dyDescent="0.25">
      <c r="CO1007" t="s">
        <v>636</v>
      </c>
      <c r="CP1007" t="s">
        <v>7</v>
      </c>
      <c r="CQ1007" t="s">
        <v>75</v>
      </c>
      <c r="CR1007">
        <v>46171</v>
      </c>
      <c r="CS1007">
        <v>1</v>
      </c>
      <c r="CT1007">
        <v>1</v>
      </c>
      <c r="CX1007">
        <v>3.5879629629629629E-3</v>
      </c>
      <c r="CY1007">
        <v>3.5879629629629629E-3</v>
      </c>
      <c r="CZ1007">
        <v>0.1156712962962963</v>
      </c>
      <c r="DA1007">
        <v>0.22854166666666667</v>
      </c>
      <c r="DB1007">
        <v>78</v>
      </c>
      <c r="DC1007">
        <v>218</v>
      </c>
      <c r="DD1007">
        <v>20</v>
      </c>
      <c r="DE1007">
        <v>2.0499999999999998</v>
      </c>
      <c r="DF1007">
        <v>34195</v>
      </c>
      <c r="DG1007">
        <v>0.25640000000000002</v>
      </c>
      <c r="DO1007">
        <v>38</v>
      </c>
    </row>
    <row r="1008" spans="93:119" x14ac:dyDescent="0.25">
      <c r="CO1008" t="s">
        <v>636</v>
      </c>
      <c r="CP1008" t="s">
        <v>3</v>
      </c>
      <c r="CQ1008" t="s">
        <v>58</v>
      </c>
      <c r="CR1008">
        <v>46155</v>
      </c>
      <c r="CS1008">
        <v>1</v>
      </c>
      <c r="CT1008">
        <v>1</v>
      </c>
      <c r="CV1008">
        <v>1</v>
      </c>
      <c r="CX1008">
        <v>2.3148148148148147E-5</v>
      </c>
      <c r="CY1008">
        <v>2.3148148148148147E-5</v>
      </c>
      <c r="CZ1008">
        <v>0.18819444444444444</v>
      </c>
      <c r="DA1008">
        <v>0.14444444444444443</v>
      </c>
      <c r="DB1008">
        <v>111</v>
      </c>
      <c r="DC1008">
        <v>227</v>
      </c>
      <c r="DD1008">
        <v>21</v>
      </c>
      <c r="DE1008" t="s">
        <v>745</v>
      </c>
      <c r="DF1008">
        <v>35720</v>
      </c>
      <c r="DG1008">
        <v>0.18920000000000001</v>
      </c>
      <c r="DO1008">
        <v>38</v>
      </c>
    </row>
    <row r="1009" spans="93:120" x14ac:dyDescent="0.25">
      <c r="CO1009" t="s">
        <v>636</v>
      </c>
      <c r="CP1009" t="s">
        <v>3</v>
      </c>
      <c r="CQ1009" t="s">
        <v>493</v>
      </c>
      <c r="CR1009">
        <v>46155</v>
      </c>
      <c r="CS1009">
        <v>1</v>
      </c>
      <c r="CT1009">
        <v>1</v>
      </c>
      <c r="CV1009">
        <v>1</v>
      </c>
      <c r="CX1009">
        <v>5.7870370370370373E-5</v>
      </c>
      <c r="CY1009">
        <v>5.7870370370370373E-5</v>
      </c>
      <c r="CZ1009">
        <v>0.21403935185185186</v>
      </c>
      <c r="DA1009">
        <v>0.12414351851851851</v>
      </c>
      <c r="DB1009">
        <v>152</v>
      </c>
      <c r="DC1009">
        <v>244</v>
      </c>
      <c r="DD1009">
        <v>36</v>
      </c>
      <c r="DE1009">
        <v>1.75</v>
      </c>
      <c r="DF1009">
        <v>17632</v>
      </c>
      <c r="DG1009">
        <v>0.23680000000000001</v>
      </c>
      <c r="DO1009">
        <v>38</v>
      </c>
    </row>
    <row r="1010" spans="93:120" x14ac:dyDescent="0.25">
      <c r="CO1010" t="s">
        <v>636</v>
      </c>
      <c r="CP1010" t="s">
        <v>6</v>
      </c>
      <c r="CQ1010" t="s">
        <v>105</v>
      </c>
      <c r="CR1010">
        <v>46146</v>
      </c>
      <c r="CS1010">
        <v>1</v>
      </c>
      <c r="CT1010">
        <v>1</v>
      </c>
      <c r="CV1010">
        <v>1</v>
      </c>
      <c r="CX1010">
        <v>5.6712962962962967E-4</v>
      </c>
      <c r="CY1010">
        <v>5.6712962962962967E-4</v>
      </c>
      <c r="CZ1010">
        <v>0.25771990740740741</v>
      </c>
      <c r="DA1010">
        <v>4.6377314814814816E-2</v>
      </c>
      <c r="DB1010">
        <v>104</v>
      </c>
      <c r="DC1010">
        <v>165</v>
      </c>
      <c r="DD1010">
        <v>32</v>
      </c>
      <c r="DE1010">
        <v>1.84375</v>
      </c>
      <c r="DF1010">
        <v>36290</v>
      </c>
      <c r="DG1010">
        <v>0.30769999999999997</v>
      </c>
      <c r="DH1010">
        <v>4</v>
      </c>
      <c r="DI1010">
        <v>0.125</v>
      </c>
      <c r="DJ1010">
        <v>47560</v>
      </c>
      <c r="DK1010">
        <v>11890</v>
      </c>
      <c r="DL1010">
        <v>1000</v>
      </c>
      <c r="DM1010">
        <v>2.1000000000000001E-2</v>
      </c>
      <c r="DO1010">
        <v>36</v>
      </c>
      <c r="DP1010">
        <v>1000</v>
      </c>
    </row>
    <row r="1011" spans="93:120" x14ac:dyDescent="0.25">
      <c r="CO1011" t="s">
        <v>636</v>
      </c>
      <c r="CP1011" t="s">
        <v>2</v>
      </c>
      <c r="CQ1011" t="s">
        <v>42</v>
      </c>
      <c r="CR1011">
        <v>46146</v>
      </c>
      <c r="CS1011">
        <v>1</v>
      </c>
      <c r="CT1011">
        <v>1</v>
      </c>
      <c r="CU1011">
        <v>1</v>
      </c>
      <c r="CX1011">
        <v>1.8703703703703705E-2</v>
      </c>
      <c r="CY1011">
        <v>1.8703703703703705E-2</v>
      </c>
      <c r="CZ1011">
        <v>0.22967592592592592</v>
      </c>
      <c r="DA1011">
        <v>8.7326388888888884E-2</v>
      </c>
      <c r="DB1011">
        <v>99</v>
      </c>
      <c r="DC1011">
        <v>143</v>
      </c>
      <c r="DD1011">
        <v>26</v>
      </c>
      <c r="DE1011" t="s">
        <v>711</v>
      </c>
      <c r="DF1011">
        <v>16760</v>
      </c>
      <c r="DG1011">
        <v>0.2626</v>
      </c>
      <c r="DO1011">
        <v>34</v>
      </c>
    </row>
    <row r="1012" spans="93:120" x14ac:dyDescent="0.25">
      <c r="CO1012" t="s">
        <v>636</v>
      </c>
      <c r="CP1012" t="s">
        <v>6</v>
      </c>
      <c r="CQ1012" t="s">
        <v>105</v>
      </c>
      <c r="CR1012">
        <v>46155</v>
      </c>
      <c r="CS1012">
        <v>1</v>
      </c>
      <c r="CT1012">
        <v>1</v>
      </c>
      <c r="CU1012">
        <v>1</v>
      </c>
      <c r="CX1012">
        <v>5.8796296296296296E-3</v>
      </c>
      <c r="CY1012">
        <v>5.8796296296296296E-3</v>
      </c>
      <c r="CZ1012">
        <v>0.19313657407407409</v>
      </c>
      <c r="DA1012">
        <v>0.13539351851851852</v>
      </c>
      <c r="DB1012">
        <v>113</v>
      </c>
      <c r="DC1012">
        <v>217</v>
      </c>
      <c r="DD1012">
        <v>23</v>
      </c>
      <c r="DE1012" t="s">
        <v>954</v>
      </c>
      <c r="DF1012">
        <v>19716</v>
      </c>
      <c r="DG1012">
        <v>0.20349999999999999</v>
      </c>
      <c r="DO1012">
        <v>34</v>
      </c>
    </row>
    <row r="1013" spans="93:120" x14ac:dyDescent="0.25">
      <c r="CO1013" t="s">
        <v>636</v>
      </c>
      <c r="CP1013" t="s">
        <v>6</v>
      </c>
      <c r="CQ1013" t="s">
        <v>76</v>
      </c>
      <c r="CR1013">
        <v>46150</v>
      </c>
      <c r="CS1013">
        <v>1</v>
      </c>
      <c r="CT1013">
        <v>1</v>
      </c>
      <c r="CU1013">
        <v>1</v>
      </c>
      <c r="CX1013">
        <v>3.0613425925925926E-2</v>
      </c>
      <c r="CY1013">
        <v>3.0613425925925926E-2</v>
      </c>
      <c r="CZ1013">
        <v>0.22386574074074075</v>
      </c>
      <c r="DA1013">
        <v>5.7268518518518517E-2</v>
      </c>
      <c r="DB1013">
        <v>116</v>
      </c>
      <c r="DC1013">
        <v>140</v>
      </c>
      <c r="DD1013">
        <v>9</v>
      </c>
      <c r="DE1013" t="s">
        <v>690</v>
      </c>
      <c r="DF1013">
        <v>28171</v>
      </c>
      <c r="DG1013">
        <v>7.7600000000000002E-2</v>
      </c>
      <c r="DO1013">
        <v>34</v>
      </c>
    </row>
    <row r="1014" spans="93:120" x14ac:dyDescent="0.25">
      <c r="CO1014" t="s">
        <v>636</v>
      </c>
      <c r="CP1014" t="s">
        <v>3</v>
      </c>
      <c r="CQ1014" t="s">
        <v>79</v>
      </c>
      <c r="CR1014">
        <v>46146</v>
      </c>
      <c r="CS1014">
        <v>1</v>
      </c>
      <c r="CT1014">
        <v>1</v>
      </c>
      <c r="CU1014">
        <v>1</v>
      </c>
      <c r="CX1014">
        <v>4.4212962962962964E-3</v>
      </c>
      <c r="CY1014">
        <v>4.4212962962962964E-3</v>
      </c>
      <c r="CZ1014">
        <v>0.19435185185185186</v>
      </c>
      <c r="DA1014">
        <v>9.2361111111111116E-2</v>
      </c>
      <c r="DB1014">
        <v>119</v>
      </c>
      <c r="DC1014">
        <v>205</v>
      </c>
      <c r="DD1014">
        <v>38</v>
      </c>
      <c r="DE1014" t="s">
        <v>951</v>
      </c>
      <c r="DF1014">
        <v>28765</v>
      </c>
      <c r="DG1014">
        <v>0.31929999999999997</v>
      </c>
      <c r="DH1014">
        <v>3</v>
      </c>
      <c r="DI1014">
        <v>7.8899999999999998E-2</v>
      </c>
      <c r="DJ1014">
        <v>6250</v>
      </c>
      <c r="DK1014">
        <v>2083</v>
      </c>
      <c r="DL1014">
        <v>1250</v>
      </c>
      <c r="DM1014">
        <v>0.2</v>
      </c>
      <c r="DO1014">
        <v>34</v>
      </c>
      <c r="DP1014">
        <v>625</v>
      </c>
    </row>
    <row r="1015" spans="93:120" x14ac:dyDescent="0.25">
      <c r="CO1015" t="s">
        <v>636</v>
      </c>
      <c r="CP1015" t="s">
        <v>6</v>
      </c>
      <c r="CQ1015" t="s">
        <v>19</v>
      </c>
      <c r="CR1015">
        <v>46171</v>
      </c>
      <c r="CS1015">
        <v>1</v>
      </c>
      <c r="CT1015">
        <v>1</v>
      </c>
      <c r="CV1015">
        <v>1</v>
      </c>
      <c r="CX1015">
        <v>1.6203703703703703E-4</v>
      </c>
      <c r="CY1015">
        <v>1.6203703703703703E-4</v>
      </c>
      <c r="CZ1015">
        <v>0.21560185185185185</v>
      </c>
      <c r="DA1015">
        <v>0.16043981481481481</v>
      </c>
      <c r="DB1015">
        <v>127</v>
      </c>
      <c r="DC1015">
        <v>240</v>
      </c>
      <c r="DD1015">
        <v>20</v>
      </c>
      <c r="DE1015">
        <v>1.65</v>
      </c>
      <c r="DF1015">
        <v>26953</v>
      </c>
      <c r="DG1015">
        <v>0.1575</v>
      </c>
      <c r="DO1015">
        <v>32</v>
      </c>
    </row>
    <row r="1016" spans="93:120" x14ac:dyDescent="0.25">
      <c r="CO1016" t="s">
        <v>636</v>
      </c>
      <c r="CP1016" t="s">
        <v>6</v>
      </c>
      <c r="CQ1016" t="s">
        <v>105</v>
      </c>
      <c r="CR1016">
        <v>46169</v>
      </c>
      <c r="CS1016">
        <v>1</v>
      </c>
      <c r="CT1016">
        <v>1</v>
      </c>
      <c r="CU1016">
        <v>1</v>
      </c>
      <c r="CX1016">
        <v>5.1967592592592595E-3</v>
      </c>
      <c r="CY1016">
        <v>5.1967592592592595E-3</v>
      </c>
      <c r="CZ1016">
        <v>0.17601851851851852</v>
      </c>
      <c r="DA1016">
        <v>0.15925925925925927</v>
      </c>
      <c r="DB1016">
        <v>66</v>
      </c>
      <c r="DC1016">
        <v>133</v>
      </c>
      <c r="DD1016">
        <v>13</v>
      </c>
      <c r="DE1016" t="s">
        <v>704</v>
      </c>
      <c r="DF1016">
        <v>48622</v>
      </c>
      <c r="DG1016">
        <v>0.19700000000000001</v>
      </c>
      <c r="DO1016">
        <v>32</v>
      </c>
    </row>
    <row r="1017" spans="93:120" x14ac:dyDescent="0.25">
      <c r="CO1017" t="s">
        <v>636</v>
      </c>
      <c r="CP1017" t="s">
        <v>6</v>
      </c>
      <c r="CQ1017" t="s">
        <v>76</v>
      </c>
      <c r="CR1017">
        <v>46169</v>
      </c>
      <c r="CS1017">
        <v>1</v>
      </c>
      <c r="CT1017">
        <v>1</v>
      </c>
      <c r="CU1017">
        <v>1</v>
      </c>
      <c r="CX1017">
        <v>4.0613425925925928E-2</v>
      </c>
      <c r="CY1017">
        <v>4.0613425925925928E-2</v>
      </c>
      <c r="CZ1017">
        <v>0.14953703703703702</v>
      </c>
      <c r="DA1017">
        <v>0.14601851851851852</v>
      </c>
      <c r="DB1017">
        <v>161</v>
      </c>
      <c r="DC1017">
        <v>183</v>
      </c>
      <c r="DD1017">
        <v>11</v>
      </c>
      <c r="DE1017" t="s">
        <v>847</v>
      </c>
      <c r="DF1017">
        <v>6934</v>
      </c>
      <c r="DG1017">
        <v>6.83E-2</v>
      </c>
      <c r="DO1017">
        <v>32</v>
      </c>
    </row>
    <row r="1018" spans="93:120" x14ac:dyDescent="0.25">
      <c r="CO1018" t="s">
        <v>636</v>
      </c>
      <c r="CP1018" t="s">
        <v>7</v>
      </c>
      <c r="CQ1018" t="s">
        <v>72</v>
      </c>
      <c r="CR1018">
        <v>46146</v>
      </c>
      <c r="CS1018">
        <v>1</v>
      </c>
      <c r="CT1018">
        <v>1</v>
      </c>
      <c r="CW1018">
        <v>1</v>
      </c>
      <c r="CX1018">
        <v>0</v>
      </c>
      <c r="CY1018">
        <v>0</v>
      </c>
      <c r="CZ1018">
        <v>0</v>
      </c>
      <c r="DA1018">
        <v>0</v>
      </c>
      <c r="DO1018">
        <v>32</v>
      </c>
    </row>
    <row r="1019" spans="93:120" x14ac:dyDescent="0.25">
      <c r="CO1019" t="s">
        <v>636</v>
      </c>
      <c r="CP1019" t="s">
        <v>604</v>
      </c>
      <c r="CQ1019" t="s">
        <v>600</v>
      </c>
      <c r="CR1019">
        <v>46146</v>
      </c>
      <c r="CS1019">
        <v>1</v>
      </c>
      <c r="CT1019">
        <v>1</v>
      </c>
      <c r="CU1019">
        <v>1</v>
      </c>
      <c r="CX1019">
        <v>1.1747685185185186E-2</v>
      </c>
      <c r="CY1019">
        <v>1.1747685185185186E-2</v>
      </c>
      <c r="CZ1019">
        <v>0.25434027777777779</v>
      </c>
      <c r="DA1019">
        <v>7.5949074074074072E-2</v>
      </c>
      <c r="DB1019">
        <v>112</v>
      </c>
      <c r="DC1019">
        <v>148</v>
      </c>
      <c r="DD1019">
        <v>40</v>
      </c>
      <c r="DE1019">
        <v>1.7250000000000001</v>
      </c>
      <c r="DF1019">
        <v>15461</v>
      </c>
      <c r="DG1019">
        <v>0.35709999999999997</v>
      </c>
      <c r="DO1019">
        <v>32</v>
      </c>
    </row>
    <row r="1020" spans="93:120" x14ac:dyDescent="0.25">
      <c r="CO1020" t="s">
        <v>636</v>
      </c>
      <c r="CP1020" t="s">
        <v>604</v>
      </c>
      <c r="CQ1020" t="s">
        <v>78</v>
      </c>
      <c r="CR1020">
        <v>46146</v>
      </c>
      <c r="CS1020">
        <v>1</v>
      </c>
      <c r="CT1020">
        <v>1</v>
      </c>
      <c r="CU1020">
        <v>1</v>
      </c>
      <c r="CX1020">
        <v>1.7314814814814814E-2</v>
      </c>
      <c r="CY1020">
        <v>1.7314814814814814E-2</v>
      </c>
      <c r="CZ1020">
        <v>0.25150462962962961</v>
      </c>
      <c r="DA1020">
        <v>6.429398148148148E-2</v>
      </c>
      <c r="DB1020">
        <v>98</v>
      </c>
      <c r="DC1020">
        <v>162</v>
      </c>
      <c r="DD1020">
        <v>48</v>
      </c>
      <c r="DE1020">
        <v>1.9375</v>
      </c>
      <c r="DF1020">
        <v>18364</v>
      </c>
      <c r="DG1020">
        <v>0.48980000000000001</v>
      </c>
      <c r="DO1020">
        <v>32</v>
      </c>
    </row>
    <row r="1021" spans="93:120" x14ac:dyDescent="0.25">
      <c r="CO1021" t="s">
        <v>636</v>
      </c>
      <c r="CP1021" t="s">
        <v>6</v>
      </c>
      <c r="CQ1021" t="s">
        <v>34</v>
      </c>
      <c r="CR1021">
        <v>46168</v>
      </c>
      <c r="CS1021">
        <v>1</v>
      </c>
      <c r="CT1021">
        <v>1</v>
      </c>
      <c r="CU1021">
        <v>1</v>
      </c>
      <c r="CX1021">
        <v>1.4722222222222222E-2</v>
      </c>
      <c r="CY1021">
        <v>1.4722222222222222E-2</v>
      </c>
      <c r="CZ1021">
        <v>0.18362268518518518</v>
      </c>
      <c r="DA1021">
        <v>0.14854166666666666</v>
      </c>
      <c r="DB1021">
        <v>175</v>
      </c>
      <c r="DC1021">
        <v>197</v>
      </c>
      <c r="DD1021">
        <v>13</v>
      </c>
      <c r="DE1021" t="s">
        <v>727</v>
      </c>
      <c r="DF1021">
        <v>47830</v>
      </c>
      <c r="DG1021">
        <v>7.4300000000000005E-2</v>
      </c>
      <c r="DO1021">
        <v>30</v>
      </c>
    </row>
    <row r="1022" spans="93:120" x14ac:dyDescent="0.25">
      <c r="CO1022" t="s">
        <v>636</v>
      </c>
      <c r="CP1022" t="s">
        <v>7</v>
      </c>
      <c r="CQ1022" t="s">
        <v>51</v>
      </c>
      <c r="CR1022">
        <v>46169</v>
      </c>
      <c r="CS1022">
        <v>1</v>
      </c>
      <c r="CT1022">
        <v>1</v>
      </c>
      <c r="CU1022">
        <v>1</v>
      </c>
      <c r="CX1022">
        <v>1.5127314814814816E-2</v>
      </c>
      <c r="CY1022">
        <v>1.5127314814814816E-2</v>
      </c>
      <c r="CZ1022">
        <v>0.17739583333333334</v>
      </c>
      <c r="DA1022">
        <v>0.15026620370370369</v>
      </c>
      <c r="DB1022">
        <v>100</v>
      </c>
      <c r="DC1022">
        <v>309</v>
      </c>
      <c r="DD1022">
        <v>6</v>
      </c>
      <c r="DE1022">
        <v>1</v>
      </c>
      <c r="DF1022">
        <v>34786</v>
      </c>
      <c r="DG1022">
        <v>0.06</v>
      </c>
      <c r="DO1022">
        <v>30</v>
      </c>
    </row>
    <row r="1023" spans="93:120" x14ac:dyDescent="0.25">
      <c r="CO1023" t="s">
        <v>636</v>
      </c>
      <c r="CP1023" t="s">
        <v>6</v>
      </c>
      <c r="CQ1023" t="s">
        <v>19</v>
      </c>
      <c r="CR1023">
        <v>46148</v>
      </c>
      <c r="CS1023">
        <v>1</v>
      </c>
      <c r="CT1023">
        <v>1</v>
      </c>
      <c r="CV1023">
        <v>1</v>
      </c>
      <c r="CX1023">
        <v>6.9444444444444444E-5</v>
      </c>
      <c r="CY1023">
        <v>6.9444444444444444E-5</v>
      </c>
      <c r="CZ1023">
        <v>0.26766203703703706</v>
      </c>
      <c r="DA1023">
        <v>0.11681712962962963</v>
      </c>
      <c r="DB1023">
        <v>178</v>
      </c>
      <c r="DC1023">
        <v>303</v>
      </c>
      <c r="DD1023">
        <v>12</v>
      </c>
      <c r="DE1023" t="s">
        <v>687</v>
      </c>
      <c r="DF1023">
        <v>55002</v>
      </c>
      <c r="DG1023">
        <v>6.7400000000000002E-2</v>
      </c>
      <c r="DO1023">
        <v>28</v>
      </c>
    </row>
    <row r="1024" spans="93:120" x14ac:dyDescent="0.25">
      <c r="CO1024" t="s">
        <v>636</v>
      </c>
      <c r="CP1024" t="s">
        <v>3</v>
      </c>
      <c r="CQ1024" t="s">
        <v>564</v>
      </c>
      <c r="CR1024">
        <v>46148</v>
      </c>
      <c r="CS1024">
        <v>1</v>
      </c>
      <c r="CT1024">
        <v>1</v>
      </c>
      <c r="CV1024">
        <v>1</v>
      </c>
      <c r="CX1024">
        <v>0</v>
      </c>
      <c r="CY1024">
        <v>0</v>
      </c>
      <c r="CZ1024">
        <v>0.23739583333333333</v>
      </c>
      <c r="DA1024">
        <v>6.0266203703703704E-2</v>
      </c>
      <c r="DB1024">
        <v>118</v>
      </c>
      <c r="DC1024">
        <v>262</v>
      </c>
      <c r="DD1024">
        <v>21</v>
      </c>
      <c r="DE1024" t="s">
        <v>955</v>
      </c>
      <c r="DF1024">
        <v>16185</v>
      </c>
      <c r="DG1024">
        <v>0.17799999999999999</v>
      </c>
      <c r="DO1024">
        <v>28</v>
      </c>
    </row>
    <row r="1025" spans="93:119" x14ac:dyDescent="0.25">
      <c r="CO1025" t="s">
        <v>636</v>
      </c>
      <c r="CP1025" t="s">
        <v>6</v>
      </c>
      <c r="CQ1025" t="s">
        <v>105</v>
      </c>
      <c r="CR1025">
        <v>46148</v>
      </c>
      <c r="CS1025">
        <v>1</v>
      </c>
      <c r="CT1025">
        <v>1</v>
      </c>
      <c r="CU1025">
        <v>1</v>
      </c>
      <c r="CX1025">
        <v>5.2546296296296299E-3</v>
      </c>
      <c r="CY1025">
        <v>5.2546296296296299E-3</v>
      </c>
      <c r="CZ1025">
        <v>0.26480324074074074</v>
      </c>
      <c r="DA1025">
        <v>7.9444444444444443E-2</v>
      </c>
      <c r="DB1025">
        <v>82</v>
      </c>
      <c r="DC1025">
        <v>200</v>
      </c>
      <c r="DD1025">
        <v>14</v>
      </c>
      <c r="DE1025" t="s">
        <v>684</v>
      </c>
      <c r="DF1025">
        <v>27880</v>
      </c>
      <c r="DG1025">
        <v>0.17069999999999999</v>
      </c>
      <c r="DH1025">
        <v>1</v>
      </c>
      <c r="DI1025">
        <v>7.1400000000000005E-2</v>
      </c>
      <c r="DJ1025">
        <v>15000</v>
      </c>
      <c r="DK1025">
        <v>15000</v>
      </c>
      <c r="DO1025">
        <v>26</v>
      </c>
    </row>
    <row r="1026" spans="93:119" x14ac:dyDescent="0.25">
      <c r="CO1026" t="s">
        <v>636</v>
      </c>
      <c r="CP1026" t="s">
        <v>6</v>
      </c>
      <c r="CQ1026" t="s">
        <v>76</v>
      </c>
      <c r="CR1026">
        <v>46171</v>
      </c>
      <c r="CS1026">
        <v>1</v>
      </c>
      <c r="CT1026">
        <v>1</v>
      </c>
      <c r="CU1026">
        <v>1</v>
      </c>
      <c r="CX1026">
        <v>1.0474537037037037E-2</v>
      </c>
      <c r="CY1026">
        <v>1.0474537037037037E-2</v>
      </c>
      <c r="CZ1026">
        <v>0.13795138888888889</v>
      </c>
      <c r="DA1026">
        <v>0.19758101851851853</v>
      </c>
      <c r="DB1026">
        <v>120</v>
      </c>
      <c r="DC1026">
        <v>134</v>
      </c>
      <c r="DD1026">
        <v>3</v>
      </c>
      <c r="DE1026" t="s">
        <v>674</v>
      </c>
      <c r="DF1026">
        <v>45212</v>
      </c>
      <c r="DG1026">
        <v>2.5000000000000001E-2</v>
      </c>
      <c r="DO1026">
        <v>26</v>
      </c>
    </row>
  </sheetData>
  <phoneticPr fontId="2" type="noConversion"/>
  <conditionalFormatting sqref="E3:E56">
    <cfRule type="containsText" dxfId="6" priority="4" operator="containsText" text="kenneth">
      <formula>NOT(ISERROR(SEARCH("kenneth",E3)))</formula>
    </cfRule>
  </conditionalFormatting>
  <conditionalFormatting sqref="R9:R57">
    <cfRule type="duplicateValues" dxfId="5" priority="141"/>
  </conditionalFormatting>
  <pageMargins left="0.7" right="0.7" top="0.75" bottom="0.75" header="0.3" footer="0.3"/>
  <tableParts count="5">
    <tablePart r:id="rId1"/>
    <tablePart r:id="rId2"/>
    <tablePart r:id="rId3"/>
    <tablePart r:id="rId4"/>
    <tablePart r:id="rId5"/>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8008-2241-4F22-8B70-E40CFB02F787}">
  <dimension ref="A1:CM247"/>
  <sheetViews>
    <sheetView tabSelected="1" zoomScale="70" zoomScaleNormal="70" workbookViewId="0">
      <selection activeCell="I18" sqref="I18"/>
    </sheetView>
  </sheetViews>
  <sheetFormatPr baseColWidth="10" defaultRowHeight="15" x14ac:dyDescent="0.25"/>
  <cols>
    <col min="1" max="1" width="14.5703125" style="34" customWidth="1"/>
    <col min="2" max="2" width="27.28515625" style="34" bestFit="1" customWidth="1"/>
    <col min="3" max="3" width="11.42578125" style="35" bestFit="1" customWidth="1"/>
    <col min="4" max="4" width="16" style="35" bestFit="1" customWidth="1"/>
    <col min="5" max="5" width="14.5703125" style="35" bestFit="1" customWidth="1"/>
    <col min="6" max="6" width="27.28515625" bestFit="1" customWidth="1"/>
    <col min="7" max="7" width="17.85546875" bestFit="1" customWidth="1"/>
    <col min="8" max="8" width="11.140625" style="34" bestFit="1" customWidth="1"/>
    <col min="9" max="9" width="24.28515625" bestFit="1" customWidth="1"/>
    <col min="10" max="10" width="14.5703125" bestFit="1" customWidth="1"/>
    <col min="11" max="11" width="18.140625" bestFit="1" customWidth="1"/>
    <col min="12" max="12" width="27.85546875" customWidth="1"/>
    <col min="13" max="13" width="16" bestFit="1" customWidth="1"/>
    <col min="14" max="14" width="17.42578125" bestFit="1" customWidth="1"/>
    <col min="15" max="15" width="20.7109375" style="5" bestFit="1" customWidth="1"/>
    <col min="16" max="16" width="17.85546875" bestFit="1" customWidth="1"/>
    <col min="18" max="18" width="27.28515625" bestFit="1" customWidth="1"/>
    <col min="19" max="19" width="13.5703125" customWidth="1"/>
    <col min="20" max="20" width="10" bestFit="1" customWidth="1"/>
    <col min="21" max="22" width="7.42578125" bestFit="1" customWidth="1"/>
    <col min="23" max="23" width="10" bestFit="1" customWidth="1"/>
    <col min="24" max="25" width="7.42578125" bestFit="1" customWidth="1"/>
    <col min="26" max="26" width="11.140625" bestFit="1" customWidth="1"/>
    <col min="27" max="30" width="7.42578125" bestFit="1" customWidth="1"/>
    <col min="31" max="31" width="7.85546875" bestFit="1" customWidth="1"/>
    <col min="32" max="32" width="8.7109375" bestFit="1" customWidth="1"/>
    <col min="33" max="39" width="7.85546875" bestFit="1" customWidth="1"/>
    <col min="40" max="40" width="26.7109375" bestFit="1" customWidth="1"/>
    <col min="41" max="41" width="10" bestFit="1" customWidth="1"/>
    <col min="42" max="42" width="2.42578125" customWidth="1"/>
    <col min="43" max="43" width="20" bestFit="1" customWidth="1"/>
    <col min="44" max="45" width="11.5703125" customWidth="1"/>
    <col min="46" max="46" width="13" bestFit="1" customWidth="1"/>
    <col min="47" max="47" width="6.85546875" bestFit="1" customWidth="1"/>
    <col min="48" max="48" width="8.140625" bestFit="1" customWidth="1"/>
    <col min="49" max="49" width="7.7109375" bestFit="1" customWidth="1"/>
    <col min="50" max="52" width="8.140625" bestFit="1" customWidth="1"/>
    <col min="53" max="53" width="8.5703125" bestFit="1" customWidth="1"/>
    <col min="54" max="57" width="8.85546875" bestFit="1" customWidth="1"/>
    <col min="58" max="58" width="8.85546875" customWidth="1"/>
    <col min="59" max="59" width="8.85546875" bestFit="1" customWidth="1"/>
    <col min="60" max="60" width="9.28515625" bestFit="1" customWidth="1"/>
    <col min="61" max="61" width="8.85546875" bestFit="1" customWidth="1"/>
    <col min="62" max="62" width="9.28515625" bestFit="1" customWidth="1"/>
    <col min="63" max="67" width="9.7109375" customWidth="1"/>
    <col min="68" max="68" width="16" bestFit="1" customWidth="1"/>
    <col min="70" max="70" width="17.7109375" bestFit="1" customWidth="1"/>
    <col min="71" max="71" width="11.5703125" bestFit="1" customWidth="1"/>
    <col min="72" max="74" width="10.7109375" bestFit="1" customWidth="1"/>
    <col min="76" max="76" width="16.7109375" bestFit="1" customWidth="1"/>
    <col min="77" max="77" width="18.140625" bestFit="1" customWidth="1"/>
    <col min="78" max="78" width="27.28515625" bestFit="1" customWidth="1"/>
    <col min="79" max="79" width="17.42578125" bestFit="1" customWidth="1"/>
    <col min="80" max="80" width="21" bestFit="1" customWidth="1"/>
    <col min="81" max="81" width="26" bestFit="1" customWidth="1"/>
    <col min="82" max="82" width="30.140625" bestFit="1" customWidth="1"/>
    <col min="83" max="83" width="21.7109375" bestFit="1" customWidth="1"/>
    <col min="84" max="84" width="28.5703125" bestFit="1" customWidth="1"/>
    <col min="85" max="85" width="15.28515625" bestFit="1" customWidth="1"/>
    <col min="86" max="86" width="17.140625" bestFit="1" customWidth="1"/>
    <col min="87" max="87" width="22.85546875" bestFit="1" customWidth="1"/>
    <col min="88" max="88" width="21.42578125" bestFit="1" customWidth="1"/>
    <col min="89" max="89" width="24" bestFit="1" customWidth="1"/>
    <col min="90" max="90" width="19.5703125" bestFit="1" customWidth="1"/>
    <col min="91" max="91" width="23.5703125" bestFit="1" customWidth="1"/>
  </cols>
  <sheetData>
    <row r="1" spans="1:91" x14ac:dyDescent="0.25">
      <c r="H1"/>
      <c r="J1" s="55"/>
      <c r="K1" s="55"/>
      <c r="L1" s="55"/>
      <c r="N1" s="5"/>
      <c r="O1"/>
    </row>
    <row r="2" spans="1:91"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c r="CC2" s="1"/>
      <c r="CD2" s="92"/>
    </row>
    <row r="3" spans="1:91" ht="26.25" x14ac:dyDescent="0.4">
      <c r="A3" s="61" t="str" cm="1">
        <f t="array" ref="A3">IFERROR(VLOOKUP(D1_MAYO_2026[[#This Row],[ASESOR_CRR]],_xlfn._xlws.FILTER(PLANTILLA[[ASESOR]:[FECHA DE CESE]],PLANTILLA[FECHA]=_xlfn.CONCAT($M$3,"_",_xlfn.IFS($N$3="ENERO","1",$N$3="FEBRERO","2",$N$3="MARZO","3",$N$3="ABRIL","4",$N$3="MAYO","5",$N$3="JUNIO","6",$N$3="JULIO","7",$N$3="AGOSTO","8",$N$3="SETIEMBRE","9",$N$3="OCTUBRE","10",$N$3="NOVIEMBRE","11",$N$3="DICIEMBRE","12"))),3,0),"")</f>
        <v>LICENCIA</v>
      </c>
      <c r="B3" s="61" t="str" cm="1">
        <f t="array" ref="B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MARGARITA PIANCHACHI</v>
      </c>
      <c r="C3" s="61" t="e" cm="1">
        <f t="array" ref="C3">_xlfn.XLOOKUP(1,(TablaMeta[CONCAT]=$M$3&amp;$N$3&amp;D1_MAYO_2026[[#This Row],[SUPER]])*(TablaMeta[SEGG]=D1_MAYO_2026[[#This Row],[SEGMENTO]]),TablaMeta[Meta_Asesor])</f>
        <v>#N/A</v>
      </c>
      <c r="D3" s="62"/>
      <c r="E3" s="62" t="str">
        <f>D1_MAYO_2026[[#This Row],[SUPER]]</f>
        <v>LICENCIA</v>
      </c>
      <c r="F3" s="61" t="s">
        <v>17</v>
      </c>
      <c r="G3" s="61"/>
      <c r="H3" s="61" cm="1">
        <f t="array" ref="H3">IFERROR(VLOOKUP(D1_MAYO_2026[[#This Row],[ASESOR_CRR]],_xlfn._xlws.FILTER(PLANTILLA[[ASESOR]:[FECHA DE CESE]],PLANTILLA[FECHA]=_xlfn.CONCAT($M$3,"_",_xlfn.IFS($N$3="ENERO","1",$N$3="FEBRERO","2",$N$3="MARZO","3",$N$3="ABRIL","4",$N$3="MAYO","5",$N$3="JUNIO","6",$N$3="JULIO","7",$N$3="AGOSTO","8",$N$3="SETIEMBRE","9",$N$3="OCTUBRE","10",$N$3="NOVIEMBRE","11",$N$3="DICIEMBRE","12"))),2,0),"")</f>
        <v>70876605</v>
      </c>
      <c r="I3" s="63" cm="1">
        <f t="array" ref="I3">IFERROR(VLOOKUP(D1_MAYO_2026[[#This Row],[ASESOR_CRR]],_xlfn._xlws.FILTER(PLANTILLA[[ASESOR]:[FECHA DE CESE]],PLANTILLA[FECHA]=_xlfn.CONCAT($M$3,"_",_xlfn.IFS($N$3="ENERO","1",$N$3="FEBRERO","2",$N$3="MARZO","3",$N$3="ABRIL","4",$N$3="MAYO","5",$N$3="JUNIO","6",$N$3="JULIO","7",$N$3="AGOSTO","8",$N$3="SETIEMBRE","9",$N$3="OCTUBRE","10",$N$3="NOVIEMBRE","11",$N$3="DICIEMBRE","12"))),6,0),"")</f>
        <v>44886</v>
      </c>
      <c r="J3" s="63" t="str" cm="1">
        <f t="array" ref="J3">IFERROR(VLOOKUP(D1_MAYO_2026[[#This Row],[ASESOR_CRR]],_xlfn._xlws.FILTER(PLANTILLA[[ASESOR]:[FECHA DE CESE]],PLANTILLA[FECHA]=_xlfn.CONCAT($M$3,"_",_xlfn.IFS($N$3="ENERO","1",$N$3="FEBRERO","2",$N$3="MARZO","3",$N$3="ABRIL","4",$N$3="MAYO","5",$N$3="JUNIO","6",$N$3="JULIO","7",$N$3="AGOSTO","8",$N$3="SETIEMBRE","9",$N$3="OCTUBRE","10",$N$3="NOVIEMBRE","11",$N$3="DICIEMBRE","12"))),4,0),"")</f>
        <v>LICENCIA</v>
      </c>
      <c r="K3" s="63" t="str" cm="1">
        <f t="array" ref="K3">IFERROR(VLOOKUP(D1_MAYO_2026[[#This Row],[ASESOR_CRR]],_xlfn._xlws.FILTER(PLANTILLA[[ASESOR]:[FECHA DE CESE]],PLANTILLA[FECHA]=_xlfn.CONCAT($M$3,"_",_xlfn.IFS($N$3="ENERO","1",$N$3="FEBRERO","2",$N$3="MARZO","3",$N$3="ABRIL","4",$N$3="MAYO","5",$N$3="JUNIO","6",$N$3="JULIO","7",$N$3="AGOSTO","8",$N$3="SETIEMBRE","9",$N$3="OCTUBRE","10",$N$3="NOVIEMBRE","11",$N$3="DICIEMBRE","12"))),8,0),"")</f>
        <v>LICENCIA</v>
      </c>
      <c r="L3" s="55"/>
      <c r="M3" s="33">
        <v>2026</v>
      </c>
      <c r="N3" s="33" t="s">
        <v>144</v>
      </c>
      <c r="O3" s="33">
        <v>21</v>
      </c>
      <c r="CC3" s="91"/>
    </row>
    <row r="4" spans="1:91" x14ac:dyDescent="0.25">
      <c r="A4" s="61" t="str" cm="1">
        <f t="array" ref="A4">IFERROR(VLOOKUP(D1_MAYO_2026[[#This Row],[ASESOR_CRR]],_xlfn._xlws.FILTER(PLANTILLA[[ASESOR]:[FECHA DE CESE]],PLANTILLA[FECHA]=_xlfn.CONCAT($M$3,"_",_xlfn.IFS($N$3="ENERO","1",$N$3="FEBRERO","2",$N$3="MARZO","3",$N$3="ABRIL","4",$N$3="MAYO","5",$N$3="JUNIO","6",$N$3="JULIO","7",$N$3="AGOSTO","8",$N$3="SETIEMBRE","9",$N$3="OCTUBRE","10",$N$3="NOVIEMBRE","11",$N$3="DICIEMBRE","12"))),3,0),"")</f>
        <v>VACACIONES</v>
      </c>
      <c r="B4" s="61" t="str" cm="1">
        <f t="array" ref="B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LUIS VALLADARES</v>
      </c>
      <c r="C4" s="61" t="e" cm="1">
        <f t="array" ref="C4">_xlfn.XLOOKUP(1,(TablaMeta[CONCAT]=$M$3&amp;$N$3&amp;D1_MAYO_2026[[#This Row],[SUPER]])*(TablaMeta[SEGG]=D1_MAYO_2026[[#This Row],[SEGMENTO]]),TablaMeta[Meta_Asesor])</f>
        <v>#N/A</v>
      </c>
      <c r="D4" s="62"/>
      <c r="E4" s="62" t="str">
        <f>D1_MAYO_2026[[#This Row],[SUPER]]</f>
        <v>VACACIONES</v>
      </c>
      <c r="F4" s="61" t="s">
        <v>29</v>
      </c>
      <c r="G4" s="61"/>
      <c r="H4" s="61" cm="1">
        <f t="array" ref="H4">IFERROR(VLOOKUP(D1_MAYO_2026[[#This Row],[ASESOR_CRR]],_xlfn._xlws.FILTER(PLANTILLA[[ASESOR]:[FECHA DE CESE]],PLANTILLA[FECHA]=_xlfn.CONCAT($M$3,"_",_xlfn.IFS($N$3="ENERO","1",$N$3="FEBRERO","2",$N$3="MARZO","3",$N$3="ABRIL","4",$N$3="MAYO","5",$N$3="JUNIO","6",$N$3="JULIO","7",$N$3="AGOSTO","8",$N$3="SETIEMBRE","9",$N$3="OCTUBRE","10",$N$3="NOVIEMBRE","11",$N$3="DICIEMBRE","12"))),2,0),"")</f>
        <v>72758956</v>
      </c>
      <c r="I4" s="63" cm="1">
        <f t="array" ref="I4">IFERROR(VLOOKUP(D1_MAYO_2026[[#This Row],[ASESOR_CRR]],_xlfn._xlws.FILTER(PLANTILLA[[ASESOR]:[FECHA DE CESE]],PLANTILLA[FECHA]=_xlfn.CONCAT($M$3,"_",_xlfn.IFS($N$3="ENERO","1",$N$3="FEBRERO","2",$N$3="MARZO","3",$N$3="ABRIL","4",$N$3="MAYO","5",$N$3="JUNIO","6",$N$3="JULIO","7",$N$3="AGOSTO","8",$N$3="SETIEMBRE","9",$N$3="OCTUBRE","10",$N$3="NOVIEMBRE","11",$N$3="DICIEMBRE","12"))),6,0),"")</f>
        <v>44685</v>
      </c>
      <c r="J4" s="63" t="str" cm="1">
        <f t="array" ref="J4">IFERROR(VLOOKUP(D1_MAYO_2026[[#This Row],[ASESOR_CRR]],_xlfn._xlws.FILTER(PLANTILLA[[ASESOR]:[FECHA DE CESE]],PLANTILLA[FECHA]=_xlfn.CONCAT($M$3,"_",_xlfn.IFS($N$3="ENERO","1",$N$3="FEBRERO","2",$N$3="MARZO","3",$N$3="ABRIL","4",$N$3="MAYO","5",$N$3="JUNIO","6",$N$3="JULIO","7",$N$3="AGOSTO","8",$N$3="SETIEMBRE","9",$N$3="OCTUBRE","10",$N$3="NOVIEMBRE","11",$N$3="DICIEMBRE","12"))),4,0),"")</f>
        <v>VACACIONES</v>
      </c>
      <c r="K4" s="63" t="str" cm="1">
        <f t="array" ref="K4">IFERROR(VLOOKUP(D1_MAYO_2026[[#This Row],[ASESOR_CRR]],_xlfn._xlws.FILTER(PLANTILLA[[ASESOR]:[FECHA DE CESE]],PLANTILLA[FECHA]=_xlfn.CONCAT($M$3,"_",_xlfn.IFS($N$3="ENERO","1",$N$3="FEBRERO","2",$N$3="MARZO","3",$N$3="ABRIL","4",$N$3="MAYO","5",$N$3="JUNIO","6",$N$3="JULIO","7",$N$3="AGOSTO","8",$N$3="SETIEMBRE","9",$N$3="OCTUBRE","10",$N$3="NOVIEMBRE","11",$N$3="DICIEMBRE","12"))),8,0),"")</f>
        <v>VACACIONES</v>
      </c>
      <c r="L4" s="55"/>
      <c r="N4" s="5"/>
      <c r="O4"/>
      <c r="S4" s="45"/>
      <c r="CC4" s="104"/>
      <c r="CD4" s="104"/>
      <c r="CE4" s="104"/>
      <c r="CF4" s="104"/>
      <c r="CH4" s="104"/>
      <c r="CI4" s="105"/>
      <c r="CL4" s="104"/>
    </row>
    <row r="5" spans="1:91" x14ac:dyDescent="0.25">
      <c r="A5" s="61" t="str" cm="1">
        <f t="array" ref="A5">IFERROR(VLOOKUP(D1_MAYO_2026[[#This Row],[ASESOR_CRR]],_xlfn._xlws.FILTER(PLANTILLA[[ASESOR]:[FECHA DE CESE]],PLANTILLA[FECHA]=_xlfn.CONCAT($M$3,"_",_xlfn.IFS($N$3="ENERO","1",$N$3="FEBRERO","2",$N$3="MARZO","3",$N$3="ABRIL","4",$N$3="MAYO","5",$N$3="JUNIO","6",$N$3="JULIO","7",$N$3="AGOSTO","8",$N$3="SETIEMBRE","9",$N$3="OCTUBRE","10",$N$3="NOVIEMBRE","11",$N$3="DICIEMBRE","12"))),3,0),"")</f>
        <v>VACACIONES</v>
      </c>
      <c r="B5" s="61" t="str" cm="1">
        <f t="array" ref="B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ALEIDITH GUEVARA</v>
      </c>
      <c r="C5" s="61" t="e" cm="1">
        <f t="array" ref="C5">_xlfn.XLOOKUP(1,(TablaMeta[CONCAT]=$M$3&amp;$N$3&amp;D1_MAYO_2026[[#This Row],[SUPER]])*(TablaMeta[SEGG]=D1_MAYO_2026[[#This Row],[SEGMENTO]]),TablaMeta[Meta_Asesor])</f>
        <v>#N/A</v>
      </c>
      <c r="D5" s="62"/>
      <c r="E5" s="62" t="str">
        <f>D1_MAYO_2026[[#This Row],[SUPER]]</f>
        <v>VACACIONES</v>
      </c>
      <c r="F5" s="61" t="s">
        <v>18</v>
      </c>
      <c r="G5" s="61"/>
      <c r="H5" s="61" cm="1">
        <f t="array" ref="H5">IFERROR(VLOOKUP(D1_MAYO_2026[[#This Row],[ASESOR_CRR]],_xlfn._xlws.FILTER(PLANTILLA[[ASESOR]:[FECHA DE CESE]],PLANTILLA[FECHA]=_xlfn.CONCAT($M$3,"_",_xlfn.IFS($N$3="ENERO","1",$N$3="FEBRERO","2",$N$3="MARZO","3",$N$3="ABRIL","4",$N$3="MAYO","5",$N$3="JUNIO","6",$N$3="JULIO","7",$N$3="AGOSTO","8",$N$3="SETIEMBRE","9",$N$3="OCTUBRE","10",$N$3="NOVIEMBRE","11",$N$3="DICIEMBRE","12"))),2,0),"")</f>
        <v>76214436</v>
      </c>
      <c r="I5" s="63" cm="1">
        <f t="array" ref="I5">IFERROR(VLOOKUP(D1_MAYO_2026[[#This Row],[ASESOR_CRR]],_xlfn._xlws.FILTER(PLANTILLA[[ASESOR]:[FECHA DE CESE]],PLANTILLA[FECHA]=_xlfn.CONCAT($M$3,"_",_xlfn.IFS($N$3="ENERO","1",$N$3="FEBRERO","2",$N$3="MARZO","3",$N$3="ABRIL","4",$N$3="MAYO","5",$N$3="JUNIO","6",$N$3="JULIO","7",$N$3="AGOSTO","8",$N$3="SETIEMBRE","9",$N$3="OCTUBRE","10",$N$3="NOVIEMBRE","11",$N$3="DICIEMBRE","12"))),6,0),"")</f>
        <v>45132</v>
      </c>
      <c r="J5" s="63" t="str" cm="1">
        <f t="array" ref="J5">IFERROR(VLOOKUP(D1_MAYO_2026[[#This Row],[ASESOR_CRR]],_xlfn._xlws.FILTER(PLANTILLA[[ASESOR]:[FECHA DE CESE]],PLANTILLA[FECHA]=_xlfn.CONCAT($M$3,"_",_xlfn.IFS($N$3="ENERO","1",$N$3="FEBRERO","2",$N$3="MARZO","3",$N$3="ABRIL","4",$N$3="MAYO","5",$N$3="JUNIO","6",$N$3="JULIO","7",$N$3="AGOSTO","8",$N$3="SETIEMBRE","9",$N$3="OCTUBRE","10",$N$3="NOVIEMBRE","11",$N$3="DICIEMBRE","12"))),4,0),"")</f>
        <v>VACACIONES</v>
      </c>
      <c r="K5" s="63" t="str" cm="1">
        <f t="array" ref="K5">IFERROR(VLOOKUP(D1_MAYO_2026[[#This Row],[ASESOR_CRR]],_xlfn._xlws.FILTER(PLANTILLA[[ASESOR]:[FECHA DE CESE]],PLANTILLA[FECHA]=_xlfn.CONCAT($M$3,"_",_xlfn.IFS($N$3="ENERO","1",$N$3="FEBRERO","2",$N$3="MARZO","3",$N$3="ABRIL","4",$N$3="MAYO","5",$N$3="JUNIO","6",$N$3="JULIO","7",$N$3="AGOSTO","8",$N$3="SETIEMBRE","9",$N$3="OCTUBRE","10",$N$3="NOVIEMBRE","11",$N$3="DICIEMBRE","12"))),8,0),"")</f>
        <v>VACACIONES</v>
      </c>
      <c r="L5" s="55"/>
      <c r="N5" s="5"/>
      <c r="O5"/>
      <c r="S5" s="45"/>
      <c r="BH5" s="45"/>
      <c r="CI5" s="105"/>
    </row>
    <row r="6" spans="1:91" x14ac:dyDescent="0.25">
      <c r="A6" s="65" t="str" cm="1">
        <f t="array" ref="A6">IFERROR(VLOOKUP(D1_MAYO_2026[[#This Row],[ASESOR_CRR]],_xlfn._xlws.FILTER(PLANTILLA[[ASESOR]:[FECHA DE CESE]],PLANTILLA[FECHA]=_xlfn.CONCAT($M$3,"_",_xlfn.IFS($N$3="ENERO","1",$N$3="FEBRERO","2",$N$3="MARZO","3",$N$3="ABRIL","4",$N$3="MAYO","5",$N$3="JUNIO","6",$N$3="JULIO","7",$N$3="AGOSTO","8",$N$3="SETIEMBRE","9",$N$3="OCTUBRE","10",$N$3="NOVIEMBRE","11",$N$3="DICIEMBRE","12"))),3,0),"")</f>
        <v>VACACIONES</v>
      </c>
      <c r="B6" s="65" t="str" cm="1">
        <f t="array" ref="B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VERONICA HUARCA</v>
      </c>
      <c r="C6" s="61" t="e" cm="1">
        <f t="array" ref="C6">_xlfn.XLOOKUP(1,(TablaMeta[CONCAT]=$M$3&amp;$N$3&amp;D1_MAYO_2026[[#This Row],[SUPER]])*(TablaMeta[SEGG]=D1_MAYO_2026[[#This Row],[SEGMENTO]]),TablaMeta[Meta_Asesor])</f>
        <v>#N/A</v>
      </c>
      <c r="D6" s="62"/>
      <c r="E6" s="66" t="str">
        <f>D1_MAYO_2026[[#This Row],[SUPER]]</f>
        <v>VACACIONES</v>
      </c>
      <c r="F6" s="65" t="s">
        <v>48</v>
      </c>
      <c r="G6" s="72"/>
      <c r="H6" s="65" cm="1">
        <f t="array" ref="H6">IFERROR(VLOOKUP(D1_MAYO_2026[[#This Row],[ASESOR_CRR]],_xlfn._xlws.FILTER(PLANTILLA[[ASESOR]:[FECHA DE CESE]],PLANTILLA[FECHA]=_xlfn.CONCAT($M$3,"_",_xlfn.IFS($N$3="ENERO","1",$N$3="FEBRERO","2",$N$3="MARZO","3",$N$3="ABRIL","4",$N$3="MAYO","5",$N$3="JUNIO","6",$N$3="JULIO","7",$N$3="AGOSTO","8",$N$3="SETIEMBRE","9",$N$3="OCTUBRE","10",$N$3="NOVIEMBRE","11",$N$3="DICIEMBRE","12"))),2,0),"")</f>
        <v>43307898</v>
      </c>
      <c r="I6" s="67" cm="1">
        <f t="array" ref="I6">IFERROR(VLOOKUP(D1_MAYO_2026[[#This Row],[ASESOR_CRR]],_xlfn._xlws.FILTER(PLANTILLA[[ASESOR]:[FECHA DE CESE]],PLANTILLA[FECHA]=_xlfn.CONCAT($M$3,"_",_xlfn.IFS($N$3="ENERO","1",$N$3="FEBRERO","2",$N$3="MARZO","3",$N$3="ABRIL","4",$N$3="MAYO","5",$N$3="JUNIO","6",$N$3="JULIO","7",$N$3="AGOSTO","8",$N$3="SETIEMBRE","9",$N$3="OCTUBRE","10",$N$3="NOVIEMBRE","11",$N$3="DICIEMBRE","12"))),6,0),"")</f>
        <v>44746</v>
      </c>
      <c r="J6" s="67" t="str" cm="1">
        <f t="array" ref="J6">IFERROR(VLOOKUP(D1_MAYO_2026[[#This Row],[ASESOR_CRR]],_xlfn._xlws.FILTER(PLANTILLA[[ASESOR]:[FECHA DE CESE]],PLANTILLA[FECHA]=_xlfn.CONCAT($M$3,"_",_xlfn.IFS($N$3="ENERO","1",$N$3="FEBRERO","2",$N$3="MARZO","3",$N$3="ABRIL","4",$N$3="MAYO","5",$N$3="JUNIO","6",$N$3="JULIO","7",$N$3="AGOSTO","8",$N$3="SETIEMBRE","9",$N$3="OCTUBRE","10",$N$3="NOVIEMBRE","11",$N$3="DICIEMBRE","12"))),4,0),"")</f>
        <v>VACACIONES</v>
      </c>
      <c r="K6" s="67" t="str" cm="1">
        <f t="array" ref="K6">IFERROR(VLOOKUP(D1_MAYO_2026[[#This Row],[ASESOR_CRR]],_xlfn._xlws.FILTER(PLANTILLA[[ASESOR]:[FECHA DE CESE]],PLANTILLA[FECHA]=_xlfn.CONCAT($M$3,"_",_xlfn.IFS($N$3="ENERO","1",$N$3="FEBRERO","2",$N$3="MARZO","3",$N$3="ABRIL","4",$N$3="MAYO","5",$N$3="JUNIO","6",$N$3="JULIO","7",$N$3="AGOSTO","8",$N$3="SETIEMBRE","9",$N$3="OCTUBRE","10",$N$3="NOVIEMBRE","11",$N$3="DICIEMBRE","12"))),8,0),"")</f>
        <v>VACACIONES</v>
      </c>
      <c r="L6" s="55"/>
      <c r="N6" s="5"/>
      <c r="O6"/>
      <c r="S6" s="45"/>
      <c r="CH6" t="s">
        <v>1246</v>
      </c>
    </row>
    <row r="7" spans="1:91" ht="28.5" x14ac:dyDescent="0.45">
      <c r="A7" s="34" t="str" cm="1">
        <f t="array" ref="A7">IFERROR(VLOOKUP(D1_MAYO_2026[[#This Row],[ASESOR_CRR]],_xlfn._xlws.FILTER(PLANTILLA[[ASESOR]:[FECHA DE CESE]],PLANTILLA[FECHA]=_xlfn.CONCAT($M$3,"_",_xlfn.IFS($N$3="ENERO","1",$N$3="FEBRERO","2",$N$3="MARZO","3",$N$3="ABRIL","4",$N$3="MAYO","5",$N$3="JUNIO","6",$N$3="JULIO","7",$N$3="AGOSTO","8",$N$3="SETIEMBRE","9",$N$3="OCTUBRE","10",$N$3="NOVIEMBRE","11",$N$3="DICIEMBRE","12"))),3,0),"")</f>
        <v>JOHAN</v>
      </c>
      <c r="B7" s="34" t="str" cm="1">
        <f t="array" ref="B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DANIEL ZAPATA</v>
      </c>
      <c r="C7" s="34" cm="1">
        <f t="array" ref="C7">_xlfn.XLOOKUP(1,(TablaMeta[CONCAT]=$M$3&amp;$N$3&amp;D1_MAYO_2026[[#This Row],[SUPER]])*(TablaMeta[SEGG]=D1_MAYO_2026[[#This Row],[SEGMENTO]]),TablaMeta[Meta_Asesor])</f>
        <v>29500</v>
      </c>
      <c r="D7" s="35">
        <f>IF(D1_MAYO_2026[[#This Row],[RECUPERO]]="VACACIONES","VACACIONES",IFERROR(D1_MAYO_2026[[#This Row],[RECUPERO]]/D1_MAYO_2026[[#This Row],[META]],""))</f>
        <v>1.1171186440677967</v>
      </c>
      <c r="E7" s="35" t="str">
        <f>D1_MAYO_2026[[#This Row],[SUPER]]</f>
        <v>JOHAN</v>
      </c>
      <c r="F7" s="34" t="s">
        <v>80</v>
      </c>
      <c r="G7" s="36">
        <v>32955</v>
      </c>
      <c r="H7" s="34" cm="1">
        <f t="array" ref="H7">IFERROR(VLOOKUP(D1_MAYO_2026[[#This Row],[ASESOR_CRR]],_xlfn._xlws.FILTER(PLANTILLA[[ASESOR]:[FECHA DE CESE]],PLANTILLA[FECHA]=_xlfn.CONCAT($M$3,"_",_xlfn.IFS($N$3="ENERO","1",$N$3="FEBRERO","2",$N$3="MARZO","3",$N$3="ABRIL","4",$N$3="MAYO","5",$N$3="JUNIO","6",$N$3="JULIO","7",$N$3="AGOSTO","8",$N$3="SETIEMBRE","9",$N$3="OCTUBRE","10",$N$3="NOVIEMBRE","11",$N$3="DICIEMBRE","12"))),2,0),"")</f>
        <v>45084594</v>
      </c>
      <c r="I7" s="60" cm="1">
        <f t="array" ref="I7">IFERROR(VLOOKUP(D1_MAYO_2026[[#This Row],[ASESOR_CRR]],_xlfn._xlws.FILTER(PLANTILLA[[ASESOR]:[FECHA DE CESE]],PLANTILLA[FECHA]=_xlfn.CONCAT($M$3,"_",_xlfn.IFS($N$3="ENERO","1",$N$3="FEBRERO","2",$N$3="MARZO","3",$N$3="ABRIL","4",$N$3="MAYO","5",$N$3="JUNIO","6",$N$3="JULIO","7",$N$3="AGOSTO","8",$N$3="SETIEMBRE","9",$N$3="OCTUBRE","10",$N$3="NOVIEMBRE","11",$N$3="DICIEMBRE","12"))),6,0),"")</f>
        <v>45281</v>
      </c>
      <c r="J7" s="60" t="str" cm="1">
        <f t="array" ref="J7">IFERROR(VLOOKUP(D1_MAYO_2026[[#This Row],[ASESOR_CRR]],_xlfn._xlws.FILTER(PLANTILLA[[ASESOR]:[FECHA DE CESE]],PLANTILLA[FECHA]=_xlfn.CONCAT($M$3,"_",_xlfn.IFS($N$3="ENERO","1",$N$3="FEBRERO","2",$N$3="MARZO","3",$N$3="ABRIL","4",$N$3="MAYO","5",$N$3="JUNIO","6",$N$3="JULIO","7",$N$3="AGOSTO","8",$N$3="SETIEMBRE","9",$N$3="OCTUBRE","10",$N$3="NOVIEMBRE","11",$N$3="DICIEMBRE","12"))),4,0),"")</f>
        <v>CALL</v>
      </c>
      <c r="K7" s="60" t="str" cm="1">
        <f t="array" ref="K7">IFERROR(VLOOKUP(D1_MAYO_2026[[#This Row],[ASESOR_CRR]],_xlfn._xlws.FILTER(PLANTILLA[[ASESOR]:[FECHA DE CESE]],PLANTILLA[FECHA]=_xlfn.CONCAT($M$3,"_",_xlfn.IFS($N$3="ENERO","1",$N$3="FEBRERO","2",$N$3="MARZO","3",$N$3="ABRIL","4",$N$3="MAYO","5",$N$3="JUNIO","6",$N$3="JULIO","7",$N$3="AGOSTO","8",$N$3="SETIEMBRE","9",$N$3="OCTUBRE","10",$N$3="NOVIEMBRE","11",$N$3="DICIEMBRE","12"))),8,0),"")</f>
        <v>S1</v>
      </c>
      <c r="L7" s="55"/>
      <c r="M7" s="1"/>
      <c r="N7" s="5"/>
      <c r="O7"/>
      <c r="BR7" t="s">
        <v>626</v>
      </c>
      <c r="BS7" t="s">
        <v>141</v>
      </c>
      <c r="BT7" t="s">
        <v>142</v>
      </c>
      <c r="BU7" t="s">
        <v>143</v>
      </c>
      <c r="BV7" t="s">
        <v>144</v>
      </c>
      <c r="BX7" t="s">
        <v>635</v>
      </c>
      <c r="BY7" s="83"/>
      <c r="BZ7" s="83"/>
      <c r="CA7" s="83"/>
      <c r="CB7" s="83" t="s">
        <v>667</v>
      </c>
      <c r="CC7" s="83" t="s">
        <v>667</v>
      </c>
      <c r="CD7" s="83" t="s">
        <v>667</v>
      </c>
      <c r="CE7" s="83" t="s">
        <v>665</v>
      </c>
      <c r="CF7" s="83" t="s">
        <v>665</v>
      </c>
      <c r="CG7" s="83" t="s">
        <v>665</v>
      </c>
      <c r="CH7" s="90" t="s">
        <v>666</v>
      </c>
      <c r="CI7" s="83" t="s">
        <v>666</v>
      </c>
      <c r="CJ7" s="83" t="s">
        <v>666</v>
      </c>
      <c r="CK7" s="83" t="s">
        <v>1246</v>
      </c>
      <c r="CL7" s="83" t="s">
        <v>1246</v>
      </c>
      <c r="CM7" s="83"/>
    </row>
    <row r="8" spans="1:91" x14ac:dyDescent="0.25">
      <c r="A8" s="34" t="str" cm="1">
        <f t="array" ref="A8">IFERROR(VLOOKUP(D1_MAYO_2026[[#This Row],[ASESOR_CRR]],_xlfn._xlws.FILTER(PLANTILLA[[ASESOR]:[FECHA DE CESE]],PLANTILLA[FECHA]=_xlfn.CONCAT($M$3,"_",_xlfn.IFS($N$3="ENERO","1",$N$3="FEBRERO","2",$N$3="MARZO","3",$N$3="ABRIL","4",$N$3="MAYO","5",$N$3="JUNIO","6",$N$3="JULIO","7",$N$3="AGOSTO","8",$N$3="SETIEMBRE","9",$N$3="OCTUBRE","10",$N$3="NOVIEMBRE","11",$N$3="DICIEMBRE","12"))),3,0),"")</f>
        <v>JOHAN</v>
      </c>
      <c r="B8" s="34" t="str" cm="1">
        <f t="array" ref="B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CHRISTIAN ALVARADO</v>
      </c>
      <c r="C8" s="34" cm="1">
        <f t="array" ref="C8">_xlfn.XLOOKUP(1,(TablaMeta[CONCAT]=$M$3&amp;$N$3&amp;D1_MAYO_2026[[#This Row],[SUPER]])*(TablaMeta[SEGG]=D1_MAYO_2026[[#This Row],[SEGMENTO]]),TablaMeta[Meta_Asesor])</f>
        <v>29500</v>
      </c>
      <c r="D8" s="35">
        <f>IF(D1_MAYO_2026[[#This Row],[RECUPERO]]="VACACIONES","VACACIONES",IFERROR(D1_MAYO_2026[[#This Row],[RECUPERO]]/D1_MAYO_2026[[#This Row],[META]],""))</f>
        <v>0.6961016949152542</v>
      </c>
      <c r="E8" s="35" t="str">
        <f>D1_MAYO_2026[[#This Row],[SUPER]]</f>
        <v>JOHAN</v>
      </c>
      <c r="F8" s="34" t="s">
        <v>41</v>
      </c>
      <c r="G8" s="36">
        <v>20535</v>
      </c>
      <c r="H8" s="34" cm="1">
        <f t="array" ref="H8">IFERROR(VLOOKUP(D1_MAYO_2026[[#This Row],[ASESOR_CRR]],_xlfn._xlws.FILTER(PLANTILLA[[ASESOR]:[FECHA DE CESE]],PLANTILLA[FECHA]=_xlfn.CONCAT($M$3,"_",_xlfn.IFS($N$3="ENERO","1",$N$3="FEBRERO","2",$N$3="MARZO","3",$N$3="ABRIL","4",$N$3="MAYO","5",$N$3="JUNIO","6",$N$3="JULIO","7",$N$3="AGOSTO","8",$N$3="SETIEMBRE","9",$N$3="OCTUBRE","10",$N$3="NOVIEMBRE","11",$N$3="DICIEMBRE","12"))),2,0),"")</f>
        <v>46461021</v>
      </c>
      <c r="I8" s="60" cm="1">
        <f t="array" ref="I8">IFERROR(VLOOKUP(D1_MAYO_2026[[#This Row],[ASESOR_CRR]],_xlfn._xlws.FILTER(PLANTILLA[[ASESOR]:[FECHA DE CESE]],PLANTILLA[FECHA]=_xlfn.CONCAT($M$3,"_",_xlfn.IFS($N$3="ENERO","1",$N$3="FEBRERO","2",$N$3="MARZO","3",$N$3="ABRIL","4",$N$3="MAYO","5",$N$3="JUNIO","6",$N$3="JULIO","7",$N$3="AGOSTO","8",$N$3="SETIEMBRE","9",$N$3="OCTUBRE","10",$N$3="NOVIEMBRE","11",$N$3="DICIEMBRE","12"))),6,0),"")</f>
        <v>45302</v>
      </c>
      <c r="J8" s="60" t="str" cm="1">
        <f t="array" ref="J8">IFERROR(VLOOKUP(D1_MAYO_2026[[#This Row],[ASESOR_CRR]],_xlfn._xlws.FILTER(PLANTILLA[[ASESOR]:[FECHA DE CESE]],PLANTILLA[FECHA]=_xlfn.CONCAT($M$3,"_",_xlfn.IFS($N$3="ENERO","1",$N$3="FEBRERO","2",$N$3="MARZO","3",$N$3="ABRIL","4",$N$3="MAYO","5",$N$3="JUNIO","6",$N$3="JULIO","7",$N$3="AGOSTO","8",$N$3="SETIEMBRE","9",$N$3="OCTUBRE","10",$N$3="NOVIEMBRE","11",$N$3="DICIEMBRE","12"))),4,0),"")</f>
        <v>CALL</v>
      </c>
      <c r="K8" s="60" t="str" cm="1">
        <f t="array" ref="K8">IFERROR(VLOOKUP(D1_MAYO_2026[[#This Row],[ASESOR_CRR]],_xlfn._xlws.FILTER(PLANTILLA[[ASESOR]:[FECHA DE CESE]],PLANTILLA[FECHA]=_xlfn.CONCAT($M$3,"_",_xlfn.IFS($N$3="ENERO","1",$N$3="FEBRERO","2",$N$3="MARZO","3",$N$3="ABRIL","4",$N$3="MAYO","5",$N$3="JUNIO","6",$N$3="JULIO","7",$N$3="AGOSTO","8",$N$3="SETIEMBRE","9",$N$3="OCTUBRE","10",$N$3="NOVIEMBRE","11",$N$3="DICIEMBRE","12"))),8,0),"")</f>
        <v>S1</v>
      </c>
      <c r="L8" s="55"/>
      <c r="M8" s="38" t="s">
        <v>87</v>
      </c>
      <c r="N8" s="15" t="s">
        <v>1133</v>
      </c>
      <c r="O8" s="14" t="s">
        <v>133</v>
      </c>
      <c r="P8" s="14" t="s">
        <v>95</v>
      </c>
      <c r="Q8" s="14" t="s">
        <v>90</v>
      </c>
      <c r="R8" s="13" t="s">
        <v>88</v>
      </c>
      <c r="S8" s="13" t="s">
        <v>533</v>
      </c>
      <c r="T8" s="13" t="s">
        <v>503</v>
      </c>
      <c r="U8" s="13" t="s">
        <v>525</v>
      </c>
      <c r="V8" s="13" t="s">
        <v>529</v>
      </c>
      <c r="W8" s="13" t="s">
        <v>504</v>
      </c>
      <c r="X8" s="13" t="s">
        <v>507</v>
      </c>
      <c r="Y8" s="13" t="s">
        <v>508</v>
      </c>
      <c r="Z8" s="13" t="s">
        <v>526</v>
      </c>
      <c r="AA8" s="13" t="s">
        <v>530</v>
      </c>
      <c r="AB8" s="13" t="s">
        <v>509</v>
      </c>
      <c r="AC8" s="13" t="s">
        <v>512</v>
      </c>
      <c r="AD8" s="13" t="s">
        <v>513</v>
      </c>
      <c r="AE8" s="13" t="s">
        <v>527</v>
      </c>
      <c r="AF8" s="13" t="s">
        <v>531</v>
      </c>
      <c r="AG8" s="13" t="s">
        <v>514</v>
      </c>
      <c r="AH8" s="13" t="s">
        <v>517</v>
      </c>
      <c r="AI8" s="13" t="s">
        <v>518</v>
      </c>
      <c r="AJ8" s="13" t="s">
        <v>528</v>
      </c>
      <c r="AK8" s="13" t="s">
        <v>532</v>
      </c>
      <c r="AL8" s="13" t="s">
        <v>519</v>
      </c>
      <c r="AM8" s="13" t="s">
        <v>523</v>
      </c>
      <c r="AN8" s="14" t="s">
        <v>502</v>
      </c>
      <c r="AO8" s="14" t="s">
        <v>1243</v>
      </c>
      <c r="AQ8" s="18" t="s">
        <v>135</v>
      </c>
      <c r="AR8" s="18" t="s">
        <v>137</v>
      </c>
      <c r="AS8" s="18" t="s">
        <v>138</v>
      </c>
      <c r="AT8" s="19" t="s">
        <v>94</v>
      </c>
      <c r="AU8" s="19" t="s">
        <v>533</v>
      </c>
      <c r="AV8" s="19" t="s">
        <v>503</v>
      </c>
      <c r="AW8" s="19" t="s">
        <v>525</v>
      </c>
      <c r="AX8" s="19" t="s">
        <v>529</v>
      </c>
      <c r="AY8" s="19" t="s">
        <v>504</v>
      </c>
      <c r="AZ8" s="19" t="s">
        <v>507</v>
      </c>
      <c r="BA8" s="19" t="s">
        <v>508</v>
      </c>
      <c r="BB8" s="19" t="s">
        <v>526</v>
      </c>
      <c r="BC8" s="19" t="s">
        <v>530</v>
      </c>
      <c r="BD8" s="19" t="s">
        <v>509</v>
      </c>
      <c r="BE8" s="19" t="s">
        <v>512</v>
      </c>
      <c r="BF8" s="19" t="s">
        <v>513</v>
      </c>
      <c r="BG8" s="19" t="s">
        <v>527</v>
      </c>
      <c r="BH8" s="19" t="s">
        <v>531</v>
      </c>
      <c r="BI8" s="19" t="s">
        <v>514</v>
      </c>
      <c r="BJ8" s="19" t="s">
        <v>517</v>
      </c>
      <c r="BK8" s="19" t="s">
        <v>518</v>
      </c>
      <c r="BL8" s="19" t="s">
        <v>528</v>
      </c>
      <c r="BM8" s="19" t="s">
        <v>532</v>
      </c>
      <c r="BN8" s="19" t="s">
        <v>519</v>
      </c>
      <c r="BO8" s="19" t="s">
        <v>523</v>
      </c>
      <c r="BP8" s="18" t="s">
        <v>134</v>
      </c>
      <c r="BR8" s="73" t="s">
        <v>627</v>
      </c>
      <c r="BS8" s="73" t="s">
        <v>533</v>
      </c>
      <c r="BT8" s="73" t="s">
        <v>503</v>
      </c>
      <c r="BU8" s="73" t="s">
        <v>525</v>
      </c>
      <c r="BV8" s="73" t="s">
        <v>529</v>
      </c>
      <c r="BX8" t="s">
        <v>639</v>
      </c>
      <c r="BY8" t="s">
        <v>640</v>
      </c>
      <c r="BZ8" t="s">
        <v>641</v>
      </c>
      <c r="CA8" t="s">
        <v>642</v>
      </c>
      <c r="CB8" s="94" t="s">
        <v>645</v>
      </c>
      <c r="CC8" s="94" t="s">
        <v>1257</v>
      </c>
      <c r="CD8" s="94" t="s">
        <v>648</v>
      </c>
      <c r="CE8" s="88" t="s">
        <v>653</v>
      </c>
      <c r="CF8" s="88" t="s">
        <v>657</v>
      </c>
      <c r="CG8" s="88" t="s">
        <v>658</v>
      </c>
      <c r="CH8" s="87" t="s">
        <v>669</v>
      </c>
      <c r="CI8" s="89" t="s">
        <v>660</v>
      </c>
      <c r="CJ8" s="89" t="s">
        <v>662</v>
      </c>
      <c r="CK8" s="87" t="s">
        <v>663</v>
      </c>
      <c r="CL8" s="87" t="s">
        <v>1245</v>
      </c>
      <c r="CM8" t="s">
        <v>1247</v>
      </c>
    </row>
    <row r="9" spans="1:91" x14ac:dyDescent="0.25">
      <c r="A9" s="34" t="str" cm="1">
        <f t="array" ref="A9">IFERROR(VLOOKUP(D1_MAYO_2026[[#This Row],[ASESOR_CRR]],_xlfn._xlws.FILTER(PLANTILLA[[ASESOR]:[FECHA DE CESE]],PLANTILLA[FECHA]=_xlfn.CONCAT($M$3,"_",_xlfn.IFS($N$3="ENERO","1",$N$3="FEBRERO","2",$N$3="MARZO","3",$N$3="ABRIL","4",$N$3="MAYO","5",$N$3="JUNIO","6",$N$3="JULIO","7",$N$3="AGOSTO","8",$N$3="SETIEMBRE","9",$N$3="OCTUBRE","10",$N$3="NOVIEMBRE","11",$N$3="DICIEMBRE","12"))),3,0),"")</f>
        <v>JOHAN</v>
      </c>
      <c r="B9" s="34" t="str" cm="1">
        <f t="array" ref="B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JENY LAZARO</v>
      </c>
      <c r="C9" s="34" cm="1">
        <f t="array" ref="C9">_xlfn.XLOOKUP(1,(TablaMeta[CONCAT]=$M$3&amp;$N$3&amp;D1_MAYO_2026[[#This Row],[SUPER]])*(TablaMeta[SEGG]=D1_MAYO_2026[[#This Row],[SEGMENTO]]),TablaMeta[Meta_Asesor])</f>
        <v>29500</v>
      </c>
      <c r="D9" s="35">
        <f>IF(D1_MAYO_2026[[#This Row],[RECUPERO]]="VACACIONES","VACACIONES",IFERROR(D1_MAYO_2026[[#This Row],[RECUPERO]]/D1_MAYO_2026[[#This Row],[META]],""))</f>
        <v>0.66674576271186436</v>
      </c>
      <c r="E9" s="35" t="str">
        <f>D1_MAYO_2026[[#This Row],[SUPER]]</f>
        <v>JOHAN</v>
      </c>
      <c r="F9" s="34" t="s">
        <v>26</v>
      </c>
      <c r="G9" s="36">
        <v>19669</v>
      </c>
      <c r="H9" s="34" cm="1">
        <f t="array" ref="H9">IFERROR(VLOOKUP(D1_MAYO_2026[[#This Row],[ASESOR_CRR]],_xlfn._xlws.FILTER(PLANTILLA[[ASESOR]:[FECHA DE CESE]],PLANTILLA[FECHA]=_xlfn.CONCAT($M$3,"_",_xlfn.IFS($N$3="ENERO","1",$N$3="FEBRERO","2",$N$3="MARZO","3",$N$3="ABRIL","4",$N$3="MAYO","5",$N$3="JUNIO","6",$N$3="JULIO","7",$N$3="AGOSTO","8",$N$3="SETIEMBRE","9",$N$3="OCTUBRE","10",$N$3="NOVIEMBRE","11",$N$3="DICIEMBRE","12"))),2,0),"")</f>
        <v>41005089</v>
      </c>
      <c r="I9" s="60" cm="1">
        <f t="array" ref="I9">IFERROR(VLOOKUP(D1_MAYO_2026[[#This Row],[ASESOR_CRR]],_xlfn._xlws.FILTER(PLANTILLA[[ASESOR]:[FECHA DE CESE]],PLANTILLA[FECHA]=_xlfn.CONCAT($M$3,"_",_xlfn.IFS($N$3="ENERO","1",$N$3="FEBRERO","2",$N$3="MARZO","3",$N$3="ABRIL","4",$N$3="MAYO","5",$N$3="JUNIO","6",$N$3="JULIO","7",$N$3="AGOSTO","8",$N$3="SETIEMBRE","9",$N$3="OCTUBRE","10",$N$3="NOVIEMBRE","11",$N$3="DICIEMBRE","12"))),6,0),"")</f>
        <v>44257</v>
      </c>
      <c r="J9" s="60" t="str" cm="1">
        <f t="array" ref="J9">IFERROR(VLOOKUP(D1_MAYO_2026[[#This Row],[ASESOR_CRR]],_xlfn._xlws.FILTER(PLANTILLA[[ASESOR]:[FECHA DE CESE]],PLANTILLA[FECHA]=_xlfn.CONCAT($M$3,"_",_xlfn.IFS($N$3="ENERO","1",$N$3="FEBRERO","2",$N$3="MARZO","3",$N$3="ABRIL","4",$N$3="MAYO","5",$N$3="JUNIO","6",$N$3="JULIO","7",$N$3="AGOSTO","8",$N$3="SETIEMBRE","9",$N$3="OCTUBRE","10",$N$3="NOVIEMBRE","11",$N$3="DICIEMBRE","12"))),4,0),"")</f>
        <v>CALL</v>
      </c>
      <c r="K9" s="60" t="str" cm="1">
        <f t="array" ref="K9">IFERROR(VLOOKUP(D1_MAYO_2026[[#This Row],[ASESOR_CRR]],_xlfn._xlws.FILTER(PLANTILLA[[ASESOR]:[FECHA DE CESE]],PLANTILLA[FECHA]=_xlfn.CONCAT($M$3,"_",_xlfn.IFS($N$3="ENERO","1",$N$3="FEBRERO","2",$N$3="MARZO","3",$N$3="ABRIL","4",$N$3="MAYO","5",$N$3="JUNIO","6",$N$3="JULIO","7",$N$3="AGOSTO","8",$N$3="SETIEMBRE","9",$N$3="OCTUBRE","10",$N$3="NOVIEMBRE","11",$N$3="DICIEMBRE","12"))),8,0),"")</f>
        <v>S1</v>
      </c>
      <c r="L9" s="55"/>
      <c r="M9" s="5">
        <f>DATA_MAYO_2026[[#This Row],[RECUPERO]]/DATA_MAYO_2026[[#This Row],[META]]</f>
        <v>0.67123456790123459</v>
      </c>
      <c r="N9" s="5">
        <f>6-ROUNDUP(_xlfn.RANK.EQ(DATA_MAYO_2026[[#This Row],[AL_AC]],DATA_MAYO_2026[AL_AC],0)/(COUNTA(DATA_MAYO_2026[AL_AC])/5),0)</f>
        <v>5</v>
      </c>
      <c r="O9" s="54" t="str">
        <f>IFERROR(VLOOKUP(DATA_MAYO_2026[[#This Row],[ASER_]],$B:$G,4,0),"")</f>
        <v>KENNETH</v>
      </c>
      <c r="P9" s="6">
        <f>VLOOKUP(DATA_MAYO_2026[[#This Row],[ASER_]],D1_MAYO_2026[[ASESOR_CRR]:[RECUPERO]],6,0)</f>
        <v>27185</v>
      </c>
      <c r="Q9" s="6">
        <f>VLOOKUP(DATA_MAYO_2026[[#This Row],[ASER_]],D1_MAYO_2026[[ASESOR_CRR]:[META]],2,0)</f>
        <v>40500</v>
      </c>
      <c r="R9" t="s">
        <v>31</v>
      </c>
      <c r="S9">
        <v>1000</v>
      </c>
      <c r="T9">
        <v>80</v>
      </c>
      <c r="U9">
        <v>0</v>
      </c>
      <c r="V9">
        <v>9000</v>
      </c>
      <c r="W9">
        <v>0</v>
      </c>
      <c r="X9">
        <v>1000</v>
      </c>
      <c r="Y9">
        <v>0</v>
      </c>
      <c r="Z9">
        <v>0</v>
      </c>
      <c r="AA9">
        <v>0</v>
      </c>
      <c r="AB9">
        <v>3450</v>
      </c>
      <c r="AC9">
        <v>6500</v>
      </c>
      <c r="AD9">
        <v>2200</v>
      </c>
      <c r="AE9">
        <v>0</v>
      </c>
      <c r="AF9">
        <v>3000</v>
      </c>
      <c r="AG9">
        <v>0</v>
      </c>
      <c r="AH9">
        <v>550</v>
      </c>
      <c r="AI9">
        <v>405</v>
      </c>
      <c r="AN9" s="54" t="str" cm="1">
        <f t="array" ref="AN9">IFERROR(VLOOKUP(DATA_MAYO_2026[[#This Row],[ASER_]],_xlfn._xlws.FILTER(PLANTILLA[[ASESOR]:[FECHA DE CESE]],PLANTILLA[FECHA]=_xlfn.CONCAT($M$3,"_",_xlfn.IFS($N$3="ENERO","1",$N$3="FEBRERO","2",$N$3="MARZO","3",$N$3="ABRIL","4",$N$3="MAYO","5",$N$3="JUNIO","6",$N$3="JULIO","7",$N$3="AGOSTO","8",$N$3="SETIEMBRE","9",$N$3="OCTUBRE","10",$N$3="NOVIEMBRE","11",$N$3="DICIEMBRE","12"))),8,0),"")</f>
        <v>S0</v>
      </c>
      <c r="AO9" s="54">
        <f>SUM(DATA_MAYO_2026[[#This Row],[15]:[30]])</f>
        <v>12655</v>
      </c>
      <c r="AQ9" s="10">
        <f>SUMIFS(TablaMeta[Meta_Equipo],TablaMeta[CONCAT],$M$3&amp;$N$3&amp;DITE_MAYO_2026[[#This Row],[SUPER]])</f>
        <v>554897</v>
      </c>
      <c r="AR9" s="10">
        <f>MAX(DITE_MAYO_2026[[#This Row],[SUPER]:[CARTERA]])</f>
        <v>315775.7</v>
      </c>
      <c r="AS9" s="16">
        <f>IFERROR(DITE_MAYO_2026[[#This Row],[RECUPERO SUPERVISOR]]/DITE_MAYO_2026[[#This Row],[META SUPER]],"")</f>
        <v>0.56907083656966972</v>
      </c>
      <c r="AT9" s="10" t="s">
        <v>3</v>
      </c>
      <c r="AU9" s="46">
        <v>9665</v>
      </c>
      <c r="AV9" s="46">
        <v>51987</v>
      </c>
      <c r="AW9" s="46">
        <v>62160</v>
      </c>
      <c r="AX9" s="46">
        <v>70560</v>
      </c>
      <c r="AY9" s="46">
        <v>82770</v>
      </c>
      <c r="AZ9" s="46">
        <v>98370</v>
      </c>
      <c r="BA9" s="46">
        <v>118370</v>
      </c>
      <c r="BB9" s="46">
        <v>124650</v>
      </c>
      <c r="BC9" s="46">
        <v>136637</v>
      </c>
      <c r="BD9" s="46">
        <v>161431</v>
      </c>
      <c r="BE9" s="46">
        <v>180806</v>
      </c>
      <c r="BF9" s="46">
        <v>206961</v>
      </c>
      <c r="BG9" s="46">
        <v>215841</v>
      </c>
      <c r="BH9" s="46">
        <v>234673</v>
      </c>
      <c r="BI9" s="46">
        <v>281312</v>
      </c>
      <c r="BJ9" s="46">
        <v>288841.7</v>
      </c>
      <c r="BK9" s="46">
        <v>315775.7</v>
      </c>
      <c r="BL9" s="46"/>
      <c r="BM9" s="46"/>
      <c r="BN9" s="46"/>
      <c r="BO9" s="46"/>
      <c r="BP9" s="10" t="str" cm="1">
        <f t="array" ref="BP9">IFERROR(VLOOKUP(DITE_MAYO_2026[[#This Row],[SUPER]],_xlfn._xlws.FILTER(PLANTILLA[[EQUIPO]:[FECHA DE CESE]],(PLANTILLA[FECHA]=_xlfn.CONCAT($M$3,"_",_xlfn.IFS($N$3="ENERO","1",$N$3="FEBRERO","2",$N$3="MARZO","3",$N$3="ABRIL","4",$N$3="MAYO","5",$N$3="JUNIO","6",$N$3="JULIO","7",$N$3="AGOSTO","8",$N$3="SETIEMBRE","9",$N$3="OCTUBRE","10",$N$3="NOVIEMBRE","11",$N$3="DICIEMBRE","12")))*(PLANTILLA[CONDICION]="SUPERVISOR")),6,0),"")</f>
        <v>S0</v>
      </c>
      <c r="BR9" t="s">
        <v>3</v>
      </c>
      <c r="BS9" t="s">
        <v>3</v>
      </c>
      <c r="BT9" t="s">
        <v>3</v>
      </c>
      <c r="BU9" t="s">
        <v>3</v>
      </c>
      <c r="BV9" t="s">
        <v>3</v>
      </c>
      <c r="BX9" s="45" t="s">
        <v>636</v>
      </c>
      <c r="BY9" s="45" t="s">
        <v>125</v>
      </c>
      <c r="BZ9" s="45" t="s">
        <v>109</v>
      </c>
      <c r="CA9" s="55">
        <v>46174</v>
      </c>
      <c r="CB9" s="1">
        <f>IF(IND_JUNIO_2026[[#This Row],[IND_CANTFalta]]=1,0,IF(1-(IND_JUNIO_2026[[#This Row],[IND_Tardanza Tiempo]]*100%/0.166666666666667)&lt;0,0,1-(IND_JUNIO_2026[[#This Row],[IND_Tardanza Tiempo]]*100%/0.166666666666667)))</f>
        <v>0.99777777777777776</v>
      </c>
      <c r="CC9" s="45"/>
      <c r="CD9" s="93">
        <v>3.7037037037037035E-4</v>
      </c>
      <c r="CE9">
        <v>26</v>
      </c>
      <c r="CF9">
        <v>6</v>
      </c>
      <c r="CG9" s="1">
        <f>IFERROR(IND_JUNIO_2026[[#This Row],[IND_PDP]]/IND_JUNIO_2026[[#This Row],[IND_CEF Unico]],"")</f>
        <v>0.23076923076923078</v>
      </c>
      <c r="CH9">
        <v>3052</v>
      </c>
      <c r="CJ9" s="1">
        <f>IFERROR(IND_JUNIO_2026[[#This Row],[IND_Recupero]]/IND_JUNIO_2026[[#This Row],[IND_MontoPDP]],"")</f>
        <v>0</v>
      </c>
      <c r="CK9" s="1" t="str">
        <f>IFERROR(IND_JUNIO_2026[[#This Row],[IND_MontoPDP]]/IND_JUNIO_2026[[#This Row],[DK]],"")</f>
        <v/>
      </c>
      <c r="CL9" t="s">
        <v>548</v>
      </c>
      <c r="CM9">
        <f>IFERROR(IND_JUNIO_2026[[#This Row],[IND_MontoPDP]]/IND_JUNIO_2026[[#This Row],[IND_PDP]],"")</f>
        <v>508.66666666666669</v>
      </c>
    </row>
    <row r="10" spans="1:91" x14ac:dyDescent="0.25">
      <c r="A10" s="34" t="str" cm="1">
        <f t="array" ref="A10">IFERROR(VLOOKUP(D1_MAYO_2026[[#This Row],[ASESOR_CRR]],_xlfn._xlws.FILTER(PLANTILLA[[ASESOR]:[FECHA DE CESE]],PLANTILLA[FECHA]=_xlfn.CONCAT($M$3,"_",_xlfn.IFS($N$3="ENERO","1",$N$3="FEBRERO","2",$N$3="MARZO","3",$N$3="ABRIL","4",$N$3="MAYO","5",$N$3="JUNIO","6",$N$3="JULIO","7",$N$3="AGOSTO","8",$N$3="SETIEMBRE","9",$N$3="OCTUBRE","10",$N$3="NOVIEMBRE","11",$N$3="DICIEMBRE","12"))),3,0),"")</f>
        <v>JOHAN</v>
      </c>
      <c r="B10" s="34" t="str" cm="1">
        <f t="array" ref="B1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GENESIS VICUNA</v>
      </c>
      <c r="C10" s="34" cm="1">
        <f t="array" ref="C10">_xlfn.XLOOKUP(1,(TablaMeta[CONCAT]=$M$3&amp;$N$3&amp;D1_MAYO_2026[[#This Row],[SUPER]])*(TablaMeta[SEGG]=D1_MAYO_2026[[#This Row],[SEGMENTO]]),TablaMeta[Meta_Asesor])</f>
        <v>29500</v>
      </c>
      <c r="D10" s="35">
        <f>IF(D1_MAYO_2026[[#This Row],[RECUPERO]]="VACACIONES","VACACIONES",IFERROR(D1_MAYO_2026[[#This Row],[RECUPERO]]/D1_MAYO_2026[[#This Row],[META]],""))</f>
        <v>0.49064406779661018</v>
      </c>
      <c r="E10" s="35" t="str">
        <f>D1_MAYO_2026[[#This Row],[SUPER]]</f>
        <v>JOHAN</v>
      </c>
      <c r="F10" t="s">
        <v>12</v>
      </c>
      <c r="G10" s="3">
        <v>14474</v>
      </c>
      <c r="H10" cm="1">
        <f t="array" ref="H10">IFERROR(VLOOKUP(D1_MAYO_2026[[#This Row],[ASESOR_CRR]],_xlfn._xlws.FILTER(PLANTILLA[[ASESOR]:[FECHA DE CESE]],PLANTILLA[FECHA]=_xlfn.CONCAT($M$3,"_",_xlfn.IFS($N$3="ENERO","1",$N$3="FEBRERO","2",$N$3="MARZO","3",$N$3="ABRIL","4",$N$3="MAYO","5",$N$3="JUNIO","6",$N$3="JULIO","7",$N$3="AGOSTO","8",$N$3="SETIEMBRE","9",$N$3="OCTUBRE","10",$N$3="NOVIEMBRE","11",$N$3="DICIEMBRE","12"))),2,0),"")</f>
        <v>45262585</v>
      </c>
      <c r="I10" s="55" cm="1">
        <f t="array" ref="I10">IFERROR(VLOOKUP(D1_MAYO_2026[[#This Row],[ASESOR_CRR]],_xlfn._xlws.FILTER(PLANTILLA[[ASESOR]:[FECHA DE CESE]],PLANTILLA[FECHA]=_xlfn.CONCAT($M$3,"_",_xlfn.IFS($N$3="ENERO","1",$N$3="FEBRERO","2",$N$3="MARZO","3",$N$3="ABRIL","4",$N$3="MAYO","5",$N$3="JUNIO","6",$N$3="JULIO","7",$N$3="AGOSTO","8",$N$3="SETIEMBRE","9",$N$3="OCTUBRE","10",$N$3="NOVIEMBRE","11",$N$3="DICIEMBRE","12"))),6,0),"")</f>
        <v>44868</v>
      </c>
      <c r="J10" s="55" t="str" cm="1">
        <f t="array" ref="J10">IFERROR(VLOOKUP(D1_MAYO_2026[[#This Row],[ASESOR_CRR]],_xlfn._xlws.FILTER(PLANTILLA[[ASESOR]:[FECHA DE CESE]],PLANTILLA[FECHA]=_xlfn.CONCAT($M$3,"_",_xlfn.IFS($N$3="ENERO","1",$N$3="FEBRERO","2",$N$3="MARZO","3",$N$3="ABRIL","4",$N$3="MAYO","5",$N$3="JUNIO","6",$N$3="JULIO","7",$N$3="AGOSTO","8",$N$3="SETIEMBRE","9",$N$3="OCTUBRE","10",$N$3="NOVIEMBRE","11",$N$3="DICIEMBRE","12"))),4,0),"")</f>
        <v>CALL</v>
      </c>
      <c r="K10" s="60" t="str" cm="1">
        <f t="array" ref="K10">IFERROR(VLOOKUP(D1_MAYO_2026[[#This Row],[ASESOR_CRR]],_xlfn._xlws.FILTER(PLANTILLA[[ASESOR]:[FECHA DE CESE]],PLANTILLA[FECHA]=_xlfn.CONCAT($M$3,"_",_xlfn.IFS($N$3="ENERO","1",$N$3="FEBRERO","2",$N$3="MARZO","3",$N$3="ABRIL","4",$N$3="MAYO","5",$N$3="JUNIO","6",$N$3="JULIO","7",$N$3="AGOSTO","8",$N$3="SETIEMBRE","9",$N$3="OCTUBRE","10",$N$3="NOVIEMBRE","11",$N$3="DICIEMBRE","12"))),8,0),"")</f>
        <v>S1</v>
      </c>
      <c r="L10" s="55"/>
      <c r="M10" s="5">
        <f>DATA_MAYO_2026[[#This Row],[RECUPERO]]/DATA_MAYO_2026[[#This Row],[META]]</f>
        <v>0.36901234567901237</v>
      </c>
      <c r="N10" s="5">
        <f>6-ROUNDUP(_xlfn.RANK.EQ(DATA_MAYO_2026[[#This Row],[AL_AC]],DATA_MAYO_2026[AL_AC],0)/(COUNTA(DATA_MAYO_2026[AL_AC])/5),0)</f>
        <v>2</v>
      </c>
      <c r="O10" s="54" t="str">
        <f>IFERROR(VLOOKUP(DATA_MAYO_2026[[#This Row],[ASER_]],$B:$G,4,0),"")</f>
        <v>KENNETH</v>
      </c>
      <c r="P10" s="6">
        <f>VLOOKUP(DATA_MAYO_2026[[#This Row],[ASER_]],D1_MAYO_2026[[ASESOR_CRR]:[RECUPERO]],6,0)</f>
        <v>14945</v>
      </c>
      <c r="Q10" s="6">
        <f>VLOOKUP(DATA_MAYO_2026[[#This Row],[ASER_]],D1_MAYO_2026[[ASESOR_CRR]:[META]],2,0)</f>
        <v>40500</v>
      </c>
      <c r="R10" t="s">
        <v>38</v>
      </c>
      <c r="S10">
        <v>0</v>
      </c>
      <c r="T10">
        <v>0</v>
      </c>
      <c r="U10">
        <v>0</v>
      </c>
      <c r="V10">
        <v>580</v>
      </c>
      <c r="W10">
        <v>100</v>
      </c>
      <c r="X10">
        <v>1600</v>
      </c>
      <c r="Y10">
        <v>1500</v>
      </c>
      <c r="Z10">
        <v>0</v>
      </c>
      <c r="AA10">
        <v>0</v>
      </c>
      <c r="AB10">
        <v>0</v>
      </c>
      <c r="AC10">
        <v>1925</v>
      </c>
      <c r="AD10">
        <v>0</v>
      </c>
      <c r="AE10">
        <v>800</v>
      </c>
      <c r="AF10">
        <v>6440</v>
      </c>
      <c r="AG10">
        <v>0</v>
      </c>
      <c r="AH10">
        <v>2000</v>
      </c>
      <c r="AI10">
        <v>0</v>
      </c>
      <c r="AN10" s="54" t="str" cm="1">
        <f t="array" ref="AN10">IFERROR(VLOOKUP(DATA_MAYO_2026[[#This Row],[ASER_]],_xlfn._xlws.FILTER(PLANTILLA[[ASESOR]:[FECHA DE CESE]],PLANTILLA[FECHA]=_xlfn.CONCAT($M$3,"_",_xlfn.IFS($N$3="ENERO","1",$N$3="FEBRERO","2",$N$3="MARZO","3",$N$3="ABRIL","4",$N$3="MAYO","5",$N$3="JUNIO","6",$N$3="JULIO","7",$N$3="AGOSTO","8",$N$3="SETIEMBRE","9",$N$3="OCTUBRE","10",$N$3="NOVIEMBRE","11",$N$3="DICIEMBRE","12"))),8,0),"")</f>
        <v>S0</v>
      </c>
      <c r="AO10" s="54">
        <f>SUM(DATA_MAYO_2026[[#This Row],[15]:[30]])</f>
        <v>11165</v>
      </c>
      <c r="AQ10" s="11">
        <f>SUMIFS(TablaMeta[Meta_Equipo],TablaMeta[CONCAT],$M$3&amp;$N$3&amp;DITE_MAYO_2026[[#This Row],[SUPER]])</f>
        <v>320861</v>
      </c>
      <c r="AR10" s="11">
        <f>MAX(DITE_MAYO_2026[[#This Row],[SUPER]:[CARTERA]])</f>
        <v>231967</v>
      </c>
      <c r="AS10" s="17">
        <f>IFERROR(DITE_MAYO_2026[[#This Row],[RECUPERO SUPERVISOR]]/DITE_MAYO_2026[[#This Row],[META SUPER]],"")</f>
        <v>0.72295168312758484</v>
      </c>
      <c r="AT10" s="11" t="s">
        <v>6</v>
      </c>
      <c r="AU10" s="46">
        <v>4425</v>
      </c>
      <c r="AV10" s="46">
        <v>26245</v>
      </c>
      <c r="AW10" s="46">
        <v>31740</v>
      </c>
      <c r="AX10" s="46">
        <v>47020</v>
      </c>
      <c r="AY10" s="46">
        <v>60150</v>
      </c>
      <c r="AZ10" s="46">
        <v>89750</v>
      </c>
      <c r="BA10" s="46">
        <v>93700</v>
      </c>
      <c r="BB10" s="46">
        <v>97595</v>
      </c>
      <c r="BC10" s="46">
        <v>100295</v>
      </c>
      <c r="BD10" s="46">
        <v>126245</v>
      </c>
      <c r="BE10" s="46">
        <v>160690</v>
      </c>
      <c r="BF10" s="46">
        <v>172540</v>
      </c>
      <c r="BG10" s="46">
        <v>184500</v>
      </c>
      <c r="BH10" s="46">
        <v>193940</v>
      </c>
      <c r="BI10" s="46">
        <v>217650</v>
      </c>
      <c r="BJ10" s="46">
        <v>225612</v>
      </c>
      <c r="BK10" s="46">
        <v>231967</v>
      </c>
      <c r="BL10" s="46"/>
      <c r="BM10" s="46"/>
      <c r="BN10" s="46"/>
      <c r="BO10" s="46"/>
      <c r="BP10" s="11" t="str" cm="1">
        <f t="array" ref="BP10">IFERROR(VLOOKUP(DITE_MAYO_2026[[#This Row],[SUPER]],_xlfn._xlws.FILTER(PLANTILLA[[EQUIPO]:[FECHA DE CESE]],(PLANTILLA[FECHA]=_xlfn.CONCAT($M$3,"_",_xlfn.IFS($N$3="ENERO","1",$N$3="FEBRERO","2",$N$3="MARZO","3",$N$3="ABRIL","4",$N$3="MAYO","5",$N$3="JUNIO","6",$N$3="JULIO","7",$N$3="AGOSTO","8",$N$3="SETIEMBRE","9",$N$3="OCTUBRE","10",$N$3="NOVIEMBRE","11",$N$3="DICIEMBRE","12")))*(PLANTILLA[CONDICION]="SUPERVISOR")),6,0),"")</f>
        <v>S0</v>
      </c>
      <c r="BR10" t="s">
        <v>6</v>
      </c>
      <c r="BS10" t="s">
        <v>6</v>
      </c>
      <c r="BT10" t="s">
        <v>6</v>
      </c>
      <c r="BU10" t="s">
        <v>6</v>
      </c>
      <c r="BV10" t="s">
        <v>6</v>
      </c>
      <c r="BX10" s="45" t="s">
        <v>636</v>
      </c>
      <c r="BY10" s="45" t="s">
        <v>125</v>
      </c>
      <c r="BZ10" s="45" t="s">
        <v>109</v>
      </c>
      <c r="CA10" s="55">
        <v>46175</v>
      </c>
      <c r="CB10" s="1">
        <f>IF(IND_JUNIO_2026[[#This Row],[IND_CANTFalta]]=1,0,IF(1-(IND_JUNIO_2026[[#This Row],[IND_Tardanza Tiempo]]*100%/0.166666666666667)&lt;0,0,1-(IND_JUNIO_2026[[#This Row],[IND_Tardanza Tiempo]]*100%/0.166666666666667)))</f>
        <v>1</v>
      </c>
      <c r="CC10" s="45"/>
      <c r="CD10" s="93">
        <v>0</v>
      </c>
      <c r="CE10">
        <v>19</v>
      </c>
      <c r="CG10" s="1">
        <f>IFERROR(IND_JUNIO_2026[[#This Row],[IND_PDP]]/IND_JUNIO_2026[[#This Row],[IND_CEF Unico]],"")</f>
        <v>0</v>
      </c>
      <c r="CJ10" s="1" t="str">
        <f>IFERROR(IND_JUNIO_2026[[#This Row],[IND_Recupero]]/IND_JUNIO_2026[[#This Row],[IND_MontoPDP]],"")</f>
        <v/>
      </c>
      <c r="CK10" s="1" t="str">
        <f>IFERROR(IND_JUNIO_2026[[#This Row],[IND_MontoPDP]]/IND_JUNIO_2026[[#This Row],[DK]],"")</f>
        <v/>
      </c>
      <c r="CL10" t="s">
        <v>548</v>
      </c>
      <c r="CM10" t="str">
        <f>IFERROR(IND_JUNIO_2026[[#This Row],[IND_MontoPDP]]/IND_JUNIO_2026[[#This Row],[IND_PDP]],"")</f>
        <v/>
      </c>
    </row>
    <row r="11" spans="1:91" x14ac:dyDescent="0.25">
      <c r="A11" s="34" t="str" cm="1">
        <f t="array" ref="A11">IFERROR(VLOOKUP(D1_MAYO_2026[[#This Row],[ASESOR_CRR]],_xlfn._xlws.FILTER(PLANTILLA[[ASESOR]:[FECHA DE CESE]],PLANTILLA[FECHA]=_xlfn.CONCAT($M$3,"_",_xlfn.IFS($N$3="ENERO","1",$N$3="FEBRERO","2",$N$3="MARZO","3",$N$3="ABRIL","4",$N$3="MAYO","5",$N$3="JUNIO","6",$N$3="JULIO","7",$N$3="AGOSTO","8",$N$3="SETIEMBRE","9",$N$3="OCTUBRE","10",$N$3="NOVIEMBRE","11",$N$3="DICIEMBRE","12"))),3,0),"")</f>
        <v>JOHAN</v>
      </c>
      <c r="B11" s="34" t="str" cm="1">
        <f t="array" ref="B1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ERIKA PANTA</v>
      </c>
      <c r="C11" s="34" cm="1">
        <f t="array" ref="C11">_xlfn.XLOOKUP(1,(TablaMeta[CONCAT]=$M$3&amp;$N$3&amp;D1_MAYO_2026[[#This Row],[SUPER]])*(TablaMeta[SEGG]=D1_MAYO_2026[[#This Row],[SEGMENTO]]),TablaMeta[Meta_Asesor])</f>
        <v>29500</v>
      </c>
      <c r="D11" s="35">
        <f>IF(D1_MAYO_2026[[#This Row],[RECUPERO]]="VACACIONES","VACACIONES",IFERROR(D1_MAYO_2026[[#This Row],[RECUPERO]]/D1_MAYO_2026[[#This Row],[META]],""))</f>
        <v>0.46800000000000003</v>
      </c>
      <c r="E11" s="35" t="str">
        <f>D1_MAYO_2026[[#This Row],[SUPER]]</f>
        <v>JOHAN</v>
      </c>
      <c r="F11" t="s">
        <v>495</v>
      </c>
      <c r="G11" s="3">
        <v>13806</v>
      </c>
      <c r="H11" cm="1">
        <f t="array" ref="H11">IFERROR(VLOOKUP(D1_MAYO_2026[[#This Row],[ASESOR_CRR]],_xlfn._xlws.FILTER(PLANTILLA[[ASESOR]:[FECHA DE CESE]],PLANTILLA[FECHA]=_xlfn.CONCAT($M$3,"_",_xlfn.IFS($N$3="ENERO","1",$N$3="FEBRERO","2",$N$3="MARZO","3",$N$3="ABRIL","4",$N$3="MAYO","5",$N$3="JUNIO","6",$N$3="JULIO","7",$N$3="AGOSTO","8",$N$3="SETIEMBRE","9",$N$3="OCTUBRE","10",$N$3="NOVIEMBRE","11",$N$3="DICIEMBRE","12"))),2,0),"")</f>
        <v>62792399</v>
      </c>
      <c r="I11" s="55" cm="1">
        <f t="array" ref="I11">IFERROR(VLOOKUP(D1_MAYO_2026[[#This Row],[ASESOR_CRR]],_xlfn._xlws.FILTER(PLANTILLA[[ASESOR]:[FECHA DE CESE]],PLANTILLA[FECHA]=_xlfn.CONCAT($M$3,"_",_xlfn.IFS($N$3="ENERO","1",$N$3="FEBRERO","2",$N$3="MARZO","3",$N$3="ABRIL","4",$N$3="MAYO","5",$N$3="JUNIO","6",$N$3="JULIO","7",$N$3="AGOSTO","8",$N$3="SETIEMBRE","9",$N$3="OCTUBRE","10",$N$3="NOVIEMBRE","11",$N$3="DICIEMBRE","12"))),6,0),"")</f>
        <v>46052</v>
      </c>
      <c r="J11" s="55" t="str" cm="1">
        <f t="array" ref="J11">IFERROR(VLOOKUP(D1_MAYO_2026[[#This Row],[ASESOR_CRR]],_xlfn._xlws.FILTER(PLANTILLA[[ASESOR]:[FECHA DE CESE]],PLANTILLA[FECHA]=_xlfn.CONCAT($M$3,"_",_xlfn.IFS($N$3="ENERO","1",$N$3="FEBRERO","2",$N$3="MARZO","3",$N$3="ABRIL","4",$N$3="MAYO","5",$N$3="JUNIO","6",$N$3="JULIO","7",$N$3="AGOSTO","8",$N$3="SETIEMBRE","9",$N$3="OCTUBRE","10",$N$3="NOVIEMBRE","11",$N$3="DICIEMBRE","12"))),4,0),"")</f>
        <v>CALL</v>
      </c>
      <c r="K11" s="55" t="str" cm="1">
        <f t="array" ref="K11">IFERROR(VLOOKUP(D1_MAYO_2026[[#This Row],[ASESOR_CRR]],_xlfn._xlws.FILTER(PLANTILLA[[ASESOR]:[FECHA DE CESE]],PLANTILLA[FECHA]=_xlfn.CONCAT($M$3,"_",_xlfn.IFS($N$3="ENERO","1",$N$3="FEBRERO","2",$N$3="MARZO","3",$N$3="ABRIL","4",$N$3="MAYO","5",$N$3="JUNIO","6",$N$3="JULIO","7",$N$3="AGOSTO","8",$N$3="SETIEMBRE","9",$N$3="OCTUBRE","10",$N$3="NOVIEMBRE","11",$N$3="DICIEMBRE","12"))),8,0),"")</f>
        <v>S1</v>
      </c>
      <c r="L11" s="55"/>
      <c r="M11" s="5">
        <f>DATA_MAYO_2026[[#This Row],[RECUPERO]]/DATA_MAYO_2026[[#This Row],[META]]</f>
        <v>0.53950617283950619</v>
      </c>
      <c r="N11" s="5">
        <f>6-ROUNDUP(_xlfn.RANK.EQ(DATA_MAYO_2026[[#This Row],[AL_AC]],DATA_MAYO_2026[AL_AC],0)/(COUNTA(DATA_MAYO_2026[AL_AC])/5),0)</f>
        <v>4</v>
      </c>
      <c r="O11" s="54" t="str">
        <f>IFERROR(VLOOKUP(DATA_MAYO_2026[[#This Row],[ASER_]],$B:$G,4,0),"")</f>
        <v>KENNETH</v>
      </c>
      <c r="P11" s="6">
        <f>VLOOKUP(DATA_MAYO_2026[[#This Row],[ASER_]],D1_MAYO_2026[[ASESOR_CRR]:[RECUPERO]],6,0)</f>
        <v>21850</v>
      </c>
      <c r="Q11" s="6">
        <f>VLOOKUP(DATA_MAYO_2026[[#This Row],[ASER_]],D1_MAYO_2026[[ASESOR_CRR]:[META]],2,0)</f>
        <v>40500</v>
      </c>
      <c r="R11" t="s">
        <v>35</v>
      </c>
      <c r="S11" s="47">
        <v>700</v>
      </c>
      <c r="T11">
        <v>2240</v>
      </c>
      <c r="U11">
        <v>0</v>
      </c>
      <c r="V11">
        <v>3000</v>
      </c>
      <c r="W11">
        <v>0</v>
      </c>
      <c r="X11">
        <v>800</v>
      </c>
      <c r="Y11">
        <v>1160</v>
      </c>
      <c r="Z11">
        <v>300</v>
      </c>
      <c r="AA11">
        <v>1000</v>
      </c>
      <c r="AB11">
        <v>450</v>
      </c>
      <c r="AC11">
        <v>6200</v>
      </c>
      <c r="AD11">
        <v>0</v>
      </c>
      <c r="AE11">
        <v>0</v>
      </c>
      <c r="AF11">
        <v>0</v>
      </c>
      <c r="AG11">
        <v>2000</v>
      </c>
      <c r="AH11">
        <v>4000</v>
      </c>
      <c r="AI11">
        <v>0</v>
      </c>
      <c r="AN11" s="54" t="str" cm="1">
        <f t="array" ref="AN11">IFERROR(VLOOKUP(DATA_MAYO_2026[[#This Row],[ASER_]],_xlfn._xlws.FILTER(PLANTILLA[[ASESOR]:[FECHA DE CESE]],PLANTILLA[FECHA]=_xlfn.CONCAT($M$3,"_",_xlfn.IFS($N$3="ENERO","1",$N$3="FEBRERO","2",$N$3="MARZO","3",$N$3="ABRIL","4",$N$3="MAYO","5",$N$3="JUNIO","6",$N$3="JULIO","7",$N$3="AGOSTO","8",$N$3="SETIEMBRE","9",$N$3="OCTUBRE","10",$N$3="NOVIEMBRE","11",$N$3="DICIEMBRE","12"))),8,0),"")</f>
        <v>S0</v>
      </c>
      <c r="AO11" s="54">
        <f>SUM(DATA_MAYO_2026[[#This Row],[15]:[30]])</f>
        <v>12200</v>
      </c>
      <c r="AQ11" s="10">
        <f>SUMIFS(TablaMeta[Meta_Equipo],TablaMeta[CONCAT],$M$3&amp;$N$3&amp;DITE_MAYO_2026[[#This Row],[SUPER]])</f>
        <v>488587.593661436</v>
      </c>
      <c r="AR11" s="10">
        <f>MAX(DITE_MAYO_2026[[#This Row],[SUPER]:[CARTERA]])</f>
        <v>209899</v>
      </c>
      <c r="AS11" s="16">
        <f>IFERROR(DITE_MAYO_2026[[#This Row],[RECUPERO SUPERVISOR]]/DITE_MAYO_2026[[#This Row],[META SUPER]],"")</f>
        <v>0.42960362220218046</v>
      </c>
      <c r="AT11" s="10" t="s">
        <v>2</v>
      </c>
      <c r="AU11" s="46">
        <v>5000</v>
      </c>
      <c r="AV11" s="46">
        <v>19034</v>
      </c>
      <c r="AW11" s="46">
        <v>31288</v>
      </c>
      <c r="AX11" s="46">
        <v>41953</v>
      </c>
      <c r="AY11" s="46">
        <v>49298</v>
      </c>
      <c r="AZ11" s="46">
        <v>54568</v>
      </c>
      <c r="BA11" s="46">
        <v>56568</v>
      </c>
      <c r="BB11" s="46">
        <v>68568</v>
      </c>
      <c r="BC11" s="46">
        <v>70068</v>
      </c>
      <c r="BD11" s="46">
        <v>74876</v>
      </c>
      <c r="BE11" s="46">
        <v>83066</v>
      </c>
      <c r="BF11" s="46">
        <v>88267</v>
      </c>
      <c r="BG11" s="46">
        <v>135267</v>
      </c>
      <c r="BH11" s="46">
        <v>148747</v>
      </c>
      <c r="BI11" s="46">
        <v>161724</v>
      </c>
      <c r="BJ11" s="46">
        <v>189549</v>
      </c>
      <c r="BK11" s="46">
        <v>209899</v>
      </c>
      <c r="BL11" s="46"/>
      <c r="BM11" s="46"/>
      <c r="BN11" s="46"/>
      <c r="BO11" s="46"/>
      <c r="BP11" s="10" t="str" cm="1">
        <f t="array" ref="BP11">IFERROR(VLOOKUP(DITE_MAYO_2026[[#This Row],[SUPER]],_xlfn._xlws.FILTER(PLANTILLA[[EQUIPO]:[FECHA DE CESE]],(PLANTILLA[FECHA]=_xlfn.CONCAT($M$3,"_",_xlfn.IFS($N$3="ENERO","1",$N$3="FEBRERO","2",$N$3="MARZO","3",$N$3="ABRIL","4",$N$3="MAYO","5",$N$3="JUNIO","6",$N$3="JULIO","7",$N$3="AGOSTO","8",$N$3="SETIEMBRE","9",$N$3="OCTUBRE","10",$N$3="NOVIEMBRE","11",$N$3="DICIEMBRE","12")))*(PLANTILLA[CONDICION]="SUPERVISOR")),6,0),"")</f>
        <v>S1</v>
      </c>
      <c r="BR11" t="s">
        <v>2</v>
      </c>
      <c r="BS11" t="s">
        <v>2</v>
      </c>
      <c r="BT11" t="s">
        <v>2</v>
      </c>
      <c r="BU11" t="s">
        <v>2</v>
      </c>
      <c r="BV11" t="s">
        <v>2</v>
      </c>
      <c r="BX11" s="45" t="s">
        <v>636</v>
      </c>
      <c r="BY11" s="45" t="s">
        <v>125</v>
      </c>
      <c r="BZ11" s="45" t="s">
        <v>109</v>
      </c>
      <c r="CA11" s="55">
        <v>46176</v>
      </c>
      <c r="CB11" s="1">
        <f>IF(IND_JUNIO_2026[[#This Row],[IND_CANTFalta]]=1,0,IF(1-(IND_JUNIO_2026[[#This Row],[IND_Tardanza Tiempo]]*100%/0.166666666666667)&lt;0,0,1-(IND_JUNIO_2026[[#This Row],[IND_Tardanza Tiempo]]*100%/0.166666666666667)))</f>
        <v>0.99548611111111107</v>
      </c>
      <c r="CC11" s="45"/>
      <c r="CD11" s="93">
        <v>7.5231481481481482E-4</v>
      </c>
      <c r="CE11">
        <v>25</v>
      </c>
      <c r="CG11" s="1">
        <f>IFERROR(IND_JUNIO_2026[[#This Row],[IND_PDP]]/IND_JUNIO_2026[[#This Row],[IND_CEF Unico]],"")</f>
        <v>0</v>
      </c>
      <c r="CJ11" s="1" t="str">
        <f>IFERROR(IND_JUNIO_2026[[#This Row],[IND_Recupero]]/IND_JUNIO_2026[[#This Row],[IND_MontoPDP]],"")</f>
        <v/>
      </c>
      <c r="CK11" s="1" t="str">
        <f>IFERROR(IND_JUNIO_2026[[#This Row],[IND_MontoPDP]]/IND_JUNIO_2026[[#This Row],[DK]],"")</f>
        <v/>
      </c>
      <c r="CL11" t="s">
        <v>548</v>
      </c>
      <c r="CM11" t="str">
        <f>IFERROR(IND_JUNIO_2026[[#This Row],[IND_MontoPDP]]/IND_JUNIO_2026[[#This Row],[IND_PDP]],"")</f>
        <v/>
      </c>
    </row>
    <row r="12" spans="1:91" x14ac:dyDescent="0.25">
      <c r="A12" s="34" t="str" cm="1">
        <f t="array" ref="A12">IFERROR(VLOOKUP(D1_MAYO_2026[[#This Row],[ASESOR_CRR]],_xlfn._xlws.FILTER(PLANTILLA[[ASESOR]:[FECHA DE CESE]],PLANTILLA[FECHA]=_xlfn.CONCAT($M$3,"_",_xlfn.IFS($N$3="ENERO","1",$N$3="FEBRERO","2",$N$3="MARZO","3",$N$3="ABRIL","4",$N$3="MAYO","5",$N$3="JUNIO","6",$N$3="JULIO","7",$N$3="AGOSTO","8",$N$3="SETIEMBRE","9",$N$3="OCTUBRE","10",$N$3="NOVIEMBRE","11",$N$3="DICIEMBRE","12"))),3,0),"")</f>
        <v>JOHAN</v>
      </c>
      <c r="B12" s="34" t="str" cm="1">
        <f t="array" ref="B1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CRISTINA TICONA</v>
      </c>
      <c r="C12" s="34" cm="1">
        <f t="array" ref="C12">_xlfn.XLOOKUP(1,(TablaMeta[CONCAT]=$M$3&amp;$N$3&amp;D1_MAYO_2026[[#This Row],[SUPER]])*(TablaMeta[SEGG]=D1_MAYO_2026[[#This Row],[SEGMENTO]]),TablaMeta[Meta_Asesor])</f>
        <v>29500</v>
      </c>
      <c r="D12" s="35">
        <f>IF(D1_MAYO_2026[[#This Row],[RECUPERO]]="VACACIONES","VACACIONES",IFERROR(D1_MAYO_2026[[#This Row],[RECUPERO]]/D1_MAYO_2026[[#This Row],[META]],""))</f>
        <v>0.30671186440677967</v>
      </c>
      <c r="E12" s="35" t="str">
        <f>D1_MAYO_2026[[#This Row],[SUPER]]</f>
        <v>JOHAN</v>
      </c>
      <c r="F12" t="s">
        <v>61</v>
      </c>
      <c r="G12" s="3">
        <v>9048</v>
      </c>
      <c r="H12" cm="1">
        <f t="array" ref="H12">IFERROR(VLOOKUP(D1_MAYO_2026[[#This Row],[ASESOR_CRR]],_xlfn._xlws.FILTER(PLANTILLA[[ASESOR]:[FECHA DE CESE]],PLANTILLA[FECHA]=_xlfn.CONCAT($M$3,"_",_xlfn.IFS($N$3="ENERO","1",$N$3="FEBRERO","2",$N$3="MARZO","3",$N$3="ABRIL","4",$N$3="MAYO","5",$N$3="JUNIO","6",$N$3="JULIO","7",$N$3="AGOSTO","8",$N$3="SETIEMBRE","9",$N$3="OCTUBRE","10",$N$3="NOVIEMBRE","11",$N$3="DICIEMBRE","12"))),2,0),"")</f>
        <v>44001162</v>
      </c>
      <c r="I12" s="55" cm="1">
        <f t="array" ref="I12">IFERROR(VLOOKUP(D1_MAYO_2026[[#This Row],[ASESOR_CRR]],_xlfn._xlws.FILTER(PLANTILLA[[ASESOR]:[FECHA DE CESE]],PLANTILLA[FECHA]=_xlfn.CONCAT($M$3,"_",_xlfn.IFS($N$3="ENERO","1",$N$3="FEBRERO","2",$N$3="MARZO","3",$N$3="ABRIL","4",$N$3="MAYO","5",$N$3="JUNIO","6",$N$3="JULIO","7",$N$3="AGOSTO","8",$N$3="SETIEMBRE","9",$N$3="OCTUBRE","10",$N$3="NOVIEMBRE","11",$N$3="DICIEMBRE","12"))),6,0),"")</f>
        <v>44907</v>
      </c>
      <c r="J12" s="55" t="str" cm="1">
        <f t="array" ref="J12">IFERROR(VLOOKUP(D1_MAYO_2026[[#This Row],[ASESOR_CRR]],_xlfn._xlws.FILTER(PLANTILLA[[ASESOR]:[FECHA DE CESE]],PLANTILLA[FECHA]=_xlfn.CONCAT($M$3,"_",_xlfn.IFS($N$3="ENERO","1",$N$3="FEBRERO","2",$N$3="MARZO","3",$N$3="ABRIL","4",$N$3="MAYO","5",$N$3="JUNIO","6",$N$3="JULIO","7",$N$3="AGOSTO","8",$N$3="SETIEMBRE","9",$N$3="OCTUBRE","10",$N$3="NOVIEMBRE","11",$N$3="DICIEMBRE","12"))),4,0),"")</f>
        <v>CALL</v>
      </c>
      <c r="K12" s="55" t="str" cm="1">
        <f t="array" ref="K12">IFERROR(VLOOKUP(D1_MAYO_2026[[#This Row],[ASESOR_CRR]],_xlfn._xlws.FILTER(PLANTILLA[[ASESOR]:[FECHA DE CESE]],PLANTILLA[FECHA]=_xlfn.CONCAT($M$3,"_",_xlfn.IFS($N$3="ENERO","1",$N$3="FEBRERO","2",$N$3="MARZO","3",$N$3="ABRIL","4",$N$3="MAYO","5",$N$3="JUNIO","6",$N$3="JULIO","7",$N$3="AGOSTO","8",$N$3="SETIEMBRE","9",$N$3="OCTUBRE","10",$N$3="NOVIEMBRE","11",$N$3="DICIEMBRE","12"))),8,0),"")</f>
        <v>S1</v>
      </c>
      <c r="L12" s="55"/>
      <c r="M12" s="5">
        <f>DATA_MAYO_2026[[#This Row],[RECUPERO]]/DATA_MAYO_2026[[#This Row],[META]]</f>
        <v>1.2734567901234568</v>
      </c>
      <c r="N12" s="5">
        <f>6-ROUNDUP(_xlfn.RANK.EQ(DATA_MAYO_2026[[#This Row],[AL_AC]],DATA_MAYO_2026[AL_AC],0)/(COUNTA(DATA_MAYO_2026[AL_AC])/5),0)</f>
        <v>5</v>
      </c>
      <c r="O12" s="54" t="str">
        <f>IFERROR(VLOOKUP(DATA_MAYO_2026[[#This Row],[ASER_]],$B:$G,4,0),"")</f>
        <v>KENNETH</v>
      </c>
      <c r="P12" s="6">
        <f>VLOOKUP(DATA_MAYO_2026[[#This Row],[ASER_]],D1_MAYO_2026[[ASESOR_CRR]:[RECUPERO]],6,0)</f>
        <v>51575</v>
      </c>
      <c r="Q12" s="6">
        <f>VLOOKUP(DATA_MAYO_2026[[#This Row],[ASER_]],D1_MAYO_2026[[ASESOR_CRR]:[META]],2,0)</f>
        <v>40500</v>
      </c>
      <c r="R12" t="s">
        <v>97</v>
      </c>
      <c r="S12" s="47">
        <v>2725</v>
      </c>
      <c r="T12">
        <v>5000</v>
      </c>
      <c r="U12">
        <v>4285</v>
      </c>
      <c r="V12">
        <v>0</v>
      </c>
      <c r="W12">
        <v>480</v>
      </c>
      <c r="X12">
        <v>0</v>
      </c>
      <c r="Y12" s="45">
        <v>890</v>
      </c>
      <c r="Z12">
        <v>2800</v>
      </c>
      <c r="AA12">
        <v>900</v>
      </c>
      <c r="AB12">
        <v>9000</v>
      </c>
      <c r="AC12">
        <v>4420</v>
      </c>
      <c r="AD12">
        <v>8020</v>
      </c>
      <c r="AE12">
        <v>5160</v>
      </c>
      <c r="AF12">
        <v>0</v>
      </c>
      <c r="AG12">
        <v>4345</v>
      </c>
      <c r="AH12">
        <v>400</v>
      </c>
      <c r="AI12">
        <v>3150</v>
      </c>
      <c r="AN12" s="54" t="str" cm="1">
        <f t="array" ref="AN12">IFERROR(VLOOKUP(DATA_MAYO_2026[[#This Row],[ASER_]],_xlfn._xlws.FILTER(PLANTILLA[[ASESOR]:[FECHA DE CESE]],PLANTILLA[FECHA]=_xlfn.CONCAT($M$3,"_",_xlfn.IFS($N$3="ENERO","1",$N$3="FEBRERO","2",$N$3="MARZO","3",$N$3="ABRIL","4",$N$3="MAYO","5",$N$3="JUNIO","6",$N$3="JULIO","7",$N$3="AGOSTO","8",$N$3="SETIEMBRE","9",$N$3="OCTUBRE","10",$N$3="NOVIEMBRE","11",$N$3="DICIEMBRE","12"))),8,0),"")</f>
        <v>S0</v>
      </c>
      <c r="AO12" s="54">
        <f>SUM(DATA_MAYO_2026[[#This Row],[15]:[30]])</f>
        <v>25495</v>
      </c>
      <c r="AQ12" s="11">
        <f>SUMIFS(TablaMeta[Meta_Equipo],TablaMeta[CONCAT],$M$3&amp;$N$3&amp;DITE_MAYO_2026[[#This Row],[SUPER]])</f>
        <v>292300</v>
      </c>
      <c r="AR12" s="11">
        <f>MAX(DITE_MAYO_2026[[#This Row],[SUPER]:[CARTERA]])</f>
        <v>140012</v>
      </c>
      <c r="AS12" s="17">
        <f>IFERROR(DITE_MAYO_2026[[#This Row],[RECUPERO SUPERVISOR]]/DITE_MAYO_2026[[#This Row],[META SUPER]],"")</f>
        <v>0.47900102634279851</v>
      </c>
      <c r="AT12" s="11" t="s">
        <v>125</v>
      </c>
      <c r="AU12" s="46">
        <v>2000</v>
      </c>
      <c r="AV12" s="46">
        <v>3100</v>
      </c>
      <c r="AW12" s="46">
        <v>11978</v>
      </c>
      <c r="AX12" s="46">
        <v>22667</v>
      </c>
      <c r="AY12" s="46">
        <v>37367</v>
      </c>
      <c r="AZ12" s="46">
        <v>57827</v>
      </c>
      <c r="BA12" s="46">
        <v>64827</v>
      </c>
      <c r="BB12" s="46">
        <v>69487</v>
      </c>
      <c r="BC12" s="46">
        <v>74943</v>
      </c>
      <c r="BD12" s="46">
        <v>84143</v>
      </c>
      <c r="BE12" s="46">
        <v>97161</v>
      </c>
      <c r="BF12" s="46">
        <v>100586</v>
      </c>
      <c r="BG12" s="46">
        <v>109866</v>
      </c>
      <c r="BH12" s="46">
        <v>115216</v>
      </c>
      <c r="BI12" s="46">
        <v>125696</v>
      </c>
      <c r="BJ12" s="46">
        <v>135012</v>
      </c>
      <c r="BK12" s="46">
        <v>140012</v>
      </c>
      <c r="BL12" s="46"/>
      <c r="BM12" s="46"/>
      <c r="BN12" s="46"/>
      <c r="BO12" s="46"/>
      <c r="BP12" s="11" t="s">
        <v>158</v>
      </c>
      <c r="BR12" t="s">
        <v>7</v>
      </c>
      <c r="BS12" t="s">
        <v>7</v>
      </c>
      <c r="BT12" t="s">
        <v>7</v>
      </c>
      <c r="BU12" t="s">
        <v>604</v>
      </c>
      <c r="BV12" t="s">
        <v>7</v>
      </c>
      <c r="BX12" s="45" t="s">
        <v>636</v>
      </c>
      <c r="BY12" s="45" t="s">
        <v>125</v>
      </c>
      <c r="BZ12" s="45" t="s">
        <v>41</v>
      </c>
      <c r="CA12" s="55">
        <v>46174</v>
      </c>
      <c r="CB12" s="1">
        <f>IF(IND_JUNIO_2026[[#This Row],[IND_CANTFalta]]=1,0,IF(1-(IND_JUNIO_2026[[#This Row],[IND_Tardanza Tiempo]]*100%/0.166666666666667)&lt;0,0,1-(IND_JUNIO_2026[[#This Row],[IND_Tardanza Tiempo]]*100%/0.166666666666667)))</f>
        <v>0.99750000000000005</v>
      </c>
      <c r="CC12" s="45"/>
      <c r="CD12" s="93">
        <v>4.1666666666666669E-4</v>
      </c>
      <c r="CE12">
        <v>19</v>
      </c>
      <c r="CF12">
        <v>1</v>
      </c>
      <c r="CG12" s="1">
        <f>IFERROR(IND_JUNIO_2026[[#This Row],[IND_PDP]]/IND_JUNIO_2026[[#This Row],[IND_CEF Unico]],"")</f>
        <v>5.2631578947368418E-2</v>
      </c>
      <c r="CH12">
        <v>6035</v>
      </c>
      <c r="CJ12" s="1">
        <f>IFERROR(IND_JUNIO_2026[[#This Row],[IND_Recupero]]/IND_JUNIO_2026[[#This Row],[IND_MontoPDP]],"")</f>
        <v>0</v>
      </c>
      <c r="CK12" s="1" t="str">
        <f>IFERROR(IND_JUNIO_2026[[#This Row],[IND_MontoPDP]]/IND_JUNIO_2026[[#This Row],[DK]],"")</f>
        <v/>
      </c>
      <c r="CL12" t="s">
        <v>548</v>
      </c>
      <c r="CM12">
        <f>IFERROR(IND_JUNIO_2026[[#This Row],[IND_MontoPDP]]/IND_JUNIO_2026[[#This Row],[IND_PDP]],"")</f>
        <v>6035</v>
      </c>
    </row>
    <row r="13" spans="1:91" x14ac:dyDescent="0.25">
      <c r="A13" s="34" t="str" cm="1">
        <f t="array" ref="A13">IFERROR(VLOOKUP(D1_MAYO_2026[[#This Row],[ASESOR_CRR]],_xlfn._xlws.FILTER(PLANTILLA[[ASESOR]:[FECHA DE CESE]],PLANTILLA[FECHA]=_xlfn.CONCAT($M$3,"_",_xlfn.IFS($N$3="ENERO","1",$N$3="FEBRERO","2",$N$3="MARZO","3",$N$3="ABRIL","4",$N$3="MAYO","5",$N$3="JUNIO","6",$N$3="JULIO","7",$N$3="AGOSTO","8",$N$3="SETIEMBRE","9",$N$3="OCTUBRE","10",$N$3="NOVIEMBRE","11",$N$3="DICIEMBRE","12"))),3,0),"")</f>
        <v>JOHAN</v>
      </c>
      <c r="B13" s="34" t="str" cm="1">
        <f t="array" ref="B1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JENY QUINONES</v>
      </c>
      <c r="C13" s="34" cm="1">
        <f t="array" ref="C13">_xlfn.XLOOKUP(1,(TablaMeta[CONCAT]=$M$3&amp;$N$3&amp;D1_MAYO_2026[[#This Row],[SUPER]])*(TablaMeta[SEGG]=D1_MAYO_2026[[#This Row],[SEGMENTO]]),TablaMeta[Meta_Asesor])</f>
        <v>29500</v>
      </c>
      <c r="D13" s="35">
        <f>IF(D1_MAYO_2026[[#This Row],[RECUPERO]]="VACACIONES","VACACIONES",IFERROR(D1_MAYO_2026[[#This Row],[RECUPERO]]/D1_MAYO_2026[[#This Row],[META]],""))</f>
        <v>0.27</v>
      </c>
      <c r="E13" s="35" t="str">
        <f>D1_MAYO_2026[[#This Row],[SUPER]]</f>
        <v>JOHAN</v>
      </c>
      <c r="F13" t="s">
        <v>638</v>
      </c>
      <c r="G13" s="3">
        <v>7965</v>
      </c>
      <c r="H13" cm="1">
        <f t="array" ref="H13">IFERROR(VLOOKUP(D1_MAYO_2026[[#This Row],[ASESOR_CRR]],_xlfn._xlws.FILTER(PLANTILLA[[ASESOR]:[FECHA DE CESE]],PLANTILLA[FECHA]=_xlfn.CONCAT($M$3,"_",_xlfn.IFS($N$3="ENERO","1",$N$3="FEBRERO","2",$N$3="MARZO","3",$N$3="ABRIL","4",$N$3="MAYO","5",$N$3="JUNIO","6",$N$3="JULIO","7",$N$3="AGOSTO","8",$N$3="SETIEMBRE","9",$N$3="OCTUBRE","10",$N$3="NOVIEMBRE","11",$N$3="DICIEMBRE","12"))),2,0),"")</f>
        <v>43184866</v>
      </c>
      <c r="I13" s="55" cm="1">
        <f t="array" ref="I13">IFERROR(VLOOKUP(D1_MAYO_2026[[#This Row],[ASESOR_CRR]],_xlfn._xlws.FILTER(PLANTILLA[[ASESOR]:[FECHA DE CESE]],PLANTILLA[FECHA]=_xlfn.CONCAT($M$3,"_",_xlfn.IFS($N$3="ENERO","1",$N$3="FEBRERO","2",$N$3="MARZO","3",$N$3="ABRIL","4",$N$3="MAYO","5",$N$3="JUNIO","6",$N$3="JULIO","7",$N$3="AGOSTO","8",$N$3="SETIEMBRE","9",$N$3="OCTUBRE","10",$N$3="NOVIEMBRE","11",$N$3="DICIEMBRE","12"))),6,0),"")</f>
        <v>46083</v>
      </c>
      <c r="J13" s="55" t="str" cm="1">
        <f t="array" ref="J13">IFERROR(VLOOKUP(D1_MAYO_2026[[#This Row],[ASESOR_CRR]],_xlfn._xlws.FILTER(PLANTILLA[[ASESOR]:[FECHA DE CESE]],PLANTILLA[FECHA]=_xlfn.CONCAT($M$3,"_",_xlfn.IFS($N$3="ENERO","1",$N$3="FEBRERO","2",$N$3="MARZO","3",$N$3="ABRIL","4",$N$3="MAYO","5",$N$3="JUNIO","6",$N$3="JULIO","7",$N$3="AGOSTO","8",$N$3="SETIEMBRE","9",$N$3="OCTUBRE","10",$N$3="NOVIEMBRE","11",$N$3="DICIEMBRE","12"))),4,0),"")</f>
        <v>CALL</v>
      </c>
      <c r="K13" s="55" t="str" cm="1">
        <f t="array" ref="K13">IFERROR(VLOOKUP(D1_MAYO_2026[[#This Row],[ASESOR_CRR]],_xlfn._xlws.FILTER(PLANTILLA[[ASESOR]:[FECHA DE CESE]],PLANTILLA[FECHA]=_xlfn.CONCAT($M$3,"_",_xlfn.IFS($N$3="ENERO","1",$N$3="FEBRERO","2",$N$3="MARZO","3",$N$3="ABRIL","4",$N$3="MAYO","5",$N$3="JUNIO","6",$N$3="JULIO","7",$N$3="AGOSTO","8",$N$3="SETIEMBRE","9",$N$3="OCTUBRE","10",$N$3="NOVIEMBRE","11",$N$3="DICIEMBRE","12"))),8,0),"")</f>
        <v>S1</v>
      </c>
      <c r="L13" s="55"/>
      <c r="M13" s="5">
        <f>DATA_MAYO_2026[[#This Row],[RECUPERO]]/DATA_MAYO_2026[[#This Row],[META]]</f>
        <v>0.33333333333333331</v>
      </c>
      <c r="N13" s="5">
        <f>6-ROUNDUP(_xlfn.RANK.EQ(DATA_MAYO_2026[[#This Row],[AL_AC]],DATA_MAYO_2026[AL_AC],0)/(COUNTA(DATA_MAYO_2026[AL_AC])/5),0)</f>
        <v>2</v>
      </c>
      <c r="O13" s="54" t="str">
        <f>IFERROR(VLOOKUP(DATA_MAYO_2026[[#This Row],[ASER_]],$B:$G,4,0),"")</f>
        <v>KENNETH</v>
      </c>
      <c r="P13" s="6">
        <f>VLOOKUP(DATA_MAYO_2026[[#This Row],[ASER_]],D1_MAYO_2026[[ASESOR_CRR]:[RECUPERO]],6,0)</f>
        <v>13500</v>
      </c>
      <c r="Q13" s="6">
        <f>VLOOKUP(DATA_MAYO_2026[[#This Row],[ASER_]],D1_MAYO_2026[[ASESOR_CRR]:[META]],2,0)</f>
        <v>40500</v>
      </c>
      <c r="R13" t="s">
        <v>105</v>
      </c>
      <c r="S13">
        <v>0</v>
      </c>
      <c r="T13">
        <v>4000</v>
      </c>
      <c r="U13">
        <v>0</v>
      </c>
      <c r="V13">
        <v>0</v>
      </c>
      <c r="W13">
        <v>3500</v>
      </c>
      <c r="X13">
        <v>500</v>
      </c>
      <c r="Y13">
        <v>0</v>
      </c>
      <c r="Z13">
        <v>0</v>
      </c>
      <c r="AA13">
        <v>0</v>
      </c>
      <c r="AB13">
        <v>0</v>
      </c>
      <c r="AC13">
        <v>5500</v>
      </c>
      <c r="AD13">
        <v>0</v>
      </c>
      <c r="AE13">
        <v>0</v>
      </c>
      <c r="AF13">
        <v>0</v>
      </c>
      <c r="AG13">
        <v>0</v>
      </c>
      <c r="AH13">
        <v>0</v>
      </c>
      <c r="AI13">
        <v>0</v>
      </c>
      <c r="AN13" s="54" t="str" cm="1">
        <f t="array" ref="AN13">IFERROR(VLOOKUP(DATA_MAYO_2026[[#This Row],[ASER_]],_xlfn._xlws.FILTER(PLANTILLA[[ASESOR]:[FECHA DE CESE]],PLANTILLA[FECHA]=_xlfn.CONCAT($M$3,"_",_xlfn.IFS($N$3="ENERO","1",$N$3="FEBRERO","2",$N$3="MARZO","3",$N$3="ABRIL","4",$N$3="MAYO","5",$N$3="JUNIO","6",$N$3="JULIO","7",$N$3="AGOSTO","8",$N$3="SETIEMBRE","9",$N$3="OCTUBRE","10",$N$3="NOVIEMBRE","11",$N$3="DICIEMBRE","12"))),8,0),"")</f>
        <v>S0</v>
      </c>
      <c r="AO13" s="54">
        <f>SUM(DATA_MAYO_2026[[#This Row],[15]:[30]])</f>
        <v>5500</v>
      </c>
      <c r="AQ13" s="10">
        <f>SUMIFS(TablaMeta[Meta_Equipo],TablaMeta[CONCAT],$M$3&amp;$N$3&amp;DITE_MAYO_2026[[#This Row],[SUPER]])</f>
        <v>143766</v>
      </c>
      <c r="AR13" s="10">
        <f>MAX(DITE_MAYO_2026[[#This Row],[SUPER]:[CARTERA]])</f>
        <v>61835</v>
      </c>
      <c r="AS13" s="16">
        <f>IFERROR(DITE_MAYO_2026[[#This Row],[RECUPERO SUPERVISOR]]/DITE_MAYO_2026[[#This Row],[META SUPER]],"")</f>
        <v>0.43010864877648403</v>
      </c>
      <c r="AT13" s="10" t="s">
        <v>7</v>
      </c>
      <c r="AU13" s="46">
        <v>1620</v>
      </c>
      <c r="AV13" s="46">
        <v>3473</v>
      </c>
      <c r="AW13" s="45">
        <v>5833</v>
      </c>
      <c r="AX13" s="46">
        <v>10538</v>
      </c>
      <c r="AY13" s="46">
        <v>11350</v>
      </c>
      <c r="AZ13" s="46">
        <v>13356</v>
      </c>
      <c r="BA13" s="46">
        <v>20516</v>
      </c>
      <c r="BB13" s="45">
        <v>25226</v>
      </c>
      <c r="BC13" s="46">
        <v>27116</v>
      </c>
      <c r="BD13" s="46">
        <v>35932</v>
      </c>
      <c r="BE13" s="46">
        <v>40956</v>
      </c>
      <c r="BF13" s="45">
        <v>47277</v>
      </c>
      <c r="BG13" s="46">
        <v>47927</v>
      </c>
      <c r="BH13" s="46">
        <v>50177</v>
      </c>
      <c r="BI13" s="46">
        <v>54417</v>
      </c>
      <c r="BJ13" s="46">
        <v>57945</v>
      </c>
      <c r="BK13" s="46">
        <v>61835</v>
      </c>
      <c r="BL13" s="46"/>
      <c r="BM13" s="46"/>
      <c r="BN13" s="46"/>
      <c r="BO13" s="46"/>
      <c r="BP13" s="10" t="str" cm="1">
        <f t="array" ref="BP13">IFERROR(VLOOKUP(DITE_MAYO_2026[[#This Row],[SUPER]],_xlfn._xlws.FILTER(PLANTILLA[[EQUIPO]:[FECHA DE CESE]],(PLANTILLA[FECHA]=_xlfn.CONCAT($M$3,"_",_xlfn.IFS($N$3="ENERO","1",$N$3="FEBRERO","2",$N$3="MARZO","3",$N$3="ABRIL","4",$N$3="MAYO","5",$N$3="JUNIO","6",$N$3="JULIO","7",$N$3="AGOSTO","8",$N$3="SETIEMBRE","9",$N$3="OCTUBRE","10",$N$3="NOVIEMBRE","11",$N$3="DICIEMBRE","12")))*(PLANTILLA[CONDICION]="SUPERVISOR")),6,0),"")</f>
        <v>S2</v>
      </c>
      <c r="BR13" t="s">
        <v>125</v>
      </c>
      <c r="BS13" t="s">
        <v>125</v>
      </c>
      <c r="BT13" t="s">
        <v>125</v>
      </c>
      <c r="BU13" t="s">
        <v>7</v>
      </c>
      <c r="BV13" t="s">
        <v>125</v>
      </c>
      <c r="BX13" s="45" t="s">
        <v>636</v>
      </c>
      <c r="BY13" s="45" t="s">
        <v>125</v>
      </c>
      <c r="BZ13" s="45" t="s">
        <v>41</v>
      </c>
      <c r="CA13" s="55">
        <v>46175</v>
      </c>
      <c r="CB13" s="1">
        <f>IF(IND_JUNIO_2026[[#This Row],[IND_CANTFalta]]=1,0,IF(1-(IND_JUNIO_2026[[#This Row],[IND_Tardanza Tiempo]]*100%/0.166666666666667)&lt;0,0,1-(IND_JUNIO_2026[[#This Row],[IND_Tardanza Tiempo]]*100%/0.166666666666667)))</f>
        <v>0.99854166666666666</v>
      </c>
      <c r="CC13" s="45"/>
      <c r="CD13" s="93">
        <v>2.4305555555555555E-4</v>
      </c>
      <c r="CE13">
        <v>18</v>
      </c>
      <c r="CG13" s="1">
        <f>IFERROR(IND_JUNIO_2026[[#This Row],[IND_PDP]]/IND_JUNIO_2026[[#This Row],[IND_CEF Unico]],"")</f>
        <v>0</v>
      </c>
      <c r="CJ13" s="1" t="str">
        <f>IFERROR(IND_JUNIO_2026[[#This Row],[IND_Recupero]]/IND_JUNIO_2026[[#This Row],[IND_MontoPDP]],"")</f>
        <v/>
      </c>
      <c r="CK13" s="1" t="str">
        <f>IFERROR(IND_JUNIO_2026[[#This Row],[IND_MontoPDP]]/IND_JUNIO_2026[[#This Row],[DK]],"")</f>
        <v/>
      </c>
      <c r="CL13" t="s">
        <v>548</v>
      </c>
      <c r="CM13" t="str">
        <f>IFERROR(IND_JUNIO_2026[[#This Row],[IND_MontoPDP]]/IND_JUNIO_2026[[#This Row],[IND_PDP]],"")</f>
        <v/>
      </c>
    </row>
    <row r="14" spans="1:91" x14ac:dyDescent="0.25">
      <c r="A14" s="34" t="str" cm="1">
        <f t="array" ref="A14">IFERROR(VLOOKUP(D1_MAYO_2026[[#This Row],[ASESOR_CRR]],_xlfn._xlws.FILTER(PLANTILLA[[ASESOR]:[FECHA DE CESE]],PLANTILLA[FECHA]=_xlfn.CONCAT($M$3,"_",_xlfn.IFS($N$3="ENERO","1",$N$3="FEBRERO","2",$N$3="MARZO","3",$N$3="ABRIL","4",$N$3="MAYO","5",$N$3="JUNIO","6",$N$3="JULIO","7",$N$3="AGOSTO","8",$N$3="SETIEMBRE","9",$N$3="OCTUBRE","10",$N$3="NOVIEMBRE","11",$N$3="DICIEMBRE","12"))),3,0),"")</f>
        <v>JOHAN</v>
      </c>
      <c r="B14" s="34" t="str" cm="1">
        <f t="array" ref="B1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ERIKA VILLAR</v>
      </c>
      <c r="C14" s="34" cm="1">
        <f t="array" ref="C14">_xlfn.XLOOKUP(1,(TablaMeta[CONCAT]=$M$3&amp;$N$3&amp;D1_MAYO_2026[[#This Row],[SUPER]])*(TablaMeta[SEGG]=D1_MAYO_2026[[#This Row],[SEGMENTO]]),TablaMeta[Meta_Asesor])</f>
        <v>29500</v>
      </c>
      <c r="D14" s="35">
        <f>IF(D1_MAYO_2026[[#This Row],[RECUPERO]]="VACACIONES","VACACIONES",IFERROR(D1_MAYO_2026[[#This Row],[RECUPERO]]/D1_MAYO_2026[[#This Row],[META]],""))</f>
        <v>0.23559322033898306</v>
      </c>
      <c r="E14" s="35" t="str">
        <f>D1_MAYO_2026[[#This Row],[SUPER]]</f>
        <v>JOHAN</v>
      </c>
      <c r="F14" t="s">
        <v>72</v>
      </c>
      <c r="G14" s="3">
        <v>6950</v>
      </c>
      <c r="H14" cm="1">
        <f t="array" ref="H14">IFERROR(VLOOKUP(D1_MAYO_2026[[#This Row],[ASESOR_CRR]],_xlfn._xlws.FILTER(PLANTILLA[[ASESOR]:[FECHA DE CESE]],PLANTILLA[FECHA]=_xlfn.CONCAT($M$3,"_",_xlfn.IFS($N$3="ENERO","1",$N$3="FEBRERO","2",$N$3="MARZO","3",$N$3="ABRIL","4",$N$3="MAYO","5",$N$3="JUNIO","6",$N$3="JULIO","7",$N$3="AGOSTO","8",$N$3="SETIEMBRE","9",$N$3="OCTUBRE","10",$N$3="NOVIEMBRE","11",$N$3="DICIEMBRE","12"))),2,0),"")</f>
        <v>47690367</v>
      </c>
      <c r="I14" s="55" cm="1">
        <f t="array" ref="I14">IFERROR(VLOOKUP(D1_MAYO_2026[[#This Row],[ASESOR_CRR]],_xlfn._xlws.FILTER(PLANTILLA[[ASESOR]:[FECHA DE CESE]],PLANTILLA[FECHA]=_xlfn.CONCAT($M$3,"_",_xlfn.IFS($N$3="ENERO","1",$N$3="FEBRERO","2",$N$3="MARZO","3",$N$3="ABRIL","4",$N$3="MAYO","5",$N$3="JUNIO","6",$N$3="JULIO","7",$N$3="AGOSTO","8",$N$3="SETIEMBRE","9",$N$3="OCTUBRE","10",$N$3="NOVIEMBRE","11",$N$3="DICIEMBRE","12"))),6,0),"")</f>
        <v>45691</v>
      </c>
      <c r="J14" s="55" t="str" cm="1">
        <f t="array" ref="J14">IFERROR(VLOOKUP(D1_MAYO_2026[[#This Row],[ASESOR_CRR]],_xlfn._xlws.FILTER(PLANTILLA[[ASESOR]:[FECHA DE CESE]],PLANTILLA[FECHA]=_xlfn.CONCAT($M$3,"_",_xlfn.IFS($N$3="ENERO","1",$N$3="FEBRERO","2",$N$3="MARZO","3",$N$3="ABRIL","4",$N$3="MAYO","5",$N$3="JUNIO","6",$N$3="JULIO","7",$N$3="AGOSTO","8",$N$3="SETIEMBRE","9",$N$3="OCTUBRE","10",$N$3="NOVIEMBRE","11",$N$3="DICIEMBRE","12"))),4,0),"")</f>
        <v>CALL</v>
      </c>
      <c r="K14" s="55" t="str" cm="1">
        <f t="array" ref="K14">IFERROR(VLOOKUP(D1_MAYO_2026[[#This Row],[ASESOR_CRR]],_xlfn._xlws.FILTER(PLANTILLA[[ASESOR]:[FECHA DE CESE]],PLANTILLA[FECHA]=_xlfn.CONCAT($M$3,"_",_xlfn.IFS($N$3="ENERO","1",$N$3="FEBRERO","2",$N$3="MARZO","3",$N$3="ABRIL","4",$N$3="MAYO","5",$N$3="JUNIO","6",$N$3="JULIO","7",$N$3="AGOSTO","8",$N$3="SETIEMBRE","9",$N$3="OCTUBRE","10",$N$3="NOVIEMBRE","11",$N$3="DICIEMBRE","12"))),8,0),"")</f>
        <v>S1</v>
      </c>
      <c r="L14" s="55"/>
      <c r="M14" s="5">
        <f>DATA_MAYO_2026[[#This Row],[RECUPERO]]/DATA_MAYO_2026[[#This Row],[META]]</f>
        <v>0.66609876543209878</v>
      </c>
      <c r="N14" s="5">
        <f>6-ROUNDUP(_xlfn.RANK.EQ(DATA_MAYO_2026[[#This Row],[AL_AC]],DATA_MAYO_2026[AL_AC],0)/(COUNTA(DATA_MAYO_2026[AL_AC])/5),0)</f>
        <v>4</v>
      </c>
      <c r="O14" s="54" t="str">
        <f>IFERROR(VLOOKUP(DATA_MAYO_2026[[#This Row],[ASER_]],$B:$G,4,0),"")</f>
        <v>KENNETH</v>
      </c>
      <c r="P14" s="6">
        <f>VLOOKUP(DATA_MAYO_2026[[#This Row],[ASER_]],D1_MAYO_2026[[ASESOR_CRR]:[RECUPERO]],6,0)</f>
        <v>26977</v>
      </c>
      <c r="Q14" s="6">
        <f>VLOOKUP(DATA_MAYO_2026[[#This Row],[ASER_]],D1_MAYO_2026[[ASESOR_CRR]:[META]],2,0)</f>
        <v>40500</v>
      </c>
      <c r="R14" t="s">
        <v>11</v>
      </c>
      <c r="S14" s="45">
        <v>0</v>
      </c>
      <c r="T14">
        <v>4500</v>
      </c>
      <c r="U14">
        <v>0</v>
      </c>
      <c r="V14">
        <v>2700</v>
      </c>
      <c r="W14">
        <v>0</v>
      </c>
      <c r="X14">
        <v>2500</v>
      </c>
      <c r="Y14">
        <v>0</v>
      </c>
      <c r="Z14">
        <v>500</v>
      </c>
      <c r="AA14">
        <v>800</v>
      </c>
      <c r="AB14">
        <v>2000</v>
      </c>
      <c r="AC14">
        <v>400</v>
      </c>
      <c r="AD14">
        <v>1000</v>
      </c>
      <c r="AE14">
        <v>0</v>
      </c>
      <c r="AF14">
        <v>0</v>
      </c>
      <c r="AG14">
        <v>12365</v>
      </c>
      <c r="AH14">
        <v>212</v>
      </c>
      <c r="AI14">
        <v>0</v>
      </c>
      <c r="AN14" s="54" t="str" cm="1">
        <f t="array" ref="AN14">IFERROR(VLOOKUP(DATA_MAYO_2026[[#This Row],[ASER_]],_xlfn._xlws.FILTER(PLANTILLA[[ASESOR]:[FECHA DE CESE]],PLANTILLA[FECHA]=_xlfn.CONCAT($M$3,"_",_xlfn.IFS($N$3="ENERO","1",$N$3="FEBRERO","2",$N$3="MARZO","3",$N$3="ABRIL","4",$N$3="MAYO","5",$N$3="JUNIO","6",$N$3="JULIO","7",$N$3="AGOSTO","8",$N$3="SETIEMBRE","9",$N$3="OCTUBRE","10",$N$3="NOVIEMBRE","11",$N$3="DICIEMBRE","12"))),8,0),"")</f>
        <v>S0</v>
      </c>
      <c r="AO14" s="54">
        <f>SUM(DATA_MAYO_2026[[#This Row],[15]:[30]])</f>
        <v>13977</v>
      </c>
      <c r="BX14" s="45" t="s">
        <v>636</v>
      </c>
      <c r="BY14" s="45" t="s">
        <v>125</v>
      </c>
      <c r="BZ14" s="45" t="s">
        <v>41</v>
      </c>
      <c r="CA14" s="55">
        <v>46176</v>
      </c>
      <c r="CB14" s="1">
        <f>IF(IND_JUNIO_2026[[#This Row],[IND_CANTFalta]]=1,0,IF(1-(IND_JUNIO_2026[[#This Row],[IND_Tardanza Tiempo]]*100%/0.166666666666667)&lt;0,0,1-(IND_JUNIO_2026[[#This Row],[IND_Tardanza Tiempo]]*100%/0.166666666666667)))</f>
        <v>0.99791666666666667</v>
      </c>
      <c r="CC14" s="45"/>
      <c r="CD14" s="93">
        <v>3.4722222222222224E-4</v>
      </c>
      <c r="CE14">
        <v>21</v>
      </c>
      <c r="CG14" s="1">
        <f>IFERROR(IND_JUNIO_2026[[#This Row],[IND_PDP]]/IND_JUNIO_2026[[#This Row],[IND_CEF Unico]],"")</f>
        <v>0</v>
      </c>
      <c r="CJ14" s="1" t="str">
        <f>IFERROR(IND_JUNIO_2026[[#This Row],[IND_Recupero]]/IND_JUNIO_2026[[#This Row],[IND_MontoPDP]],"")</f>
        <v/>
      </c>
      <c r="CK14" s="1" t="str">
        <f>IFERROR(IND_JUNIO_2026[[#This Row],[IND_MontoPDP]]/IND_JUNIO_2026[[#This Row],[DK]],"")</f>
        <v/>
      </c>
      <c r="CL14" t="s">
        <v>548</v>
      </c>
      <c r="CM14" t="str">
        <f>IFERROR(IND_JUNIO_2026[[#This Row],[IND_MontoPDP]]/IND_JUNIO_2026[[#This Row],[IND_PDP]],"")</f>
        <v/>
      </c>
    </row>
    <row r="15" spans="1:91" x14ac:dyDescent="0.25">
      <c r="A15" s="34" t="str" cm="1">
        <f t="array" ref="A15">IFERROR(VLOOKUP(D1_MAYO_2026[[#This Row],[ASESOR_CRR]],_xlfn._xlws.FILTER(PLANTILLA[[ASESOR]:[FECHA DE CESE]],PLANTILLA[FECHA]=_xlfn.CONCAT($M$3,"_",_xlfn.IFS($N$3="ENERO","1",$N$3="FEBRERO","2",$N$3="MARZO","3",$N$3="ABRIL","4",$N$3="MAYO","5",$N$3="JUNIO","6",$N$3="JULIO","7",$N$3="AGOSTO","8",$N$3="SETIEMBRE","9",$N$3="OCTUBRE","10",$N$3="NOVIEMBRE","11",$N$3="DICIEMBRE","12"))),3,0),"")</f>
        <v>JOHAN</v>
      </c>
      <c r="B15" s="34" t="str" cm="1">
        <f t="array" ref="B1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ALEJANDRO GONZALES</v>
      </c>
      <c r="C15" s="34" cm="1">
        <f t="array" ref="C15">_xlfn.XLOOKUP(1,(TablaMeta[CONCAT]=$M$3&amp;$N$3&amp;D1_MAYO_2026[[#This Row],[SUPER]])*(TablaMeta[SEGG]=D1_MAYO_2026[[#This Row],[SEGMENTO]]),TablaMeta[Meta_Asesor])</f>
        <v>29500</v>
      </c>
      <c r="D15" s="35">
        <f>IF(D1_MAYO_2026[[#This Row],[RECUPERO]]="VACACIONES","VACACIONES",IFERROR(D1_MAYO_2026[[#This Row],[RECUPERO]]/D1_MAYO_2026[[#This Row],[META]],""))</f>
        <v>0.20542372881355933</v>
      </c>
      <c r="E15" s="35" t="str">
        <f>D1_MAYO_2026[[#This Row],[SUPER]]</f>
        <v>JOHAN</v>
      </c>
      <c r="F15" t="s">
        <v>109</v>
      </c>
      <c r="G15" s="3">
        <v>6060</v>
      </c>
      <c r="H15" cm="1">
        <f t="array" ref="H15">IFERROR(VLOOKUP(D1_MAYO_2026[[#This Row],[ASESOR_CRR]],_xlfn._xlws.FILTER(PLANTILLA[[ASESOR]:[FECHA DE CESE]],PLANTILLA[FECHA]=_xlfn.CONCAT($M$3,"_",_xlfn.IFS($N$3="ENERO","1",$N$3="FEBRERO","2",$N$3="MARZO","3",$N$3="ABRIL","4",$N$3="MAYO","5",$N$3="JUNIO","6",$N$3="JULIO","7",$N$3="AGOSTO","8",$N$3="SETIEMBRE","9",$N$3="OCTUBRE","10",$N$3="NOVIEMBRE","11",$N$3="DICIEMBRE","12"))),2,0),"")</f>
        <v>74626735</v>
      </c>
      <c r="I15" s="55" cm="1">
        <f t="array" ref="I15">IFERROR(VLOOKUP(D1_MAYO_2026[[#This Row],[ASESOR_CRR]],_xlfn._xlws.FILTER(PLANTILLA[[ASESOR]:[FECHA DE CESE]],PLANTILLA[FECHA]=_xlfn.CONCAT($M$3,"_",_xlfn.IFS($N$3="ENERO","1",$N$3="FEBRERO","2",$N$3="MARZO","3",$N$3="ABRIL","4",$N$3="MAYO","5",$N$3="JUNIO","6",$N$3="JULIO","7",$N$3="AGOSTO","8",$N$3="SETIEMBRE","9",$N$3="OCTUBRE","10",$N$3="NOVIEMBRE","11",$N$3="DICIEMBRE","12"))),6,0),"")</f>
        <v>46024</v>
      </c>
      <c r="J15" s="55" t="str" cm="1">
        <f t="array" ref="J15">IFERROR(VLOOKUP(D1_MAYO_2026[[#This Row],[ASESOR_CRR]],_xlfn._xlws.FILTER(PLANTILLA[[ASESOR]:[FECHA DE CESE]],PLANTILLA[FECHA]=_xlfn.CONCAT($M$3,"_",_xlfn.IFS($N$3="ENERO","1",$N$3="FEBRERO","2",$N$3="MARZO","3",$N$3="ABRIL","4",$N$3="MAYO","5",$N$3="JUNIO","6",$N$3="JULIO","7",$N$3="AGOSTO","8",$N$3="SETIEMBRE","9",$N$3="OCTUBRE","10",$N$3="NOVIEMBRE","11",$N$3="DICIEMBRE","12"))),4,0),"")</f>
        <v>CALL</v>
      </c>
      <c r="K15" s="55" t="str" cm="1">
        <f t="array" ref="K15">IFERROR(VLOOKUP(D1_MAYO_2026[[#This Row],[ASESOR_CRR]],_xlfn._xlws.FILTER(PLANTILLA[[ASESOR]:[FECHA DE CESE]],PLANTILLA[FECHA]=_xlfn.CONCAT($M$3,"_",_xlfn.IFS($N$3="ENERO","1",$N$3="FEBRERO","2",$N$3="MARZO","3",$N$3="ABRIL","4",$N$3="MAYO","5",$N$3="JUNIO","6",$N$3="JULIO","7",$N$3="AGOSTO","8",$N$3="SETIEMBRE","9",$N$3="OCTUBRE","10",$N$3="NOVIEMBRE","11",$N$3="DICIEMBRE","12"))),8,0),"")</f>
        <v>S1</v>
      </c>
      <c r="L15" s="55"/>
      <c r="M15" s="5">
        <f>DATA_MAYO_2026[[#This Row],[RECUPERO]]/DATA_MAYO_2026[[#This Row],[META]]</f>
        <v>1.0377777777777777</v>
      </c>
      <c r="N15" s="5">
        <f>6-ROUNDUP(_xlfn.RANK.EQ(DATA_MAYO_2026[[#This Row],[AL_AC]],DATA_MAYO_2026[AL_AC],0)/(COUNTA(DATA_MAYO_2026[AL_AC])/5),0)</f>
        <v>5</v>
      </c>
      <c r="O15" s="54" t="str">
        <f>IFERROR(VLOOKUP(DATA_MAYO_2026[[#This Row],[ASER_]],$B:$G,4,0),"")</f>
        <v>KENNETH</v>
      </c>
      <c r="P15" s="6">
        <f>VLOOKUP(DATA_MAYO_2026[[#This Row],[ASER_]],D1_MAYO_2026[[ASESOR_CRR]:[RECUPERO]],6,0)</f>
        <v>42030</v>
      </c>
      <c r="Q15" s="6">
        <f>VLOOKUP(DATA_MAYO_2026[[#This Row],[ASER_]],D1_MAYO_2026[[ASESOR_CRR]:[META]],2,0)</f>
        <v>40500</v>
      </c>
      <c r="R15" t="s">
        <v>19</v>
      </c>
      <c r="S15">
        <v>0</v>
      </c>
      <c r="T15">
        <v>0</v>
      </c>
      <c r="U15">
        <v>300</v>
      </c>
      <c r="V15">
        <v>0</v>
      </c>
      <c r="W15">
        <v>300</v>
      </c>
      <c r="X15">
        <v>21000</v>
      </c>
      <c r="Y15">
        <v>400</v>
      </c>
      <c r="Z15">
        <v>0</v>
      </c>
      <c r="AA15">
        <v>0</v>
      </c>
      <c r="AB15">
        <v>0</v>
      </c>
      <c r="AC15">
        <v>9500</v>
      </c>
      <c r="AD15">
        <v>30</v>
      </c>
      <c r="AE15">
        <v>6000</v>
      </c>
      <c r="AF15">
        <v>0</v>
      </c>
      <c r="AG15">
        <v>4500</v>
      </c>
      <c r="AH15">
        <v>0</v>
      </c>
      <c r="AI15">
        <v>0</v>
      </c>
      <c r="AN15" s="54" t="str" cm="1">
        <f t="array" ref="AN15">IFERROR(VLOOKUP(DATA_MAYO_2026[[#This Row],[ASER_]],_xlfn._xlws.FILTER(PLANTILLA[[ASESOR]:[FECHA DE CESE]],PLANTILLA[FECHA]=_xlfn.CONCAT($M$3,"_",_xlfn.IFS($N$3="ENERO","1",$N$3="FEBRERO","2",$N$3="MARZO","3",$N$3="ABRIL","4",$N$3="MAYO","5",$N$3="JUNIO","6",$N$3="JULIO","7",$N$3="AGOSTO","8",$N$3="SETIEMBRE","9",$N$3="OCTUBRE","10",$N$3="NOVIEMBRE","11",$N$3="DICIEMBRE","12"))),8,0),"")</f>
        <v>S0</v>
      </c>
      <c r="AO15" s="54">
        <f>SUM(DATA_MAYO_2026[[#This Row],[15]:[30]])</f>
        <v>20030</v>
      </c>
      <c r="AZ15" s="45"/>
      <c r="BB15" s="45"/>
      <c r="BC15" s="45"/>
      <c r="BE15" s="45"/>
      <c r="BX15" s="45" t="s">
        <v>636</v>
      </c>
      <c r="BY15" s="45" t="s">
        <v>125</v>
      </c>
      <c r="BZ15" s="45" t="s">
        <v>61</v>
      </c>
      <c r="CA15" s="55">
        <v>46174</v>
      </c>
      <c r="CB15" s="1">
        <f>IF(IND_JUNIO_2026[[#This Row],[IND_CANTFalta]]=1,0,IF(1-(IND_JUNIO_2026[[#This Row],[IND_Tardanza Tiempo]]*100%/0.166666666666667)&lt;0,0,1-(IND_JUNIO_2026[[#This Row],[IND_Tardanza Tiempo]]*100%/0.166666666666667)))</f>
        <v>0.99875000000000003</v>
      </c>
      <c r="CC15" s="45"/>
      <c r="CD15" s="93">
        <v>2.0833333333333335E-4</v>
      </c>
      <c r="CE15">
        <v>36</v>
      </c>
      <c r="CF15">
        <v>7</v>
      </c>
      <c r="CG15" s="1">
        <f>IFERROR(IND_JUNIO_2026[[#This Row],[IND_PDP]]/IND_JUNIO_2026[[#This Row],[IND_CEF Unico]],"")</f>
        <v>0.19444444444444445</v>
      </c>
      <c r="CH15">
        <v>4965</v>
      </c>
      <c r="CI15">
        <v>438</v>
      </c>
      <c r="CJ15" s="1">
        <f>IFERROR(IND_JUNIO_2026[[#This Row],[IND_Recupero]]/IND_JUNIO_2026[[#This Row],[IND_MontoPDP]],"")</f>
        <v>8.821752265861027E-2</v>
      </c>
      <c r="CK15" s="1" t="str">
        <f>IFERROR(IND_JUNIO_2026[[#This Row],[IND_MontoPDP]]/IND_JUNIO_2026[[#This Row],[DK]],"")</f>
        <v/>
      </c>
      <c r="CL15" t="s">
        <v>548</v>
      </c>
      <c r="CM15">
        <f>IFERROR(IND_JUNIO_2026[[#This Row],[IND_MontoPDP]]/IND_JUNIO_2026[[#This Row],[IND_PDP]],"")</f>
        <v>709.28571428571433</v>
      </c>
    </row>
    <row r="16" spans="1:91" x14ac:dyDescent="0.25">
      <c r="A16" s="34" t="str" cm="1">
        <f t="array" ref="A16">IFERROR(VLOOKUP(D1_MAYO_2026[[#This Row],[ASESOR_CRR]],_xlfn._xlws.FILTER(PLANTILLA[[ASESOR]:[FECHA DE CESE]],PLANTILLA[FECHA]=_xlfn.CONCAT($M$3,"_",_xlfn.IFS($N$3="ENERO","1",$N$3="FEBRERO","2",$N$3="MARZO","3",$N$3="ABRIL","4",$N$3="MAYO","5",$N$3="JUNIO","6",$N$3="JULIO","7",$N$3="AGOSTO","8",$N$3="SETIEMBRE","9",$N$3="OCTUBRE","10",$N$3="NOVIEMBRE","11",$N$3="DICIEMBRE","12"))),3,0),"")</f>
        <v>JOHAN</v>
      </c>
      <c r="B16" s="34" t="str" cm="1">
        <f t="array" ref="B1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GERALDINE ARROYO</v>
      </c>
      <c r="C16" s="34" cm="1">
        <f t="array" ref="C16">_xlfn.XLOOKUP(1,(TablaMeta[CONCAT]=$M$3&amp;$N$3&amp;D1_MAYO_2026[[#This Row],[SUPER]])*(TablaMeta[SEGG]=D1_MAYO_2026[[#This Row],[SEGMENTO]]),TablaMeta[Meta_Asesor])</f>
        <v>29500</v>
      </c>
      <c r="D16" s="35">
        <f>IF(D1_MAYO_2026[[#This Row],[RECUPERO]]="VACACIONES","VACACIONES",IFERROR(D1_MAYO_2026[[#This Row],[RECUPERO]]/D1_MAYO_2026[[#This Row],[META]],""))</f>
        <v>4.0677966101694912E-2</v>
      </c>
      <c r="E16" s="35" t="str">
        <f>D1_MAYO_2026[[#This Row],[SUPER]]</f>
        <v>JOHAN</v>
      </c>
      <c r="F16" t="s">
        <v>51</v>
      </c>
      <c r="G16" s="3">
        <v>1200</v>
      </c>
      <c r="H16" cm="1">
        <f t="array" ref="H16">IFERROR(VLOOKUP(D1_MAYO_2026[[#This Row],[ASESOR_CRR]],_xlfn._xlws.FILTER(PLANTILLA[[ASESOR]:[FECHA DE CESE]],PLANTILLA[FECHA]=_xlfn.CONCAT($M$3,"_",_xlfn.IFS($N$3="ENERO","1",$N$3="FEBRERO","2",$N$3="MARZO","3",$N$3="ABRIL","4",$N$3="MAYO","5",$N$3="JUNIO","6",$N$3="JULIO","7",$N$3="AGOSTO","8",$N$3="SETIEMBRE","9",$N$3="OCTUBRE","10",$N$3="NOVIEMBRE","11",$N$3="DICIEMBRE","12"))),2,0),"")</f>
        <v>76089925</v>
      </c>
      <c r="I16" s="55" cm="1">
        <f t="array" ref="I16">IFERROR(VLOOKUP(D1_MAYO_2026[[#This Row],[ASESOR_CRR]],_xlfn._xlws.FILTER(PLANTILLA[[ASESOR]:[FECHA DE CESE]],PLANTILLA[FECHA]=_xlfn.CONCAT($M$3,"_",_xlfn.IFS($N$3="ENERO","1",$N$3="FEBRERO","2",$N$3="MARZO","3",$N$3="ABRIL","4",$N$3="MAYO","5",$N$3="JUNIO","6",$N$3="JULIO","7",$N$3="AGOSTO","8",$N$3="SETIEMBRE","9",$N$3="OCTUBRE","10",$N$3="NOVIEMBRE","11",$N$3="DICIEMBRE","12"))),6,0),"")</f>
        <v>45678</v>
      </c>
      <c r="J16" s="55" t="str" cm="1">
        <f t="array" ref="J16">IFERROR(VLOOKUP(D1_MAYO_2026[[#This Row],[ASESOR_CRR]],_xlfn._xlws.FILTER(PLANTILLA[[ASESOR]:[FECHA DE CESE]],PLANTILLA[FECHA]=_xlfn.CONCAT($M$3,"_",_xlfn.IFS($N$3="ENERO","1",$N$3="FEBRERO","2",$N$3="MARZO","3",$N$3="ABRIL","4",$N$3="MAYO","5",$N$3="JUNIO","6",$N$3="JULIO","7",$N$3="AGOSTO","8",$N$3="SETIEMBRE","9",$N$3="OCTUBRE","10",$N$3="NOVIEMBRE","11",$N$3="DICIEMBRE","12"))),4,0),"")</f>
        <v>CALL</v>
      </c>
      <c r="K16" s="55" t="str" cm="1">
        <f t="array" ref="K16">IFERROR(VLOOKUP(D1_MAYO_2026[[#This Row],[ASESOR_CRR]],_xlfn._xlws.FILTER(PLANTILLA[[ASESOR]:[FECHA DE CESE]],PLANTILLA[FECHA]=_xlfn.CONCAT($M$3,"_",_xlfn.IFS($N$3="ENERO","1",$N$3="FEBRERO","2",$N$3="MARZO","3",$N$3="ABRIL","4",$N$3="MAYO","5",$N$3="JUNIO","6",$N$3="JULIO","7",$N$3="AGOSTO","8",$N$3="SETIEMBRE","9",$N$3="OCTUBRE","10",$N$3="NOVIEMBRE","11",$N$3="DICIEMBRE","12"))),8,0),"")</f>
        <v>S1</v>
      </c>
      <c r="L16" s="55"/>
      <c r="M16" s="5">
        <f>DATA_MAYO_2026[[#This Row],[RECUPERO]]/DATA_MAYO_2026[[#This Row],[META]]</f>
        <v>0.83716049382716051</v>
      </c>
      <c r="N16" s="5">
        <f>6-ROUNDUP(_xlfn.RANK.EQ(DATA_MAYO_2026[[#This Row],[AL_AC]],DATA_MAYO_2026[AL_AC],0)/(COUNTA(DATA_MAYO_2026[AL_AC])/5),0)</f>
        <v>5</v>
      </c>
      <c r="O16" s="54" t="str">
        <f>IFERROR(VLOOKUP(DATA_MAYO_2026[[#This Row],[ASER_]],$B:$G,4,0),"")</f>
        <v>KENNETH</v>
      </c>
      <c r="P16" s="6">
        <f>VLOOKUP(DATA_MAYO_2026[[#This Row],[ASER_]],D1_MAYO_2026[[ASESOR_CRR]:[RECUPERO]],6,0)</f>
        <v>33905</v>
      </c>
      <c r="Q16" s="6">
        <f>VLOOKUP(DATA_MAYO_2026[[#This Row],[ASER_]],D1_MAYO_2026[[ASESOR_CRR]:[META]],2,0)</f>
        <v>40500</v>
      </c>
      <c r="R16" t="s">
        <v>34</v>
      </c>
      <c r="S16">
        <v>0</v>
      </c>
      <c r="T16">
        <v>6000</v>
      </c>
      <c r="U16">
        <v>910</v>
      </c>
      <c r="V16">
        <v>0</v>
      </c>
      <c r="W16">
        <v>8850</v>
      </c>
      <c r="X16">
        <v>2100</v>
      </c>
      <c r="Y16">
        <v>0</v>
      </c>
      <c r="Z16">
        <v>295</v>
      </c>
      <c r="AA16">
        <v>0</v>
      </c>
      <c r="AB16">
        <v>11050</v>
      </c>
      <c r="AC16">
        <v>0</v>
      </c>
      <c r="AD16">
        <v>600</v>
      </c>
      <c r="AE16">
        <v>0</v>
      </c>
      <c r="AF16">
        <v>0</v>
      </c>
      <c r="AG16">
        <v>500</v>
      </c>
      <c r="AH16">
        <v>800</v>
      </c>
      <c r="AI16">
        <v>2800</v>
      </c>
      <c r="AN16" s="54" t="str" cm="1">
        <f t="array" ref="AN16">IFERROR(VLOOKUP(DATA_MAYO_2026[[#This Row],[ASER_]],_xlfn._xlws.FILTER(PLANTILLA[[ASESOR]:[FECHA DE CESE]],PLANTILLA[FECHA]=_xlfn.CONCAT($M$3,"_",_xlfn.IFS($N$3="ENERO","1",$N$3="FEBRERO","2",$N$3="MARZO","3",$N$3="ABRIL","4",$N$3="MAYO","5",$N$3="JUNIO","6",$N$3="JULIO","7",$N$3="AGOSTO","8",$N$3="SETIEMBRE","9",$N$3="OCTUBRE","10",$N$3="NOVIEMBRE","11",$N$3="DICIEMBRE","12"))),8,0),"")</f>
        <v>S0</v>
      </c>
      <c r="AO16" s="54">
        <f>SUM(DATA_MAYO_2026[[#This Row],[15]:[30]])</f>
        <v>4700</v>
      </c>
      <c r="AZ16" s="45"/>
      <c r="BA16" s="45"/>
      <c r="BB16" s="45"/>
      <c r="BC16" s="45"/>
      <c r="BE16" s="45"/>
      <c r="BF16" s="45"/>
      <c r="BG16" s="45"/>
      <c r="BO16" s="45"/>
      <c r="BX16" s="45" t="s">
        <v>636</v>
      </c>
      <c r="BY16" s="45" t="s">
        <v>125</v>
      </c>
      <c r="BZ16" s="45" t="s">
        <v>61</v>
      </c>
      <c r="CA16" s="55">
        <v>46176</v>
      </c>
      <c r="CB16" s="1">
        <f>IF(IND_JUNIO_2026[[#This Row],[IND_CANTFalta]]=1,0,IF(1-(IND_JUNIO_2026[[#This Row],[IND_Tardanza Tiempo]]*100%/0.166666666666667)&lt;0,0,1-(IND_JUNIO_2026[[#This Row],[IND_Tardanza Tiempo]]*100%/0.166666666666667)))</f>
        <v>1</v>
      </c>
      <c r="CC16" s="45"/>
      <c r="CD16" s="93">
        <v>0</v>
      </c>
      <c r="CE16">
        <v>31</v>
      </c>
      <c r="CG16" s="1">
        <f>IFERROR(IND_JUNIO_2026[[#This Row],[IND_PDP]]/IND_JUNIO_2026[[#This Row],[IND_CEF Unico]],"")</f>
        <v>0</v>
      </c>
      <c r="CJ16" s="1" t="str">
        <f>IFERROR(IND_JUNIO_2026[[#This Row],[IND_Recupero]]/IND_JUNIO_2026[[#This Row],[IND_MontoPDP]],"")</f>
        <v/>
      </c>
      <c r="CK16" s="1" t="str">
        <f>IFERROR(IND_JUNIO_2026[[#This Row],[IND_MontoPDP]]/IND_JUNIO_2026[[#This Row],[DK]],"")</f>
        <v/>
      </c>
      <c r="CL16" t="s">
        <v>548</v>
      </c>
      <c r="CM16" t="str">
        <f>IFERROR(IND_JUNIO_2026[[#This Row],[IND_MontoPDP]]/IND_JUNIO_2026[[#This Row],[IND_PDP]],"")</f>
        <v/>
      </c>
    </row>
    <row r="17" spans="1:91" x14ac:dyDescent="0.25">
      <c r="A17" s="34" t="str" cm="1">
        <f t="array" ref="A17">IFERROR(VLOOKUP(D1_MAYO_2026[[#This Row],[ASESOR_CRR]],_xlfn._xlws.FILTER(PLANTILLA[[ASESOR]:[FECHA DE CESE]],PLANTILLA[FECHA]=_xlfn.CONCAT($M$3,"_",_xlfn.IFS($N$3="ENERO","1",$N$3="FEBRERO","2",$N$3="MARZO","3",$N$3="ABRIL","4",$N$3="MAYO","5",$N$3="JUNIO","6",$N$3="JULIO","7",$N$3="AGOSTO","8",$N$3="SETIEMBRE","9",$N$3="OCTUBRE","10",$N$3="NOVIEMBRE","11",$N$3="DICIEMBRE","12"))),3,0),"")</f>
        <v>JORGE</v>
      </c>
      <c r="B17" s="34" t="str" cm="1">
        <f t="array" ref="B1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GIANFRANCO PINEDO</v>
      </c>
      <c r="C17" s="34" cm="1">
        <f t="array" ref="C17">_xlfn.XLOOKUP(1,(TablaMeta[CONCAT]=$M$3&amp;$N$3&amp;D1_MAYO_2026[[#This Row],[SUPER]])*(TablaMeta[SEGG]=D1_MAYO_2026[[#This Row],[SEGMENTO]]),TablaMeta[Meta_Asesor])</f>
        <v>60000</v>
      </c>
      <c r="D17" s="35">
        <f>IF(D1_MAYO_2026[[#This Row],[RECUPERO]]="VACACIONES","VACACIONES",IFERROR(D1_MAYO_2026[[#This Row],[RECUPERO]]/D1_MAYO_2026[[#This Row],[META]],""))</f>
        <v>0.61683333333333334</v>
      </c>
      <c r="E17" s="35" t="str">
        <f>D1_MAYO_2026[[#This Row],[SUPER]]</f>
        <v>JORGE</v>
      </c>
      <c r="F17" t="s">
        <v>13</v>
      </c>
      <c r="G17" s="3">
        <v>37010</v>
      </c>
      <c r="H17" cm="1">
        <f t="array" ref="H17">IFERROR(VLOOKUP(D1_MAYO_2026[[#This Row],[ASESOR_CRR]],_xlfn._xlws.FILTER(PLANTILLA[[ASESOR]:[FECHA DE CESE]],PLANTILLA[FECHA]=_xlfn.CONCAT($M$3,"_",_xlfn.IFS($N$3="ENERO","1",$N$3="FEBRERO","2",$N$3="MARZO","3",$N$3="ABRIL","4",$N$3="MAYO","5",$N$3="JUNIO","6",$N$3="JULIO","7",$N$3="AGOSTO","8",$N$3="SETIEMBRE","9",$N$3="OCTUBRE","10",$N$3="NOVIEMBRE","11",$N$3="DICIEMBRE","12"))),2,0),"")</f>
        <v>72512391</v>
      </c>
      <c r="I17" s="55" cm="1">
        <f t="array" ref="I17">IFERROR(VLOOKUP(D1_MAYO_2026[[#This Row],[ASESOR_CRR]],_xlfn._xlws.FILTER(PLANTILLA[[ASESOR]:[FECHA DE CESE]],PLANTILLA[FECHA]=_xlfn.CONCAT($M$3,"_",_xlfn.IFS($N$3="ENERO","1",$N$3="FEBRERO","2",$N$3="MARZO","3",$N$3="ABRIL","4",$N$3="MAYO","5",$N$3="JUNIO","6",$N$3="JULIO","7",$N$3="AGOSTO","8",$N$3="SETIEMBRE","9",$N$3="OCTUBRE","10",$N$3="NOVIEMBRE","11",$N$3="DICIEMBRE","12"))),6,0),"")</f>
        <v>44809</v>
      </c>
      <c r="J17" s="55" t="str" cm="1">
        <f t="array" ref="J17">IFERROR(VLOOKUP(D1_MAYO_2026[[#This Row],[ASESOR_CRR]],_xlfn._xlws.FILTER(PLANTILLA[[ASESOR]:[FECHA DE CESE]],PLANTILLA[FECHA]=_xlfn.CONCAT($M$3,"_",_xlfn.IFS($N$3="ENERO","1",$N$3="FEBRERO","2",$N$3="MARZO","3",$N$3="ABRIL","4",$N$3="MAYO","5",$N$3="JUNIO","6",$N$3="JULIO","7",$N$3="AGOSTO","8",$N$3="SETIEMBRE","9",$N$3="OCTUBRE","10",$N$3="NOVIEMBRE","11",$N$3="DICIEMBRE","12"))),4,0),"")</f>
        <v>CALL</v>
      </c>
      <c r="K17" s="55" t="str" cm="1">
        <f t="array" ref="K17">IFERROR(VLOOKUP(D1_MAYO_2026[[#This Row],[ASESOR_CRR]],_xlfn._xlws.FILTER(PLANTILLA[[ASESOR]:[FECHA DE CESE]],PLANTILLA[FECHA]=_xlfn.CONCAT($M$3,"_",_xlfn.IFS($N$3="ENERO","1",$N$3="FEBRERO","2",$N$3="MARZO","3",$N$3="ABRIL","4",$N$3="MAYO","5",$N$3="JUNIO","6",$N$3="JULIO","7",$N$3="AGOSTO","8",$N$3="SETIEMBRE","9",$N$3="OCTUBRE","10",$N$3="NOVIEMBRE","11",$N$3="DICIEMBRE","12"))),8,0),"")</f>
        <v>S1</v>
      </c>
      <c r="L17" s="55"/>
      <c r="M17" s="5">
        <f>DATA_MAYO_2026[[#This Row],[RECUPERO]]/DATA_MAYO_2026[[#This Row],[META]]</f>
        <v>0.72493506493506499</v>
      </c>
      <c r="N17" s="5">
        <f>6-ROUNDUP(_xlfn.RANK.EQ(DATA_MAYO_2026[[#This Row],[AL_AC]],DATA_MAYO_2026[AL_AC],0)/(COUNTA(DATA_MAYO_2026[AL_AC])/5),0)</f>
        <v>5</v>
      </c>
      <c r="O17" s="54" t="str">
        <f>IFERROR(VLOOKUP(DATA_MAYO_2026[[#This Row],[ASER_]],$B:$G,4,0),"")</f>
        <v>SANDY</v>
      </c>
      <c r="P17" s="6">
        <f>VLOOKUP(DATA_MAYO_2026[[#This Row],[ASER_]],D1_MAYO_2026[[ASESOR_CRR]:[RECUPERO]],6,0)</f>
        <v>27910</v>
      </c>
      <c r="Q17" s="6">
        <f>VLOOKUP(DATA_MAYO_2026[[#This Row],[ASER_]],D1_MAYO_2026[[ASESOR_CRR]:[META]],2,0)</f>
        <v>38500</v>
      </c>
      <c r="R17" t="s">
        <v>42</v>
      </c>
      <c r="S17">
        <v>0</v>
      </c>
      <c r="T17">
        <v>15000</v>
      </c>
      <c r="U17">
        <v>0</v>
      </c>
      <c r="V17">
        <v>1000</v>
      </c>
      <c r="W17">
        <v>410</v>
      </c>
      <c r="X17">
        <v>0</v>
      </c>
      <c r="Y17">
        <v>0</v>
      </c>
      <c r="Z17">
        <v>400</v>
      </c>
      <c r="AA17">
        <v>100</v>
      </c>
      <c r="AB17">
        <v>0</v>
      </c>
      <c r="AC17">
        <v>0</v>
      </c>
      <c r="AD17">
        <v>0</v>
      </c>
      <c r="AE17">
        <v>1000</v>
      </c>
      <c r="AF17">
        <v>0</v>
      </c>
      <c r="AG17">
        <v>0</v>
      </c>
      <c r="AH17">
        <v>0</v>
      </c>
      <c r="AI17">
        <v>10000</v>
      </c>
      <c r="AN17" s="54" t="str" cm="1">
        <f t="array" ref="AN17">IFERROR(VLOOKUP(DATA_MAYO_2026[[#This Row],[ASER_]],_xlfn._xlws.FILTER(PLANTILLA[[ASESOR]:[FECHA DE CESE]],PLANTILLA[FECHA]=_xlfn.CONCAT($M$3,"_",_xlfn.IFS($N$3="ENERO","1",$N$3="FEBRERO","2",$N$3="MARZO","3",$N$3="ABRIL","4",$N$3="MAYO","5",$N$3="JUNIO","6",$N$3="JULIO","7",$N$3="AGOSTO","8",$N$3="SETIEMBRE","9",$N$3="OCTUBRE","10",$N$3="NOVIEMBRE","11",$N$3="DICIEMBRE","12"))),8,0),"")</f>
        <v>S0</v>
      </c>
      <c r="AO17" s="54">
        <f>SUM(DATA_MAYO_2026[[#This Row],[15]:[30]])</f>
        <v>11000</v>
      </c>
      <c r="AY17" s="45"/>
      <c r="BA17" s="45"/>
      <c r="BB17" s="47"/>
      <c r="BC17" s="47"/>
      <c r="BE17" s="47"/>
      <c r="BF17" s="45"/>
      <c r="BG17" s="45"/>
      <c r="BI17" s="45"/>
      <c r="BN17" s="45"/>
      <c r="BO17" s="45"/>
      <c r="BX17" s="45" t="s">
        <v>636</v>
      </c>
      <c r="BY17" s="45" t="s">
        <v>125</v>
      </c>
      <c r="BZ17" s="45" t="s">
        <v>61</v>
      </c>
      <c r="CA17" s="55">
        <v>46178</v>
      </c>
      <c r="CB17" s="1">
        <f>IF(IND_JUNIO_2026[[#This Row],[IND_CANTFalta]]=1,0,IF(1-(IND_JUNIO_2026[[#This Row],[IND_Tardanza Tiempo]]*100%/0.166666666666667)&lt;0,0,1-(IND_JUNIO_2026[[#This Row],[IND_Tardanza Tiempo]]*100%/0.166666666666667)))</f>
        <v>0.99916666666666665</v>
      </c>
      <c r="CC17" s="45"/>
      <c r="CD17" s="93">
        <v>1.3888888888888889E-4</v>
      </c>
      <c r="CE17">
        <v>9</v>
      </c>
      <c r="CG17" s="1">
        <f>IFERROR(IND_JUNIO_2026[[#This Row],[IND_PDP]]/IND_JUNIO_2026[[#This Row],[IND_CEF Unico]],"")</f>
        <v>0</v>
      </c>
      <c r="CJ17" s="1" t="str">
        <f>IFERROR(IND_JUNIO_2026[[#This Row],[IND_Recupero]]/IND_JUNIO_2026[[#This Row],[IND_MontoPDP]],"")</f>
        <v/>
      </c>
      <c r="CK17" s="1" t="str">
        <f>IFERROR(IND_JUNIO_2026[[#This Row],[IND_MontoPDP]]/IND_JUNIO_2026[[#This Row],[DK]],"")</f>
        <v/>
      </c>
      <c r="CL17" t="s">
        <v>548</v>
      </c>
      <c r="CM17" t="str">
        <f>IFERROR(IND_JUNIO_2026[[#This Row],[IND_MontoPDP]]/IND_JUNIO_2026[[#This Row],[IND_PDP]],"")</f>
        <v/>
      </c>
    </row>
    <row r="18" spans="1:91" x14ac:dyDescent="0.25">
      <c r="A18" s="34" t="str" cm="1">
        <f t="array" ref="A18">IFERROR(VLOOKUP(D1_MAYO_2026[[#This Row],[ASESOR_CRR]],_xlfn._xlws.FILTER(PLANTILLA[[ASESOR]:[FECHA DE CESE]],PLANTILLA[FECHA]=_xlfn.CONCAT($M$3,"_",_xlfn.IFS($N$3="ENERO","1",$N$3="FEBRERO","2",$N$3="MARZO","3",$N$3="ABRIL","4",$N$3="MAYO","5",$N$3="JUNIO","6",$N$3="JULIO","7",$N$3="AGOSTO","8",$N$3="SETIEMBRE","9",$N$3="OCTUBRE","10",$N$3="NOVIEMBRE","11",$N$3="DICIEMBRE","12"))),3,0),"")</f>
        <v>JORGE</v>
      </c>
      <c r="B18" s="34" t="str" cm="1">
        <f t="array" ref="B1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MALORY MONTEBLANCO</v>
      </c>
      <c r="C18" s="34" cm="1">
        <f t="array" ref="C18">_xlfn.XLOOKUP(1,(TablaMeta[CONCAT]=$M$3&amp;$N$3&amp;D1_MAYO_2026[[#This Row],[SUPER]])*(TablaMeta[SEGG]=D1_MAYO_2026[[#This Row],[SEGMENTO]]),TablaMeta[Meta_Asesor])</f>
        <v>60000</v>
      </c>
      <c r="D18" s="35">
        <f>IF(D1_MAYO_2026[[#This Row],[RECUPERO]]="VACACIONES","VACACIONES",IFERROR(D1_MAYO_2026[[#This Row],[RECUPERO]]/D1_MAYO_2026[[#This Row],[META]],""))</f>
        <v>0.57479999999999998</v>
      </c>
      <c r="E18" s="35" t="str">
        <f>D1_MAYO_2026[[#This Row],[SUPER]]</f>
        <v>JORGE</v>
      </c>
      <c r="F18" t="s">
        <v>25</v>
      </c>
      <c r="G18" s="3">
        <v>34488</v>
      </c>
      <c r="H18" cm="1">
        <f t="array" ref="H18">IFERROR(VLOOKUP(D1_MAYO_2026[[#This Row],[ASESOR_CRR]],_xlfn._xlws.FILTER(PLANTILLA[[ASESOR]:[FECHA DE CESE]],PLANTILLA[FECHA]=_xlfn.CONCAT($M$3,"_",_xlfn.IFS($N$3="ENERO","1",$N$3="FEBRERO","2",$N$3="MARZO","3",$N$3="ABRIL","4",$N$3="MAYO","5",$N$3="JUNIO","6",$N$3="JULIO","7",$N$3="AGOSTO","8",$N$3="SETIEMBRE","9",$N$3="OCTUBRE","10",$N$3="NOVIEMBRE","11",$N$3="DICIEMBRE","12"))),2,0),"")</f>
        <v>72373931</v>
      </c>
      <c r="I18" s="55" cm="1">
        <f t="array" ref="I18">IFERROR(VLOOKUP(D1_MAYO_2026[[#This Row],[ASESOR_CRR]],_xlfn._xlws.FILTER(PLANTILLA[[ASESOR]:[FECHA DE CESE]],PLANTILLA[FECHA]=_xlfn.CONCAT($M$3,"_",_xlfn.IFS($N$3="ENERO","1",$N$3="FEBRERO","2",$N$3="MARZO","3",$N$3="ABRIL","4",$N$3="MAYO","5",$N$3="JUNIO","6",$N$3="JULIO","7",$N$3="AGOSTO","8",$N$3="SETIEMBRE","9",$N$3="OCTUBRE","10",$N$3="NOVIEMBRE","11",$N$3="DICIEMBRE","12"))),6,0),"")</f>
        <v>44818</v>
      </c>
      <c r="J18" s="55" t="str" cm="1">
        <f t="array" ref="J18">IFERROR(VLOOKUP(D1_MAYO_2026[[#This Row],[ASESOR_CRR]],_xlfn._xlws.FILTER(PLANTILLA[[ASESOR]:[FECHA DE CESE]],PLANTILLA[FECHA]=_xlfn.CONCAT($M$3,"_",_xlfn.IFS($N$3="ENERO","1",$N$3="FEBRERO","2",$N$3="MARZO","3",$N$3="ABRIL","4",$N$3="MAYO","5",$N$3="JUNIO","6",$N$3="JULIO","7",$N$3="AGOSTO","8",$N$3="SETIEMBRE","9",$N$3="OCTUBRE","10",$N$3="NOVIEMBRE","11",$N$3="DICIEMBRE","12"))),4,0),"")</f>
        <v>CALL</v>
      </c>
      <c r="K18" s="55" t="str" cm="1">
        <f t="array" ref="K18">IFERROR(VLOOKUP(D1_MAYO_2026[[#This Row],[ASESOR_CRR]],_xlfn._xlws.FILTER(PLANTILLA[[ASESOR]:[FECHA DE CESE]],PLANTILLA[FECHA]=_xlfn.CONCAT($M$3,"_",_xlfn.IFS($N$3="ENERO","1",$N$3="FEBRERO","2",$N$3="MARZO","3",$N$3="ABRIL","4",$N$3="MAYO","5",$N$3="JUNIO","6",$N$3="JULIO","7",$N$3="AGOSTO","8",$N$3="SETIEMBRE","9",$N$3="OCTUBRE","10",$N$3="NOVIEMBRE","11",$N$3="DICIEMBRE","12"))),8,0),"")</f>
        <v>S1</v>
      </c>
      <c r="L18" s="55"/>
      <c r="M18" s="5">
        <f>DATA_MAYO_2026[[#This Row],[RECUPERO]]/DATA_MAYO_2026[[#This Row],[META]]</f>
        <v>0.47929870129870128</v>
      </c>
      <c r="N18" s="5">
        <f>6-ROUNDUP(_xlfn.RANK.EQ(DATA_MAYO_2026[[#This Row],[AL_AC]],DATA_MAYO_2026[AL_AC],0)/(COUNTA(DATA_MAYO_2026[AL_AC])/5),0)</f>
        <v>3</v>
      </c>
      <c r="O18" s="54" t="str">
        <f>IFERROR(VLOOKUP(DATA_MAYO_2026[[#This Row],[ASER_]],$B:$G,4,0),"")</f>
        <v>SANDY</v>
      </c>
      <c r="P18" s="6">
        <f>VLOOKUP(DATA_MAYO_2026[[#This Row],[ASER_]],D1_MAYO_2026[[ASESOR_CRR]:[RECUPERO]],6,0)</f>
        <v>18453</v>
      </c>
      <c r="Q18" s="6">
        <f>VLOOKUP(DATA_MAYO_2026[[#This Row],[ASER_]],D1_MAYO_2026[[ASESOR_CRR]:[META]],2,0)</f>
        <v>38500</v>
      </c>
      <c r="R18" t="s">
        <v>58</v>
      </c>
      <c r="S18">
        <v>250</v>
      </c>
      <c r="T18">
        <v>8780</v>
      </c>
      <c r="U18">
        <v>250</v>
      </c>
      <c r="V18">
        <v>0</v>
      </c>
      <c r="W18">
        <v>1800</v>
      </c>
      <c r="X18">
        <v>1700</v>
      </c>
      <c r="Y18">
        <v>0</v>
      </c>
      <c r="Z18">
        <v>0</v>
      </c>
      <c r="AA18">
        <v>1000</v>
      </c>
      <c r="AB18">
        <v>250</v>
      </c>
      <c r="AC18">
        <v>0</v>
      </c>
      <c r="AD18">
        <v>0</v>
      </c>
      <c r="AE18">
        <v>2000</v>
      </c>
      <c r="AF18">
        <v>0</v>
      </c>
      <c r="AG18">
        <v>1023</v>
      </c>
      <c r="AH18">
        <v>500</v>
      </c>
      <c r="AI18">
        <v>900</v>
      </c>
      <c r="AN18" s="54" t="str" cm="1">
        <f t="array" ref="AN18">IFERROR(VLOOKUP(DATA_MAYO_2026[[#This Row],[ASER_]],_xlfn._xlws.FILTER(PLANTILLA[[ASESOR]:[FECHA DE CESE]],PLANTILLA[FECHA]=_xlfn.CONCAT($M$3,"_",_xlfn.IFS($N$3="ENERO","1",$N$3="FEBRERO","2",$N$3="MARZO","3",$N$3="ABRIL","4",$N$3="MAYO","5",$N$3="JUNIO","6",$N$3="JULIO","7",$N$3="AGOSTO","8",$N$3="SETIEMBRE","9",$N$3="OCTUBRE","10",$N$3="NOVIEMBRE","11",$N$3="DICIEMBRE","12"))),8,0),"")</f>
        <v>S0</v>
      </c>
      <c r="AO18" s="54">
        <f>SUM(DATA_MAYO_2026[[#This Row],[15]:[30]])</f>
        <v>4423</v>
      </c>
      <c r="BA18" s="47"/>
      <c r="BB18" s="45"/>
      <c r="BC18" s="45"/>
      <c r="BE18" s="45"/>
      <c r="BF18" s="47"/>
      <c r="BG18" s="47"/>
      <c r="BI18" s="45"/>
      <c r="BJ18" s="45"/>
      <c r="BN18" s="45"/>
      <c r="BO18" s="47"/>
      <c r="BX18" s="45" t="s">
        <v>636</v>
      </c>
      <c r="BY18" s="45" t="s">
        <v>125</v>
      </c>
      <c r="BZ18" s="45" t="s">
        <v>80</v>
      </c>
      <c r="CA18" s="55">
        <v>46174</v>
      </c>
      <c r="CB18" s="1">
        <f>IF(IND_JUNIO_2026[[#This Row],[IND_CANTFalta]]=1,0,IF(1-(IND_JUNIO_2026[[#This Row],[IND_Tardanza Tiempo]]*100%/0.166666666666667)&lt;0,0,1-(IND_JUNIO_2026[[#This Row],[IND_Tardanza Tiempo]]*100%/0.166666666666667)))</f>
        <v>0.99958333333333338</v>
      </c>
      <c r="CC18" s="45"/>
      <c r="CD18" s="93">
        <v>6.9444444444444444E-5</v>
      </c>
      <c r="CE18">
        <v>13</v>
      </c>
      <c r="CF18">
        <v>5</v>
      </c>
      <c r="CG18" s="1">
        <f>IFERROR(IND_JUNIO_2026[[#This Row],[IND_PDP]]/IND_JUNIO_2026[[#This Row],[IND_CEF Unico]],"")</f>
        <v>0.38461538461538464</v>
      </c>
      <c r="CH18">
        <v>4933</v>
      </c>
      <c r="CJ18" s="1">
        <f>IFERROR(IND_JUNIO_2026[[#This Row],[IND_Recupero]]/IND_JUNIO_2026[[#This Row],[IND_MontoPDP]],"")</f>
        <v>0</v>
      </c>
      <c r="CK18" s="1" t="str">
        <f>IFERROR(IND_JUNIO_2026[[#This Row],[IND_MontoPDP]]/IND_JUNIO_2026[[#This Row],[DK]],"")</f>
        <v/>
      </c>
      <c r="CL18" t="s">
        <v>548</v>
      </c>
      <c r="CM18">
        <f>IFERROR(IND_JUNIO_2026[[#This Row],[IND_MontoPDP]]/IND_JUNIO_2026[[#This Row],[IND_PDP]],"")</f>
        <v>986.6</v>
      </c>
    </row>
    <row r="19" spans="1:91" x14ac:dyDescent="0.25">
      <c r="A19" s="34" t="str" cm="1">
        <f t="array" ref="A19">IFERROR(VLOOKUP(D1_MAYO_2026[[#This Row],[ASESOR_CRR]],_xlfn._xlws.FILTER(PLANTILLA[[ASESOR]:[FECHA DE CESE]],PLANTILLA[FECHA]=_xlfn.CONCAT($M$3,"_",_xlfn.IFS($N$3="ENERO","1",$N$3="FEBRERO","2",$N$3="MARZO","3",$N$3="ABRIL","4",$N$3="MAYO","5",$N$3="JUNIO","6",$N$3="JULIO","7",$N$3="AGOSTO","8",$N$3="SETIEMBRE","9",$N$3="OCTUBRE","10",$N$3="NOVIEMBRE","11",$N$3="DICIEMBRE","12"))),3,0),"")</f>
        <v>JORGE</v>
      </c>
      <c r="B19" s="34" t="str" cm="1">
        <f t="array" ref="B1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VERONICA TASAYCO</v>
      </c>
      <c r="C19" s="34" cm="1">
        <f t="array" ref="C19">_xlfn.XLOOKUP(1,(TablaMeta[CONCAT]=$M$3&amp;$N$3&amp;D1_MAYO_2026[[#This Row],[SUPER]])*(TablaMeta[SEGG]=D1_MAYO_2026[[#This Row],[SEGMENTO]]),TablaMeta[Meta_Asesor])</f>
        <v>60000</v>
      </c>
      <c r="D19" s="35">
        <f>IF(D1_MAYO_2026[[#This Row],[RECUPERO]]="VACACIONES","VACACIONES",IFERROR(D1_MAYO_2026[[#This Row],[RECUPERO]]/D1_MAYO_2026[[#This Row],[META]],""))</f>
        <v>0.48988333333333334</v>
      </c>
      <c r="E19" s="35" t="str">
        <f>D1_MAYO_2026[[#This Row],[SUPER]]</f>
        <v>JORGE</v>
      </c>
      <c r="F19" t="s">
        <v>10</v>
      </c>
      <c r="G19" s="3">
        <v>29393</v>
      </c>
      <c r="H19" cm="1">
        <f t="array" ref="H19">IFERROR(VLOOKUP(D1_MAYO_2026[[#This Row],[ASESOR_CRR]],_xlfn._xlws.FILTER(PLANTILLA[[ASESOR]:[FECHA DE CESE]],PLANTILLA[FECHA]=_xlfn.CONCAT($M$3,"_",_xlfn.IFS($N$3="ENERO","1",$N$3="FEBRERO","2",$N$3="MARZO","3",$N$3="ABRIL","4",$N$3="MAYO","5",$N$3="JUNIO","6",$N$3="JULIO","7",$N$3="AGOSTO","8",$N$3="SETIEMBRE","9",$N$3="OCTUBRE","10",$N$3="NOVIEMBRE","11",$N$3="DICIEMBRE","12"))),2,0),"")</f>
        <v>40980108</v>
      </c>
      <c r="I19" s="55" cm="1">
        <f t="array" ref="I19">IFERROR(VLOOKUP(D1_MAYO_2026[[#This Row],[ASESOR_CRR]],_xlfn._xlws.FILTER(PLANTILLA[[ASESOR]:[FECHA DE CESE]],PLANTILLA[FECHA]=_xlfn.CONCAT($M$3,"_",_xlfn.IFS($N$3="ENERO","1",$N$3="FEBRERO","2",$N$3="MARZO","3",$N$3="ABRIL","4",$N$3="MAYO","5",$N$3="JUNIO","6",$N$3="JULIO","7",$N$3="AGOSTO","8",$N$3="SETIEMBRE","9",$N$3="OCTUBRE","10",$N$3="NOVIEMBRE","11",$N$3="DICIEMBRE","12"))),6,0),"")</f>
        <v>44704</v>
      </c>
      <c r="J19" s="55" t="str" cm="1">
        <f t="array" ref="J19">IFERROR(VLOOKUP(D1_MAYO_2026[[#This Row],[ASESOR_CRR]],_xlfn._xlws.FILTER(PLANTILLA[[ASESOR]:[FECHA DE CESE]],PLANTILLA[FECHA]=_xlfn.CONCAT($M$3,"_",_xlfn.IFS($N$3="ENERO","1",$N$3="FEBRERO","2",$N$3="MARZO","3",$N$3="ABRIL","4",$N$3="MAYO","5",$N$3="JUNIO","6",$N$3="JULIO","7",$N$3="AGOSTO","8",$N$3="SETIEMBRE","9",$N$3="OCTUBRE","10",$N$3="NOVIEMBRE","11",$N$3="DICIEMBRE","12"))),4,0),"")</f>
        <v>CALL</v>
      </c>
      <c r="K19" s="55" t="str" cm="1">
        <f t="array" ref="K19">IFERROR(VLOOKUP(D1_MAYO_2026[[#This Row],[ASESOR_CRR]],_xlfn._xlws.FILTER(PLANTILLA[[ASESOR]:[FECHA DE CESE]],PLANTILLA[FECHA]=_xlfn.CONCAT($M$3,"_",_xlfn.IFS($N$3="ENERO","1",$N$3="FEBRERO","2",$N$3="MARZO","3",$N$3="ABRIL","4",$N$3="MAYO","5",$N$3="JUNIO","6",$N$3="JULIO","7",$N$3="AGOSTO","8",$N$3="SETIEMBRE","9",$N$3="OCTUBRE","10",$N$3="NOVIEMBRE","11",$N$3="DICIEMBRE","12"))),8,0),"")</f>
        <v>S1</v>
      </c>
      <c r="L19" s="55"/>
      <c r="M19" s="5">
        <f>DATA_MAYO_2026[[#This Row],[RECUPERO]]/DATA_MAYO_2026[[#This Row],[META]]</f>
        <v>0.97</v>
      </c>
      <c r="N19" s="5">
        <f>6-ROUNDUP(_xlfn.RANK.EQ(DATA_MAYO_2026[[#This Row],[AL_AC]],DATA_MAYO_2026[AL_AC],0)/(COUNTA(DATA_MAYO_2026[AL_AC])/5),0)</f>
        <v>5</v>
      </c>
      <c r="O19" s="54" t="str">
        <f>IFERROR(VLOOKUP(DATA_MAYO_2026[[#This Row],[ASER_]],$B:$G,4,0),"")</f>
        <v>SANDY</v>
      </c>
      <c r="P19" s="6">
        <f>VLOOKUP(DATA_MAYO_2026[[#This Row],[ASER_]],D1_MAYO_2026[[ASESOR_CRR]:[RECUPERO]],6,0)</f>
        <v>37345</v>
      </c>
      <c r="Q19" s="6">
        <f>VLOOKUP(DATA_MAYO_2026[[#This Row],[ASER_]],D1_MAYO_2026[[ASESOR_CRR]:[META]],2,0)</f>
        <v>38500</v>
      </c>
      <c r="R19" t="s">
        <v>493</v>
      </c>
      <c r="S19" s="45">
        <v>0</v>
      </c>
      <c r="T19">
        <v>1730</v>
      </c>
      <c r="U19">
        <v>5680</v>
      </c>
      <c r="V19">
        <v>400</v>
      </c>
      <c r="W19">
        <v>8720</v>
      </c>
      <c r="X19">
        <v>4700</v>
      </c>
      <c r="Y19">
        <v>0</v>
      </c>
      <c r="Z19">
        <v>0</v>
      </c>
      <c r="AA19">
        <v>775</v>
      </c>
      <c r="AB19">
        <v>360</v>
      </c>
      <c r="AC19">
        <v>5400</v>
      </c>
      <c r="AD19">
        <v>0</v>
      </c>
      <c r="AE19">
        <v>1700</v>
      </c>
      <c r="AF19">
        <v>5500</v>
      </c>
      <c r="AG19">
        <v>2000</v>
      </c>
      <c r="AH19">
        <v>0</v>
      </c>
      <c r="AI19">
        <v>380</v>
      </c>
      <c r="AN19" s="54" t="str" cm="1">
        <f t="array" ref="AN19">IFERROR(VLOOKUP(DATA_MAYO_2026[[#This Row],[ASER_]],_xlfn._xlws.FILTER(PLANTILLA[[ASESOR]:[FECHA DE CESE]],PLANTILLA[FECHA]=_xlfn.CONCAT($M$3,"_",_xlfn.IFS($N$3="ENERO","1",$N$3="FEBRERO","2",$N$3="MARZO","3",$N$3="ABRIL","4",$N$3="MAYO","5",$N$3="JUNIO","6",$N$3="JULIO","7",$N$3="AGOSTO","8",$N$3="SETIEMBRE","9",$N$3="OCTUBRE","10",$N$3="NOVIEMBRE","11",$N$3="DICIEMBRE","12"))),8,0),"")</f>
        <v>S0</v>
      </c>
      <c r="AO19" s="54">
        <f>SUM(DATA_MAYO_2026[[#This Row],[15]:[30]])</f>
        <v>14980</v>
      </c>
      <c r="AU19" s="45"/>
      <c r="BA19" s="47"/>
      <c r="BB19" s="45"/>
      <c r="BC19" s="45"/>
      <c r="BE19" s="45"/>
      <c r="BF19" s="47"/>
      <c r="BG19" s="47"/>
      <c r="BI19" s="45"/>
      <c r="BJ19" s="45"/>
      <c r="BN19" s="47"/>
      <c r="BO19" s="47"/>
      <c r="BX19" s="45" t="s">
        <v>636</v>
      </c>
      <c r="BY19" s="45" t="s">
        <v>125</v>
      </c>
      <c r="BZ19" s="45" t="s">
        <v>80</v>
      </c>
      <c r="CA19" s="55">
        <v>46175</v>
      </c>
      <c r="CB19" s="1">
        <f>IF(IND_JUNIO_2026[[#This Row],[IND_CANTFalta]]=1,0,IF(1-(IND_JUNIO_2026[[#This Row],[IND_Tardanza Tiempo]]*100%/0.166666666666667)&lt;0,0,1-(IND_JUNIO_2026[[#This Row],[IND_Tardanza Tiempo]]*100%/0.166666666666667)))</f>
        <v>0.99930555555555556</v>
      </c>
      <c r="CC19" s="45"/>
      <c r="CD19" s="93">
        <v>1.1574074074074075E-4</v>
      </c>
      <c r="CE19">
        <v>19</v>
      </c>
      <c r="CG19" s="1">
        <f>IFERROR(IND_JUNIO_2026[[#This Row],[IND_PDP]]/IND_JUNIO_2026[[#This Row],[IND_CEF Unico]],"")</f>
        <v>0</v>
      </c>
      <c r="CJ19" s="1" t="str">
        <f>IFERROR(IND_JUNIO_2026[[#This Row],[IND_Recupero]]/IND_JUNIO_2026[[#This Row],[IND_MontoPDP]],"")</f>
        <v/>
      </c>
      <c r="CK19" s="1" t="str">
        <f>IFERROR(IND_JUNIO_2026[[#This Row],[IND_MontoPDP]]/IND_JUNIO_2026[[#This Row],[DK]],"")</f>
        <v/>
      </c>
      <c r="CL19" t="s">
        <v>548</v>
      </c>
      <c r="CM19" t="str">
        <f>IFERROR(IND_JUNIO_2026[[#This Row],[IND_MontoPDP]]/IND_JUNIO_2026[[#This Row],[IND_PDP]],"")</f>
        <v/>
      </c>
    </row>
    <row r="20" spans="1:91" x14ac:dyDescent="0.25">
      <c r="A20" s="34" t="str" cm="1">
        <f t="array" ref="A20">IFERROR(VLOOKUP(D1_MAYO_2026[[#This Row],[ASESOR_CRR]],_xlfn._xlws.FILTER(PLANTILLA[[ASESOR]:[FECHA DE CESE]],PLANTILLA[FECHA]=_xlfn.CONCAT($M$3,"_",_xlfn.IFS($N$3="ENERO","1",$N$3="FEBRERO","2",$N$3="MARZO","3",$N$3="ABRIL","4",$N$3="MAYO","5",$N$3="JUNIO","6",$N$3="JULIO","7",$N$3="AGOSTO","8",$N$3="SETIEMBRE","9",$N$3="OCTUBRE","10",$N$3="NOVIEMBRE","11",$N$3="DICIEMBRE","12"))),3,0),"")</f>
        <v>JORGE</v>
      </c>
      <c r="B20" s="34" t="str" cm="1">
        <f t="array" ref="B2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PIERINA TESEN</v>
      </c>
      <c r="C20" s="34" cm="1">
        <f t="array" ref="C20">_xlfn.XLOOKUP(1,(TablaMeta[CONCAT]=$M$3&amp;$N$3&amp;D1_MAYO_2026[[#This Row],[SUPER]])*(TablaMeta[SEGG]=D1_MAYO_2026[[#This Row],[SEGMENTO]]),TablaMeta[Meta_Asesor])</f>
        <v>36000</v>
      </c>
      <c r="D20" s="35">
        <f>IF(D1_MAYO_2026[[#This Row],[RECUPERO]]="VACACIONES","VACACIONES",IFERROR(D1_MAYO_2026[[#This Row],[RECUPERO]]/D1_MAYO_2026[[#This Row],[META]],""))</f>
        <v>0.45208333333333334</v>
      </c>
      <c r="E20" s="35" t="str">
        <f>D1_MAYO_2026[[#This Row],[SUPER]]</f>
        <v>JORGE</v>
      </c>
      <c r="F20" t="s">
        <v>59</v>
      </c>
      <c r="G20" s="3">
        <v>16275</v>
      </c>
      <c r="H20" cm="1">
        <f t="array" ref="H20">IFERROR(VLOOKUP(D1_MAYO_2026[[#This Row],[ASESOR_CRR]],_xlfn._xlws.FILTER(PLANTILLA[[ASESOR]:[FECHA DE CESE]],PLANTILLA[FECHA]=_xlfn.CONCAT($M$3,"_",_xlfn.IFS($N$3="ENERO","1",$N$3="FEBRERO","2",$N$3="MARZO","3",$N$3="ABRIL","4",$N$3="MAYO","5",$N$3="JUNIO","6",$N$3="JULIO","7",$N$3="AGOSTO","8",$N$3="SETIEMBRE","9",$N$3="OCTUBRE","10",$N$3="NOVIEMBRE","11",$N$3="DICIEMBRE","12"))),2,0),"")</f>
        <v>60870839</v>
      </c>
      <c r="I20" s="55" cm="1">
        <f t="array" ref="I20">IFERROR(VLOOKUP(D1_MAYO_2026[[#This Row],[ASESOR_CRR]],_xlfn._xlws.FILTER(PLANTILLA[[ASESOR]:[FECHA DE CESE]],PLANTILLA[FECHA]=_xlfn.CONCAT($M$3,"_",_xlfn.IFS($N$3="ENERO","1",$N$3="FEBRERO","2",$N$3="MARZO","3",$N$3="ABRIL","4",$N$3="MAYO","5",$N$3="JUNIO","6",$N$3="JULIO","7",$N$3="AGOSTO","8",$N$3="SETIEMBRE","9",$N$3="OCTUBRE","10",$N$3="NOVIEMBRE","11",$N$3="DICIEMBRE","12"))),6,0),"")</f>
        <v>45344</v>
      </c>
      <c r="J20" s="55" t="str" cm="1">
        <f t="array" ref="J20">IFERROR(VLOOKUP(D1_MAYO_2026[[#This Row],[ASESOR_CRR]],_xlfn._xlws.FILTER(PLANTILLA[[ASESOR]:[FECHA DE CESE]],PLANTILLA[FECHA]=_xlfn.CONCAT($M$3,"_",_xlfn.IFS($N$3="ENERO","1",$N$3="FEBRERO","2",$N$3="MARZO","3",$N$3="ABRIL","4",$N$3="MAYO","5",$N$3="JUNIO","6",$N$3="JULIO","7",$N$3="AGOSTO","8",$N$3="SETIEMBRE","9",$N$3="OCTUBRE","10",$N$3="NOVIEMBRE","11",$N$3="DICIEMBRE","12"))),4,0),"")</f>
        <v>CALL</v>
      </c>
      <c r="K20" s="55" t="str" cm="1">
        <f t="array" ref="K20">IFERROR(VLOOKUP(D1_MAYO_2026[[#This Row],[ASESOR_CRR]],_xlfn._xlws.FILTER(PLANTILLA[[ASESOR]:[FECHA DE CESE]],PLANTILLA[FECHA]=_xlfn.CONCAT($M$3,"_",_xlfn.IFS($N$3="ENERO","1",$N$3="FEBRERO","2",$N$3="MARZO","3",$N$3="ABRIL","4",$N$3="MAYO","5",$N$3="JUNIO","6",$N$3="JULIO","7",$N$3="AGOSTO","8",$N$3="SETIEMBRE","9",$N$3="OCTUBRE","10",$N$3="NOVIEMBRE","11",$N$3="DICIEMBRE","12"))),8,0),"")</f>
        <v>S1 - IND</v>
      </c>
      <c r="L20" s="55"/>
      <c r="M20" s="5">
        <f>DATA_MAYO_2026[[#This Row],[RECUPERO]]/DATA_MAYO_2026[[#This Row],[META]]</f>
        <v>0.48001038961038967</v>
      </c>
      <c r="N20" s="5">
        <f>6-ROUNDUP(_xlfn.RANK.EQ(DATA_MAYO_2026[[#This Row],[AL_AC]],DATA_MAYO_2026[AL_AC],0)/(COUNTA(DATA_MAYO_2026[AL_AC])/5),0)</f>
        <v>3</v>
      </c>
      <c r="O20" s="54" t="str">
        <f>IFERROR(VLOOKUP(DATA_MAYO_2026[[#This Row],[ASER_]],$B:$G,4,0),"")</f>
        <v>SANDY</v>
      </c>
      <c r="P20" s="6">
        <f>VLOOKUP(DATA_MAYO_2026[[#This Row],[ASER_]],D1_MAYO_2026[[ASESOR_CRR]:[RECUPERO]],6,0)</f>
        <v>18480.400000000001</v>
      </c>
      <c r="Q20" s="6">
        <f>VLOOKUP(DATA_MAYO_2026[[#This Row],[ASER_]],D1_MAYO_2026[[ASESOR_CRR]:[META]],2,0)</f>
        <v>38500</v>
      </c>
      <c r="R20" t="s">
        <v>85</v>
      </c>
      <c r="S20">
        <v>5195</v>
      </c>
      <c r="T20">
        <v>1006</v>
      </c>
      <c r="U20">
        <v>633.4</v>
      </c>
      <c r="V20">
        <v>0</v>
      </c>
      <c r="W20">
        <v>880</v>
      </c>
      <c r="X20">
        <v>0</v>
      </c>
      <c r="Y20">
        <v>0</v>
      </c>
      <c r="Z20">
        <v>380</v>
      </c>
      <c r="AA20">
        <v>1056</v>
      </c>
      <c r="AB20">
        <v>5365</v>
      </c>
      <c r="AC20">
        <v>0</v>
      </c>
      <c r="AD20">
        <v>0</v>
      </c>
      <c r="AE20">
        <v>0</v>
      </c>
      <c r="AF20">
        <v>0</v>
      </c>
      <c r="AG20">
        <v>3265</v>
      </c>
      <c r="AH20">
        <v>700</v>
      </c>
      <c r="AI20">
        <v>0</v>
      </c>
      <c r="AN20" s="54" t="str" cm="1">
        <f t="array" ref="AN20">IFERROR(VLOOKUP(DATA_MAYO_2026[[#This Row],[ASER_]],_xlfn._xlws.FILTER(PLANTILLA[[ASESOR]:[FECHA DE CESE]],PLANTILLA[FECHA]=_xlfn.CONCAT($M$3,"_",_xlfn.IFS($N$3="ENERO","1",$N$3="FEBRERO","2",$N$3="MARZO","3",$N$3="ABRIL","4",$N$3="MAYO","5",$N$3="JUNIO","6",$N$3="JULIO","7",$N$3="AGOSTO","8",$N$3="SETIEMBRE","9",$N$3="OCTUBRE","10",$N$3="NOVIEMBRE","11",$N$3="DICIEMBRE","12"))),8,0),"")</f>
        <v>S0</v>
      </c>
      <c r="AO20" s="54">
        <f>SUM(DATA_MAYO_2026[[#This Row],[15]:[30]])</f>
        <v>3965</v>
      </c>
      <c r="AU20" s="47"/>
      <c r="BA20" s="45"/>
      <c r="BG20" s="45"/>
      <c r="BI20" s="45"/>
      <c r="BJ20" s="47"/>
      <c r="BM20" s="45"/>
      <c r="BN20" s="47"/>
      <c r="BO20" s="45"/>
      <c r="BX20" s="45" t="s">
        <v>636</v>
      </c>
      <c r="BY20" s="45" t="s">
        <v>125</v>
      </c>
      <c r="BZ20" s="45" t="s">
        <v>80</v>
      </c>
      <c r="CA20" s="55">
        <v>46176</v>
      </c>
      <c r="CB20" s="1">
        <f>IF(IND_JUNIO_2026[[#This Row],[IND_CANTFalta]]=1,0,IF(1-(IND_JUNIO_2026[[#This Row],[IND_Tardanza Tiempo]]*100%/0.166666666666667)&lt;0,0,1-(IND_JUNIO_2026[[#This Row],[IND_Tardanza Tiempo]]*100%/0.166666666666667)))</f>
        <v>0.99930555555555556</v>
      </c>
      <c r="CC20" s="45"/>
      <c r="CD20" s="93">
        <v>1.1574074074074075E-4</v>
      </c>
      <c r="CE20">
        <v>6</v>
      </c>
      <c r="CF20">
        <v>1</v>
      </c>
      <c r="CG20" s="1">
        <f>IFERROR(IND_JUNIO_2026[[#This Row],[IND_PDP]]/IND_JUNIO_2026[[#This Row],[IND_CEF Unico]],"")</f>
        <v>0.16666666666666666</v>
      </c>
      <c r="CH20">
        <v>1200</v>
      </c>
      <c r="CI20">
        <v>1200</v>
      </c>
      <c r="CJ20" s="1">
        <f>IFERROR(IND_JUNIO_2026[[#This Row],[IND_Recupero]]/IND_JUNIO_2026[[#This Row],[IND_MontoPDP]],"")</f>
        <v>1</v>
      </c>
      <c r="CK20" s="1">
        <f>IFERROR(IND_JUNIO_2026[[#This Row],[IND_MontoPDP]]/IND_JUNIO_2026[[#This Row],[DK]],"")</f>
        <v>0.1176</v>
      </c>
      <c r="CL20">
        <v>10204.081632653062</v>
      </c>
      <c r="CM20">
        <f>IFERROR(IND_JUNIO_2026[[#This Row],[IND_MontoPDP]]/IND_JUNIO_2026[[#This Row],[IND_PDP]],"")</f>
        <v>1200</v>
      </c>
    </row>
    <row r="21" spans="1:91" x14ac:dyDescent="0.25">
      <c r="A21" s="34" t="str" cm="1">
        <f t="array" ref="A21">IFERROR(VLOOKUP(D1_MAYO_2026[[#This Row],[ASESOR_CRR]],_xlfn._xlws.FILTER(PLANTILLA[[ASESOR]:[FECHA DE CESE]],PLANTILLA[FECHA]=_xlfn.CONCAT($M$3,"_",_xlfn.IFS($N$3="ENERO","1",$N$3="FEBRERO","2",$N$3="MARZO","3",$N$3="ABRIL","4",$N$3="MAYO","5",$N$3="JUNIO","6",$N$3="JULIO","7",$N$3="AGOSTO","8",$N$3="SETIEMBRE","9",$N$3="OCTUBRE","10",$N$3="NOVIEMBRE","11",$N$3="DICIEMBRE","12"))),3,0),"")</f>
        <v>JORGE</v>
      </c>
      <c r="B21" s="34" t="str" cm="1">
        <f t="array" ref="B2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FRANCO HUAMANI</v>
      </c>
      <c r="C21" s="34" cm="1">
        <f t="array" ref="C21">_xlfn.XLOOKUP(1,(TablaMeta[CONCAT]=$M$3&amp;$N$3&amp;D1_MAYO_2026[[#This Row],[SUPER]])*(TablaMeta[SEGG]=D1_MAYO_2026[[#This Row],[SEGMENTO]]),TablaMeta[Meta_Asesor])</f>
        <v>60000</v>
      </c>
      <c r="D21" s="35">
        <f>IF(D1_MAYO_2026[[#This Row],[RECUPERO]]="VACACIONES","VACACIONES",IFERROR(D1_MAYO_2026[[#This Row],[RECUPERO]]/D1_MAYO_2026[[#This Row],[META]],""))</f>
        <v>0.29833333333333334</v>
      </c>
      <c r="E21" s="35" t="str">
        <f>D1_MAYO_2026[[#This Row],[SUPER]]</f>
        <v>JORGE</v>
      </c>
      <c r="F21" t="s">
        <v>24</v>
      </c>
      <c r="G21" s="3">
        <v>17900</v>
      </c>
      <c r="H21" cm="1">
        <f t="array" ref="H21">IFERROR(VLOOKUP(D1_MAYO_2026[[#This Row],[ASESOR_CRR]],_xlfn._xlws.FILTER(PLANTILLA[[ASESOR]:[FECHA DE CESE]],PLANTILLA[FECHA]=_xlfn.CONCAT($M$3,"_",_xlfn.IFS($N$3="ENERO","1",$N$3="FEBRERO","2",$N$3="MARZO","3",$N$3="ABRIL","4",$N$3="MAYO","5",$N$3="JUNIO","6",$N$3="JULIO","7",$N$3="AGOSTO","8",$N$3="SETIEMBRE","9",$N$3="OCTUBRE","10",$N$3="NOVIEMBRE","11",$N$3="DICIEMBRE","12"))),2,0),"")</f>
        <v>43614775</v>
      </c>
      <c r="I21" s="55" cm="1">
        <f t="array" ref="I21">IFERROR(VLOOKUP(D1_MAYO_2026[[#This Row],[ASESOR_CRR]],_xlfn._xlws.FILTER(PLANTILLA[[ASESOR]:[FECHA DE CESE]],PLANTILLA[FECHA]=_xlfn.CONCAT($M$3,"_",_xlfn.IFS($N$3="ENERO","1",$N$3="FEBRERO","2",$N$3="MARZO","3",$N$3="ABRIL","4",$N$3="MAYO","5",$N$3="JUNIO","6",$N$3="JULIO","7",$N$3="AGOSTO","8",$N$3="SETIEMBRE","9",$N$3="OCTUBRE","10",$N$3="NOVIEMBRE","11",$N$3="DICIEMBRE","12"))),6,0),"")</f>
        <v>45334</v>
      </c>
      <c r="J21" s="55" t="str" cm="1">
        <f t="array" ref="J21">IFERROR(VLOOKUP(D1_MAYO_2026[[#This Row],[ASESOR_CRR]],_xlfn._xlws.FILTER(PLANTILLA[[ASESOR]:[FECHA DE CESE]],PLANTILLA[FECHA]=_xlfn.CONCAT($M$3,"_",_xlfn.IFS($N$3="ENERO","1",$N$3="FEBRERO","2",$N$3="MARZO","3",$N$3="ABRIL","4",$N$3="MAYO","5",$N$3="JUNIO","6",$N$3="JULIO","7",$N$3="AGOSTO","8",$N$3="SETIEMBRE","9",$N$3="OCTUBRE","10",$N$3="NOVIEMBRE","11",$N$3="DICIEMBRE","12"))),4,0),"")</f>
        <v>CALL</v>
      </c>
      <c r="K21" s="55" t="str" cm="1">
        <f t="array" ref="K21">IFERROR(VLOOKUP(D1_MAYO_2026[[#This Row],[ASESOR_CRR]],_xlfn._xlws.FILTER(PLANTILLA[[ASESOR]:[FECHA DE CESE]],PLANTILLA[FECHA]=_xlfn.CONCAT($M$3,"_",_xlfn.IFS($N$3="ENERO","1",$N$3="FEBRERO","2",$N$3="MARZO","3",$N$3="ABRIL","4",$N$3="MAYO","5",$N$3="JUNIO","6",$N$3="JULIO","7",$N$3="AGOSTO","8",$N$3="SETIEMBRE","9",$N$3="OCTUBRE","10",$N$3="NOVIEMBRE","11",$N$3="DICIEMBRE","12"))),8,0),"")</f>
        <v>S1</v>
      </c>
      <c r="L21" s="55"/>
      <c r="M21" s="5">
        <f>DATA_MAYO_2026[[#This Row],[RECUPERO]]/DATA_MAYO_2026[[#This Row],[META]]</f>
        <v>0.93155844155844159</v>
      </c>
      <c r="N21" s="5">
        <f>6-ROUNDUP(_xlfn.RANK.EQ(DATA_MAYO_2026[[#This Row],[AL_AC]],DATA_MAYO_2026[AL_AC],0)/(COUNTA(DATA_MAYO_2026[AL_AC])/5),0)</f>
        <v>5</v>
      </c>
      <c r="O21" s="54" t="str">
        <f>IFERROR(VLOOKUP(DATA_MAYO_2026[[#This Row],[ASER_]],$B:$G,4,0),"")</f>
        <v>SANDY</v>
      </c>
      <c r="P21" s="6">
        <f>VLOOKUP(DATA_MAYO_2026[[#This Row],[ASER_]],D1_MAYO_2026[[ASESOR_CRR]:[RECUPERO]],6,0)</f>
        <v>35865</v>
      </c>
      <c r="Q21" s="6">
        <f>VLOOKUP(DATA_MAYO_2026[[#This Row],[ASER_]],D1_MAYO_2026[[ASESOR_CRR]:[META]],2,0)</f>
        <v>38500</v>
      </c>
      <c r="R21" t="s">
        <v>22</v>
      </c>
      <c r="S21">
        <v>1400</v>
      </c>
      <c r="T21">
        <v>0</v>
      </c>
      <c r="U21">
        <v>0</v>
      </c>
      <c r="V21">
        <v>0</v>
      </c>
      <c r="W21">
        <v>100</v>
      </c>
      <c r="X21">
        <v>200</v>
      </c>
      <c r="Y21">
        <v>16500</v>
      </c>
      <c r="Z21">
        <v>0</v>
      </c>
      <c r="AA21">
        <v>500</v>
      </c>
      <c r="AB21">
        <v>11830</v>
      </c>
      <c r="AC21">
        <v>1905</v>
      </c>
      <c r="AD21">
        <v>0</v>
      </c>
      <c r="AE21">
        <v>0</v>
      </c>
      <c r="AF21">
        <v>1000</v>
      </c>
      <c r="AG21">
        <v>1500</v>
      </c>
      <c r="AH21">
        <v>0</v>
      </c>
      <c r="AI21">
        <v>930</v>
      </c>
      <c r="AN21" s="54" t="str" cm="1">
        <f t="array" ref="AN21">IFERROR(VLOOKUP(DATA_MAYO_2026[[#This Row],[ASER_]],_xlfn._xlws.FILTER(PLANTILLA[[ASESOR]:[FECHA DE CESE]],PLANTILLA[FECHA]=_xlfn.CONCAT($M$3,"_",_xlfn.IFS($N$3="ENERO","1",$N$3="FEBRERO","2",$N$3="MARZO","3",$N$3="ABRIL","4",$N$3="MAYO","5",$N$3="JUNIO","6",$N$3="JULIO","7",$N$3="AGOSTO","8",$N$3="SETIEMBRE","9",$N$3="OCTUBRE","10",$N$3="NOVIEMBRE","11",$N$3="DICIEMBRE","12"))),8,0),"")</f>
        <v>S0</v>
      </c>
      <c r="AO21" s="54">
        <f>SUM(DATA_MAYO_2026[[#This Row],[15]:[30]])</f>
        <v>5335</v>
      </c>
      <c r="AU21" s="45"/>
      <c r="BI21" s="45"/>
      <c r="BJ21" s="47"/>
      <c r="BM21" s="45"/>
      <c r="BN21" s="45"/>
      <c r="BX21" s="45" t="s">
        <v>636</v>
      </c>
      <c r="BY21" s="45" t="s">
        <v>125</v>
      </c>
      <c r="BZ21" s="45" t="s">
        <v>80</v>
      </c>
      <c r="CA21" s="55">
        <v>46177</v>
      </c>
      <c r="CB21" s="1">
        <f>IF(IND_JUNIO_2026[[#This Row],[IND_CANTFalta]]=1,0,IF(1-(IND_JUNIO_2026[[#This Row],[IND_Tardanza Tiempo]]*100%/0.166666666666667)&lt;0,0,1-(IND_JUNIO_2026[[#This Row],[IND_Tardanza Tiempo]]*100%/0.166666666666667)))</f>
        <v>0.99944444444444447</v>
      </c>
      <c r="CC21" s="45"/>
      <c r="CD21" s="93">
        <v>9.2592592592592588E-5</v>
      </c>
      <c r="CE21">
        <v>12</v>
      </c>
      <c r="CG21" s="1">
        <f>IFERROR(IND_JUNIO_2026[[#This Row],[IND_PDP]]/IND_JUNIO_2026[[#This Row],[IND_CEF Unico]],"")</f>
        <v>0</v>
      </c>
      <c r="CJ21" s="1" t="str">
        <f>IFERROR(IND_JUNIO_2026[[#This Row],[IND_Recupero]]/IND_JUNIO_2026[[#This Row],[IND_MontoPDP]],"")</f>
        <v/>
      </c>
      <c r="CK21" s="1" t="str">
        <f>IFERROR(IND_JUNIO_2026[[#This Row],[IND_MontoPDP]]/IND_JUNIO_2026[[#This Row],[DK]],"")</f>
        <v/>
      </c>
      <c r="CL21" t="s">
        <v>548</v>
      </c>
      <c r="CM21" t="str">
        <f>IFERROR(IND_JUNIO_2026[[#This Row],[IND_MontoPDP]]/IND_JUNIO_2026[[#This Row],[IND_PDP]],"")</f>
        <v/>
      </c>
    </row>
    <row r="22" spans="1:91" x14ac:dyDescent="0.25">
      <c r="A22" s="34" t="str" cm="1">
        <f t="array" ref="A22">IFERROR(VLOOKUP(D1_MAYO_2026[[#This Row],[ASESOR_CRR]],_xlfn._xlws.FILTER(PLANTILLA[[ASESOR]:[FECHA DE CESE]],PLANTILLA[FECHA]=_xlfn.CONCAT($M$3,"_",_xlfn.IFS($N$3="ENERO","1",$N$3="FEBRERO","2",$N$3="MARZO","3",$N$3="ABRIL","4",$N$3="MAYO","5",$N$3="JUNIO","6",$N$3="JULIO","7",$N$3="AGOSTO","8",$N$3="SETIEMBRE","9",$N$3="OCTUBRE","10",$N$3="NOVIEMBRE","11",$N$3="DICIEMBRE","12"))),3,0),"")</f>
        <v>JORGE</v>
      </c>
      <c r="B22" s="34" t="str" cm="1">
        <f t="array" ref="B2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VICTOR RAMIREZ</v>
      </c>
      <c r="C22" s="34" cm="1">
        <f t="array" ref="C22">_xlfn.XLOOKUP(1,(TablaMeta[CONCAT]=$M$3&amp;$N$3&amp;D1_MAYO_2026[[#This Row],[SUPER]])*(TablaMeta[SEGG]=D1_MAYO_2026[[#This Row],[SEGMENTO]]),TablaMeta[Meta_Asesor])</f>
        <v>60000</v>
      </c>
      <c r="D22" s="35">
        <f>IF(D1_MAYO_2026[[#This Row],[RECUPERO]]="VACACIONES","VACACIONES",IFERROR(D1_MAYO_2026[[#This Row],[RECUPERO]]/D1_MAYO_2026[[#This Row],[META]],""))</f>
        <v>0.2414</v>
      </c>
      <c r="E22" s="35" t="str">
        <f>D1_MAYO_2026[[#This Row],[SUPER]]</f>
        <v>JORGE</v>
      </c>
      <c r="F22" t="s">
        <v>76</v>
      </c>
      <c r="G22" s="3">
        <v>14484</v>
      </c>
      <c r="H22" cm="1">
        <f t="array" ref="H22">IFERROR(VLOOKUP(D1_MAYO_2026[[#This Row],[ASESOR_CRR]],_xlfn._xlws.FILTER(PLANTILLA[[ASESOR]:[FECHA DE CESE]],PLANTILLA[FECHA]=_xlfn.CONCAT($M$3,"_",_xlfn.IFS($N$3="ENERO","1",$N$3="FEBRERO","2",$N$3="MARZO","3",$N$3="ABRIL","4",$N$3="MAYO","5",$N$3="JUNIO","6",$N$3="JULIO","7",$N$3="AGOSTO","8",$N$3="SETIEMBRE","9",$N$3="OCTUBRE","10",$N$3="NOVIEMBRE","11",$N$3="DICIEMBRE","12"))),2,0),"")</f>
        <v>60914051</v>
      </c>
      <c r="I22" s="55" cm="1">
        <f t="array" ref="I22">IFERROR(VLOOKUP(D1_MAYO_2026[[#This Row],[ASESOR_CRR]],_xlfn._xlws.FILTER(PLANTILLA[[ASESOR]:[FECHA DE CESE]],PLANTILLA[FECHA]=_xlfn.CONCAT($M$3,"_",_xlfn.IFS($N$3="ENERO","1",$N$3="FEBRERO","2",$N$3="MARZO","3",$N$3="ABRIL","4",$N$3="MAYO","5",$N$3="JUNIO","6",$N$3="JULIO","7",$N$3="AGOSTO","8",$N$3="SETIEMBRE","9",$N$3="OCTUBRE","10",$N$3="NOVIEMBRE","11",$N$3="DICIEMBRE","12"))),6,0),"")</f>
        <v>44817</v>
      </c>
      <c r="J22" s="55" t="str" cm="1">
        <f t="array" ref="J22">IFERROR(VLOOKUP(D1_MAYO_2026[[#This Row],[ASESOR_CRR]],_xlfn._xlws.FILTER(PLANTILLA[[ASESOR]:[FECHA DE CESE]],PLANTILLA[FECHA]=_xlfn.CONCAT($M$3,"_",_xlfn.IFS($N$3="ENERO","1",$N$3="FEBRERO","2",$N$3="MARZO","3",$N$3="ABRIL","4",$N$3="MAYO","5",$N$3="JUNIO","6",$N$3="JULIO","7",$N$3="AGOSTO","8",$N$3="SETIEMBRE","9",$N$3="OCTUBRE","10",$N$3="NOVIEMBRE","11",$N$3="DICIEMBRE","12"))),4,0),"")</f>
        <v>CALL</v>
      </c>
      <c r="K22" s="55" t="str" cm="1">
        <f t="array" ref="K22">IFERROR(VLOOKUP(D1_MAYO_2026[[#This Row],[ASESOR_CRR]],_xlfn._xlws.FILTER(PLANTILLA[[ASESOR]:[FECHA DE CESE]],PLANTILLA[FECHA]=_xlfn.CONCAT($M$3,"_",_xlfn.IFS($N$3="ENERO","1",$N$3="FEBRERO","2",$N$3="MARZO","3",$N$3="ABRIL","4",$N$3="MAYO","5",$N$3="JUNIO","6",$N$3="JULIO","7",$N$3="AGOSTO","8",$N$3="SETIEMBRE","9",$N$3="OCTUBRE","10",$N$3="NOVIEMBRE","11",$N$3="DICIEMBRE","12"))),8,0),"")</f>
        <v>S1</v>
      </c>
      <c r="L22" s="55"/>
      <c r="M22" s="5">
        <f>DATA_MAYO_2026[[#This Row],[RECUPERO]]/DATA_MAYO_2026[[#This Row],[META]]</f>
        <v>0.5511688311688312</v>
      </c>
      <c r="N22" s="5">
        <f>6-ROUNDUP(_xlfn.RANK.EQ(DATA_MAYO_2026[[#This Row],[AL_AC]],DATA_MAYO_2026[AL_AC],0)/(COUNTA(DATA_MAYO_2026[AL_AC])/5),0)</f>
        <v>4</v>
      </c>
      <c r="O22" s="54" t="str">
        <f>IFERROR(VLOOKUP(DATA_MAYO_2026[[#This Row],[ASER_]],$B:$G,4,0),"")</f>
        <v>SANDY</v>
      </c>
      <c r="P22" s="6">
        <f>VLOOKUP(DATA_MAYO_2026[[#This Row],[ASER_]],D1_MAYO_2026[[ASESOR_CRR]:[RECUPERO]],6,0)</f>
        <v>21220</v>
      </c>
      <c r="Q22" s="6">
        <f>VLOOKUP(DATA_MAYO_2026[[#This Row],[ASER_]],D1_MAYO_2026[[ASESOR_CRR]:[META]],2,0)</f>
        <v>38500</v>
      </c>
      <c r="R22" t="s">
        <v>96</v>
      </c>
      <c r="S22" s="47">
        <v>0</v>
      </c>
      <c r="T22">
        <v>0</v>
      </c>
      <c r="U22">
        <v>460</v>
      </c>
      <c r="V22">
        <v>400</v>
      </c>
      <c r="W22">
        <v>300</v>
      </c>
      <c r="X22">
        <v>0</v>
      </c>
      <c r="Y22">
        <v>0</v>
      </c>
      <c r="Z22">
        <v>0</v>
      </c>
      <c r="AA22">
        <v>0</v>
      </c>
      <c r="AB22">
        <v>160</v>
      </c>
      <c r="AC22">
        <v>1000</v>
      </c>
      <c r="AD22">
        <v>17400</v>
      </c>
      <c r="AE22">
        <v>0</v>
      </c>
      <c r="AF22">
        <v>1000</v>
      </c>
      <c r="AG22">
        <v>0</v>
      </c>
      <c r="AH22">
        <v>500</v>
      </c>
      <c r="AI22">
        <v>0</v>
      </c>
      <c r="AN22" s="54" t="str" cm="1">
        <f t="array" ref="AN22">IFERROR(VLOOKUP(DATA_MAYO_2026[[#This Row],[ASER_]],_xlfn._xlws.FILTER(PLANTILLA[[ASESOR]:[FECHA DE CESE]],PLANTILLA[FECHA]=_xlfn.CONCAT($M$3,"_",_xlfn.IFS($N$3="ENERO","1",$N$3="FEBRERO","2",$N$3="MARZO","3",$N$3="ABRIL","4",$N$3="MAYO","5",$N$3="JUNIO","6",$N$3="JULIO","7",$N$3="AGOSTO","8",$N$3="SETIEMBRE","9",$N$3="OCTUBRE","10",$N$3="NOVIEMBRE","11",$N$3="DICIEMBRE","12"))),8,0),"")</f>
        <v>S0</v>
      </c>
      <c r="AO22" s="54">
        <f>SUM(DATA_MAYO_2026[[#This Row],[15]:[30]])</f>
        <v>19900</v>
      </c>
      <c r="AU22" s="47"/>
      <c r="BI22" s="47"/>
      <c r="BJ22" s="45"/>
      <c r="BM22" s="45"/>
      <c r="BX22" s="45" t="s">
        <v>636</v>
      </c>
      <c r="BY22" s="45" t="s">
        <v>125</v>
      </c>
      <c r="BZ22" s="45" t="s">
        <v>495</v>
      </c>
      <c r="CA22" s="55">
        <v>46176</v>
      </c>
      <c r="CB22" s="1">
        <f>IF(IND_JUNIO_2026[[#This Row],[IND_CANTFalta]]=1,0,IF(1-(IND_JUNIO_2026[[#This Row],[IND_Tardanza Tiempo]]*100%/0.166666666666667)&lt;0,0,1-(IND_JUNIO_2026[[#This Row],[IND_Tardanza Tiempo]]*100%/0.166666666666667)))</f>
        <v>0.984375</v>
      </c>
      <c r="CC22" s="45"/>
      <c r="CD22" s="93">
        <v>2.6041666666666665E-3</v>
      </c>
      <c r="CE22">
        <v>19</v>
      </c>
      <c r="CF22">
        <v>3</v>
      </c>
      <c r="CG22" s="1">
        <f>IFERROR(IND_JUNIO_2026[[#This Row],[IND_PDP]]/IND_JUNIO_2026[[#This Row],[IND_CEF Unico]],"")</f>
        <v>0.15789473684210525</v>
      </c>
      <c r="CH22">
        <v>5300</v>
      </c>
      <c r="CI22">
        <v>1100</v>
      </c>
      <c r="CJ22" s="1">
        <f>IFERROR(IND_JUNIO_2026[[#This Row],[IND_Recupero]]/IND_JUNIO_2026[[#This Row],[IND_MontoPDP]],"")</f>
        <v>0.20754716981132076</v>
      </c>
      <c r="CK22" s="1" t="str">
        <f>IFERROR(IND_JUNIO_2026[[#This Row],[IND_MontoPDP]]/IND_JUNIO_2026[[#This Row],[DK]],"")</f>
        <v/>
      </c>
      <c r="CL22" t="s">
        <v>548</v>
      </c>
      <c r="CM22">
        <f>IFERROR(IND_JUNIO_2026[[#This Row],[IND_MontoPDP]]/IND_JUNIO_2026[[#This Row],[IND_PDP]],"")</f>
        <v>1766.6666666666667</v>
      </c>
    </row>
    <row r="23" spans="1:91" x14ac:dyDescent="0.25">
      <c r="A23" s="34" t="str" cm="1">
        <f t="array" ref="A23">IFERROR(VLOOKUP(D1_MAYO_2026[[#This Row],[ASESOR_CRR]],_xlfn._xlws.FILTER(PLANTILLA[[ASESOR]:[FECHA DE CESE]],PLANTILLA[FECHA]=_xlfn.CONCAT($M$3,"_",_xlfn.IFS($N$3="ENERO","1",$N$3="FEBRERO","2",$N$3="MARZO","3",$N$3="ABRIL","4",$N$3="MAYO","5",$N$3="JUNIO","6",$N$3="JULIO","7",$N$3="AGOSTO","8",$N$3="SETIEMBRE","9",$N$3="OCTUBRE","10",$N$3="NOVIEMBRE","11",$N$3="DICIEMBRE","12"))),3,0),"")</f>
        <v>JORGE</v>
      </c>
      <c r="B23" s="34" t="str" cm="1">
        <f t="array" ref="B2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JHONATAN CHAVEZ</v>
      </c>
      <c r="C23" s="34" cm="1">
        <f t="array" ref="C23">_xlfn.XLOOKUP(1,(TablaMeta[CONCAT]=$M$3&amp;$N$3&amp;D1_MAYO_2026[[#This Row],[SUPER]])*(TablaMeta[SEGG]=D1_MAYO_2026[[#This Row],[SEGMENTO]]),TablaMeta[Meta_Asesor])</f>
        <v>60000</v>
      </c>
      <c r="D23" s="35">
        <f>IF(D1_MAYO_2026[[#This Row],[RECUPERO]]="VACACIONES","VACACIONES",IFERROR(D1_MAYO_2026[[#This Row],[RECUPERO]]/D1_MAYO_2026[[#This Row],[META]],""))</f>
        <v>0.18975</v>
      </c>
      <c r="E23" s="35" t="str">
        <f>D1_MAYO_2026[[#This Row],[SUPER]]</f>
        <v>JORGE</v>
      </c>
      <c r="F23" t="s">
        <v>65</v>
      </c>
      <c r="G23" s="3">
        <v>11385</v>
      </c>
      <c r="H23" cm="1">
        <f t="array" ref="H23">IFERROR(VLOOKUP(D1_MAYO_2026[[#This Row],[ASESOR_CRR]],_xlfn._xlws.FILTER(PLANTILLA[[ASESOR]:[FECHA DE CESE]],PLANTILLA[FECHA]=_xlfn.CONCAT($M$3,"_",_xlfn.IFS($N$3="ENERO","1",$N$3="FEBRERO","2",$N$3="MARZO","3",$N$3="ABRIL","4",$N$3="MAYO","5",$N$3="JUNIO","6",$N$3="JULIO","7",$N$3="AGOSTO","8",$N$3="SETIEMBRE","9",$N$3="OCTUBRE","10",$N$3="NOVIEMBRE","11",$N$3="DICIEMBRE","12"))),2,0),"")</f>
        <v>47659267</v>
      </c>
      <c r="I23" s="55" cm="1">
        <f t="array" ref="I23">IFERROR(VLOOKUP(D1_MAYO_2026[[#This Row],[ASESOR_CRR]],_xlfn._xlws.FILTER(PLANTILLA[[ASESOR]:[FECHA DE CESE]],PLANTILLA[FECHA]=_xlfn.CONCAT($M$3,"_",_xlfn.IFS($N$3="ENERO","1",$N$3="FEBRERO","2",$N$3="MARZO","3",$N$3="ABRIL","4",$N$3="MAYO","5",$N$3="JUNIO","6",$N$3="JULIO","7",$N$3="AGOSTO","8",$N$3="SETIEMBRE","9",$N$3="OCTUBRE","10",$N$3="NOVIEMBRE","11",$N$3="DICIEMBRE","12"))),6,0),"")</f>
        <v>45019</v>
      </c>
      <c r="J23" s="55" t="str" cm="1">
        <f t="array" ref="J23">IFERROR(VLOOKUP(D1_MAYO_2026[[#This Row],[ASESOR_CRR]],_xlfn._xlws.FILTER(PLANTILLA[[ASESOR]:[FECHA DE CESE]],PLANTILLA[FECHA]=_xlfn.CONCAT($M$3,"_",_xlfn.IFS($N$3="ENERO","1",$N$3="FEBRERO","2",$N$3="MARZO","3",$N$3="ABRIL","4",$N$3="MAYO","5",$N$3="JUNIO","6",$N$3="JULIO","7",$N$3="AGOSTO","8",$N$3="SETIEMBRE","9",$N$3="OCTUBRE","10",$N$3="NOVIEMBRE","11",$N$3="DICIEMBRE","12"))),4,0),"")</f>
        <v>CALL</v>
      </c>
      <c r="K23" s="55" t="str" cm="1">
        <f t="array" ref="K23">IFERROR(VLOOKUP(D1_MAYO_2026[[#This Row],[ASESOR_CRR]],_xlfn._xlws.FILTER(PLANTILLA[[ASESOR]:[FECHA DE CESE]],PLANTILLA[FECHA]=_xlfn.CONCAT($M$3,"_",_xlfn.IFS($N$3="ENERO","1",$N$3="FEBRERO","2",$N$3="MARZO","3",$N$3="ABRIL","4",$N$3="MAYO","5",$N$3="JUNIO","6",$N$3="JULIO","7",$N$3="AGOSTO","8",$N$3="SETIEMBRE","9",$N$3="OCTUBRE","10",$N$3="NOVIEMBRE","11",$N$3="DICIEMBRE","12"))),8,0),"")</f>
        <v>S1</v>
      </c>
      <c r="L23" s="55"/>
      <c r="M23" s="5">
        <f>DATA_MAYO_2026[[#This Row],[RECUPERO]]/DATA_MAYO_2026[[#This Row],[META]]</f>
        <v>0.63545454545454549</v>
      </c>
      <c r="N23" s="5">
        <f>6-ROUNDUP(_xlfn.RANK.EQ(DATA_MAYO_2026[[#This Row],[AL_AC]],DATA_MAYO_2026[AL_AC],0)/(COUNTA(DATA_MAYO_2026[AL_AC])/5),0)</f>
        <v>4</v>
      </c>
      <c r="O23" s="54" t="str">
        <f>IFERROR(VLOOKUP(DATA_MAYO_2026[[#This Row],[ASER_]],$B:$G,4,0),"")</f>
        <v>SANDY</v>
      </c>
      <c r="P23" s="6">
        <f>VLOOKUP(DATA_MAYO_2026[[#This Row],[ASER_]],D1_MAYO_2026[[ASESOR_CRR]:[RECUPERO]],6,0)</f>
        <v>24465</v>
      </c>
      <c r="Q23" s="6">
        <f>VLOOKUP(DATA_MAYO_2026[[#This Row],[ASER_]],D1_MAYO_2026[[ASESOR_CRR]:[META]],2,0)</f>
        <v>38500</v>
      </c>
      <c r="R23" t="s">
        <v>32</v>
      </c>
      <c r="S23" s="47">
        <v>0</v>
      </c>
      <c r="T23">
        <v>0</v>
      </c>
      <c r="U23">
        <v>0</v>
      </c>
      <c r="V23">
        <v>4000</v>
      </c>
      <c r="W23">
        <v>0</v>
      </c>
      <c r="X23">
        <v>4000</v>
      </c>
      <c r="Y23">
        <v>0</v>
      </c>
      <c r="Z23">
        <v>1500</v>
      </c>
      <c r="AA23">
        <v>0</v>
      </c>
      <c r="AB23">
        <v>6285</v>
      </c>
      <c r="AC23">
        <v>2800</v>
      </c>
      <c r="AD23">
        <v>0</v>
      </c>
      <c r="AE23">
        <v>3100</v>
      </c>
      <c r="AF23">
        <v>0</v>
      </c>
      <c r="AG23">
        <v>2550</v>
      </c>
      <c r="AH23">
        <v>230</v>
      </c>
      <c r="AI23">
        <v>0</v>
      </c>
      <c r="AN23" s="54" t="str" cm="1">
        <f t="array" ref="AN23">IFERROR(VLOOKUP(DATA_MAYO_2026[[#This Row],[ASER_]],_xlfn._xlws.FILTER(PLANTILLA[[ASESOR]:[FECHA DE CESE]],PLANTILLA[FECHA]=_xlfn.CONCAT($M$3,"_",_xlfn.IFS($N$3="ENERO","1",$N$3="FEBRERO","2",$N$3="MARZO","3",$N$3="ABRIL","4",$N$3="MAYO","5",$N$3="JUNIO","6",$N$3="JULIO","7",$N$3="AGOSTO","8",$N$3="SETIEMBRE","9",$N$3="OCTUBRE","10",$N$3="NOVIEMBRE","11",$N$3="DICIEMBRE","12"))),8,0),"")</f>
        <v>S0</v>
      </c>
      <c r="AO23" s="54">
        <f>SUM(DATA_MAYO_2026[[#This Row],[15]:[30]])</f>
        <v>8680</v>
      </c>
      <c r="BI23" s="45"/>
      <c r="BX23" s="45" t="s">
        <v>636</v>
      </c>
      <c r="BY23" s="45" t="s">
        <v>125</v>
      </c>
      <c r="BZ23" s="45" t="s">
        <v>495</v>
      </c>
      <c r="CA23" s="55">
        <v>46177</v>
      </c>
      <c r="CB23" s="1">
        <f>IF(IND_JUNIO_2026[[#This Row],[IND_CANTFalta]]=1,0,IF(1-(IND_JUNIO_2026[[#This Row],[IND_Tardanza Tiempo]]*100%/0.166666666666667)&lt;0,0,1-(IND_JUNIO_2026[[#This Row],[IND_Tardanza Tiempo]]*100%/0.166666666666667)))</f>
        <v>1</v>
      </c>
      <c r="CC23" s="45"/>
      <c r="CD23" s="93">
        <v>0</v>
      </c>
      <c r="CE23">
        <v>19</v>
      </c>
      <c r="CG23" s="1">
        <f>IFERROR(IND_JUNIO_2026[[#This Row],[IND_PDP]]/IND_JUNIO_2026[[#This Row],[IND_CEF Unico]],"")</f>
        <v>0</v>
      </c>
      <c r="CJ23" s="1" t="str">
        <f>IFERROR(IND_JUNIO_2026[[#This Row],[IND_Recupero]]/IND_JUNIO_2026[[#This Row],[IND_MontoPDP]],"")</f>
        <v/>
      </c>
      <c r="CK23" s="1" t="str">
        <f>IFERROR(IND_JUNIO_2026[[#This Row],[IND_MontoPDP]]/IND_JUNIO_2026[[#This Row],[DK]],"")</f>
        <v/>
      </c>
      <c r="CL23" t="s">
        <v>548</v>
      </c>
      <c r="CM23" t="str">
        <f>IFERROR(IND_JUNIO_2026[[#This Row],[IND_MontoPDP]]/IND_JUNIO_2026[[#This Row],[IND_PDP]],"")</f>
        <v/>
      </c>
    </row>
    <row r="24" spans="1:91" x14ac:dyDescent="0.25">
      <c r="A24" s="34" t="str" cm="1">
        <f t="array" ref="A24">IFERROR(VLOOKUP(D1_MAYO_2026[[#This Row],[ASESOR_CRR]],_xlfn._xlws.FILTER(PLANTILLA[[ASESOR]:[FECHA DE CESE]],PLANTILLA[FECHA]=_xlfn.CONCAT($M$3,"_",_xlfn.IFS($N$3="ENERO","1",$N$3="FEBRERO","2",$N$3="MARZO","3",$N$3="ABRIL","4",$N$3="MAYO","5",$N$3="JUNIO","6",$N$3="JULIO","7",$N$3="AGOSTO","8",$N$3="SETIEMBRE","9",$N$3="OCTUBRE","10",$N$3="NOVIEMBRE","11",$N$3="DICIEMBRE","12"))),3,0),"")</f>
        <v>JORGE</v>
      </c>
      <c r="B24" s="34" t="str" cm="1">
        <f t="array" ref="B2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ANDERSON RODRIGUEZ</v>
      </c>
      <c r="C24" s="34" cm="1">
        <f t="array" ref="C24">_xlfn.XLOOKUP(1,(TablaMeta[CONCAT]=$M$3&amp;$N$3&amp;D1_MAYO_2026[[#This Row],[SUPER]])*(TablaMeta[SEGG]=D1_MAYO_2026[[#This Row],[SEGMENTO]]),TablaMeta[Meta_Asesor])</f>
        <v>60000</v>
      </c>
      <c r="D24" s="35">
        <f>IF(D1_MAYO_2026[[#This Row],[RECUPERO]]="VACACIONES","VACACIONES",IFERROR(D1_MAYO_2026[[#This Row],[RECUPERO]]/D1_MAYO_2026[[#This Row],[META]],""))</f>
        <v>9.2733333333333334E-2</v>
      </c>
      <c r="E24" s="35" t="str">
        <f>D1_MAYO_2026[[#This Row],[SUPER]]</f>
        <v>JORGE</v>
      </c>
      <c r="F24" t="s">
        <v>15</v>
      </c>
      <c r="G24" s="3">
        <v>5564</v>
      </c>
      <c r="H24" cm="1">
        <f t="array" ref="H24">IFERROR(VLOOKUP(D1_MAYO_2026[[#This Row],[ASESOR_CRR]],_xlfn._xlws.FILTER(PLANTILLA[[ASESOR]:[FECHA DE CESE]],PLANTILLA[FECHA]=_xlfn.CONCAT($M$3,"_",_xlfn.IFS($N$3="ENERO","1",$N$3="FEBRERO","2",$N$3="MARZO","3",$N$3="ABRIL","4",$N$3="MAYO","5",$N$3="JUNIO","6",$N$3="JULIO","7",$N$3="AGOSTO","8",$N$3="SETIEMBRE","9",$N$3="OCTUBRE","10",$N$3="NOVIEMBRE","11",$N$3="DICIEMBRE","12"))),2,0),"")</f>
        <v>47587400</v>
      </c>
      <c r="I24" s="55" cm="1">
        <f t="array" ref="I24">IFERROR(VLOOKUP(D1_MAYO_2026[[#This Row],[ASESOR_CRR]],_xlfn._xlws.FILTER(PLANTILLA[[ASESOR]:[FECHA DE CESE]],PLANTILLA[FECHA]=_xlfn.CONCAT($M$3,"_",_xlfn.IFS($N$3="ENERO","1",$N$3="FEBRERO","2",$N$3="MARZO","3",$N$3="ABRIL","4",$N$3="MAYO","5",$N$3="JUNIO","6",$N$3="JULIO","7",$N$3="AGOSTO","8",$N$3="SETIEMBRE","9",$N$3="OCTUBRE","10",$N$3="NOVIEMBRE","11",$N$3="DICIEMBRE","12"))),6,0),"")</f>
        <v>44733</v>
      </c>
      <c r="J24" s="55" t="str" cm="1">
        <f t="array" ref="J24">IFERROR(VLOOKUP(D1_MAYO_2026[[#This Row],[ASESOR_CRR]],_xlfn._xlws.FILTER(PLANTILLA[[ASESOR]:[FECHA DE CESE]],PLANTILLA[FECHA]=_xlfn.CONCAT($M$3,"_",_xlfn.IFS($N$3="ENERO","1",$N$3="FEBRERO","2",$N$3="MARZO","3",$N$3="ABRIL","4",$N$3="MAYO","5",$N$3="JUNIO","6",$N$3="JULIO","7",$N$3="AGOSTO","8",$N$3="SETIEMBRE","9",$N$3="OCTUBRE","10",$N$3="NOVIEMBRE","11",$N$3="DICIEMBRE","12"))),4,0),"")</f>
        <v>CALL</v>
      </c>
      <c r="K24" s="55" t="str" cm="1">
        <f t="array" ref="K24">IFERROR(VLOOKUP(D1_MAYO_2026[[#This Row],[ASESOR_CRR]],_xlfn._xlws.FILTER(PLANTILLA[[ASESOR]:[FECHA DE CESE]],PLANTILLA[FECHA]=_xlfn.CONCAT($M$3,"_",_xlfn.IFS($N$3="ENERO","1",$N$3="FEBRERO","2",$N$3="MARZO","3",$N$3="ABRIL","4",$N$3="MAYO","5",$N$3="JUNIO","6",$N$3="JULIO","7",$N$3="AGOSTO","8",$N$3="SETIEMBRE","9",$N$3="OCTUBRE","10",$N$3="NOVIEMBRE","11",$N$3="DICIEMBRE","12"))),8,0),"")</f>
        <v>S1</v>
      </c>
      <c r="L24" s="55"/>
      <c r="M24" s="5">
        <f>DATA_MAYO_2026[[#This Row],[RECUPERO]]/DATA_MAYO_2026[[#This Row],[META]]</f>
        <v>0.62599027777777783</v>
      </c>
      <c r="N24" s="5">
        <f>6-ROUNDUP(_xlfn.RANK.EQ(DATA_MAYO_2026[[#This Row],[AL_AC]],DATA_MAYO_2026[AL_AC],0)/(COUNTA(DATA_MAYO_2026[AL_AC])/5),0)</f>
        <v>4</v>
      </c>
      <c r="O24" s="54" t="str">
        <f>IFERROR(VLOOKUP(DATA_MAYO_2026[[#This Row],[ASER_]],$B:$G,4,0),"")</f>
        <v>SANDY</v>
      </c>
      <c r="P24" s="6">
        <f>VLOOKUP(DATA_MAYO_2026[[#This Row],[ASER_]],D1_MAYO_2026[[ASESOR_CRR]:[RECUPERO]],6,0)</f>
        <v>45071.3</v>
      </c>
      <c r="Q24" s="6">
        <f>VLOOKUP(DATA_MAYO_2026[[#This Row],[ASER_]],D1_MAYO_2026[[ASESOR_CRR]:[META]],2,0)</f>
        <v>72000</v>
      </c>
      <c r="R24" t="s">
        <v>60</v>
      </c>
      <c r="S24" s="47">
        <v>800</v>
      </c>
      <c r="T24">
        <v>11256</v>
      </c>
      <c r="U24">
        <v>0</v>
      </c>
      <c r="V24">
        <v>0</v>
      </c>
      <c r="W24">
        <v>0</v>
      </c>
      <c r="X24">
        <v>1000</v>
      </c>
      <c r="Y24">
        <v>0</v>
      </c>
      <c r="Z24">
        <v>0</v>
      </c>
      <c r="AA24">
        <v>0</v>
      </c>
      <c r="AB24" s="6">
        <v>0</v>
      </c>
      <c r="AC24" s="6">
        <v>1000</v>
      </c>
      <c r="AD24" s="6">
        <v>3854.8</v>
      </c>
      <c r="AE24" s="6">
        <v>0</v>
      </c>
      <c r="AF24" s="6">
        <v>500</v>
      </c>
      <c r="AG24" s="6">
        <v>26660.5</v>
      </c>
      <c r="AH24" s="6">
        <v>0</v>
      </c>
      <c r="AI24">
        <v>0</v>
      </c>
      <c r="AN24" s="54" t="str" cm="1">
        <f t="array" ref="AN24">IFERROR(VLOOKUP(DATA_MAYO_2026[[#This Row],[ASER_]],_xlfn._xlws.FILTER(PLANTILLA[[ASESOR]:[FECHA DE CESE]],PLANTILLA[FECHA]=_xlfn.CONCAT($M$3,"_",_xlfn.IFS($N$3="ENERO","1",$N$3="FEBRERO","2",$N$3="MARZO","3",$N$3="ABRIL","4",$N$3="MAYO","5",$N$3="JUNIO","6",$N$3="JULIO","7",$N$3="AGOSTO","8",$N$3="SETIEMBRE","9",$N$3="OCTUBRE","10",$N$3="NOVIEMBRE","11",$N$3="DICIEMBRE","12"))),8,0),"")</f>
        <v>COINVERSIÓN</v>
      </c>
      <c r="AO24" s="54">
        <f>SUM(DATA_MAYO_2026[[#This Row],[15]:[30]])</f>
        <v>32015.3</v>
      </c>
      <c r="BM24" s="45"/>
      <c r="BX24" s="45" t="s">
        <v>636</v>
      </c>
      <c r="BY24" s="45" t="s">
        <v>125</v>
      </c>
      <c r="BZ24" s="45" t="s">
        <v>495</v>
      </c>
      <c r="CA24" s="55">
        <v>46178</v>
      </c>
      <c r="CB24" s="1">
        <f>IF(IND_JUNIO_2026[[#This Row],[IND_CANTFalta]]=1,0,IF(1-(IND_JUNIO_2026[[#This Row],[IND_Tardanza Tiempo]]*100%/0.166666666666667)&lt;0,0,1-(IND_JUNIO_2026[[#This Row],[IND_Tardanza Tiempo]]*100%/0.166666666666667)))</f>
        <v>0.99604166666666671</v>
      </c>
      <c r="CC24" s="45"/>
      <c r="CD24" s="93">
        <v>6.5972222222222224E-4</v>
      </c>
      <c r="CE24">
        <v>8</v>
      </c>
      <c r="CG24" s="1">
        <f>IFERROR(IND_JUNIO_2026[[#This Row],[IND_PDP]]/IND_JUNIO_2026[[#This Row],[IND_CEF Unico]],"")</f>
        <v>0</v>
      </c>
      <c r="CJ24" s="1" t="str">
        <f>IFERROR(IND_JUNIO_2026[[#This Row],[IND_Recupero]]/IND_JUNIO_2026[[#This Row],[IND_MontoPDP]],"")</f>
        <v/>
      </c>
      <c r="CK24" s="1" t="str">
        <f>IFERROR(IND_JUNIO_2026[[#This Row],[IND_MontoPDP]]/IND_JUNIO_2026[[#This Row],[DK]],"")</f>
        <v/>
      </c>
      <c r="CL24" t="s">
        <v>548</v>
      </c>
      <c r="CM24" t="str">
        <f>IFERROR(IND_JUNIO_2026[[#This Row],[IND_MontoPDP]]/IND_JUNIO_2026[[#This Row],[IND_PDP]],"")</f>
        <v/>
      </c>
    </row>
    <row r="25" spans="1:91" x14ac:dyDescent="0.25">
      <c r="A25" s="34" t="str" cm="1">
        <f t="array" ref="A25">IFERROR(VLOOKUP(D1_MAYO_2026[[#This Row],[ASESOR_CRR]],_xlfn._xlws.FILTER(PLANTILLA[[ASESOR]:[FECHA DE CESE]],PLANTILLA[FECHA]=_xlfn.CONCAT($M$3,"_",_xlfn.IFS($N$3="ENERO","1",$N$3="FEBRERO","2",$N$3="MARZO","3",$N$3="ABRIL","4",$N$3="MAYO","5",$N$3="JUNIO","6",$N$3="JULIO","7",$N$3="AGOSTO","8",$N$3="SETIEMBRE","9",$N$3="OCTUBRE","10",$N$3="NOVIEMBRE","11",$N$3="DICIEMBRE","12"))),3,0),"")</f>
        <v>JORGE</v>
      </c>
      <c r="B25" s="34" t="str" cm="1">
        <f t="array" ref="B2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DAVID SANCHEZ</v>
      </c>
      <c r="C25" s="34" cm="1">
        <f t="array" ref="C25">_xlfn.XLOOKUP(1,(TablaMeta[CONCAT]=$M$3&amp;$N$3&amp;D1_MAYO_2026[[#This Row],[SUPER]])*(TablaMeta[SEGG]=D1_MAYO_2026[[#This Row],[SEGMENTO]]),TablaMeta[Meta_Asesor])</f>
        <v>60000</v>
      </c>
      <c r="D25" s="35">
        <f>IF(D1_MAYO_2026[[#This Row],[RECUPERO]]="VACACIONES","VACACIONES",IFERROR(D1_MAYO_2026[[#This Row],[RECUPERO]]/D1_MAYO_2026[[#This Row],[META]],""))</f>
        <v>4.6666666666666669E-2</v>
      </c>
      <c r="E25" s="35" t="str">
        <f>D1_MAYO_2026[[#This Row],[SUPER]]</f>
        <v>JORGE</v>
      </c>
      <c r="F25" t="s">
        <v>81</v>
      </c>
      <c r="G25" s="3">
        <v>2800</v>
      </c>
      <c r="H25" cm="1">
        <f t="array" ref="H25">IFERROR(VLOOKUP(D1_MAYO_2026[[#This Row],[ASESOR_CRR]],_xlfn._xlws.FILTER(PLANTILLA[[ASESOR]:[FECHA DE CESE]],PLANTILLA[FECHA]=_xlfn.CONCAT($M$3,"_",_xlfn.IFS($N$3="ENERO","1",$N$3="FEBRERO","2",$N$3="MARZO","3",$N$3="ABRIL","4",$N$3="MAYO","5",$N$3="JUNIO","6",$N$3="JULIO","7",$N$3="AGOSTO","8",$N$3="SETIEMBRE","9",$N$3="OCTUBRE","10",$N$3="NOVIEMBRE","11",$N$3="DICIEMBRE","12"))),2,0),"")</f>
        <v>72716299</v>
      </c>
      <c r="I25" s="55" cm="1">
        <f t="array" ref="I25">IFERROR(VLOOKUP(D1_MAYO_2026[[#This Row],[ASESOR_CRR]],_xlfn._xlws.FILTER(PLANTILLA[[ASESOR]:[FECHA DE CESE]],PLANTILLA[FECHA]=_xlfn.CONCAT($M$3,"_",_xlfn.IFS($N$3="ENERO","1",$N$3="FEBRERO","2",$N$3="MARZO","3",$N$3="ABRIL","4",$N$3="MAYO","5",$N$3="JUNIO","6",$N$3="JULIO","7",$N$3="AGOSTO","8",$N$3="SETIEMBRE","9",$N$3="OCTUBRE","10",$N$3="NOVIEMBRE","11",$N$3="DICIEMBRE","12"))),6,0),"")</f>
        <v>45511</v>
      </c>
      <c r="J25" s="55" t="str" cm="1">
        <f t="array" ref="J25">IFERROR(VLOOKUP(D1_MAYO_2026[[#This Row],[ASESOR_CRR]],_xlfn._xlws.FILTER(PLANTILLA[[ASESOR]:[FECHA DE CESE]],PLANTILLA[FECHA]=_xlfn.CONCAT($M$3,"_",_xlfn.IFS($N$3="ENERO","1",$N$3="FEBRERO","2",$N$3="MARZO","3",$N$3="ABRIL","4",$N$3="MAYO","5",$N$3="JUNIO","6",$N$3="JULIO","7",$N$3="AGOSTO","8",$N$3="SETIEMBRE","9",$N$3="OCTUBRE","10",$N$3="NOVIEMBRE","11",$N$3="DICIEMBRE","12"))),4,0),"")</f>
        <v>CALL</v>
      </c>
      <c r="K25" s="55" t="str" cm="1">
        <f t="array" ref="K25">IFERROR(VLOOKUP(D1_MAYO_2026[[#This Row],[ASESOR_CRR]],_xlfn._xlws.FILTER(PLANTILLA[[ASESOR]:[FECHA DE CESE]],PLANTILLA[FECHA]=_xlfn.CONCAT($M$3,"_",_xlfn.IFS($N$3="ENERO","1",$N$3="FEBRERO","2",$N$3="MARZO","3",$N$3="ABRIL","4",$N$3="MAYO","5",$N$3="JUNIO","6",$N$3="JULIO","7",$N$3="AGOSTO","8",$N$3="SETIEMBRE","9",$N$3="OCTUBRE","10",$N$3="NOVIEMBRE","11",$N$3="DICIEMBRE","12"))),8,0),"")</f>
        <v>S1</v>
      </c>
      <c r="L25" s="55"/>
      <c r="M25" s="5">
        <f>DATA_MAYO_2026[[#This Row],[RECUPERO]]/DATA_MAYO_2026[[#This Row],[META]]</f>
        <v>0.31616666666666665</v>
      </c>
      <c r="N25" s="5">
        <f>6-ROUNDUP(_xlfn.RANK.EQ(DATA_MAYO_2026[[#This Row],[AL_AC]],DATA_MAYO_2026[AL_AC],0)/(COUNTA(DATA_MAYO_2026[AL_AC])/5),0)</f>
        <v>2</v>
      </c>
      <c r="O25" s="54" t="str">
        <f>IFERROR(VLOOKUP(DATA_MAYO_2026[[#This Row],[ASER_]],$B:$G,4,0),"")</f>
        <v>SANDY</v>
      </c>
      <c r="P25" s="6">
        <f>VLOOKUP(DATA_MAYO_2026[[#This Row],[ASER_]],D1_MAYO_2026[[ASESOR_CRR]:[RECUPERO]],6,0)</f>
        <v>22764</v>
      </c>
      <c r="Q25" s="6">
        <f>VLOOKUP(DATA_MAYO_2026[[#This Row],[ASER_]],D1_MAYO_2026[[ASESOR_CRR]:[META]],2,0)</f>
        <v>72000</v>
      </c>
      <c r="R25" t="s">
        <v>79</v>
      </c>
      <c r="S25" s="45">
        <v>0</v>
      </c>
      <c r="T25">
        <v>1000</v>
      </c>
      <c r="U25">
        <v>0</v>
      </c>
      <c r="V25">
        <v>0</v>
      </c>
      <c r="W25" s="5">
        <v>0</v>
      </c>
      <c r="X25" s="6">
        <v>0</v>
      </c>
      <c r="Y25" s="6">
        <v>3900</v>
      </c>
      <c r="Z25" s="6">
        <v>0</v>
      </c>
      <c r="AA25" s="6">
        <v>0</v>
      </c>
      <c r="AB25" s="6">
        <v>1500</v>
      </c>
      <c r="AC25" s="6">
        <v>0</v>
      </c>
      <c r="AD25" s="6">
        <v>1000</v>
      </c>
      <c r="AE25" s="6">
        <v>1000</v>
      </c>
      <c r="AF25" s="6">
        <v>7732</v>
      </c>
      <c r="AG25" s="6">
        <v>6632</v>
      </c>
      <c r="AH25" s="6">
        <v>0</v>
      </c>
      <c r="AI25" s="6">
        <v>0</v>
      </c>
      <c r="AJ25" s="6"/>
      <c r="AK25" s="6"/>
      <c r="AL25" s="6"/>
      <c r="AM25" s="6"/>
      <c r="AN25" s="54" t="str" cm="1">
        <f t="array" ref="AN25">IFERROR(VLOOKUP(DATA_MAYO_2026[[#This Row],[ASER_]],_xlfn._xlws.FILTER(PLANTILLA[[ASESOR]:[FECHA DE CESE]],PLANTILLA[FECHA]=_xlfn.CONCAT($M$3,"_",_xlfn.IFS($N$3="ENERO","1",$N$3="FEBRERO","2",$N$3="MARZO","3",$N$3="ABRIL","4",$N$3="MAYO","5",$N$3="JUNIO","6",$N$3="JULIO","7",$N$3="AGOSTO","8",$N$3="SETIEMBRE","9",$N$3="OCTUBRE","10",$N$3="NOVIEMBRE","11",$N$3="DICIEMBRE","12"))),8,0),"")</f>
        <v>COINVERSIÓN</v>
      </c>
      <c r="AO25" s="54">
        <f>SUM(DATA_MAYO_2026[[#This Row],[15]:[30]])</f>
        <v>16364</v>
      </c>
      <c r="BX25" s="45" t="s">
        <v>636</v>
      </c>
      <c r="BY25" s="45" t="s">
        <v>125</v>
      </c>
      <c r="BZ25" s="45" t="s">
        <v>72</v>
      </c>
      <c r="CA25" s="55">
        <v>46174</v>
      </c>
      <c r="CB25" s="1">
        <f>IF(IND_JUNIO_2026[[#This Row],[IND_CANTFalta]]=1,0,IF(1-(IND_JUNIO_2026[[#This Row],[IND_Tardanza Tiempo]]*100%/0.166666666666667)&lt;0,0,1-(IND_JUNIO_2026[[#This Row],[IND_Tardanza Tiempo]]*100%/0.166666666666667)))</f>
        <v>0.99979166666666663</v>
      </c>
      <c r="CC25" s="45"/>
      <c r="CD25" s="93">
        <v>3.4722222222222222E-5</v>
      </c>
      <c r="CE25">
        <v>46</v>
      </c>
      <c r="CF25">
        <v>6</v>
      </c>
      <c r="CG25" s="1">
        <f>IFERROR(IND_JUNIO_2026[[#This Row],[IND_PDP]]/IND_JUNIO_2026[[#This Row],[IND_CEF Unico]],"")</f>
        <v>0.13043478260869565</v>
      </c>
      <c r="CH25">
        <v>2845</v>
      </c>
      <c r="CJ25" s="1">
        <f>IFERROR(IND_JUNIO_2026[[#This Row],[IND_Recupero]]/IND_JUNIO_2026[[#This Row],[IND_MontoPDP]],"")</f>
        <v>0</v>
      </c>
      <c r="CK25" s="1" t="str">
        <f>IFERROR(IND_JUNIO_2026[[#This Row],[IND_MontoPDP]]/IND_JUNIO_2026[[#This Row],[DK]],"")</f>
        <v/>
      </c>
      <c r="CL25" t="s">
        <v>548</v>
      </c>
      <c r="CM25">
        <f>IFERROR(IND_JUNIO_2026[[#This Row],[IND_MontoPDP]]/IND_JUNIO_2026[[#This Row],[IND_PDP]],"")</f>
        <v>474.16666666666669</v>
      </c>
    </row>
    <row r="26" spans="1:91" x14ac:dyDescent="0.25">
      <c r="A26" s="34" t="str" cm="1">
        <f t="array" ref="A26">IFERROR(VLOOKUP(D1_MAYO_2026[[#This Row],[ASESOR_CRR]],_xlfn._xlws.FILTER(PLANTILLA[[ASESOR]:[FECHA DE CESE]],PLANTILLA[FECHA]=_xlfn.CONCAT($M$3,"_",_xlfn.IFS($N$3="ENERO","1",$N$3="FEBRERO","2",$N$3="MARZO","3",$N$3="ABRIL","4",$N$3="MAYO","5",$N$3="JUNIO","6",$N$3="JULIO","7",$N$3="AGOSTO","8",$N$3="SETIEMBRE","9",$N$3="OCTUBRE","10",$N$3="NOVIEMBRE","11",$N$3="DICIEMBRE","12"))),3,0),"")</f>
        <v>SANDY</v>
      </c>
      <c r="B26" s="34" t="str" cm="1">
        <f t="array" ref="B2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GENESIS PALACIOS</v>
      </c>
      <c r="C26" s="34" cm="1">
        <f t="array" ref="C26">_xlfn.XLOOKUP(1,(TablaMeta[CONCAT]=$M$3&amp;$N$3&amp;D1_MAYO_2026[[#This Row],[SUPER]])*(TablaMeta[SEGG]=D1_MAYO_2026[[#This Row],[SEGMENTO]]),TablaMeta[Meta_Asesor])</f>
        <v>38500</v>
      </c>
      <c r="D26" s="35">
        <f>IF(D1_MAYO_2026[[#This Row],[RECUPERO]]="VACACIONES","VACACIONES",IFERROR(D1_MAYO_2026[[#This Row],[RECUPERO]]/D1_MAYO_2026[[#This Row],[META]],""))</f>
        <v>0.97</v>
      </c>
      <c r="E26" s="35" t="str">
        <f>D1_MAYO_2026[[#This Row],[SUPER]]</f>
        <v>SANDY</v>
      </c>
      <c r="F26" t="s">
        <v>493</v>
      </c>
      <c r="G26" s="3">
        <v>37345</v>
      </c>
      <c r="H26" cm="1">
        <f t="array" ref="H26">IFERROR(VLOOKUP(D1_MAYO_2026[[#This Row],[ASESOR_CRR]],_xlfn._xlws.FILTER(PLANTILLA[[ASESOR]:[FECHA DE CESE]],PLANTILLA[FECHA]=_xlfn.CONCAT($M$3,"_",_xlfn.IFS($N$3="ENERO","1",$N$3="FEBRERO","2",$N$3="MARZO","3",$N$3="ABRIL","4",$N$3="MAYO","5",$N$3="JUNIO","6",$N$3="JULIO","7",$N$3="AGOSTO","8",$N$3="SETIEMBRE","9",$N$3="OCTUBRE","10",$N$3="NOVIEMBRE","11",$N$3="DICIEMBRE","12"))),2,0),"")</f>
        <v>75026229</v>
      </c>
      <c r="I26" s="55" cm="1">
        <f t="array" ref="I26">IFERROR(VLOOKUP(D1_MAYO_2026[[#This Row],[ASESOR_CRR]],_xlfn._xlws.FILTER(PLANTILLA[[ASESOR]:[FECHA DE CESE]],PLANTILLA[FECHA]=_xlfn.CONCAT($M$3,"_",_xlfn.IFS($N$3="ENERO","1",$N$3="FEBRERO","2",$N$3="MARZO","3",$N$3="ABRIL","4",$N$3="MAYO","5",$N$3="JUNIO","6",$N$3="JULIO","7",$N$3="AGOSTO","8",$N$3="SETIEMBRE","9",$N$3="OCTUBRE","10",$N$3="NOVIEMBRE","11",$N$3="DICIEMBRE","12"))),6,0),"")</f>
        <v>46052</v>
      </c>
      <c r="J26" s="55" t="str" cm="1">
        <f t="array" ref="J26">IFERROR(VLOOKUP(D1_MAYO_2026[[#This Row],[ASESOR_CRR]],_xlfn._xlws.FILTER(PLANTILLA[[ASESOR]:[FECHA DE CESE]],PLANTILLA[FECHA]=_xlfn.CONCAT($M$3,"_",_xlfn.IFS($N$3="ENERO","1",$N$3="FEBRERO","2",$N$3="MARZO","3",$N$3="ABRIL","4",$N$3="MAYO","5",$N$3="JUNIO","6",$N$3="JULIO","7",$N$3="AGOSTO","8",$N$3="SETIEMBRE","9",$N$3="OCTUBRE","10",$N$3="NOVIEMBRE","11",$N$3="DICIEMBRE","12"))),4,0),"")</f>
        <v>CALL</v>
      </c>
      <c r="K26" s="55" t="str" cm="1">
        <f t="array" ref="K26">IFERROR(VLOOKUP(D1_MAYO_2026[[#This Row],[ASESOR_CRR]],_xlfn._xlws.FILTER(PLANTILLA[[ASESOR]:[FECHA DE CESE]],PLANTILLA[FECHA]=_xlfn.CONCAT($M$3,"_",_xlfn.IFS($N$3="ENERO","1",$N$3="FEBRERO","2",$N$3="MARZO","3",$N$3="ABRIL","4",$N$3="MAYO","5",$N$3="JUNIO","6",$N$3="JULIO","7",$N$3="AGOSTO","8",$N$3="SETIEMBRE","9",$N$3="OCTUBRE","10",$N$3="NOVIEMBRE","11",$N$3="DICIEMBRE","12"))),8,0),"")</f>
        <v>S0</v>
      </c>
      <c r="L26" s="55"/>
      <c r="M26" s="5">
        <f>DATA_MAYO_2026[[#This Row],[RECUPERO]]/DATA_MAYO_2026[[#This Row],[META]]</f>
        <v>0.14245833333333333</v>
      </c>
      <c r="N26" s="5">
        <f>6-ROUNDUP(_xlfn.RANK.EQ(DATA_MAYO_2026[[#This Row],[AL_AC]],DATA_MAYO_2026[AL_AC],0)/(COUNTA(DATA_MAYO_2026[AL_AC])/5),0)</f>
        <v>1</v>
      </c>
      <c r="O26" s="54" t="str">
        <f>IFERROR(VLOOKUP(DATA_MAYO_2026[[#This Row],[ASER_]],$B:$G,4,0),"")</f>
        <v>SANDY</v>
      </c>
      <c r="P26" s="6">
        <f>VLOOKUP(DATA_MAYO_2026[[#This Row],[ASER_]],D1_MAYO_2026[[ASESOR_CRR]:[RECUPERO]],6,0)</f>
        <v>10257</v>
      </c>
      <c r="Q26" s="6">
        <f>VLOOKUP(DATA_MAYO_2026[[#This Row],[ASER_]],D1_MAYO_2026[[ASESOR_CRR]:[META]],2,0)</f>
        <v>72000</v>
      </c>
      <c r="R26" t="s">
        <v>75</v>
      </c>
      <c r="S26" s="45">
        <v>0</v>
      </c>
      <c r="T26">
        <v>0</v>
      </c>
      <c r="U26">
        <v>0</v>
      </c>
      <c r="V26">
        <v>0</v>
      </c>
      <c r="W26" s="5">
        <v>0</v>
      </c>
      <c r="X26" s="6">
        <v>0</v>
      </c>
      <c r="Y26" s="6">
        <v>0</v>
      </c>
      <c r="Z26" s="6">
        <v>0</v>
      </c>
      <c r="AA26" s="6">
        <v>0</v>
      </c>
      <c r="AB26" s="6">
        <v>0</v>
      </c>
      <c r="AC26" s="6">
        <v>0</v>
      </c>
      <c r="AD26" s="6">
        <v>0</v>
      </c>
      <c r="AE26" s="6">
        <v>1613</v>
      </c>
      <c r="AF26" s="6">
        <v>0</v>
      </c>
      <c r="AG26" s="6">
        <v>0</v>
      </c>
      <c r="AH26" s="6">
        <v>0</v>
      </c>
      <c r="AI26" s="6">
        <v>8644</v>
      </c>
      <c r="AJ26" s="6"/>
      <c r="AK26" s="6"/>
      <c r="AL26" s="6"/>
      <c r="AM26" s="6"/>
      <c r="AN26" s="54" t="str" cm="1">
        <f t="array" ref="AN26">IFERROR(VLOOKUP(DATA_MAYO_2026[[#This Row],[ASER_]],_xlfn._xlws.FILTER(PLANTILLA[[ASESOR]:[FECHA DE CESE]],PLANTILLA[FECHA]=_xlfn.CONCAT($M$3,"_",_xlfn.IFS($N$3="ENERO","1",$N$3="FEBRERO","2",$N$3="MARZO","3",$N$3="ABRIL","4",$N$3="MAYO","5",$N$3="JUNIO","6",$N$3="JULIO","7",$N$3="AGOSTO","8",$N$3="SETIEMBRE","9",$N$3="OCTUBRE","10",$N$3="NOVIEMBRE","11",$N$3="DICIEMBRE","12"))),8,0),"")</f>
        <v>COINVERSIÓN</v>
      </c>
      <c r="AO26" s="54">
        <f>SUM(DATA_MAYO_2026[[#This Row],[15]:[30]])</f>
        <v>10257</v>
      </c>
      <c r="BX26" s="45" t="s">
        <v>636</v>
      </c>
      <c r="BY26" s="45" t="s">
        <v>125</v>
      </c>
      <c r="BZ26" s="45" t="s">
        <v>72</v>
      </c>
      <c r="CA26" s="55">
        <v>46176</v>
      </c>
      <c r="CB26" s="1">
        <f>IF(IND_JUNIO_2026[[#This Row],[IND_CANTFalta]]=1,0,IF(1-(IND_JUNIO_2026[[#This Row],[IND_Tardanza Tiempo]]*100%/0.166666666666667)&lt;0,0,1-(IND_JUNIO_2026[[#This Row],[IND_Tardanza Tiempo]]*100%/0.166666666666667)))</f>
        <v>0.99881944444444448</v>
      </c>
      <c r="CC26" s="45"/>
      <c r="CD26" s="93">
        <v>1.9675925925925926E-4</v>
      </c>
      <c r="CE26">
        <v>25</v>
      </c>
      <c r="CF26">
        <v>3</v>
      </c>
      <c r="CG26" s="1">
        <f>IFERROR(IND_JUNIO_2026[[#This Row],[IND_PDP]]/IND_JUNIO_2026[[#This Row],[IND_CEF Unico]],"")</f>
        <v>0.12</v>
      </c>
      <c r="CH26">
        <v>5750</v>
      </c>
      <c r="CI26">
        <v>2000</v>
      </c>
      <c r="CJ26" s="1">
        <f>IFERROR(IND_JUNIO_2026[[#This Row],[IND_Recupero]]/IND_JUNIO_2026[[#This Row],[IND_MontoPDP]],"")</f>
        <v>0.34782608695652173</v>
      </c>
      <c r="CK26" s="1">
        <f>IFERROR(IND_JUNIO_2026[[#This Row],[IND_MontoPDP]]/IND_JUNIO_2026[[#This Row],[DK]],"")</f>
        <v>7.5600000000000001E-2</v>
      </c>
      <c r="CL26">
        <v>76058.201058201055</v>
      </c>
      <c r="CM26">
        <f>IFERROR(IND_JUNIO_2026[[#This Row],[IND_MontoPDP]]/IND_JUNIO_2026[[#This Row],[IND_PDP]],"")</f>
        <v>1916.6666666666667</v>
      </c>
    </row>
    <row r="27" spans="1:91" x14ac:dyDescent="0.25">
      <c r="A27" s="34" t="str" cm="1">
        <f t="array" ref="A27">IFERROR(VLOOKUP(D1_MAYO_2026[[#This Row],[ASESOR_CRR]],_xlfn._xlws.FILTER(PLANTILLA[[ASESOR]:[FECHA DE CESE]],PLANTILLA[FECHA]=_xlfn.CONCAT($M$3,"_",_xlfn.IFS($N$3="ENERO","1",$N$3="FEBRERO","2",$N$3="MARZO","3",$N$3="ABRIL","4",$N$3="MAYO","5",$N$3="JUNIO","6",$N$3="JULIO","7",$N$3="AGOSTO","8",$N$3="SETIEMBRE","9",$N$3="OCTUBRE","10",$N$3="NOVIEMBRE","11",$N$3="DICIEMBRE","12"))),3,0),"")</f>
        <v>SANDY</v>
      </c>
      <c r="B27" s="34" t="str" cm="1">
        <f t="array" ref="B2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EVELY TENORIO</v>
      </c>
      <c r="C27" s="34" cm="1">
        <f t="array" ref="C27">_xlfn.XLOOKUP(1,(TablaMeta[CONCAT]=$M$3&amp;$N$3&amp;D1_MAYO_2026[[#This Row],[SUPER]])*(TablaMeta[SEGG]=D1_MAYO_2026[[#This Row],[SEGMENTO]]),TablaMeta[Meta_Asesor])</f>
        <v>38500</v>
      </c>
      <c r="D27" s="35">
        <f>IF(D1_MAYO_2026[[#This Row],[RECUPERO]]="VACACIONES","VACACIONES",IFERROR(D1_MAYO_2026[[#This Row],[RECUPERO]]/D1_MAYO_2026[[#This Row],[META]],""))</f>
        <v>0.93155844155844159</v>
      </c>
      <c r="E27" s="35" t="str">
        <f>D1_MAYO_2026[[#This Row],[SUPER]]</f>
        <v>SANDY</v>
      </c>
      <c r="F27" t="s">
        <v>22</v>
      </c>
      <c r="G27" s="3">
        <v>35865</v>
      </c>
      <c r="H27" cm="1">
        <f t="array" ref="H27">IFERROR(VLOOKUP(D1_MAYO_2026[[#This Row],[ASESOR_CRR]],_xlfn._xlws.FILTER(PLANTILLA[[ASESOR]:[FECHA DE CESE]],PLANTILLA[FECHA]=_xlfn.CONCAT($M$3,"_",_xlfn.IFS($N$3="ENERO","1",$N$3="FEBRERO","2",$N$3="MARZO","3",$N$3="ABRIL","4",$N$3="MAYO","5",$N$3="JUNIO","6",$N$3="JULIO","7",$N$3="AGOSTO","8",$N$3="SETIEMBRE","9",$N$3="OCTUBRE","10",$N$3="NOVIEMBRE","11",$N$3="DICIEMBRE","12"))),2,0),"")</f>
        <v>70551168</v>
      </c>
      <c r="I27" s="55" cm="1">
        <f t="array" ref="I27">IFERROR(VLOOKUP(D1_MAYO_2026[[#This Row],[ASESOR_CRR]],_xlfn._xlws.FILTER(PLANTILLA[[ASESOR]:[FECHA DE CESE]],PLANTILLA[FECHA]=_xlfn.CONCAT($M$3,"_",_xlfn.IFS($N$3="ENERO","1",$N$3="FEBRERO","2",$N$3="MARZO","3",$N$3="ABRIL","4",$N$3="MAYO","5",$N$3="JUNIO","6",$N$3="JULIO","7",$N$3="AGOSTO","8",$N$3="SETIEMBRE","9",$N$3="OCTUBRE","10",$N$3="NOVIEMBRE","11",$N$3="DICIEMBRE","12"))),6,0),"")</f>
        <v>45295</v>
      </c>
      <c r="J27" s="55" t="str" cm="1">
        <f t="array" ref="J27">IFERROR(VLOOKUP(D1_MAYO_2026[[#This Row],[ASESOR_CRR]],_xlfn._xlws.FILTER(PLANTILLA[[ASESOR]:[FECHA DE CESE]],PLANTILLA[FECHA]=_xlfn.CONCAT($M$3,"_",_xlfn.IFS($N$3="ENERO","1",$N$3="FEBRERO","2",$N$3="MARZO","3",$N$3="ABRIL","4",$N$3="MAYO","5",$N$3="JUNIO","6",$N$3="JULIO","7",$N$3="AGOSTO","8",$N$3="SETIEMBRE","9",$N$3="OCTUBRE","10",$N$3="NOVIEMBRE","11",$N$3="DICIEMBRE","12"))),4,0),"")</f>
        <v>CALL</v>
      </c>
      <c r="K27" s="55" t="str" cm="1">
        <f t="array" ref="K27">IFERROR(VLOOKUP(D1_MAYO_2026[[#This Row],[ASESOR_CRR]],_xlfn._xlws.FILTER(PLANTILLA[[ASESOR]:[FECHA DE CESE]],PLANTILLA[FECHA]=_xlfn.CONCAT($M$3,"_",_xlfn.IFS($N$3="ENERO","1",$N$3="FEBRERO","2",$N$3="MARZO","3",$N$3="ABRIL","4",$N$3="MAYO","5",$N$3="JUNIO","6",$N$3="JULIO","7",$N$3="AGOSTO","8",$N$3="SETIEMBRE","9",$N$3="OCTUBRE","10",$N$3="NOVIEMBRE","11",$N$3="DICIEMBRE","12"))),8,0),"")</f>
        <v>S0</v>
      </c>
      <c r="L27" s="55"/>
      <c r="M27" s="5">
        <f>DATA_MAYO_2026[[#This Row],[RECUPERO]]/DATA_MAYO_2026[[#This Row],[META]]</f>
        <v>0.35270833333333335</v>
      </c>
      <c r="N27" s="5">
        <f>6-ROUNDUP(_xlfn.RANK.EQ(DATA_MAYO_2026[[#This Row],[AL_AC]],DATA_MAYO_2026[AL_AC],0)/(COUNTA(DATA_MAYO_2026[AL_AC])/5),0)</f>
        <v>2</v>
      </c>
      <c r="O27" s="54" t="str">
        <f>IFERROR(VLOOKUP(DATA_MAYO_2026[[#This Row],[ASER_]],$B:$G,4,0),"")</f>
        <v>SANDY</v>
      </c>
      <c r="P27" s="6">
        <f>VLOOKUP(DATA_MAYO_2026[[#This Row],[ASER_]],D1_MAYO_2026[[ASESOR_CRR]:[RECUPERO]],6,0)</f>
        <v>25395</v>
      </c>
      <c r="Q27" s="6">
        <f>VLOOKUP(DATA_MAYO_2026[[#This Row],[ASER_]],D1_MAYO_2026[[ASESOR_CRR]:[META]],2,0)</f>
        <v>72000</v>
      </c>
      <c r="R27" t="s">
        <v>68</v>
      </c>
      <c r="S27" s="45">
        <v>2020</v>
      </c>
      <c r="T27">
        <v>0</v>
      </c>
      <c r="U27">
        <v>0</v>
      </c>
      <c r="V27">
        <v>0</v>
      </c>
      <c r="W27" s="5">
        <v>0</v>
      </c>
      <c r="X27" s="6">
        <v>1500</v>
      </c>
      <c r="Y27" s="6">
        <v>1500</v>
      </c>
      <c r="Z27" s="6">
        <v>500</v>
      </c>
      <c r="AA27" s="6">
        <v>0</v>
      </c>
      <c r="AB27" s="6">
        <v>0</v>
      </c>
      <c r="AC27" s="6">
        <v>0</v>
      </c>
      <c r="AD27" s="6">
        <v>3700</v>
      </c>
      <c r="AE27" s="6">
        <v>0</v>
      </c>
      <c r="AF27" s="6">
        <v>3600</v>
      </c>
      <c r="AG27" s="6">
        <v>895</v>
      </c>
      <c r="AH27" s="6">
        <v>5600</v>
      </c>
      <c r="AI27" s="6">
        <v>6080</v>
      </c>
      <c r="AJ27" s="6"/>
      <c r="AK27" s="6"/>
      <c r="AL27" s="6"/>
      <c r="AM27" s="6"/>
      <c r="AN27" s="54" t="str" cm="1">
        <f t="array" ref="AN27">IFERROR(VLOOKUP(DATA_MAYO_2026[[#This Row],[ASER_]],_xlfn._xlws.FILTER(PLANTILLA[[ASESOR]:[FECHA DE CESE]],PLANTILLA[FECHA]=_xlfn.CONCAT($M$3,"_",_xlfn.IFS($N$3="ENERO","1",$N$3="FEBRERO","2",$N$3="MARZO","3",$N$3="ABRIL","4",$N$3="MAYO","5",$N$3="JUNIO","6",$N$3="JULIO","7",$N$3="AGOSTO","8",$N$3="SETIEMBRE","9",$N$3="OCTUBRE","10",$N$3="NOVIEMBRE","11",$N$3="DICIEMBRE","12"))),8,0),"")</f>
        <v>COINVERSIÓN</v>
      </c>
      <c r="AO27" s="54">
        <f>SUM(DATA_MAYO_2026[[#This Row],[15]:[30]])</f>
        <v>19875</v>
      </c>
      <c r="BX27" s="45" t="s">
        <v>636</v>
      </c>
      <c r="BY27" s="45" t="s">
        <v>125</v>
      </c>
      <c r="BZ27" s="45" t="s">
        <v>72</v>
      </c>
      <c r="CA27" s="55">
        <v>46177</v>
      </c>
      <c r="CB27" s="1">
        <f>IF(IND_JUNIO_2026[[#This Row],[IND_CANTFalta]]=1,0,IF(1-(IND_JUNIO_2026[[#This Row],[IND_Tardanza Tiempo]]*100%/0.166666666666667)&lt;0,0,1-(IND_JUNIO_2026[[#This Row],[IND_Tardanza Tiempo]]*100%/0.166666666666667)))</f>
        <v>0.99930555555555556</v>
      </c>
      <c r="CC27" s="45"/>
      <c r="CD27" s="93">
        <v>1.1574074074074075E-4</v>
      </c>
      <c r="CE27">
        <v>27</v>
      </c>
      <c r="CG27" s="1">
        <f>IFERROR(IND_JUNIO_2026[[#This Row],[IND_PDP]]/IND_JUNIO_2026[[#This Row],[IND_CEF Unico]],"")</f>
        <v>0</v>
      </c>
      <c r="CJ27" s="1" t="str">
        <f>IFERROR(IND_JUNIO_2026[[#This Row],[IND_Recupero]]/IND_JUNIO_2026[[#This Row],[IND_MontoPDP]],"")</f>
        <v/>
      </c>
      <c r="CK27" s="1" t="str">
        <f>IFERROR(IND_JUNIO_2026[[#This Row],[IND_MontoPDP]]/IND_JUNIO_2026[[#This Row],[DK]],"")</f>
        <v/>
      </c>
      <c r="CL27" t="s">
        <v>548</v>
      </c>
      <c r="CM27" t="str">
        <f>IFERROR(IND_JUNIO_2026[[#This Row],[IND_MontoPDP]]/IND_JUNIO_2026[[#This Row],[IND_PDP]],"")</f>
        <v/>
      </c>
    </row>
    <row r="28" spans="1:91" x14ac:dyDescent="0.25">
      <c r="A28" s="34" t="str" cm="1">
        <f t="array" ref="A28">IFERROR(VLOOKUP(D1_MAYO_2026[[#This Row],[ASESOR_CRR]],_xlfn._xlws.FILTER(PLANTILLA[[ASESOR]:[FECHA DE CESE]],PLANTILLA[FECHA]=_xlfn.CONCAT($M$3,"_",_xlfn.IFS($N$3="ENERO","1",$N$3="FEBRERO","2",$N$3="MARZO","3",$N$3="ABRIL","4",$N$3="MAYO","5",$N$3="JUNIO","6",$N$3="JULIO","7",$N$3="AGOSTO","8",$N$3="SETIEMBRE","9",$N$3="OCTUBRE","10",$N$3="NOVIEMBRE","11",$N$3="DICIEMBRE","12"))),3,0),"")</f>
        <v>SANDY</v>
      </c>
      <c r="B28" s="34" t="str" cm="1">
        <f t="array" ref="B2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HAROLD FLORES</v>
      </c>
      <c r="C28" s="34" cm="1">
        <f t="array" ref="C28">_xlfn.XLOOKUP(1,(TablaMeta[CONCAT]=$M$3&amp;$N$3&amp;D1_MAYO_2026[[#This Row],[SUPER]])*(TablaMeta[SEGG]=D1_MAYO_2026[[#This Row],[SEGMENTO]]),TablaMeta[Meta_Asesor])</f>
        <v>38500</v>
      </c>
      <c r="D28" s="35">
        <f>IF(D1_MAYO_2026[[#This Row],[RECUPERO]]="VACACIONES","VACACIONES",IFERROR(D1_MAYO_2026[[#This Row],[RECUPERO]]/D1_MAYO_2026[[#This Row],[META]],""))</f>
        <v>0.72493506493506499</v>
      </c>
      <c r="E28" s="35" t="str">
        <f>D1_MAYO_2026[[#This Row],[SUPER]]</f>
        <v>SANDY</v>
      </c>
      <c r="F28" t="s">
        <v>42</v>
      </c>
      <c r="G28" s="3">
        <v>27910</v>
      </c>
      <c r="H28" cm="1">
        <f t="array" ref="H28">IFERROR(VLOOKUP(D1_MAYO_2026[[#This Row],[ASESOR_CRR]],_xlfn._xlws.FILTER(PLANTILLA[[ASESOR]:[FECHA DE CESE]],PLANTILLA[FECHA]=_xlfn.CONCAT($M$3,"_",_xlfn.IFS($N$3="ENERO","1",$N$3="FEBRERO","2",$N$3="MARZO","3",$N$3="ABRIL","4",$N$3="MAYO","5",$N$3="JUNIO","6",$N$3="JULIO","7",$N$3="AGOSTO","8",$N$3="SETIEMBRE","9",$N$3="OCTUBRE","10",$N$3="NOVIEMBRE","11",$N$3="DICIEMBRE","12"))),2,0),"")</f>
        <v>73725129</v>
      </c>
      <c r="I28" s="55" cm="1">
        <f t="array" ref="I28">IFERROR(VLOOKUP(D1_MAYO_2026[[#This Row],[ASESOR_CRR]],_xlfn._xlws.FILTER(PLANTILLA[[ASESOR]:[FECHA DE CESE]],PLANTILLA[FECHA]=_xlfn.CONCAT($M$3,"_",_xlfn.IFS($N$3="ENERO","1",$N$3="FEBRERO","2",$N$3="MARZO","3",$N$3="ABRIL","4",$N$3="MAYO","5",$N$3="JUNIO","6",$N$3="JULIO","7",$N$3="AGOSTO","8",$N$3="SETIEMBRE","9",$N$3="OCTUBRE","10",$N$3="NOVIEMBRE","11",$N$3="DICIEMBRE","12"))),6,0),"")</f>
        <v>45398</v>
      </c>
      <c r="J28" s="55" t="str" cm="1">
        <f t="array" ref="J28">IFERROR(VLOOKUP(D1_MAYO_2026[[#This Row],[ASESOR_CRR]],_xlfn._xlws.FILTER(PLANTILLA[[ASESOR]:[FECHA DE CESE]],PLANTILLA[FECHA]=_xlfn.CONCAT($M$3,"_",_xlfn.IFS($N$3="ENERO","1",$N$3="FEBRERO","2",$N$3="MARZO","3",$N$3="ABRIL","4",$N$3="MAYO","5",$N$3="JUNIO","6",$N$3="JULIO","7",$N$3="AGOSTO","8",$N$3="SETIEMBRE","9",$N$3="OCTUBRE","10",$N$3="NOVIEMBRE","11",$N$3="DICIEMBRE","12"))),4,0),"")</f>
        <v>CALL</v>
      </c>
      <c r="K28" s="55" t="str" cm="1">
        <f t="array" ref="K28">IFERROR(VLOOKUP(D1_MAYO_2026[[#This Row],[ASESOR_CRR]],_xlfn._xlws.FILTER(PLANTILLA[[ASESOR]:[FECHA DE CESE]],PLANTILLA[FECHA]=_xlfn.CONCAT($M$3,"_",_xlfn.IFS($N$3="ENERO","1",$N$3="FEBRERO","2",$N$3="MARZO","3",$N$3="ABRIL","4",$N$3="MAYO","5",$N$3="JUNIO","6",$N$3="JULIO","7",$N$3="AGOSTO","8",$N$3="SETIEMBRE","9",$N$3="OCTUBRE","10",$N$3="NOVIEMBRE","11",$N$3="DICIEMBRE","12"))),8,0),"")</f>
        <v>S0</v>
      </c>
      <c r="L28" s="55"/>
      <c r="M28" s="5">
        <f>DATA_MAYO_2026[[#This Row],[RECUPERO]]/DATA_MAYO_2026[[#This Row],[META]]</f>
        <v>0.2414</v>
      </c>
      <c r="N28" s="5">
        <f>6-ROUNDUP(_xlfn.RANK.EQ(DATA_MAYO_2026[[#This Row],[AL_AC]],DATA_MAYO_2026[AL_AC],0)/(COUNTA(DATA_MAYO_2026[AL_AC])/5),0)</f>
        <v>2</v>
      </c>
      <c r="O28" s="54" t="str">
        <f>IFERROR(VLOOKUP(DATA_MAYO_2026[[#This Row],[ASER_]],$B:$G,4,0),"")</f>
        <v>JORGE</v>
      </c>
      <c r="P28" s="6">
        <f>VLOOKUP(DATA_MAYO_2026[[#This Row],[ASER_]],D1_MAYO_2026[[ASESOR_CRR]:[RECUPERO]],6,0)</f>
        <v>14484</v>
      </c>
      <c r="Q28" s="6">
        <f>VLOOKUP(DATA_MAYO_2026[[#This Row],[ASER_]],D1_MAYO_2026[[ASESOR_CRR]:[META]],2,0)</f>
        <v>60000</v>
      </c>
      <c r="R28" t="s">
        <v>76</v>
      </c>
      <c r="S28" s="45">
        <v>0</v>
      </c>
      <c r="T28">
        <v>1034</v>
      </c>
      <c r="U28">
        <v>0</v>
      </c>
      <c r="V28">
        <v>0</v>
      </c>
      <c r="W28" s="5">
        <v>1950</v>
      </c>
      <c r="X28" s="6">
        <v>0</v>
      </c>
      <c r="Y28" s="6">
        <v>0</v>
      </c>
      <c r="Z28" s="6">
        <v>0</v>
      </c>
      <c r="AA28" s="6">
        <v>0</v>
      </c>
      <c r="AB28" s="6">
        <v>4000</v>
      </c>
      <c r="AC28" s="6">
        <v>0</v>
      </c>
      <c r="AD28" s="6">
        <v>0</v>
      </c>
      <c r="AE28" s="6">
        <v>0</v>
      </c>
      <c r="AF28" s="6">
        <v>0</v>
      </c>
      <c r="AG28" s="6">
        <v>7500</v>
      </c>
      <c r="AH28" s="6">
        <v>0</v>
      </c>
      <c r="AI28" s="6">
        <v>0</v>
      </c>
      <c r="AJ28" s="6"/>
      <c r="AK28" s="6"/>
      <c r="AL28" s="6"/>
      <c r="AM28" s="6"/>
      <c r="AN28" s="54" t="str" cm="1">
        <f t="array" ref="AN28">IFERROR(VLOOKUP(DATA_MAYO_2026[[#This Row],[ASER_]],_xlfn._xlws.FILTER(PLANTILLA[[ASESOR]:[FECHA DE CESE]],PLANTILLA[FECHA]=_xlfn.CONCAT($M$3,"_",_xlfn.IFS($N$3="ENERO","1",$N$3="FEBRERO","2",$N$3="MARZO","3",$N$3="ABRIL","4",$N$3="MAYO","5",$N$3="JUNIO","6",$N$3="JULIO","7",$N$3="AGOSTO","8",$N$3="SETIEMBRE","9",$N$3="OCTUBRE","10",$N$3="NOVIEMBRE","11",$N$3="DICIEMBRE","12"))),8,0),"")</f>
        <v>S1</v>
      </c>
      <c r="AO28" s="54">
        <f>SUM(DATA_MAYO_2026[[#This Row],[15]:[30]])</f>
        <v>7500</v>
      </c>
      <c r="BX28" s="45" t="s">
        <v>636</v>
      </c>
      <c r="BY28" s="45" t="s">
        <v>125</v>
      </c>
      <c r="BZ28" s="45" t="s">
        <v>72</v>
      </c>
      <c r="CA28" s="55">
        <v>46178</v>
      </c>
      <c r="CB28" s="1">
        <f>IF(IND_JUNIO_2026[[#This Row],[IND_CANTFalta]]=1,0,IF(1-(IND_JUNIO_2026[[#This Row],[IND_Tardanza Tiempo]]*100%/0.166666666666667)&lt;0,0,1-(IND_JUNIO_2026[[#This Row],[IND_Tardanza Tiempo]]*100%/0.166666666666667)))</f>
        <v>0.99951388888888892</v>
      </c>
      <c r="CC28" s="45"/>
      <c r="CD28" s="93">
        <v>8.1018518518518516E-5</v>
      </c>
      <c r="CE28">
        <v>6</v>
      </c>
      <c r="CG28" s="1">
        <f>IFERROR(IND_JUNIO_2026[[#This Row],[IND_PDP]]/IND_JUNIO_2026[[#This Row],[IND_CEF Unico]],"")</f>
        <v>0</v>
      </c>
      <c r="CJ28" s="1" t="str">
        <f>IFERROR(IND_JUNIO_2026[[#This Row],[IND_Recupero]]/IND_JUNIO_2026[[#This Row],[IND_MontoPDP]],"")</f>
        <v/>
      </c>
      <c r="CK28" s="1" t="str">
        <f>IFERROR(IND_JUNIO_2026[[#This Row],[IND_MontoPDP]]/IND_JUNIO_2026[[#This Row],[DK]],"")</f>
        <v/>
      </c>
      <c r="CL28" t="s">
        <v>548</v>
      </c>
      <c r="CM28" t="str">
        <f>IFERROR(IND_JUNIO_2026[[#This Row],[IND_MontoPDP]]/IND_JUNIO_2026[[#This Row],[IND_PDP]],"")</f>
        <v/>
      </c>
    </row>
    <row r="29" spans="1:91" x14ac:dyDescent="0.25">
      <c r="A29" s="34" t="str" cm="1">
        <f t="array" ref="A29">IFERROR(VLOOKUP(D1_MAYO_2026[[#This Row],[ASESOR_CRR]],_xlfn._xlws.FILTER(PLANTILLA[[ASESOR]:[FECHA DE CESE]],PLANTILLA[FECHA]=_xlfn.CONCAT($M$3,"_",_xlfn.IFS($N$3="ENERO","1",$N$3="FEBRERO","2",$N$3="MARZO","3",$N$3="ABRIL","4",$N$3="MAYO","5",$N$3="JUNIO","6",$N$3="JULIO","7",$N$3="AGOSTO","8",$N$3="SETIEMBRE","9",$N$3="OCTUBRE","10",$N$3="NOVIEMBRE","11",$N$3="DICIEMBRE","12"))),3,0),"")</f>
        <v>SANDY</v>
      </c>
      <c r="B29" s="34" t="str" cm="1">
        <f t="array" ref="B2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GIANNINA AGUILAR</v>
      </c>
      <c r="C29" s="34" cm="1">
        <f t="array" ref="C29">_xlfn.XLOOKUP(1,(TablaMeta[CONCAT]=$M$3&amp;$N$3&amp;D1_MAYO_2026[[#This Row],[SUPER]])*(TablaMeta[SEGG]=D1_MAYO_2026[[#This Row],[SEGMENTO]]),TablaMeta[Meta_Asesor])</f>
        <v>38500</v>
      </c>
      <c r="D29" s="35">
        <f>IF(D1_MAYO_2026[[#This Row],[RECUPERO]]="VACACIONES","VACACIONES",IFERROR(D1_MAYO_2026[[#This Row],[RECUPERO]]/D1_MAYO_2026[[#This Row],[META]],""))</f>
        <v>0.63545454545454549</v>
      </c>
      <c r="E29" s="35" t="str">
        <f>D1_MAYO_2026[[#This Row],[SUPER]]</f>
        <v>SANDY</v>
      </c>
      <c r="F29" t="s">
        <v>32</v>
      </c>
      <c r="G29" s="3">
        <v>24465</v>
      </c>
      <c r="H29" cm="1">
        <f t="array" ref="H29">IFERROR(VLOOKUP(D1_MAYO_2026[[#This Row],[ASESOR_CRR]],_xlfn._xlws.FILTER(PLANTILLA[[ASESOR]:[FECHA DE CESE]],PLANTILLA[FECHA]=_xlfn.CONCAT($M$3,"_",_xlfn.IFS($N$3="ENERO","1",$N$3="FEBRERO","2",$N$3="MARZO","3",$N$3="ABRIL","4",$N$3="MAYO","5",$N$3="JUNIO","6",$N$3="JULIO","7",$N$3="AGOSTO","8",$N$3="SETIEMBRE","9",$N$3="OCTUBRE","10",$N$3="NOVIEMBRE","11",$N$3="DICIEMBRE","12"))),2,0),"")</f>
        <v>48584670</v>
      </c>
      <c r="I29" s="55" cm="1">
        <f t="array" ref="I29">IFERROR(VLOOKUP(D1_MAYO_2026[[#This Row],[ASESOR_CRR]],_xlfn._xlws.FILTER(PLANTILLA[[ASESOR]:[FECHA DE CESE]],PLANTILLA[FECHA]=_xlfn.CONCAT($M$3,"_",_xlfn.IFS($N$3="ENERO","1",$N$3="FEBRERO","2",$N$3="MARZO","3",$N$3="ABRIL","4",$N$3="MAYO","5",$N$3="JUNIO","6",$N$3="JULIO","7",$N$3="AGOSTO","8",$N$3="SETIEMBRE","9",$N$3="OCTUBRE","10",$N$3="NOVIEMBRE","11",$N$3="DICIEMBRE","12"))),6,0),"")</f>
        <v>45526</v>
      </c>
      <c r="J29" s="55" t="str" cm="1">
        <f t="array" ref="J29">IFERROR(VLOOKUP(D1_MAYO_2026[[#This Row],[ASESOR_CRR]],_xlfn._xlws.FILTER(PLANTILLA[[ASESOR]:[FECHA DE CESE]],PLANTILLA[FECHA]=_xlfn.CONCAT($M$3,"_",_xlfn.IFS($N$3="ENERO","1",$N$3="FEBRERO","2",$N$3="MARZO","3",$N$3="ABRIL","4",$N$3="MAYO","5",$N$3="JUNIO","6",$N$3="JULIO","7",$N$3="AGOSTO","8",$N$3="SETIEMBRE","9",$N$3="OCTUBRE","10",$N$3="NOVIEMBRE","11",$N$3="DICIEMBRE","12"))),4,0),"")</f>
        <v>CALL</v>
      </c>
      <c r="K29" s="55" t="str" cm="1">
        <f t="array" ref="K29">IFERROR(VLOOKUP(D1_MAYO_2026[[#This Row],[ASESOR_CRR]],_xlfn._xlws.FILTER(PLANTILLA[[ASESOR]:[FECHA DE CESE]],PLANTILLA[FECHA]=_xlfn.CONCAT($M$3,"_",_xlfn.IFS($N$3="ENERO","1",$N$3="FEBRERO","2",$N$3="MARZO","3",$N$3="ABRIL","4",$N$3="MAYO","5",$N$3="JUNIO","6",$N$3="JULIO","7",$N$3="AGOSTO","8",$N$3="SETIEMBRE","9",$N$3="OCTUBRE","10",$N$3="NOVIEMBRE","11",$N$3="DICIEMBRE","12"))),8,0),"")</f>
        <v>S0</v>
      </c>
      <c r="L29" s="55"/>
      <c r="M29" s="5">
        <f>DATA_MAYO_2026[[#This Row],[RECUPERO]]/DATA_MAYO_2026[[#This Row],[META]]</f>
        <v>9.2733333333333334E-2</v>
      </c>
      <c r="N29" s="5">
        <f>6-ROUNDUP(_xlfn.RANK.EQ(DATA_MAYO_2026[[#This Row],[AL_AC]],DATA_MAYO_2026[AL_AC],0)/(COUNTA(DATA_MAYO_2026[AL_AC])/5),0)</f>
        <v>1</v>
      </c>
      <c r="O29" s="54" t="str">
        <f>IFERROR(VLOOKUP(DATA_MAYO_2026[[#This Row],[ASER_]],$B:$G,4,0),"")</f>
        <v>JORGE</v>
      </c>
      <c r="P29" s="6">
        <f>VLOOKUP(DATA_MAYO_2026[[#This Row],[ASER_]],D1_MAYO_2026[[ASESOR_CRR]:[RECUPERO]],6,0)</f>
        <v>5564</v>
      </c>
      <c r="Q29" s="6">
        <f>VLOOKUP(DATA_MAYO_2026[[#This Row],[ASER_]],D1_MAYO_2026[[ASESOR_CRR]:[META]],2,0)</f>
        <v>60000</v>
      </c>
      <c r="R29" t="s">
        <v>15</v>
      </c>
      <c r="S29">
        <v>0</v>
      </c>
      <c r="T29">
        <v>0</v>
      </c>
      <c r="U29">
        <v>0</v>
      </c>
      <c r="V29">
        <v>2100</v>
      </c>
      <c r="W29" s="5">
        <v>210</v>
      </c>
      <c r="X29" s="6">
        <v>0</v>
      </c>
      <c r="Y29" s="6">
        <v>0</v>
      </c>
      <c r="Z29" s="6">
        <v>0</v>
      </c>
      <c r="AA29" s="6">
        <v>0</v>
      </c>
      <c r="AB29" s="6">
        <v>100</v>
      </c>
      <c r="AC29" s="6">
        <v>0</v>
      </c>
      <c r="AD29" s="6">
        <v>401</v>
      </c>
      <c r="AE29" s="6">
        <v>0</v>
      </c>
      <c r="AF29" s="6">
        <v>275</v>
      </c>
      <c r="AG29" s="6">
        <v>1328</v>
      </c>
      <c r="AH29" s="6">
        <v>600</v>
      </c>
      <c r="AI29" s="6">
        <v>550</v>
      </c>
      <c r="AJ29" s="6"/>
      <c r="AK29" s="6"/>
      <c r="AL29" s="6"/>
      <c r="AM29" s="6"/>
      <c r="AN29" s="54" t="str" cm="1">
        <f t="array" ref="AN29">IFERROR(VLOOKUP(DATA_MAYO_2026[[#This Row],[ASER_]],_xlfn._xlws.FILTER(PLANTILLA[[ASESOR]:[FECHA DE CESE]],PLANTILLA[FECHA]=_xlfn.CONCAT($M$3,"_",_xlfn.IFS($N$3="ENERO","1",$N$3="FEBRERO","2",$N$3="MARZO","3",$N$3="ABRIL","4",$N$3="MAYO","5",$N$3="JUNIO","6",$N$3="JULIO","7",$N$3="AGOSTO","8",$N$3="SETIEMBRE","9",$N$3="OCTUBRE","10",$N$3="NOVIEMBRE","11",$N$3="DICIEMBRE","12"))),8,0),"")</f>
        <v>S1</v>
      </c>
      <c r="AO29" s="54">
        <f>SUM(DATA_MAYO_2026[[#This Row],[15]:[30]])</f>
        <v>3154</v>
      </c>
      <c r="BX29" s="45" t="s">
        <v>636</v>
      </c>
      <c r="BY29" s="45" t="s">
        <v>125</v>
      </c>
      <c r="BZ29" s="45" t="s">
        <v>12</v>
      </c>
      <c r="CA29" s="55">
        <v>46174</v>
      </c>
      <c r="CB29" s="1">
        <f>IF(IND_JUNIO_2026[[#This Row],[IND_CANTFalta]]=1,0,IF(1-(IND_JUNIO_2026[[#This Row],[IND_Tardanza Tiempo]]*100%/0.166666666666667)&lt;0,0,1-(IND_JUNIO_2026[[#This Row],[IND_Tardanza Tiempo]]*100%/0.166666666666667)))</f>
        <v>0.99895833333333328</v>
      </c>
      <c r="CC29" s="45"/>
      <c r="CD29" s="93">
        <v>1.7361111111111112E-4</v>
      </c>
      <c r="CE29">
        <v>36</v>
      </c>
      <c r="CF29">
        <v>7</v>
      </c>
      <c r="CG29" s="1">
        <f>IFERROR(IND_JUNIO_2026[[#This Row],[IND_PDP]]/IND_JUNIO_2026[[#This Row],[IND_CEF Unico]],"")</f>
        <v>0.19444444444444445</v>
      </c>
      <c r="CH29">
        <v>3369</v>
      </c>
      <c r="CI29">
        <v>300</v>
      </c>
      <c r="CJ29" s="1">
        <f>IFERROR(IND_JUNIO_2026[[#This Row],[IND_Recupero]]/IND_JUNIO_2026[[#This Row],[IND_MontoPDP]],"")</f>
        <v>8.9047195013357075E-2</v>
      </c>
      <c r="CK29" s="1" t="str">
        <f>IFERROR(IND_JUNIO_2026[[#This Row],[IND_MontoPDP]]/IND_JUNIO_2026[[#This Row],[DK]],"")</f>
        <v/>
      </c>
      <c r="CL29" t="s">
        <v>548</v>
      </c>
      <c r="CM29">
        <f>IFERROR(IND_JUNIO_2026[[#This Row],[IND_MontoPDP]]/IND_JUNIO_2026[[#This Row],[IND_PDP]],"")</f>
        <v>481.28571428571428</v>
      </c>
    </row>
    <row r="30" spans="1:91" x14ac:dyDescent="0.25">
      <c r="A30" s="34" t="str" cm="1">
        <f t="array" ref="A30">IFERROR(VLOOKUP(D1_MAYO_2026[[#This Row],[ASESOR_CRR]],_xlfn._xlws.FILTER(PLANTILLA[[ASESOR]:[FECHA DE CESE]],PLANTILLA[FECHA]=_xlfn.CONCAT($M$3,"_",_xlfn.IFS($N$3="ENERO","1",$N$3="FEBRERO","2",$N$3="MARZO","3",$N$3="ABRIL","4",$N$3="MAYO","5",$N$3="JUNIO","6",$N$3="JULIO","7",$N$3="AGOSTO","8",$N$3="SETIEMBRE","9",$N$3="OCTUBRE","10",$N$3="NOVIEMBRE","11",$N$3="DICIEMBRE","12"))),3,0),"")</f>
        <v>SANDY</v>
      </c>
      <c r="B30" s="34" t="str" cm="1">
        <f t="array" ref="B3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JESSICA MELGAREJO</v>
      </c>
      <c r="C30" s="34" cm="1">
        <f t="array" ref="C30">_xlfn.XLOOKUP(1,(TablaMeta[CONCAT]=$M$3&amp;$N$3&amp;D1_MAYO_2026[[#This Row],[SUPER]])*(TablaMeta[SEGG]=D1_MAYO_2026[[#This Row],[SEGMENTO]]),TablaMeta[Meta_Asesor])</f>
        <v>38500</v>
      </c>
      <c r="D30" s="35">
        <f>IF(D1_MAYO_2026[[#This Row],[RECUPERO]]="VACACIONES","VACACIONES",IFERROR(D1_MAYO_2026[[#This Row],[RECUPERO]]/D1_MAYO_2026[[#This Row],[META]],""))</f>
        <v>0.5511688311688312</v>
      </c>
      <c r="E30" s="35" t="str">
        <f>D1_MAYO_2026[[#This Row],[SUPER]]</f>
        <v>SANDY</v>
      </c>
      <c r="F30" t="s">
        <v>96</v>
      </c>
      <c r="G30" s="3">
        <v>21220</v>
      </c>
      <c r="H30" cm="1">
        <f t="array" ref="H30">IFERROR(VLOOKUP(D1_MAYO_2026[[#This Row],[ASESOR_CRR]],_xlfn._xlws.FILTER(PLANTILLA[[ASESOR]:[FECHA DE CESE]],PLANTILLA[FECHA]=_xlfn.CONCAT($M$3,"_",_xlfn.IFS($N$3="ENERO","1",$N$3="FEBRERO","2",$N$3="MARZO","3",$N$3="ABRIL","4",$N$3="MAYO","5",$N$3="JUNIO","6",$N$3="JULIO","7",$N$3="AGOSTO","8",$N$3="SETIEMBRE","9",$N$3="OCTUBRE","10",$N$3="NOVIEMBRE","11",$N$3="DICIEMBRE","12"))),2,0),"")</f>
        <v>46793103</v>
      </c>
      <c r="I30" s="55" cm="1">
        <f t="array" ref="I30">IFERROR(VLOOKUP(D1_MAYO_2026[[#This Row],[ASESOR_CRR]],_xlfn._xlws.FILTER(PLANTILLA[[ASESOR]:[FECHA DE CESE]],PLANTILLA[FECHA]=_xlfn.CONCAT($M$3,"_",_xlfn.IFS($N$3="ENERO","1",$N$3="FEBRERO","2",$N$3="MARZO","3",$N$3="ABRIL","4",$N$3="MAYO","5",$N$3="JUNIO","6",$N$3="JULIO","7",$N$3="AGOSTO","8",$N$3="SETIEMBRE","9",$N$3="OCTUBRE","10",$N$3="NOVIEMBRE","11",$N$3="DICIEMBRE","12"))),6,0),"")</f>
        <v>45882</v>
      </c>
      <c r="J30" s="55" t="str" cm="1">
        <f t="array" ref="J30">IFERROR(VLOOKUP(D1_MAYO_2026[[#This Row],[ASESOR_CRR]],_xlfn._xlws.FILTER(PLANTILLA[[ASESOR]:[FECHA DE CESE]],PLANTILLA[FECHA]=_xlfn.CONCAT($M$3,"_",_xlfn.IFS($N$3="ENERO","1",$N$3="FEBRERO","2",$N$3="MARZO","3",$N$3="ABRIL","4",$N$3="MAYO","5",$N$3="JUNIO","6",$N$3="JULIO","7",$N$3="AGOSTO","8",$N$3="SETIEMBRE","9",$N$3="OCTUBRE","10",$N$3="NOVIEMBRE","11",$N$3="DICIEMBRE","12"))),4,0),"")</f>
        <v>CALL</v>
      </c>
      <c r="K30" s="55" t="str" cm="1">
        <f t="array" ref="K30">IFERROR(VLOOKUP(D1_MAYO_2026[[#This Row],[ASESOR_CRR]],_xlfn._xlws.FILTER(PLANTILLA[[ASESOR]:[FECHA DE CESE]],PLANTILLA[FECHA]=_xlfn.CONCAT($M$3,"_",_xlfn.IFS($N$3="ENERO","1",$N$3="FEBRERO","2",$N$3="MARZO","3",$N$3="ABRIL","4",$N$3="MAYO","5",$N$3="JUNIO","6",$N$3="JULIO","7",$N$3="AGOSTO","8",$N$3="SETIEMBRE","9",$N$3="OCTUBRE","10",$N$3="NOVIEMBRE","11",$N$3="DICIEMBRE","12"))),8,0),"")</f>
        <v>S0</v>
      </c>
      <c r="L30" s="55"/>
      <c r="M30" s="5">
        <f>DATA_MAYO_2026[[#This Row],[RECUPERO]]/DATA_MAYO_2026[[#This Row],[META]]</f>
        <v>0.18975</v>
      </c>
      <c r="N30" s="5">
        <f>6-ROUNDUP(_xlfn.RANK.EQ(DATA_MAYO_2026[[#This Row],[AL_AC]],DATA_MAYO_2026[AL_AC],0)/(COUNTA(DATA_MAYO_2026[AL_AC])/5),0)</f>
        <v>1</v>
      </c>
      <c r="O30" s="54" t="str">
        <f>IFERROR(VLOOKUP(DATA_MAYO_2026[[#This Row],[ASER_]],$B:$G,4,0),"")</f>
        <v>JORGE</v>
      </c>
      <c r="P30" s="6">
        <f>VLOOKUP(DATA_MAYO_2026[[#This Row],[ASER_]],D1_MAYO_2026[[ASESOR_CRR]:[RECUPERO]],6,0)</f>
        <v>11385</v>
      </c>
      <c r="Q30" s="6">
        <f>VLOOKUP(DATA_MAYO_2026[[#This Row],[ASER_]],D1_MAYO_2026[[ASESOR_CRR]:[META]],2,0)</f>
        <v>60000</v>
      </c>
      <c r="R30" t="s">
        <v>65</v>
      </c>
      <c r="S30" s="3">
        <v>0</v>
      </c>
      <c r="T30">
        <v>0</v>
      </c>
      <c r="U30">
        <v>2281</v>
      </c>
      <c r="V30">
        <v>265</v>
      </c>
      <c r="W30">
        <v>2185</v>
      </c>
      <c r="X30" s="5">
        <v>0</v>
      </c>
      <c r="Y30" s="6">
        <v>0</v>
      </c>
      <c r="Z30" s="6">
        <v>1000</v>
      </c>
      <c r="AA30" s="6">
        <v>0</v>
      </c>
      <c r="AB30" s="6">
        <v>308</v>
      </c>
      <c r="AC30" s="6">
        <v>1520</v>
      </c>
      <c r="AD30" s="6">
        <v>0</v>
      </c>
      <c r="AE30" s="6">
        <v>0</v>
      </c>
      <c r="AF30" s="6">
        <v>0</v>
      </c>
      <c r="AG30" s="6">
        <v>2776</v>
      </c>
      <c r="AH30" s="6">
        <v>1050</v>
      </c>
      <c r="AI30" s="6">
        <v>0</v>
      </c>
      <c r="AJ30" s="6"/>
      <c r="AK30" s="6"/>
      <c r="AL30" s="6"/>
      <c r="AM30" s="6"/>
      <c r="AN30" s="54" t="str" cm="1">
        <f t="array" ref="AN30">IFERROR(VLOOKUP(DATA_MAYO_2026[[#This Row],[ASER_]],_xlfn._xlws.FILTER(PLANTILLA[[ASESOR]:[FECHA DE CESE]],PLANTILLA[FECHA]=_xlfn.CONCAT($M$3,"_",_xlfn.IFS($N$3="ENERO","1",$N$3="FEBRERO","2",$N$3="MARZO","3",$N$3="ABRIL","4",$N$3="MAYO","5",$N$3="JUNIO","6",$N$3="JULIO","7",$N$3="AGOSTO","8",$N$3="SETIEMBRE","9",$N$3="OCTUBRE","10",$N$3="NOVIEMBRE","11",$N$3="DICIEMBRE","12"))),8,0),"")</f>
        <v>S1</v>
      </c>
      <c r="AO30" s="54">
        <f>SUM(DATA_MAYO_2026[[#This Row],[15]:[30]])</f>
        <v>5346</v>
      </c>
      <c r="BX30" s="45" t="s">
        <v>636</v>
      </c>
      <c r="BY30" s="45" t="s">
        <v>125</v>
      </c>
      <c r="BZ30" s="45" t="s">
        <v>12</v>
      </c>
      <c r="CA30" s="55">
        <v>46175</v>
      </c>
      <c r="CB30" s="1">
        <f>IF(IND_JUNIO_2026[[#This Row],[IND_CANTFalta]]=1,0,IF(1-(IND_JUNIO_2026[[#This Row],[IND_Tardanza Tiempo]]*100%/0.166666666666667)&lt;0,0,1-(IND_JUNIO_2026[[#This Row],[IND_Tardanza Tiempo]]*100%/0.166666666666667)))</f>
        <v>0.99729166666666669</v>
      </c>
      <c r="CC30" s="45"/>
      <c r="CD30" s="93">
        <v>4.5138888888888887E-4</v>
      </c>
      <c r="CE30">
        <v>29</v>
      </c>
      <c r="CG30" s="1">
        <f>IFERROR(IND_JUNIO_2026[[#This Row],[IND_PDP]]/IND_JUNIO_2026[[#This Row],[IND_CEF Unico]],"")</f>
        <v>0</v>
      </c>
      <c r="CJ30" s="1" t="str">
        <f>IFERROR(IND_JUNIO_2026[[#This Row],[IND_Recupero]]/IND_JUNIO_2026[[#This Row],[IND_MontoPDP]],"")</f>
        <v/>
      </c>
      <c r="CK30" s="1" t="str">
        <f>IFERROR(IND_JUNIO_2026[[#This Row],[IND_MontoPDP]]/IND_JUNIO_2026[[#This Row],[DK]],"")</f>
        <v/>
      </c>
      <c r="CL30" t="s">
        <v>548</v>
      </c>
      <c r="CM30" t="str">
        <f>IFERROR(IND_JUNIO_2026[[#This Row],[IND_MontoPDP]]/IND_JUNIO_2026[[#This Row],[IND_PDP]],"")</f>
        <v/>
      </c>
    </row>
    <row r="31" spans="1:91" x14ac:dyDescent="0.25">
      <c r="A31" s="34" t="str" cm="1">
        <f t="array" ref="A31">IFERROR(VLOOKUP(D1_MAYO_2026[[#This Row],[ASESOR_CRR]],_xlfn._xlws.FILTER(PLANTILLA[[ASESOR]:[FECHA DE CESE]],PLANTILLA[FECHA]=_xlfn.CONCAT($M$3,"_",_xlfn.IFS($N$3="ENERO","1",$N$3="FEBRERO","2",$N$3="MARZO","3",$N$3="ABRIL","4",$N$3="MAYO","5",$N$3="JUNIO","6",$N$3="JULIO","7",$N$3="AGOSTO","8",$N$3="SETIEMBRE","9",$N$3="OCTUBRE","10",$N$3="NOVIEMBRE","11",$N$3="DICIEMBRE","12"))),3,0),"")</f>
        <v>SANDY</v>
      </c>
      <c r="B31" s="34" t="str" cm="1">
        <f t="array" ref="B3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ANTHONY VICENTE</v>
      </c>
      <c r="C31" s="34" cm="1">
        <f t="array" ref="C31">_xlfn.XLOOKUP(1,(TablaMeta[CONCAT]=$M$3&amp;$N$3&amp;D1_MAYO_2026[[#This Row],[SUPER]])*(TablaMeta[SEGG]=D1_MAYO_2026[[#This Row],[SEGMENTO]]),TablaMeta[Meta_Asesor])</f>
        <v>38500</v>
      </c>
      <c r="D31" s="35">
        <f>IF(D1_MAYO_2026[[#This Row],[RECUPERO]]="VACACIONES","VACACIONES",IFERROR(D1_MAYO_2026[[#This Row],[RECUPERO]]/D1_MAYO_2026[[#This Row],[META]],""))</f>
        <v>0.48001038961038967</v>
      </c>
      <c r="E31" s="35" t="str">
        <f>D1_MAYO_2026[[#This Row],[SUPER]]</f>
        <v>SANDY</v>
      </c>
      <c r="F31" t="s">
        <v>85</v>
      </c>
      <c r="G31" s="3">
        <v>18480.400000000001</v>
      </c>
      <c r="H31" cm="1">
        <f t="array" ref="H31">IFERROR(VLOOKUP(D1_MAYO_2026[[#This Row],[ASESOR_CRR]],_xlfn._xlws.FILTER(PLANTILLA[[ASESOR]:[FECHA DE CESE]],PLANTILLA[FECHA]=_xlfn.CONCAT($M$3,"_",_xlfn.IFS($N$3="ENERO","1",$N$3="FEBRERO","2",$N$3="MARZO","3",$N$3="ABRIL","4",$N$3="MAYO","5",$N$3="JUNIO","6",$N$3="JULIO","7",$N$3="AGOSTO","8",$N$3="SETIEMBRE","9",$N$3="OCTUBRE","10",$N$3="NOVIEMBRE","11",$N$3="DICIEMBRE","12"))),2,0),"")</f>
        <v>70477743</v>
      </c>
      <c r="I31" s="55" cm="1">
        <f t="array" ref="I31">IFERROR(VLOOKUP(D1_MAYO_2026[[#This Row],[ASESOR_CRR]],_xlfn._xlws.FILTER(PLANTILLA[[ASESOR]:[FECHA DE CESE]],PLANTILLA[FECHA]=_xlfn.CONCAT($M$3,"_",_xlfn.IFS($N$3="ENERO","1",$N$3="FEBRERO","2",$N$3="MARZO","3",$N$3="ABRIL","4",$N$3="MAYO","5",$N$3="JUNIO","6",$N$3="JULIO","7",$N$3="AGOSTO","8",$N$3="SETIEMBRE","9",$N$3="OCTUBRE","10",$N$3="NOVIEMBRE","11",$N$3="DICIEMBRE","12"))),6,0),"")</f>
        <v>46055</v>
      </c>
      <c r="J31" s="55" t="str" cm="1">
        <f t="array" ref="J31">IFERROR(VLOOKUP(D1_MAYO_2026[[#This Row],[ASESOR_CRR]],_xlfn._xlws.FILTER(PLANTILLA[[ASESOR]:[FECHA DE CESE]],PLANTILLA[FECHA]=_xlfn.CONCAT($M$3,"_",_xlfn.IFS($N$3="ENERO","1",$N$3="FEBRERO","2",$N$3="MARZO","3",$N$3="ABRIL","4",$N$3="MAYO","5",$N$3="JUNIO","6",$N$3="JULIO","7",$N$3="AGOSTO","8",$N$3="SETIEMBRE","9",$N$3="OCTUBRE","10",$N$3="NOVIEMBRE","11",$N$3="DICIEMBRE","12"))),4,0),"")</f>
        <v>CALL</v>
      </c>
      <c r="K31" s="55" t="str" cm="1">
        <f t="array" ref="K31">IFERROR(VLOOKUP(D1_MAYO_2026[[#This Row],[ASESOR_CRR]],_xlfn._xlws.FILTER(PLANTILLA[[ASESOR]:[FECHA DE CESE]],PLANTILLA[FECHA]=_xlfn.CONCAT($M$3,"_",_xlfn.IFS($N$3="ENERO","1",$N$3="FEBRERO","2",$N$3="MARZO","3",$N$3="ABRIL","4",$N$3="MAYO","5",$N$3="JUNIO","6",$N$3="JULIO","7",$N$3="AGOSTO","8",$N$3="SETIEMBRE","9",$N$3="OCTUBRE","10",$N$3="NOVIEMBRE","11",$N$3="DICIEMBRE","12"))),8,0),"")</f>
        <v>S0</v>
      </c>
      <c r="L31" s="55"/>
      <c r="M31" s="5">
        <f>DATA_MAYO_2026[[#This Row],[RECUPERO]]/DATA_MAYO_2026[[#This Row],[META]]</f>
        <v>0.48988333333333334</v>
      </c>
      <c r="N31" s="5">
        <f>6-ROUNDUP(_xlfn.RANK.EQ(DATA_MAYO_2026[[#This Row],[AL_AC]],DATA_MAYO_2026[AL_AC],0)/(COUNTA(DATA_MAYO_2026[AL_AC])/5),0)</f>
        <v>3</v>
      </c>
      <c r="O31" s="54" t="str">
        <f>IFERROR(VLOOKUP(DATA_MAYO_2026[[#This Row],[ASER_]],$B:$G,4,0),"")</f>
        <v>JORGE</v>
      </c>
      <c r="P31" s="6">
        <f>VLOOKUP(DATA_MAYO_2026[[#This Row],[ASER_]],D1_MAYO_2026[[ASESOR_CRR]:[RECUPERO]],6,0)</f>
        <v>29393</v>
      </c>
      <c r="Q31" s="6">
        <f>VLOOKUP(DATA_MAYO_2026[[#This Row],[ASER_]],D1_MAYO_2026[[ASESOR_CRR]:[META]],2,0)</f>
        <v>60000</v>
      </c>
      <c r="R31" t="s">
        <v>10</v>
      </c>
      <c r="S31" s="3">
        <v>0</v>
      </c>
      <c r="T31">
        <v>0</v>
      </c>
      <c r="U31">
        <v>0</v>
      </c>
      <c r="V31">
        <v>8000</v>
      </c>
      <c r="W31">
        <v>0</v>
      </c>
      <c r="X31" s="5">
        <v>0</v>
      </c>
      <c r="Y31" s="6">
        <v>600</v>
      </c>
      <c r="Z31" s="6">
        <v>8000</v>
      </c>
      <c r="AA31" s="6">
        <v>0</v>
      </c>
      <c r="AB31" s="6">
        <v>2200</v>
      </c>
      <c r="AC31" s="6">
        <v>0</v>
      </c>
      <c r="AD31" s="6">
        <v>3300</v>
      </c>
      <c r="AE31" s="6">
        <v>0</v>
      </c>
      <c r="AF31" s="6">
        <v>1600</v>
      </c>
      <c r="AG31" s="6">
        <v>273</v>
      </c>
      <c r="AH31" s="6">
        <v>2200</v>
      </c>
      <c r="AI31" s="6">
        <v>3220</v>
      </c>
      <c r="AJ31" s="6"/>
      <c r="AK31" s="6"/>
      <c r="AL31" s="6"/>
      <c r="AM31" s="6"/>
      <c r="AN31" s="54" t="str" cm="1">
        <f t="array" ref="AN31">IFERROR(VLOOKUP(DATA_MAYO_2026[[#This Row],[ASER_]],_xlfn._xlws.FILTER(PLANTILLA[[ASESOR]:[FECHA DE CESE]],PLANTILLA[FECHA]=_xlfn.CONCAT($M$3,"_",_xlfn.IFS($N$3="ENERO","1",$N$3="FEBRERO","2",$N$3="MARZO","3",$N$3="ABRIL","4",$N$3="MAYO","5",$N$3="JUNIO","6",$N$3="JULIO","7",$N$3="AGOSTO","8",$N$3="SETIEMBRE","9",$N$3="OCTUBRE","10",$N$3="NOVIEMBRE","11",$N$3="DICIEMBRE","12"))),8,0),"")</f>
        <v>S1</v>
      </c>
      <c r="AO31" s="54">
        <f>SUM(DATA_MAYO_2026[[#This Row],[15]:[30]])</f>
        <v>10593</v>
      </c>
      <c r="BX31" s="45" t="s">
        <v>636</v>
      </c>
      <c r="BY31" s="45" t="s">
        <v>125</v>
      </c>
      <c r="BZ31" s="45" t="s">
        <v>12</v>
      </c>
      <c r="CA31" s="55">
        <v>46177</v>
      </c>
      <c r="CB31" s="1">
        <f>IF(IND_JUNIO_2026[[#This Row],[IND_CANTFalta]]=1,0,IF(1-(IND_JUNIO_2026[[#This Row],[IND_Tardanza Tiempo]]*100%/0.166666666666667)&lt;0,0,1-(IND_JUNIO_2026[[#This Row],[IND_Tardanza Tiempo]]*100%/0.166666666666667)))</f>
        <v>0.99791666666666667</v>
      </c>
      <c r="CC31" s="45"/>
      <c r="CD31" s="93">
        <v>3.4722222222222224E-4</v>
      </c>
      <c r="CE31">
        <v>24</v>
      </c>
      <c r="CF31">
        <v>1</v>
      </c>
      <c r="CG31" s="1">
        <f>IFERROR(IND_JUNIO_2026[[#This Row],[IND_PDP]]/IND_JUNIO_2026[[#This Row],[IND_CEF Unico]],"")</f>
        <v>4.1666666666666664E-2</v>
      </c>
      <c r="CH31">
        <v>870</v>
      </c>
      <c r="CJ31" s="1">
        <f>IFERROR(IND_JUNIO_2026[[#This Row],[IND_Recupero]]/IND_JUNIO_2026[[#This Row],[IND_MontoPDP]],"")</f>
        <v>0</v>
      </c>
      <c r="CK31" s="1" t="str">
        <f>IFERROR(IND_JUNIO_2026[[#This Row],[IND_MontoPDP]]/IND_JUNIO_2026[[#This Row],[DK]],"")</f>
        <v/>
      </c>
      <c r="CL31" t="s">
        <v>548</v>
      </c>
      <c r="CM31">
        <f>IFERROR(IND_JUNIO_2026[[#This Row],[IND_MontoPDP]]/IND_JUNIO_2026[[#This Row],[IND_PDP]],"")</f>
        <v>870</v>
      </c>
    </row>
    <row r="32" spans="1:91" x14ac:dyDescent="0.25">
      <c r="A32" s="34" t="str" cm="1">
        <f t="array" ref="A32">IFERROR(VLOOKUP(D1_MAYO_2026[[#This Row],[ASESOR_CRR]],_xlfn._xlws.FILTER(PLANTILLA[[ASESOR]:[FECHA DE CESE]],PLANTILLA[FECHA]=_xlfn.CONCAT($M$3,"_",_xlfn.IFS($N$3="ENERO","1",$N$3="FEBRERO","2",$N$3="MARZO","3",$N$3="ABRIL","4",$N$3="MAYO","5",$N$3="JUNIO","6",$N$3="JULIO","7",$N$3="AGOSTO","8",$N$3="SETIEMBRE","9",$N$3="OCTUBRE","10",$N$3="NOVIEMBRE","11",$N$3="DICIEMBRE","12"))),3,0),"")</f>
        <v>SANDY</v>
      </c>
      <c r="B32" s="34" t="str" cm="1">
        <f t="array" ref="B3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ALEJANDRA QUISPE</v>
      </c>
      <c r="C32" s="34" cm="1">
        <f t="array" ref="C32">_xlfn.XLOOKUP(1,(TablaMeta[CONCAT]=$M$3&amp;$N$3&amp;D1_MAYO_2026[[#This Row],[SUPER]])*(TablaMeta[SEGG]=D1_MAYO_2026[[#This Row],[SEGMENTO]]),TablaMeta[Meta_Asesor])</f>
        <v>38500</v>
      </c>
      <c r="D32" s="35">
        <f>IF(D1_MAYO_2026[[#This Row],[RECUPERO]]="VACACIONES","VACACIONES",IFERROR(D1_MAYO_2026[[#This Row],[RECUPERO]]/D1_MAYO_2026[[#This Row],[META]],""))</f>
        <v>0.47929870129870128</v>
      </c>
      <c r="E32" s="35" t="str">
        <f>D1_MAYO_2026[[#This Row],[SUPER]]</f>
        <v>SANDY</v>
      </c>
      <c r="F32" t="s">
        <v>58</v>
      </c>
      <c r="G32" s="3">
        <v>18453</v>
      </c>
      <c r="H32" cm="1">
        <f t="array" ref="H32">IFERROR(VLOOKUP(D1_MAYO_2026[[#This Row],[ASESOR_CRR]],_xlfn._xlws.FILTER(PLANTILLA[[ASESOR]:[FECHA DE CESE]],PLANTILLA[FECHA]=_xlfn.CONCAT($M$3,"_",_xlfn.IFS($N$3="ENERO","1",$N$3="FEBRERO","2",$N$3="MARZO","3",$N$3="ABRIL","4",$N$3="MAYO","5",$N$3="JUNIO","6",$N$3="JULIO","7",$N$3="AGOSTO","8",$N$3="SETIEMBRE","9",$N$3="OCTUBRE","10",$N$3="NOVIEMBRE","11",$N$3="DICIEMBRE","12"))),2,0),"")</f>
        <v>72519113</v>
      </c>
      <c r="I32" s="55" cm="1">
        <f t="array" ref="I32">IFERROR(VLOOKUP(D1_MAYO_2026[[#This Row],[ASESOR_CRR]],_xlfn._xlws.FILTER(PLANTILLA[[ASESOR]:[FECHA DE CESE]],PLANTILLA[FECHA]=_xlfn.CONCAT($M$3,"_",_xlfn.IFS($N$3="ENERO","1",$N$3="FEBRERO","2",$N$3="MARZO","3",$N$3="ABRIL","4",$N$3="MAYO","5",$N$3="JUNIO","6",$N$3="JULIO","7",$N$3="AGOSTO","8",$N$3="SETIEMBRE","9",$N$3="OCTUBRE","10",$N$3="NOVIEMBRE","11",$N$3="DICIEMBRE","12"))),6,0),"")</f>
        <v>43119</v>
      </c>
      <c r="J32" s="55" t="str" cm="1">
        <f t="array" ref="J32">IFERROR(VLOOKUP(D1_MAYO_2026[[#This Row],[ASESOR_CRR]],_xlfn._xlws.FILTER(PLANTILLA[[ASESOR]:[FECHA DE CESE]],PLANTILLA[FECHA]=_xlfn.CONCAT($M$3,"_",_xlfn.IFS($N$3="ENERO","1",$N$3="FEBRERO","2",$N$3="MARZO","3",$N$3="ABRIL","4",$N$3="MAYO","5",$N$3="JUNIO","6",$N$3="JULIO","7",$N$3="AGOSTO","8",$N$3="SETIEMBRE","9",$N$3="OCTUBRE","10",$N$3="NOVIEMBRE","11",$N$3="DICIEMBRE","12"))),4,0),"")</f>
        <v>CALL</v>
      </c>
      <c r="K32" s="55" t="str" cm="1">
        <f t="array" ref="K32">IFERROR(VLOOKUP(D1_MAYO_2026[[#This Row],[ASESOR_CRR]],_xlfn._xlws.FILTER(PLANTILLA[[ASESOR]:[FECHA DE CESE]],PLANTILLA[FECHA]=_xlfn.CONCAT($M$3,"_",_xlfn.IFS($N$3="ENERO","1",$N$3="FEBRERO","2",$N$3="MARZO","3",$N$3="ABRIL","4",$N$3="MAYO","5",$N$3="JUNIO","6",$N$3="JULIO","7",$N$3="AGOSTO","8",$N$3="SETIEMBRE","9",$N$3="OCTUBRE","10",$N$3="NOVIEMBRE","11",$N$3="DICIEMBRE","12"))),8,0),"")</f>
        <v>S0</v>
      </c>
      <c r="L32" s="55"/>
      <c r="M32" s="5">
        <f>DATA_MAYO_2026[[#This Row],[RECUPERO]]/DATA_MAYO_2026[[#This Row],[META]]</f>
        <v>0.29833333333333334</v>
      </c>
      <c r="N32" s="5">
        <f>6-ROUNDUP(_xlfn.RANK.EQ(DATA_MAYO_2026[[#This Row],[AL_AC]],DATA_MAYO_2026[AL_AC],0)/(COUNTA(DATA_MAYO_2026[AL_AC])/5),0)</f>
        <v>2</v>
      </c>
      <c r="O32" s="54" t="str">
        <f>IFERROR(VLOOKUP(DATA_MAYO_2026[[#This Row],[ASER_]],$B:$G,4,0),"")</f>
        <v>JORGE</v>
      </c>
      <c r="P32" s="6">
        <f>VLOOKUP(DATA_MAYO_2026[[#This Row],[ASER_]],D1_MAYO_2026[[ASESOR_CRR]:[RECUPERO]],6,0)</f>
        <v>17900</v>
      </c>
      <c r="Q32" s="6">
        <f>VLOOKUP(DATA_MAYO_2026[[#This Row],[ASER_]],D1_MAYO_2026[[ASESOR_CRR]:[META]],2,0)</f>
        <v>60000</v>
      </c>
      <c r="R32" t="s">
        <v>24</v>
      </c>
      <c r="S32" s="3">
        <v>0</v>
      </c>
      <c r="T32">
        <v>100</v>
      </c>
      <c r="U32">
        <v>350</v>
      </c>
      <c r="V32">
        <v>0</v>
      </c>
      <c r="W32">
        <v>0</v>
      </c>
      <c r="X32" s="5">
        <v>0</v>
      </c>
      <c r="Y32" s="6">
        <v>0</v>
      </c>
      <c r="Z32" s="6">
        <v>0</v>
      </c>
      <c r="AA32" s="6">
        <v>0</v>
      </c>
      <c r="AB32" s="6">
        <v>500</v>
      </c>
      <c r="AC32" s="6">
        <v>2000</v>
      </c>
      <c r="AD32" s="6">
        <v>500</v>
      </c>
      <c r="AE32" s="6">
        <v>6950</v>
      </c>
      <c r="AF32" s="6">
        <v>3800</v>
      </c>
      <c r="AG32" s="6">
        <v>0</v>
      </c>
      <c r="AH32" s="6">
        <v>3700</v>
      </c>
      <c r="AI32" s="6">
        <v>0</v>
      </c>
      <c r="AJ32" s="6"/>
      <c r="AK32" s="6"/>
      <c r="AL32" s="6"/>
      <c r="AM32" s="6"/>
      <c r="AN32" s="54" t="str" cm="1">
        <f t="array" ref="AN32">IFERROR(VLOOKUP(DATA_MAYO_2026[[#This Row],[ASER_]],_xlfn._xlws.FILTER(PLANTILLA[[ASESOR]:[FECHA DE CESE]],PLANTILLA[FECHA]=_xlfn.CONCAT($M$3,"_",_xlfn.IFS($N$3="ENERO","1",$N$3="FEBRERO","2",$N$3="MARZO","3",$N$3="ABRIL","4",$N$3="MAYO","5",$N$3="JUNIO","6",$N$3="JULIO","7",$N$3="AGOSTO","8",$N$3="SETIEMBRE","9",$N$3="OCTUBRE","10",$N$3="NOVIEMBRE","11",$N$3="DICIEMBRE","12"))),8,0),"")</f>
        <v>S1</v>
      </c>
      <c r="AO32" s="54">
        <f>SUM(DATA_MAYO_2026[[#This Row],[15]:[30]])</f>
        <v>16950</v>
      </c>
      <c r="BX32" s="45" t="s">
        <v>636</v>
      </c>
      <c r="BY32" s="45" t="s">
        <v>125</v>
      </c>
      <c r="BZ32" s="45" t="s">
        <v>12</v>
      </c>
      <c r="CA32" s="55">
        <v>46178</v>
      </c>
      <c r="CB32" s="1">
        <f>IF(IND_JUNIO_2026[[#This Row],[IND_CANTFalta]]=1,0,IF(1-(IND_JUNIO_2026[[#This Row],[IND_Tardanza Tiempo]]*100%/0.166666666666667)&lt;0,0,1-(IND_JUNIO_2026[[#This Row],[IND_Tardanza Tiempo]]*100%/0.166666666666667)))</f>
        <v>0.99847222222222221</v>
      </c>
      <c r="CC32" s="45"/>
      <c r="CD32" s="93">
        <v>2.5462962962962961E-4</v>
      </c>
      <c r="CE32">
        <v>13</v>
      </c>
      <c r="CG32" s="1">
        <f>IFERROR(IND_JUNIO_2026[[#This Row],[IND_PDP]]/IND_JUNIO_2026[[#This Row],[IND_CEF Unico]],"")</f>
        <v>0</v>
      </c>
      <c r="CJ32" s="1" t="str">
        <f>IFERROR(IND_JUNIO_2026[[#This Row],[IND_Recupero]]/IND_JUNIO_2026[[#This Row],[IND_MontoPDP]],"")</f>
        <v/>
      </c>
      <c r="CK32" s="1" t="str">
        <f>IFERROR(IND_JUNIO_2026[[#This Row],[IND_MontoPDP]]/IND_JUNIO_2026[[#This Row],[DK]],"")</f>
        <v/>
      </c>
      <c r="CL32" t="s">
        <v>548</v>
      </c>
      <c r="CM32" t="str">
        <f>IFERROR(IND_JUNIO_2026[[#This Row],[IND_MontoPDP]]/IND_JUNIO_2026[[#This Row],[IND_PDP]],"")</f>
        <v/>
      </c>
    </row>
    <row r="33" spans="1:91" x14ac:dyDescent="0.25">
      <c r="A33" s="34" t="str" cm="1">
        <f t="array" ref="A33">IFERROR(VLOOKUP(D1_MAYO_2026[[#This Row],[ASESOR_CRR]],_xlfn._xlws.FILTER(PLANTILLA[[ASESOR]:[FECHA DE CESE]],PLANTILLA[FECHA]=_xlfn.CONCAT($M$3,"_",_xlfn.IFS($N$3="ENERO","1",$N$3="FEBRERO","2",$N$3="MARZO","3",$N$3="ABRIL","4",$N$3="MAYO","5",$N$3="JUNIO","6",$N$3="JULIO","7",$N$3="AGOSTO","8",$N$3="SETIEMBRE","9",$N$3="OCTUBRE","10",$N$3="NOVIEMBRE","11",$N$3="DICIEMBRE","12"))),3,0),"")</f>
        <v>SANDY</v>
      </c>
      <c r="B33" s="34" t="str" cm="1">
        <f t="array" ref="B3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ANALUCIA PONCE</v>
      </c>
      <c r="C33" s="34" cm="1">
        <f t="array" ref="C33">_xlfn.XLOOKUP(1,(TablaMeta[CONCAT]=$M$3&amp;$N$3&amp;D1_MAYO_2026[[#This Row],[SUPER]])*(TablaMeta[SEGG]=D1_MAYO_2026[[#This Row],[SEGMENTO]]),TablaMeta[Meta_Asesor])</f>
        <v>72000</v>
      </c>
      <c r="D33" s="35">
        <f>IF(D1_MAYO_2026[[#This Row],[RECUPERO]]="VACACIONES","VACACIONES",IFERROR(D1_MAYO_2026[[#This Row],[RECUPERO]]/D1_MAYO_2026[[#This Row],[META]],""))</f>
        <v>0.62599027777777783</v>
      </c>
      <c r="E33" s="35" t="str">
        <f>D1_MAYO_2026[[#This Row],[SUPER]]</f>
        <v>SANDY</v>
      </c>
      <c r="F33" t="s">
        <v>60</v>
      </c>
      <c r="G33" s="3">
        <v>45071.3</v>
      </c>
      <c r="H33" cm="1">
        <f t="array" ref="H33">IFERROR(VLOOKUP(D1_MAYO_2026[[#This Row],[ASESOR_CRR]],_xlfn._xlws.FILTER(PLANTILLA[[ASESOR]:[FECHA DE CESE]],PLANTILLA[FECHA]=_xlfn.CONCAT($M$3,"_",_xlfn.IFS($N$3="ENERO","1",$N$3="FEBRERO","2",$N$3="MARZO","3",$N$3="ABRIL","4",$N$3="MAYO","5",$N$3="JUNIO","6",$N$3="JULIO","7",$N$3="AGOSTO","8",$N$3="SETIEMBRE","9",$N$3="OCTUBRE","10",$N$3="NOVIEMBRE","11",$N$3="DICIEMBRE","12"))),2,0),"")</f>
        <v>72839865</v>
      </c>
      <c r="I33" s="55" cm="1">
        <f t="array" ref="I33">IFERROR(VLOOKUP(D1_MAYO_2026[[#This Row],[ASESOR_CRR]],_xlfn._xlws.FILTER(PLANTILLA[[ASESOR]:[FECHA DE CESE]],PLANTILLA[FECHA]=_xlfn.CONCAT($M$3,"_",_xlfn.IFS($N$3="ENERO","1",$N$3="FEBRERO","2",$N$3="MARZO","3",$N$3="ABRIL","4",$N$3="MAYO","5",$N$3="JUNIO","6",$N$3="JULIO","7",$N$3="AGOSTO","8",$N$3="SETIEMBRE","9",$N$3="OCTUBRE","10",$N$3="NOVIEMBRE","11",$N$3="DICIEMBRE","12"))),6,0),"")</f>
        <v>45854</v>
      </c>
      <c r="J33" s="55" t="str" cm="1">
        <f t="array" ref="J33">IFERROR(VLOOKUP(D1_MAYO_2026[[#This Row],[ASESOR_CRR]],_xlfn._xlws.FILTER(PLANTILLA[[ASESOR]:[FECHA DE CESE]],PLANTILLA[FECHA]=_xlfn.CONCAT($M$3,"_",_xlfn.IFS($N$3="ENERO","1",$N$3="FEBRERO","2",$N$3="MARZO","3",$N$3="ABRIL","4",$N$3="MAYO","5",$N$3="JUNIO","6",$N$3="JULIO","7",$N$3="AGOSTO","8",$N$3="SETIEMBRE","9",$N$3="OCTUBRE","10",$N$3="NOVIEMBRE","11",$N$3="DICIEMBRE","12"))),4,0),"")</f>
        <v>CALL</v>
      </c>
      <c r="K33" s="55" t="str" cm="1">
        <f t="array" ref="K33">IFERROR(VLOOKUP(D1_MAYO_2026[[#This Row],[ASESOR_CRR]],_xlfn._xlws.FILTER(PLANTILLA[[ASESOR]:[FECHA DE CESE]],PLANTILLA[FECHA]=_xlfn.CONCAT($M$3,"_",_xlfn.IFS($N$3="ENERO","1",$N$3="FEBRERO","2",$N$3="MARZO","3",$N$3="ABRIL","4",$N$3="MAYO","5",$N$3="JUNIO","6",$N$3="JULIO","7",$N$3="AGOSTO","8",$N$3="SETIEMBRE","9",$N$3="OCTUBRE","10",$N$3="NOVIEMBRE","11",$N$3="DICIEMBRE","12"))),8,0),"")</f>
        <v>COINVERSIÓN</v>
      </c>
      <c r="L33" s="55"/>
      <c r="M33" s="5">
        <f>DATA_MAYO_2026[[#This Row],[RECUPERO]]/DATA_MAYO_2026[[#This Row],[META]]</f>
        <v>0.61683333333333334</v>
      </c>
      <c r="N33" s="5">
        <f>6-ROUNDUP(_xlfn.RANK.EQ(DATA_MAYO_2026[[#This Row],[AL_AC]],DATA_MAYO_2026[AL_AC],0)/(COUNTA(DATA_MAYO_2026[AL_AC])/5),0)</f>
        <v>4</v>
      </c>
      <c r="O33" s="54" t="str">
        <f>IFERROR(VLOOKUP(DATA_MAYO_2026[[#This Row],[ASER_]],$B:$G,4,0),"")</f>
        <v>JORGE</v>
      </c>
      <c r="P33" s="6">
        <f>VLOOKUP(DATA_MAYO_2026[[#This Row],[ASER_]],D1_MAYO_2026[[ASESOR_CRR]:[RECUPERO]],6,0)</f>
        <v>37010</v>
      </c>
      <c r="Q33" s="6">
        <f>VLOOKUP(DATA_MAYO_2026[[#This Row],[ASER_]],D1_MAYO_2026[[ASESOR_CRR]:[META]],2,0)</f>
        <v>60000</v>
      </c>
      <c r="R33" t="s">
        <v>13</v>
      </c>
      <c r="S33" s="3">
        <v>5000</v>
      </c>
      <c r="T33">
        <v>7000</v>
      </c>
      <c r="U33">
        <v>2700</v>
      </c>
      <c r="V33">
        <v>0</v>
      </c>
      <c r="W33">
        <v>3000</v>
      </c>
      <c r="X33" s="5">
        <v>4970</v>
      </c>
      <c r="Y33" s="6">
        <v>0</v>
      </c>
      <c r="Z33" s="6">
        <v>2300</v>
      </c>
      <c r="AA33" s="6">
        <v>0</v>
      </c>
      <c r="AB33" s="6">
        <v>0</v>
      </c>
      <c r="AC33" s="6">
        <v>0</v>
      </c>
      <c r="AD33" s="6">
        <v>0</v>
      </c>
      <c r="AE33" s="6">
        <v>440</v>
      </c>
      <c r="AF33" s="6">
        <v>6100</v>
      </c>
      <c r="AG33" s="6">
        <v>500</v>
      </c>
      <c r="AH33" s="6">
        <v>0</v>
      </c>
      <c r="AI33" s="6">
        <v>5000</v>
      </c>
      <c r="AJ33" s="6"/>
      <c r="AK33" s="6"/>
      <c r="AL33" s="6"/>
      <c r="AM33" s="6"/>
      <c r="AN33" s="54" t="str" cm="1">
        <f t="array" ref="AN33">IFERROR(VLOOKUP(DATA_MAYO_2026[[#This Row],[ASER_]],_xlfn._xlws.FILTER(PLANTILLA[[ASESOR]:[FECHA DE CESE]],PLANTILLA[FECHA]=_xlfn.CONCAT($M$3,"_",_xlfn.IFS($N$3="ENERO","1",$N$3="FEBRERO","2",$N$3="MARZO","3",$N$3="ABRIL","4",$N$3="MAYO","5",$N$3="JUNIO","6",$N$3="JULIO","7",$N$3="AGOSTO","8",$N$3="SETIEMBRE","9",$N$3="OCTUBRE","10",$N$3="NOVIEMBRE","11",$N$3="DICIEMBRE","12"))),8,0),"")</f>
        <v>S1</v>
      </c>
      <c r="AO33" s="54">
        <f>SUM(DATA_MAYO_2026[[#This Row],[15]:[30]])</f>
        <v>12040</v>
      </c>
      <c r="BX33" s="45" t="s">
        <v>636</v>
      </c>
      <c r="BY33" s="45" t="s">
        <v>125</v>
      </c>
      <c r="BZ33" s="45" t="s">
        <v>26</v>
      </c>
      <c r="CA33" s="55">
        <v>46174</v>
      </c>
      <c r="CB33" s="1">
        <f>IF(IND_JUNIO_2026[[#This Row],[IND_CANTFalta]]=1,0,IF(1-(IND_JUNIO_2026[[#This Row],[IND_Tardanza Tiempo]]*100%/0.166666666666667)&lt;0,0,1-(IND_JUNIO_2026[[#This Row],[IND_Tardanza Tiempo]]*100%/0.166666666666667)))</f>
        <v>0.99965277777777772</v>
      </c>
      <c r="CC33" s="45"/>
      <c r="CD33" s="93">
        <v>5.7870370370370373E-5</v>
      </c>
      <c r="CE33">
        <v>50</v>
      </c>
      <c r="CF33">
        <v>7</v>
      </c>
      <c r="CG33" s="1">
        <f>IFERROR(IND_JUNIO_2026[[#This Row],[IND_PDP]]/IND_JUNIO_2026[[#This Row],[IND_CEF Unico]],"")</f>
        <v>0.14000000000000001</v>
      </c>
      <c r="CH33">
        <v>2774</v>
      </c>
      <c r="CJ33" s="1">
        <f>IFERROR(IND_JUNIO_2026[[#This Row],[IND_Recupero]]/IND_JUNIO_2026[[#This Row],[IND_MontoPDP]],"")</f>
        <v>0</v>
      </c>
      <c r="CK33" s="1" t="str">
        <f>IFERROR(IND_JUNIO_2026[[#This Row],[IND_MontoPDP]]/IND_JUNIO_2026[[#This Row],[DK]],"")</f>
        <v/>
      </c>
      <c r="CL33" t="s">
        <v>548</v>
      </c>
      <c r="CM33">
        <f>IFERROR(IND_JUNIO_2026[[#This Row],[IND_MontoPDP]]/IND_JUNIO_2026[[#This Row],[IND_PDP]],"")</f>
        <v>396.28571428571428</v>
      </c>
    </row>
    <row r="34" spans="1:91" x14ac:dyDescent="0.25">
      <c r="A34" s="34" t="str" cm="1">
        <f t="array" ref="A34">IFERROR(VLOOKUP(D1_MAYO_2026[[#This Row],[ASESOR_CRR]],_xlfn._xlws.FILTER(PLANTILLA[[ASESOR]:[FECHA DE CESE]],PLANTILLA[FECHA]=_xlfn.CONCAT($M$3,"_",_xlfn.IFS($N$3="ENERO","1",$N$3="FEBRERO","2",$N$3="MARZO","3",$N$3="ABRIL","4",$N$3="MAYO","5",$N$3="JUNIO","6",$N$3="JULIO","7",$N$3="AGOSTO","8",$N$3="SETIEMBRE","9",$N$3="OCTUBRE","10",$N$3="NOVIEMBRE","11",$N$3="DICIEMBRE","12"))),3,0),"")</f>
        <v>SANDY</v>
      </c>
      <c r="B34" s="34" t="str" cm="1">
        <f t="array" ref="B3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LUCERO JORDAN</v>
      </c>
      <c r="C34" s="34" cm="1">
        <f t="array" ref="C34">_xlfn.XLOOKUP(1,(TablaMeta[CONCAT]=$M$3&amp;$N$3&amp;D1_MAYO_2026[[#This Row],[SUPER]])*(TablaMeta[SEGG]=D1_MAYO_2026[[#This Row],[SEGMENTO]]),TablaMeta[Meta_Asesor])</f>
        <v>72000</v>
      </c>
      <c r="D34" s="35">
        <f>IF(D1_MAYO_2026[[#This Row],[RECUPERO]]="VACACIONES","VACACIONES",IFERROR(D1_MAYO_2026[[#This Row],[RECUPERO]]/D1_MAYO_2026[[#This Row],[META]],""))</f>
        <v>0.35270833333333335</v>
      </c>
      <c r="E34" s="35" t="str">
        <f>D1_MAYO_2026[[#This Row],[SUPER]]</f>
        <v>SANDY</v>
      </c>
      <c r="F34" t="s">
        <v>68</v>
      </c>
      <c r="G34" s="3">
        <v>25395</v>
      </c>
      <c r="H34" cm="1">
        <f t="array" ref="H34">IFERROR(VLOOKUP(D1_MAYO_2026[[#This Row],[ASESOR_CRR]],_xlfn._xlws.FILTER(PLANTILLA[[ASESOR]:[FECHA DE CESE]],PLANTILLA[FECHA]=_xlfn.CONCAT($M$3,"_",_xlfn.IFS($N$3="ENERO","1",$N$3="FEBRERO","2",$N$3="MARZO","3",$N$3="ABRIL","4",$N$3="MAYO","5",$N$3="JUNIO","6",$N$3="JULIO","7",$N$3="AGOSTO","8",$N$3="SETIEMBRE","9",$N$3="OCTUBRE","10",$N$3="NOVIEMBRE","11",$N$3="DICIEMBRE","12"))),2,0),"")</f>
        <v>73257316</v>
      </c>
      <c r="I34" s="55" cm="1">
        <f t="array" ref="I34">IFERROR(VLOOKUP(D1_MAYO_2026[[#This Row],[ASESOR_CRR]],_xlfn._xlws.FILTER(PLANTILLA[[ASESOR]:[FECHA DE CESE]],PLANTILLA[FECHA]=_xlfn.CONCAT($M$3,"_",_xlfn.IFS($N$3="ENERO","1",$N$3="FEBRERO","2",$N$3="MARZO","3",$N$3="ABRIL","4",$N$3="MAYO","5",$N$3="JUNIO","6",$N$3="JULIO","7",$N$3="AGOSTO","8",$N$3="SETIEMBRE","9",$N$3="OCTUBRE","10",$N$3="NOVIEMBRE","11",$N$3="DICIEMBRE","12"))),6,0),"")</f>
        <v>45363</v>
      </c>
      <c r="J34" s="55" t="str" cm="1">
        <f t="array" ref="J34">IFERROR(VLOOKUP(D1_MAYO_2026[[#This Row],[ASESOR_CRR]],_xlfn._xlws.FILTER(PLANTILLA[[ASESOR]:[FECHA DE CESE]],PLANTILLA[FECHA]=_xlfn.CONCAT($M$3,"_",_xlfn.IFS($N$3="ENERO","1",$N$3="FEBRERO","2",$N$3="MARZO","3",$N$3="ABRIL","4",$N$3="MAYO","5",$N$3="JUNIO","6",$N$3="JULIO","7",$N$3="AGOSTO","8",$N$3="SETIEMBRE","9",$N$3="OCTUBRE","10",$N$3="NOVIEMBRE","11",$N$3="DICIEMBRE","12"))),4,0),"")</f>
        <v>CALL</v>
      </c>
      <c r="K34" s="55" t="str" cm="1">
        <f t="array" ref="K34">IFERROR(VLOOKUP(D1_MAYO_2026[[#This Row],[ASESOR_CRR]],_xlfn._xlws.FILTER(PLANTILLA[[ASESOR]:[FECHA DE CESE]],PLANTILLA[FECHA]=_xlfn.CONCAT($M$3,"_",_xlfn.IFS($N$3="ENERO","1",$N$3="FEBRERO","2",$N$3="MARZO","3",$N$3="ABRIL","4",$N$3="MAYO","5",$N$3="JUNIO","6",$N$3="JULIO","7",$N$3="AGOSTO","8",$N$3="SETIEMBRE","9",$N$3="OCTUBRE","10",$N$3="NOVIEMBRE","11",$N$3="DICIEMBRE","12"))),8,0),"")</f>
        <v>COINVERSIÓN</v>
      </c>
      <c r="L34" s="55"/>
      <c r="M34" s="5">
        <f>DATA_MAYO_2026[[#This Row],[RECUPERO]]/DATA_MAYO_2026[[#This Row],[META]]</f>
        <v>0.57479999999999998</v>
      </c>
      <c r="N34" s="5">
        <f>6-ROUNDUP(_xlfn.RANK.EQ(DATA_MAYO_2026[[#This Row],[AL_AC]],DATA_MAYO_2026[AL_AC],0)/(COUNTA(DATA_MAYO_2026[AL_AC])/5),0)</f>
        <v>4</v>
      </c>
      <c r="O34" s="54" t="str">
        <f>IFERROR(VLOOKUP(DATA_MAYO_2026[[#This Row],[ASER_]],$B:$G,4,0),"")</f>
        <v>JORGE</v>
      </c>
      <c r="P34" s="6">
        <f>VLOOKUP(DATA_MAYO_2026[[#This Row],[ASER_]],D1_MAYO_2026[[ASESOR_CRR]:[RECUPERO]],6,0)</f>
        <v>34488</v>
      </c>
      <c r="Q34" s="6">
        <f>VLOOKUP(DATA_MAYO_2026[[#This Row],[ASER_]],D1_MAYO_2026[[ASESOR_CRR]:[META]],2,0)</f>
        <v>60000</v>
      </c>
      <c r="R34" t="s">
        <v>25</v>
      </c>
      <c r="S34">
        <v>0</v>
      </c>
      <c r="T34">
        <v>6000</v>
      </c>
      <c r="U34">
        <v>6623</v>
      </c>
      <c r="V34">
        <v>0</v>
      </c>
      <c r="W34">
        <v>0</v>
      </c>
      <c r="X34" s="5">
        <v>300</v>
      </c>
      <c r="Y34" s="6">
        <v>0</v>
      </c>
      <c r="Z34" s="6">
        <v>0</v>
      </c>
      <c r="AA34" s="6">
        <v>1500</v>
      </c>
      <c r="AB34" s="6">
        <v>0</v>
      </c>
      <c r="AC34" s="6">
        <v>3170</v>
      </c>
      <c r="AD34" s="6">
        <v>0</v>
      </c>
      <c r="AE34" s="6">
        <v>500</v>
      </c>
      <c r="AF34" s="6">
        <v>215</v>
      </c>
      <c r="AG34" s="6">
        <v>600</v>
      </c>
      <c r="AH34" s="6">
        <v>10300</v>
      </c>
      <c r="AI34" s="6">
        <v>5280</v>
      </c>
      <c r="AJ34" s="6"/>
      <c r="AK34" s="6"/>
      <c r="AL34" s="6"/>
      <c r="AM34" s="6"/>
      <c r="AN34" s="54" t="str" cm="1">
        <f t="array" ref="AN34">IFERROR(VLOOKUP(DATA_MAYO_2026[[#This Row],[ASER_]],_xlfn._xlws.FILTER(PLANTILLA[[ASESOR]:[FECHA DE CESE]],PLANTILLA[FECHA]=_xlfn.CONCAT($M$3,"_",_xlfn.IFS($N$3="ENERO","1",$N$3="FEBRERO","2",$N$3="MARZO","3",$N$3="ABRIL","4",$N$3="MAYO","5",$N$3="JUNIO","6",$N$3="JULIO","7",$N$3="AGOSTO","8",$N$3="SETIEMBRE","9",$N$3="OCTUBRE","10",$N$3="NOVIEMBRE","11",$N$3="DICIEMBRE","12"))),8,0),"")</f>
        <v>S1</v>
      </c>
      <c r="AO34" s="54">
        <f>SUM(DATA_MAYO_2026[[#This Row],[15]:[30]])</f>
        <v>20065</v>
      </c>
      <c r="BX34" s="45" t="s">
        <v>636</v>
      </c>
      <c r="BY34" s="45" t="s">
        <v>125</v>
      </c>
      <c r="BZ34" s="45" t="s">
        <v>26</v>
      </c>
      <c r="CA34" s="55">
        <v>46175</v>
      </c>
      <c r="CB34" s="1">
        <f>IF(IND_JUNIO_2026[[#This Row],[IND_CANTFalta]]=1,0,IF(1-(IND_JUNIO_2026[[#This Row],[IND_Tardanza Tiempo]]*100%/0.166666666666667)&lt;0,0,1-(IND_JUNIO_2026[[#This Row],[IND_Tardanza Tiempo]]*100%/0.166666666666667)))</f>
        <v>0.9992361111111111</v>
      </c>
      <c r="CC34" s="45"/>
      <c r="CD34" s="93">
        <v>1.273148148148148E-4</v>
      </c>
      <c r="CE34">
        <v>35</v>
      </c>
      <c r="CF34">
        <v>1</v>
      </c>
      <c r="CG34" s="1">
        <f>IFERROR(IND_JUNIO_2026[[#This Row],[IND_PDP]]/IND_JUNIO_2026[[#This Row],[IND_CEF Unico]],"")</f>
        <v>2.8571428571428571E-2</v>
      </c>
      <c r="CH34">
        <v>1250</v>
      </c>
      <c r="CJ34" s="1">
        <f>IFERROR(IND_JUNIO_2026[[#This Row],[IND_Recupero]]/IND_JUNIO_2026[[#This Row],[IND_MontoPDP]],"")</f>
        <v>0</v>
      </c>
      <c r="CK34" s="1" t="str">
        <f>IFERROR(IND_JUNIO_2026[[#This Row],[IND_MontoPDP]]/IND_JUNIO_2026[[#This Row],[DK]],"")</f>
        <v/>
      </c>
      <c r="CL34" t="s">
        <v>548</v>
      </c>
      <c r="CM34">
        <f>IFERROR(IND_JUNIO_2026[[#This Row],[IND_MontoPDP]]/IND_JUNIO_2026[[#This Row],[IND_PDP]],"")</f>
        <v>1250</v>
      </c>
    </row>
    <row r="35" spans="1:91" x14ac:dyDescent="0.25">
      <c r="A35" s="34" t="str" cm="1">
        <f t="array" ref="A35">IFERROR(VLOOKUP(D1_MAYO_2026[[#This Row],[ASESOR_CRR]],_xlfn._xlws.FILTER(PLANTILLA[[ASESOR]:[FECHA DE CESE]],PLANTILLA[FECHA]=_xlfn.CONCAT($M$3,"_",_xlfn.IFS($N$3="ENERO","1",$N$3="FEBRERO","2",$N$3="MARZO","3",$N$3="ABRIL","4",$N$3="MAYO","5",$N$3="JUNIO","6",$N$3="JULIO","7",$N$3="AGOSTO","8",$N$3="SETIEMBRE","9",$N$3="OCTUBRE","10",$N$3="NOVIEMBRE","11",$N$3="DICIEMBRE","12"))),3,0),"")</f>
        <v>SANDY</v>
      </c>
      <c r="B35" s="34" t="str" cm="1">
        <f t="array" ref="B3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NATALIA MARIN</v>
      </c>
      <c r="C35" s="34" cm="1">
        <f t="array" ref="C35">_xlfn.XLOOKUP(1,(TablaMeta[CONCAT]=$M$3&amp;$N$3&amp;D1_MAYO_2026[[#This Row],[SUPER]])*(TablaMeta[SEGG]=D1_MAYO_2026[[#This Row],[SEGMENTO]]),TablaMeta[Meta_Asesor])</f>
        <v>72000</v>
      </c>
      <c r="D35" s="35">
        <f>IF(D1_MAYO_2026[[#This Row],[RECUPERO]]="VACACIONES","VACACIONES",IFERROR(D1_MAYO_2026[[#This Row],[RECUPERO]]/D1_MAYO_2026[[#This Row],[META]],""))</f>
        <v>0.31616666666666665</v>
      </c>
      <c r="E35" s="35" t="str">
        <f>D1_MAYO_2026[[#This Row],[SUPER]]</f>
        <v>SANDY</v>
      </c>
      <c r="F35" t="s">
        <v>79</v>
      </c>
      <c r="G35" s="3">
        <v>22764</v>
      </c>
      <c r="H35" cm="1">
        <f t="array" ref="H35">IFERROR(VLOOKUP(D1_MAYO_2026[[#This Row],[ASESOR_CRR]],_xlfn._xlws.FILTER(PLANTILLA[[ASESOR]:[FECHA DE CESE]],PLANTILLA[FECHA]=_xlfn.CONCAT($M$3,"_",_xlfn.IFS($N$3="ENERO","1",$N$3="FEBRERO","2",$N$3="MARZO","3",$N$3="ABRIL","4",$N$3="MAYO","5",$N$3="JUNIO","6",$N$3="JULIO","7",$N$3="AGOSTO","8",$N$3="SETIEMBRE","9",$N$3="OCTUBRE","10",$N$3="NOVIEMBRE","11",$N$3="DICIEMBRE","12"))),2,0),"")</f>
        <v>71262377</v>
      </c>
      <c r="I35" s="55" cm="1">
        <f t="array" ref="I35">IFERROR(VLOOKUP(D1_MAYO_2026[[#This Row],[ASESOR_CRR]],_xlfn._xlws.FILTER(PLANTILLA[[ASESOR]:[FECHA DE CESE]],PLANTILLA[FECHA]=_xlfn.CONCAT($M$3,"_",_xlfn.IFS($N$3="ENERO","1",$N$3="FEBRERO","2",$N$3="MARZO","3",$N$3="ABRIL","4",$N$3="MAYO","5",$N$3="JUNIO","6",$N$3="JULIO","7",$N$3="AGOSTO","8",$N$3="SETIEMBRE","9",$N$3="OCTUBRE","10",$N$3="NOVIEMBRE","11",$N$3="DICIEMBRE","12"))),6,0),"")</f>
        <v>45145</v>
      </c>
      <c r="J35" s="55" t="str" cm="1">
        <f t="array" ref="J35">IFERROR(VLOOKUP(D1_MAYO_2026[[#This Row],[ASESOR_CRR]],_xlfn._xlws.FILTER(PLANTILLA[[ASESOR]:[FECHA DE CESE]],PLANTILLA[FECHA]=_xlfn.CONCAT($M$3,"_",_xlfn.IFS($N$3="ENERO","1",$N$3="FEBRERO","2",$N$3="MARZO","3",$N$3="ABRIL","4",$N$3="MAYO","5",$N$3="JUNIO","6",$N$3="JULIO","7",$N$3="AGOSTO","8",$N$3="SETIEMBRE","9",$N$3="OCTUBRE","10",$N$3="NOVIEMBRE","11",$N$3="DICIEMBRE","12"))),4,0),"")</f>
        <v>CALL</v>
      </c>
      <c r="K35" s="55" t="str" cm="1">
        <f t="array" ref="K35">IFERROR(VLOOKUP(D1_MAYO_2026[[#This Row],[ASESOR_CRR]],_xlfn._xlws.FILTER(PLANTILLA[[ASESOR]:[FECHA DE CESE]],PLANTILLA[FECHA]=_xlfn.CONCAT($M$3,"_",_xlfn.IFS($N$3="ENERO","1",$N$3="FEBRERO","2",$N$3="MARZO","3",$N$3="ABRIL","4",$N$3="MAYO","5",$N$3="JUNIO","6",$N$3="JULIO","7",$N$3="AGOSTO","8",$N$3="SETIEMBRE","9",$N$3="OCTUBRE","10",$N$3="NOVIEMBRE","11",$N$3="DICIEMBRE","12"))),8,0),"")</f>
        <v>COINVERSIÓN</v>
      </c>
      <c r="L35" s="55"/>
      <c r="M35" s="5">
        <f>DATA_MAYO_2026[[#This Row],[RECUPERO]]/DATA_MAYO_2026[[#This Row],[META]]</f>
        <v>4.6666666666666669E-2</v>
      </c>
      <c r="N35" s="5">
        <f>6-ROUNDUP(_xlfn.RANK.EQ(DATA_MAYO_2026[[#This Row],[AL_AC]],DATA_MAYO_2026[AL_AC],0)/(COUNTA(DATA_MAYO_2026[AL_AC])/5),0)</f>
        <v>1</v>
      </c>
      <c r="O35" s="54" t="str">
        <f>IFERROR(VLOOKUP(DATA_MAYO_2026[[#This Row],[ASER_]],$B:$G,4,0),"")</f>
        <v>JORGE</v>
      </c>
      <c r="P35" s="6">
        <f>VLOOKUP(DATA_MAYO_2026[[#This Row],[ASER_]],D1_MAYO_2026[[ASESOR_CRR]:[RECUPERO]],6,0)</f>
        <v>2800</v>
      </c>
      <c r="Q35" s="6">
        <f>VLOOKUP(DATA_MAYO_2026[[#This Row],[ASER_]],D1_MAYO_2026[[ASESOR_CRR]:[META]],2,0)</f>
        <v>60000</v>
      </c>
      <c r="R35" t="s">
        <v>81</v>
      </c>
      <c r="S35">
        <v>0</v>
      </c>
      <c r="T35">
        <v>0</v>
      </c>
      <c r="U35">
        <v>0</v>
      </c>
      <c r="V35">
        <v>0</v>
      </c>
      <c r="W35">
        <v>0</v>
      </c>
      <c r="X35" s="5">
        <v>0</v>
      </c>
      <c r="Y35" s="6">
        <v>2000</v>
      </c>
      <c r="Z35" s="6">
        <v>0</v>
      </c>
      <c r="AA35" s="6">
        <v>0</v>
      </c>
      <c r="AB35" s="6">
        <v>200</v>
      </c>
      <c r="AC35" s="6">
        <v>0</v>
      </c>
      <c r="AD35" s="6">
        <v>0</v>
      </c>
      <c r="AE35" s="6">
        <v>0</v>
      </c>
      <c r="AF35" s="6">
        <v>600</v>
      </c>
      <c r="AG35" s="6">
        <v>0</v>
      </c>
      <c r="AH35" s="6">
        <v>0</v>
      </c>
      <c r="AI35" s="6">
        <v>0</v>
      </c>
      <c r="AJ35" s="6"/>
      <c r="AK35" s="6"/>
      <c r="AL35" s="6"/>
      <c r="AM35" s="6"/>
      <c r="AN35" s="54" t="str" cm="1">
        <f t="array" ref="AN35">IFERROR(VLOOKUP(DATA_MAYO_2026[[#This Row],[ASER_]],_xlfn._xlws.FILTER(PLANTILLA[[ASESOR]:[FECHA DE CESE]],PLANTILLA[FECHA]=_xlfn.CONCAT($M$3,"_",_xlfn.IFS($N$3="ENERO","1",$N$3="FEBRERO","2",$N$3="MARZO","3",$N$3="ABRIL","4",$N$3="MAYO","5",$N$3="JUNIO","6",$N$3="JULIO","7",$N$3="AGOSTO","8",$N$3="SETIEMBRE","9",$N$3="OCTUBRE","10",$N$3="NOVIEMBRE","11",$N$3="DICIEMBRE","12"))),8,0),"")</f>
        <v>S1</v>
      </c>
      <c r="AO35" s="54">
        <f>SUM(DATA_MAYO_2026[[#This Row],[15]:[30]])</f>
        <v>600</v>
      </c>
      <c r="BX35" s="45" t="s">
        <v>636</v>
      </c>
      <c r="BY35" s="45" t="s">
        <v>125</v>
      </c>
      <c r="BZ35" s="45" t="s">
        <v>26</v>
      </c>
      <c r="CA35" s="55">
        <v>46177</v>
      </c>
      <c r="CB35" s="1">
        <f>IF(IND_JUNIO_2026[[#This Row],[IND_CANTFalta]]=1,0,IF(1-(IND_JUNIO_2026[[#This Row],[IND_Tardanza Tiempo]]*100%/0.166666666666667)&lt;0,0,1-(IND_JUNIO_2026[[#This Row],[IND_Tardanza Tiempo]]*100%/0.166666666666667)))</f>
        <v>0.99958333333333338</v>
      </c>
      <c r="CC35" s="45"/>
      <c r="CD35" s="93">
        <v>6.9444444444444444E-5</v>
      </c>
      <c r="CE35">
        <v>29</v>
      </c>
      <c r="CG35" s="1">
        <f>IFERROR(IND_JUNIO_2026[[#This Row],[IND_PDP]]/IND_JUNIO_2026[[#This Row],[IND_CEF Unico]],"")</f>
        <v>0</v>
      </c>
      <c r="CJ35" s="1" t="str">
        <f>IFERROR(IND_JUNIO_2026[[#This Row],[IND_Recupero]]/IND_JUNIO_2026[[#This Row],[IND_MontoPDP]],"")</f>
        <v/>
      </c>
      <c r="CK35" s="1" t="str">
        <f>IFERROR(IND_JUNIO_2026[[#This Row],[IND_MontoPDP]]/IND_JUNIO_2026[[#This Row],[DK]],"")</f>
        <v/>
      </c>
      <c r="CL35" t="s">
        <v>548</v>
      </c>
      <c r="CM35" t="str">
        <f>IFERROR(IND_JUNIO_2026[[#This Row],[IND_MontoPDP]]/IND_JUNIO_2026[[#This Row],[IND_PDP]],"")</f>
        <v/>
      </c>
    </row>
    <row r="36" spans="1:91" x14ac:dyDescent="0.25">
      <c r="A36" s="34" t="str" cm="1">
        <f t="array" ref="A36">IFERROR(VLOOKUP(D1_MAYO_2026[[#This Row],[ASESOR_CRR]],_xlfn._xlws.FILTER(PLANTILLA[[ASESOR]:[FECHA DE CESE]],PLANTILLA[FECHA]=_xlfn.CONCAT($M$3,"_",_xlfn.IFS($N$3="ENERO","1",$N$3="FEBRERO","2",$N$3="MARZO","3",$N$3="ABRIL","4",$N$3="MAYO","5",$N$3="JUNIO","6",$N$3="JULIO","7",$N$3="AGOSTO","8",$N$3="SETIEMBRE","9",$N$3="OCTUBRE","10",$N$3="NOVIEMBRE","11",$N$3="DICIEMBRE","12"))),3,0),"")</f>
        <v>SANDY</v>
      </c>
      <c r="B36" s="34" t="str" cm="1">
        <f t="array" ref="B3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MARIA TINTAYA</v>
      </c>
      <c r="C36" s="34" cm="1">
        <f t="array" ref="C36">_xlfn.XLOOKUP(1,(TablaMeta[CONCAT]=$M$3&amp;$N$3&amp;D1_MAYO_2026[[#This Row],[SUPER]])*(TablaMeta[SEGG]=D1_MAYO_2026[[#This Row],[SEGMENTO]]),TablaMeta[Meta_Asesor])</f>
        <v>72000</v>
      </c>
      <c r="D36" s="35">
        <f>IF(D1_MAYO_2026[[#This Row],[RECUPERO]]="VACACIONES","VACACIONES",IFERROR(D1_MAYO_2026[[#This Row],[RECUPERO]]/D1_MAYO_2026[[#This Row],[META]],""))</f>
        <v>0.14245833333333333</v>
      </c>
      <c r="E36" s="35" t="str">
        <f>D1_MAYO_2026[[#This Row],[SUPER]]</f>
        <v>SANDY</v>
      </c>
      <c r="F36" t="s">
        <v>75</v>
      </c>
      <c r="G36" s="3">
        <v>10257</v>
      </c>
      <c r="H36" cm="1">
        <f t="array" ref="H36">IFERROR(VLOOKUP(D1_MAYO_2026[[#This Row],[ASESOR_CRR]],_xlfn._xlws.FILTER(PLANTILLA[[ASESOR]:[FECHA DE CESE]],PLANTILLA[FECHA]=_xlfn.CONCAT($M$3,"_",_xlfn.IFS($N$3="ENERO","1",$N$3="FEBRERO","2",$N$3="MARZO","3",$N$3="ABRIL","4",$N$3="MAYO","5",$N$3="JUNIO","6",$N$3="JULIO","7",$N$3="AGOSTO","8",$N$3="SETIEMBRE","9",$N$3="OCTUBRE","10",$N$3="NOVIEMBRE","11",$N$3="DICIEMBRE","12"))),2,0),"")</f>
        <v>71264767</v>
      </c>
      <c r="I36" s="55" cm="1">
        <f t="array" ref="I36">IFERROR(VLOOKUP(D1_MAYO_2026[[#This Row],[ASESOR_CRR]],_xlfn._xlws.FILTER(PLANTILLA[[ASESOR]:[FECHA DE CESE]],PLANTILLA[FECHA]=_xlfn.CONCAT($M$3,"_",_xlfn.IFS($N$3="ENERO","1",$N$3="FEBRERO","2",$N$3="MARZO","3",$N$3="ABRIL","4",$N$3="MAYO","5",$N$3="JUNIO","6",$N$3="JULIO","7",$N$3="AGOSTO","8",$N$3="SETIEMBRE","9",$N$3="OCTUBRE","10",$N$3="NOVIEMBRE","11",$N$3="DICIEMBRE","12"))),6,0),"")</f>
        <v>44714</v>
      </c>
      <c r="J36" s="55" t="str" cm="1">
        <f t="array" ref="J36">IFERROR(VLOOKUP(D1_MAYO_2026[[#This Row],[ASESOR_CRR]],_xlfn._xlws.FILTER(PLANTILLA[[ASESOR]:[FECHA DE CESE]],PLANTILLA[FECHA]=_xlfn.CONCAT($M$3,"_",_xlfn.IFS($N$3="ENERO","1",$N$3="FEBRERO","2",$N$3="MARZO","3",$N$3="ABRIL","4",$N$3="MAYO","5",$N$3="JUNIO","6",$N$3="JULIO","7",$N$3="AGOSTO","8",$N$3="SETIEMBRE","9",$N$3="OCTUBRE","10",$N$3="NOVIEMBRE","11",$N$3="DICIEMBRE","12"))),4,0),"")</f>
        <v>CALL</v>
      </c>
      <c r="K36" s="55" t="str" cm="1">
        <f t="array" ref="K36">IFERROR(VLOOKUP(D1_MAYO_2026[[#This Row],[ASESOR_CRR]],_xlfn._xlws.FILTER(PLANTILLA[[ASESOR]:[FECHA DE CESE]],PLANTILLA[FECHA]=_xlfn.CONCAT($M$3,"_",_xlfn.IFS($N$3="ENERO","1",$N$3="FEBRERO","2",$N$3="MARZO","3",$N$3="ABRIL","4",$N$3="MAYO","5",$N$3="JUNIO","6",$N$3="JULIO","7",$N$3="AGOSTO","8",$N$3="SETIEMBRE","9",$N$3="OCTUBRE","10",$N$3="NOVIEMBRE","11",$N$3="DICIEMBRE","12"))),8,0),"")</f>
        <v>COINVERSIÓN</v>
      </c>
      <c r="L36" s="55"/>
      <c r="M36" s="5">
        <f>DATA_MAYO_2026[[#This Row],[RECUPERO]]/DATA_MAYO_2026[[#This Row],[META]]</f>
        <v>0.45208333333333334</v>
      </c>
      <c r="N36" s="5">
        <f>6-ROUNDUP(_xlfn.RANK.EQ(DATA_MAYO_2026[[#This Row],[AL_AC]],DATA_MAYO_2026[AL_AC],0)/(COUNTA(DATA_MAYO_2026[AL_AC])/5),0)</f>
        <v>3</v>
      </c>
      <c r="O36" s="54" t="str">
        <f>IFERROR(VLOOKUP(DATA_MAYO_2026[[#This Row],[ASER_]],$B:$G,4,0),"")</f>
        <v>JORGE</v>
      </c>
      <c r="P36" s="6">
        <f>VLOOKUP(DATA_MAYO_2026[[#This Row],[ASER_]],D1_MAYO_2026[[ASESOR_CRR]:[RECUPERO]],6,0)</f>
        <v>16275</v>
      </c>
      <c r="Q36" s="6">
        <f>VLOOKUP(DATA_MAYO_2026[[#This Row],[ASER_]],D1_MAYO_2026[[ASESOR_CRR]:[META]],2,0)</f>
        <v>36000</v>
      </c>
      <c r="R36" t="s">
        <v>59</v>
      </c>
      <c r="X36" s="5"/>
      <c r="Y36" s="6"/>
      <c r="Z36" s="6"/>
      <c r="AA36" s="6"/>
      <c r="AB36" s="6"/>
      <c r="AC36" s="6">
        <v>1800</v>
      </c>
      <c r="AD36" s="6">
        <v>0</v>
      </c>
      <c r="AE36" s="6">
        <v>500</v>
      </c>
      <c r="AF36" s="6">
        <v>0</v>
      </c>
      <c r="AG36" s="6">
        <v>4475</v>
      </c>
      <c r="AH36" s="6">
        <v>3200</v>
      </c>
      <c r="AI36" s="6">
        <v>6300</v>
      </c>
      <c r="AJ36" s="6"/>
      <c r="AK36" s="6"/>
      <c r="AL36" s="6"/>
      <c r="AM36" s="6"/>
      <c r="AN36" s="54" t="str" cm="1">
        <f t="array" ref="AN36">IFERROR(VLOOKUP(DATA_MAYO_2026[[#This Row],[ASER_]],_xlfn._xlws.FILTER(PLANTILLA[[ASESOR]:[FECHA DE CESE]],PLANTILLA[FECHA]=_xlfn.CONCAT($M$3,"_",_xlfn.IFS($N$3="ENERO","1",$N$3="FEBRERO","2",$N$3="MARZO","3",$N$3="ABRIL","4",$N$3="MAYO","5",$N$3="JUNIO","6",$N$3="JULIO","7",$N$3="AGOSTO","8",$N$3="SETIEMBRE","9",$N$3="OCTUBRE","10",$N$3="NOVIEMBRE","11",$N$3="DICIEMBRE","12"))),8,0),"")</f>
        <v>S1 - IND</v>
      </c>
      <c r="AO36" s="54">
        <f>SUM(DATA_MAYO_2026[[#This Row],[15]:[30]])</f>
        <v>16275</v>
      </c>
      <c r="BX36" s="45" t="s">
        <v>636</v>
      </c>
      <c r="BY36" s="45" t="s">
        <v>125</v>
      </c>
      <c r="BZ36" s="45" t="s">
        <v>26</v>
      </c>
      <c r="CA36" s="55">
        <v>46178</v>
      </c>
      <c r="CB36" s="1">
        <f>IF(IND_JUNIO_2026[[#This Row],[IND_CANTFalta]]=1,0,IF(1-(IND_JUNIO_2026[[#This Row],[IND_Tardanza Tiempo]]*100%/0.166666666666667)&lt;0,0,1-(IND_JUNIO_2026[[#This Row],[IND_Tardanza Tiempo]]*100%/0.166666666666667)))</f>
        <v>0.99958333333333338</v>
      </c>
      <c r="CC36" s="45"/>
      <c r="CD36" s="93">
        <v>6.9444444444444444E-5</v>
      </c>
      <c r="CE36">
        <v>4</v>
      </c>
      <c r="CG36" s="1">
        <f>IFERROR(IND_JUNIO_2026[[#This Row],[IND_PDP]]/IND_JUNIO_2026[[#This Row],[IND_CEF Unico]],"")</f>
        <v>0</v>
      </c>
      <c r="CJ36" s="1" t="str">
        <f>IFERROR(IND_JUNIO_2026[[#This Row],[IND_Recupero]]/IND_JUNIO_2026[[#This Row],[IND_MontoPDP]],"")</f>
        <v/>
      </c>
      <c r="CK36" s="1" t="str">
        <f>IFERROR(IND_JUNIO_2026[[#This Row],[IND_MontoPDP]]/IND_JUNIO_2026[[#This Row],[DK]],"")</f>
        <v/>
      </c>
      <c r="CL36" t="s">
        <v>548</v>
      </c>
      <c r="CM36" t="str">
        <f>IFERROR(IND_JUNIO_2026[[#This Row],[IND_MontoPDP]]/IND_JUNIO_2026[[#This Row],[IND_PDP]],"")</f>
        <v/>
      </c>
    </row>
    <row r="37" spans="1:91" x14ac:dyDescent="0.25">
      <c r="A37" s="34" t="str" cm="1">
        <f t="array" ref="A37">IFERROR(VLOOKUP(D1_MAYO_2026[[#This Row],[ASESOR_CRR]],_xlfn._xlws.FILTER(PLANTILLA[[ASESOR]:[FECHA DE CESE]],PLANTILLA[FECHA]=_xlfn.CONCAT($M$3,"_",_xlfn.IFS($N$3="ENERO","1",$N$3="FEBRERO","2",$N$3="MARZO","3",$N$3="ABRIL","4",$N$3="MAYO","5",$N$3="JUNIO","6",$N$3="JULIO","7",$N$3="AGOSTO","8",$N$3="SETIEMBRE","9",$N$3="OCTUBRE","10",$N$3="NOVIEMBRE","11",$N$3="DICIEMBRE","12"))),3,0),"")</f>
        <v>KENNETH</v>
      </c>
      <c r="B37" s="34" t="str" cm="1">
        <f t="array" ref="B3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NOEMI CHUQUILIN</v>
      </c>
      <c r="C37" s="34" cm="1">
        <f t="array" ref="C37">_xlfn.XLOOKUP(1,(TablaMeta[CONCAT]=$M$3&amp;$N$3&amp;D1_MAYO_2026[[#This Row],[SUPER]])*(TablaMeta[SEGG]=D1_MAYO_2026[[#This Row],[SEGMENTO]]),TablaMeta[Meta_Asesor])</f>
        <v>40500</v>
      </c>
      <c r="D37" s="35">
        <f>IF(D1_MAYO_2026[[#This Row],[RECUPERO]]="VACACIONES","VACACIONES",IFERROR(D1_MAYO_2026[[#This Row],[RECUPERO]]/D1_MAYO_2026[[#This Row],[META]],""))</f>
        <v>1.2734567901234568</v>
      </c>
      <c r="E37" s="35" t="str">
        <f>D1_MAYO_2026[[#This Row],[SUPER]]</f>
        <v>KENNETH</v>
      </c>
      <c r="F37" t="s">
        <v>97</v>
      </c>
      <c r="G37" s="3">
        <v>51575</v>
      </c>
      <c r="H37" cm="1">
        <f t="array" ref="H37">IFERROR(VLOOKUP(D1_MAYO_2026[[#This Row],[ASESOR_CRR]],_xlfn._xlws.FILTER(PLANTILLA[[ASESOR]:[FECHA DE CESE]],PLANTILLA[FECHA]=_xlfn.CONCAT($M$3,"_",_xlfn.IFS($N$3="ENERO","1",$N$3="FEBRERO","2",$N$3="MARZO","3",$N$3="ABRIL","4",$N$3="MAYO","5",$N$3="JUNIO","6",$N$3="JULIO","7",$N$3="AGOSTO","8",$N$3="SETIEMBRE","9",$N$3="OCTUBRE","10",$N$3="NOVIEMBRE","11",$N$3="DICIEMBRE","12"))),2,0),"")</f>
        <v>74602206</v>
      </c>
      <c r="I37" s="55" cm="1">
        <f t="array" ref="I37">IFERROR(VLOOKUP(D1_MAYO_2026[[#This Row],[ASESOR_CRR]],_xlfn._xlws.FILTER(PLANTILLA[[ASESOR]:[FECHA DE CESE]],PLANTILLA[FECHA]=_xlfn.CONCAT($M$3,"_",_xlfn.IFS($N$3="ENERO","1",$N$3="FEBRERO","2",$N$3="MARZO","3",$N$3="ABRIL","4",$N$3="MAYO","5",$N$3="JUNIO","6",$N$3="JULIO","7",$N$3="AGOSTO","8",$N$3="SETIEMBRE","9",$N$3="OCTUBRE","10",$N$3="NOVIEMBRE","11",$N$3="DICIEMBRE","12"))),6,0),"")</f>
        <v>45884</v>
      </c>
      <c r="J37" s="55" t="str" cm="1">
        <f t="array" ref="J37">IFERROR(VLOOKUP(D1_MAYO_2026[[#This Row],[ASESOR_CRR]],_xlfn._xlws.FILTER(PLANTILLA[[ASESOR]:[FECHA DE CESE]],PLANTILLA[FECHA]=_xlfn.CONCAT($M$3,"_",_xlfn.IFS($N$3="ENERO","1",$N$3="FEBRERO","2",$N$3="MARZO","3",$N$3="ABRIL","4",$N$3="MAYO","5",$N$3="JUNIO","6",$N$3="JULIO","7",$N$3="AGOSTO","8",$N$3="SETIEMBRE","9",$N$3="OCTUBRE","10",$N$3="NOVIEMBRE","11",$N$3="DICIEMBRE","12"))),4,0),"")</f>
        <v>CALL</v>
      </c>
      <c r="K37" s="55" t="str" cm="1">
        <f t="array" ref="K37">IFERROR(VLOOKUP(D1_MAYO_2026[[#This Row],[ASESOR_CRR]],_xlfn._xlws.FILTER(PLANTILLA[[ASESOR]:[FECHA DE CESE]],PLANTILLA[FECHA]=_xlfn.CONCAT($M$3,"_",_xlfn.IFS($N$3="ENERO","1",$N$3="FEBRERO","2",$N$3="MARZO","3",$N$3="ABRIL","4",$N$3="MAYO","5",$N$3="JUNIO","6",$N$3="JULIO","7",$N$3="AGOSTO","8",$N$3="SETIEMBRE","9",$N$3="OCTUBRE","10",$N$3="NOVIEMBRE","11",$N$3="DICIEMBRE","12"))),8,0),"")</f>
        <v>S0</v>
      </c>
      <c r="L37" s="55"/>
      <c r="M37" s="5">
        <f>DATA_MAYO_2026[[#This Row],[RECUPERO]]/DATA_MAYO_2026[[#This Row],[META]]</f>
        <v>0.27</v>
      </c>
      <c r="N37" s="5">
        <f>6-ROUNDUP(_xlfn.RANK.EQ(DATA_MAYO_2026[[#This Row],[AL_AC]],DATA_MAYO_2026[AL_AC],0)/(COUNTA(DATA_MAYO_2026[AL_AC])/5),0)</f>
        <v>2</v>
      </c>
      <c r="O37" s="54" t="str">
        <f>IFERROR(VLOOKUP(DATA_MAYO_2026[[#This Row],[ASER_]],$B:$G,4,0),"")</f>
        <v>JOHAN</v>
      </c>
      <c r="P37" s="6">
        <f>VLOOKUP(DATA_MAYO_2026[[#This Row],[ASER_]],D1_MAYO_2026[[ASESOR_CRR]:[RECUPERO]],6,0)</f>
        <v>7965</v>
      </c>
      <c r="Q37" s="6">
        <f>VLOOKUP(DATA_MAYO_2026[[#This Row],[ASER_]],D1_MAYO_2026[[ASESOR_CRR]:[META]],2,0)</f>
        <v>29500</v>
      </c>
      <c r="R37" t="s">
        <v>564</v>
      </c>
      <c r="S37">
        <v>0</v>
      </c>
      <c r="T37">
        <v>0</v>
      </c>
      <c r="U37">
        <v>0</v>
      </c>
      <c r="V37">
        <v>0</v>
      </c>
      <c r="W37">
        <v>3500</v>
      </c>
      <c r="X37" s="5">
        <v>350</v>
      </c>
      <c r="Y37" s="6">
        <v>0</v>
      </c>
      <c r="Z37" s="6">
        <v>500</v>
      </c>
      <c r="AA37" s="6">
        <v>1000</v>
      </c>
      <c r="AB37" s="6">
        <v>1030</v>
      </c>
      <c r="AC37" s="6">
        <v>500</v>
      </c>
      <c r="AD37" s="6">
        <v>625</v>
      </c>
      <c r="AE37" s="6">
        <v>0</v>
      </c>
      <c r="AF37" s="6">
        <v>250</v>
      </c>
      <c r="AG37" s="6">
        <v>0</v>
      </c>
      <c r="AH37" s="6">
        <v>210</v>
      </c>
      <c r="AI37" s="6">
        <v>0</v>
      </c>
      <c r="AJ37" s="6"/>
      <c r="AK37" s="6"/>
      <c r="AL37" s="6"/>
      <c r="AM37" s="6"/>
      <c r="AN37" s="54" t="str" cm="1">
        <f t="array" ref="AN37">IFERROR(VLOOKUP(DATA_MAYO_2026[[#This Row],[ASER_]],_xlfn._xlws.FILTER(PLANTILLA[[ASESOR]:[FECHA DE CESE]],PLANTILLA[FECHA]=_xlfn.CONCAT($M$3,"_",_xlfn.IFS($N$3="ENERO","1",$N$3="FEBRERO","2",$N$3="MARZO","3",$N$3="ABRIL","4",$N$3="MAYO","5",$N$3="JUNIO","6",$N$3="JULIO","7",$N$3="AGOSTO","8",$N$3="SETIEMBRE","9",$N$3="OCTUBRE","10",$N$3="NOVIEMBRE","11",$N$3="DICIEMBRE","12"))),8,0),"")</f>
        <v>S1</v>
      </c>
      <c r="AO37" s="54">
        <f>SUM(DATA_MAYO_2026[[#This Row],[15]:[30]])</f>
        <v>1585</v>
      </c>
      <c r="BX37" s="45" t="s">
        <v>636</v>
      </c>
      <c r="BY37" s="45" t="s">
        <v>125</v>
      </c>
      <c r="BZ37" s="45" t="s">
        <v>564</v>
      </c>
      <c r="CA37" s="55">
        <v>46174</v>
      </c>
      <c r="CB37" s="1">
        <f>IF(IND_JUNIO_2026[[#This Row],[IND_CANTFalta]]=1,0,IF(1-(IND_JUNIO_2026[[#This Row],[IND_Tardanza Tiempo]]*100%/0.166666666666667)&lt;0,0,1-(IND_JUNIO_2026[[#This Row],[IND_Tardanza Tiempo]]*100%/0.166666666666667)))</f>
        <v>0.99750000000000005</v>
      </c>
      <c r="CC37" s="45"/>
      <c r="CD37" s="93">
        <v>4.1666666666666669E-4</v>
      </c>
      <c r="CE37">
        <v>29</v>
      </c>
      <c r="CF37">
        <v>7</v>
      </c>
      <c r="CG37" s="1">
        <f>IFERROR(IND_JUNIO_2026[[#This Row],[IND_PDP]]/IND_JUNIO_2026[[#This Row],[IND_CEF Unico]],"")</f>
        <v>0.2413793103448276</v>
      </c>
      <c r="CH37">
        <v>2695</v>
      </c>
      <c r="CJ37" s="1">
        <f>IFERROR(IND_JUNIO_2026[[#This Row],[IND_Recupero]]/IND_JUNIO_2026[[#This Row],[IND_MontoPDP]],"")</f>
        <v>0</v>
      </c>
      <c r="CK37" s="1" t="str">
        <f>IFERROR(IND_JUNIO_2026[[#This Row],[IND_MontoPDP]]/IND_JUNIO_2026[[#This Row],[DK]],"")</f>
        <v/>
      </c>
      <c r="CL37" t="s">
        <v>548</v>
      </c>
      <c r="CM37">
        <f>IFERROR(IND_JUNIO_2026[[#This Row],[IND_MontoPDP]]/IND_JUNIO_2026[[#This Row],[IND_PDP]],"")</f>
        <v>385</v>
      </c>
    </row>
    <row r="38" spans="1:91" x14ac:dyDescent="0.25">
      <c r="A38" s="34" t="str" cm="1">
        <f t="array" ref="A38">IFERROR(VLOOKUP(D1_MAYO_2026[[#This Row],[ASESOR_CRR]],_xlfn._xlws.FILTER(PLANTILLA[[ASESOR]:[FECHA DE CESE]],PLANTILLA[FECHA]=_xlfn.CONCAT($M$3,"_",_xlfn.IFS($N$3="ENERO","1",$N$3="FEBRERO","2",$N$3="MARZO","3",$N$3="ABRIL","4",$N$3="MAYO","5",$N$3="JUNIO","6",$N$3="JULIO","7",$N$3="AGOSTO","8",$N$3="SETIEMBRE","9",$N$3="OCTUBRE","10",$N$3="NOVIEMBRE","11",$N$3="DICIEMBRE","12"))),3,0),"")</f>
        <v>KENNETH</v>
      </c>
      <c r="B38" s="34" t="str" cm="1">
        <f t="array" ref="B3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CARMEN PUMA</v>
      </c>
      <c r="C38" s="34" cm="1">
        <f t="array" ref="C38">_xlfn.XLOOKUP(1,(TablaMeta[CONCAT]=$M$3&amp;$N$3&amp;D1_MAYO_2026[[#This Row],[SUPER]])*(TablaMeta[SEGG]=D1_MAYO_2026[[#This Row],[SEGMENTO]]),TablaMeta[Meta_Asesor])</f>
        <v>40500</v>
      </c>
      <c r="D38" s="35">
        <f>IF(D1_MAYO_2026[[#This Row],[RECUPERO]]="VACACIONES","VACACIONES",IFERROR(D1_MAYO_2026[[#This Row],[RECUPERO]]/D1_MAYO_2026[[#This Row],[META]],""))</f>
        <v>1.0377777777777777</v>
      </c>
      <c r="E38" s="35" t="str">
        <f>D1_MAYO_2026[[#This Row],[SUPER]]</f>
        <v>KENNETH</v>
      </c>
      <c r="F38" t="s">
        <v>19</v>
      </c>
      <c r="G38" s="3">
        <v>42030</v>
      </c>
      <c r="H38" cm="1">
        <f t="array" ref="H38">IFERROR(VLOOKUP(D1_MAYO_2026[[#This Row],[ASESOR_CRR]],_xlfn._xlws.FILTER(PLANTILLA[[ASESOR]:[FECHA DE CESE]],PLANTILLA[FECHA]=_xlfn.CONCAT($M$3,"_",_xlfn.IFS($N$3="ENERO","1",$N$3="FEBRERO","2",$N$3="MARZO","3",$N$3="ABRIL","4",$N$3="MAYO","5",$N$3="JUNIO","6",$N$3="JULIO","7",$N$3="AGOSTO","8",$N$3="SETIEMBRE","9",$N$3="OCTUBRE","10",$N$3="NOVIEMBRE","11",$N$3="DICIEMBRE","12"))),2,0),"")</f>
        <v>76656128</v>
      </c>
      <c r="I38" s="55" cm="1">
        <f t="array" ref="I38">IFERROR(VLOOKUP(D1_MAYO_2026[[#This Row],[ASESOR_CRR]],_xlfn._xlws.FILTER(PLANTILLA[[ASESOR]:[FECHA DE CESE]],PLANTILLA[FECHA]=_xlfn.CONCAT($M$3,"_",_xlfn.IFS($N$3="ENERO","1",$N$3="FEBRERO","2",$N$3="MARZO","3",$N$3="ABRIL","4",$N$3="MAYO","5",$N$3="JUNIO","6",$N$3="JULIO","7",$N$3="AGOSTO","8",$N$3="SETIEMBRE","9",$N$3="OCTUBRE","10",$N$3="NOVIEMBRE","11",$N$3="DICIEMBRE","12"))),6,0),"")</f>
        <v>44671</v>
      </c>
      <c r="J38" s="55" t="str" cm="1">
        <f t="array" ref="J38">IFERROR(VLOOKUP(D1_MAYO_2026[[#This Row],[ASESOR_CRR]],_xlfn._xlws.FILTER(PLANTILLA[[ASESOR]:[FECHA DE CESE]],PLANTILLA[FECHA]=_xlfn.CONCAT($M$3,"_",_xlfn.IFS($N$3="ENERO","1",$N$3="FEBRERO","2",$N$3="MARZO","3",$N$3="ABRIL","4",$N$3="MAYO","5",$N$3="JUNIO","6",$N$3="JULIO","7",$N$3="AGOSTO","8",$N$3="SETIEMBRE","9",$N$3="OCTUBRE","10",$N$3="NOVIEMBRE","11",$N$3="DICIEMBRE","12"))),4,0),"")</f>
        <v>CALL</v>
      </c>
      <c r="K38" s="55" t="str" cm="1">
        <f t="array" ref="K38">IFERROR(VLOOKUP(D1_MAYO_2026[[#This Row],[ASESOR_CRR]],_xlfn._xlws.FILTER(PLANTILLA[[ASESOR]:[FECHA DE CESE]],PLANTILLA[FECHA]=_xlfn.CONCAT($M$3,"_",_xlfn.IFS($N$3="ENERO","1",$N$3="FEBRERO","2",$N$3="MARZO","3",$N$3="ABRIL","4",$N$3="MAYO","5",$N$3="JUNIO","6",$N$3="JULIO","7",$N$3="AGOSTO","8",$N$3="SETIEMBRE","9",$N$3="OCTUBRE","10",$N$3="NOVIEMBRE","11",$N$3="DICIEMBRE","12"))),8,0),"")</f>
        <v>S0</v>
      </c>
      <c r="L38" s="55"/>
      <c r="M38" s="5">
        <f>DATA_MAYO_2026[[#This Row],[RECUPERO]]/DATA_MAYO_2026[[#This Row],[META]]</f>
        <v>0.20542372881355933</v>
      </c>
      <c r="N38" s="5">
        <f>6-ROUNDUP(_xlfn.RANK.EQ(DATA_MAYO_2026[[#This Row],[AL_AC]],DATA_MAYO_2026[AL_AC],0)/(COUNTA(DATA_MAYO_2026[AL_AC])/5),0)</f>
        <v>1</v>
      </c>
      <c r="O38" s="54" t="str">
        <f>IFERROR(VLOOKUP(DATA_MAYO_2026[[#This Row],[ASER_]],$B:$G,4,0),"")</f>
        <v>JOHAN</v>
      </c>
      <c r="P38" s="6">
        <f>VLOOKUP(DATA_MAYO_2026[[#This Row],[ASER_]],D1_MAYO_2026[[ASESOR_CRR]:[RECUPERO]],6,0)</f>
        <v>6060</v>
      </c>
      <c r="Q38" s="6">
        <f>VLOOKUP(DATA_MAYO_2026[[#This Row],[ASER_]],D1_MAYO_2026[[ASESOR_CRR]:[META]],2,0)</f>
        <v>29500</v>
      </c>
      <c r="R38" t="s">
        <v>109</v>
      </c>
      <c r="S38">
        <v>0</v>
      </c>
      <c r="T38">
        <v>0</v>
      </c>
      <c r="U38">
        <v>0</v>
      </c>
      <c r="V38">
        <v>1500</v>
      </c>
      <c r="W38">
        <v>0</v>
      </c>
      <c r="X38" s="5">
        <v>0</v>
      </c>
      <c r="Y38" s="6">
        <v>1500</v>
      </c>
      <c r="Z38" s="6">
        <v>1060</v>
      </c>
      <c r="AA38" s="6">
        <v>0</v>
      </c>
      <c r="AB38" s="6">
        <v>0</v>
      </c>
      <c r="AC38" s="6">
        <v>500</v>
      </c>
      <c r="AD38" s="6">
        <v>0</v>
      </c>
      <c r="AE38" s="6">
        <v>0</v>
      </c>
      <c r="AF38" s="6">
        <v>0</v>
      </c>
      <c r="AG38" s="6">
        <v>0</v>
      </c>
      <c r="AH38" s="6">
        <v>1500</v>
      </c>
      <c r="AI38" s="6">
        <v>0</v>
      </c>
      <c r="AJ38" s="6"/>
      <c r="AK38" s="6"/>
      <c r="AL38" s="6"/>
      <c r="AM38" s="6"/>
      <c r="AN38" s="54" t="str" cm="1">
        <f t="array" ref="AN38">IFERROR(VLOOKUP(DATA_MAYO_2026[[#This Row],[ASER_]],_xlfn._xlws.FILTER(PLANTILLA[[ASESOR]:[FECHA DE CESE]],PLANTILLA[FECHA]=_xlfn.CONCAT($M$3,"_",_xlfn.IFS($N$3="ENERO","1",$N$3="FEBRERO","2",$N$3="MARZO","3",$N$3="ABRIL","4",$N$3="MAYO","5",$N$3="JUNIO","6",$N$3="JULIO","7",$N$3="AGOSTO","8",$N$3="SETIEMBRE","9",$N$3="OCTUBRE","10",$N$3="NOVIEMBRE","11",$N$3="DICIEMBRE","12"))),8,0),"")</f>
        <v>S1</v>
      </c>
      <c r="AO38" s="54">
        <f>SUM(DATA_MAYO_2026[[#This Row],[15]:[30]])</f>
        <v>2000</v>
      </c>
      <c r="BX38" s="45" t="s">
        <v>636</v>
      </c>
      <c r="BY38" s="45" t="s">
        <v>125</v>
      </c>
      <c r="BZ38" s="45" t="s">
        <v>564</v>
      </c>
      <c r="CA38" s="55">
        <v>46175</v>
      </c>
      <c r="CB38" s="1">
        <f>IF(IND_JUNIO_2026[[#This Row],[IND_CANTFalta]]=1,0,IF(1-(IND_JUNIO_2026[[#This Row],[IND_Tardanza Tiempo]]*100%/0.166666666666667)&lt;0,0,1-(IND_JUNIO_2026[[#This Row],[IND_Tardanza Tiempo]]*100%/0.166666666666667)))</f>
        <v>0.99958333333333338</v>
      </c>
      <c r="CC38" s="45"/>
      <c r="CD38" s="93">
        <v>6.9444444444444444E-5</v>
      </c>
      <c r="CE38">
        <v>32</v>
      </c>
      <c r="CF38">
        <v>1</v>
      </c>
      <c r="CG38" s="1">
        <f>IFERROR(IND_JUNIO_2026[[#This Row],[IND_PDP]]/IND_JUNIO_2026[[#This Row],[IND_CEF Unico]],"")</f>
        <v>3.125E-2</v>
      </c>
      <c r="CH38">
        <v>480</v>
      </c>
      <c r="CJ38" s="1">
        <f>IFERROR(IND_JUNIO_2026[[#This Row],[IND_Recupero]]/IND_JUNIO_2026[[#This Row],[IND_MontoPDP]],"")</f>
        <v>0</v>
      </c>
      <c r="CK38" s="1" t="str">
        <f>IFERROR(IND_JUNIO_2026[[#This Row],[IND_MontoPDP]]/IND_JUNIO_2026[[#This Row],[DK]],"")</f>
        <v/>
      </c>
      <c r="CL38" t="s">
        <v>548</v>
      </c>
      <c r="CM38">
        <f>IFERROR(IND_JUNIO_2026[[#This Row],[IND_MontoPDP]]/IND_JUNIO_2026[[#This Row],[IND_PDP]],"")</f>
        <v>480</v>
      </c>
    </row>
    <row r="39" spans="1:91" x14ac:dyDescent="0.25">
      <c r="A39" s="34" t="str" cm="1">
        <f t="array" ref="A39">IFERROR(VLOOKUP(D1_MAYO_2026[[#This Row],[ASESOR_CRR]],_xlfn._xlws.FILTER(PLANTILLA[[ASESOR]:[FECHA DE CESE]],PLANTILLA[FECHA]=_xlfn.CONCAT($M$3,"_",_xlfn.IFS($N$3="ENERO","1",$N$3="FEBRERO","2",$N$3="MARZO","3",$N$3="ABRIL","4",$N$3="MAYO","5",$N$3="JUNIO","6",$N$3="JULIO","7",$N$3="AGOSTO","8",$N$3="SETIEMBRE","9",$N$3="OCTUBRE","10",$N$3="NOVIEMBRE","11",$N$3="DICIEMBRE","12"))),3,0),"")</f>
        <v>KENNETH</v>
      </c>
      <c r="B39" s="34" t="str" cm="1">
        <f t="array" ref="B3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STWUAR MACURI</v>
      </c>
      <c r="C39" s="34" cm="1">
        <f t="array" ref="C39">_xlfn.XLOOKUP(1,(TablaMeta[CONCAT]=$M$3&amp;$N$3&amp;D1_MAYO_2026[[#This Row],[SUPER]])*(TablaMeta[SEGG]=D1_MAYO_2026[[#This Row],[SEGMENTO]]),TablaMeta[Meta_Asesor])</f>
        <v>40500</v>
      </c>
      <c r="D39" s="35">
        <f>IF(D1_MAYO_2026[[#This Row],[RECUPERO]]="VACACIONES","VACACIONES",IFERROR(D1_MAYO_2026[[#This Row],[RECUPERO]]/D1_MAYO_2026[[#This Row],[META]],""))</f>
        <v>0.83716049382716051</v>
      </c>
      <c r="E39" s="35" t="str">
        <f>D1_MAYO_2026[[#This Row],[SUPER]]</f>
        <v>KENNETH</v>
      </c>
      <c r="F39" t="s">
        <v>34</v>
      </c>
      <c r="G39" s="3">
        <v>33905</v>
      </c>
      <c r="H39" cm="1">
        <f t="array" ref="H39">IFERROR(VLOOKUP(D1_MAYO_2026[[#This Row],[ASESOR_CRR]],_xlfn._xlws.FILTER(PLANTILLA[[ASESOR]:[FECHA DE CESE]],PLANTILLA[FECHA]=_xlfn.CONCAT($M$3,"_",_xlfn.IFS($N$3="ENERO","1",$N$3="FEBRERO","2",$N$3="MARZO","3",$N$3="ABRIL","4",$N$3="MAYO","5",$N$3="JUNIO","6",$N$3="JULIO","7",$N$3="AGOSTO","8",$N$3="SETIEMBRE","9",$N$3="OCTUBRE","10",$N$3="NOVIEMBRE","11",$N$3="DICIEMBRE","12"))),2,0),"")</f>
        <v>76824571</v>
      </c>
      <c r="I39" s="55" cm="1">
        <f t="array" ref="I39">IFERROR(VLOOKUP(D1_MAYO_2026[[#This Row],[ASESOR_CRR]],_xlfn._xlws.FILTER(PLANTILLA[[ASESOR]:[FECHA DE CESE]],PLANTILLA[FECHA]=_xlfn.CONCAT($M$3,"_",_xlfn.IFS($N$3="ENERO","1",$N$3="FEBRERO","2",$N$3="MARZO","3",$N$3="ABRIL","4",$N$3="MAYO","5",$N$3="JUNIO","6",$N$3="JULIO","7",$N$3="AGOSTO","8",$N$3="SETIEMBRE","9",$N$3="OCTUBRE","10",$N$3="NOVIEMBRE","11",$N$3="DICIEMBRE","12"))),6,0),"")</f>
        <v>45173</v>
      </c>
      <c r="J39" s="55" t="str" cm="1">
        <f t="array" ref="J39">IFERROR(VLOOKUP(D1_MAYO_2026[[#This Row],[ASESOR_CRR]],_xlfn._xlws.FILTER(PLANTILLA[[ASESOR]:[FECHA DE CESE]],PLANTILLA[FECHA]=_xlfn.CONCAT($M$3,"_",_xlfn.IFS($N$3="ENERO","1",$N$3="FEBRERO","2",$N$3="MARZO","3",$N$3="ABRIL","4",$N$3="MAYO","5",$N$3="JUNIO","6",$N$3="JULIO","7",$N$3="AGOSTO","8",$N$3="SETIEMBRE","9",$N$3="OCTUBRE","10",$N$3="NOVIEMBRE","11",$N$3="DICIEMBRE","12"))),4,0),"")</f>
        <v>CALL</v>
      </c>
      <c r="K39" s="55" t="str" cm="1">
        <f t="array" ref="K39">IFERROR(VLOOKUP(D1_MAYO_2026[[#This Row],[ASESOR_CRR]],_xlfn._xlws.FILTER(PLANTILLA[[ASESOR]:[FECHA DE CESE]],PLANTILLA[FECHA]=_xlfn.CONCAT($M$3,"_",_xlfn.IFS($N$3="ENERO","1",$N$3="FEBRERO","2",$N$3="MARZO","3",$N$3="ABRIL","4",$N$3="MAYO","5",$N$3="JUNIO","6",$N$3="JULIO","7",$N$3="AGOSTO","8",$N$3="SETIEMBRE","9",$N$3="OCTUBRE","10",$N$3="NOVIEMBRE","11",$N$3="DICIEMBRE","12"))),8,0),"")</f>
        <v>S0</v>
      </c>
      <c r="L39" s="55"/>
      <c r="M39" s="5">
        <f>DATA_MAYO_2026[[#This Row],[RECUPERO]]/DATA_MAYO_2026[[#This Row],[META]]</f>
        <v>0.23559322033898306</v>
      </c>
      <c r="N39" s="5">
        <f>6-ROUNDUP(_xlfn.RANK.EQ(DATA_MAYO_2026[[#This Row],[AL_AC]],DATA_MAYO_2026[AL_AC],0)/(COUNTA(DATA_MAYO_2026[AL_AC])/5),0)</f>
        <v>1</v>
      </c>
      <c r="O39" s="54" t="str">
        <f>IFERROR(VLOOKUP(DATA_MAYO_2026[[#This Row],[ASER_]],$B:$G,4,0),"")</f>
        <v>JOHAN</v>
      </c>
      <c r="P39" s="6">
        <f>VLOOKUP(DATA_MAYO_2026[[#This Row],[ASER_]],D1_MAYO_2026[[ASESOR_CRR]:[RECUPERO]],6,0)</f>
        <v>6950</v>
      </c>
      <c r="Q39" s="6">
        <f>VLOOKUP(DATA_MAYO_2026[[#This Row],[ASER_]],D1_MAYO_2026[[ASESOR_CRR]:[META]],2,0)</f>
        <v>29500</v>
      </c>
      <c r="R39" t="s">
        <v>72</v>
      </c>
      <c r="S39">
        <v>0</v>
      </c>
      <c r="T39">
        <v>0</v>
      </c>
      <c r="U39">
        <v>2000</v>
      </c>
      <c r="V39">
        <v>1750</v>
      </c>
      <c r="W39">
        <v>0</v>
      </c>
      <c r="X39" s="5">
        <v>0</v>
      </c>
      <c r="Y39" s="6">
        <v>0</v>
      </c>
      <c r="Z39" s="6">
        <v>0</v>
      </c>
      <c r="AA39" s="6">
        <v>200</v>
      </c>
      <c r="AB39" s="6">
        <v>0</v>
      </c>
      <c r="AC39" s="6">
        <v>0</v>
      </c>
      <c r="AD39" s="6">
        <v>0</v>
      </c>
      <c r="AE39" s="6">
        <v>2400</v>
      </c>
      <c r="AF39" s="6">
        <v>0</v>
      </c>
      <c r="AG39" s="6">
        <v>600</v>
      </c>
      <c r="AH39" s="6">
        <v>0</v>
      </c>
      <c r="AI39" s="6">
        <v>0</v>
      </c>
      <c r="AJ39" s="6"/>
      <c r="AK39" s="6"/>
      <c r="AL39" s="6"/>
      <c r="AM39" s="6"/>
      <c r="AN39" s="54" t="str" cm="1">
        <f t="array" ref="AN39">IFERROR(VLOOKUP(DATA_MAYO_2026[[#This Row],[ASER_]],_xlfn._xlws.FILTER(PLANTILLA[[ASESOR]:[FECHA DE CESE]],PLANTILLA[FECHA]=_xlfn.CONCAT($M$3,"_",_xlfn.IFS($N$3="ENERO","1",$N$3="FEBRERO","2",$N$3="MARZO","3",$N$3="ABRIL","4",$N$3="MAYO","5",$N$3="JUNIO","6",$N$3="JULIO","7",$N$3="AGOSTO","8",$N$3="SETIEMBRE","9",$N$3="OCTUBRE","10",$N$3="NOVIEMBRE","11",$N$3="DICIEMBRE","12"))),8,0),"")</f>
        <v>S1</v>
      </c>
      <c r="AO39" s="54">
        <f>SUM(DATA_MAYO_2026[[#This Row],[15]:[30]])</f>
        <v>3000</v>
      </c>
      <c r="BX39" s="45" t="s">
        <v>636</v>
      </c>
      <c r="BY39" s="45" t="s">
        <v>125</v>
      </c>
      <c r="BZ39" s="45" t="s">
        <v>564</v>
      </c>
      <c r="CA39" s="55">
        <v>46176</v>
      </c>
      <c r="CB39" s="1">
        <f>IF(IND_JUNIO_2026[[#This Row],[IND_CANTFalta]]=1,0,IF(1-(IND_JUNIO_2026[[#This Row],[IND_Tardanza Tiempo]]*100%/0.166666666666667)&lt;0,0,1-(IND_JUNIO_2026[[#This Row],[IND_Tardanza Tiempo]]*100%/0.166666666666667)))</f>
        <v>0.9992361111111111</v>
      </c>
      <c r="CC39" s="45"/>
      <c r="CD39" s="93">
        <v>1.273148148148148E-4</v>
      </c>
      <c r="CE39">
        <v>26</v>
      </c>
      <c r="CG39" s="1">
        <f>IFERROR(IND_JUNIO_2026[[#This Row],[IND_PDP]]/IND_JUNIO_2026[[#This Row],[IND_CEF Unico]],"")</f>
        <v>0</v>
      </c>
      <c r="CJ39" s="1" t="str">
        <f>IFERROR(IND_JUNIO_2026[[#This Row],[IND_Recupero]]/IND_JUNIO_2026[[#This Row],[IND_MontoPDP]],"")</f>
        <v/>
      </c>
      <c r="CK39" s="1" t="str">
        <f>IFERROR(IND_JUNIO_2026[[#This Row],[IND_MontoPDP]]/IND_JUNIO_2026[[#This Row],[DK]],"")</f>
        <v/>
      </c>
      <c r="CL39" t="s">
        <v>548</v>
      </c>
      <c r="CM39" t="str">
        <f>IFERROR(IND_JUNIO_2026[[#This Row],[IND_MontoPDP]]/IND_JUNIO_2026[[#This Row],[IND_PDP]],"")</f>
        <v/>
      </c>
    </row>
    <row r="40" spans="1:91" x14ac:dyDescent="0.25">
      <c r="A40" s="34" t="str" cm="1">
        <f t="array" ref="A40">IFERROR(VLOOKUP(D1_MAYO_2026[[#This Row],[ASESOR_CRR]],_xlfn._xlws.FILTER(PLANTILLA[[ASESOR]:[FECHA DE CESE]],PLANTILLA[FECHA]=_xlfn.CONCAT($M$3,"_",_xlfn.IFS($N$3="ENERO","1",$N$3="FEBRERO","2",$N$3="MARZO","3",$N$3="ABRIL","4",$N$3="MAYO","5",$N$3="JUNIO","6",$N$3="JULIO","7",$N$3="AGOSTO","8",$N$3="SETIEMBRE","9",$N$3="OCTUBRE","10",$N$3="NOVIEMBRE","11",$N$3="DICIEMBRE","12"))),3,0),"")</f>
        <v>KENNETH</v>
      </c>
      <c r="B40" s="34" t="str" cm="1">
        <f t="array" ref="B4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LUIS CENTENO</v>
      </c>
      <c r="C40" s="34" cm="1">
        <f t="array" ref="C40">_xlfn.XLOOKUP(1,(TablaMeta[CONCAT]=$M$3&amp;$N$3&amp;D1_MAYO_2026[[#This Row],[SUPER]])*(TablaMeta[SEGG]=D1_MAYO_2026[[#This Row],[SEGMENTO]]),TablaMeta[Meta_Asesor])</f>
        <v>40500</v>
      </c>
      <c r="D40" s="35">
        <f>IF(D1_MAYO_2026[[#This Row],[RECUPERO]]="VACACIONES","VACACIONES",IFERROR(D1_MAYO_2026[[#This Row],[RECUPERO]]/D1_MAYO_2026[[#This Row],[META]],""))</f>
        <v>0.67123456790123459</v>
      </c>
      <c r="E40" s="35" t="str">
        <f>D1_MAYO_2026[[#This Row],[SUPER]]</f>
        <v>KENNETH</v>
      </c>
      <c r="F40" t="s">
        <v>31</v>
      </c>
      <c r="G40" s="3">
        <v>27185</v>
      </c>
      <c r="H40" cm="1">
        <f t="array" ref="H40">IFERROR(VLOOKUP(D1_MAYO_2026[[#This Row],[ASESOR_CRR]],_xlfn._xlws.FILTER(PLANTILLA[[ASESOR]:[FECHA DE CESE]],PLANTILLA[FECHA]=_xlfn.CONCAT($M$3,"_",_xlfn.IFS($N$3="ENERO","1",$N$3="FEBRERO","2",$N$3="MARZO","3",$N$3="ABRIL","4",$N$3="MAYO","5",$N$3="JUNIO","6",$N$3="JULIO","7",$N$3="AGOSTO","8",$N$3="SETIEMBRE","9",$N$3="OCTUBRE","10",$N$3="NOVIEMBRE","11",$N$3="DICIEMBRE","12"))),2,0),"")</f>
        <v>75882265</v>
      </c>
      <c r="I40" s="55" cm="1">
        <f t="array" ref="I40">IFERROR(VLOOKUP(D1_MAYO_2026[[#This Row],[ASESOR_CRR]],_xlfn._xlws.FILTER(PLANTILLA[[ASESOR]:[FECHA DE CESE]],PLANTILLA[FECHA]=_xlfn.CONCAT($M$3,"_",_xlfn.IFS($N$3="ENERO","1",$N$3="FEBRERO","2",$N$3="MARZO","3",$N$3="ABRIL","4",$N$3="MAYO","5",$N$3="JUNIO","6",$N$3="JULIO","7",$N$3="AGOSTO","8",$N$3="SETIEMBRE","9",$N$3="OCTUBRE","10",$N$3="NOVIEMBRE","11",$N$3="DICIEMBRE","12"))),6,0),"")</f>
        <v>46141</v>
      </c>
      <c r="J40" s="55" t="str" cm="1">
        <f t="array" ref="J40">IFERROR(VLOOKUP(D1_MAYO_2026[[#This Row],[ASESOR_CRR]],_xlfn._xlws.FILTER(PLANTILLA[[ASESOR]:[FECHA DE CESE]],PLANTILLA[FECHA]=_xlfn.CONCAT($M$3,"_",_xlfn.IFS($N$3="ENERO","1",$N$3="FEBRERO","2",$N$3="MARZO","3",$N$3="ABRIL","4",$N$3="MAYO","5",$N$3="JUNIO","6",$N$3="JULIO","7",$N$3="AGOSTO","8",$N$3="SETIEMBRE","9",$N$3="OCTUBRE","10",$N$3="NOVIEMBRE","11",$N$3="DICIEMBRE","12"))),4,0),"")</f>
        <v>CALL</v>
      </c>
      <c r="K40" s="55" t="str" cm="1">
        <f t="array" ref="K40">IFERROR(VLOOKUP(D1_MAYO_2026[[#This Row],[ASESOR_CRR]],_xlfn._xlws.FILTER(PLANTILLA[[ASESOR]:[FECHA DE CESE]],PLANTILLA[FECHA]=_xlfn.CONCAT($M$3,"_",_xlfn.IFS($N$3="ENERO","1",$N$3="FEBRERO","2",$N$3="MARZO","3",$N$3="ABRIL","4",$N$3="MAYO","5",$N$3="JUNIO","6",$N$3="JULIO","7",$N$3="AGOSTO","8",$N$3="SETIEMBRE","9",$N$3="OCTUBRE","10",$N$3="NOVIEMBRE","11",$N$3="DICIEMBRE","12"))),8,0),"")</f>
        <v>S0</v>
      </c>
      <c r="L40" s="55"/>
      <c r="M40" s="5">
        <f>DATA_MAYO_2026[[#This Row],[RECUPERO]]/DATA_MAYO_2026[[#This Row],[META]]</f>
        <v>0.49064406779661018</v>
      </c>
      <c r="N40" s="5">
        <f>6-ROUNDUP(_xlfn.RANK.EQ(DATA_MAYO_2026[[#This Row],[AL_AC]],DATA_MAYO_2026[AL_AC],0)/(COUNTA(DATA_MAYO_2026[AL_AC])/5),0)</f>
        <v>3</v>
      </c>
      <c r="O40" s="54" t="str">
        <f>IFERROR(VLOOKUP(DATA_MAYO_2026[[#This Row],[ASER_]],$B:$G,4,0),"")</f>
        <v>JOHAN</v>
      </c>
      <c r="P40" s="6">
        <f>VLOOKUP(DATA_MAYO_2026[[#This Row],[ASER_]],D1_MAYO_2026[[ASESOR_CRR]:[RECUPERO]],6,0)</f>
        <v>14474</v>
      </c>
      <c r="Q40" s="6">
        <f>VLOOKUP(DATA_MAYO_2026[[#This Row],[ASER_]],D1_MAYO_2026[[ASESOR_CRR]:[META]],2,0)</f>
        <v>29500</v>
      </c>
      <c r="R40" t="s">
        <v>12</v>
      </c>
      <c r="S40">
        <v>0</v>
      </c>
      <c r="T40">
        <v>0</v>
      </c>
      <c r="U40">
        <v>210</v>
      </c>
      <c r="V40">
        <v>1439</v>
      </c>
      <c r="W40">
        <v>6000</v>
      </c>
      <c r="X40" s="5">
        <v>1100</v>
      </c>
      <c r="Y40" s="6">
        <v>0</v>
      </c>
      <c r="Z40" s="6">
        <v>0</v>
      </c>
      <c r="AA40" s="6">
        <v>0</v>
      </c>
      <c r="AB40" s="6">
        <v>0</v>
      </c>
      <c r="AC40" s="6">
        <v>125</v>
      </c>
      <c r="AD40" s="6">
        <v>0</v>
      </c>
      <c r="AE40" s="6">
        <v>0</v>
      </c>
      <c r="AF40" s="6">
        <v>0</v>
      </c>
      <c r="AG40" s="6">
        <v>5600</v>
      </c>
      <c r="AH40" s="6">
        <v>0</v>
      </c>
      <c r="AI40" s="6">
        <v>0</v>
      </c>
      <c r="AJ40" s="6"/>
      <c r="AK40" s="6"/>
      <c r="AL40" s="6"/>
      <c r="AM40" s="6"/>
      <c r="AN40" s="54" t="str" cm="1">
        <f t="array" ref="AN40">IFERROR(VLOOKUP(DATA_MAYO_2026[[#This Row],[ASER_]],_xlfn._xlws.FILTER(PLANTILLA[[ASESOR]:[FECHA DE CESE]],PLANTILLA[FECHA]=_xlfn.CONCAT($M$3,"_",_xlfn.IFS($N$3="ENERO","1",$N$3="FEBRERO","2",$N$3="MARZO","3",$N$3="ABRIL","4",$N$3="MAYO","5",$N$3="JUNIO","6",$N$3="JULIO","7",$N$3="AGOSTO","8",$N$3="SETIEMBRE","9",$N$3="OCTUBRE","10",$N$3="NOVIEMBRE","11",$N$3="DICIEMBRE","12"))),8,0),"")</f>
        <v>S1</v>
      </c>
      <c r="AO40" s="54">
        <f>SUM(DATA_MAYO_2026[[#This Row],[15]:[30]])</f>
        <v>5725</v>
      </c>
      <c r="BX40" s="45" t="s">
        <v>636</v>
      </c>
      <c r="BY40" s="45" t="s">
        <v>125</v>
      </c>
      <c r="BZ40" s="45" t="s">
        <v>564</v>
      </c>
      <c r="CA40" s="55">
        <v>46177</v>
      </c>
      <c r="CB40" s="1">
        <f>IF(IND_JUNIO_2026[[#This Row],[IND_CANTFalta]]=1,0,IF(1-(IND_JUNIO_2026[[#This Row],[IND_Tardanza Tiempo]]*100%/0.166666666666667)&lt;0,0,1-(IND_JUNIO_2026[[#This Row],[IND_Tardanza Tiempo]]*100%/0.166666666666667)))</f>
        <v>1</v>
      </c>
      <c r="CC40" s="45"/>
      <c r="CD40" s="93">
        <v>0</v>
      </c>
      <c r="CE40">
        <v>20</v>
      </c>
      <c r="CG40" s="1">
        <f>IFERROR(IND_JUNIO_2026[[#This Row],[IND_PDP]]/IND_JUNIO_2026[[#This Row],[IND_CEF Unico]],"")</f>
        <v>0</v>
      </c>
      <c r="CJ40" s="1" t="str">
        <f>IFERROR(IND_JUNIO_2026[[#This Row],[IND_Recupero]]/IND_JUNIO_2026[[#This Row],[IND_MontoPDP]],"")</f>
        <v/>
      </c>
      <c r="CK40" s="1" t="str">
        <f>IFERROR(IND_JUNIO_2026[[#This Row],[IND_MontoPDP]]/IND_JUNIO_2026[[#This Row],[DK]],"")</f>
        <v/>
      </c>
      <c r="CL40" t="s">
        <v>548</v>
      </c>
      <c r="CM40" t="str">
        <f>IFERROR(IND_JUNIO_2026[[#This Row],[IND_MontoPDP]]/IND_JUNIO_2026[[#This Row],[IND_PDP]],"")</f>
        <v/>
      </c>
    </row>
    <row r="41" spans="1:91" x14ac:dyDescent="0.25">
      <c r="A41" s="34" t="str" cm="1">
        <f t="array" ref="A41">IFERROR(VLOOKUP(D1_MAYO_2026[[#This Row],[ASESOR_CRR]],_xlfn._xlws.FILTER(PLANTILLA[[ASESOR]:[FECHA DE CESE]],PLANTILLA[FECHA]=_xlfn.CONCAT($M$3,"_",_xlfn.IFS($N$3="ENERO","1",$N$3="FEBRERO","2",$N$3="MARZO","3",$N$3="ABRIL","4",$N$3="MAYO","5",$N$3="JUNIO","6",$N$3="JULIO","7",$N$3="AGOSTO","8",$N$3="SETIEMBRE","9",$N$3="OCTUBRE","10",$N$3="NOVIEMBRE","11",$N$3="DICIEMBRE","12"))),3,0),"")</f>
        <v>KENNETH</v>
      </c>
      <c r="B41" s="34" t="str" cm="1">
        <f t="array" ref="B4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MILAGROS QUIO</v>
      </c>
      <c r="C41" s="34" cm="1">
        <f t="array" ref="C41">_xlfn.XLOOKUP(1,(TablaMeta[CONCAT]=$M$3&amp;$N$3&amp;D1_MAYO_2026[[#This Row],[SUPER]])*(TablaMeta[SEGG]=D1_MAYO_2026[[#This Row],[SEGMENTO]]),TablaMeta[Meta_Asesor])</f>
        <v>40500</v>
      </c>
      <c r="D41" s="35">
        <f>IF(D1_MAYO_2026[[#This Row],[RECUPERO]]="VACACIONES","VACACIONES",IFERROR(D1_MAYO_2026[[#This Row],[RECUPERO]]/D1_MAYO_2026[[#This Row],[META]],""))</f>
        <v>0.66609876543209878</v>
      </c>
      <c r="E41" s="35" t="str">
        <f>D1_MAYO_2026[[#This Row],[SUPER]]</f>
        <v>KENNETH</v>
      </c>
      <c r="F41" t="s">
        <v>11</v>
      </c>
      <c r="G41" s="3">
        <v>26977</v>
      </c>
      <c r="H41" cm="1">
        <f t="array" ref="H41">IFERROR(VLOOKUP(D1_MAYO_2026[[#This Row],[ASESOR_CRR]],_xlfn._xlws.FILTER(PLANTILLA[[ASESOR]:[FECHA DE CESE]],PLANTILLA[FECHA]=_xlfn.CONCAT($M$3,"_",_xlfn.IFS($N$3="ENERO","1",$N$3="FEBRERO","2",$N$3="MARZO","3",$N$3="ABRIL","4",$N$3="MAYO","5",$N$3="JUNIO","6",$N$3="JULIO","7",$N$3="AGOSTO","8",$N$3="SETIEMBRE","9",$N$3="OCTUBRE","10",$N$3="NOVIEMBRE","11",$N$3="DICIEMBRE","12"))),2,0),"")</f>
        <v>45139159</v>
      </c>
      <c r="I41" s="55" cm="1">
        <f t="array" ref="I41">IFERROR(VLOOKUP(D1_MAYO_2026[[#This Row],[ASESOR_CRR]],_xlfn._xlws.FILTER(PLANTILLA[[ASESOR]:[FECHA DE CESE]],PLANTILLA[FECHA]=_xlfn.CONCAT($M$3,"_",_xlfn.IFS($N$3="ENERO","1",$N$3="FEBRERO","2",$N$3="MARZO","3",$N$3="ABRIL","4",$N$3="MAYO","5",$N$3="JUNIO","6",$N$3="JULIO","7",$N$3="AGOSTO","8",$N$3="SETIEMBRE","9",$N$3="OCTUBRE","10",$N$3="NOVIEMBRE","11",$N$3="DICIEMBRE","12"))),6,0),"")</f>
        <v>45369</v>
      </c>
      <c r="J41" s="55" t="str" cm="1">
        <f t="array" ref="J41">IFERROR(VLOOKUP(D1_MAYO_2026[[#This Row],[ASESOR_CRR]],_xlfn._xlws.FILTER(PLANTILLA[[ASESOR]:[FECHA DE CESE]],PLANTILLA[FECHA]=_xlfn.CONCAT($M$3,"_",_xlfn.IFS($N$3="ENERO","1",$N$3="FEBRERO","2",$N$3="MARZO","3",$N$3="ABRIL","4",$N$3="MAYO","5",$N$3="JUNIO","6",$N$3="JULIO","7",$N$3="AGOSTO","8",$N$3="SETIEMBRE","9",$N$3="OCTUBRE","10",$N$3="NOVIEMBRE","11",$N$3="DICIEMBRE","12"))),4,0),"")</f>
        <v>CALL</v>
      </c>
      <c r="K41" s="55" t="str" cm="1">
        <f t="array" ref="K41">IFERROR(VLOOKUP(D1_MAYO_2026[[#This Row],[ASESOR_CRR]],_xlfn._xlws.FILTER(PLANTILLA[[ASESOR]:[FECHA DE CESE]],PLANTILLA[FECHA]=_xlfn.CONCAT($M$3,"_",_xlfn.IFS($N$3="ENERO","1",$N$3="FEBRERO","2",$N$3="MARZO","3",$N$3="ABRIL","4",$N$3="MAYO","5",$N$3="JUNIO","6",$N$3="JULIO","7",$N$3="AGOSTO","8",$N$3="SETIEMBRE","9",$N$3="OCTUBRE","10",$N$3="NOVIEMBRE","11",$N$3="DICIEMBRE","12"))),8,0),"")</f>
        <v>S0</v>
      </c>
      <c r="L41" s="55"/>
      <c r="M41" s="5">
        <f>DATA_MAYO_2026[[#This Row],[RECUPERO]]/DATA_MAYO_2026[[#This Row],[META]]</f>
        <v>0.46800000000000003</v>
      </c>
      <c r="N41" s="5">
        <f>6-ROUNDUP(_xlfn.RANK.EQ(DATA_MAYO_2026[[#This Row],[AL_AC]],DATA_MAYO_2026[AL_AC],0)/(COUNTA(DATA_MAYO_2026[AL_AC])/5),0)</f>
        <v>3</v>
      </c>
      <c r="O41" s="54" t="str">
        <f>IFERROR(VLOOKUP(DATA_MAYO_2026[[#This Row],[ASER_]],$B:$G,4,0),"")</f>
        <v>JOHAN</v>
      </c>
      <c r="P41" s="6">
        <f>VLOOKUP(DATA_MAYO_2026[[#This Row],[ASER_]],D1_MAYO_2026[[ASESOR_CRR]:[RECUPERO]],6,0)</f>
        <v>13806</v>
      </c>
      <c r="Q41" s="6">
        <f>VLOOKUP(DATA_MAYO_2026[[#This Row],[ASER_]],D1_MAYO_2026[[ASESOR_CRR]:[META]],2,0)</f>
        <v>29500</v>
      </c>
      <c r="R41" t="s">
        <v>495</v>
      </c>
      <c r="S41">
        <v>1000</v>
      </c>
      <c r="T41">
        <v>0</v>
      </c>
      <c r="U41">
        <v>1100</v>
      </c>
      <c r="V41">
        <v>1500</v>
      </c>
      <c r="W41">
        <v>0</v>
      </c>
      <c r="X41" s="5">
        <v>100</v>
      </c>
      <c r="Y41" s="6">
        <v>0</v>
      </c>
      <c r="Z41" s="6">
        <v>2800</v>
      </c>
      <c r="AA41" s="6">
        <v>656</v>
      </c>
      <c r="AB41" s="6">
        <v>6300</v>
      </c>
      <c r="AC41" s="6">
        <v>0</v>
      </c>
      <c r="AD41" s="6">
        <v>0</v>
      </c>
      <c r="AE41" s="6">
        <v>0</v>
      </c>
      <c r="AF41" s="6">
        <v>0</v>
      </c>
      <c r="AG41" s="6">
        <v>0</v>
      </c>
      <c r="AH41" s="6">
        <v>350</v>
      </c>
      <c r="AI41" s="6">
        <v>0</v>
      </c>
      <c r="AJ41" s="6"/>
      <c r="AK41" s="6"/>
      <c r="AL41" s="6"/>
      <c r="AM41" s="6"/>
      <c r="AN41" s="54" t="str" cm="1">
        <f t="array" ref="AN41">IFERROR(VLOOKUP(DATA_MAYO_2026[[#This Row],[ASER_]],_xlfn._xlws.FILTER(PLANTILLA[[ASESOR]:[FECHA DE CESE]],PLANTILLA[FECHA]=_xlfn.CONCAT($M$3,"_",_xlfn.IFS($N$3="ENERO","1",$N$3="FEBRERO","2",$N$3="MARZO","3",$N$3="ABRIL","4",$N$3="MAYO","5",$N$3="JUNIO","6",$N$3="JULIO","7",$N$3="AGOSTO","8",$N$3="SETIEMBRE","9",$N$3="OCTUBRE","10",$N$3="NOVIEMBRE","11",$N$3="DICIEMBRE","12"))),8,0),"")</f>
        <v>S1</v>
      </c>
      <c r="AO41" s="54">
        <f>SUM(DATA_MAYO_2026[[#This Row],[15]:[30]])</f>
        <v>350</v>
      </c>
      <c r="BX41" s="45" t="s">
        <v>636</v>
      </c>
      <c r="BY41" s="45" t="s">
        <v>125</v>
      </c>
      <c r="BZ41" s="45" t="s">
        <v>564</v>
      </c>
      <c r="CA41" s="55">
        <v>46178</v>
      </c>
      <c r="CB41" s="1">
        <f>IF(IND_JUNIO_2026[[#This Row],[IND_CANTFalta]]=1,0,IF(1-(IND_JUNIO_2026[[#This Row],[IND_Tardanza Tiempo]]*100%/0.166666666666667)&lt;0,0,1-(IND_JUNIO_2026[[#This Row],[IND_Tardanza Tiempo]]*100%/0.166666666666667)))</f>
        <v>0.99944444444444447</v>
      </c>
      <c r="CC41" s="45"/>
      <c r="CD41" s="93">
        <v>9.2592592592592588E-5</v>
      </c>
      <c r="CE41">
        <v>5</v>
      </c>
      <c r="CG41" s="1">
        <f>IFERROR(IND_JUNIO_2026[[#This Row],[IND_PDP]]/IND_JUNIO_2026[[#This Row],[IND_CEF Unico]],"")</f>
        <v>0</v>
      </c>
      <c r="CJ41" s="1" t="str">
        <f>IFERROR(IND_JUNIO_2026[[#This Row],[IND_Recupero]]/IND_JUNIO_2026[[#This Row],[IND_MontoPDP]],"")</f>
        <v/>
      </c>
      <c r="CK41" s="1" t="str">
        <f>IFERROR(IND_JUNIO_2026[[#This Row],[IND_MontoPDP]]/IND_JUNIO_2026[[#This Row],[DK]],"")</f>
        <v/>
      </c>
      <c r="CL41" t="s">
        <v>548</v>
      </c>
      <c r="CM41" t="str">
        <f>IFERROR(IND_JUNIO_2026[[#This Row],[IND_MontoPDP]]/IND_JUNIO_2026[[#This Row],[IND_PDP]],"")</f>
        <v/>
      </c>
    </row>
    <row r="42" spans="1:91" x14ac:dyDescent="0.25">
      <c r="A42" s="34" t="str" cm="1">
        <f t="array" ref="A42">IFERROR(VLOOKUP(D1_MAYO_2026[[#This Row],[ASESOR_CRR]],_xlfn._xlws.FILTER(PLANTILLA[[ASESOR]:[FECHA DE CESE]],PLANTILLA[FECHA]=_xlfn.CONCAT($M$3,"_",_xlfn.IFS($N$3="ENERO","1",$N$3="FEBRERO","2",$N$3="MARZO","3",$N$3="ABRIL","4",$N$3="MAYO","5",$N$3="JUNIO","6",$N$3="JULIO","7",$N$3="AGOSTO","8",$N$3="SETIEMBRE","9",$N$3="OCTUBRE","10",$N$3="NOVIEMBRE","11",$N$3="DICIEMBRE","12"))),3,0),"")</f>
        <v>KENNETH</v>
      </c>
      <c r="B42" s="34" t="str" cm="1">
        <f t="array" ref="B4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JUAN LOZA</v>
      </c>
      <c r="C42" s="34" cm="1">
        <f t="array" ref="C42">_xlfn.XLOOKUP(1,(TablaMeta[CONCAT]=$M$3&amp;$N$3&amp;D1_MAYO_2026[[#This Row],[SUPER]])*(TablaMeta[SEGG]=D1_MAYO_2026[[#This Row],[SEGMENTO]]),TablaMeta[Meta_Asesor])</f>
        <v>40500</v>
      </c>
      <c r="D42" s="35">
        <f>IF(D1_MAYO_2026[[#This Row],[RECUPERO]]="VACACIONES","VACACIONES",IFERROR(D1_MAYO_2026[[#This Row],[RECUPERO]]/D1_MAYO_2026[[#This Row],[META]],""))</f>
        <v>0.53950617283950619</v>
      </c>
      <c r="E42" s="35" t="str">
        <f>D1_MAYO_2026[[#This Row],[SUPER]]</f>
        <v>KENNETH</v>
      </c>
      <c r="F42" t="s">
        <v>35</v>
      </c>
      <c r="G42" s="3">
        <v>21850</v>
      </c>
      <c r="H42" cm="1">
        <f t="array" ref="H42">IFERROR(VLOOKUP(D1_MAYO_2026[[#This Row],[ASESOR_CRR]],_xlfn._xlws.FILTER(PLANTILLA[[ASESOR]:[FECHA DE CESE]],PLANTILLA[FECHA]=_xlfn.CONCAT($M$3,"_",_xlfn.IFS($N$3="ENERO","1",$N$3="FEBRERO","2",$N$3="MARZO","3",$N$3="ABRIL","4",$N$3="MAYO","5",$N$3="JUNIO","6",$N$3="JULIO","7",$N$3="AGOSTO","8",$N$3="SETIEMBRE","9",$N$3="OCTUBRE","10",$N$3="NOVIEMBRE","11",$N$3="DICIEMBRE","12"))),2,0),"")</f>
        <v>10491198</v>
      </c>
      <c r="I42" s="55" cm="1">
        <f t="array" ref="I42">IFERROR(VLOOKUP(D1_MAYO_2026[[#This Row],[ASESOR_CRR]],_xlfn._xlws.FILTER(PLANTILLA[[ASESOR]:[FECHA DE CESE]],PLANTILLA[FECHA]=_xlfn.CONCAT($M$3,"_",_xlfn.IFS($N$3="ENERO","1",$N$3="FEBRERO","2",$N$3="MARZO","3",$N$3="ABRIL","4",$N$3="MAYO","5",$N$3="JUNIO","6",$N$3="JULIO","7",$N$3="AGOSTO","8",$N$3="SETIEMBRE","9",$N$3="OCTUBRE","10",$N$3="NOVIEMBRE","11",$N$3="DICIEMBRE","12"))),6,0),"")</f>
        <v>44746</v>
      </c>
      <c r="J42" s="55" t="str" cm="1">
        <f t="array" ref="J42">IFERROR(VLOOKUP(D1_MAYO_2026[[#This Row],[ASESOR_CRR]],_xlfn._xlws.FILTER(PLANTILLA[[ASESOR]:[FECHA DE CESE]],PLANTILLA[FECHA]=_xlfn.CONCAT($M$3,"_",_xlfn.IFS($N$3="ENERO","1",$N$3="FEBRERO","2",$N$3="MARZO","3",$N$3="ABRIL","4",$N$3="MAYO","5",$N$3="JUNIO","6",$N$3="JULIO","7",$N$3="AGOSTO","8",$N$3="SETIEMBRE","9",$N$3="OCTUBRE","10",$N$3="NOVIEMBRE","11",$N$3="DICIEMBRE","12"))),4,0),"")</f>
        <v>CALL</v>
      </c>
      <c r="K42" s="55" t="str" cm="1">
        <f t="array" ref="K42">IFERROR(VLOOKUP(D1_MAYO_2026[[#This Row],[ASESOR_CRR]],_xlfn._xlws.FILTER(PLANTILLA[[ASESOR]:[FECHA DE CESE]],PLANTILLA[FECHA]=_xlfn.CONCAT($M$3,"_",_xlfn.IFS($N$3="ENERO","1",$N$3="FEBRERO","2",$N$3="MARZO","3",$N$3="ABRIL","4",$N$3="MAYO","5",$N$3="JUNIO","6",$N$3="JULIO","7",$N$3="AGOSTO","8",$N$3="SETIEMBRE","9",$N$3="OCTUBRE","10",$N$3="NOVIEMBRE","11",$N$3="DICIEMBRE","12"))),8,0),"")</f>
        <v>S0</v>
      </c>
      <c r="L42" s="55"/>
      <c r="M42" s="5">
        <f>DATA_MAYO_2026[[#This Row],[RECUPERO]]/DATA_MAYO_2026[[#This Row],[META]]</f>
        <v>0.66674576271186436</v>
      </c>
      <c r="N42" s="5">
        <f>6-ROUNDUP(_xlfn.RANK.EQ(DATA_MAYO_2026[[#This Row],[AL_AC]],DATA_MAYO_2026[AL_AC],0)/(COUNTA(DATA_MAYO_2026[AL_AC])/5),0)</f>
        <v>4</v>
      </c>
      <c r="O42" s="54" t="str">
        <f>IFERROR(VLOOKUP(DATA_MAYO_2026[[#This Row],[ASER_]],$B:$G,4,0),"")</f>
        <v>JOHAN</v>
      </c>
      <c r="P42" s="6">
        <f>VLOOKUP(DATA_MAYO_2026[[#This Row],[ASER_]],D1_MAYO_2026[[ASESOR_CRR]:[RECUPERO]],6,0)</f>
        <v>19669</v>
      </c>
      <c r="Q42" s="6">
        <f>VLOOKUP(DATA_MAYO_2026[[#This Row],[ASER_]],D1_MAYO_2026[[ASESOR_CRR]:[META]],2,0)</f>
        <v>29500</v>
      </c>
      <c r="R42" t="s">
        <v>26</v>
      </c>
      <c r="S42">
        <v>0</v>
      </c>
      <c r="T42">
        <v>0</v>
      </c>
      <c r="U42">
        <v>3700</v>
      </c>
      <c r="V42">
        <v>0</v>
      </c>
      <c r="W42">
        <v>0</v>
      </c>
      <c r="X42" s="5">
        <v>300</v>
      </c>
      <c r="Y42" s="6">
        <v>500</v>
      </c>
      <c r="Z42" s="6">
        <v>300</v>
      </c>
      <c r="AA42" s="6">
        <v>3600</v>
      </c>
      <c r="AB42" s="6">
        <v>400</v>
      </c>
      <c r="AC42" s="6">
        <v>238</v>
      </c>
      <c r="AD42" s="6">
        <v>0</v>
      </c>
      <c r="AE42" s="6">
        <v>4780</v>
      </c>
      <c r="AF42" s="6">
        <v>1500</v>
      </c>
      <c r="AG42" s="6">
        <v>4130</v>
      </c>
      <c r="AH42" s="6">
        <v>221</v>
      </c>
      <c r="AI42" s="6">
        <v>0</v>
      </c>
      <c r="AJ42" s="6"/>
      <c r="AK42" s="6"/>
      <c r="AL42" s="6"/>
      <c r="AM42" s="6"/>
      <c r="AN42" s="54" t="str" cm="1">
        <f t="array" ref="AN42">IFERROR(VLOOKUP(DATA_MAYO_2026[[#This Row],[ASER_]],_xlfn._xlws.FILTER(PLANTILLA[[ASESOR]:[FECHA DE CESE]],PLANTILLA[FECHA]=_xlfn.CONCAT($M$3,"_",_xlfn.IFS($N$3="ENERO","1",$N$3="FEBRERO","2",$N$3="MARZO","3",$N$3="ABRIL","4",$N$3="MAYO","5",$N$3="JUNIO","6",$N$3="JULIO","7",$N$3="AGOSTO","8",$N$3="SETIEMBRE","9",$N$3="OCTUBRE","10",$N$3="NOVIEMBRE","11",$N$3="DICIEMBRE","12"))),8,0),"")</f>
        <v>S1</v>
      </c>
      <c r="AO42" s="54">
        <f>SUM(DATA_MAYO_2026[[#This Row],[15]:[30]])</f>
        <v>10869</v>
      </c>
      <c r="BX42" s="45" t="s">
        <v>636</v>
      </c>
      <c r="BY42" s="45" t="s">
        <v>125</v>
      </c>
      <c r="BZ42" s="45" t="s">
        <v>75</v>
      </c>
      <c r="CA42" s="55">
        <v>46174</v>
      </c>
      <c r="CB42" s="1">
        <f>IF(IND_JUNIO_2026[[#This Row],[IND_CANTFalta]]=1,0,IF(1-(IND_JUNIO_2026[[#This Row],[IND_Tardanza Tiempo]]*100%/0.166666666666667)&lt;0,0,1-(IND_JUNIO_2026[[#This Row],[IND_Tardanza Tiempo]]*100%/0.166666666666667)))</f>
        <v>0.99965277777777772</v>
      </c>
      <c r="CC42" s="45"/>
      <c r="CD42" s="93">
        <v>5.7870370370370373E-5</v>
      </c>
      <c r="CE42">
        <v>34</v>
      </c>
      <c r="CF42">
        <v>8</v>
      </c>
      <c r="CG42" s="1">
        <f>IFERROR(IND_JUNIO_2026[[#This Row],[IND_PDP]]/IND_JUNIO_2026[[#This Row],[IND_CEF Unico]],"")</f>
        <v>0.23529411764705882</v>
      </c>
      <c r="CH42">
        <v>4400</v>
      </c>
      <c r="CJ42" s="1">
        <f>IFERROR(IND_JUNIO_2026[[#This Row],[IND_Recupero]]/IND_JUNIO_2026[[#This Row],[IND_MontoPDP]],"")</f>
        <v>0</v>
      </c>
      <c r="CK42" s="1" t="str">
        <f>IFERROR(IND_JUNIO_2026[[#This Row],[IND_MontoPDP]]/IND_JUNIO_2026[[#This Row],[DK]],"")</f>
        <v/>
      </c>
      <c r="CL42" t="s">
        <v>548</v>
      </c>
      <c r="CM42">
        <f>IFERROR(IND_JUNIO_2026[[#This Row],[IND_MontoPDP]]/IND_JUNIO_2026[[#This Row],[IND_PDP]],"")</f>
        <v>550</v>
      </c>
    </row>
    <row r="43" spans="1:91" x14ac:dyDescent="0.25">
      <c r="A43" s="34" t="str" cm="1">
        <f t="array" ref="A43">IFERROR(VLOOKUP(D1_MAYO_2026[[#This Row],[ASESOR_CRR]],_xlfn._xlws.FILTER(PLANTILLA[[ASESOR]:[FECHA DE CESE]],PLANTILLA[FECHA]=_xlfn.CONCAT($M$3,"_",_xlfn.IFS($N$3="ENERO","1",$N$3="FEBRERO","2",$N$3="MARZO","3",$N$3="ABRIL","4",$N$3="MAYO","5",$N$3="JUNIO","6",$N$3="JULIO","7",$N$3="AGOSTO","8",$N$3="SETIEMBRE","9",$N$3="OCTUBRE","10",$N$3="NOVIEMBRE","11",$N$3="DICIEMBRE","12"))),3,0),"")</f>
        <v>KENNETH</v>
      </c>
      <c r="B43" s="34" t="str" cm="1">
        <f t="array" ref="B4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MARIA HUARCAYA</v>
      </c>
      <c r="C43" s="34" cm="1">
        <f t="array" ref="C43">_xlfn.XLOOKUP(1,(TablaMeta[CONCAT]=$M$3&amp;$N$3&amp;D1_MAYO_2026[[#This Row],[SUPER]])*(TablaMeta[SEGG]=D1_MAYO_2026[[#This Row],[SEGMENTO]]),TablaMeta[Meta_Asesor])</f>
        <v>40500</v>
      </c>
      <c r="D43" s="35">
        <f>IF(D1_MAYO_2026[[#This Row],[RECUPERO]]="VACACIONES","VACACIONES",IFERROR(D1_MAYO_2026[[#This Row],[RECUPERO]]/D1_MAYO_2026[[#This Row],[META]],""))</f>
        <v>0.36901234567901237</v>
      </c>
      <c r="E43" s="35" t="str">
        <f>D1_MAYO_2026[[#This Row],[SUPER]]</f>
        <v>KENNETH</v>
      </c>
      <c r="F43" t="s">
        <v>38</v>
      </c>
      <c r="G43" s="3">
        <v>14945</v>
      </c>
      <c r="H43" cm="1">
        <f t="array" ref="H43">IFERROR(VLOOKUP(D1_MAYO_2026[[#This Row],[ASESOR_CRR]],_xlfn._xlws.FILTER(PLANTILLA[[ASESOR]:[FECHA DE CESE]],PLANTILLA[FECHA]=_xlfn.CONCAT($M$3,"_",_xlfn.IFS($N$3="ENERO","1",$N$3="FEBRERO","2",$N$3="MARZO","3",$N$3="ABRIL","4",$N$3="MAYO","5",$N$3="JUNIO","6",$N$3="JULIO","7",$N$3="AGOSTO","8",$N$3="SETIEMBRE","9",$N$3="OCTUBRE","10",$N$3="NOVIEMBRE","11",$N$3="DICIEMBRE","12"))),2,0),"")</f>
        <v>47411966</v>
      </c>
      <c r="I43" s="55" cm="1">
        <f t="array" ref="I43">IFERROR(VLOOKUP(D1_MAYO_2026[[#This Row],[ASESOR_CRR]],_xlfn._xlws.FILTER(PLANTILLA[[ASESOR]:[FECHA DE CESE]],PLANTILLA[FECHA]=_xlfn.CONCAT($M$3,"_",_xlfn.IFS($N$3="ENERO","1",$N$3="FEBRERO","2",$N$3="MARZO","3",$N$3="ABRIL","4",$N$3="MAYO","5",$N$3="JUNIO","6",$N$3="JULIO","7",$N$3="AGOSTO","8",$N$3="SETIEMBRE","9",$N$3="OCTUBRE","10",$N$3="NOVIEMBRE","11",$N$3="DICIEMBRE","12"))),6,0),"")</f>
        <v>45800</v>
      </c>
      <c r="J43" s="55" t="str" cm="1">
        <f t="array" ref="J43">IFERROR(VLOOKUP(D1_MAYO_2026[[#This Row],[ASESOR_CRR]],_xlfn._xlws.FILTER(PLANTILLA[[ASESOR]:[FECHA DE CESE]],PLANTILLA[FECHA]=_xlfn.CONCAT($M$3,"_",_xlfn.IFS($N$3="ENERO","1",$N$3="FEBRERO","2",$N$3="MARZO","3",$N$3="ABRIL","4",$N$3="MAYO","5",$N$3="JUNIO","6",$N$3="JULIO","7",$N$3="AGOSTO","8",$N$3="SETIEMBRE","9",$N$3="OCTUBRE","10",$N$3="NOVIEMBRE","11",$N$3="DICIEMBRE","12"))),4,0),"")</f>
        <v>CALL</v>
      </c>
      <c r="K43" s="55" t="str" cm="1">
        <f t="array" ref="K43">IFERROR(VLOOKUP(D1_MAYO_2026[[#This Row],[ASESOR_CRR]],_xlfn._xlws.FILTER(PLANTILLA[[ASESOR]:[FECHA DE CESE]],PLANTILLA[FECHA]=_xlfn.CONCAT($M$3,"_",_xlfn.IFS($N$3="ENERO","1",$N$3="FEBRERO","2",$N$3="MARZO","3",$N$3="ABRIL","4",$N$3="MAYO","5",$N$3="JUNIO","6",$N$3="JULIO","7",$N$3="AGOSTO","8",$N$3="SETIEMBRE","9",$N$3="OCTUBRE","10",$N$3="NOVIEMBRE","11",$N$3="DICIEMBRE","12"))),8,0),"")</f>
        <v>S0</v>
      </c>
      <c r="L43" s="55"/>
      <c r="M43" s="5">
        <f>DATA_MAYO_2026[[#This Row],[RECUPERO]]/DATA_MAYO_2026[[#This Row],[META]]</f>
        <v>1.1171186440677967</v>
      </c>
      <c r="N43" s="5">
        <f>6-ROUNDUP(_xlfn.RANK.EQ(DATA_MAYO_2026[[#This Row],[AL_AC]],DATA_MAYO_2026[AL_AC],0)/(COUNTA(DATA_MAYO_2026[AL_AC])/5),0)</f>
        <v>5</v>
      </c>
      <c r="O43" s="54" t="str">
        <f>IFERROR(VLOOKUP(DATA_MAYO_2026[[#This Row],[ASER_]],$B:$G,4,0),"")</f>
        <v>JOHAN</v>
      </c>
      <c r="P43" s="6">
        <f>VLOOKUP(DATA_MAYO_2026[[#This Row],[ASER_]],D1_MAYO_2026[[ASESOR_CRR]:[RECUPERO]],6,0)</f>
        <v>32955</v>
      </c>
      <c r="Q43" s="6">
        <f>VLOOKUP(DATA_MAYO_2026[[#This Row],[ASER_]],D1_MAYO_2026[[ASESOR_CRR]:[META]],2,0)</f>
        <v>29500</v>
      </c>
      <c r="R43" t="s">
        <v>80</v>
      </c>
      <c r="S43">
        <v>1000</v>
      </c>
      <c r="T43">
        <v>0</v>
      </c>
      <c r="U43">
        <v>1200</v>
      </c>
      <c r="V43">
        <v>0</v>
      </c>
      <c r="W43">
        <v>1500</v>
      </c>
      <c r="X43" s="5">
        <v>13000</v>
      </c>
      <c r="Y43" s="6">
        <v>0</v>
      </c>
      <c r="Z43" s="6">
        <v>0</v>
      </c>
      <c r="AA43" s="6">
        <v>0</v>
      </c>
      <c r="AB43" s="6">
        <v>0</v>
      </c>
      <c r="AC43" s="6">
        <v>7655</v>
      </c>
      <c r="AD43" s="6">
        <v>0</v>
      </c>
      <c r="AE43" s="6">
        <v>0</v>
      </c>
      <c r="AF43" s="6">
        <v>2600</v>
      </c>
      <c r="AG43" s="6">
        <v>0</v>
      </c>
      <c r="AH43" s="6">
        <v>1000</v>
      </c>
      <c r="AI43" s="6">
        <v>5000</v>
      </c>
      <c r="AJ43" s="6"/>
      <c r="AK43" s="6"/>
      <c r="AL43" s="6"/>
      <c r="AM43" s="6"/>
      <c r="AN43" s="54" t="str" cm="1">
        <f t="array" ref="AN43">IFERROR(VLOOKUP(DATA_MAYO_2026[[#This Row],[ASER_]],_xlfn._xlws.FILTER(PLANTILLA[[ASESOR]:[FECHA DE CESE]],PLANTILLA[FECHA]=_xlfn.CONCAT($M$3,"_",_xlfn.IFS($N$3="ENERO","1",$N$3="FEBRERO","2",$N$3="MARZO","3",$N$3="ABRIL","4",$N$3="MAYO","5",$N$3="JUNIO","6",$N$3="JULIO","7",$N$3="AGOSTO","8",$N$3="SETIEMBRE","9",$N$3="OCTUBRE","10",$N$3="NOVIEMBRE","11",$N$3="DICIEMBRE","12"))),8,0),"")</f>
        <v>S1</v>
      </c>
      <c r="AO43" s="54">
        <f>SUM(DATA_MAYO_2026[[#This Row],[15]:[30]])</f>
        <v>16255</v>
      </c>
      <c r="BX43" s="45" t="s">
        <v>636</v>
      </c>
      <c r="BY43" s="45" t="s">
        <v>125</v>
      </c>
      <c r="BZ43" s="45" t="s">
        <v>75</v>
      </c>
      <c r="CA43" s="55">
        <v>46175</v>
      </c>
      <c r="CB43" s="1">
        <f>IF(IND_JUNIO_2026[[#This Row],[IND_CANTFalta]]=1,0,IF(1-(IND_JUNIO_2026[[#This Row],[IND_Tardanza Tiempo]]*100%/0.166666666666667)&lt;0,0,1-(IND_JUNIO_2026[[#This Row],[IND_Tardanza Tiempo]]*100%/0.166666666666667)))</f>
        <v>0.99833333333333329</v>
      </c>
      <c r="CC43" s="45"/>
      <c r="CD43" s="93">
        <v>2.7777777777777778E-4</v>
      </c>
      <c r="CE43">
        <v>33</v>
      </c>
      <c r="CF43">
        <v>2</v>
      </c>
      <c r="CG43" s="1">
        <f>IFERROR(IND_JUNIO_2026[[#This Row],[IND_PDP]]/IND_JUNIO_2026[[#This Row],[IND_CEF Unico]],"")</f>
        <v>6.0606060606060608E-2</v>
      </c>
      <c r="CH43">
        <v>1030</v>
      </c>
      <c r="CI43">
        <v>800</v>
      </c>
      <c r="CJ43" s="1">
        <f>IFERROR(IND_JUNIO_2026[[#This Row],[IND_Recupero]]/IND_JUNIO_2026[[#This Row],[IND_MontoPDP]],"")</f>
        <v>0.77669902912621358</v>
      </c>
      <c r="CK43" s="1">
        <f>IFERROR(IND_JUNIO_2026[[#This Row],[IND_MontoPDP]]/IND_JUNIO_2026[[#This Row],[DK]],"")</f>
        <v>0.1163</v>
      </c>
      <c r="CL43">
        <v>8856.4058469475494</v>
      </c>
      <c r="CM43">
        <f>IFERROR(IND_JUNIO_2026[[#This Row],[IND_MontoPDP]]/IND_JUNIO_2026[[#This Row],[IND_PDP]],"")</f>
        <v>515</v>
      </c>
    </row>
    <row r="44" spans="1:91" x14ac:dyDescent="0.25">
      <c r="A44" s="34" t="str" cm="1">
        <f t="array" ref="A44">IFERROR(VLOOKUP(D1_MAYO_2026[[#This Row],[ASESOR_CRR]],_xlfn._xlws.FILTER(PLANTILLA[[ASESOR]:[FECHA DE CESE]],PLANTILLA[FECHA]=_xlfn.CONCAT($M$3,"_",_xlfn.IFS($N$3="ENERO","1",$N$3="FEBRERO","2",$N$3="MARZO","3",$N$3="ABRIL","4",$N$3="MAYO","5",$N$3="JUNIO","6",$N$3="JULIO","7",$N$3="AGOSTO","8",$N$3="SETIEMBRE","9",$N$3="OCTUBRE","10",$N$3="NOVIEMBRE","11",$N$3="DICIEMBRE","12"))),3,0),"")</f>
        <v>KENNETH</v>
      </c>
      <c r="B44" s="34" t="str" cm="1">
        <f t="array" ref="B4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FRANK PACORA</v>
      </c>
      <c r="C44" s="34" cm="1">
        <f t="array" ref="C44">_xlfn.XLOOKUP(1,(TablaMeta[CONCAT]=$M$3&amp;$N$3&amp;D1_MAYO_2026[[#This Row],[SUPER]])*(TablaMeta[SEGG]=D1_MAYO_2026[[#This Row],[SEGMENTO]]),TablaMeta[Meta_Asesor])</f>
        <v>40500</v>
      </c>
      <c r="D44" s="35">
        <f>IF(D1_MAYO_2026[[#This Row],[RECUPERO]]="VACACIONES","VACACIONES",IFERROR(D1_MAYO_2026[[#This Row],[RECUPERO]]/D1_MAYO_2026[[#This Row],[META]],""))</f>
        <v>0.33333333333333331</v>
      </c>
      <c r="E44" s="35" t="str">
        <f>D1_MAYO_2026[[#This Row],[SUPER]]</f>
        <v>KENNETH</v>
      </c>
      <c r="F44" t="s">
        <v>105</v>
      </c>
      <c r="G44" s="3">
        <v>13500</v>
      </c>
      <c r="H44" cm="1">
        <f t="array" ref="H44">IFERROR(VLOOKUP(D1_MAYO_2026[[#This Row],[ASESOR_CRR]],_xlfn._xlws.FILTER(PLANTILLA[[ASESOR]:[FECHA DE CESE]],PLANTILLA[FECHA]=_xlfn.CONCAT($M$3,"_",_xlfn.IFS($N$3="ENERO","1",$N$3="FEBRERO","2",$N$3="MARZO","3",$N$3="ABRIL","4",$N$3="MAYO","5",$N$3="JUNIO","6",$N$3="JULIO","7",$N$3="AGOSTO","8",$N$3="SETIEMBRE","9",$N$3="OCTUBRE","10",$N$3="NOVIEMBRE","11",$N$3="DICIEMBRE","12"))),2,0),"")</f>
        <v>48344037</v>
      </c>
      <c r="I44" s="55" cm="1">
        <f t="array" ref="I44">IFERROR(VLOOKUP(D1_MAYO_2026[[#This Row],[ASESOR_CRR]],_xlfn._xlws.FILTER(PLANTILLA[[ASESOR]:[FECHA DE CESE]],PLANTILLA[FECHA]=_xlfn.CONCAT($M$3,"_",_xlfn.IFS($N$3="ENERO","1",$N$3="FEBRERO","2",$N$3="MARZO","3",$N$3="ABRIL","4",$N$3="MAYO","5",$N$3="JUNIO","6",$N$3="JULIO","7",$N$3="AGOSTO","8",$N$3="SETIEMBRE","9",$N$3="OCTUBRE","10",$N$3="NOVIEMBRE","11",$N$3="DICIEMBRE","12"))),6,0),"")</f>
        <v>46027</v>
      </c>
      <c r="J44" s="55" t="str" cm="1">
        <f t="array" ref="J44">IFERROR(VLOOKUP(D1_MAYO_2026[[#This Row],[ASESOR_CRR]],_xlfn._xlws.FILTER(PLANTILLA[[ASESOR]:[FECHA DE CESE]],PLANTILLA[FECHA]=_xlfn.CONCAT($M$3,"_",_xlfn.IFS($N$3="ENERO","1",$N$3="FEBRERO","2",$N$3="MARZO","3",$N$3="ABRIL","4",$N$3="MAYO","5",$N$3="JUNIO","6",$N$3="JULIO","7",$N$3="AGOSTO","8",$N$3="SETIEMBRE","9",$N$3="OCTUBRE","10",$N$3="NOVIEMBRE","11",$N$3="DICIEMBRE","12"))),4,0),"")</f>
        <v>CALL</v>
      </c>
      <c r="K44" s="55" t="str" cm="1">
        <f t="array" ref="K44">IFERROR(VLOOKUP(D1_MAYO_2026[[#This Row],[ASESOR_CRR]],_xlfn._xlws.FILTER(PLANTILLA[[ASESOR]:[FECHA DE CESE]],PLANTILLA[FECHA]=_xlfn.CONCAT($M$3,"_",_xlfn.IFS($N$3="ENERO","1",$N$3="FEBRERO","2",$N$3="MARZO","3",$N$3="ABRIL","4",$N$3="MAYO","5",$N$3="JUNIO","6",$N$3="JULIO","7",$N$3="AGOSTO","8",$N$3="SETIEMBRE","9",$N$3="OCTUBRE","10",$N$3="NOVIEMBRE","11",$N$3="DICIEMBRE","12"))),8,0),"")</f>
        <v>S0</v>
      </c>
      <c r="L44" s="55"/>
      <c r="M44" s="5">
        <f>DATA_MAYO_2026[[#This Row],[RECUPERO]]/DATA_MAYO_2026[[#This Row],[META]]</f>
        <v>0.30671186440677967</v>
      </c>
      <c r="N44" s="5">
        <f>6-ROUNDUP(_xlfn.RANK.EQ(DATA_MAYO_2026[[#This Row],[AL_AC]],DATA_MAYO_2026[AL_AC],0)/(COUNTA(DATA_MAYO_2026[AL_AC])/5),0)</f>
        <v>2</v>
      </c>
      <c r="O44" s="54" t="str">
        <f>IFERROR(VLOOKUP(DATA_MAYO_2026[[#This Row],[ASER_]],$B:$G,4,0),"")</f>
        <v>JOHAN</v>
      </c>
      <c r="P44" s="6">
        <f>VLOOKUP(DATA_MAYO_2026[[#This Row],[ASER_]],D1_MAYO_2026[[ASESOR_CRR]:[RECUPERO]],6,0)</f>
        <v>9048</v>
      </c>
      <c r="Q44" s="6">
        <f>VLOOKUP(DATA_MAYO_2026[[#This Row],[ASER_]],D1_MAYO_2026[[ASESOR_CRR]:[META]],2,0)</f>
        <v>29500</v>
      </c>
      <c r="R44" t="s">
        <v>61</v>
      </c>
      <c r="S44">
        <v>0</v>
      </c>
      <c r="T44">
        <v>0</v>
      </c>
      <c r="U44">
        <v>438</v>
      </c>
      <c r="V44">
        <v>0</v>
      </c>
      <c r="W44">
        <v>3700</v>
      </c>
      <c r="X44" s="5">
        <v>3610</v>
      </c>
      <c r="Y44" s="6">
        <v>0</v>
      </c>
      <c r="Z44" s="6">
        <v>0</v>
      </c>
      <c r="AA44" s="6">
        <v>0</v>
      </c>
      <c r="AB44" s="6">
        <v>300</v>
      </c>
      <c r="AC44" s="6">
        <v>0</v>
      </c>
      <c r="AD44" s="6">
        <v>0</v>
      </c>
      <c r="AE44" s="6">
        <v>0</v>
      </c>
      <c r="AF44" s="6">
        <v>1000</v>
      </c>
      <c r="AG44" s="6">
        <v>0</v>
      </c>
      <c r="AH44" s="6">
        <v>0</v>
      </c>
      <c r="AI44" s="6">
        <v>0</v>
      </c>
      <c r="AJ44" s="6"/>
      <c r="AK44" s="6"/>
      <c r="AL44" s="6"/>
      <c r="AM44" s="6"/>
      <c r="AN44" s="54" t="str" cm="1">
        <f t="array" ref="AN44">IFERROR(VLOOKUP(DATA_MAYO_2026[[#This Row],[ASER_]],_xlfn._xlws.FILTER(PLANTILLA[[ASESOR]:[FECHA DE CESE]],PLANTILLA[FECHA]=_xlfn.CONCAT($M$3,"_",_xlfn.IFS($N$3="ENERO","1",$N$3="FEBRERO","2",$N$3="MARZO","3",$N$3="ABRIL","4",$N$3="MAYO","5",$N$3="JUNIO","6",$N$3="JULIO","7",$N$3="AGOSTO","8",$N$3="SETIEMBRE","9",$N$3="OCTUBRE","10",$N$3="NOVIEMBRE","11",$N$3="DICIEMBRE","12"))),8,0),"")</f>
        <v>S1</v>
      </c>
      <c r="AO44" s="54">
        <f>SUM(DATA_MAYO_2026[[#This Row],[15]:[30]])</f>
        <v>1000</v>
      </c>
      <c r="BX44" s="45" t="s">
        <v>636</v>
      </c>
      <c r="BY44" s="45" t="s">
        <v>125</v>
      </c>
      <c r="BZ44" s="45" t="s">
        <v>75</v>
      </c>
      <c r="CA44" s="55">
        <v>46176</v>
      </c>
      <c r="CB44" s="1">
        <f>IF(IND_JUNIO_2026[[#This Row],[IND_CANTFalta]]=1,0,IF(1-(IND_JUNIO_2026[[#This Row],[IND_Tardanza Tiempo]]*100%/0.166666666666667)&lt;0,0,1-(IND_JUNIO_2026[[#This Row],[IND_Tardanza Tiempo]]*100%/0.166666666666667)))</f>
        <v>0.99576388888888889</v>
      </c>
      <c r="CC44" s="45"/>
      <c r="CD44" s="93">
        <v>7.0601851851851847E-4</v>
      </c>
      <c r="CE44">
        <v>20</v>
      </c>
      <c r="CG44" s="1">
        <f>IFERROR(IND_JUNIO_2026[[#This Row],[IND_PDP]]/IND_JUNIO_2026[[#This Row],[IND_CEF Unico]],"")</f>
        <v>0</v>
      </c>
      <c r="CJ44" s="1" t="str">
        <f>IFERROR(IND_JUNIO_2026[[#This Row],[IND_Recupero]]/IND_JUNIO_2026[[#This Row],[IND_MontoPDP]],"")</f>
        <v/>
      </c>
      <c r="CK44" s="1" t="str">
        <f>IFERROR(IND_JUNIO_2026[[#This Row],[IND_MontoPDP]]/IND_JUNIO_2026[[#This Row],[DK]],"")</f>
        <v/>
      </c>
      <c r="CL44" t="s">
        <v>548</v>
      </c>
      <c r="CM44" t="str">
        <f>IFERROR(IND_JUNIO_2026[[#This Row],[IND_MontoPDP]]/IND_JUNIO_2026[[#This Row],[IND_PDP]],"")</f>
        <v/>
      </c>
    </row>
    <row r="45" spans="1:91" x14ac:dyDescent="0.25">
      <c r="A45" s="34" t="str" cm="1">
        <f t="array" ref="A45">IFERROR(VLOOKUP(D1_MAYO_2026[[#This Row],[ASESOR_CRR]],_xlfn._xlws.FILTER(PLANTILLA[[ASESOR]:[FECHA DE CESE]],PLANTILLA[FECHA]=_xlfn.CONCAT($M$3,"_",_xlfn.IFS($N$3="ENERO","1",$N$3="FEBRERO","2",$N$3="MARZO","3",$N$3="ABRIL","4",$N$3="MAYO","5",$N$3="JUNIO","6",$N$3="JULIO","7",$N$3="AGOSTO","8",$N$3="SETIEMBRE","9",$N$3="OCTUBRE","10",$N$3="NOVIEMBRE","11",$N$3="DICIEMBRE","12"))),3,0),"")</f>
        <v>LEONOR</v>
      </c>
      <c r="B45" s="34" t="str" cm="1">
        <f t="array" ref="B4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SARITA GARAY</v>
      </c>
      <c r="C45" s="34" cm="1">
        <f t="array" ref="C45">_xlfn.XLOOKUP(1,(TablaMeta[CONCAT]=$M$3&amp;$N$3&amp;D1_MAYO_2026[[#This Row],[SUPER]])*(TablaMeta[SEGG]=D1_MAYO_2026[[#This Row],[SEGMENTO]]),TablaMeta[Meta_Asesor])</f>
        <v>12000</v>
      </c>
      <c r="D45" s="35">
        <f>IF(D1_MAYO_2026[[#This Row],[RECUPERO]]="VACACIONES","VACACIONES",IFERROR(D1_MAYO_2026[[#This Row],[RECUPERO]]/D1_MAYO_2026[[#This Row],[META]],""))</f>
        <v>0.62316666666666665</v>
      </c>
      <c r="E45" s="35" t="str">
        <f>D1_MAYO_2026[[#This Row],[SUPER]]</f>
        <v>LEONOR</v>
      </c>
      <c r="F45" t="s">
        <v>634</v>
      </c>
      <c r="G45" s="3">
        <v>7478</v>
      </c>
      <c r="H45" cm="1">
        <f t="array" ref="H45">IFERROR(VLOOKUP(D1_MAYO_2026[[#This Row],[ASESOR_CRR]],_xlfn._xlws.FILTER(PLANTILLA[[ASESOR]:[FECHA DE CESE]],PLANTILLA[FECHA]=_xlfn.CONCAT($M$3,"_",_xlfn.IFS($N$3="ENERO","1",$N$3="FEBRERO","2",$N$3="MARZO","3",$N$3="ABRIL","4",$N$3="MAYO","5",$N$3="JUNIO","6",$N$3="JULIO","7",$N$3="AGOSTO","8",$N$3="SETIEMBRE","9",$N$3="OCTUBRE","10",$N$3="NOVIEMBRE","11",$N$3="DICIEMBRE","12"))),2,0),"")</f>
        <v>40318129</v>
      </c>
      <c r="I45" s="55" cm="1">
        <f t="array" ref="I45">IFERROR(VLOOKUP(D1_MAYO_2026[[#This Row],[ASESOR_CRR]],_xlfn._xlws.FILTER(PLANTILLA[[ASESOR]:[FECHA DE CESE]],PLANTILLA[FECHA]=_xlfn.CONCAT($M$3,"_",_xlfn.IFS($N$3="ENERO","1",$N$3="FEBRERO","2",$N$3="MARZO","3",$N$3="ABRIL","4",$N$3="MAYO","5",$N$3="JUNIO","6",$N$3="JULIO","7",$N$3="AGOSTO","8",$N$3="SETIEMBRE","9",$N$3="OCTUBRE","10",$N$3="NOVIEMBRE","11",$N$3="DICIEMBRE","12"))),6,0),"")</f>
        <v>45141</v>
      </c>
      <c r="J45" s="55" t="str" cm="1">
        <f t="array" ref="J45">IFERROR(VLOOKUP(D1_MAYO_2026[[#This Row],[ASESOR_CRR]],_xlfn._xlws.FILTER(PLANTILLA[[ASESOR]:[FECHA DE CESE]],PLANTILLA[FECHA]=_xlfn.CONCAT($M$3,"_",_xlfn.IFS($N$3="ENERO","1",$N$3="FEBRERO","2",$N$3="MARZO","3",$N$3="ABRIL","4",$N$3="MAYO","5",$N$3="JUNIO","6",$N$3="JULIO","7",$N$3="AGOSTO","8",$N$3="SETIEMBRE","9",$N$3="OCTUBRE","10",$N$3="NOVIEMBRE","11",$N$3="DICIEMBRE","12"))),4,0),"")</f>
        <v>CALL</v>
      </c>
      <c r="K45" s="55" t="str" cm="1">
        <f t="array" ref="K45">IFERROR(VLOOKUP(D1_MAYO_2026[[#This Row],[ASESOR_CRR]],_xlfn._xlws.FILTER(PLANTILLA[[ASESOR]:[FECHA DE CESE]],PLANTILLA[FECHA]=_xlfn.CONCAT($M$3,"_",_xlfn.IFS($N$3="ENERO","1",$N$3="FEBRERO","2",$N$3="MARZO","3",$N$3="ABRIL","4",$N$3="MAYO","5",$N$3="JUNIO","6",$N$3="JULIO","7",$N$3="AGOSTO","8",$N$3="SETIEMBRE","9",$N$3="OCTUBRE","10",$N$3="NOVIEMBRE","11",$N$3="DICIEMBRE","12"))),8,0),"")</f>
        <v>S2</v>
      </c>
      <c r="L45" s="55"/>
      <c r="M45" s="5">
        <f>DATA_MAYO_2026[[#This Row],[RECUPERO]]/DATA_MAYO_2026[[#This Row],[META]]</f>
        <v>0.6961016949152542</v>
      </c>
      <c r="N45" s="5">
        <f>6-ROUNDUP(_xlfn.RANK.EQ(DATA_MAYO_2026[[#This Row],[AL_AC]],DATA_MAYO_2026[AL_AC],0)/(COUNTA(DATA_MAYO_2026[AL_AC])/5),0)</f>
        <v>5</v>
      </c>
      <c r="O45" s="54" t="str">
        <f>IFERROR(VLOOKUP(DATA_MAYO_2026[[#This Row],[ASER_]],$B:$G,4,0),"")</f>
        <v>JOHAN</v>
      </c>
      <c r="P45" s="6">
        <f>VLOOKUP(DATA_MAYO_2026[[#This Row],[ASER_]],D1_MAYO_2026[[ASESOR_CRR]:[RECUPERO]],6,0)</f>
        <v>20535</v>
      </c>
      <c r="Q45" s="6">
        <f>VLOOKUP(DATA_MAYO_2026[[#This Row],[ASER_]],D1_MAYO_2026[[ASESOR_CRR]:[META]],2,0)</f>
        <v>29500</v>
      </c>
      <c r="R45" t="s">
        <v>41</v>
      </c>
      <c r="S45">
        <v>0</v>
      </c>
      <c r="T45">
        <v>0</v>
      </c>
      <c r="U45">
        <v>0</v>
      </c>
      <c r="V45">
        <v>2500</v>
      </c>
      <c r="W45">
        <v>0</v>
      </c>
      <c r="X45" s="5">
        <v>0</v>
      </c>
      <c r="Y45" s="6">
        <v>5000</v>
      </c>
      <c r="Z45" s="6">
        <v>0</v>
      </c>
      <c r="AA45" s="6">
        <v>0</v>
      </c>
      <c r="AB45" s="6">
        <v>0</v>
      </c>
      <c r="AC45" s="6">
        <v>2800</v>
      </c>
      <c r="AD45" s="6">
        <v>2100</v>
      </c>
      <c r="AE45" s="6">
        <v>2100</v>
      </c>
      <c r="AF45" s="6">
        <v>0</v>
      </c>
      <c r="AG45" s="6">
        <v>0</v>
      </c>
      <c r="AH45" s="6">
        <v>6035</v>
      </c>
      <c r="AI45" s="6">
        <v>0</v>
      </c>
      <c r="AJ45" s="6"/>
      <c r="AK45" s="6"/>
      <c r="AL45" s="6"/>
      <c r="AM45" s="6"/>
      <c r="AN45" s="54" t="str" cm="1">
        <f t="array" ref="AN45">IFERROR(VLOOKUP(DATA_MAYO_2026[[#This Row],[ASER_]],_xlfn._xlws.FILTER(PLANTILLA[[ASESOR]:[FECHA DE CESE]],PLANTILLA[FECHA]=_xlfn.CONCAT($M$3,"_",_xlfn.IFS($N$3="ENERO","1",$N$3="FEBRERO","2",$N$3="MARZO","3",$N$3="ABRIL","4",$N$3="MAYO","5",$N$3="JUNIO","6",$N$3="JULIO","7",$N$3="AGOSTO","8",$N$3="SETIEMBRE","9",$N$3="OCTUBRE","10",$N$3="NOVIEMBRE","11",$N$3="DICIEMBRE","12"))),8,0),"")</f>
        <v>S1</v>
      </c>
      <c r="AO45" s="54">
        <f>SUM(DATA_MAYO_2026[[#This Row],[15]:[30]])</f>
        <v>13035</v>
      </c>
      <c r="BX45" s="45" t="s">
        <v>636</v>
      </c>
      <c r="BY45" s="45" t="s">
        <v>125</v>
      </c>
      <c r="BZ45" s="45" t="s">
        <v>75</v>
      </c>
      <c r="CA45" s="55">
        <v>46177</v>
      </c>
      <c r="CB45" s="1">
        <f>IF(IND_JUNIO_2026[[#This Row],[IND_CANTFalta]]=1,0,IF(1-(IND_JUNIO_2026[[#This Row],[IND_Tardanza Tiempo]]*100%/0.166666666666667)&lt;0,0,1-(IND_JUNIO_2026[[#This Row],[IND_Tardanza Tiempo]]*100%/0.166666666666667)))</f>
        <v>0.99243055555555559</v>
      </c>
      <c r="CC45" s="45"/>
      <c r="CD45" s="93">
        <v>1.261574074074074E-3</v>
      </c>
      <c r="CE45">
        <v>16</v>
      </c>
      <c r="CF45">
        <v>1</v>
      </c>
      <c r="CG45" s="1">
        <f>IFERROR(IND_JUNIO_2026[[#This Row],[IND_PDP]]/IND_JUNIO_2026[[#This Row],[IND_CEF Unico]],"")</f>
        <v>6.25E-2</v>
      </c>
      <c r="CH45">
        <v>2000</v>
      </c>
      <c r="CJ45" s="1">
        <f>IFERROR(IND_JUNIO_2026[[#This Row],[IND_Recupero]]/IND_JUNIO_2026[[#This Row],[IND_MontoPDP]],"")</f>
        <v>0</v>
      </c>
      <c r="CK45" s="1" t="str">
        <f>IFERROR(IND_JUNIO_2026[[#This Row],[IND_MontoPDP]]/IND_JUNIO_2026[[#This Row],[DK]],"")</f>
        <v/>
      </c>
      <c r="CL45" t="s">
        <v>548</v>
      </c>
      <c r="CM45">
        <f>IFERROR(IND_JUNIO_2026[[#This Row],[IND_MontoPDP]]/IND_JUNIO_2026[[#This Row],[IND_PDP]],"")</f>
        <v>2000</v>
      </c>
    </row>
    <row r="46" spans="1:91" x14ac:dyDescent="0.25">
      <c r="A46" s="34" t="str" cm="1">
        <f t="array" ref="A46">IFERROR(VLOOKUP(D1_MAYO_2026[[#This Row],[ASESOR_CRR]],_xlfn._xlws.FILTER(PLANTILLA[[ASESOR]:[FECHA DE CESE]],PLANTILLA[FECHA]=_xlfn.CONCAT($M$3,"_",_xlfn.IFS($N$3="ENERO","1",$N$3="FEBRERO","2",$N$3="MARZO","3",$N$3="ABRIL","4",$N$3="MAYO","5",$N$3="JUNIO","6",$N$3="JULIO","7",$N$3="AGOSTO","8",$N$3="SETIEMBRE","9",$N$3="OCTUBRE","10",$N$3="NOVIEMBRE","11",$N$3="DICIEMBRE","12"))),3,0),"")</f>
        <v>LEONOR</v>
      </c>
      <c r="B46" s="34" t="str" cm="1">
        <f t="array" ref="B4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JIMENA MEDINA</v>
      </c>
      <c r="C46" s="34" cm="1">
        <f t="array" ref="C46">_xlfn.XLOOKUP(1,(TablaMeta[CONCAT]=$M$3&amp;$N$3&amp;D1_MAYO_2026[[#This Row],[SUPER]])*(TablaMeta[SEGG]=D1_MAYO_2026[[#This Row],[SEGMENTO]]),TablaMeta[Meta_Asesor])</f>
        <v>12000</v>
      </c>
      <c r="D46" s="35">
        <f>IF(D1_MAYO_2026[[#This Row],[RECUPERO]]="VACACIONES","VACACIONES",IFERROR(D1_MAYO_2026[[#This Row],[RECUPERO]]/D1_MAYO_2026[[#This Row],[META]],""))</f>
        <v>0.58574999999999999</v>
      </c>
      <c r="E46" s="35" t="str">
        <f>D1_MAYO_2026[[#This Row],[SUPER]]</f>
        <v>LEONOR</v>
      </c>
      <c r="F46" t="s">
        <v>631</v>
      </c>
      <c r="G46" s="3">
        <v>7029</v>
      </c>
      <c r="H46" cm="1">
        <f t="array" ref="H46">IFERROR(VLOOKUP(D1_MAYO_2026[[#This Row],[ASESOR_CRR]],_xlfn._xlws.FILTER(PLANTILLA[[ASESOR]:[FECHA DE CESE]],PLANTILLA[FECHA]=_xlfn.CONCAT($M$3,"_",_xlfn.IFS($N$3="ENERO","1",$N$3="FEBRERO","2",$N$3="MARZO","3",$N$3="ABRIL","4",$N$3="MAYO","5",$N$3="JUNIO","6",$N$3="JULIO","7",$N$3="AGOSTO","8",$N$3="SETIEMBRE","9",$N$3="OCTUBRE","10",$N$3="NOVIEMBRE","11",$N$3="DICIEMBRE","12"))),2,0),"")</f>
        <v>70988976</v>
      </c>
      <c r="I46" s="55" cm="1">
        <f t="array" ref="I46">IFERROR(VLOOKUP(D1_MAYO_2026[[#This Row],[ASESOR_CRR]],_xlfn._xlws.FILTER(PLANTILLA[[ASESOR]:[FECHA DE CESE]],PLANTILLA[FECHA]=_xlfn.CONCAT($M$3,"_",_xlfn.IFS($N$3="ENERO","1",$N$3="FEBRERO","2",$N$3="MARZO","3",$N$3="ABRIL","4",$N$3="MAYO","5",$N$3="JUNIO","6",$N$3="JULIO","7",$N$3="AGOSTO","8",$N$3="SETIEMBRE","9",$N$3="OCTUBRE","10",$N$3="NOVIEMBRE","11",$N$3="DICIEMBRE","12"))),6,0),"")</f>
        <v>45112</v>
      </c>
      <c r="J46" s="55" t="str" cm="1">
        <f t="array" ref="J46">IFERROR(VLOOKUP(D1_MAYO_2026[[#This Row],[ASESOR_CRR]],_xlfn._xlws.FILTER(PLANTILLA[[ASESOR]:[FECHA DE CESE]],PLANTILLA[FECHA]=_xlfn.CONCAT($M$3,"_",_xlfn.IFS($N$3="ENERO","1",$N$3="FEBRERO","2",$N$3="MARZO","3",$N$3="ABRIL","4",$N$3="MAYO","5",$N$3="JUNIO","6",$N$3="JULIO","7",$N$3="AGOSTO","8",$N$3="SETIEMBRE","9",$N$3="OCTUBRE","10",$N$3="NOVIEMBRE","11",$N$3="DICIEMBRE","12"))),4,0),"")</f>
        <v>CALL</v>
      </c>
      <c r="K46" s="55" t="str" cm="1">
        <f t="array" ref="K46">IFERROR(VLOOKUP(D1_MAYO_2026[[#This Row],[ASESOR_CRR]],_xlfn._xlws.FILTER(PLANTILLA[[ASESOR]:[FECHA DE CESE]],PLANTILLA[FECHA]=_xlfn.CONCAT($M$3,"_",_xlfn.IFS($N$3="ENERO","1",$N$3="FEBRERO","2",$N$3="MARZO","3",$N$3="ABRIL","4",$N$3="MAYO","5",$N$3="JUNIO","6",$N$3="JULIO","7",$N$3="AGOSTO","8",$N$3="SETIEMBRE","9",$N$3="OCTUBRE","10",$N$3="NOVIEMBRE","11",$N$3="DICIEMBRE","12"))),8,0),"")</f>
        <v>S2</v>
      </c>
      <c r="L46" s="55"/>
      <c r="M46" s="5">
        <f>DATA_MAYO_2026[[#This Row],[RECUPERO]]/DATA_MAYO_2026[[#This Row],[META]]</f>
        <v>4.0677966101694912E-2</v>
      </c>
      <c r="N46" s="5">
        <f>6-ROUNDUP(_xlfn.RANK.EQ(DATA_MAYO_2026[[#This Row],[AL_AC]],DATA_MAYO_2026[AL_AC],0)/(COUNTA(DATA_MAYO_2026[AL_AC])/5),0)</f>
        <v>1</v>
      </c>
      <c r="O46" s="54" t="str">
        <f>IFERROR(VLOOKUP(DATA_MAYO_2026[[#This Row],[ASER_]],$B:$G,4,0),"")</f>
        <v>JOHAN</v>
      </c>
      <c r="P46" s="6">
        <f>VLOOKUP(DATA_MAYO_2026[[#This Row],[ASER_]],D1_MAYO_2026[[ASESOR_CRR]:[RECUPERO]],6,0)</f>
        <v>1200</v>
      </c>
      <c r="Q46" s="6">
        <f>VLOOKUP(DATA_MAYO_2026[[#This Row],[ASER_]],D1_MAYO_2026[[ASESOR_CRR]:[META]],2,0)</f>
        <v>29500</v>
      </c>
      <c r="R46" t="s">
        <v>51</v>
      </c>
      <c r="S46">
        <v>0</v>
      </c>
      <c r="T46">
        <v>0</v>
      </c>
      <c r="U46">
        <v>0</v>
      </c>
      <c r="V46">
        <v>0</v>
      </c>
      <c r="W46">
        <v>0</v>
      </c>
      <c r="X46" s="5">
        <v>0</v>
      </c>
      <c r="Y46" s="6">
        <v>0</v>
      </c>
      <c r="Z46" s="6">
        <v>0</v>
      </c>
      <c r="AA46" s="6">
        <v>0</v>
      </c>
      <c r="AB46" s="6">
        <v>0</v>
      </c>
      <c r="AC46" s="6">
        <v>1200</v>
      </c>
      <c r="AD46" s="6">
        <v>0</v>
      </c>
      <c r="AE46" s="6">
        <v>0</v>
      </c>
      <c r="AF46" s="6">
        <v>0</v>
      </c>
      <c r="AG46" s="6">
        <v>0</v>
      </c>
      <c r="AH46" s="6">
        <v>0</v>
      </c>
      <c r="AI46" s="6">
        <v>0</v>
      </c>
      <c r="AJ46" s="6"/>
      <c r="AK46" s="6"/>
      <c r="AL46" s="6"/>
      <c r="AM46" s="6"/>
      <c r="AN46" s="54" t="str" cm="1">
        <f t="array" ref="AN46">IFERROR(VLOOKUP(DATA_MAYO_2026[[#This Row],[ASER_]],_xlfn._xlws.FILTER(PLANTILLA[[ASESOR]:[FECHA DE CESE]],PLANTILLA[FECHA]=_xlfn.CONCAT($M$3,"_",_xlfn.IFS($N$3="ENERO","1",$N$3="FEBRERO","2",$N$3="MARZO","3",$N$3="ABRIL","4",$N$3="MAYO","5",$N$3="JUNIO","6",$N$3="JULIO","7",$N$3="AGOSTO","8",$N$3="SETIEMBRE","9",$N$3="OCTUBRE","10",$N$3="NOVIEMBRE","11",$N$3="DICIEMBRE","12"))),8,0),"")</f>
        <v>S1</v>
      </c>
      <c r="AO46" s="54">
        <f>SUM(DATA_MAYO_2026[[#This Row],[15]:[30]])</f>
        <v>1200</v>
      </c>
      <c r="BX46" s="45" t="s">
        <v>636</v>
      </c>
      <c r="BY46" s="45" t="s">
        <v>125</v>
      </c>
      <c r="BZ46" s="45" t="s">
        <v>75</v>
      </c>
      <c r="CA46" s="55">
        <v>46178</v>
      </c>
      <c r="CB46" s="1">
        <f>IF(IND_JUNIO_2026[[#This Row],[IND_CANTFalta]]=1,0,IF(1-(IND_JUNIO_2026[[#This Row],[IND_Tardanza Tiempo]]*100%/0.166666666666667)&lt;0,0,1-(IND_JUNIO_2026[[#This Row],[IND_Tardanza Tiempo]]*100%/0.166666666666667)))</f>
        <v>0.99729166666666669</v>
      </c>
      <c r="CC46" s="45"/>
      <c r="CD46" s="93">
        <v>4.5138888888888887E-4</v>
      </c>
      <c r="CE46">
        <v>4</v>
      </c>
      <c r="CG46" s="1">
        <f>IFERROR(IND_JUNIO_2026[[#This Row],[IND_PDP]]/IND_JUNIO_2026[[#This Row],[IND_CEF Unico]],"")</f>
        <v>0</v>
      </c>
      <c r="CJ46" s="1" t="str">
        <f>IFERROR(IND_JUNIO_2026[[#This Row],[IND_Recupero]]/IND_JUNIO_2026[[#This Row],[IND_MontoPDP]],"")</f>
        <v/>
      </c>
      <c r="CK46" s="1" t="str">
        <f>IFERROR(IND_JUNIO_2026[[#This Row],[IND_MontoPDP]]/IND_JUNIO_2026[[#This Row],[DK]],"")</f>
        <v/>
      </c>
      <c r="CL46" t="s">
        <v>548</v>
      </c>
      <c r="CM46" t="str">
        <f>IFERROR(IND_JUNIO_2026[[#This Row],[IND_MontoPDP]]/IND_JUNIO_2026[[#This Row],[IND_PDP]],"")</f>
        <v/>
      </c>
    </row>
    <row r="47" spans="1:91" x14ac:dyDescent="0.25">
      <c r="A47" s="34" t="str" cm="1">
        <f t="array" ref="A47">IFERROR(VLOOKUP(D1_MAYO_2026[[#This Row],[ASESOR_CRR]],_xlfn._xlws.FILTER(PLANTILLA[[ASESOR]:[FECHA DE CESE]],PLANTILLA[FECHA]=_xlfn.CONCAT($M$3,"_",_xlfn.IFS($N$3="ENERO","1",$N$3="FEBRERO","2",$N$3="MARZO","3",$N$3="ABRIL","4",$N$3="MAYO","5",$N$3="JUNIO","6",$N$3="JULIO","7",$N$3="AGOSTO","8",$N$3="SETIEMBRE","9",$N$3="OCTUBRE","10",$N$3="NOVIEMBRE","11",$N$3="DICIEMBRE","12"))),3,0),"")</f>
        <v>LEONOR</v>
      </c>
      <c r="B47" s="34" t="str" cm="1">
        <f t="array" ref="B4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KIARA CANEPA</v>
      </c>
      <c r="C47" s="34" cm="1">
        <f t="array" ref="C47">_xlfn.XLOOKUP(1,(TablaMeta[CONCAT]=$M$3&amp;$N$3&amp;D1_MAYO_2026[[#This Row],[SUPER]])*(TablaMeta[SEGG]=D1_MAYO_2026[[#This Row],[SEGMENTO]]),TablaMeta[Meta_Asesor])</f>
        <v>12000</v>
      </c>
      <c r="D47" s="35">
        <f>IF(D1_MAYO_2026[[#This Row],[RECUPERO]]="VACACIONES","VACACIONES",IFERROR(D1_MAYO_2026[[#This Row],[RECUPERO]]/D1_MAYO_2026[[#This Row],[META]],""))</f>
        <v>0.51433333333333331</v>
      </c>
      <c r="E47" s="35" t="str">
        <f>D1_MAYO_2026[[#This Row],[SUPER]]</f>
        <v>LEONOR</v>
      </c>
      <c r="F47" t="s">
        <v>633</v>
      </c>
      <c r="G47" s="3">
        <v>6172</v>
      </c>
      <c r="H47" cm="1">
        <f t="array" ref="H47">IFERROR(VLOOKUP(D1_MAYO_2026[[#This Row],[ASESOR_CRR]],_xlfn._xlws.FILTER(PLANTILLA[[ASESOR]:[FECHA DE CESE]],PLANTILLA[FECHA]=_xlfn.CONCAT($M$3,"_",_xlfn.IFS($N$3="ENERO","1",$N$3="FEBRERO","2",$N$3="MARZO","3",$N$3="ABRIL","4",$N$3="MAYO","5",$N$3="JUNIO","6",$N$3="JULIO","7",$N$3="AGOSTO","8",$N$3="SETIEMBRE","9",$N$3="OCTUBRE","10",$N$3="NOVIEMBRE","11",$N$3="DICIEMBRE","12"))),2,0),"")</f>
        <v>72733809</v>
      </c>
      <c r="I47" s="55" cm="1">
        <f t="array" ref="I47">IFERROR(VLOOKUP(D1_MAYO_2026[[#This Row],[ASESOR_CRR]],_xlfn._xlws.FILTER(PLANTILLA[[ASESOR]:[FECHA DE CESE]],PLANTILLA[FECHA]=_xlfn.CONCAT($M$3,"_",_xlfn.IFS($N$3="ENERO","1",$N$3="FEBRERO","2",$N$3="MARZO","3",$N$3="ABRIL","4",$N$3="MAYO","5",$N$3="JUNIO","6",$N$3="JULIO","7",$N$3="AGOSTO","8",$N$3="SETIEMBRE","9",$N$3="OCTUBRE","10",$N$3="NOVIEMBRE","11",$N$3="DICIEMBRE","12"))),6,0),"")</f>
        <v>45789</v>
      </c>
      <c r="J47" s="55" t="str" cm="1">
        <f t="array" ref="J47">IFERROR(VLOOKUP(D1_MAYO_2026[[#This Row],[ASESOR_CRR]],_xlfn._xlws.FILTER(PLANTILLA[[ASESOR]:[FECHA DE CESE]],PLANTILLA[FECHA]=_xlfn.CONCAT($M$3,"_",_xlfn.IFS($N$3="ENERO","1",$N$3="FEBRERO","2",$N$3="MARZO","3",$N$3="ABRIL","4",$N$3="MAYO","5",$N$3="JUNIO","6",$N$3="JULIO","7",$N$3="AGOSTO","8",$N$3="SETIEMBRE","9",$N$3="OCTUBRE","10",$N$3="NOVIEMBRE","11",$N$3="DICIEMBRE","12"))),4,0),"")</f>
        <v>CALL</v>
      </c>
      <c r="K47" s="55" t="str" cm="1">
        <f t="array" ref="K47">IFERROR(VLOOKUP(D1_MAYO_2026[[#This Row],[ASESOR_CRR]],_xlfn._xlws.FILTER(PLANTILLA[[ASESOR]:[FECHA DE CESE]],PLANTILLA[FECHA]=_xlfn.CONCAT($M$3,"_",_xlfn.IFS($N$3="ENERO","1",$N$3="FEBRERO","2",$N$3="MARZO","3",$N$3="ABRIL","4",$N$3="MAYO","5",$N$3="JUNIO","6",$N$3="JULIO","7",$N$3="AGOSTO","8",$N$3="SETIEMBRE","9",$N$3="OCTUBRE","10",$N$3="NOVIEMBRE","11",$N$3="DICIEMBRE","12"))),8,0),"")</f>
        <v>S2</v>
      </c>
      <c r="L47" s="55"/>
      <c r="M47" s="5">
        <f>DATA_MAYO_2026[[#This Row],[RECUPERO]]/DATA_MAYO_2026[[#This Row],[META]]</f>
        <v>0.20416666666666666</v>
      </c>
      <c r="N47" s="5">
        <f>6-ROUNDUP(_xlfn.RANK.EQ(DATA_MAYO_2026[[#This Row],[AL_AC]],DATA_MAYO_2026[AL_AC],0)/(COUNTA(DATA_MAYO_2026[AL_AC])/5),0)</f>
        <v>1</v>
      </c>
      <c r="O47" s="54" t="str">
        <f>IFERROR(VLOOKUP(DATA_MAYO_2026[[#This Row],[ASER_]],$B:$G,4,0),"")</f>
        <v>LEONOR</v>
      </c>
      <c r="P47" s="6">
        <f>VLOOKUP(DATA_MAYO_2026[[#This Row],[ASER_]],D1_MAYO_2026[[ASESOR_CRR]:[RECUPERO]],6,0)</f>
        <v>2450</v>
      </c>
      <c r="Q47" s="6">
        <f>VLOOKUP(DATA_MAYO_2026[[#This Row],[ASER_]],D1_MAYO_2026[[ASESOR_CRR]:[META]],2,0)</f>
        <v>12000</v>
      </c>
      <c r="R47" t="s">
        <v>49</v>
      </c>
      <c r="S47">
        <v>220</v>
      </c>
      <c r="T47">
        <v>0</v>
      </c>
      <c r="U47">
        <v>0</v>
      </c>
      <c r="V47">
        <v>500</v>
      </c>
      <c r="W47">
        <v>0</v>
      </c>
      <c r="X47" s="5">
        <v>0</v>
      </c>
      <c r="Y47" s="6">
        <v>400</v>
      </c>
      <c r="Z47" s="6">
        <v>0</v>
      </c>
      <c r="AA47" s="6">
        <v>400</v>
      </c>
      <c r="AB47" s="6">
        <v>0</v>
      </c>
      <c r="AC47" s="6">
        <v>150</v>
      </c>
      <c r="AD47" s="6">
        <v>0</v>
      </c>
      <c r="AE47" s="6">
        <v>0</v>
      </c>
      <c r="AF47" s="6">
        <v>450</v>
      </c>
      <c r="AG47" s="6">
        <v>330</v>
      </c>
      <c r="AH47" s="6">
        <v>0</v>
      </c>
      <c r="AI47" s="6">
        <v>0</v>
      </c>
      <c r="AJ47" s="6"/>
      <c r="AK47" s="6"/>
      <c r="AL47" s="6"/>
      <c r="AM47" s="6"/>
      <c r="AN47" s="54" t="str" cm="1">
        <f t="array" ref="AN47">IFERROR(VLOOKUP(DATA_MAYO_2026[[#This Row],[ASER_]],_xlfn._xlws.FILTER(PLANTILLA[[ASESOR]:[FECHA DE CESE]],PLANTILLA[FECHA]=_xlfn.CONCAT($M$3,"_",_xlfn.IFS($N$3="ENERO","1",$N$3="FEBRERO","2",$N$3="MARZO","3",$N$3="ABRIL","4",$N$3="MAYO","5",$N$3="JUNIO","6",$N$3="JULIO","7",$N$3="AGOSTO","8",$N$3="SETIEMBRE","9",$N$3="OCTUBRE","10",$N$3="NOVIEMBRE","11",$N$3="DICIEMBRE","12"))),8,0),"")</f>
        <v>S2</v>
      </c>
      <c r="AO47" s="54">
        <f>SUM(DATA_MAYO_2026[[#This Row],[15]:[30]])</f>
        <v>930</v>
      </c>
      <c r="BX47" s="45" t="s">
        <v>636</v>
      </c>
      <c r="BY47" s="45" t="s">
        <v>2</v>
      </c>
      <c r="BZ47" s="45" t="s">
        <v>15</v>
      </c>
      <c r="CA47" s="55">
        <v>46175</v>
      </c>
      <c r="CB47" s="1">
        <f>IF(IND_JUNIO_2026[[#This Row],[IND_CANTFalta]]=1,0,IF(1-(IND_JUNIO_2026[[#This Row],[IND_Tardanza Tiempo]]*100%/0.166666666666667)&lt;0,0,1-(IND_JUNIO_2026[[#This Row],[IND_Tardanza Tiempo]]*100%/0.166666666666667)))</f>
        <v>0.99986111111111109</v>
      </c>
      <c r="CC47" s="45"/>
      <c r="CD47" s="93">
        <v>2.3148148148148147E-5</v>
      </c>
      <c r="CE47">
        <v>32</v>
      </c>
      <c r="CF47">
        <v>14</v>
      </c>
      <c r="CG47" s="1">
        <f>IFERROR(IND_JUNIO_2026[[#This Row],[IND_PDP]]/IND_JUNIO_2026[[#This Row],[IND_CEF Unico]],"")</f>
        <v>0.4375</v>
      </c>
      <c r="CH47">
        <v>9695</v>
      </c>
      <c r="CJ47" s="1">
        <f>IFERROR(IND_JUNIO_2026[[#This Row],[IND_Recupero]]/IND_JUNIO_2026[[#This Row],[IND_MontoPDP]],"")</f>
        <v>0</v>
      </c>
      <c r="CK47" s="1" t="str">
        <f>IFERROR(IND_JUNIO_2026[[#This Row],[IND_MontoPDP]]/IND_JUNIO_2026[[#This Row],[DK]],"")</f>
        <v/>
      </c>
      <c r="CL47" t="s">
        <v>548</v>
      </c>
      <c r="CM47">
        <f>IFERROR(IND_JUNIO_2026[[#This Row],[IND_MontoPDP]]/IND_JUNIO_2026[[#This Row],[IND_PDP]],"")</f>
        <v>692.5</v>
      </c>
    </row>
    <row r="48" spans="1:91" x14ac:dyDescent="0.25">
      <c r="A48" s="34" t="str" cm="1">
        <f t="array" ref="A48">IFERROR(VLOOKUP(D1_MAYO_2026[[#This Row],[ASESOR_CRR]],_xlfn._xlws.FILTER(PLANTILLA[[ASESOR]:[FECHA DE CESE]],PLANTILLA[FECHA]=_xlfn.CONCAT($M$3,"_",_xlfn.IFS($N$3="ENERO","1",$N$3="FEBRERO","2",$N$3="MARZO","3",$N$3="ABRIL","4",$N$3="MAYO","5",$N$3="JUNIO","6",$N$3="JULIO","7",$N$3="AGOSTO","8",$N$3="SETIEMBRE","9",$N$3="OCTUBRE","10",$N$3="NOVIEMBRE","11",$N$3="DICIEMBRE","12"))),3,0),"")</f>
        <v>LEONOR</v>
      </c>
      <c r="B48" s="34" t="str" cm="1">
        <f t="array" ref="B4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FERNANDA APAZA</v>
      </c>
      <c r="C48" s="34" cm="1">
        <f t="array" ref="C48">_xlfn.XLOOKUP(1,(TablaMeta[CONCAT]=$M$3&amp;$N$3&amp;D1_MAYO_2026[[#This Row],[SUPER]])*(TablaMeta[SEGG]=D1_MAYO_2026[[#This Row],[SEGMENTO]]),TablaMeta[Meta_Asesor])</f>
        <v>12000</v>
      </c>
      <c r="D48" s="35">
        <f>IF(D1_MAYO_2026[[#This Row],[RECUPERO]]="VACACIONES","VACACIONES",IFERROR(D1_MAYO_2026[[#This Row],[RECUPERO]]/D1_MAYO_2026[[#This Row],[META]],""))</f>
        <v>0.43841666666666668</v>
      </c>
      <c r="E48" s="35" t="str">
        <f>D1_MAYO_2026[[#This Row],[SUPER]]</f>
        <v>LEONOR</v>
      </c>
      <c r="F48" t="s">
        <v>603</v>
      </c>
      <c r="G48" s="3">
        <v>5261</v>
      </c>
      <c r="H48" cm="1">
        <f t="array" ref="H48">IFERROR(VLOOKUP(D1_MAYO_2026[[#This Row],[ASESOR_CRR]],_xlfn._xlws.FILTER(PLANTILLA[[ASESOR]:[FECHA DE CESE]],PLANTILLA[FECHA]=_xlfn.CONCAT($M$3,"_",_xlfn.IFS($N$3="ENERO","1",$N$3="FEBRERO","2",$N$3="MARZO","3",$N$3="ABRIL","4",$N$3="MAYO","5",$N$3="JUNIO","6",$N$3="JULIO","7",$N$3="AGOSTO","8",$N$3="SETIEMBRE","9",$N$3="OCTUBRE","10",$N$3="NOVIEMBRE","11",$N$3="DICIEMBRE","12"))),2,0),"")</f>
        <v>73623874</v>
      </c>
      <c r="I48" s="55" cm="1">
        <f t="array" ref="I48">IFERROR(VLOOKUP(D1_MAYO_2026[[#This Row],[ASESOR_CRR]],_xlfn._xlws.FILTER(PLANTILLA[[ASESOR]:[FECHA DE CESE]],PLANTILLA[FECHA]=_xlfn.CONCAT($M$3,"_",_xlfn.IFS($N$3="ENERO","1",$N$3="FEBRERO","2",$N$3="MARZO","3",$N$3="ABRIL","4",$N$3="MAYO","5",$N$3="JUNIO","6",$N$3="JULIO","7",$N$3="AGOSTO","8",$N$3="SETIEMBRE","9",$N$3="OCTUBRE","10",$N$3="NOVIEMBRE","11",$N$3="DICIEMBRE","12"))),6,0),"")</f>
        <v>46139</v>
      </c>
      <c r="J48" s="55" t="str" cm="1">
        <f t="array" ref="J48">IFERROR(VLOOKUP(D1_MAYO_2026[[#This Row],[ASESOR_CRR]],_xlfn._xlws.FILTER(PLANTILLA[[ASESOR]:[FECHA DE CESE]],PLANTILLA[FECHA]=_xlfn.CONCAT($M$3,"_",_xlfn.IFS($N$3="ENERO","1",$N$3="FEBRERO","2",$N$3="MARZO","3",$N$3="ABRIL","4",$N$3="MAYO","5",$N$3="JUNIO","6",$N$3="JULIO","7",$N$3="AGOSTO","8",$N$3="SETIEMBRE","9",$N$3="OCTUBRE","10",$N$3="NOVIEMBRE","11",$N$3="DICIEMBRE","12"))),4,0),"")</f>
        <v>CALL</v>
      </c>
      <c r="K48" s="55" t="str" cm="1">
        <f t="array" ref="K48">IFERROR(VLOOKUP(D1_MAYO_2026[[#This Row],[ASESOR_CRR]],_xlfn._xlws.FILTER(PLANTILLA[[ASESOR]:[FECHA DE CESE]],PLANTILLA[FECHA]=_xlfn.CONCAT($M$3,"_",_xlfn.IFS($N$3="ENERO","1",$N$3="FEBRERO","2",$N$3="MARZO","3",$N$3="ABRIL","4",$N$3="MAYO","5",$N$3="JUNIO","6",$N$3="JULIO","7",$N$3="AGOSTO","8",$N$3="SETIEMBRE","9",$N$3="OCTUBRE","10",$N$3="NOVIEMBRE","11",$N$3="DICIEMBRE","12"))),8,0),"")</f>
        <v>S2</v>
      </c>
      <c r="L48" s="55"/>
      <c r="M48" s="5">
        <f>DATA_MAYO_2026[[#This Row],[RECUPERO]]/DATA_MAYO_2026[[#This Row],[META]]</f>
        <v>0.43841666666666668</v>
      </c>
      <c r="N48" s="5">
        <f>6-ROUNDUP(_xlfn.RANK.EQ(DATA_MAYO_2026[[#This Row],[AL_AC]],DATA_MAYO_2026[AL_AC],0)/(COUNTA(DATA_MAYO_2026[AL_AC])/5),0)</f>
        <v>3</v>
      </c>
      <c r="O48" s="54" t="str">
        <f>IFERROR(VLOOKUP(DATA_MAYO_2026[[#This Row],[ASER_]],$B:$G,4,0),"")</f>
        <v>LEONOR</v>
      </c>
      <c r="P48" s="6">
        <f>VLOOKUP(DATA_MAYO_2026[[#This Row],[ASER_]],D1_MAYO_2026[[ASESOR_CRR]:[RECUPERO]],6,0)</f>
        <v>5261</v>
      </c>
      <c r="Q48" s="6">
        <f>VLOOKUP(DATA_MAYO_2026[[#This Row],[ASER_]],D1_MAYO_2026[[ASESOR_CRR]:[META]],2,0)</f>
        <v>12000</v>
      </c>
      <c r="R48" t="s">
        <v>600</v>
      </c>
      <c r="S48">
        <v>750</v>
      </c>
      <c r="T48">
        <v>700</v>
      </c>
      <c r="U48">
        <v>0</v>
      </c>
      <c r="V48">
        <v>0</v>
      </c>
      <c r="W48">
        <v>1240</v>
      </c>
      <c r="X48" s="5">
        <v>0</v>
      </c>
      <c r="Y48" s="6">
        <v>0</v>
      </c>
      <c r="Z48" s="6">
        <v>150</v>
      </c>
      <c r="AA48" s="6">
        <v>810</v>
      </c>
      <c r="AB48" s="6">
        <v>0</v>
      </c>
      <c r="AC48" s="6">
        <v>0</v>
      </c>
      <c r="AD48" s="6">
        <v>0</v>
      </c>
      <c r="AE48" s="6">
        <v>0</v>
      </c>
      <c r="AF48" s="6">
        <v>280</v>
      </c>
      <c r="AG48" s="6">
        <v>481</v>
      </c>
      <c r="AH48" s="6">
        <v>850</v>
      </c>
      <c r="AI48" s="6">
        <v>0</v>
      </c>
      <c r="AJ48" s="6"/>
      <c r="AK48" s="6"/>
      <c r="AL48" s="6"/>
      <c r="AM48" s="6"/>
      <c r="AN48" s="54" t="str" cm="1">
        <f t="array" ref="AN48">IFERROR(VLOOKUP(DATA_MAYO_2026[[#This Row],[ASER_]],_xlfn._xlws.FILTER(PLANTILLA[[ASESOR]:[FECHA DE CESE]],PLANTILLA[FECHA]=_xlfn.CONCAT($M$3,"_",_xlfn.IFS($N$3="ENERO","1",$N$3="FEBRERO","2",$N$3="MARZO","3",$N$3="ABRIL","4",$N$3="MAYO","5",$N$3="JUNIO","6",$N$3="JULIO","7",$N$3="AGOSTO","8",$N$3="SETIEMBRE","9",$N$3="OCTUBRE","10",$N$3="NOVIEMBRE","11",$N$3="DICIEMBRE","12"))),8,0),"")</f>
        <v>S2</v>
      </c>
      <c r="AO48" s="54">
        <f>SUM(DATA_MAYO_2026[[#This Row],[15]:[30]])</f>
        <v>1611</v>
      </c>
      <c r="BX48" s="45" t="s">
        <v>636</v>
      </c>
      <c r="BY48" s="45" t="s">
        <v>2</v>
      </c>
      <c r="BZ48" s="45" t="s">
        <v>15</v>
      </c>
      <c r="CA48" s="55">
        <v>46176</v>
      </c>
      <c r="CB48" s="1">
        <f>IF(IND_JUNIO_2026[[#This Row],[IND_CANTFalta]]=1,0,IF(1-(IND_JUNIO_2026[[#This Row],[IND_Tardanza Tiempo]]*100%/0.166666666666667)&lt;0,0,1-(IND_JUNIO_2026[[#This Row],[IND_Tardanza Tiempo]]*100%/0.166666666666667)))</f>
        <v>0.99951388888888892</v>
      </c>
      <c r="CC48" s="45"/>
      <c r="CD48" s="93">
        <v>8.1018518518518516E-5</v>
      </c>
      <c r="CE48">
        <v>17</v>
      </c>
      <c r="CG48" s="1">
        <f>IFERROR(IND_JUNIO_2026[[#This Row],[IND_PDP]]/IND_JUNIO_2026[[#This Row],[IND_CEF Unico]],"")</f>
        <v>0</v>
      </c>
      <c r="CJ48" s="1" t="str">
        <f>IFERROR(IND_JUNIO_2026[[#This Row],[IND_Recupero]]/IND_JUNIO_2026[[#This Row],[IND_MontoPDP]],"")</f>
        <v/>
      </c>
      <c r="CK48" s="1" t="str">
        <f>IFERROR(IND_JUNIO_2026[[#This Row],[IND_MontoPDP]]/IND_JUNIO_2026[[#This Row],[DK]],"")</f>
        <v/>
      </c>
      <c r="CL48" t="s">
        <v>548</v>
      </c>
      <c r="CM48" t="str">
        <f>IFERROR(IND_JUNIO_2026[[#This Row],[IND_MontoPDP]]/IND_JUNIO_2026[[#This Row],[IND_PDP]],"")</f>
        <v/>
      </c>
    </row>
    <row r="49" spans="1:91" x14ac:dyDescent="0.25">
      <c r="A49" s="34" t="str" cm="1">
        <f t="array" ref="A49">IFERROR(VLOOKUP(D1_MAYO_2026[[#This Row],[ASESOR_CRR]],_xlfn._xlws.FILTER(PLANTILLA[[ASESOR]:[FECHA DE CESE]],PLANTILLA[FECHA]=_xlfn.CONCAT($M$3,"_",_xlfn.IFS($N$3="ENERO","1",$N$3="FEBRERO","2",$N$3="MARZO","3",$N$3="ABRIL","4",$N$3="MAYO","5",$N$3="JUNIO","6",$N$3="JULIO","7",$N$3="AGOSTO","8",$N$3="SETIEMBRE","9",$N$3="OCTUBRE","10",$N$3="NOVIEMBRE","11",$N$3="DICIEMBRE","12"))),3,0),"")</f>
        <v>LEONOR</v>
      </c>
      <c r="B49" s="34" t="str" cm="1">
        <f t="array" ref="B4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JOSELIN MONTALVO</v>
      </c>
      <c r="C49" s="34" cm="1">
        <f t="array" ref="C49">_xlfn.XLOOKUP(1,(TablaMeta[CONCAT]=$M$3&amp;$N$3&amp;D1_MAYO_2026[[#This Row],[SUPER]])*(TablaMeta[SEGG]=D1_MAYO_2026[[#This Row],[SEGMENTO]]),TablaMeta[Meta_Asesor])</f>
        <v>12000</v>
      </c>
      <c r="D49" s="35">
        <f>IF(D1_MAYO_2026[[#This Row],[RECUPERO]]="VACACIONES","VACACIONES",IFERROR(D1_MAYO_2026[[#This Row],[RECUPERO]]/D1_MAYO_2026[[#This Row],[META]],""))</f>
        <v>0.4325</v>
      </c>
      <c r="E49" s="35" t="str">
        <f>D1_MAYO_2026[[#This Row],[SUPER]]</f>
        <v>LEONOR</v>
      </c>
      <c r="F49" t="s">
        <v>549</v>
      </c>
      <c r="G49" s="3">
        <v>5190</v>
      </c>
      <c r="H49" cm="1">
        <f t="array" ref="H49">IFERROR(VLOOKUP(D1_MAYO_2026[[#This Row],[ASESOR_CRR]],_xlfn._xlws.FILTER(PLANTILLA[[ASESOR]:[FECHA DE CESE]],PLANTILLA[FECHA]=_xlfn.CONCAT($M$3,"_",_xlfn.IFS($N$3="ENERO","1",$N$3="FEBRERO","2",$N$3="MARZO","3",$N$3="ABRIL","4",$N$3="MAYO","5",$N$3="JUNIO","6",$N$3="JULIO","7",$N$3="AGOSTO","8",$N$3="SETIEMBRE","9",$N$3="OCTUBRE","10",$N$3="NOVIEMBRE","11",$N$3="DICIEMBRE","12"))),2,0),"")</f>
        <v>73233992</v>
      </c>
      <c r="I49" s="55" cm="1">
        <f t="array" ref="I49">IFERROR(VLOOKUP(D1_MAYO_2026[[#This Row],[ASESOR_CRR]],_xlfn._xlws.FILTER(PLANTILLA[[ASESOR]:[FECHA DE CESE]],PLANTILLA[FECHA]=_xlfn.CONCAT($M$3,"_",_xlfn.IFS($N$3="ENERO","1",$N$3="FEBRERO","2",$N$3="MARZO","3",$N$3="ABRIL","4",$N$3="MAYO","5",$N$3="JUNIO","6",$N$3="JULIO","7",$N$3="AGOSTO","8",$N$3="SETIEMBRE","9",$N$3="OCTUBRE","10",$N$3="NOVIEMBRE","11",$N$3="DICIEMBRE","12"))),6,0),"")</f>
        <v>46065</v>
      </c>
      <c r="J49" s="55" t="str" cm="1">
        <f t="array" ref="J49">IFERROR(VLOOKUP(D1_MAYO_2026[[#This Row],[ASESOR_CRR]],_xlfn._xlws.FILTER(PLANTILLA[[ASESOR]:[FECHA DE CESE]],PLANTILLA[FECHA]=_xlfn.CONCAT($M$3,"_",_xlfn.IFS($N$3="ENERO","1",$N$3="FEBRERO","2",$N$3="MARZO","3",$N$3="ABRIL","4",$N$3="MAYO","5",$N$3="JUNIO","6",$N$3="JULIO","7",$N$3="AGOSTO","8",$N$3="SETIEMBRE","9",$N$3="OCTUBRE","10",$N$3="NOVIEMBRE","11",$N$3="DICIEMBRE","12"))),4,0),"")</f>
        <v>CALL</v>
      </c>
      <c r="K49" s="55" t="str" cm="1">
        <f t="array" ref="K49">IFERROR(VLOOKUP(D1_MAYO_2026[[#This Row],[ASESOR_CRR]],_xlfn._xlws.FILTER(PLANTILLA[[ASESOR]:[FECHA DE CESE]],PLANTILLA[FECHA]=_xlfn.CONCAT($M$3,"_",_xlfn.IFS($N$3="ENERO","1",$N$3="FEBRERO","2",$N$3="MARZO","3",$N$3="ABRIL","4",$N$3="MAYO","5",$N$3="JUNIO","6",$N$3="JULIO","7",$N$3="AGOSTO","8",$N$3="SETIEMBRE","9",$N$3="OCTUBRE","10",$N$3="NOVIEMBRE","11",$N$3="DICIEMBRE","12"))),8,0),"")</f>
        <v>S2</v>
      </c>
      <c r="L49" s="55"/>
      <c r="M49" s="5">
        <f>DATA_MAYO_2026[[#This Row],[RECUPERO]]/DATA_MAYO_2026[[#This Row],[META]]</f>
        <v>0.51433333333333331</v>
      </c>
      <c r="N49" s="5">
        <f>6-ROUNDUP(_xlfn.RANK.EQ(DATA_MAYO_2026[[#This Row],[AL_AC]],DATA_MAYO_2026[AL_AC],0)/(COUNTA(DATA_MAYO_2026[AL_AC])/5),0)</f>
        <v>3</v>
      </c>
      <c r="O49" s="54" t="str">
        <f>IFERROR(VLOOKUP(DATA_MAYO_2026[[#This Row],[ASER_]],$B:$G,4,0),"")</f>
        <v>LEONOR</v>
      </c>
      <c r="P49" s="6">
        <f>VLOOKUP(DATA_MAYO_2026[[#This Row],[ASER_]],D1_MAYO_2026[[ASESOR_CRR]:[RECUPERO]],6,0)</f>
        <v>6172</v>
      </c>
      <c r="Q49" s="6">
        <f>VLOOKUP(DATA_MAYO_2026[[#This Row],[ASER_]],D1_MAYO_2026[[ASESOR_CRR]:[META]],2,0)</f>
        <v>12000</v>
      </c>
      <c r="R49" t="s">
        <v>50</v>
      </c>
      <c r="S49">
        <v>0</v>
      </c>
      <c r="T49">
        <v>0</v>
      </c>
      <c r="U49">
        <v>0</v>
      </c>
      <c r="V49">
        <v>500</v>
      </c>
      <c r="W49">
        <v>72</v>
      </c>
      <c r="X49" s="5">
        <v>0</v>
      </c>
      <c r="Y49" s="6">
        <v>0</v>
      </c>
      <c r="Z49" s="6">
        <v>0</v>
      </c>
      <c r="AA49" s="6">
        <v>0</v>
      </c>
      <c r="AB49" s="6">
        <v>0</v>
      </c>
      <c r="AC49" s="6">
        <v>200</v>
      </c>
      <c r="AD49" s="6">
        <v>0</v>
      </c>
      <c r="AE49" s="6">
        <v>0</v>
      </c>
      <c r="AF49" s="6">
        <v>250</v>
      </c>
      <c r="AG49" s="6">
        <v>1300</v>
      </c>
      <c r="AH49" s="6">
        <v>850</v>
      </c>
      <c r="AI49" s="6">
        <v>3000</v>
      </c>
      <c r="AJ49" s="6"/>
      <c r="AK49" s="6"/>
      <c r="AL49" s="6"/>
      <c r="AM49" s="6"/>
      <c r="AN49" s="54" t="str" cm="1">
        <f t="array" ref="AN49">IFERROR(VLOOKUP(DATA_MAYO_2026[[#This Row],[ASER_]],_xlfn._xlws.FILTER(PLANTILLA[[ASESOR]:[FECHA DE CESE]],PLANTILLA[FECHA]=_xlfn.CONCAT($M$3,"_",_xlfn.IFS($N$3="ENERO","1",$N$3="FEBRERO","2",$N$3="MARZO","3",$N$3="ABRIL","4",$N$3="MAYO","5",$N$3="JUNIO","6",$N$3="JULIO","7",$N$3="AGOSTO","8",$N$3="SETIEMBRE","9",$N$3="OCTUBRE","10",$N$3="NOVIEMBRE","11",$N$3="DICIEMBRE","12"))),8,0),"")</f>
        <v>S2</v>
      </c>
      <c r="AO49" s="54">
        <f>SUM(DATA_MAYO_2026[[#This Row],[15]:[30]])</f>
        <v>5600</v>
      </c>
      <c r="BX49" s="45" t="s">
        <v>636</v>
      </c>
      <c r="BY49" s="45" t="s">
        <v>2</v>
      </c>
      <c r="BZ49" s="45" t="s">
        <v>15</v>
      </c>
      <c r="CA49" s="55">
        <v>46177</v>
      </c>
      <c r="CB49" s="1">
        <f>IF(IND_JUNIO_2026[[#This Row],[IND_CANTFalta]]=1,0,IF(1-(IND_JUNIO_2026[[#This Row],[IND_Tardanza Tiempo]]*100%/0.166666666666667)&lt;0,0,1-(IND_JUNIO_2026[[#This Row],[IND_Tardanza Tiempo]]*100%/0.166666666666667)))</f>
        <v>0.99972222222222218</v>
      </c>
      <c r="CC49" s="45"/>
      <c r="CD49" s="93">
        <v>4.6296296296296294E-5</v>
      </c>
      <c r="CE49">
        <v>24</v>
      </c>
      <c r="CG49" s="1">
        <f>IFERROR(IND_JUNIO_2026[[#This Row],[IND_PDP]]/IND_JUNIO_2026[[#This Row],[IND_CEF Unico]],"")</f>
        <v>0</v>
      </c>
      <c r="CJ49" s="1" t="str">
        <f>IFERROR(IND_JUNIO_2026[[#This Row],[IND_Recupero]]/IND_JUNIO_2026[[#This Row],[IND_MontoPDP]],"")</f>
        <v/>
      </c>
      <c r="CK49" s="1" t="str">
        <f>IFERROR(IND_JUNIO_2026[[#This Row],[IND_MontoPDP]]/IND_JUNIO_2026[[#This Row],[DK]],"")</f>
        <v/>
      </c>
      <c r="CL49" t="s">
        <v>548</v>
      </c>
      <c r="CM49" t="str">
        <f>IFERROR(IND_JUNIO_2026[[#This Row],[IND_MontoPDP]]/IND_JUNIO_2026[[#This Row],[IND_PDP]],"")</f>
        <v/>
      </c>
    </row>
    <row r="50" spans="1:91" x14ac:dyDescent="0.25">
      <c r="A50" s="34" t="str" cm="1">
        <f t="array" ref="A50">IFERROR(VLOOKUP(D1_MAYO_2026[[#This Row],[ASESOR_CRR]],_xlfn._xlws.FILTER(PLANTILLA[[ASESOR]:[FECHA DE CESE]],PLANTILLA[FECHA]=_xlfn.CONCAT($M$3,"_",_xlfn.IFS($N$3="ENERO","1",$N$3="FEBRERO","2",$N$3="MARZO","3",$N$3="ABRIL","4",$N$3="MAYO","5",$N$3="JUNIO","6",$N$3="JULIO","7",$N$3="AGOSTO","8",$N$3="SETIEMBRE","9",$N$3="OCTUBRE","10",$N$3="NOVIEMBRE","11",$N$3="DICIEMBRE","12"))),3,0),"")</f>
        <v>LEONOR</v>
      </c>
      <c r="B50" s="34" t="str" cm="1">
        <f t="array" ref="B5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KATHERINE QUISPE</v>
      </c>
      <c r="C50" s="34" cm="1">
        <f t="array" ref="C50">_xlfn.XLOOKUP(1,(TablaMeta[CONCAT]=$M$3&amp;$N$3&amp;D1_MAYO_2026[[#This Row],[SUPER]])*(TablaMeta[SEGG]=D1_MAYO_2026[[#This Row],[SEGMENTO]]),TablaMeta[Meta_Asesor])</f>
        <v>12000</v>
      </c>
      <c r="D50" s="35">
        <f>IF(D1_MAYO_2026[[#This Row],[RECUPERO]]="VACACIONES","VACACIONES",IFERROR(D1_MAYO_2026[[#This Row],[RECUPERO]]/D1_MAYO_2026[[#This Row],[META]],""))</f>
        <v>0.40633333333333332</v>
      </c>
      <c r="E50" s="35" t="str">
        <f>D1_MAYO_2026[[#This Row],[SUPER]]</f>
        <v>LEONOR</v>
      </c>
      <c r="F50" t="s">
        <v>630</v>
      </c>
      <c r="G50" s="3">
        <v>4876</v>
      </c>
      <c r="H50" cm="1">
        <f t="array" ref="H50">IFERROR(VLOOKUP(D1_MAYO_2026[[#This Row],[ASESOR_CRR]],_xlfn._xlws.FILTER(PLANTILLA[[ASESOR]:[FECHA DE CESE]],PLANTILLA[FECHA]=_xlfn.CONCAT($M$3,"_",_xlfn.IFS($N$3="ENERO","1",$N$3="FEBRERO","2",$N$3="MARZO","3",$N$3="ABRIL","4",$N$3="MAYO","5",$N$3="JUNIO","6",$N$3="JULIO","7",$N$3="AGOSTO","8",$N$3="SETIEMBRE","9",$N$3="OCTUBRE","10",$N$3="NOVIEMBRE","11",$N$3="DICIEMBRE","12"))),2,0),"")</f>
        <v>72505926</v>
      </c>
      <c r="I50" s="55" cm="1">
        <f t="array" ref="I50">IFERROR(VLOOKUP(D1_MAYO_2026[[#This Row],[ASESOR_CRR]],_xlfn._xlws.FILTER(PLANTILLA[[ASESOR]:[FECHA DE CESE]],PLANTILLA[FECHA]=_xlfn.CONCAT($M$3,"_",_xlfn.IFS($N$3="ENERO","1",$N$3="FEBRERO","2",$N$3="MARZO","3",$N$3="ABRIL","4",$N$3="MAYO","5",$N$3="JUNIO","6",$N$3="JULIO","7",$N$3="AGOSTO","8",$N$3="SETIEMBRE","9",$N$3="OCTUBRE","10",$N$3="NOVIEMBRE","11",$N$3="DICIEMBRE","12"))),6,0),"")</f>
        <v>46175</v>
      </c>
      <c r="J50" s="55" t="str" cm="1">
        <f t="array" ref="J50">IFERROR(VLOOKUP(D1_MAYO_2026[[#This Row],[ASESOR_CRR]],_xlfn._xlws.FILTER(PLANTILLA[[ASESOR]:[FECHA DE CESE]],PLANTILLA[FECHA]=_xlfn.CONCAT($M$3,"_",_xlfn.IFS($N$3="ENERO","1",$N$3="FEBRERO","2",$N$3="MARZO","3",$N$3="ABRIL","4",$N$3="MAYO","5",$N$3="JUNIO","6",$N$3="JULIO","7",$N$3="AGOSTO","8",$N$3="SETIEMBRE","9",$N$3="OCTUBRE","10",$N$3="NOVIEMBRE","11",$N$3="DICIEMBRE","12"))),4,0),"")</f>
        <v>CALL</v>
      </c>
      <c r="K50" s="55" t="str" cm="1">
        <f t="array" ref="K50">IFERROR(VLOOKUP(D1_MAYO_2026[[#This Row],[ASESOR_CRR]],_xlfn._xlws.FILTER(PLANTILLA[[ASESOR]:[FECHA DE CESE]],PLANTILLA[FECHA]=_xlfn.CONCAT($M$3,"_",_xlfn.IFS($N$3="ENERO","1",$N$3="FEBRERO","2",$N$3="MARZO","3",$N$3="ABRIL","4",$N$3="MAYO","5",$N$3="JUNIO","6",$N$3="JULIO","7",$N$3="AGOSTO","8",$N$3="SETIEMBRE","9",$N$3="OCTUBRE","10",$N$3="NOVIEMBRE","11",$N$3="DICIEMBRE","12"))),8,0),"")</f>
        <v>S2</v>
      </c>
      <c r="L50" s="55"/>
      <c r="M50" s="5">
        <f>DATA_MAYO_2026[[#This Row],[RECUPERO]]/DATA_MAYO_2026[[#This Row],[META]]</f>
        <v>0.62316666666666665</v>
      </c>
      <c r="N50" s="5">
        <f>6-ROUNDUP(_xlfn.RANK.EQ(DATA_MAYO_2026[[#This Row],[AL_AC]],DATA_MAYO_2026[AL_AC],0)/(COUNTA(DATA_MAYO_2026[AL_AC])/5),0)</f>
        <v>4</v>
      </c>
      <c r="O50" s="54" t="str">
        <f>IFERROR(VLOOKUP(DATA_MAYO_2026[[#This Row],[ASER_]],$B:$G,4,0),"")</f>
        <v>LEONOR</v>
      </c>
      <c r="P50" s="6">
        <f>VLOOKUP(DATA_MAYO_2026[[#This Row],[ASER_]],D1_MAYO_2026[[ASESOR_CRR]:[RECUPERO]],6,0)</f>
        <v>7478</v>
      </c>
      <c r="Q50" s="6">
        <f>VLOOKUP(DATA_MAYO_2026[[#This Row],[ASER_]],D1_MAYO_2026[[ASESOR_CRR]:[META]],2,0)</f>
        <v>12000</v>
      </c>
      <c r="R50" t="s">
        <v>73</v>
      </c>
      <c r="S50">
        <v>0</v>
      </c>
      <c r="T50">
        <v>0</v>
      </c>
      <c r="U50">
        <v>950</v>
      </c>
      <c r="V50">
        <v>0</v>
      </c>
      <c r="W50">
        <v>0</v>
      </c>
      <c r="X50" s="5">
        <v>0</v>
      </c>
      <c r="Y50" s="6">
        <v>2500</v>
      </c>
      <c r="Z50" s="6">
        <v>300</v>
      </c>
      <c r="AA50" s="6">
        <v>0</v>
      </c>
      <c r="AB50" s="6">
        <v>750</v>
      </c>
      <c r="AC50" s="6">
        <v>400</v>
      </c>
      <c r="AD50" s="6">
        <v>1500</v>
      </c>
      <c r="AE50" s="6">
        <v>0</v>
      </c>
      <c r="AF50" s="6">
        <v>550</v>
      </c>
      <c r="AG50" s="6">
        <v>300</v>
      </c>
      <c r="AH50" s="6">
        <v>228</v>
      </c>
      <c r="AI50" s="6">
        <v>0</v>
      </c>
      <c r="AJ50" s="6"/>
      <c r="AK50" s="6"/>
      <c r="AL50" s="6"/>
      <c r="AM50" s="6"/>
      <c r="AN50" s="54" t="str" cm="1">
        <f t="array" ref="AN50">IFERROR(VLOOKUP(DATA_MAYO_2026[[#This Row],[ASER_]],_xlfn._xlws.FILTER(PLANTILLA[[ASESOR]:[FECHA DE CESE]],PLANTILLA[FECHA]=_xlfn.CONCAT($M$3,"_",_xlfn.IFS($N$3="ENERO","1",$N$3="FEBRERO","2",$N$3="MARZO","3",$N$3="ABRIL","4",$N$3="MAYO","5",$N$3="JUNIO","6",$N$3="JULIO","7",$N$3="AGOSTO","8",$N$3="SETIEMBRE","9",$N$3="OCTUBRE","10",$N$3="NOVIEMBRE","11",$N$3="DICIEMBRE","12"))),8,0),"")</f>
        <v>S2</v>
      </c>
      <c r="AO50" s="54">
        <f>SUM(DATA_MAYO_2026[[#This Row],[15]:[30]])</f>
        <v>2978</v>
      </c>
      <c r="BX50" s="45" t="s">
        <v>636</v>
      </c>
      <c r="BY50" s="45" t="s">
        <v>2</v>
      </c>
      <c r="BZ50" s="45" t="s">
        <v>15</v>
      </c>
      <c r="CA50" s="55">
        <v>46178</v>
      </c>
      <c r="CB50" s="1">
        <f>IF(IND_JUNIO_2026[[#This Row],[IND_CANTFalta]]=1,0,IF(1-(IND_JUNIO_2026[[#This Row],[IND_Tardanza Tiempo]]*100%/0.166666666666667)&lt;0,0,1-(IND_JUNIO_2026[[#This Row],[IND_Tardanza Tiempo]]*100%/0.166666666666667)))</f>
        <v>0.99979166666666663</v>
      </c>
      <c r="CC50" s="45"/>
      <c r="CD50" s="93">
        <v>3.4722222222222222E-5</v>
      </c>
      <c r="CE50">
        <v>7</v>
      </c>
      <c r="CG50" s="1">
        <f>IFERROR(IND_JUNIO_2026[[#This Row],[IND_PDP]]/IND_JUNIO_2026[[#This Row],[IND_CEF Unico]],"")</f>
        <v>0</v>
      </c>
      <c r="CJ50" s="1" t="str">
        <f>IFERROR(IND_JUNIO_2026[[#This Row],[IND_Recupero]]/IND_JUNIO_2026[[#This Row],[IND_MontoPDP]],"")</f>
        <v/>
      </c>
      <c r="CK50" s="1" t="str">
        <f>IFERROR(IND_JUNIO_2026[[#This Row],[IND_MontoPDP]]/IND_JUNIO_2026[[#This Row],[DK]],"")</f>
        <v/>
      </c>
      <c r="CL50" t="s">
        <v>548</v>
      </c>
      <c r="CM50" t="str">
        <f>IFERROR(IND_JUNIO_2026[[#This Row],[IND_MontoPDP]]/IND_JUNIO_2026[[#This Row],[IND_PDP]],"")</f>
        <v/>
      </c>
    </row>
    <row r="51" spans="1:91" x14ac:dyDescent="0.25">
      <c r="A51" s="34" t="str" cm="1">
        <f t="array" ref="A51">IFERROR(VLOOKUP(D1_MAYO_2026[[#This Row],[ASESOR_CRR]],_xlfn._xlws.FILTER(PLANTILLA[[ASESOR]:[FECHA DE CESE]],PLANTILLA[FECHA]=_xlfn.CONCAT($M$3,"_",_xlfn.IFS($N$3="ENERO","1",$N$3="FEBRERO","2",$N$3="MARZO","3",$N$3="ABRIL","4",$N$3="MAYO","5",$N$3="JUNIO","6",$N$3="JULIO","7",$N$3="AGOSTO","8",$N$3="SETIEMBRE","9",$N$3="OCTUBRE","10",$N$3="NOVIEMBRE","11",$N$3="DICIEMBRE","12"))),3,0),"")</f>
        <v>LEONOR</v>
      </c>
      <c r="B51" s="34" t="str" cm="1">
        <f t="array" ref="B5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MAYRA AVALOS</v>
      </c>
      <c r="C51" s="34" cm="1">
        <f t="array" ref="C51">_xlfn.XLOOKUP(1,(TablaMeta[CONCAT]=$M$3&amp;$N$3&amp;D1_MAYO_2026[[#This Row],[SUPER]])*(TablaMeta[SEGG]=D1_MAYO_2026[[#This Row],[SEGMENTO]]),TablaMeta[Meta_Asesor])</f>
        <v>12000</v>
      </c>
      <c r="D51" s="35">
        <f>IF(D1_MAYO_2026[[#This Row],[RECUPERO]]="VACACIONES","VACACIONES",IFERROR(D1_MAYO_2026[[#This Row],[RECUPERO]]/D1_MAYO_2026[[#This Row],[META]],""))</f>
        <v>0.33958333333333335</v>
      </c>
      <c r="E51" s="35" t="str">
        <f>D1_MAYO_2026[[#This Row],[SUPER]]</f>
        <v>LEONOR</v>
      </c>
      <c r="F51" t="s">
        <v>55</v>
      </c>
      <c r="G51" s="3">
        <v>4075</v>
      </c>
      <c r="H51" cm="1">
        <f t="array" ref="H51">IFERROR(VLOOKUP(D1_MAYO_2026[[#This Row],[ASESOR_CRR]],_xlfn._xlws.FILTER(PLANTILLA[[ASESOR]:[FECHA DE CESE]],PLANTILLA[FECHA]=_xlfn.CONCAT($M$3,"_",_xlfn.IFS($N$3="ENERO","1",$N$3="FEBRERO","2",$N$3="MARZO","3",$N$3="ABRIL","4",$N$3="MAYO","5",$N$3="JUNIO","6",$N$3="JULIO","7",$N$3="AGOSTO","8",$N$3="SETIEMBRE","9",$N$3="OCTUBRE","10",$N$3="NOVIEMBRE","11",$N$3="DICIEMBRE","12"))),2,0),"")</f>
        <v>45119892</v>
      </c>
      <c r="I51" s="55" cm="1">
        <f t="array" ref="I51">IFERROR(VLOOKUP(D1_MAYO_2026[[#This Row],[ASESOR_CRR]],_xlfn._xlws.FILTER(PLANTILLA[[ASESOR]:[FECHA DE CESE]],PLANTILLA[FECHA]=_xlfn.CONCAT($M$3,"_",_xlfn.IFS($N$3="ENERO","1",$N$3="FEBRERO","2",$N$3="MARZO","3",$N$3="ABRIL","4",$N$3="MAYO","5",$N$3="JUNIO","6",$N$3="JULIO","7",$N$3="AGOSTO","8",$N$3="SETIEMBRE","9",$N$3="OCTUBRE","10",$N$3="NOVIEMBRE","11",$N$3="DICIEMBRE","12"))),6,0),"")</f>
        <v>45813</v>
      </c>
      <c r="J51" s="55" t="str" cm="1">
        <f t="array" ref="J51">IFERROR(VLOOKUP(D1_MAYO_2026[[#This Row],[ASESOR_CRR]],_xlfn._xlws.FILTER(PLANTILLA[[ASESOR]:[FECHA DE CESE]],PLANTILLA[FECHA]=_xlfn.CONCAT($M$3,"_",_xlfn.IFS($N$3="ENERO","1",$N$3="FEBRERO","2",$N$3="MARZO","3",$N$3="ABRIL","4",$N$3="MAYO","5",$N$3="JUNIO","6",$N$3="JULIO","7",$N$3="AGOSTO","8",$N$3="SETIEMBRE","9",$N$3="OCTUBRE","10",$N$3="NOVIEMBRE","11",$N$3="DICIEMBRE","12"))),4,0),"")</f>
        <v>CALL</v>
      </c>
      <c r="K51" s="55" t="str" cm="1">
        <f t="array" ref="K51">IFERROR(VLOOKUP(D1_MAYO_2026[[#This Row],[ASESOR_CRR]],_xlfn._xlws.FILTER(PLANTILLA[[ASESOR]:[FECHA DE CESE]],PLANTILLA[FECHA]=_xlfn.CONCAT($M$3,"_",_xlfn.IFS($N$3="ENERO","1",$N$3="FEBRERO","2",$N$3="MARZO","3",$N$3="ABRIL","4",$N$3="MAYO","5",$N$3="JUNIO","6",$N$3="JULIO","7",$N$3="AGOSTO","8",$N$3="SETIEMBRE","9",$N$3="OCTUBRE","10",$N$3="NOVIEMBRE","11",$N$3="DICIEMBRE","12"))),8,0),"")</f>
        <v>S2</v>
      </c>
      <c r="L51" s="55"/>
      <c r="M51" s="5">
        <f>DATA_MAYO_2026[[#This Row],[RECUPERO]]/DATA_MAYO_2026[[#This Row],[META]]</f>
        <v>0.16991666666666666</v>
      </c>
      <c r="N51" s="5">
        <f>6-ROUNDUP(_xlfn.RANK.EQ(DATA_MAYO_2026[[#This Row],[AL_AC]],DATA_MAYO_2026[AL_AC],0)/(COUNTA(DATA_MAYO_2026[AL_AC])/5),0)</f>
        <v>1</v>
      </c>
      <c r="O51" s="54" t="str">
        <f>IFERROR(VLOOKUP(DATA_MAYO_2026[[#This Row],[ASER_]],$B:$G,4,0),"")</f>
        <v>LEONOR</v>
      </c>
      <c r="P51" s="6">
        <f>VLOOKUP(DATA_MAYO_2026[[#This Row],[ASER_]],D1_MAYO_2026[[ASESOR_CRR]:[RECUPERO]],6,0)</f>
        <v>2039</v>
      </c>
      <c r="Q51" s="6">
        <f>VLOOKUP(DATA_MAYO_2026[[#This Row],[ASER_]],D1_MAYO_2026[[ASESOR_CRR]:[META]],2,0)</f>
        <v>12000</v>
      </c>
      <c r="R51" t="s">
        <v>599</v>
      </c>
      <c r="S51">
        <v>0</v>
      </c>
      <c r="T51">
        <v>300</v>
      </c>
      <c r="U51">
        <v>350</v>
      </c>
      <c r="V51">
        <v>295</v>
      </c>
      <c r="W51">
        <v>0</v>
      </c>
      <c r="X51" s="5">
        <v>225</v>
      </c>
      <c r="Y51" s="6">
        <v>0</v>
      </c>
      <c r="Z51" s="6">
        <v>0</v>
      </c>
      <c r="AA51" s="6">
        <v>0</v>
      </c>
      <c r="AB51" s="6">
        <v>170</v>
      </c>
      <c r="AC51" s="6">
        <v>0</v>
      </c>
      <c r="AD51" s="6">
        <v>0</v>
      </c>
      <c r="AE51" s="6">
        <v>0</v>
      </c>
      <c r="AF51" s="6">
        <v>0</v>
      </c>
      <c r="AG51" s="6">
        <v>479</v>
      </c>
      <c r="AH51" s="6">
        <v>0</v>
      </c>
      <c r="AI51" s="6">
        <v>220</v>
      </c>
      <c r="AJ51" s="6"/>
      <c r="AK51" s="6"/>
      <c r="AL51" s="6"/>
      <c r="AM51" s="6"/>
      <c r="AN51" s="54" t="str" cm="1">
        <f t="array" ref="AN51">IFERROR(VLOOKUP(DATA_MAYO_2026[[#This Row],[ASER_]],_xlfn._xlws.FILTER(PLANTILLA[[ASESOR]:[FECHA DE CESE]],PLANTILLA[FECHA]=_xlfn.CONCAT($M$3,"_",_xlfn.IFS($N$3="ENERO","1",$N$3="FEBRERO","2",$N$3="MARZO","3",$N$3="ABRIL","4",$N$3="MAYO","5",$N$3="JUNIO","6",$N$3="JULIO","7",$N$3="AGOSTO","8",$N$3="SETIEMBRE","9",$N$3="OCTUBRE","10",$N$3="NOVIEMBRE","11",$N$3="DICIEMBRE","12"))),8,0),"")</f>
        <v>S2</v>
      </c>
      <c r="AO51" s="54">
        <f>SUM(DATA_MAYO_2026[[#This Row],[15]:[30]])</f>
        <v>699</v>
      </c>
      <c r="BX51" s="45" t="s">
        <v>636</v>
      </c>
      <c r="BY51" s="45" t="s">
        <v>2</v>
      </c>
      <c r="BZ51" s="45" t="s">
        <v>24</v>
      </c>
      <c r="CA51" s="55">
        <v>46175</v>
      </c>
      <c r="CB51" s="1">
        <f>IF(IND_JUNIO_2026[[#This Row],[IND_CANTFalta]]=1,0,IF(1-(IND_JUNIO_2026[[#This Row],[IND_Tardanza Tiempo]]*100%/0.166666666666667)&lt;0,0,1-(IND_JUNIO_2026[[#This Row],[IND_Tardanza Tiempo]]*100%/0.166666666666667)))</f>
        <v>0.99916666666666665</v>
      </c>
      <c r="CC51" s="45"/>
      <c r="CD51" s="93">
        <v>1.3888888888888889E-4</v>
      </c>
      <c r="CE51">
        <v>25</v>
      </c>
      <c r="CF51">
        <v>2</v>
      </c>
      <c r="CG51" s="1">
        <f>IFERROR(IND_JUNIO_2026[[#This Row],[IND_PDP]]/IND_JUNIO_2026[[#This Row],[IND_CEF Unico]],"")</f>
        <v>0.08</v>
      </c>
      <c r="CH51">
        <v>2360</v>
      </c>
      <c r="CI51">
        <v>100</v>
      </c>
      <c r="CJ51" s="1">
        <f>IFERROR(IND_JUNIO_2026[[#This Row],[IND_Recupero]]/IND_JUNIO_2026[[#This Row],[IND_MontoPDP]],"")</f>
        <v>4.2372881355932202E-2</v>
      </c>
      <c r="CK51" s="1">
        <f>IFERROR(IND_JUNIO_2026[[#This Row],[IND_MontoPDP]]/IND_JUNIO_2026[[#This Row],[DK]],"")</f>
        <v>1.6199999999999999E-2</v>
      </c>
      <c r="CL51">
        <v>145679.01234567902</v>
      </c>
      <c r="CM51">
        <f>IFERROR(IND_JUNIO_2026[[#This Row],[IND_MontoPDP]]/IND_JUNIO_2026[[#This Row],[IND_PDP]],"")</f>
        <v>1180</v>
      </c>
    </row>
    <row r="52" spans="1:91" x14ac:dyDescent="0.25">
      <c r="A52" s="34" t="str" cm="1">
        <f t="array" ref="A52">IFERROR(VLOOKUP(D1_MAYO_2026[[#This Row],[ASESOR_CRR]],_xlfn._xlws.FILTER(PLANTILLA[[ASESOR]:[FECHA DE CESE]],PLANTILLA[FECHA]=_xlfn.CONCAT($M$3,"_",_xlfn.IFS($N$3="ENERO","1",$N$3="FEBRERO","2",$N$3="MARZO","3",$N$3="ABRIL","4",$N$3="MAYO","5",$N$3="JUNIO","6",$N$3="JULIO","7",$N$3="AGOSTO","8",$N$3="SETIEMBRE","9",$N$3="OCTUBRE","10",$N$3="NOVIEMBRE","11",$N$3="DICIEMBRE","12"))),3,0),"")</f>
        <v>LEONOR</v>
      </c>
      <c r="B52" s="34" t="str" cm="1">
        <f t="array" ref="B5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JANETH PORTOCARRERO</v>
      </c>
      <c r="C52" s="34" cm="1">
        <f t="array" ref="C52">_xlfn.XLOOKUP(1,(TablaMeta[CONCAT]=$M$3&amp;$N$3&amp;D1_MAYO_2026[[#This Row],[SUPER]])*(TablaMeta[SEGG]=D1_MAYO_2026[[#This Row],[SEGMENTO]]),TablaMeta[Meta_Asesor])</f>
        <v>12000</v>
      </c>
      <c r="D52" s="35">
        <f>IF(D1_MAYO_2026[[#This Row],[RECUPERO]]="VACACIONES","VACACIONES",IFERROR(D1_MAYO_2026[[#This Row],[RECUPERO]]/D1_MAYO_2026[[#This Row],[META]],""))</f>
        <v>0.20416666666666666</v>
      </c>
      <c r="E52" s="35" t="str">
        <f>D1_MAYO_2026[[#This Row],[SUPER]]</f>
        <v>LEONOR</v>
      </c>
      <c r="F52" t="s">
        <v>49</v>
      </c>
      <c r="G52" s="3">
        <v>2450</v>
      </c>
      <c r="H52" cm="1">
        <f t="array" ref="H52">IFERROR(VLOOKUP(D1_MAYO_2026[[#This Row],[ASESOR_CRR]],_xlfn._xlws.FILTER(PLANTILLA[[ASESOR]:[FECHA DE CESE]],PLANTILLA[FECHA]=_xlfn.CONCAT($M$3,"_",_xlfn.IFS($N$3="ENERO","1",$N$3="FEBRERO","2",$N$3="MARZO","3",$N$3="ABRIL","4",$N$3="MAYO","5",$N$3="JUNIO","6",$N$3="JULIO","7",$N$3="AGOSTO","8",$N$3="SETIEMBRE","9",$N$3="OCTUBRE","10",$N$3="NOVIEMBRE","11",$N$3="DICIEMBRE","12"))),2,0),"")</f>
        <v>40702064</v>
      </c>
      <c r="I52" s="55" cm="1">
        <f t="array" ref="I52">IFERROR(VLOOKUP(D1_MAYO_2026[[#This Row],[ASESOR_CRR]],_xlfn._xlws.FILTER(PLANTILLA[[ASESOR]:[FECHA DE CESE]],PLANTILLA[FECHA]=_xlfn.CONCAT($M$3,"_",_xlfn.IFS($N$3="ENERO","1",$N$3="FEBRERO","2",$N$3="MARZO","3",$N$3="ABRIL","4",$N$3="MAYO","5",$N$3="JUNIO","6",$N$3="JULIO","7",$N$3="AGOSTO","8",$N$3="SETIEMBRE","9",$N$3="OCTUBRE","10",$N$3="NOVIEMBRE","11",$N$3="DICIEMBRE","12"))),6,0),"")</f>
        <v>43313</v>
      </c>
      <c r="J52" s="55" t="str" cm="1">
        <f t="array" ref="J52">IFERROR(VLOOKUP(D1_MAYO_2026[[#This Row],[ASESOR_CRR]],_xlfn._xlws.FILTER(PLANTILLA[[ASESOR]:[FECHA DE CESE]],PLANTILLA[FECHA]=_xlfn.CONCAT($M$3,"_",_xlfn.IFS($N$3="ENERO","1",$N$3="FEBRERO","2",$N$3="MARZO","3",$N$3="ABRIL","4",$N$3="MAYO","5",$N$3="JUNIO","6",$N$3="JULIO","7",$N$3="AGOSTO","8",$N$3="SETIEMBRE","9",$N$3="OCTUBRE","10",$N$3="NOVIEMBRE","11",$N$3="DICIEMBRE","12"))),4,0),"")</f>
        <v>CALL</v>
      </c>
      <c r="K52" s="55" t="str" cm="1">
        <f t="array" ref="K52">IFERROR(VLOOKUP(D1_MAYO_2026[[#This Row],[ASESOR_CRR]],_xlfn._xlws.FILTER(PLANTILLA[[ASESOR]:[FECHA DE CESE]],PLANTILLA[FECHA]=_xlfn.CONCAT($M$3,"_",_xlfn.IFS($N$3="ENERO","1",$N$3="FEBRERO","2",$N$3="MARZO","3",$N$3="ABRIL","4",$N$3="MAYO","5",$N$3="JUNIO","6",$N$3="JULIO","7",$N$3="AGOSTO","8",$N$3="SETIEMBRE","9",$N$3="OCTUBRE","10",$N$3="NOVIEMBRE","11",$N$3="DICIEMBRE","12"))),8,0),"")</f>
        <v>S2</v>
      </c>
      <c r="L52" s="55"/>
      <c r="M52" s="5">
        <f>DATA_MAYO_2026[[#This Row],[RECUPERO]]/DATA_MAYO_2026[[#This Row],[META]]</f>
        <v>0.13125000000000001</v>
      </c>
      <c r="N52" s="5">
        <f>6-ROUNDUP(_xlfn.RANK.EQ(DATA_MAYO_2026[[#This Row],[AL_AC]],DATA_MAYO_2026[AL_AC],0)/(COUNTA(DATA_MAYO_2026[AL_AC])/5),0)</f>
        <v>1</v>
      </c>
      <c r="O52" s="54" t="str">
        <f>IFERROR(VLOOKUP(DATA_MAYO_2026[[#This Row],[ASER_]],$B:$G,4,0),"")</f>
        <v>LEONOR</v>
      </c>
      <c r="P52" s="6">
        <f>VLOOKUP(DATA_MAYO_2026[[#This Row],[ASER_]],D1_MAYO_2026[[ASESOR_CRR]:[RECUPERO]],6,0)</f>
        <v>1575</v>
      </c>
      <c r="Q52" s="6">
        <f>VLOOKUP(DATA_MAYO_2026[[#This Row],[ASER_]],D1_MAYO_2026[[ASESOR_CRR]:[META]],2,0)</f>
        <v>12000</v>
      </c>
      <c r="R52" t="s">
        <v>77</v>
      </c>
      <c r="S52">
        <v>0</v>
      </c>
      <c r="T52">
        <v>0</v>
      </c>
      <c r="U52">
        <v>200</v>
      </c>
      <c r="V52">
        <v>600</v>
      </c>
      <c r="W52">
        <v>0</v>
      </c>
      <c r="X52" s="5">
        <v>351</v>
      </c>
      <c r="Y52" s="6">
        <v>0</v>
      </c>
      <c r="Z52" s="6">
        <v>0</v>
      </c>
      <c r="AA52" s="6">
        <v>0</v>
      </c>
      <c r="AB52" s="6">
        <v>0</v>
      </c>
      <c r="AC52" s="6">
        <v>424</v>
      </c>
      <c r="AD52" s="6">
        <v>0</v>
      </c>
      <c r="AE52" s="6">
        <v>0</v>
      </c>
      <c r="AF52" s="6">
        <v>0</v>
      </c>
      <c r="AG52" s="6">
        <v>0</v>
      </c>
      <c r="AH52" s="6">
        <v>0</v>
      </c>
      <c r="AI52" s="6">
        <v>0</v>
      </c>
      <c r="AJ52" s="6"/>
      <c r="AK52" s="6"/>
      <c r="AL52" s="6"/>
      <c r="AM52" s="6"/>
      <c r="AN52" s="54" t="str" cm="1">
        <f t="array" ref="AN52">IFERROR(VLOOKUP(DATA_MAYO_2026[[#This Row],[ASER_]],_xlfn._xlws.FILTER(PLANTILLA[[ASESOR]:[FECHA DE CESE]],PLANTILLA[FECHA]=_xlfn.CONCAT($M$3,"_",_xlfn.IFS($N$3="ENERO","1",$N$3="FEBRERO","2",$N$3="MARZO","3",$N$3="ABRIL","4",$N$3="MAYO","5",$N$3="JUNIO","6",$N$3="JULIO","7",$N$3="AGOSTO","8",$N$3="SETIEMBRE","9",$N$3="OCTUBRE","10",$N$3="NOVIEMBRE","11",$N$3="DICIEMBRE","12"))),8,0),"")</f>
        <v>S2</v>
      </c>
      <c r="AO52" s="54">
        <f>SUM(DATA_MAYO_2026[[#This Row],[15]:[30]])</f>
        <v>424</v>
      </c>
      <c r="BX52" s="45" t="s">
        <v>636</v>
      </c>
      <c r="BY52" s="45" t="s">
        <v>2</v>
      </c>
      <c r="BZ52" s="45" t="s">
        <v>13</v>
      </c>
      <c r="CA52" s="55">
        <v>46174</v>
      </c>
      <c r="CB52" s="1">
        <f>IF(IND_JUNIO_2026[[#This Row],[IND_CANTFalta]]=1,0,IF(1-(IND_JUNIO_2026[[#This Row],[IND_Tardanza Tiempo]]*100%/0.166666666666667)&lt;0,0,1-(IND_JUNIO_2026[[#This Row],[IND_Tardanza Tiempo]]*100%/0.166666666666667)))</f>
        <v>0.9992361111111111</v>
      </c>
      <c r="CC52" s="45"/>
      <c r="CD52" s="93">
        <v>1.273148148148148E-4</v>
      </c>
      <c r="CE52">
        <v>36</v>
      </c>
      <c r="CF52">
        <v>11</v>
      </c>
      <c r="CG52" s="1">
        <f>IFERROR(IND_JUNIO_2026[[#This Row],[IND_PDP]]/IND_JUNIO_2026[[#This Row],[IND_CEF Unico]],"")</f>
        <v>0.30555555555555558</v>
      </c>
      <c r="CH52">
        <v>17002</v>
      </c>
      <c r="CI52">
        <v>7700</v>
      </c>
      <c r="CJ52" s="1">
        <f>IFERROR(IND_JUNIO_2026[[#This Row],[IND_Recupero]]/IND_JUNIO_2026[[#This Row],[IND_MontoPDP]],"")</f>
        <v>0.452887895541701</v>
      </c>
      <c r="CK52" s="1">
        <f>IFERROR(IND_JUNIO_2026[[#This Row],[IND_MontoPDP]]/IND_JUNIO_2026[[#This Row],[DK]],"")</f>
        <v>0.24550000000000002</v>
      </c>
      <c r="CL52">
        <v>69254.582484725048</v>
      </c>
      <c r="CM52">
        <f>IFERROR(IND_JUNIO_2026[[#This Row],[IND_MontoPDP]]/IND_JUNIO_2026[[#This Row],[IND_PDP]],"")</f>
        <v>1545.6363636363637</v>
      </c>
    </row>
    <row r="53" spans="1:91" x14ac:dyDescent="0.25">
      <c r="A53" s="107" t="str" cm="1">
        <f t="array" ref="A53">IFERROR(VLOOKUP(D1_MAYO_2026[[#This Row],[ASESOR_CRR]],_xlfn._xlws.FILTER(PLANTILLA[[ASESOR]:[FECHA DE CESE]],PLANTILLA[FECHA]=_xlfn.CONCAT($M$3,"_",_xlfn.IFS($N$3="ENERO","1",$N$3="FEBRERO","2",$N$3="MARZO","3",$N$3="ABRIL","4",$N$3="MAYO","5",$N$3="JUNIO","6",$N$3="JULIO","7",$N$3="AGOSTO","8",$N$3="SETIEMBRE","9",$N$3="OCTUBRE","10",$N$3="NOVIEMBRE","11",$N$3="DICIEMBRE","12"))),3,0),"")</f>
        <v>LEONOR</v>
      </c>
      <c r="B53" s="107" t="str" cm="1">
        <f t="array" ref="B5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JEREMY RODRIGUEZ</v>
      </c>
      <c r="C53" s="107" cm="1">
        <f t="array" ref="C53">_xlfn.XLOOKUP(1,(TablaMeta[CONCAT]=$M$3&amp;$N$3&amp;D1_MAYO_2026[[#This Row],[SUPER]])*(TablaMeta[SEGG]=D1_MAYO_2026[[#This Row],[SEGMENTO]]),TablaMeta[Meta_Asesor])</f>
        <v>12000</v>
      </c>
      <c r="D53" s="108">
        <f>IF(D1_MAYO_2026[[#This Row],[RECUPERO]]="VACACIONES","VACACIONES",IFERROR(D1_MAYO_2026[[#This Row],[RECUPERO]]/D1_MAYO_2026[[#This Row],[META]],""))</f>
        <v>0.16991666666666666</v>
      </c>
      <c r="E53" s="35" t="str">
        <f>D1_MAYO_2026[[#This Row],[SUPER]]</f>
        <v>LEONOR</v>
      </c>
      <c r="F53" t="s">
        <v>632</v>
      </c>
      <c r="G53" s="3">
        <v>2039</v>
      </c>
      <c r="H53" s="109" cm="1">
        <f t="array" ref="H53">IFERROR(VLOOKUP(D1_MAYO_2026[[#This Row],[ASESOR_CRR]],_xlfn._xlws.FILTER(PLANTILLA[[ASESOR]:[FECHA DE CESE]],PLANTILLA[FECHA]=_xlfn.CONCAT($M$3,"_",_xlfn.IFS($N$3="ENERO","1",$N$3="FEBRERO","2",$N$3="MARZO","3",$N$3="ABRIL","4",$N$3="MAYO","5",$N$3="JUNIO","6",$N$3="JULIO","7",$N$3="AGOSTO","8",$N$3="SETIEMBRE","9",$N$3="OCTUBRE","10",$N$3="NOVIEMBRE","11",$N$3="DICIEMBRE","12"))),2,0),"")</f>
        <v>42227234</v>
      </c>
      <c r="I53" s="55" cm="1">
        <f t="array" ref="I53">IFERROR(VLOOKUP(D1_MAYO_2026[[#This Row],[ASESOR_CRR]],_xlfn._xlws.FILTER(PLANTILLA[[ASESOR]:[FECHA DE CESE]],PLANTILLA[FECHA]=_xlfn.CONCAT($M$3,"_",_xlfn.IFS($N$3="ENERO","1",$N$3="FEBRERO","2",$N$3="MARZO","3",$N$3="ABRIL","4",$N$3="MAYO","5",$N$3="JUNIO","6",$N$3="JULIO","7",$N$3="AGOSTO","8",$N$3="SETIEMBRE","9",$N$3="OCTUBRE","10",$N$3="NOVIEMBRE","11",$N$3="DICIEMBRE","12"))),6,0),"")</f>
        <v>46121</v>
      </c>
      <c r="J53" s="55" t="str" cm="1">
        <f t="array" ref="J53">IFERROR(VLOOKUP(D1_MAYO_2026[[#This Row],[ASESOR_CRR]],_xlfn._xlws.FILTER(PLANTILLA[[ASESOR]:[FECHA DE CESE]],PLANTILLA[FECHA]=_xlfn.CONCAT($M$3,"_",_xlfn.IFS($N$3="ENERO","1",$N$3="FEBRERO","2",$N$3="MARZO","3",$N$3="ABRIL","4",$N$3="MAYO","5",$N$3="JUNIO","6",$N$3="JULIO","7",$N$3="AGOSTO","8",$N$3="SETIEMBRE","9",$N$3="OCTUBRE","10",$N$3="NOVIEMBRE","11",$N$3="DICIEMBRE","12"))),4,0),"")</f>
        <v>CALL</v>
      </c>
      <c r="K53" s="55" t="str" cm="1">
        <f t="array" ref="K53">IFERROR(VLOOKUP(D1_MAYO_2026[[#This Row],[ASESOR_CRR]],_xlfn._xlws.FILTER(PLANTILLA[[ASESOR]:[FECHA DE CESE]],PLANTILLA[FECHA]=_xlfn.CONCAT($M$3,"_",_xlfn.IFS($N$3="ENERO","1",$N$3="FEBRERO","2",$N$3="MARZO","3",$N$3="ABRIL","4",$N$3="MAYO","5",$N$3="JUNIO","6",$N$3="JULIO","7",$N$3="AGOSTO","8",$N$3="SETIEMBRE","9",$N$3="OCTUBRE","10",$N$3="NOVIEMBRE","11",$N$3="DICIEMBRE","12"))),8,0),"")</f>
        <v>S2</v>
      </c>
      <c r="L53" s="55"/>
      <c r="M53" s="5">
        <f>DATA_MAYO_2026[[#This Row],[RECUPERO]]/DATA_MAYO_2026[[#This Row],[META]]</f>
        <v>0.33958333333333335</v>
      </c>
      <c r="N53" s="5">
        <f>6-ROUNDUP(_xlfn.RANK.EQ(DATA_MAYO_2026[[#This Row],[AL_AC]],DATA_MAYO_2026[AL_AC],0)/(COUNTA(DATA_MAYO_2026[AL_AC])/5),0)</f>
        <v>2</v>
      </c>
      <c r="O53" s="54" t="str">
        <f>IFERROR(VLOOKUP(DATA_MAYO_2026[[#This Row],[ASER_]],$B:$G,4,0),"")</f>
        <v>LEONOR</v>
      </c>
      <c r="P53" s="6">
        <f>VLOOKUP(DATA_MAYO_2026[[#This Row],[ASER_]],D1_MAYO_2026[[ASESOR_CRR]:[RECUPERO]],6,0)</f>
        <v>4075</v>
      </c>
      <c r="Q53" s="6">
        <f>VLOOKUP(DATA_MAYO_2026[[#This Row],[ASER_]],D1_MAYO_2026[[ASESOR_CRR]:[META]],2,0)</f>
        <v>12000</v>
      </c>
      <c r="R53" t="s">
        <v>55</v>
      </c>
      <c r="S53">
        <v>325</v>
      </c>
      <c r="T53">
        <v>0</v>
      </c>
      <c r="U53">
        <v>380</v>
      </c>
      <c r="V53">
        <v>300</v>
      </c>
      <c r="W53">
        <v>0</v>
      </c>
      <c r="X53">
        <v>290</v>
      </c>
      <c r="Y53">
        <v>500</v>
      </c>
      <c r="Z53">
        <v>600</v>
      </c>
      <c r="AA53">
        <v>0</v>
      </c>
      <c r="AB53" s="6">
        <v>230</v>
      </c>
      <c r="AC53" s="6">
        <v>150</v>
      </c>
      <c r="AD53" s="6">
        <v>700</v>
      </c>
      <c r="AE53" s="6">
        <v>0</v>
      </c>
      <c r="AF53" s="6">
        <v>0</v>
      </c>
      <c r="AG53" s="6">
        <v>0</v>
      </c>
      <c r="AH53" s="6">
        <v>400</v>
      </c>
      <c r="AI53" s="6">
        <v>200</v>
      </c>
      <c r="AJ53" s="6"/>
      <c r="AK53" s="6"/>
      <c r="AN53" s="54" t="str" cm="1">
        <f t="array" ref="AN53">IFERROR(VLOOKUP(DATA_MAYO_2026[[#This Row],[ASER_]],_xlfn._xlws.FILTER(PLANTILLA[[ASESOR]:[FECHA DE CESE]],PLANTILLA[FECHA]=_xlfn.CONCAT($M$3,"_",_xlfn.IFS($N$3="ENERO","1",$N$3="FEBRERO","2",$N$3="MARZO","3",$N$3="ABRIL","4",$N$3="MAYO","5",$N$3="JUNIO","6",$N$3="JULIO","7",$N$3="AGOSTO","8",$N$3="SETIEMBRE","9",$N$3="OCTUBRE","10",$N$3="NOVIEMBRE","11",$N$3="DICIEMBRE","12"))),8,0),"")</f>
        <v>S2</v>
      </c>
      <c r="AO53" s="54">
        <f>SUM(DATA_MAYO_2026[[#This Row],[15]:[30]])</f>
        <v>1450</v>
      </c>
      <c r="BX53" s="45" t="s">
        <v>636</v>
      </c>
      <c r="BY53" s="45" t="s">
        <v>2</v>
      </c>
      <c r="BZ53" s="45" t="s">
        <v>13</v>
      </c>
      <c r="CA53" s="55">
        <v>46177</v>
      </c>
      <c r="CB53" s="1">
        <f>IF(IND_JUNIO_2026[[#This Row],[IND_CANTFalta]]=1,0,IF(1-(IND_JUNIO_2026[[#This Row],[IND_Tardanza Tiempo]]*100%/0.166666666666667)&lt;0,0,1-(IND_JUNIO_2026[[#This Row],[IND_Tardanza Tiempo]]*100%/0.166666666666667)))</f>
        <v>0.99881944444444448</v>
      </c>
      <c r="CC53" s="45"/>
      <c r="CD53" s="93">
        <v>1.9675925925925926E-4</v>
      </c>
      <c r="CE53">
        <v>11</v>
      </c>
      <c r="CG53" s="1">
        <f>IFERROR(IND_JUNIO_2026[[#This Row],[IND_PDP]]/IND_JUNIO_2026[[#This Row],[IND_CEF Unico]],"")</f>
        <v>0</v>
      </c>
      <c r="CJ53" s="1" t="str">
        <f>IFERROR(IND_JUNIO_2026[[#This Row],[IND_Recupero]]/IND_JUNIO_2026[[#This Row],[IND_MontoPDP]],"")</f>
        <v/>
      </c>
      <c r="CK53" s="1" t="str">
        <f>IFERROR(IND_JUNIO_2026[[#This Row],[IND_MontoPDP]]/IND_JUNIO_2026[[#This Row],[DK]],"")</f>
        <v/>
      </c>
      <c r="CL53" t="s">
        <v>548</v>
      </c>
      <c r="CM53" t="str">
        <f>IFERROR(IND_JUNIO_2026[[#This Row],[IND_MontoPDP]]/IND_JUNIO_2026[[#This Row],[IND_PDP]],"")</f>
        <v/>
      </c>
    </row>
    <row r="54" spans="1:91" x14ac:dyDescent="0.25">
      <c r="A54" s="107" t="str" cm="1">
        <f t="array" ref="A54">IFERROR(VLOOKUP(D1_MAYO_2026[[#This Row],[ASESOR_CRR]],_xlfn._xlws.FILTER(PLANTILLA[[ASESOR]:[FECHA DE CESE]],PLANTILLA[FECHA]=_xlfn.CONCAT($M$3,"_",_xlfn.IFS($N$3="ENERO","1",$N$3="FEBRERO","2",$N$3="MARZO","3",$N$3="ABRIL","4",$N$3="MAYO","5",$N$3="JUNIO","6",$N$3="JULIO","7",$N$3="AGOSTO","8",$N$3="SETIEMBRE","9",$N$3="OCTUBRE","10",$N$3="NOVIEMBRE","11",$N$3="DICIEMBRE","12"))),3,0),"")</f>
        <v>LEONOR</v>
      </c>
      <c r="B54" s="107" t="str" cm="1">
        <f t="array" ref="B5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JUAN ALANOCCA</v>
      </c>
      <c r="C54" s="107" cm="1">
        <f t="array" ref="C54">_xlfn.XLOOKUP(1,(TablaMeta[CONCAT]=$M$3&amp;$N$3&amp;D1_MAYO_2026[[#This Row],[SUPER]])*(TablaMeta[SEGG]=D1_MAYO_2026[[#This Row],[SEGMENTO]]),TablaMeta[Meta_Asesor])</f>
        <v>12000</v>
      </c>
      <c r="D54" s="108">
        <f>IF(D1_MAYO_2026[[#This Row],[RECUPERO]]="VACACIONES","VACACIONES",IFERROR(D1_MAYO_2026[[#This Row],[RECUPERO]]/D1_MAYO_2026[[#This Row],[META]],""))</f>
        <v>0.13125000000000001</v>
      </c>
      <c r="E54" s="35" t="str">
        <f>D1_MAYO_2026[[#This Row],[SUPER]]</f>
        <v>LEONOR</v>
      </c>
      <c r="F54" t="s">
        <v>77</v>
      </c>
      <c r="G54" s="3">
        <v>1575</v>
      </c>
      <c r="H54" s="109" cm="1">
        <f t="array" ref="H54">IFERROR(VLOOKUP(D1_MAYO_2026[[#This Row],[ASESOR_CRR]],_xlfn._xlws.FILTER(PLANTILLA[[ASESOR]:[FECHA DE CESE]],PLANTILLA[FECHA]=_xlfn.CONCAT($M$3,"_",_xlfn.IFS($N$3="ENERO","1",$N$3="FEBRERO","2",$N$3="MARZO","3",$N$3="ABRIL","4",$N$3="MAYO","5",$N$3="JUNIO","6",$N$3="JULIO","7",$N$3="AGOSTO","8",$N$3="SETIEMBRE","9",$N$3="OCTUBRE","10",$N$3="NOVIEMBRE","11",$N$3="DICIEMBRE","12"))),2,0),"")</f>
        <v>42251780</v>
      </c>
      <c r="I54" s="55" cm="1">
        <f t="array" ref="I54">IFERROR(VLOOKUP(D1_MAYO_2026[[#This Row],[ASESOR_CRR]],_xlfn._xlws.FILTER(PLANTILLA[[ASESOR]:[FECHA DE CESE]],PLANTILLA[FECHA]=_xlfn.CONCAT($M$3,"_",_xlfn.IFS($N$3="ENERO","1",$N$3="FEBRERO","2",$N$3="MARZO","3",$N$3="ABRIL","4",$N$3="MAYO","5",$N$3="JUNIO","6",$N$3="JULIO","7",$N$3="AGOSTO","8",$N$3="SETIEMBRE","9",$N$3="OCTUBRE","10",$N$3="NOVIEMBRE","11",$N$3="DICIEMBRE","12"))),6,0),"")</f>
        <v>44838</v>
      </c>
      <c r="J54" s="55" t="str" cm="1">
        <f t="array" ref="J54">IFERROR(VLOOKUP(D1_MAYO_2026[[#This Row],[ASESOR_CRR]],_xlfn._xlws.FILTER(PLANTILLA[[ASESOR]:[FECHA DE CESE]],PLANTILLA[FECHA]=_xlfn.CONCAT($M$3,"_",_xlfn.IFS($N$3="ENERO","1",$N$3="FEBRERO","2",$N$3="MARZO","3",$N$3="ABRIL","4",$N$3="MAYO","5",$N$3="JUNIO","6",$N$3="JULIO","7",$N$3="AGOSTO","8",$N$3="SETIEMBRE","9",$N$3="OCTUBRE","10",$N$3="NOVIEMBRE","11",$N$3="DICIEMBRE","12"))),4,0),"")</f>
        <v>CALL</v>
      </c>
      <c r="K54" s="55" t="str" cm="1">
        <f t="array" ref="K54">IFERROR(VLOOKUP(D1_MAYO_2026[[#This Row],[ASESOR_CRR]],_xlfn._xlws.FILTER(PLANTILLA[[ASESOR]:[FECHA DE CESE]],PLANTILLA[FECHA]=_xlfn.CONCAT($M$3,"_",_xlfn.IFS($N$3="ENERO","1",$N$3="FEBRERO","2",$N$3="MARZO","3",$N$3="ABRIL","4",$N$3="MAYO","5",$N$3="JUNIO","6",$N$3="JULIO","7",$N$3="AGOSTO","8",$N$3="SETIEMBRE","9",$N$3="OCTUBRE","10",$N$3="NOVIEMBRE","11",$N$3="DICIEMBRE","12"))),8,0),"")</f>
        <v>S2</v>
      </c>
      <c r="M54" s="110">
        <f>DATA_MAYO_2026[[#This Row],[RECUPERO]]/DATA_MAYO_2026[[#This Row],[META]]</f>
        <v>0.4325</v>
      </c>
      <c r="N54" s="110">
        <f>6-ROUNDUP(_xlfn.RANK.EQ(DATA_MAYO_2026[[#This Row],[AL_AC]],DATA_MAYO_2026[AL_AC],0)/(COUNTA(DATA_MAYO_2026[AL_AC])/5),0)</f>
        <v>3</v>
      </c>
      <c r="O54" s="111" t="str">
        <f>IFERROR(VLOOKUP(DATA_MAYO_2026[[#This Row],[ASER_]],$B:$G,4,0),"")</f>
        <v>LEONOR</v>
      </c>
      <c r="P54" s="112">
        <f>VLOOKUP(DATA_MAYO_2026[[#This Row],[ASER_]],D1_MAYO_2026[[ASESOR_CRR]:[RECUPERO]],6,0)</f>
        <v>5190</v>
      </c>
      <c r="Q54" s="112">
        <f>VLOOKUP(DATA_MAYO_2026[[#This Row],[ASER_]],D1_MAYO_2026[[ASESOR_CRR]:[META]],2,0)</f>
        <v>12000</v>
      </c>
      <c r="R54" s="109" t="s">
        <v>549</v>
      </c>
      <c r="S54" s="109">
        <v>0</v>
      </c>
      <c r="T54" s="109">
        <v>250</v>
      </c>
      <c r="U54" s="109">
        <v>230</v>
      </c>
      <c r="V54" s="109">
        <v>400</v>
      </c>
      <c r="W54" s="109">
        <v>0</v>
      </c>
      <c r="X54" s="109">
        <v>430</v>
      </c>
      <c r="Y54" s="109">
        <v>930</v>
      </c>
      <c r="Z54" s="109">
        <v>0</v>
      </c>
      <c r="AA54" s="109">
        <v>0</v>
      </c>
      <c r="AB54" s="6">
        <v>750</v>
      </c>
      <c r="AC54" s="6">
        <v>2200</v>
      </c>
      <c r="AD54" s="6">
        <v>0</v>
      </c>
      <c r="AE54" s="6">
        <v>0</v>
      </c>
      <c r="AF54" s="6">
        <v>0</v>
      </c>
      <c r="AG54" s="6">
        <v>0</v>
      </c>
      <c r="AH54" s="6">
        <v>0</v>
      </c>
      <c r="AI54" s="6">
        <v>0</v>
      </c>
      <c r="AJ54" s="6"/>
      <c r="AK54" s="6"/>
      <c r="AL54" s="109"/>
      <c r="AM54" s="109"/>
      <c r="AN54" s="111" t="str" cm="1">
        <f t="array" ref="AN54">IFERROR(VLOOKUP(DATA_MAYO_2026[[#This Row],[ASER_]],_xlfn._xlws.FILTER(PLANTILLA[[ASESOR]:[FECHA DE CESE]],PLANTILLA[FECHA]=_xlfn.CONCAT($M$3,"_",_xlfn.IFS($N$3="ENERO","1",$N$3="FEBRERO","2",$N$3="MARZO","3",$N$3="ABRIL","4",$N$3="MAYO","5",$N$3="JUNIO","6",$N$3="JULIO","7",$N$3="AGOSTO","8",$N$3="SETIEMBRE","9",$N$3="OCTUBRE","10",$N$3="NOVIEMBRE","11",$N$3="DICIEMBRE","12"))),8,0),"")</f>
        <v>S2</v>
      </c>
      <c r="AO54" s="111">
        <f>SUM(DATA_MAYO_2026[[#This Row],[15]:[30]])</f>
        <v>2200</v>
      </c>
      <c r="BX54" s="45" t="s">
        <v>636</v>
      </c>
      <c r="BY54" s="45" t="s">
        <v>2</v>
      </c>
      <c r="BZ54" s="45" t="s">
        <v>65</v>
      </c>
      <c r="CA54" s="55">
        <v>46174</v>
      </c>
      <c r="CB54" s="1">
        <f>IF(IND_JUNIO_2026[[#This Row],[IND_CANTFalta]]=1,0,IF(1-(IND_JUNIO_2026[[#This Row],[IND_Tardanza Tiempo]]*100%/0.166666666666667)&lt;0,0,1-(IND_JUNIO_2026[[#This Row],[IND_Tardanza Tiempo]]*100%/0.166666666666667)))</f>
        <v>0.99944444444444447</v>
      </c>
      <c r="CC54" s="45"/>
      <c r="CD54" s="93">
        <v>9.2592592592592588E-5</v>
      </c>
      <c r="CE54">
        <v>19</v>
      </c>
      <c r="CF54">
        <v>9</v>
      </c>
      <c r="CG54" s="1">
        <f>IFERROR(IND_JUNIO_2026[[#This Row],[IND_PDP]]/IND_JUNIO_2026[[#This Row],[IND_CEF Unico]],"")</f>
        <v>0.47368421052631576</v>
      </c>
      <c r="CH54">
        <v>4409</v>
      </c>
      <c r="CI54">
        <v>1105</v>
      </c>
      <c r="CJ54" s="1">
        <f>IFERROR(IND_JUNIO_2026[[#This Row],[IND_Recupero]]/IND_JUNIO_2026[[#This Row],[IND_MontoPDP]],"")</f>
        <v>0.250623724200499</v>
      </c>
      <c r="CK54" s="1" t="str">
        <f>IFERROR(IND_JUNIO_2026[[#This Row],[IND_MontoPDP]]/IND_JUNIO_2026[[#This Row],[DK]],"")</f>
        <v/>
      </c>
      <c r="CL54" t="s">
        <v>548</v>
      </c>
      <c r="CM54">
        <f>IFERROR(IND_JUNIO_2026[[#This Row],[IND_MontoPDP]]/IND_JUNIO_2026[[#This Row],[IND_PDP]],"")</f>
        <v>489.88888888888891</v>
      </c>
    </row>
    <row r="55" spans="1:91" x14ac:dyDescent="0.25">
      <c r="H55"/>
      <c r="M55" s="110">
        <f>DATA_MAYO_2026[[#This Row],[RECUPERO]]/DATA_MAYO_2026[[#This Row],[META]]</f>
        <v>0.40633333333333332</v>
      </c>
      <c r="N55" s="110">
        <f>6-ROUNDUP(_xlfn.RANK.EQ(DATA_MAYO_2026[[#This Row],[AL_AC]],DATA_MAYO_2026[AL_AC],0)/(COUNTA(DATA_MAYO_2026[AL_AC])/5),0)</f>
        <v>2</v>
      </c>
      <c r="O55" s="111" t="str">
        <f>IFERROR(VLOOKUP(DATA_MAYO_2026[[#This Row],[ASER_]],$B:$G,4,0),"")</f>
        <v>LEONOR</v>
      </c>
      <c r="P55" s="112">
        <f>VLOOKUP(DATA_MAYO_2026[[#This Row],[ASER_]],D1_MAYO_2026[[ASESOR_CRR]:[RECUPERO]],6,0)</f>
        <v>4876</v>
      </c>
      <c r="Q55" s="112">
        <f>VLOOKUP(DATA_MAYO_2026[[#This Row],[ASER_]],D1_MAYO_2026[[ASESOR_CRR]:[META]],2,0)</f>
        <v>12000</v>
      </c>
      <c r="R55" s="109" t="s">
        <v>630</v>
      </c>
      <c r="S55" s="109">
        <v>0</v>
      </c>
      <c r="T55" s="109">
        <v>0</v>
      </c>
      <c r="U55" s="109">
        <v>0</v>
      </c>
      <c r="V55" s="109">
        <v>160</v>
      </c>
      <c r="W55" s="109">
        <v>0</v>
      </c>
      <c r="X55" s="109">
        <v>100</v>
      </c>
      <c r="Y55" s="109">
        <v>600</v>
      </c>
      <c r="Z55" s="109">
        <v>0</v>
      </c>
      <c r="AA55" s="109">
        <v>480</v>
      </c>
      <c r="AB55" s="6">
        <v>800</v>
      </c>
      <c r="AC55" s="6">
        <v>0</v>
      </c>
      <c r="AD55" s="6">
        <v>246</v>
      </c>
      <c r="AE55" s="6">
        <v>450</v>
      </c>
      <c r="AF55" s="6">
        <v>220</v>
      </c>
      <c r="AG55" s="6">
        <v>1350</v>
      </c>
      <c r="AH55" s="6">
        <v>0</v>
      </c>
      <c r="AI55" s="6">
        <v>470</v>
      </c>
      <c r="AJ55" s="6"/>
      <c r="AK55" s="6"/>
      <c r="AL55" s="109"/>
      <c r="AM55" s="109"/>
      <c r="AN55" s="111" t="str" cm="1">
        <f t="array" ref="AN55">IFERROR(VLOOKUP(DATA_MAYO_2026[[#This Row],[ASER_]],_xlfn._xlws.FILTER(PLANTILLA[[ASESOR]:[FECHA DE CESE]],PLANTILLA[FECHA]=_xlfn.CONCAT($M$3,"_",_xlfn.IFS($N$3="ENERO","1",$N$3="FEBRERO","2",$N$3="MARZO","3",$N$3="ABRIL","4",$N$3="MAYO","5",$N$3="JUNIO","6",$N$3="JULIO","7",$N$3="AGOSTO","8",$N$3="SETIEMBRE","9",$N$3="OCTUBRE","10",$N$3="NOVIEMBRE","11",$N$3="DICIEMBRE","12"))),8,0),"")</f>
        <v>S2</v>
      </c>
      <c r="AO55" s="111">
        <f>SUM(DATA_MAYO_2026[[#This Row],[15]:[30]])</f>
        <v>2736</v>
      </c>
      <c r="BX55" s="45" t="s">
        <v>636</v>
      </c>
      <c r="BY55" s="45" t="s">
        <v>2</v>
      </c>
      <c r="BZ55" s="45" t="s">
        <v>65</v>
      </c>
      <c r="CA55" s="55">
        <v>46175</v>
      </c>
      <c r="CB55" s="1">
        <f>IF(IND_JUNIO_2026[[#This Row],[IND_CANTFalta]]=1,0,IF(1-(IND_JUNIO_2026[[#This Row],[IND_Tardanza Tiempo]]*100%/0.166666666666667)&lt;0,0,1-(IND_JUNIO_2026[[#This Row],[IND_Tardanza Tiempo]]*100%/0.166666666666667)))</f>
        <v>0.99868055555555557</v>
      </c>
      <c r="CC55" s="45"/>
      <c r="CD55" s="93">
        <v>2.199074074074074E-4</v>
      </c>
      <c r="CE55">
        <v>18</v>
      </c>
      <c r="CF55">
        <v>14</v>
      </c>
      <c r="CG55" s="1">
        <f>IFERROR(IND_JUNIO_2026[[#This Row],[IND_PDP]]/IND_JUNIO_2026[[#This Row],[IND_CEF Unico]],"")</f>
        <v>0.77777777777777779</v>
      </c>
      <c r="CH55">
        <v>11109</v>
      </c>
      <c r="CI55">
        <v>1176</v>
      </c>
      <c r="CJ55" s="1">
        <f>IFERROR(IND_JUNIO_2026[[#This Row],[IND_Recupero]]/IND_JUNIO_2026[[#This Row],[IND_MontoPDP]],"")</f>
        <v>0.10586011342155009</v>
      </c>
      <c r="CK55" s="1" t="str">
        <f>IFERROR(IND_JUNIO_2026[[#This Row],[IND_MontoPDP]]/IND_JUNIO_2026[[#This Row],[DK]],"")</f>
        <v/>
      </c>
      <c r="CL55" t="s">
        <v>548</v>
      </c>
      <c r="CM55">
        <f>IFERROR(IND_JUNIO_2026[[#This Row],[IND_MontoPDP]]/IND_JUNIO_2026[[#This Row],[IND_PDP]],"")</f>
        <v>793.5</v>
      </c>
    </row>
    <row r="56" spans="1:91" x14ac:dyDescent="0.25">
      <c r="H56"/>
      <c r="M56" s="110">
        <f>DATA_MAYO_2026[[#This Row],[RECUPERO]]/DATA_MAYO_2026[[#This Row],[META]]</f>
        <v>0.58574999999999999</v>
      </c>
      <c r="N56" s="110">
        <f>6-ROUNDUP(_xlfn.RANK.EQ(DATA_MAYO_2026[[#This Row],[AL_AC]],DATA_MAYO_2026[AL_AC],0)/(COUNTA(DATA_MAYO_2026[AL_AC])/5),0)</f>
        <v>4</v>
      </c>
      <c r="O56" s="111" t="str">
        <f>IFERROR(VLOOKUP(DATA_MAYO_2026[[#This Row],[ASER_]],$B:$G,4,0),"")</f>
        <v>LEONOR</v>
      </c>
      <c r="P56" s="112">
        <f>VLOOKUP(DATA_MAYO_2026[[#This Row],[ASER_]],D1_MAYO_2026[[ASESOR_CRR]:[RECUPERO]],6,0)</f>
        <v>7029</v>
      </c>
      <c r="Q56" s="112">
        <f>VLOOKUP(DATA_MAYO_2026[[#This Row],[ASER_]],D1_MAYO_2026[[ASESOR_CRR]:[META]],2,0)</f>
        <v>12000</v>
      </c>
      <c r="R56" s="109" t="s">
        <v>37</v>
      </c>
      <c r="S56" s="109">
        <v>225</v>
      </c>
      <c r="T56" s="109">
        <v>353</v>
      </c>
      <c r="U56" s="109">
        <v>0</v>
      </c>
      <c r="V56" s="109">
        <v>400</v>
      </c>
      <c r="W56" s="109">
        <v>700</v>
      </c>
      <c r="X56" s="109">
        <v>0</v>
      </c>
      <c r="Y56" s="109">
        <v>0</v>
      </c>
      <c r="Z56" s="109">
        <v>810</v>
      </c>
      <c r="AA56" s="109">
        <v>200</v>
      </c>
      <c r="AB56" s="6">
        <v>2916</v>
      </c>
      <c r="AC56" s="6">
        <v>500</v>
      </c>
      <c r="AD56" s="6">
        <v>225</v>
      </c>
      <c r="AE56" s="6">
        <v>200</v>
      </c>
      <c r="AF56" s="6">
        <v>500</v>
      </c>
      <c r="AG56" s="6">
        <v>0</v>
      </c>
      <c r="AH56" s="6">
        <v>0</v>
      </c>
      <c r="AI56" s="6">
        <v>0</v>
      </c>
      <c r="AJ56" s="6"/>
      <c r="AK56" s="6"/>
      <c r="AL56" s="109"/>
      <c r="AM56" s="109"/>
      <c r="AN56" s="111" t="str" cm="1">
        <f t="array" ref="AN56">IFERROR(VLOOKUP(DATA_MAYO_2026[[#This Row],[ASER_]],_xlfn._xlws.FILTER(PLANTILLA[[ASESOR]:[FECHA DE CESE]],PLANTILLA[FECHA]=_xlfn.CONCAT($M$3,"_",_xlfn.IFS($N$3="ENERO","1",$N$3="FEBRERO","2",$N$3="MARZO","3",$N$3="ABRIL","4",$N$3="MAYO","5",$N$3="JUNIO","6",$N$3="JULIO","7",$N$3="AGOSTO","8",$N$3="SETIEMBRE","9",$N$3="OCTUBRE","10",$N$3="NOVIEMBRE","11",$N$3="DICIEMBRE","12"))),8,0),"")</f>
        <v>S2</v>
      </c>
      <c r="AO56" s="111">
        <f>SUM(DATA_MAYO_2026[[#This Row],[15]:[30]])</f>
        <v>1425</v>
      </c>
      <c r="BX56" s="45" t="s">
        <v>636</v>
      </c>
      <c r="BY56" s="45" t="s">
        <v>2</v>
      </c>
      <c r="BZ56" s="45" t="s">
        <v>65</v>
      </c>
      <c r="CA56" s="55">
        <v>46176</v>
      </c>
      <c r="CB56" s="1">
        <f>IF(IND_JUNIO_2026[[#This Row],[IND_CANTFalta]]=1,0,IF(1-(IND_JUNIO_2026[[#This Row],[IND_Tardanza Tiempo]]*100%/0.166666666666667)&lt;0,0,1-(IND_JUNIO_2026[[#This Row],[IND_Tardanza Tiempo]]*100%/0.166666666666667)))</f>
        <v>0.99888888888888894</v>
      </c>
      <c r="CC56" s="45"/>
      <c r="CD56" s="93">
        <v>1.8518518518518518E-4</v>
      </c>
      <c r="CE56">
        <v>11</v>
      </c>
      <c r="CF56">
        <v>1</v>
      </c>
      <c r="CG56" s="1">
        <f>IFERROR(IND_JUNIO_2026[[#This Row],[IND_PDP]]/IND_JUNIO_2026[[#This Row],[IND_CEF Unico]],"")</f>
        <v>9.0909090909090912E-2</v>
      </c>
      <c r="CH56">
        <v>370</v>
      </c>
      <c r="CJ56" s="1">
        <f>IFERROR(IND_JUNIO_2026[[#This Row],[IND_Recupero]]/IND_JUNIO_2026[[#This Row],[IND_MontoPDP]],"")</f>
        <v>0</v>
      </c>
      <c r="CK56" s="1" t="str">
        <f>IFERROR(IND_JUNIO_2026[[#This Row],[IND_MontoPDP]]/IND_JUNIO_2026[[#This Row],[DK]],"")</f>
        <v/>
      </c>
      <c r="CL56" t="s">
        <v>548</v>
      </c>
      <c r="CM56">
        <f>IFERROR(IND_JUNIO_2026[[#This Row],[IND_MontoPDP]]/IND_JUNIO_2026[[#This Row],[IND_PDP]],"")</f>
        <v>370</v>
      </c>
    </row>
    <row r="57" spans="1:91" x14ac:dyDescent="0.25">
      <c r="F57" s="3"/>
      <c r="G57" s="1"/>
      <c r="H57"/>
      <c r="BX57" s="45" t="s">
        <v>636</v>
      </c>
      <c r="BY57" s="45" t="s">
        <v>2</v>
      </c>
      <c r="BZ57" s="45" t="s">
        <v>65</v>
      </c>
      <c r="CA57" s="55">
        <v>46177</v>
      </c>
      <c r="CB57" s="1">
        <f>IF(IND_JUNIO_2026[[#This Row],[IND_CANTFalta]]=1,0,IF(1-(IND_JUNIO_2026[[#This Row],[IND_Tardanza Tiempo]]*100%/0.166666666666667)&lt;0,0,1-(IND_JUNIO_2026[[#This Row],[IND_Tardanza Tiempo]]*100%/0.166666666666667)))</f>
        <v>0.99881944444444448</v>
      </c>
      <c r="CC57" s="45"/>
      <c r="CD57" s="93">
        <v>1.9675925925925926E-4</v>
      </c>
      <c r="CE57">
        <v>10</v>
      </c>
      <c r="CG57" s="1">
        <f>IFERROR(IND_JUNIO_2026[[#This Row],[IND_PDP]]/IND_JUNIO_2026[[#This Row],[IND_CEF Unico]],"")</f>
        <v>0</v>
      </c>
      <c r="CJ57" s="1" t="str">
        <f>IFERROR(IND_JUNIO_2026[[#This Row],[IND_Recupero]]/IND_JUNIO_2026[[#This Row],[IND_MontoPDP]],"")</f>
        <v/>
      </c>
      <c r="CK57" s="1" t="str">
        <f>IFERROR(IND_JUNIO_2026[[#This Row],[IND_MontoPDP]]/IND_JUNIO_2026[[#This Row],[DK]],"")</f>
        <v/>
      </c>
      <c r="CL57" t="s">
        <v>548</v>
      </c>
      <c r="CM57" t="str">
        <f>IFERROR(IND_JUNIO_2026[[#This Row],[IND_MontoPDP]]/IND_JUNIO_2026[[#This Row],[IND_PDP]],"")</f>
        <v/>
      </c>
    </row>
    <row r="58" spans="1:91" x14ac:dyDescent="0.25">
      <c r="F58" s="3"/>
      <c r="G58" s="1"/>
      <c r="H58"/>
      <c r="BX58" s="45" t="s">
        <v>636</v>
      </c>
      <c r="BY58" s="45" t="s">
        <v>2</v>
      </c>
      <c r="BZ58" s="45" t="s">
        <v>65</v>
      </c>
      <c r="CA58" s="55">
        <v>46178</v>
      </c>
      <c r="CB58" s="1">
        <f>IF(IND_JUNIO_2026[[#This Row],[IND_CANTFalta]]=1,0,IF(1-(IND_JUNIO_2026[[#This Row],[IND_Tardanza Tiempo]]*100%/0.166666666666667)&lt;0,0,1-(IND_JUNIO_2026[[#This Row],[IND_Tardanza Tiempo]]*100%/0.166666666666667)))</f>
        <v>0.99895833333333328</v>
      </c>
      <c r="CC58" s="45"/>
      <c r="CD58" s="93">
        <v>1.7361111111111112E-4</v>
      </c>
      <c r="CE58">
        <v>3</v>
      </c>
      <c r="CG58" s="1">
        <f>IFERROR(IND_JUNIO_2026[[#This Row],[IND_PDP]]/IND_JUNIO_2026[[#This Row],[IND_CEF Unico]],"")</f>
        <v>0</v>
      </c>
      <c r="CJ58" s="1" t="str">
        <f>IFERROR(IND_JUNIO_2026[[#This Row],[IND_Recupero]]/IND_JUNIO_2026[[#This Row],[IND_MontoPDP]],"")</f>
        <v/>
      </c>
      <c r="CK58" s="1" t="str">
        <f>IFERROR(IND_JUNIO_2026[[#This Row],[IND_MontoPDP]]/IND_JUNIO_2026[[#This Row],[DK]],"")</f>
        <v/>
      </c>
      <c r="CL58" t="s">
        <v>548</v>
      </c>
      <c r="CM58" t="str">
        <f>IFERROR(IND_JUNIO_2026[[#This Row],[IND_MontoPDP]]/IND_JUNIO_2026[[#This Row],[IND_PDP]],"")</f>
        <v/>
      </c>
    </row>
    <row r="59" spans="1:91" x14ac:dyDescent="0.25">
      <c r="F59" s="3"/>
      <c r="G59" s="1"/>
      <c r="BX59" s="45" t="s">
        <v>636</v>
      </c>
      <c r="BY59" s="45" t="s">
        <v>2</v>
      </c>
      <c r="BZ59" s="45" t="s">
        <v>25</v>
      </c>
      <c r="CA59" s="55">
        <v>46175</v>
      </c>
      <c r="CB59" s="1">
        <f>IF(IND_JUNIO_2026[[#This Row],[IND_CANTFalta]]=1,0,IF(1-(IND_JUNIO_2026[[#This Row],[IND_Tardanza Tiempo]]*100%/0.166666666666667)&lt;0,0,1-(IND_JUNIO_2026[[#This Row],[IND_Tardanza Tiempo]]*100%/0.166666666666667)))</f>
        <v>0.99687499999999996</v>
      </c>
      <c r="CC59" s="45"/>
      <c r="CD59" s="93">
        <v>5.2083333333333333E-4</v>
      </c>
      <c r="CE59">
        <v>31</v>
      </c>
      <c r="CF59">
        <v>9</v>
      </c>
      <c r="CG59" s="1">
        <f>IFERROR(IND_JUNIO_2026[[#This Row],[IND_PDP]]/IND_JUNIO_2026[[#This Row],[IND_CEF Unico]],"")</f>
        <v>0.29032258064516131</v>
      </c>
      <c r="CH59">
        <v>14709</v>
      </c>
      <c r="CI59">
        <v>11500</v>
      </c>
      <c r="CJ59" s="1">
        <f>IFERROR(IND_JUNIO_2026[[#This Row],[IND_Recupero]]/IND_JUNIO_2026[[#This Row],[IND_MontoPDP]],"")</f>
        <v>0.7818342511387586</v>
      </c>
      <c r="CK59" s="1">
        <f>IFERROR(IND_JUNIO_2026[[#This Row],[IND_MontoPDP]]/IND_JUNIO_2026[[#This Row],[DK]],"")</f>
        <v>0.1404</v>
      </c>
      <c r="CL59">
        <v>104764.95726495727</v>
      </c>
      <c r="CM59">
        <f>IFERROR(IND_JUNIO_2026[[#This Row],[IND_MontoPDP]]/IND_JUNIO_2026[[#This Row],[IND_PDP]],"")</f>
        <v>1634.3333333333333</v>
      </c>
    </row>
    <row r="60" spans="1:91" x14ac:dyDescent="0.25">
      <c r="F60" s="3"/>
      <c r="G60" s="1"/>
      <c r="BX60" s="45" t="s">
        <v>636</v>
      </c>
      <c r="BY60" s="45" t="s">
        <v>2</v>
      </c>
      <c r="BZ60" s="45" t="s">
        <v>25</v>
      </c>
      <c r="CA60" s="55">
        <v>46176</v>
      </c>
      <c r="CB60" s="1">
        <f>IF(IND_JUNIO_2026[[#This Row],[IND_CANTFalta]]=1,0,IF(1-(IND_JUNIO_2026[[#This Row],[IND_Tardanza Tiempo]]*100%/0.166666666666667)&lt;0,0,1-(IND_JUNIO_2026[[#This Row],[IND_Tardanza Tiempo]]*100%/0.166666666666667)))</f>
        <v>1</v>
      </c>
      <c r="CC60" s="45"/>
      <c r="CD60" s="93">
        <v>0</v>
      </c>
      <c r="CE60">
        <v>17</v>
      </c>
      <c r="CF60">
        <v>4</v>
      </c>
      <c r="CG60" s="1">
        <f>IFERROR(IND_JUNIO_2026[[#This Row],[IND_PDP]]/IND_JUNIO_2026[[#This Row],[IND_CEF Unico]],"")</f>
        <v>0.23529411764705882</v>
      </c>
      <c r="CH60">
        <v>2470</v>
      </c>
      <c r="CI60">
        <v>1623</v>
      </c>
      <c r="CJ60" s="1">
        <f>IFERROR(IND_JUNIO_2026[[#This Row],[IND_Recupero]]/IND_JUNIO_2026[[#This Row],[IND_MontoPDP]],"")</f>
        <v>0.65708502024291493</v>
      </c>
      <c r="CK60" s="1">
        <f>IFERROR(IND_JUNIO_2026[[#This Row],[IND_MontoPDP]]/IND_JUNIO_2026[[#This Row],[DK]],"")</f>
        <v>0.20949999999999999</v>
      </c>
      <c r="CL60">
        <v>11789.976133651551</v>
      </c>
      <c r="CM60">
        <f>IFERROR(IND_JUNIO_2026[[#This Row],[IND_MontoPDP]]/IND_JUNIO_2026[[#This Row],[IND_PDP]],"")</f>
        <v>617.5</v>
      </c>
    </row>
    <row r="61" spans="1:91" x14ac:dyDescent="0.25">
      <c r="G61" s="3"/>
      <c r="BX61" s="45" t="s">
        <v>636</v>
      </c>
      <c r="BY61" s="45" t="s">
        <v>2</v>
      </c>
      <c r="BZ61" s="45" t="s">
        <v>10</v>
      </c>
      <c r="CA61" s="55">
        <v>46174</v>
      </c>
      <c r="CB61" s="1">
        <f>IF(IND_JUNIO_2026[[#This Row],[IND_CANTFalta]]=1,0,IF(1-(IND_JUNIO_2026[[#This Row],[IND_Tardanza Tiempo]]*100%/0.166666666666667)&lt;0,0,1-(IND_JUNIO_2026[[#This Row],[IND_Tardanza Tiempo]]*100%/0.166666666666667)))</f>
        <v>0.99944444444444447</v>
      </c>
      <c r="CC61" s="45"/>
      <c r="CD61" s="93">
        <v>9.2592592592592588E-5</v>
      </c>
      <c r="CE61">
        <v>33</v>
      </c>
      <c r="CF61">
        <v>2</v>
      </c>
      <c r="CG61" s="1">
        <f>IFERROR(IND_JUNIO_2026[[#This Row],[IND_PDP]]/IND_JUNIO_2026[[#This Row],[IND_CEF Unico]],"")</f>
        <v>6.0606060606060608E-2</v>
      </c>
      <c r="CH61">
        <v>1850</v>
      </c>
      <c r="CJ61" s="1">
        <f>IFERROR(IND_JUNIO_2026[[#This Row],[IND_Recupero]]/IND_JUNIO_2026[[#This Row],[IND_MontoPDP]],"")</f>
        <v>0</v>
      </c>
      <c r="CK61" s="1" t="str">
        <f>IFERROR(IND_JUNIO_2026[[#This Row],[IND_MontoPDP]]/IND_JUNIO_2026[[#This Row],[DK]],"")</f>
        <v/>
      </c>
      <c r="CL61" t="s">
        <v>548</v>
      </c>
      <c r="CM61">
        <f>IFERROR(IND_JUNIO_2026[[#This Row],[IND_MontoPDP]]/IND_JUNIO_2026[[#This Row],[IND_PDP]],"")</f>
        <v>925</v>
      </c>
    </row>
    <row r="62" spans="1:91" x14ac:dyDescent="0.25">
      <c r="G62" s="3"/>
      <c r="BX62" s="45" t="s">
        <v>636</v>
      </c>
      <c r="BY62" s="45" t="s">
        <v>2</v>
      </c>
      <c r="BZ62" s="45" t="s">
        <v>10</v>
      </c>
      <c r="CA62" s="55">
        <v>46175</v>
      </c>
      <c r="CB62" s="1">
        <f>IF(IND_JUNIO_2026[[#This Row],[IND_CANTFalta]]=1,0,IF(1-(IND_JUNIO_2026[[#This Row],[IND_Tardanza Tiempo]]*100%/0.166666666666667)&lt;0,0,1-(IND_JUNIO_2026[[#This Row],[IND_Tardanza Tiempo]]*100%/0.166666666666667)))</f>
        <v>0.99840277777777775</v>
      </c>
      <c r="CC62" s="45"/>
      <c r="CD62" s="93">
        <v>2.6620370370370372E-4</v>
      </c>
      <c r="CE62">
        <v>38</v>
      </c>
      <c r="CF62">
        <v>7</v>
      </c>
      <c r="CG62" s="1">
        <f>IFERROR(IND_JUNIO_2026[[#This Row],[IND_PDP]]/IND_JUNIO_2026[[#This Row],[IND_CEF Unico]],"")</f>
        <v>0.18421052631578946</v>
      </c>
      <c r="CH62">
        <v>2355</v>
      </c>
      <c r="CJ62" s="1">
        <f>IFERROR(IND_JUNIO_2026[[#This Row],[IND_Recupero]]/IND_JUNIO_2026[[#This Row],[IND_MontoPDP]],"")</f>
        <v>0</v>
      </c>
      <c r="CK62" s="1" t="str">
        <f>IFERROR(IND_JUNIO_2026[[#This Row],[IND_MontoPDP]]/IND_JUNIO_2026[[#This Row],[DK]],"")</f>
        <v/>
      </c>
      <c r="CL62" t="s">
        <v>548</v>
      </c>
      <c r="CM62">
        <f>IFERROR(IND_JUNIO_2026[[#This Row],[IND_MontoPDP]]/IND_JUNIO_2026[[#This Row],[IND_PDP]],"")</f>
        <v>336.42857142857144</v>
      </c>
    </row>
    <row r="63" spans="1:91" x14ac:dyDescent="0.25">
      <c r="G63" s="3"/>
      <c r="BX63" s="45" t="s">
        <v>636</v>
      </c>
      <c r="BY63" s="45" t="s">
        <v>2</v>
      </c>
      <c r="BZ63" s="45" t="s">
        <v>10</v>
      </c>
      <c r="CA63" s="55">
        <v>46176</v>
      </c>
      <c r="CB63" s="1">
        <f>IF(IND_JUNIO_2026[[#This Row],[IND_CANTFalta]]=1,0,IF(1-(IND_JUNIO_2026[[#This Row],[IND_Tardanza Tiempo]]*100%/0.166666666666667)&lt;0,0,1-(IND_JUNIO_2026[[#This Row],[IND_Tardanza Tiempo]]*100%/0.166666666666667)))</f>
        <v>0.99902777777777774</v>
      </c>
      <c r="CC63" s="45"/>
      <c r="CD63" s="93">
        <v>1.6203703703703703E-4</v>
      </c>
      <c r="CE63">
        <v>40</v>
      </c>
      <c r="CF63">
        <v>1</v>
      </c>
      <c r="CG63" s="1">
        <f>IFERROR(IND_JUNIO_2026[[#This Row],[IND_PDP]]/IND_JUNIO_2026[[#This Row],[IND_CEF Unico]],"")</f>
        <v>2.5000000000000001E-2</v>
      </c>
      <c r="CH63">
        <v>4150</v>
      </c>
      <c r="CJ63" s="1">
        <f>IFERROR(IND_JUNIO_2026[[#This Row],[IND_Recupero]]/IND_JUNIO_2026[[#This Row],[IND_MontoPDP]],"")</f>
        <v>0</v>
      </c>
      <c r="CK63" s="1" t="str">
        <f>IFERROR(IND_JUNIO_2026[[#This Row],[IND_MontoPDP]]/IND_JUNIO_2026[[#This Row],[DK]],"")</f>
        <v/>
      </c>
      <c r="CL63" t="s">
        <v>548</v>
      </c>
      <c r="CM63">
        <f>IFERROR(IND_JUNIO_2026[[#This Row],[IND_MontoPDP]]/IND_JUNIO_2026[[#This Row],[IND_PDP]],"")</f>
        <v>4150</v>
      </c>
    </row>
    <row r="64" spans="1:91" x14ac:dyDescent="0.25">
      <c r="G64" s="3"/>
      <c r="BX64" s="45" t="s">
        <v>636</v>
      </c>
      <c r="BY64" s="45" t="s">
        <v>2</v>
      </c>
      <c r="BZ64" s="45" t="s">
        <v>10</v>
      </c>
      <c r="CA64" s="55">
        <v>46177</v>
      </c>
      <c r="CB64" s="1">
        <f>IF(IND_JUNIO_2026[[#This Row],[IND_CANTFalta]]=1,0,IF(1-(IND_JUNIO_2026[[#This Row],[IND_Tardanza Tiempo]]*100%/0.166666666666667)&lt;0,0,1-(IND_JUNIO_2026[[#This Row],[IND_Tardanza Tiempo]]*100%/0.166666666666667)))</f>
        <v>0.99965277777777772</v>
      </c>
      <c r="CC64" s="45"/>
      <c r="CD64" s="93">
        <v>5.7870370370370373E-5</v>
      </c>
      <c r="CE64">
        <v>18</v>
      </c>
      <c r="CF64">
        <v>2</v>
      </c>
      <c r="CG64" s="1">
        <f>IFERROR(IND_JUNIO_2026[[#This Row],[IND_PDP]]/IND_JUNIO_2026[[#This Row],[IND_CEF Unico]],"")</f>
        <v>0.1111111111111111</v>
      </c>
      <c r="CH64">
        <v>7000</v>
      </c>
      <c r="CJ64" s="1">
        <f>IFERROR(IND_JUNIO_2026[[#This Row],[IND_Recupero]]/IND_JUNIO_2026[[#This Row],[IND_MontoPDP]],"")</f>
        <v>0</v>
      </c>
      <c r="CK64" s="1" t="str">
        <f>IFERROR(IND_JUNIO_2026[[#This Row],[IND_MontoPDP]]/IND_JUNIO_2026[[#This Row],[DK]],"")</f>
        <v/>
      </c>
      <c r="CL64" t="s">
        <v>548</v>
      </c>
      <c r="CM64">
        <f>IFERROR(IND_JUNIO_2026[[#This Row],[IND_MontoPDP]]/IND_JUNIO_2026[[#This Row],[IND_PDP]],"")</f>
        <v>3500</v>
      </c>
    </row>
    <row r="65" spans="7:91" x14ac:dyDescent="0.25">
      <c r="G65" s="3"/>
      <c r="BX65" s="45" t="s">
        <v>636</v>
      </c>
      <c r="BY65" s="45" t="s">
        <v>2</v>
      </c>
      <c r="BZ65" s="45" t="s">
        <v>10</v>
      </c>
      <c r="CA65" s="55">
        <v>46178</v>
      </c>
      <c r="CB65" s="1">
        <f>IF(IND_JUNIO_2026[[#This Row],[IND_CANTFalta]]=1,0,IF(1-(IND_JUNIO_2026[[#This Row],[IND_Tardanza Tiempo]]*100%/0.166666666666667)&lt;0,0,1-(IND_JUNIO_2026[[#This Row],[IND_Tardanza Tiempo]]*100%/0.166666666666667)))</f>
        <v>0.99916666666666665</v>
      </c>
      <c r="CC65" s="45"/>
      <c r="CD65" s="93">
        <v>1.3888888888888889E-4</v>
      </c>
      <c r="CE65">
        <v>9</v>
      </c>
      <c r="CG65" s="1">
        <f>IFERROR(IND_JUNIO_2026[[#This Row],[IND_PDP]]/IND_JUNIO_2026[[#This Row],[IND_CEF Unico]],"")</f>
        <v>0</v>
      </c>
      <c r="CJ65" s="1" t="str">
        <f>IFERROR(IND_JUNIO_2026[[#This Row],[IND_Recupero]]/IND_JUNIO_2026[[#This Row],[IND_MontoPDP]],"")</f>
        <v/>
      </c>
      <c r="CK65" s="1" t="str">
        <f>IFERROR(IND_JUNIO_2026[[#This Row],[IND_MontoPDP]]/IND_JUNIO_2026[[#This Row],[DK]],"")</f>
        <v/>
      </c>
      <c r="CL65" t="s">
        <v>548</v>
      </c>
      <c r="CM65" t="str">
        <f>IFERROR(IND_JUNIO_2026[[#This Row],[IND_MontoPDP]]/IND_JUNIO_2026[[#This Row],[IND_PDP]],"")</f>
        <v/>
      </c>
    </row>
    <row r="66" spans="7:91" x14ac:dyDescent="0.25">
      <c r="G66" s="3"/>
      <c r="BX66" s="45" t="s">
        <v>636</v>
      </c>
      <c r="BY66" s="45" t="s">
        <v>2</v>
      </c>
      <c r="BZ66" s="45" t="s">
        <v>76</v>
      </c>
      <c r="CA66" s="55">
        <v>46177</v>
      </c>
      <c r="CB66" s="1">
        <f>IF(IND_JUNIO_2026[[#This Row],[IND_CANTFalta]]=1,0,IF(1-(IND_JUNIO_2026[[#This Row],[IND_Tardanza Tiempo]]*100%/0.166666666666667)&lt;0,0,1-(IND_JUNIO_2026[[#This Row],[IND_Tardanza Tiempo]]*100%/0.166666666666667)))</f>
        <v>0.99993055555555554</v>
      </c>
      <c r="CC66" s="45"/>
      <c r="CD66" s="93">
        <v>1.1574074074074073E-5</v>
      </c>
      <c r="CE66">
        <v>12</v>
      </c>
      <c r="CG66" s="1">
        <f>IFERROR(IND_JUNIO_2026[[#This Row],[IND_PDP]]/IND_JUNIO_2026[[#This Row],[IND_CEF Unico]],"")</f>
        <v>0</v>
      </c>
      <c r="CJ66" s="1" t="str">
        <f>IFERROR(IND_JUNIO_2026[[#This Row],[IND_Recupero]]/IND_JUNIO_2026[[#This Row],[IND_MontoPDP]],"")</f>
        <v/>
      </c>
      <c r="CK66" s="1" t="str">
        <f>IFERROR(IND_JUNIO_2026[[#This Row],[IND_MontoPDP]]/IND_JUNIO_2026[[#This Row],[DK]],"")</f>
        <v/>
      </c>
      <c r="CL66" t="s">
        <v>548</v>
      </c>
      <c r="CM66" t="str">
        <f>IFERROR(IND_JUNIO_2026[[#This Row],[IND_MontoPDP]]/IND_JUNIO_2026[[#This Row],[IND_PDP]],"")</f>
        <v/>
      </c>
    </row>
    <row r="67" spans="7:91" x14ac:dyDescent="0.25">
      <c r="G67" s="3"/>
      <c r="BX67" s="45" t="s">
        <v>636</v>
      </c>
      <c r="BY67" s="45" t="s">
        <v>2</v>
      </c>
      <c r="BZ67" s="45" t="s">
        <v>76</v>
      </c>
      <c r="CA67" s="55">
        <v>46178</v>
      </c>
      <c r="CB67" s="1">
        <f>IF(IND_JUNIO_2026[[#This Row],[IND_CANTFalta]]=1,0,IF(1-(IND_JUNIO_2026[[#This Row],[IND_Tardanza Tiempo]]*100%/0.166666666666667)&lt;0,0,1-(IND_JUNIO_2026[[#This Row],[IND_Tardanza Tiempo]]*100%/0.166666666666667)))</f>
        <v>0.99798611111111113</v>
      </c>
      <c r="CC67" s="45"/>
      <c r="CD67" s="93">
        <v>3.3564814814814812E-4</v>
      </c>
      <c r="CE67">
        <v>6</v>
      </c>
      <c r="CF67">
        <v>1</v>
      </c>
      <c r="CG67" s="1">
        <f>IFERROR(IND_JUNIO_2026[[#This Row],[IND_PDP]]/IND_JUNIO_2026[[#This Row],[IND_CEF Unico]],"")</f>
        <v>0.16666666666666666</v>
      </c>
      <c r="CH67">
        <v>745</v>
      </c>
      <c r="CJ67" s="1">
        <f>IFERROR(IND_JUNIO_2026[[#This Row],[IND_Recupero]]/IND_JUNIO_2026[[#This Row],[IND_MontoPDP]],"")</f>
        <v>0</v>
      </c>
      <c r="CK67" s="1" t="str">
        <f>IFERROR(IND_JUNIO_2026[[#This Row],[IND_MontoPDP]]/IND_JUNIO_2026[[#This Row],[DK]],"")</f>
        <v/>
      </c>
      <c r="CL67" t="s">
        <v>548</v>
      </c>
      <c r="CM67">
        <f>IFERROR(IND_JUNIO_2026[[#This Row],[IND_MontoPDP]]/IND_JUNIO_2026[[#This Row],[IND_PDP]],"")</f>
        <v>745</v>
      </c>
    </row>
    <row r="68" spans="7:91" x14ac:dyDescent="0.25">
      <c r="G68" s="3"/>
      <c r="BX68" s="45" t="s">
        <v>636</v>
      </c>
      <c r="BY68" s="45" t="s">
        <v>6</v>
      </c>
      <c r="BZ68" s="45" t="s">
        <v>19</v>
      </c>
      <c r="CA68" s="55">
        <v>46174</v>
      </c>
      <c r="CB68" s="1">
        <f>IF(IND_JUNIO_2026[[#This Row],[IND_CANTFalta]]=1,0,IF(1-(IND_JUNIO_2026[[#This Row],[IND_Tardanza Tiempo]]*100%/0.166666666666667)&lt;0,0,1-(IND_JUNIO_2026[[#This Row],[IND_Tardanza Tiempo]]*100%/0.166666666666667)))</f>
        <v>0.99902777777777774</v>
      </c>
      <c r="CC68" s="45"/>
      <c r="CD68" s="93">
        <v>1.6203703703703703E-4</v>
      </c>
      <c r="CE68">
        <v>29</v>
      </c>
      <c r="CF68">
        <v>2</v>
      </c>
      <c r="CG68" s="1">
        <f>IFERROR(IND_JUNIO_2026[[#This Row],[IND_PDP]]/IND_JUNIO_2026[[#This Row],[IND_CEF Unico]],"")</f>
        <v>6.8965517241379309E-2</v>
      </c>
      <c r="CH68">
        <v>830</v>
      </c>
      <c r="CI68">
        <v>300</v>
      </c>
      <c r="CJ68" s="1">
        <f>IFERROR(IND_JUNIO_2026[[#This Row],[IND_Recupero]]/IND_JUNIO_2026[[#This Row],[IND_MontoPDP]],"")</f>
        <v>0.36144578313253012</v>
      </c>
      <c r="CK68" s="1" t="str">
        <f>IFERROR(IND_JUNIO_2026[[#This Row],[IND_MontoPDP]]/IND_JUNIO_2026[[#This Row],[DK]],"")</f>
        <v/>
      </c>
      <c r="CL68" t="s">
        <v>548</v>
      </c>
      <c r="CM68">
        <f>IFERROR(IND_JUNIO_2026[[#This Row],[IND_MontoPDP]]/IND_JUNIO_2026[[#This Row],[IND_PDP]],"")</f>
        <v>415</v>
      </c>
    </row>
    <row r="69" spans="7:91" x14ac:dyDescent="0.25">
      <c r="G69" s="3"/>
      <c r="BX69" s="45" t="s">
        <v>636</v>
      </c>
      <c r="BY69" s="45" t="s">
        <v>6</v>
      </c>
      <c r="BZ69" s="45" t="s">
        <v>19</v>
      </c>
      <c r="CA69" s="55">
        <v>46175</v>
      </c>
      <c r="CB69" s="1">
        <f>IF(IND_JUNIO_2026[[#This Row],[IND_CANTFalta]]=1,0,IF(1-(IND_JUNIO_2026[[#This Row],[IND_Tardanza Tiempo]]*100%/0.166666666666667)&lt;0,0,1-(IND_JUNIO_2026[[#This Row],[IND_Tardanza Tiempo]]*100%/0.166666666666667)))</f>
        <v>0.99951388888888892</v>
      </c>
      <c r="CC69" s="45"/>
      <c r="CD69" s="93">
        <v>8.1018518518518516E-5</v>
      </c>
      <c r="CE69">
        <v>14</v>
      </c>
      <c r="CG69" s="1">
        <f>IFERROR(IND_JUNIO_2026[[#This Row],[IND_PDP]]/IND_JUNIO_2026[[#This Row],[IND_CEF Unico]],"")</f>
        <v>0</v>
      </c>
      <c r="CJ69" s="1" t="str">
        <f>IFERROR(IND_JUNIO_2026[[#This Row],[IND_Recupero]]/IND_JUNIO_2026[[#This Row],[IND_MontoPDP]],"")</f>
        <v/>
      </c>
      <c r="CK69" s="1" t="str">
        <f>IFERROR(IND_JUNIO_2026[[#This Row],[IND_MontoPDP]]/IND_JUNIO_2026[[#This Row],[DK]],"")</f>
        <v/>
      </c>
      <c r="CL69" t="s">
        <v>548</v>
      </c>
      <c r="CM69" t="str">
        <f>IFERROR(IND_JUNIO_2026[[#This Row],[IND_MontoPDP]]/IND_JUNIO_2026[[#This Row],[IND_PDP]],"")</f>
        <v/>
      </c>
    </row>
    <row r="70" spans="7:91" x14ac:dyDescent="0.25">
      <c r="AP70" s="4"/>
      <c r="BX70" s="45" t="s">
        <v>636</v>
      </c>
      <c r="BY70" s="45" t="s">
        <v>6</v>
      </c>
      <c r="BZ70" s="45" t="s">
        <v>19</v>
      </c>
      <c r="CA70" s="55">
        <v>46176</v>
      </c>
      <c r="CB70" s="1">
        <f>IF(IND_JUNIO_2026[[#This Row],[IND_CANTFalta]]=1,0,IF(1-(IND_JUNIO_2026[[#This Row],[IND_Tardanza Tiempo]]*100%/0.166666666666667)&lt;0,0,1-(IND_JUNIO_2026[[#This Row],[IND_Tardanza Tiempo]]*100%/0.166666666666667)))</f>
        <v>0.99958333333333338</v>
      </c>
      <c r="CC70" s="45"/>
      <c r="CD70" s="93">
        <v>6.9444444444444444E-5</v>
      </c>
      <c r="CE70">
        <v>25</v>
      </c>
      <c r="CG70" s="1">
        <f>IFERROR(IND_JUNIO_2026[[#This Row],[IND_PDP]]/IND_JUNIO_2026[[#This Row],[IND_CEF Unico]],"")</f>
        <v>0</v>
      </c>
      <c r="CJ70" s="1" t="str">
        <f>IFERROR(IND_JUNIO_2026[[#This Row],[IND_Recupero]]/IND_JUNIO_2026[[#This Row],[IND_MontoPDP]],"")</f>
        <v/>
      </c>
      <c r="CK70" s="1" t="str">
        <f>IFERROR(IND_JUNIO_2026[[#This Row],[IND_MontoPDP]]/IND_JUNIO_2026[[#This Row],[DK]],"")</f>
        <v/>
      </c>
      <c r="CL70" t="s">
        <v>548</v>
      </c>
      <c r="CM70" t="str">
        <f>IFERROR(IND_JUNIO_2026[[#This Row],[IND_MontoPDP]]/IND_JUNIO_2026[[#This Row],[IND_PDP]],"")</f>
        <v/>
      </c>
    </row>
    <row r="71" spans="7:91" x14ac:dyDescent="0.25">
      <c r="AP71" s="6"/>
      <c r="BX71" s="45" t="s">
        <v>636</v>
      </c>
      <c r="BY71" s="45" t="s">
        <v>6</v>
      </c>
      <c r="BZ71" s="45" t="s">
        <v>19</v>
      </c>
      <c r="CA71" s="55">
        <v>46177</v>
      </c>
      <c r="CB71" s="1">
        <f>IF(IND_JUNIO_2026[[#This Row],[IND_CANTFalta]]=1,0,IF(1-(IND_JUNIO_2026[[#This Row],[IND_Tardanza Tiempo]]*100%/0.166666666666667)&lt;0,0,1-(IND_JUNIO_2026[[#This Row],[IND_Tardanza Tiempo]]*100%/0.166666666666667)))</f>
        <v>0.99972222222222218</v>
      </c>
      <c r="CC71" s="45"/>
      <c r="CD71" s="93">
        <v>4.6296296296296294E-5</v>
      </c>
      <c r="CE71">
        <v>11</v>
      </c>
      <c r="CG71" s="1">
        <f>IFERROR(IND_JUNIO_2026[[#This Row],[IND_PDP]]/IND_JUNIO_2026[[#This Row],[IND_CEF Unico]],"")</f>
        <v>0</v>
      </c>
      <c r="CJ71" s="1" t="str">
        <f>IFERROR(IND_JUNIO_2026[[#This Row],[IND_Recupero]]/IND_JUNIO_2026[[#This Row],[IND_MontoPDP]],"")</f>
        <v/>
      </c>
      <c r="CK71" s="1" t="str">
        <f>IFERROR(IND_JUNIO_2026[[#This Row],[IND_MontoPDP]]/IND_JUNIO_2026[[#This Row],[DK]],"")</f>
        <v/>
      </c>
      <c r="CL71" t="s">
        <v>548</v>
      </c>
      <c r="CM71" t="str">
        <f>IFERROR(IND_JUNIO_2026[[#This Row],[IND_MontoPDP]]/IND_JUNIO_2026[[#This Row],[IND_PDP]],"")</f>
        <v/>
      </c>
    </row>
    <row r="72" spans="7:91" x14ac:dyDescent="0.25">
      <c r="AP72" s="6"/>
      <c r="BX72" s="45" t="s">
        <v>636</v>
      </c>
      <c r="BY72" s="45" t="s">
        <v>6</v>
      </c>
      <c r="BZ72" s="45" t="s">
        <v>19</v>
      </c>
      <c r="CA72" s="55">
        <v>46178</v>
      </c>
      <c r="CB72" s="1">
        <f>IF(IND_JUNIO_2026[[#This Row],[IND_CANTFalta]]=1,0,IF(1-(IND_JUNIO_2026[[#This Row],[IND_Tardanza Tiempo]]*100%/0.166666666666667)&lt;0,0,1-(IND_JUNIO_2026[[#This Row],[IND_Tardanza Tiempo]]*100%/0.166666666666667)))</f>
        <v>0.99868055555555557</v>
      </c>
      <c r="CC72" s="45"/>
      <c r="CD72" s="93">
        <v>2.199074074074074E-4</v>
      </c>
      <c r="CE72">
        <v>4</v>
      </c>
      <c r="CG72" s="1">
        <f>IFERROR(IND_JUNIO_2026[[#This Row],[IND_PDP]]/IND_JUNIO_2026[[#This Row],[IND_CEF Unico]],"")</f>
        <v>0</v>
      </c>
      <c r="CJ72" s="1" t="str">
        <f>IFERROR(IND_JUNIO_2026[[#This Row],[IND_Recupero]]/IND_JUNIO_2026[[#This Row],[IND_MontoPDP]],"")</f>
        <v/>
      </c>
      <c r="CK72" s="1" t="str">
        <f>IFERROR(IND_JUNIO_2026[[#This Row],[IND_MontoPDP]]/IND_JUNIO_2026[[#This Row],[DK]],"")</f>
        <v/>
      </c>
      <c r="CL72" t="s">
        <v>548</v>
      </c>
      <c r="CM72" t="str">
        <f>IFERROR(IND_JUNIO_2026[[#This Row],[IND_MontoPDP]]/IND_JUNIO_2026[[#This Row],[IND_PDP]],"")</f>
        <v/>
      </c>
    </row>
    <row r="73" spans="7:91" x14ac:dyDescent="0.25">
      <c r="AP73" s="6"/>
      <c r="BX73" s="45" t="s">
        <v>636</v>
      </c>
      <c r="BY73" s="45" t="s">
        <v>6</v>
      </c>
      <c r="BZ73" s="45" t="s">
        <v>105</v>
      </c>
      <c r="CA73" s="55">
        <v>46174</v>
      </c>
      <c r="CB73" s="1">
        <f>IF(IND_JUNIO_2026[[#This Row],[IND_CANTFalta]]=1,0,IF(1-(IND_JUNIO_2026[[#This Row],[IND_Tardanza Tiempo]]*100%/0.166666666666667)&lt;0,0,1-(IND_JUNIO_2026[[#This Row],[IND_Tardanza Tiempo]]*100%/0.166666666666667)))</f>
        <v>0.99909722222222219</v>
      </c>
      <c r="CC73" s="45"/>
      <c r="CD73" s="93">
        <v>1.5046296296296297E-4</v>
      </c>
      <c r="CE73">
        <v>24</v>
      </c>
      <c r="CF73">
        <v>2</v>
      </c>
      <c r="CG73" s="1">
        <f>IFERROR(IND_JUNIO_2026[[#This Row],[IND_PDP]]/IND_JUNIO_2026[[#This Row],[IND_CEF Unico]],"")</f>
        <v>8.3333333333333329E-2</v>
      </c>
      <c r="CH73">
        <v>11500</v>
      </c>
      <c r="CJ73" s="1">
        <f>IFERROR(IND_JUNIO_2026[[#This Row],[IND_Recupero]]/IND_JUNIO_2026[[#This Row],[IND_MontoPDP]],"")</f>
        <v>0</v>
      </c>
      <c r="CK73" s="1" t="str">
        <f>IFERROR(IND_JUNIO_2026[[#This Row],[IND_MontoPDP]]/IND_JUNIO_2026[[#This Row],[DK]],"")</f>
        <v/>
      </c>
      <c r="CL73" t="s">
        <v>548</v>
      </c>
      <c r="CM73">
        <f>IFERROR(IND_JUNIO_2026[[#This Row],[IND_MontoPDP]]/IND_JUNIO_2026[[#This Row],[IND_PDP]],"")</f>
        <v>5750</v>
      </c>
    </row>
    <row r="74" spans="7:91" x14ac:dyDescent="0.25">
      <c r="AP74" s="6"/>
      <c r="BX74" s="45" t="s">
        <v>636</v>
      </c>
      <c r="BY74" s="45" t="s">
        <v>6</v>
      </c>
      <c r="BZ74" s="45" t="s">
        <v>105</v>
      </c>
      <c r="CA74" s="55">
        <v>46175</v>
      </c>
      <c r="CB74" s="1">
        <f>IF(IND_JUNIO_2026[[#This Row],[IND_CANTFalta]]=1,0,IF(1-(IND_JUNIO_2026[[#This Row],[IND_Tardanza Tiempo]]*100%/0.166666666666667)&lt;0,0,1-(IND_JUNIO_2026[[#This Row],[IND_Tardanza Tiempo]]*100%/0.166666666666667)))</f>
        <v>0.99868055555555557</v>
      </c>
      <c r="CC74" s="45"/>
      <c r="CD74" s="93">
        <v>2.199074074074074E-4</v>
      </c>
      <c r="CE74">
        <v>11</v>
      </c>
      <c r="CF74">
        <v>1</v>
      </c>
      <c r="CG74" s="1">
        <f>IFERROR(IND_JUNIO_2026[[#This Row],[IND_PDP]]/IND_JUNIO_2026[[#This Row],[IND_CEF Unico]],"")</f>
        <v>9.0909090909090912E-2</v>
      </c>
      <c r="CH74">
        <v>7500</v>
      </c>
      <c r="CI74">
        <v>4000</v>
      </c>
      <c r="CJ74" s="1">
        <f>IFERROR(IND_JUNIO_2026[[#This Row],[IND_Recupero]]/IND_JUNIO_2026[[#This Row],[IND_MontoPDP]],"")</f>
        <v>0.53333333333333333</v>
      </c>
      <c r="CK74" s="1" t="str">
        <f>IFERROR(IND_JUNIO_2026[[#This Row],[IND_MontoPDP]]/IND_JUNIO_2026[[#This Row],[DK]],"")</f>
        <v/>
      </c>
      <c r="CL74" t="s">
        <v>548</v>
      </c>
      <c r="CM74">
        <f>IFERROR(IND_JUNIO_2026[[#This Row],[IND_MontoPDP]]/IND_JUNIO_2026[[#This Row],[IND_PDP]],"")</f>
        <v>7500</v>
      </c>
    </row>
    <row r="75" spans="7:91" x14ac:dyDescent="0.25">
      <c r="AP75" s="6"/>
      <c r="BX75" s="45" t="s">
        <v>636</v>
      </c>
      <c r="BY75" s="45" t="s">
        <v>6</v>
      </c>
      <c r="BZ75" s="45" t="s">
        <v>105</v>
      </c>
      <c r="CA75" s="55">
        <v>46177</v>
      </c>
      <c r="CB75" s="1">
        <f>IF(IND_JUNIO_2026[[#This Row],[IND_CANTFalta]]=1,0,IF(1-(IND_JUNIO_2026[[#This Row],[IND_Tardanza Tiempo]]*100%/0.166666666666667)&lt;0,0,1-(IND_JUNIO_2026[[#This Row],[IND_Tardanza Tiempo]]*100%/0.166666666666667)))</f>
        <v>0.99965277777777772</v>
      </c>
      <c r="CC75" s="45"/>
      <c r="CD75" s="93">
        <v>5.7870370370370373E-5</v>
      </c>
      <c r="CE75">
        <v>6</v>
      </c>
      <c r="CG75" s="1">
        <f>IFERROR(IND_JUNIO_2026[[#This Row],[IND_PDP]]/IND_JUNIO_2026[[#This Row],[IND_CEF Unico]],"")</f>
        <v>0</v>
      </c>
      <c r="CJ75" s="1" t="str">
        <f>IFERROR(IND_JUNIO_2026[[#This Row],[IND_Recupero]]/IND_JUNIO_2026[[#This Row],[IND_MontoPDP]],"")</f>
        <v/>
      </c>
      <c r="CK75" s="1" t="str">
        <f>IFERROR(IND_JUNIO_2026[[#This Row],[IND_MontoPDP]]/IND_JUNIO_2026[[#This Row],[DK]],"")</f>
        <v/>
      </c>
      <c r="CL75" t="s">
        <v>548</v>
      </c>
      <c r="CM75" t="str">
        <f>IFERROR(IND_JUNIO_2026[[#This Row],[IND_MontoPDP]]/IND_JUNIO_2026[[#This Row],[IND_PDP]],"")</f>
        <v/>
      </c>
    </row>
    <row r="76" spans="7:91" x14ac:dyDescent="0.25">
      <c r="AP76" s="6"/>
      <c r="BX76" s="45" t="s">
        <v>636</v>
      </c>
      <c r="BY76" s="45" t="s">
        <v>6</v>
      </c>
      <c r="BZ76" s="45" t="s">
        <v>35</v>
      </c>
      <c r="CA76" s="55">
        <v>46174</v>
      </c>
      <c r="CB76" s="1">
        <f>IF(IND_JUNIO_2026[[#This Row],[IND_CANTFalta]]=1,0,IF(1-(IND_JUNIO_2026[[#This Row],[IND_Tardanza Tiempo]]*100%/0.166666666666667)&lt;0,0,1-(IND_JUNIO_2026[[#This Row],[IND_Tardanza Tiempo]]*100%/0.166666666666667)))</f>
        <v>0.99909722222222219</v>
      </c>
      <c r="CC76" s="45"/>
      <c r="CD76" s="93">
        <v>1.5046296296296297E-4</v>
      </c>
      <c r="CE76">
        <v>23</v>
      </c>
      <c r="CF76">
        <v>13</v>
      </c>
      <c r="CG76" s="1">
        <f>IFERROR(IND_JUNIO_2026[[#This Row],[IND_PDP]]/IND_JUNIO_2026[[#This Row],[IND_CEF Unico]],"")</f>
        <v>0.56521739130434778</v>
      </c>
      <c r="CH76">
        <v>15971</v>
      </c>
      <c r="CI76">
        <v>700</v>
      </c>
      <c r="CJ76" s="1">
        <f>IFERROR(IND_JUNIO_2026[[#This Row],[IND_Recupero]]/IND_JUNIO_2026[[#This Row],[IND_MontoPDP]],"")</f>
        <v>4.3829440861561583E-2</v>
      </c>
      <c r="CK76" s="1">
        <f>IFERROR(IND_JUNIO_2026[[#This Row],[IND_MontoPDP]]/IND_JUNIO_2026[[#This Row],[DK]],"")</f>
        <v>0.85229999999999984</v>
      </c>
      <c r="CL76">
        <v>18738.707028041772</v>
      </c>
      <c r="CM76">
        <f>IFERROR(IND_JUNIO_2026[[#This Row],[IND_MontoPDP]]/IND_JUNIO_2026[[#This Row],[IND_PDP]],"")</f>
        <v>1228.5384615384614</v>
      </c>
    </row>
    <row r="77" spans="7:91" x14ac:dyDescent="0.25">
      <c r="AP77" s="6"/>
      <c r="BX77" s="45" t="s">
        <v>636</v>
      </c>
      <c r="BY77" s="45" t="s">
        <v>6</v>
      </c>
      <c r="BZ77" s="45" t="s">
        <v>35</v>
      </c>
      <c r="CA77" s="55">
        <v>46175</v>
      </c>
      <c r="CB77" s="1">
        <f>IF(IND_JUNIO_2026[[#This Row],[IND_CANTFalta]]=1,0,IF(1-(IND_JUNIO_2026[[#This Row],[IND_Tardanza Tiempo]]*100%/0.166666666666667)&lt;0,0,1-(IND_JUNIO_2026[[#This Row],[IND_Tardanza Tiempo]]*100%/0.166666666666667)))</f>
        <v>0.99958333333333338</v>
      </c>
      <c r="CC77" s="45"/>
      <c r="CD77" s="93">
        <v>6.9444444444444444E-5</v>
      </c>
      <c r="CE77">
        <v>15</v>
      </c>
      <c r="CF77">
        <v>3</v>
      </c>
      <c r="CG77" s="1">
        <f>IFERROR(IND_JUNIO_2026[[#This Row],[IND_PDP]]/IND_JUNIO_2026[[#This Row],[IND_CEF Unico]],"")</f>
        <v>0.2</v>
      </c>
      <c r="CH77">
        <v>5500</v>
      </c>
      <c r="CI77">
        <v>5240</v>
      </c>
      <c r="CJ77" s="1">
        <f>IFERROR(IND_JUNIO_2026[[#This Row],[IND_Recupero]]/IND_JUNIO_2026[[#This Row],[IND_MontoPDP]],"")</f>
        <v>0.95272727272727276</v>
      </c>
      <c r="CK77" s="1">
        <f>IFERROR(IND_JUNIO_2026[[#This Row],[IND_MontoPDP]]/IND_JUNIO_2026[[#This Row],[DK]],"")</f>
        <v>0.1041</v>
      </c>
      <c r="CL77">
        <v>52833.81364073007</v>
      </c>
      <c r="CM77">
        <f>IFERROR(IND_JUNIO_2026[[#This Row],[IND_MontoPDP]]/IND_JUNIO_2026[[#This Row],[IND_PDP]],"")</f>
        <v>1833.3333333333333</v>
      </c>
    </row>
    <row r="78" spans="7:91" x14ac:dyDescent="0.25">
      <c r="AP78" s="6"/>
      <c r="BX78" s="45" t="s">
        <v>636</v>
      </c>
      <c r="BY78" s="45" t="s">
        <v>6</v>
      </c>
      <c r="BZ78" s="45" t="s">
        <v>35</v>
      </c>
      <c r="CA78" s="55">
        <v>46176</v>
      </c>
      <c r="CB78" s="1">
        <f>IF(IND_JUNIO_2026[[#This Row],[IND_CANTFalta]]=1,0,IF(1-(IND_JUNIO_2026[[#This Row],[IND_Tardanza Tiempo]]*100%/0.166666666666667)&lt;0,0,1-(IND_JUNIO_2026[[#This Row],[IND_Tardanza Tiempo]]*100%/0.166666666666667)))</f>
        <v>0.99951388888888892</v>
      </c>
      <c r="CC78" s="45"/>
      <c r="CD78" s="93">
        <v>8.1018518518518516E-5</v>
      </c>
      <c r="CE78">
        <v>15</v>
      </c>
      <c r="CG78" s="1">
        <f>IFERROR(IND_JUNIO_2026[[#This Row],[IND_PDP]]/IND_JUNIO_2026[[#This Row],[IND_CEF Unico]],"")</f>
        <v>0</v>
      </c>
      <c r="CJ78" s="1" t="str">
        <f>IFERROR(IND_JUNIO_2026[[#This Row],[IND_Recupero]]/IND_JUNIO_2026[[#This Row],[IND_MontoPDP]],"")</f>
        <v/>
      </c>
      <c r="CK78" s="1" t="str">
        <f>IFERROR(IND_JUNIO_2026[[#This Row],[IND_MontoPDP]]/IND_JUNIO_2026[[#This Row],[DK]],"")</f>
        <v/>
      </c>
      <c r="CL78" t="s">
        <v>548</v>
      </c>
      <c r="CM78" t="str">
        <f>IFERROR(IND_JUNIO_2026[[#This Row],[IND_MontoPDP]]/IND_JUNIO_2026[[#This Row],[IND_PDP]],"")</f>
        <v/>
      </c>
    </row>
    <row r="79" spans="7:91" x14ac:dyDescent="0.25">
      <c r="AP79" s="6"/>
      <c r="BX79" s="45" t="s">
        <v>636</v>
      </c>
      <c r="BY79" s="45" t="s">
        <v>6</v>
      </c>
      <c r="BZ79" s="45" t="s">
        <v>35</v>
      </c>
      <c r="CA79" s="55">
        <v>46177</v>
      </c>
      <c r="CB79" s="1">
        <f>IF(IND_JUNIO_2026[[#This Row],[IND_CANTFalta]]=1,0,IF(1-(IND_JUNIO_2026[[#This Row],[IND_Tardanza Tiempo]]*100%/0.166666666666667)&lt;0,0,1-(IND_JUNIO_2026[[#This Row],[IND_Tardanza Tiempo]]*100%/0.166666666666667)))</f>
        <v>0.99944444444444447</v>
      </c>
      <c r="CC79" s="45"/>
      <c r="CD79" s="93">
        <v>9.2592592592592588E-5</v>
      </c>
      <c r="CE79">
        <v>10</v>
      </c>
      <c r="CF79">
        <v>1</v>
      </c>
      <c r="CG79" s="1">
        <f>IFERROR(IND_JUNIO_2026[[#This Row],[IND_PDP]]/IND_JUNIO_2026[[#This Row],[IND_CEF Unico]],"")</f>
        <v>0.1</v>
      </c>
      <c r="CH79">
        <v>210</v>
      </c>
      <c r="CJ79" s="1">
        <f>IFERROR(IND_JUNIO_2026[[#This Row],[IND_Recupero]]/IND_JUNIO_2026[[#This Row],[IND_MontoPDP]],"")</f>
        <v>0</v>
      </c>
      <c r="CK79" s="1" t="str">
        <f>IFERROR(IND_JUNIO_2026[[#This Row],[IND_MontoPDP]]/IND_JUNIO_2026[[#This Row],[DK]],"")</f>
        <v/>
      </c>
      <c r="CL79" t="s">
        <v>548</v>
      </c>
      <c r="CM79">
        <f>IFERROR(IND_JUNIO_2026[[#This Row],[IND_MontoPDP]]/IND_JUNIO_2026[[#This Row],[IND_PDP]],"")</f>
        <v>210</v>
      </c>
    </row>
    <row r="80" spans="7:91" x14ac:dyDescent="0.25">
      <c r="AP80" s="6"/>
      <c r="BX80" s="45" t="s">
        <v>636</v>
      </c>
      <c r="BY80" s="45" t="s">
        <v>6</v>
      </c>
      <c r="BZ80" s="45" t="s">
        <v>35</v>
      </c>
      <c r="CA80" s="55">
        <v>46178</v>
      </c>
      <c r="CB80" s="1">
        <f>IF(IND_JUNIO_2026[[#This Row],[IND_CANTFalta]]=1,0,IF(1-(IND_JUNIO_2026[[#This Row],[IND_Tardanza Tiempo]]*100%/0.166666666666667)&lt;0,0,1-(IND_JUNIO_2026[[#This Row],[IND_Tardanza Tiempo]]*100%/0.166666666666667)))</f>
        <v>0.99937500000000001</v>
      </c>
      <c r="CC80" s="45"/>
      <c r="CD80" s="93">
        <v>1.0416666666666667E-4</v>
      </c>
      <c r="CE80">
        <v>7</v>
      </c>
      <c r="CG80" s="1">
        <f>IFERROR(IND_JUNIO_2026[[#This Row],[IND_PDP]]/IND_JUNIO_2026[[#This Row],[IND_CEF Unico]],"")</f>
        <v>0</v>
      </c>
      <c r="CJ80" s="1" t="str">
        <f>IFERROR(IND_JUNIO_2026[[#This Row],[IND_Recupero]]/IND_JUNIO_2026[[#This Row],[IND_MontoPDP]],"")</f>
        <v/>
      </c>
      <c r="CK80" s="1" t="str">
        <f>IFERROR(IND_JUNIO_2026[[#This Row],[IND_MontoPDP]]/IND_JUNIO_2026[[#This Row],[DK]],"")</f>
        <v/>
      </c>
      <c r="CL80" t="s">
        <v>548</v>
      </c>
      <c r="CM80" t="str">
        <f>IFERROR(IND_JUNIO_2026[[#This Row],[IND_MontoPDP]]/IND_JUNIO_2026[[#This Row],[IND_PDP]],"")</f>
        <v/>
      </c>
    </row>
    <row r="81" spans="42:91" x14ac:dyDescent="0.25">
      <c r="AP81" s="6"/>
      <c r="BX81" s="45" t="s">
        <v>636</v>
      </c>
      <c r="BY81" s="45" t="s">
        <v>6</v>
      </c>
      <c r="BZ81" s="45" t="s">
        <v>31</v>
      </c>
      <c r="CA81" s="55">
        <v>46174</v>
      </c>
      <c r="CB81" s="1">
        <f>IF(IND_JUNIO_2026[[#This Row],[IND_CANTFalta]]=1,0,IF(1-(IND_JUNIO_2026[[#This Row],[IND_Tardanza Tiempo]]*100%/0.166666666666667)&lt;0,0,1-(IND_JUNIO_2026[[#This Row],[IND_Tardanza Tiempo]]*100%/0.166666666666667)))</f>
        <v>0.9959027777777778</v>
      </c>
      <c r="CC81" s="45"/>
      <c r="CD81" s="93">
        <v>6.8287037037037036E-4</v>
      </c>
      <c r="CE81">
        <v>13</v>
      </c>
      <c r="CF81">
        <v>1</v>
      </c>
      <c r="CG81" s="1">
        <f>IFERROR(IND_JUNIO_2026[[#This Row],[IND_PDP]]/IND_JUNIO_2026[[#This Row],[IND_CEF Unico]],"")</f>
        <v>7.6923076923076927E-2</v>
      </c>
      <c r="CH81">
        <v>1000</v>
      </c>
      <c r="CI81">
        <v>1000</v>
      </c>
      <c r="CJ81" s="1">
        <f>IFERROR(IND_JUNIO_2026[[#This Row],[IND_Recupero]]/IND_JUNIO_2026[[#This Row],[IND_MontoPDP]],"")</f>
        <v>1</v>
      </c>
      <c r="CK81" s="1">
        <f>IFERROR(IND_JUNIO_2026[[#This Row],[IND_MontoPDP]]/IND_JUNIO_2026[[#This Row],[DK]],"")</f>
        <v>0.49080000000000001</v>
      </c>
      <c r="CL81">
        <v>2037.4898125509371</v>
      </c>
      <c r="CM81">
        <f>IFERROR(IND_JUNIO_2026[[#This Row],[IND_MontoPDP]]/IND_JUNIO_2026[[#This Row],[IND_PDP]],"")</f>
        <v>1000</v>
      </c>
    </row>
    <row r="82" spans="42:91" x14ac:dyDescent="0.25">
      <c r="AP82" s="6"/>
      <c r="BX82" s="45" t="s">
        <v>636</v>
      </c>
      <c r="BY82" s="45" t="s">
        <v>6</v>
      </c>
      <c r="BZ82" s="45" t="s">
        <v>31</v>
      </c>
      <c r="CA82" s="55">
        <v>46175</v>
      </c>
      <c r="CB82" s="1">
        <f>IF(IND_JUNIO_2026[[#This Row],[IND_CANTFalta]]=1,0,IF(1-(IND_JUNIO_2026[[#This Row],[IND_Tardanza Tiempo]]*100%/0.166666666666667)&lt;0,0,1-(IND_JUNIO_2026[[#This Row],[IND_Tardanza Tiempo]]*100%/0.166666666666667)))</f>
        <v>0.99402777777777784</v>
      </c>
      <c r="CC82" s="45"/>
      <c r="CD82" s="93">
        <v>9.9537037037037042E-4</v>
      </c>
      <c r="CE82">
        <v>16</v>
      </c>
      <c r="CF82">
        <v>1</v>
      </c>
      <c r="CG82" s="1">
        <f>IFERROR(IND_JUNIO_2026[[#This Row],[IND_PDP]]/IND_JUNIO_2026[[#This Row],[IND_CEF Unico]],"")</f>
        <v>6.25E-2</v>
      </c>
      <c r="CH82">
        <v>80</v>
      </c>
      <c r="CI82">
        <v>80</v>
      </c>
      <c r="CJ82" s="1">
        <f>IFERROR(IND_JUNIO_2026[[#This Row],[IND_Recupero]]/IND_JUNIO_2026[[#This Row],[IND_MontoPDP]],"")</f>
        <v>1</v>
      </c>
      <c r="CK82" s="1" t="str">
        <f>IFERROR(IND_JUNIO_2026[[#This Row],[IND_MontoPDP]]/IND_JUNIO_2026[[#This Row],[DK]],"")</f>
        <v/>
      </c>
      <c r="CL82" t="s">
        <v>548</v>
      </c>
      <c r="CM82">
        <f>IFERROR(IND_JUNIO_2026[[#This Row],[IND_MontoPDP]]/IND_JUNIO_2026[[#This Row],[IND_PDP]],"")</f>
        <v>80</v>
      </c>
    </row>
    <row r="83" spans="42:91" x14ac:dyDescent="0.25">
      <c r="AP83" s="6"/>
      <c r="AQ83" s="4"/>
      <c r="BX83" s="45" t="s">
        <v>636</v>
      </c>
      <c r="BY83" s="45" t="s">
        <v>6</v>
      </c>
      <c r="BZ83" s="45" t="s">
        <v>31</v>
      </c>
      <c r="CA83" s="55">
        <v>46176</v>
      </c>
      <c r="CB83" s="1">
        <f>IF(IND_JUNIO_2026[[#This Row],[IND_CANTFalta]]=1,0,IF(1-(IND_JUNIO_2026[[#This Row],[IND_Tardanza Tiempo]]*100%/0.166666666666667)&lt;0,0,1-(IND_JUNIO_2026[[#This Row],[IND_Tardanza Tiempo]]*100%/0.166666666666667)))</f>
        <v>0.99909722222222219</v>
      </c>
      <c r="CC83" s="45"/>
      <c r="CD83" s="93">
        <v>1.5046296296296297E-4</v>
      </c>
      <c r="CE83">
        <v>14</v>
      </c>
      <c r="CG83" s="1">
        <f>IFERROR(IND_JUNIO_2026[[#This Row],[IND_PDP]]/IND_JUNIO_2026[[#This Row],[IND_CEF Unico]],"")</f>
        <v>0</v>
      </c>
      <c r="CJ83" s="1" t="str">
        <f>IFERROR(IND_JUNIO_2026[[#This Row],[IND_Recupero]]/IND_JUNIO_2026[[#This Row],[IND_MontoPDP]],"")</f>
        <v/>
      </c>
      <c r="CK83" s="1" t="str">
        <f>IFERROR(IND_JUNIO_2026[[#This Row],[IND_MontoPDP]]/IND_JUNIO_2026[[#This Row],[DK]],"")</f>
        <v/>
      </c>
      <c r="CL83" t="s">
        <v>548</v>
      </c>
      <c r="CM83" t="str">
        <f>IFERROR(IND_JUNIO_2026[[#This Row],[IND_MontoPDP]]/IND_JUNIO_2026[[#This Row],[IND_PDP]],"")</f>
        <v/>
      </c>
    </row>
    <row r="84" spans="42:91" x14ac:dyDescent="0.25">
      <c r="AP84" s="6"/>
      <c r="AQ84" s="6"/>
      <c r="BX84" s="45" t="s">
        <v>636</v>
      </c>
      <c r="BY84" s="45" t="s">
        <v>6</v>
      </c>
      <c r="BZ84" s="45" t="s">
        <v>31</v>
      </c>
      <c r="CA84" s="55">
        <v>46177</v>
      </c>
      <c r="CB84" s="1">
        <f>IF(IND_JUNIO_2026[[#This Row],[IND_CANTFalta]]=1,0,IF(1-(IND_JUNIO_2026[[#This Row],[IND_Tardanza Tiempo]]*100%/0.166666666666667)&lt;0,0,1-(IND_JUNIO_2026[[#This Row],[IND_Tardanza Tiempo]]*100%/0.166666666666667)))</f>
        <v>0.99944444444444447</v>
      </c>
      <c r="CC84" s="45"/>
      <c r="CD84" s="93">
        <v>9.2592592592592588E-5</v>
      </c>
      <c r="CE84">
        <v>12</v>
      </c>
      <c r="CF84">
        <v>3</v>
      </c>
      <c r="CG84" s="1">
        <f>IFERROR(IND_JUNIO_2026[[#This Row],[IND_PDP]]/IND_JUNIO_2026[[#This Row],[IND_CEF Unico]],"")</f>
        <v>0.25</v>
      </c>
      <c r="CH84">
        <v>13000</v>
      </c>
      <c r="CI84">
        <v>9000</v>
      </c>
      <c r="CJ84" s="1">
        <f>IFERROR(IND_JUNIO_2026[[#This Row],[IND_Recupero]]/IND_JUNIO_2026[[#This Row],[IND_MontoPDP]],"")</f>
        <v>0.69230769230769229</v>
      </c>
      <c r="CK84" s="1">
        <f>IFERROR(IND_JUNIO_2026[[#This Row],[IND_MontoPDP]]/IND_JUNIO_2026[[#This Row],[DK]],"")</f>
        <v>0.1507</v>
      </c>
      <c r="CL84">
        <v>86264.100862641004</v>
      </c>
      <c r="CM84">
        <f>IFERROR(IND_JUNIO_2026[[#This Row],[IND_MontoPDP]]/IND_JUNIO_2026[[#This Row],[IND_PDP]],"")</f>
        <v>4333.333333333333</v>
      </c>
    </row>
    <row r="85" spans="42:91" x14ac:dyDescent="0.25">
      <c r="AP85" s="6"/>
      <c r="AQ85" s="6"/>
      <c r="BX85" s="45" t="s">
        <v>636</v>
      </c>
      <c r="BY85" s="45" t="s">
        <v>6</v>
      </c>
      <c r="BZ85" s="45" t="s">
        <v>31</v>
      </c>
      <c r="CA85" s="55">
        <v>46178</v>
      </c>
      <c r="CB85" s="1">
        <f>IF(IND_JUNIO_2026[[#This Row],[IND_CANTFalta]]=1,0,IF(1-(IND_JUNIO_2026[[#This Row],[IND_Tardanza Tiempo]]*100%/0.166666666666667)&lt;0,0,1-(IND_JUNIO_2026[[#This Row],[IND_Tardanza Tiempo]]*100%/0.166666666666667)))</f>
        <v>0.99868055555555557</v>
      </c>
      <c r="CC85" s="45"/>
      <c r="CD85" s="93">
        <v>2.199074074074074E-4</v>
      </c>
      <c r="CE85">
        <v>4</v>
      </c>
      <c r="CG85" s="1">
        <f>IFERROR(IND_JUNIO_2026[[#This Row],[IND_PDP]]/IND_JUNIO_2026[[#This Row],[IND_CEF Unico]],"")</f>
        <v>0</v>
      </c>
      <c r="CJ85" s="1" t="str">
        <f>IFERROR(IND_JUNIO_2026[[#This Row],[IND_Recupero]]/IND_JUNIO_2026[[#This Row],[IND_MontoPDP]],"")</f>
        <v/>
      </c>
      <c r="CK85" s="1" t="str">
        <f>IFERROR(IND_JUNIO_2026[[#This Row],[IND_MontoPDP]]/IND_JUNIO_2026[[#This Row],[DK]],"")</f>
        <v/>
      </c>
      <c r="CL85" t="s">
        <v>548</v>
      </c>
      <c r="CM85" t="str">
        <f>IFERROR(IND_JUNIO_2026[[#This Row],[IND_MontoPDP]]/IND_JUNIO_2026[[#This Row],[IND_PDP]],"")</f>
        <v/>
      </c>
    </row>
    <row r="86" spans="42:91" x14ac:dyDescent="0.25">
      <c r="AP86" s="6"/>
      <c r="AQ86" s="6"/>
      <c r="BX86" s="45" t="s">
        <v>636</v>
      </c>
      <c r="BY86" s="45" t="s">
        <v>6</v>
      </c>
      <c r="BZ86" s="45" t="s">
        <v>38</v>
      </c>
      <c r="CA86" s="55">
        <v>46175</v>
      </c>
      <c r="CB86" s="1">
        <f>IF(IND_JUNIO_2026[[#This Row],[IND_CANTFalta]]=1,0,IF(1-(IND_JUNIO_2026[[#This Row],[IND_Tardanza Tiempo]]*100%/0.166666666666667)&lt;0,0,1-(IND_JUNIO_2026[[#This Row],[IND_Tardanza Tiempo]]*100%/0.166666666666667)))</f>
        <v>0.9868055555555556</v>
      </c>
      <c r="CC86" s="45"/>
      <c r="CD86" s="93">
        <v>2.1990740740740742E-3</v>
      </c>
      <c r="CE86">
        <v>23</v>
      </c>
      <c r="CG86" s="1">
        <f>IFERROR(IND_JUNIO_2026[[#This Row],[IND_PDP]]/IND_JUNIO_2026[[#This Row],[IND_CEF Unico]],"")</f>
        <v>0</v>
      </c>
      <c r="CJ86" s="1" t="str">
        <f>IFERROR(IND_JUNIO_2026[[#This Row],[IND_Recupero]]/IND_JUNIO_2026[[#This Row],[IND_MontoPDP]],"")</f>
        <v/>
      </c>
      <c r="CK86" s="1" t="str">
        <f>IFERROR(IND_JUNIO_2026[[#This Row],[IND_MontoPDP]]/IND_JUNIO_2026[[#This Row],[DK]],"")</f>
        <v/>
      </c>
      <c r="CL86" t="s">
        <v>548</v>
      </c>
      <c r="CM86" t="str">
        <f>IFERROR(IND_JUNIO_2026[[#This Row],[IND_MontoPDP]]/IND_JUNIO_2026[[#This Row],[IND_PDP]],"")</f>
        <v/>
      </c>
    </row>
    <row r="87" spans="42:91" x14ac:dyDescent="0.25">
      <c r="AP87" s="6"/>
      <c r="AQ87" s="6"/>
      <c r="BX87" s="45" t="s">
        <v>636</v>
      </c>
      <c r="BY87" s="45" t="s">
        <v>6</v>
      </c>
      <c r="BZ87" s="45" t="s">
        <v>38</v>
      </c>
      <c r="CA87" s="55">
        <v>46176</v>
      </c>
      <c r="CB87" s="1">
        <f>IF(IND_JUNIO_2026[[#This Row],[IND_CANTFalta]]=1,0,IF(1-(IND_JUNIO_2026[[#This Row],[IND_Tardanza Tiempo]]*100%/0.166666666666667)&lt;0,0,1-(IND_JUNIO_2026[[#This Row],[IND_Tardanza Tiempo]]*100%/0.166666666666667)))</f>
        <v>0.9959027777777778</v>
      </c>
      <c r="CC87" s="45"/>
      <c r="CD87" s="93">
        <v>6.8287037037037036E-4</v>
      </c>
      <c r="CE87">
        <v>27</v>
      </c>
      <c r="CF87">
        <v>1</v>
      </c>
      <c r="CG87" s="1">
        <f>IFERROR(IND_JUNIO_2026[[#This Row],[IND_PDP]]/IND_JUNIO_2026[[#This Row],[IND_CEF Unico]],"")</f>
        <v>3.7037037037037035E-2</v>
      </c>
      <c r="CH87">
        <v>398</v>
      </c>
      <c r="CJ87" s="1">
        <f>IFERROR(IND_JUNIO_2026[[#This Row],[IND_Recupero]]/IND_JUNIO_2026[[#This Row],[IND_MontoPDP]],"")</f>
        <v>0</v>
      </c>
      <c r="CK87" s="1" t="str">
        <f>IFERROR(IND_JUNIO_2026[[#This Row],[IND_MontoPDP]]/IND_JUNIO_2026[[#This Row],[DK]],"")</f>
        <v/>
      </c>
      <c r="CL87" t="s">
        <v>548</v>
      </c>
      <c r="CM87">
        <f>IFERROR(IND_JUNIO_2026[[#This Row],[IND_MontoPDP]]/IND_JUNIO_2026[[#This Row],[IND_PDP]],"")</f>
        <v>398</v>
      </c>
    </row>
    <row r="88" spans="42:91" x14ac:dyDescent="0.25">
      <c r="AP88" s="6"/>
      <c r="AQ88" s="6"/>
      <c r="BX88" s="45" t="s">
        <v>636</v>
      </c>
      <c r="BY88" s="45" t="s">
        <v>6</v>
      </c>
      <c r="BZ88" s="45" t="s">
        <v>38</v>
      </c>
      <c r="CA88" s="55">
        <v>46177</v>
      </c>
      <c r="CB88" s="1">
        <f>IF(IND_JUNIO_2026[[#This Row],[IND_CANTFalta]]=1,0,IF(1-(IND_JUNIO_2026[[#This Row],[IND_Tardanza Tiempo]]*100%/0.166666666666667)&lt;0,0,1-(IND_JUNIO_2026[[#This Row],[IND_Tardanza Tiempo]]*100%/0.166666666666667)))</f>
        <v>0.99868055555555557</v>
      </c>
      <c r="CC88" s="45"/>
      <c r="CD88" s="93">
        <v>2.199074074074074E-4</v>
      </c>
      <c r="CE88">
        <v>23</v>
      </c>
      <c r="CF88">
        <v>2</v>
      </c>
      <c r="CG88" s="1">
        <f>IFERROR(IND_JUNIO_2026[[#This Row],[IND_PDP]]/IND_JUNIO_2026[[#This Row],[IND_CEF Unico]],"")</f>
        <v>8.6956521739130432E-2</v>
      </c>
      <c r="CH88">
        <v>1186</v>
      </c>
      <c r="CJ88" s="1">
        <f>IFERROR(IND_JUNIO_2026[[#This Row],[IND_Recupero]]/IND_JUNIO_2026[[#This Row],[IND_MontoPDP]],"")</f>
        <v>0</v>
      </c>
      <c r="CK88" s="1" t="str">
        <f>IFERROR(IND_JUNIO_2026[[#This Row],[IND_MontoPDP]]/IND_JUNIO_2026[[#This Row],[DK]],"")</f>
        <v/>
      </c>
      <c r="CL88" t="s">
        <v>548</v>
      </c>
      <c r="CM88">
        <f>IFERROR(IND_JUNIO_2026[[#This Row],[IND_MontoPDP]]/IND_JUNIO_2026[[#This Row],[IND_PDP]],"")</f>
        <v>593</v>
      </c>
    </row>
    <row r="89" spans="42:91" x14ac:dyDescent="0.25">
      <c r="AP89" s="6"/>
      <c r="AQ89" s="6"/>
      <c r="BX89" s="45" t="s">
        <v>636</v>
      </c>
      <c r="BY89" s="45" t="s">
        <v>6</v>
      </c>
      <c r="BZ89" s="45" t="s">
        <v>38</v>
      </c>
      <c r="CA89" s="55">
        <v>46178</v>
      </c>
      <c r="CB89" s="1">
        <f>IF(IND_JUNIO_2026[[#This Row],[IND_CANTFalta]]=1,0,IF(1-(IND_JUNIO_2026[[#This Row],[IND_Tardanza Tiempo]]*100%/0.166666666666667)&lt;0,0,1-(IND_JUNIO_2026[[#This Row],[IND_Tardanza Tiempo]]*100%/0.166666666666667)))</f>
        <v>0.99888888888888894</v>
      </c>
      <c r="CC89" s="45"/>
      <c r="CD89" s="93">
        <v>1.8518518518518518E-4</v>
      </c>
      <c r="CE89">
        <v>8</v>
      </c>
      <c r="CG89" s="1">
        <f>IFERROR(IND_JUNIO_2026[[#This Row],[IND_PDP]]/IND_JUNIO_2026[[#This Row],[IND_CEF Unico]],"")</f>
        <v>0</v>
      </c>
      <c r="CJ89" s="1" t="str">
        <f>IFERROR(IND_JUNIO_2026[[#This Row],[IND_Recupero]]/IND_JUNIO_2026[[#This Row],[IND_MontoPDP]],"")</f>
        <v/>
      </c>
      <c r="CK89" s="1" t="str">
        <f>IFERROR(IND_JUNIO_2026[[#This Row],[IND_MontoPDP]]/IND_JUNIO_2026[[#This Row],[DK]],"")</f>
        <v/>
      </c>
      <c r="CL89" t="s">
        <v>548</v>
      </c>
      <c r="CM89" t="str">
        <f>IFERROR(IND_JUNIO_2026[[#This Row],[IND_MontoPDP]]/IND_JUNIO_2026[[#This Row],[IND_PDP]],"")</f>
        <v/>
      </c>
    </row>
    <row r="90" spans="42:91" x14ac:dyDescent="0.25">
      <c r="AP90" s="6"/>
      <c r="AQ90" s="6"/>
      <c r="BX90" s="45" t="s">
        <v>636</v>
      </c>
      <c r="BY90" s="45" t="s">
        <v>6</v>
      </c>
      <c r="BZ90" s="45" t="s">
        <v>11</v>
      </c>
      <c r="CA90" s="55">
        <v>46174</v>
      </c>
      <c r="CB90" s="1">
        <f>IF(IND_JUNIO_2026[[#This Row],[IND_CANTFalta]]=1,0,IF(1-(IND_JUNIO_2026[[#This Row],[IND_Tardanza Tiempo]]*100%/0.166666666666667)&lt;0,0,1-(IND_JUNIO_2026[[#This Row],[IND_Tardanza Tiempo]]*100%/0.166666666666667)))</f>
        <v>0.99902777777777774</v>
      </c>
      <c r="CC90" s="45"/>
      <c r="CD90" s="93">
        <v>1.6203703703703703E-4</v>
      </c>
      <c r="CE90">
        <v>40</v>
      </c>
      <c r="CF90">
        <v>9</v>
      </c>
      <c r="CG90" s="1">
        <f>IFERROR(IND_JUNIO_2026[[#This Row],[IND_PDP]]/IND_JUNIO_2026[[#This Row],[IND_CEF Unico]],"")</f>
        <v>0.22500000000000001</v>
      </c>
      <c r="CH90">
        <v>12431</v>
      </c>
      <c r="CJ90" s="1">
        <f>IFERROR(IND_JUNIO_2026[[#This Row],[IND_Recupero]]/IND_JUNIO_2026[[#This Row],[IND_MontoPDP]],"")</f>
        <v>0</v>
      </c>
      <c r="CK90" s="1" t="str">
        <f>IFERROR(IND_JUNIO_2026[[#This Row],[IND_MontoPDP]]/IND_JUNIO_2026[[#This Row],[DK]],"")</f>
        <v/>
      </c>
      <c r="CL90" t="s">
        <v>548</v>
      </c>
      <c r="CM90">
        <f>IFERROR(IND_JUNIO_2026[[#This Row],[IND_MontoPDP]]/IND_JUNIO_2026[[#This Row],[IND_PDP]],"")</f>
        <v>1381.2222222222222</v>
      </c>
    </row>
    <row r="91" spans="42:91" x14ac:dyDescent="0.25">
      <c r="AP91" s="6"/>
      <c r="AQ91" s="6"/>
      <c r="BX91" s="45" t="s">
        <v>636</v>
      </c>
      <c r="BY91" s="45" t="s">
        <v>6</v>
      </c>
      <c r="BZ91" s="45" t="s">
        <v>11</v>
      </c>
      <c r="CA91" s="55">
        <v>46175</v>
      </c>
      <c r="CB91" s="1">
        <f>IF(IND_JUNIO_2026[[#This Row],[IND_CANTFalta]]=1,0,IF(1-(IND_JUNIO_2026[[#This Row],[IND_Tardanza Tiempo]]*100%/0.166666666666667)&lt;0,0,1-(IND_JUNIO_2026[[#This Row],[IND_Tardanza Tiempo]]*100%/0.166666666666667)))</f>
        <v>0.99958333333333338</v>
      </c>
      <c r="CC91" s="45"/>
      <c r="CD91" s="93">
        <v>6.9444444444444444E-5</v>
      </c>
      <c r="CE91">
        <v>19</v>
      </c>
      <c r="CF91">
        <v>2</v>
      </c>
      <c r="CG91" s="1">
        <f>IFERROR(IND_JUNIO_2026[[#This Row],[IND_PDP]]/IND_JUNIO_2026[[#This Row],[IND_CEF Unico]],"")</f>
        <v>0.10526315789473684</v>
      </c>
      <c r="CH91">
        <v>5000</v>
      </c>
      <c r="CI91">
        <v>4500</v>
      </c>
      <c r="CJ91" s="1">
        <f>IFERROR(IND_JUNIO_2026[[#This Row],[IND_Recupero]]/IND_JUNIO_2026[[#This Row],[IND_MontoPDP]],"")</f>
        <v>0.9</v>
      </c>
      <c r="CK91" s="1">
        <f>IFERROR(IND_JUNIO_2026[[#This Row],[IND_MontoPDP]]/IND_JUNIO_2026[[#This Row],[DK]],"")</f>
        <v>0.14580000000000001</v>
      </c>
      <c r="CL91">
        <v>34293.552812071328</v>
      </c>
      <c r="CM91">
        <f>IFERROR(IND_JUNIO_2026[[#This Row],[IND_MontoPDP]]/IND_JUNIO_2026[[#This Row],[IND_PDP]],"")</f>
        <v>2500</v>
      </c>
    </row>
    <row r="92" spans="42:91" x14ac:dyDescent="0.25">
      <c r="AP92" s="6"/>
      <c r="AQ92" s="6"/>
      <c r="BX92" s="45" t="s">
        <v>636</v>
      </c>
      <c r="BY92" s="45" t="s">
        <v>6</v>
      </c>
      <c r="BZ92" s="45" t="s">
        <v>11</v>
      </c>
      <c r="CA92" s="55">
        <v>46176</v>
      </c>
      <c r="CB92" s="1">
        <f>IF(IND_JUNIO_2026[[#This Row],[IND_CANTFalta]]=1,0,IF(1-(IND_JUNIO_2026[[#This Row],[IND_Tardanza Tiempo]]*100%/0.166666666666667)&lt;0,0,1-(IND_JUNIO_2026[[#This Row],[IND_Tardanza Tiempo]]*100%/0.166666666666667)))</f>
        <v>0.99909722222222219</v>
      </c>
      <c r="CC92" s="45"/>
      <c r="CD92" s="93">
        <v>1.5046296296296297E-4</v>
      </c>
      <c r="CE92">
        <v>12</v>
      </c>
      <c r="CG92" s="1">
        <f>IFERROR(IND_JUNIO_2026[[#This Row],[IND_PDP]]/IND_JUNIO_2026[[#This Row],[IND_CEF Unico]],"")</f>
        <v>0</v>
      </c>
      <c r="CJ92" s="1" t="str">
        <f>IFERROR(IND_JUNIO_2026[[#This Row],[IND_Recupero]]/IND_JUNIO_2026[[#This Row],[IND_MontoPDP]],"")</f>
        <v/>
      </c>
      <c r="CK92" s="1" t="str">
        <f>IFERROR(IND_JUNIO_2026[[#This Row],[IND_MontoPDP]]/IND_JUNIO_2026[[#This Row],[DK]],"")</f>
        <v/>
      </c>
      <c r="CL92" t="s">
        <v>548</v>
      </c>
      <c r="CM92" t="str">
        <f>IFERROR(IND_JUNIO_2026[[#This Row],[IND_MontoPDP]]/IND_JUNIO_2026[[#This Row],[IND_PDP]],"")</f>
        <v/>
      </c>
    </row>
    <row r="93" spans="42:91" x14ac:dyDescent="0.25">
      <c r="AP93" s="6"/>
      <c r="AQ93" s="6"/>
      <c r="BX93" s="45" t="s">
        <v>636</v>
      </c>
      <c r="BY93" s="45" t="s">
        <v>6</v>
      </c>
      <c r="BZ93" s="45" t="s">
        <v>11</v>
      </c>
      <c r="CA93" s="55">
        <v>46177</v>
      </c>
      <c r="CB93" s="1">
        <f>IF(IND_JUNIO_2026[[#This Row],[IND_CANTFalta]]=1,0,IF(1-(IND_JUNIO_2026[[#This Row],[IND_Tardanza Tiempo]]*100%/0.166666666666667)&lt;0,0,1-(IND_JUNIO_2026[[#This Row],[IND_Tardanza Tiempo]]*100%/0.166666666666667)))</f>
        <v>0.99958333333333338</v>
      </c>
      <c r="CC93" s="45"/>
      <c r="CD93" s="93">
        <v>6.9444444444444444E-5</v>
      </c>
      <c r="CE93">
        <v>18</v>
      </c>
      <c r="CF93">
        <v>2</v>
      </c>
      <c r="CG93" s="1">
        <f>IFERROR(IND_JUNIO_2026[[#This Row],[IND_PDP]]/IND_JUNIO_2026[[#This Row],[IND_CEF Unico]],"")</f>
        <v>0.1111111111111111</v>
      </c>
      <c r="CH93">
        <v>2700</v>
      </c>
      <c r="CI93">
        <v>2700</v>
      </c>
      <c r="CJ93" s="1">
        <f>IFERROR(IND_JUNIO_2026[[#This Row],[IND_Recupero]]/IND_JUNIO_2026[[#This Row],[IND_MontoPDP]],"")</f>
        <v>1</v>
      </c>
      <c r="CK93" s="1">
        <f>IFERROR(IND_JUNIO_2026[[#This Row],[IND_MontoPDP]]/IND_JUNIO_2026[[#This Row],[DK]],"")</f>
        <v>0.1076</v>
      </c>
      <c r="CL93">
        <v>25092.936802973978</v>
      </c>
      <c r="CM93">
        <f>IFERROR(IND_JUNIO_2026[[#This Row],[IND_MontoPDP]]/IND_JUNIO_2026[[#This Row],[IND_PDP]],"")</f>
        <v>1350</v>
      </c>
    </row>
    <row r="94" spans="42:91" x14ac:dyDescent="0.25">
      <c r="AP94" s="6"/>
      <c r="AQ94" s="6"/>
      <c r="BX94" s="45" t="s">
        <v>636</v>
      </c>
      <c r="BY94" s="45" t="s">
        <v>6</v>
      </c>
      <c r="BZ94" s="45" t="s">
        <v>11</v>
      </c>
      <c r="CA94" s="55">
        <v>46178</v>
      </c>
      <c r="CB94" s="1">
        <f>IF(IND_JUNIO_2026[[#This Row],[IND_CANTFalta]]=1,0,IF(1-(IND_JUNIO_2026[[#This Row],[IND_Tardanza Tiempo]]*100%/0.166666666666667)&lt;0,0,1-(IND_JUNIO_2026[[#This Row],[IND_Tardanza Tiempo]]*100%/0.166666666666667)))</f>
        <v>0.99916666666666665</v>
      </c>
      <c r="CC94" s="45"/>
      <c r="CD94" s="93">
        <v>1.3888888888888889E-4</v>
      </c>
      <c r="CE94">
        <v>4</v>
      </c>
      <c r="CG94" s="1">
        <f>IFERROR(IND_JUNIO_2026[[#This Row],[IND_PDP]]/IND_JUNIO_2026[[#This Row],[IND_CEF Unico]],"")</f>
        <v>0</v>
      </c>
      <c r="CJ94" s="1" t="str">
        <f>IFERROR(IND_JUNIO_2026[[#This Row],[IND_Recupero]]/IND_JUNIO_2026[[#This Row],[IND_MontoPDP]],"")</f>
        <v/>
      </c>
      <c r="CK94" s="1" t="str">
        <f>IFERROR(IND_JUNIO_2026[[#This Row],[IND_MontoPDP]]/IND_JUNIO_2026[[#This Row],[DK]],"")</f>
        <v/>
      </c>
      <c r="CL94" t="s">
        <v>548</v>
      </c>
      <c r="CM94" t="str">
        <f>IFERROR(IND_JUNIO_2026[[#This Row],[IND_MontoPDP]]/IND_JUNIO_2026[[#This Row],[IND_PDP]],"")</f>
        <v/>
      </c>
    </row>
    <row r="95" spans="42:91" x14ac:dyDescent="0.25">
      <c r="AP95" s="6"/>
      <c r="AQ95" s="6"/>
      <c r="BX95" s="45" t="s">
        <v>636</v>
      </c>
      <c r="BY95" s="45" t="s">
        <v>6</v>
      </c>
      <c r="BZ95" s="45" t="s">
        <v>97</v>
      </c>
      <c r="CA95" s="55">
        <v>46174</v>
      </c>
      <c r="CB95" s="1">
        <f>IF(IND_JUNIO_2026[[#This Row],[IND_CANTFalta]]=1,0,IF(1-(IND_JUNIO_2026[[#This Row],[IND_Tardanza Tiempo]]*100%/0.166666666666667)&lt;0,0,1-(IND_JUNIO_2026[[#This Row],[IND_Tardanza Tiempo]]*100%/0.166666666666667)))</f>
        <v>0.99972222222222218</v>
      </c>
      <c r="CC95" s="45"/>
      <c r="CD95" s="93">
        <v>4.6296296296296294E-5</v>
      </c>
      <c r="CE95">
        <v>36</v>
      </c>
      <c r="CF95">
        <v>26</v>
      </c>
      <c r="CG95" s="1">
        <f>IFERROR(IND_JUNIO_2026[[#This Row],[IND_PDP]]/IND_JUNIO_2026[[#This Row],[IND_CEF Unico]],"")</f>
        <v>0.72222222222222221</v>
      </c>
      <c r="CH95">
        <v>18654</v>
      </c>
      <c r="CI95">
        <v>7010</v>
      </c>
      <c r="CJ95" s="1">
        <f>IFERROR(IND_JUNIO_2026[[#This Row],[IND_Recupero]]/IND_JUNIO_2026[[#This Row],[IND_MontoPDP]],"")</f>
        <v>0.37579071512812268</v>
      </c>
      <c r="CK95" s="1">
        <f>IFERROR(IND_JUNIO_2026[[#This Row],[IND_MontoPDP]]/IND_JUNIO_2026[[#This Row],[DK]],"")</f>
        <v>0.37859999999999999</v>
      </c>
      <c r="CL95">
        <v>49270.998415213944</v>
      </c>
      <c r="CM95">
        <f>IFERROR(IND_JUNIO_2026[[#This Row],[IND_MontoPDP]]/IND_JUNIO_2026[[#This Row],[IND_PDP]],"")</f>
        <v>717.46153846153845</v>
      </c>
    </row>
    <row r="96" spans="42:91" x14ac:dyDescent="0.25">
      <c r="AP96" s="6"/>
      <c r="AQ96" s="6"/>
      <c r="BX96" s="45" t="s">
        <v>636</v>
      </c>
      <c r="BY96" s="45" t="s">
        <v>6</v>
      </c>
      <c r="BZ96" s="45" t="s">
        <v>97</v>
      </c>
      <c r="CA96" s="55">
        <v>46175</v>
      </c>
      <c r="CB96" s="1">
        <f>IF(IND_JUNIO_2026[[#This Row],[IND_CANTFalta]]=1,0,IF(1-(IND_JUNIO_2026[[#This Row],[IND_Tardanza Tiempo]]*100%/0.166666666666667)&lt;0,0,1-(IND_JUNIO_2026[[#This Row],[IND_Tardanza Tiempo]]*100%/0.166666666666667)))</f>
        <v>0.99951388888888892</v>
      </c>
      <c r="CC96" s="45"/>
      <c r="CD96" s="93">
        <v>8.1018518518518516E-5</v>
      </c>
      <c r="CE96">
        <v>15</v>
      </c>
      <c r="CF96">
        <v>3</v>
      </c>
      <c r="CG96" s="1">
        <f>IFERROR(IND_JUNIO_2026[[#This Row],[IND_PDP]]/IND_JUNIO_2026[[#This Row],[IND_CEF Unico]],"")</f>
        <v>0.2</v>
      </c>
      <c r="CH96">
        <v>5514</v>
      </c>
      <c r="CI96">
        <v>5000</v>
      </c>
      <c r="CJ96" s="1">
        <f>IFERROR(IND_JUNIO_2026[[#This Row],[IND_Recupero]]/IND_JUNIO_2026[[#This Row],[IND_MontoPDP]],"")</f>
        <v>0.90678273485672833</v>
      </c>
      <c r="CK96" s="1" t="str">
        <f>IFERROR(IND_JUNIO_2026[[#This Row],[IND_MontoPDP]]/IND_JUNIO_2026[[#This Row],[DK]],"")</f>
        <v/>
      </c>
      <c r="CL96" t="s">
        <v>548</v>
      </c>
      <c r="CM96">
        <f>IFERROR(IND_JUNIO_2026[[#This Row],[IND_MontoPDP]]/IND_JUNIO_2026[[#This Row],[IND_PDP]],"")</f>
        <v>1838</v>
      </c>
    </row>
    <row r="97" spans="42:91" x14ac:dyDescent="0.25">
      <c r="AP97" s="6"/>
      <c r="AQ97" s="6"/>
      <c r="BX97" s="45" t="s">
        <v>636</v>
      </c>
      <c r="BY97" s="45" t="s">
        <v>6</v>
      </c>
      <c r="BZ97" s="45" t="s">
        <v>97</v>
      </c>
      <c r="CA97" s="55">
        <v>46176</v>
      </c>
      <c r="CB97" s="1">
        <f>IF(IND_JUNIO_2026[[#This Row],[IND_CANTFalta]]=1,0,IF(1-(IND_JUNIO_2026[[#This Row],[IND_Tardanza Tiempo]]*100%/0.166666666666667)&lt;0,0,1-(IND_JUNIO_2026[[#This Row],[IND_Tardanza Tiempo]]*100%/0.166666666666667)))</f>
        <v>0.99979166666666663</v>
      </c>
      <c r="CC97" s="45"/>
      <c r="CD97" s="93">
        <v>3.4722222222222222E-5</v>
      </c>
      <c r="CE97">
        <v>17</v>
      </c>
      <c r="CF97">
        <v>1</v>
      </c>
      <c r="CG97" s="1">
        <f>IFERROR(IND_JUNIO_2026[[#This Row],[IND_PDP]]/IND_JUNIO_2026[[#This Row],[IND_CEF Unico]],"")</f>
        <v>5.8823529411764705E-2</v>
      </c>
      <c r="CH97">
        <v>3000</v>
      </c>
      <c r="CJ97" s="1">
        <f>IFERROR(IND_JUNIO_2026[[#This Row],[IND_Recupero]]/IND_JUNIO_2026[[#This Row],[IND_MontoPDP]],"")</f>
        <v>0</v>
      </c>
      <c r="CK97" s="1" t="str">
        <f>IFERROR(IND_JUNIO_2026[[#This Row],[IND_MontoPDP]]/IND_JUNIO_2026[[#This Row],[DK]],"")</f>
        <v/>
      </c>
      <c r="CL97" t="s">
        <v>548</v>
      </c>
      <c r="CM97">
        <f>IFERROR(IND_JUNIO_2026[[#This Row],[IND_MontoPDP]]/IND_JUNIO_2026[[#This Row],[IND_PDP]],"")</f>
        <v>3000</v>
      </c>
    </row>
    <row r="98" spans="42:91" x14ac:dyDescent="0.25">
      <c r="AP98" s="6"/>
      <c r="AQ98" s="6"/>
      <c r="BX98" s="45" t="s">
        <v>636</v>
      </c>
      <c r="BY98" s="45" t="s">
        <v>6</v>
      </c>
      <c r="BZ98" s="45" t="s">
        <v>97</v>
      </c>
      <c r="CA98" s="55">
        <v>46177</v>
      </c>
      <c r="CB98" s="1">
        <f>IF(IND_JUNIO_2026[[#This Row],[IND_CANTFalta]]=1,0,IF(1-(IND_JUNIO_2026[[#This Row],[IND_Tardanza Tiempo]]*100%/0.166666666666667)&lt;0,0,1-(IND_JUNIO_2026[[#This Row],[IND_Tardanza Tiempo]]*100%/0.166666666666667)))</f>
        <v>0.99972222222222218</v>
      </c>
      <c r="CC98" s="45"/>
      <c r="CD98" s="93">
        <v>4.6296296296296294E-5</v>
      </c>
      <c r="CE98">
        <v>13</v>
      </c>
      <c r="CG98" s="1">
        <f>IFERROR(IND_JUNIO_2026[[#This Row],[IND_PDP]]/IND_JUNIO_2026[[#This Row],[IND_CEF Unico]],"")</f>
        <v>0</v>
      </c>
      <c r="CJ98" s="1" t="str">
        <f>IFERROR(IND_JUNIO_2026[[#This Row],[IND_Recupero]]/IND_JUNIO_2026[[#This Row],[IND_MontoPDP]],"")</f>
        <v/>
      </c>
      <c r="CK98" s="1" t="str">
        <f>IFERROR(IND_JUNIO_2026[[#This Row],[IND_MontoPDP]]/IND_JUNIO_2026[[#This Row],[DK]],"")</f>
        <v/>
      </c>
      <c r="CL98" t="s">
        <v>548</v>
      </c>
      <c r="CM98" t="str">
        <f>IFERROR(IND_JUNIO_2026[[#This Row],[IND_MontoPDP]]/IND_JUNIO_2026[[#This Row],[IND_PDP]],"")</f>
        <v/>
      </c>
    </row>
    <row r="99" spans="42:91" x14ac:dyDescent="0.25">
      <c r="AP99" s="6"/>
      <c r="AQ99" s="6"/>
      <c r="BX99" s="45" t="s">
        <v>636</v>
      </c>
      <c r="BY99" s="45" t="s">
        <v>6</v>
      </c>
      <c r="BZ99" s="45" t="s">
        <v>97</v>
      </c>
      <c r="CA99" s="55">
        <v>46178</v>
      </c>
      <c r="CB99" s="1">
        <f>IF(IND_JUNIO_2026[[#This Row],[IND_CANTFalta]]=1,0,IF(1-(IND_JUNIO_2026[[#This Row],[IND_Tardanza Tiempo]]*100%/0.166666666666667)&lt;0,0,1-(IND_JUNIO_2026[[#This Row],[IND_Tardanza Tiempo]]*100%/0.166666666666667)))</f>
        <v>0.99979166666666663</v>
      </c>
      <c r="CC99" s="45"/>
      <c r="CD99" s="93">
        <v>3.4722222222222222E-5</v>
      </c>
      <c r="CE99">
        <v>5</v>
      </c>
      <c r="CG99" s="1">
        <f>IFERROR(IND_JUNIO_2026[[#This Row],[IND_PDP]]/IND_JUNIO_2026[[#This Row],[IND_CEF Unico]],"")</f>
        <v>0</v>
      </c>
      <c r="CJ99" s="1" t="str">
        <f>IFERROR(IND_JUNIO_2026[[#This Row],[IND_Recupero]]/IND_JUNIO_2026[[#This Row],[IND_MontoPDP]],"")</f>
        <v/>
      </c>
      <c r="CK99" s="1" t="str">
        <f>IFERROR(IND_JUNIO_2026[[#This Row],[IND_MontoPDP]]/IND_JUNIO_2026[[#This Row],[DK]],"")</f>
        <v/>
      </c>
      <c r="CL99" t="s">
        <v>548</v>
      </c>
      <c r="CM99" t="str">
        <f>IFERROR(IND_JUNIO_2026[[#This Row],[IND_MontoPDP]]/IND_JUNIO_2026[[#This Row],[IND_PDP]],"")</f>
        <v/>
      </c>
    </row>
    <row r="100" spans="42:91" x14ac:dyDescent="0.25">
      <c r="AP100" s="6"/>
      <c r="AQ100" s="6"/>
      <c r="BX100" s="45" t="s">
        <v>636</v>
      </c>
      <c r="BY100" s="45" t="s">
        <v>6</v>
      </c>
      <c r="BZ100" s="45" t="s">
        <v>34</v>
      </c>
      <c r="CA100" s="55">
        <v>46174</v>
      </c>
      <c r="CB100" s="1">
        <f>IF(IND_JUNIO_2026[[#This Row],[IND_CANTFalta]]=1,0,IF(1-(IND_JUNIO_2026[[#This Row],[IND_Tardanza Tiempo]]*100%/0.166666666666667)&lt;0,0,1-(IND_JUNIO_2026[[#This Row],[IND_Tardanza Tiempo]]*100%/0.166666666666667)))</f>
        <v>0.99937500000000001</v>
      </c>
      <c r="CC100" s="45"/>
      <c r="CD100" s="93">
        <v>1.0416666666666667E-4</v>
      </c>
      <c r="CE100">
        <v>12</v>
      </c>
      <c r="CF100">
        <v>3</v>
      </c>
      <c r="CG100" s="1">
        <f>IFERROR(IND_JUNIO_2026[[#This Row],[IND_PDP]]/IND_JUNIO_2026[[#This Row],[IND_CEF Unico]],"")</f>
        <v>0.25</v>
      </c>
      <c r="CH100">
        <v>14850</v>
      </c>
      <c r="CJ100" s="1">
        <f>IFERROR(IND_JUNIO_2026[[#This Row],[IND_Recupero]]/IND_JUNIO_2026[[#This Row],[IND_MontoPDP]],"")</f>
        <v>0</v>
      </c>
      <c r="CK100" s="1" t="str">
        <f>IFERROR(IND_JUNIO_2026[[#This Row],[IND_MontoPDP]]/IND_JUNIO_2026[[#This Row],[DK]],"")</f>
        <v/>
      </c>
      <c r="CL100" t="s">
        <v>548</v>
      </c>
      <c r="CM100">
        <f>IFERROR(IND_JUNIO_2026[[#This Row],[IND_MontoPDP]]/IND_JUNIO_2026[[#This Row],[IND_PDP]],"")</f>
        <v>4950</v>
      </c>
    </row>
    <row r="101" spans="42:91" x14ac:dyDescent="0.25">
      <c r="AP101" s="6"/>
      <c r="AQ101" s="6"/>
      <c r="BX101" s="45" t="s">
        <v>636</v>
      </c>
      <c r="BY101" s="45" t="s">
        <v>6</v>
      </c>
      <c r="BZ101" s="45" t="s">
        <v>34</v>
      </c>
      <c r="CA101" s="55">
        <v>46175</v>
      </c>
      <c r="CB101" s="1">
        <f>IF(IND_JUNIO_2026[[#This Row],[IND_CANTFalta]]=1,0,IF(1-(IND_JUNIO_2026[[#This Row],[IND_Tardanza Tiempo]]*100%/0.166666666666667)&lt;0,0,1-(IND_JUNIO_2026[[#This Row],[IND_Tardanza Tiempo]]*100%/0.166666666666667)))</f>
        <v>0.99979166666666663</v>
      </c>
      <c r="CC101" s="45"/>
      <c r="CD101" s="93">
        <v>3.4722222222222222E-5</v>
      </c>
      <c r="CE101">
        <v>10</v>
      </c>
      <c r="CF101">
        <v>2</v>
      </c>
      <c r="CG101" s="1">
        <f>IFERROR(IND_JUNIO_2026[[#This Row],[IND_PDP]]/IND_JUNIO_2026[[#This Row],[IND_CEF Unico]],"")</f>
        <v>0.2</v>
      </c>
      <c r="CH101">
        <v>6500</v>
      </c>
      <c r="CI101">
        <v>6000</v>
      </c>
      <c r="CJ101" s="1">
        <f>IFERROR(IND_JUNIO_2026[[#This Row],[IND_Recupero]]/IND_JUNIO_2026[[#This Row],[IND_MontoPDP]],"")</f>
        <v>0.92307692307692313</v>
      </c>
      <c r="CK101" s="1">
        <f>IFERROR(IND_JUNIO_2026[[#This Row],[IND_MontoPDP]]/IND_JUNIO_2026[[#This Row],[DK]],"")</f>
        <v>0.11409999999999999</v>
      </c>
      <c r="CL101">
        <v>56967.572304995621</v>
      </c>
      <c r="CM101">
        <f>IFERROR(IND_JUNIO_2026[[#This Row],[IND_MontoPDP]]/IND_JUNIO_2026[[#This Row],[IND_PDP]],"")</f>
        <v>3250</v>
      </c>
    </row>
    <row r="102" spans="42:91" x14ac:dyDescent="0.25">
      <c r="AP102" s="6"/>
      <c r="AQ102" s="6"/>
      <c r="BX102" s="45" t="s">
        <v>636</v>
      </c>
      <c r="BY102" s="45" t="s">
        <v>6</v>
      </c>
      <c r="BZ102" s="45" t="s">
        <v>34</v>
      </c>
      <c r="CA102" s="55">
        <v>46176</v>
      </c>
      <c r="CB102" s="1">
        <f>IF(IND_JUNIO_2026[[#This Row],[IND_CANTFalta]]=1,0,IF(1-(IND_JUNIO_2026[[#This Row],[IND_Tardanza Tiempo]]*100%/0.166666666666667)&lt;0,0,1-(IND_JUNIO_2026[[#This Row],[IND_Tardanza Tiempo]]*100%/0.166666666666667)))</f>
        <v>0.99986111111111109</v>
      </c>
      <c r="CC102" s="45"/>
      <c r="CD102" s="93">
        <v>2.3148148148148147E-5</v>
      </c>
      <c r="CE102">
        <v>13</v>
      </c>
      <c r="CF102">
        <v>2</v>
      </c>
      <c r="CG102" s="1">
        <f>IFERROR(IND_JUNIO_2026[[#This Row],[IND_PDP]]/IND_JUNIO_2026[[#This Row],[IND_CEF Unico]],"")</f>
        <v>0.15384615384615385</v>
      </c>
      <c r="CH102">
        <v>910</v>
      </c>
      <c r="CI102">
        <v>680</v>
      </c>
      <c r="CJ102" s="1">
        <f>IFERROR(IND_JUNIO_2026[[#This Row],[IND_Recupero]]/IND_JUNIO_2026[[#This Row],[IND_MontoPDP]],"")</f>
        <v>0.74725274725274726</v>
      </c>
      <c r="CK102" s="1">
        <f>IFERROR(IND_JUNIO_2026[[#This Row],[IND_MontoPDP]]/IND_JUNIO_2026[[#This Row],[DK]],"")</f>
        <v>0.63660000000000005</v>
      </c>
      <c r="CL102">
        <v>1429.4690543512409</v>
      </c>
      <c r="CM102">
        <f>IFERROR(IND_JUNIO_2026[[#This Row],[IND_MontoPDP]]/IND_JUNIO_2026[[#This Row],[IND_PDP]],"")</f>
        <v>455</v>
      </c>
    </row>
    <row r="103" spans="42:91" x14ac:dyDescent="0.25">
      <c r="AP103" s="6"/>
      <c r="AQ103" s="6"/>
      <c r="BX103" s="45" t="s">
        <v>636</v>
      </c>
      <c r="BY103" s="45" t="s">
        <v>6</v>
      </c>
      <c r="BZ103" s="45" t="s">
        <v>34</v>
      </c>
      <c r="CA103" s="55">
        <v>46177</v>
      </c>
      <c r="CB103" s="1">
        <f>IF(IND_JUNIO_2026[[#This Row],[IND_CANTFalta]]=1,0,IF(1-(IND_JUNIO_2026[[#This Row],[IND_Tardanza Tiempo]]*100%/0.166666666666667)&lt;0,0,1-(IND_JUNIO_2026[[#This Row],[IND_Tardanza Tiempo]]*100%/0.166666666666667)))</f>
        <v>0.99979166666666663</v>
      </c>
      <c r="CC103" s="45"/>
      <c r="CD103" s="93">
        <v>3.4722222222222222E-5</v>
      </c>
      <c r="CE103">
        <v>10</v>
      </c>
      <c r="CF103">
        <v>1</v>
      </c>
      <c r="CG103" s="1">
        <f>IFERROR(IND_JUNIO_2026[[#This Row],[IND_PDP]]/IND_JUNIO_2026[[#This Row],[IND_CEF Unico]],"")</f>
        <v>0.1</v>
      </c>
      <c r="CH103">
        <v>480</v>
      </c>
      <c r="CJ103" s="1">
        <f>IFERROR(IND_JUNIO_2026[[#This Row],[IND_Recupero]]/IND_JUNIO_2026[[#This Row],[IND_MontoPDP]],"")</f>
        <v>0</v>
      </c>
      <c r="CK103" s="1" t="str">
        <f>IFERROR(IND_JUNIO_2026[[#This Row],[IND_MontoPDP]]/IND_JUNIO_2026[[#This Row],[DK]],"")</f>
        <v/>
      </c>
      <c r="CL103" t="s">
        <v>548</v>
      </c>
      <c r="CM103">
        <f>IFERROR(IND_JUNIO_2026[[#This Row],[IND_MontoPDP]]/IND_JUNIO_2026[[#This Row],[IND_PDP]],"")</f>
        <v>480</v>
      </c>
    </row>
    <row r="104" spans="42:91" x14ac:dyDescent="0.25">
      <c r="AP104" s="6"/>
      <c r="AQ104" s="6"/>
      <c r="BX104" s="45" t="s">
        <v>636</v>
      </c>
      <c r="BY104" s="45" t="s">
        <v>6</v>
      </c>
      <c r="BZ104" s="45" t="s">
        <v>34</v>
      </c>
      <c r="CA104" s="55">
        <v>46178</v>
      </c>
      <c r="CB104" s="1">
        <f>IF(IND_JUNIO_2026[[#This Row],[IND_CANTFalta]]=1,0,IF(1-(IND_JUNIO_2026[[#This Row],[IND_Tardanza Tiempo]]*100%/0.166666666666667)&lt;0,0,1-(IND_JUNIO_2026[[#This Row],[IND_Tardanza Tiempo]]*100%/0.166666666666667)))</f>
        <v>0.99958333333333338</v>
      </c>
      <c r="CC104" s="45"/>
      <c r="CD104" s="93">
        <v>6.9444444444444444E-5</v>
      </c>
      <c r="CE104">
        <v>4</v>
      </c>
      <c r="CG104" s="1">
        <f>IFERROR(IND_JUNIO_2026[[#This Row],[IND_PDP]]/IND_JUNIO_2026[[#This Row],[IND_CEF Unico]],"")</f>
        <v>0</v>
      </c>
      <c r="CJ104" s="1" t="str">
        <f>IFERROR(IND_JUNIO_2026[[#This Row],[IND_Recupero]]/IND_JUNIO_2026[[#This Row],[IND_MontoPDP]],"")</f>
        <v/>
      </c>
      <c r="CK104" s="1" t="str">
        <f>IFERROR(IND_JUNIO_2026[[#This Row],[IND_MontoPDP]]/IND_JUNIO_2026[[#This Row],[DK]],"")</f>
        <v/>
      </c>
      <c r="CL104" t="s">
        <v>548</v>
      </c>
      <c r="CM104" t="str">
        <f>IFERROR(IND_JUNIO_2026[[#This Row],[IND_MontoPDP]]/IND_JUNIO_2026[[#This Row],[IND_PDP]],"")</f>
        <v/>
      </c>
    </row>
    <row r="105" spans="42:91" x14ac:dyDescent="0.25">
      <c r="AP105" s="6"/>
      <c r="AQ105" s="6"/>
      <c r="BX105" s="45" t="s">
        <v>636</v>
      </c>
      <c r="BY105" s="45" t="s">
        <v>7</v>
      </c>
      <c r="BZ105" s="45" t="s">
        <v>600</v>
      </c>
      <c r="CA105" s="55">
        <v>46175</v>
      </c>
      <c r="CB105" s="1">
        <f>IF(IND_JUNIO_2026[[#This Row],[IND_CANTFalta]]=1,0,IF(1-(IND_JUNIO_2026[[#This Row],[IND_Tardanza Tiempo]]*100%/0.166666666666667)&lt;0,0,1-(IND_JUNIO_2026[[#This Row],[IND_Tardanza Tiempo]]*100%/0.166666666666667)))</f>
        <v>0.99805555555555558</v>
      </c>
      <c r="CC105" s="45"/>
      <c r="CD105" s="93">
        <v>3.2407407407407406E-4</v>
      </c>
      <c r="CE105">
        <v>50</v>
      </c>
      <c r="CF105">
        <v>4</v>
      </c>
      <c r="CG105" s="1">
        <f>IFERROR(IND_JUNIO_2026[[#This Row],[IND_PDP]]/IND_JUNIO_2026[[#This Row],[IND_CEF Unico]],"")</f>
        <v>0.08</v>
      </c>
      <c r="CH105">
        <v>1115</v>
      </c>
      <c r="CI105">
        <v>700</v>
      </c>
      <c r="CJ105" s="1">
        <f>IFERROR(IND_JUNIO_2026[[#This Row],[IND_Recupero]]/IND_JUNIO_2026[[#This Row],[IND_MontoPDP]],"")</f>
        <v>0.62780269058295968</v>
      </c>
      <c r="CK105" s="1">
        <f>IFERROR(IND_JUNIO_2026[[#This Row],[IND_MontoPDP]]/IND_JUNIO_2026[[#This Row],[DK]],"")</f>
        <v>0.22900000000000001</v>
      </c>
      <c r="CL105">
        <v>4868.9956331877729</v>
      </c>
      <c r="CM105">
        <f>IFERROR(IND_JUNIO_2026[[#This Row],[IND_MontoPDP]]/IND_JUNIO_2026[[#This Row],[IND_PDP]],"")</f>
        <v>278.75</v>
      </c>
    </row>
    <row r="106" spans="42:91" x14ac:dyDescent="0.25">
      <c r="AP106" s="6"/>
      <c r="AQ106" s="6"/>
      <c r="BX106" s="45" t="s">
        <v>636</v>
      </c>
      <c r="BY106" s="45" t="s">
        <v>7</v>
      </c>
      <c r="BZ106" s="45" t="s">
        <v>600</v>
      </c>
      <c r="CA106" s="55">
        <v>46176</v>
      </c>
      <c r="CB106" s="1">
        <f>IF(IND_JUNIO_2026[[#This Row],[IND_CANTFalta]]=1,0,IF(1-(IND_JUNIO_2026[[#This Row],[IND_Tardanza Tiempo]]*100%/0.166666666666667)&lt;0,0,1-(IND_JUNIO_2026[[#This Row],[IND_Tardanza Tiempo]]*100%/0.166666666666667)))</f>
        <v>0.99958333333333338</v>
      </c>
      <c r="CC106" s="45"/>
      <c r="CD106" s="93">
        <v>6.9444444444444444E-5</v>
      </c>
      <c r="CE106">
        <v>45</v>
      </c>
      <c r="CF106">
        <v>1</v>
      </c>
      <c r="CG106" s="1">
        <f>IFERROR(IND_JUNIO_2026[[#This Row],[IND_PDP]]/IND_JUNIO_2026[[#This Row],[IND_CEF Unico]],"")</f>
        <v>2.2222222222222223E-2</v>
      </c>
      <c r="CH106">
        <v>340</v>
      </c>
      <c r="CJ106" s="1">
        <f>IFERROR(IND_JUNIO_2026[[#This Row],[IND_Recupero]]/IND_JUNIO_2026[[#This Row],[IND_MontoPDP]],"")</f>
        <v>0</v>
      </c>
      <c r="CK106" s="1" t="str">
        <f>IFERROR(IND_JUNIO_2026[[#This Row],[IND_MontoPDP]]/IND_JUNIO_2026[[#This Row],[DK]],"")</f>
        <v/>
      </c>
      <c r="CL106" t="s">
        <v>548</v>
      </c>
      <c r="CM106">
        <f>IFERROR(IND_JUNIO_2026[[#This Row],[IND_MontoPDP]]/IND_JUNIO_2026[[#This Row],[IND_PDP]],"")</f>
        <v>340</v>
      </c>
    </row>
    <row r="107" spans="42:91" x14ac:dyDescent="0.25">
      <c r="AP107" s="6"/>
      <c r="AQ107" s="6"/>
      <c r="BX107" s="45" t="s">
        <v>636</v>
      </c>
      <c r="BY107" s="45" t="s">
        <v>7</v>
      </c>
      <c r="BZ107" s="45" t="s">
        <v>600</v>
      </c>
      <c r="CA107" s="55">
        <v>46177</v>
      </c>
      <c r="CB107" s="1">
        <f>IF(IND_JUNIO_2026[[#This Row],[IND_CANTFalta]]=1,0,IF(1-(IND_JUNIO_2026[[#This Row],[IND_Tardanza Tiempo]]*100%/0.166666666666667)&lt;0,0,1-(IND_JUNIO_2026[[#This Row],[IND_Tardanza Tiempo]]*100%/0.166666666666667)))</f>
        <v>0.99951388888888892</v>
      </c>
      <c r="CC107" s="45"/>
      <c r="CD107" s="93">
        <v>8.1018518518518516E-5</v>
      </c>
      <c r="CE107">
        <v>28</v>
      </c>
      <c r="CG107" s="1">
        <f>IFERROR(IND_JUNIO_2026[[#This Row],[IND_PDP]]/IND_JUNIO_2026[[#This Row],[IND_CEF Unico]],"")</f>
        <v>0</v>
      </c>
      <c r="CJ107" s="1" t="str">
        <f>IFERROR(IND_JUNIO_2026[[#This Row],[IND_Recupero]]/IND_JUNIO_2026[[#This Row],[IND_MontoPDP]],"")</f>
        <v/>
      </c>
      <c r="CK107" s="1" t="str">
        <f>IFERROR(IND_JUNIO_2026[[#This Row],[IND_MontoPDP]]/IND_JUNIO_2026[[#This Row],[DK]],"")</f>
        <v/>
      </c>
      <c r="CL107" t="s">
        <v>548</v>
      </c>
      <c r="CM107" t="str">
        <f>IFERROR(IND_JUNIO_2026[[#This Row],[IND_MontoPDP]]/IND_JUNIO_2026[[#This Row],[IND_PDP]],"")</f>
        <v/>
      </c>
    </row>
    <row r="108" spans="42:91" x14ac:dyDescent="0.25">
      <c r="AP108" s="6"/>
      <c r="AQ108" s="6"/>
      <c r="BX108" s="45" t="s">
        <v>636</v>
      </c>
      <c r="BY108" s="45" t="s">
        <v>7</v>
      </c>
      <c r="BZ108" s="45" t="s">
        <v>600</v>
      </c>
      <c r="CA108" s="55">
        <v>46178</v>
      </c>
      <c r="CB108" s="1">
        <f>IF(IND_JUNIO_2026[[#This Row],[IND_CANTFalta]]=1,0,IF(1-(IND_JUNIO_2026[[#This Row],[IND_Tardanza Tiempo]]*100%/0.166666666666667)&lt;0,0,1-(IND_JUNIO_2026[[#This Row],[IND_Tardanza Tiempo]]*100%/0.166666666666667)))</f>
        <v>0.99875000000000003</v>
      </c>
      <c r="CC108" s="45"/>
      <c r="CD108" s="93">
        <v>2.0833333333333335E-4</v>
      </c>
      <c r="CE108">
        <v>13</v>
      </c>
      <c r="CG108" s="1">
        <f>IFERROR(IND_JUNIO_2026[[#This Row],[IND_PDP]]/IND_JUNIO_2026[[#This Row],[IND_CEF Unico]],"")</f>
        <v>0</v>
      </c>
      <c r="CJ108" s="1" t="str">
        <f>IFERROR(IND_JUNIO_2026[[#This Row],[IND_Recupero]]/IND_JUNIO_2026[[#This Row],[IND_MontoPDP]],"")</f>
        <v/>
      </c>
      <c r="CK108" s="1" t="str">
        <f>IFERROR(IND_JUNIO_2026[[#This Row],[IND_MontoPDP]]/IND_JUNIO_2026[[#This Row],[DK]],"")</f>
        <v/>
      </c>
      <c r="CL108" t="s">
        <v>548</v>
      </c>
      <c r="CM108" t="str">
        <f>IFERROR(IND_JUNIO_2026[[#This Row],[IND_MontoPDP]]/IND_JUNIO_2026[[#This Row],[IND_PDP]],"")</f>
        <v/>
      </c>
    </row>
    <row r="109" spans="42:91" x14ac:dyDescent="0.25">
      <c r="AP109" s="6"/>
      <c r="AQ109" s="6"/>
      <c r="BX109" s="45" t="s">
        <v>636</v>
      </c>
      <c r="BY109" s="45" t="s">
        <v>7</v>
      </c>
      <c r="BZ109" s="45" t="s">
        <v>51</v>
      </c>
      <c r="CA109" s="55">
        <v>46175</v>
      </c>
      <c r="CB109" s="1">
        <f>IF(IND_JUNIO_2026[[#This Row],[IND_CANTFalta]]=1,0,IF(1-(IND_JUNIO_2026[[#This Row],[IND_Tardanza Tiempo]]*100%/0.166666666666667)&lt;0,0,1-(IND_JUNIO_2026[[#This Row],[IND_Tardanza Tiempo]]*100%/0.166666666666667)))</f>
        <v>0.99708333333333332</v>
      </c>
      <c r="CC109" s="45"/>
      <c r="CD109" s="93">
        <v>4.861111111111111E-4</v>
      </c>
      <c r="CE109">
        <v>27</v>
      </c>
      <c r="CF109">
        <v>3</v>
      </c>
      <c r="CG109" s="1">
        <f>IFERROR(IND_JUNIO_2026[[#This Row],[IND_PDP]]/IND_JUNIO_2026[[#This Row],[IND_CEF Unico]],"")</f>
        <v>0.1111111111111111</v>
      </c>
      <c r="CH109">
        <v>590</v>
      </c>
      <c r="CJ109" s="1">
        <f>IFERROR(IND_JUNIO_2026[[#This Row],[IND_Recupero]]/IND_JUNIO_2026[[#This Row],[IND_MontoPDP]],"")</f>
        <v>0</v>
      </c>
      <c r="CK109" s="1" t="str">
        <f>IFERROR(IND_JUNIO_2026[[#This Row],[IND_MontoPDP]]/IND_JUNIO_2026[[#This Row],[DK]],"")</f>
        <v/>
      </c>
      <c r="CL109" t="s">
        <v>548</v>
      </c>
      <c r="CM109">
        <f>IFERROR(IND_JUNIO_2026[[#This Row],[IND_MontoPDP]]/IND_JUNIO_2026[[#This Row],[IND_PDP]],"")</f>
        <v>196.66666666666666</v>
      </c>
    </row>
    <row r="110" spans="42:91" x14ac:dyDescent="0.25">
      <c r="AP110" s="6"/>
      <c r="AQ110" s="6"/>
      <c r="BX110" s="45" t="s">
        <v>636</v>
      </c>
      <c r="BY110" s="45" t="s">
        <v>7</v>
      </c>
      <c r="BZ110" s="45" t="s">
        <v>51</v>
      </c>
      <c r="CA110" s="55">
        <v>46176</v>
      </c>
      <c r="CB110" s="1">
        <f>IF(IND_JUNIO_2026[[#This Row],[IND_CANTFalta]]=1,0,IF(1-(IND_JUNIO_2026[[#This Row],[IND_Tardanza Tiempo]]*100%/0.166666666666667)&lt;0,0,1-(IND_JUNIO_2026[[#This Row],[IND_Tardanza Tiempo]]*100%/0.166666666666667)))</f>
        <v>0.99604166666666671</v>
      </c>
      <c r="CC110" s="45"/>
      <c r="CD110" s="93">
        <v>6.5972222222222224E-4</v>
      </c>
      <c r="CE110">
        <v>17</v>
      </c>
      <c r="CG110" s="1">
        <f>IFERROR(IND_JUNIO_2026[[#This Row],[IND_PDP]]/IND_JUNIO_2026[[#This Row],[IND_CEF Unico]],"")</f>
        <v>0</v>
      </c>
      <c r="CJ110" s="1" t="str">
        <f>IFERROR(IND_JUNIO_2026[[#This Row],[IND_Recupero]]/IND_JUNIO_2026[[#This Row],[IND_MontoPDP]],"")</f>
        <v/>
      </c>
      <c r="CK110" s="1" t="str">
        <f>IFERROR(IND_JUNIO_2026[[#This Row],[IND_MontoPDP]]/IND_JUNIO_2026[[#This Row],[DK]],"")</f>
        <v/>
      </c>
      <c r="CL110" t="s">
        <v>548</v>
      </c>
      <c r="CM110" t="str">
        <f>IFERROR(IND_JUNIO_2026[[#This Row],[IND_MontoPDP]]/IND_JUNIO_2026[[#This Row],[IND_PDP]],"")</f>
        <v/>
      </c>
    </row>
    <row r="111" spans="42:91" x14ac:dyDescent="0.25">
      <c r="AP111" s="6"/>
      <c r="AQ111" s="6"/>
      <c r="BX111" s="45" t="s">
        <v>636</v>
      </c>
      <c r="BY111" s="45" t="s">
        <v>7</v>
      </c>
      <c r="BZ111" s="45" t="s">
        <v>51</v>
      </c>
      <c r="CA111" s="55">
        <v>46177</v>
      </c>
      <c r="CB111" s="1">
        <f>IF(IND_JUNIO_2026[[#This Row],[IND_CANTFalta]]=1,0,IF(1-(IND_JUNIO_2026[[#This Row],[IND_Tardanza Tiempo]]*100%/0.166666666666667)&lt;0,0,1-(IND_JUNIO_2026[[#This Row],[IND_Tardanza Tiempo]]*100%/0.166666666666667)))</f>
        <v>0.99951388888888892</v>
      </c>
      <c r="CC111" s="45"/>
      <c r="CD111" s="93">
        <v>8.1018518518518516E-5</v>
      </c>
      <c r="CE111">
        <v>9</v>
      </c>
      <c r="CF111">
        <v>1</v>
      </c>
      <c r="CG111" s="1">
        <f>IFERROR(IND_JUNIO_2026[[#This Row],[IND_PDP]]/IND_JUNIO_2026[[#This Row],[IND_CEF Unico]],"")</f>
        <v>0.1111111111111111</v>
      </c>
      <c r="CH111">
        <v>800</v>
      </c>
      <c r="CJ111" s="1">
        <f>IFERROR(IND_JUNIO_2026[[#This Row],[IND_Recupero]]/IND_JUNIO_2026[[#This Row],[IND_MontoPDP]],"")</f>
        <v>0</v>
      </c>
      <c r="CK111" s="1" t="str">
        <f>IFERROR(IND_JUNIO_2026[[#This Row],[IND_MontoPDP]]/IND_JUNIO_2026[[#This Row],[DK]],"")</f>
        <v/>
      </c>
      <c r="CL111" t="s">
        <v>548</v>
      </c>
      <c r="CM111">
        <f>IFERROR(IND_JUNIO_2026[[#This Row],[IND_MontoPDP]]/IND_JUNIO_2026[[#This Row],[IND_PDP]],"")</f>
        <v>800</v>
      </c>
    </row>
    <row r="112" spans="42:91" x14ac:dyDescent="0.25">
      <c r="AP112" s="6"/>
      <c r="AQ112" s="6"/>
      <c r="BX112" s="45" t="s">
        <v>636</v>
      </c>
      <c r="BY112" s="45" t="s">
        <v>7</v>
      </c>
      <c r="BZ112" s="45" t="s">
        <v>51</v>
      </c>
      <c r="CA112" s="55">
        <v>46178</v>
      </c>
      <c r="CB112" s="1">
        <f>IF(IND_JUNIO_2026[[#This Row],[IND_CANTFalta]]=1,0,IF(1-(IND_JUNIO_2026[[#This Row],[IND_Tardanza Tiempo]]*100%/0.166666666666667)&lt;0,0,1-(IND_JUNIO_2026[[#This Row],[IND_Tardanza Tiempo]]*100%/0.166666666666667)))</f>
        <v>0.99812500000000004</v>
      </c>
      <c r="CC112" s="45"/>
      <c r="CD112" s="93">
        <v>3.1250000000000001E-4</v>
      </c>
      <c r="CE112">
        <v>3</v>
      </c>
      <c r="CG112" s="1">
        <f>IFERROR(IND_JUNIO_2026[[#This Row],[IND_PDP]]/IND_JUNIO_2026[[#This Row],[IND_CEF Unico]],"")</f>
        <v>0</v>
      </c>
      <c r="CJ112" s="1" t="str">
        <f>IFERROR(IND_JUNIO_2026[[#This Row],[IND_Recupero]]/IND_JUNIO_2026[[#This Row],[IND_MontoPDP]],"")</f>
        <v/>
      </c>
      <c r="CK112" s="1" t="str">
        <f>IFERROR(IND_JUNIO_2026[[#This Row],[IND_MontoPDP]]/IND_JUNIO_2026[[#This Row],[DK]],"")</f>
        <v/>
      </c>
      <c r="CL112" t="s">
        <v>548</v>
      </c>
      <c r="CM112" t="str">
        <f>IFERROR(IND_JUNIO_2026[[#This Row],[IND_MontoPDP]]/IND_JUNIO_2026[[#This Row],[IND_PDP]],"")</f>
        <v/>
      </c>
    </row>
    <row r="113" spans="42:91" x14ac:dyDescent="0.25">
      <c r="AP113" s="6"/>
      <c r="AQ113" s="6"/>
      <c r="BX113" s="45" t="s">
        <v>636</v>
      </c>
      <c r="BY113" s="45" t="s">
        <v>7</v>
      </c>
      <c r="BZ113" s="45" t="s">
        <v>49</v>
      </c>
      <c r="CA113" s="55">
        <v>46174</v>
      </c>
      <c r="CB113" s="1">
        <f>IF(IND_JUNIO_2026[[#This Row],[IND_CANTFalta]]=1,0,IF(1-(IND_JUNIO_2026[[#This Row],[IND_Tardanza Tiempo]]*100%/0.166666666666667)&lt;0,0,1-(IND_JUNIO_2026[[#This Row],[IND_Tardanza Tiempo]]*100%/0.166666666666667)))</f>
        <v>0.98076388888888888</v>
      </c>
      <c r="CC113" s="45"/>
      <c r="CD113" s="93">
        <v>3.2060185185185186E-3</v>
      </c>
      <c r="CE113">
        <v>7</v>
      </c>
      <c r="CF113">
        <v>2</v>
      </c>
      <c r="CG113" s="1">
        <f>IFERROR(IND_JUNIO_2026[[#This Row],[IND_PDP]]/IND_JUNIO_2026[[#This Row],[IND_CEF Unico]],"")</f>
        <v>0.2857142857142857</v>
      </c>
      <c r="CH113">
        <v>970</v>
      </c>
      <c r="CI113">
        <v>220</v>
      </c>
      <c r="CJ113" s="1">
        <f>IFERROR(IND_JUNIO_2026[[#This Row],[IND_Recupero]]/IND_JUNIO_2026[[#This Row],[IND_MontoPDP]],"")</f>
        <v>0.22680412371134021</v>
      </c>
      <c r="CK113" s="1">
        <f>IFERROR(IND_JUNIO_2026[[#This Row],[IND_MontoPDP]]/IND_JUNIO_2026[[#This Row],[DK]],"")</f>
        <v>0.1694</v>
      </c>
      <c r="CL113">
        <v>5726.0920897284532</v>
      </c>
      <c r="CM113">
        <f>IFERROR(IND_JUNIO_2026[[#This Row],[IND_MontoPDP]]/IND_JUNIO_2026[[#This Row],[IND_PDP]],"")</f>
        <v>485</v>
      </c>
    </row>
    <row r="114" spans="42:91" x14ac:dyDescent="0.25">
      <c r="AP114" s="6"/>
      <c r="AQ114" s="6"/>
      <c r="AR114" s="7"/>
      <c r="BX114" s="45" t="s">
        <v>636</v>
      </c>
      <c r="BY114" s="45" t="s">
        <v>7</v>
      </c>
      <c r="BZ114" s="45" t="s">
        <v>49</v>
      </c>
      <c r="CA114" s="55">
        <v>46176</v>
      </c>
      <c r="CB114" s="1">
        <f>IF(IND_JUNIO_2026[[#This Row],[IND_CANTFalta]]=1,0,IF(1-(IND_JUNIO_2026[[#This Row],[IND_Tardanza Tiempo]]*100%/0.166666666666667)&lt;0,0,1-(IND_JUNIO_2026[[#This Row],[IND_Tardanza Tiempo]]*100%/0.166666666666667)))</f>
        <v>0.99541666666666673</v>
      </c>
      <c r="CC114" s="45"/>
      <c r="CD114" s="93">
        <v>7.6388888888888893E-4</v>
      </c>
      <c r="CE114">
        <v>14</v>
      </c>
      <c r="CG114" s="1">
        <f>IFERROR(IND_JUNIO_2026[[#This Row],[IND_PDP]]/IND_JUNIO_2026[[#This Row],[IND_CEF Unico]],"")</f>
        <v>0</v>
      </c>
      <c r="CJ114" s="1" t="str">
        <f>IFERROR(IND_JUNIO_2026[[#This Row],[IND_Recupero]]/IND_JUNIO_2026[[#This Row],[IND_MontoPDP]],"")</f>
        <v/>
      </c>
      <c r="CK114" s="1" t="str">
        <f>IFERROR(IND_JUNIO_2026[[#This Row],[IND_MontoPDP]]/IND_JUNIO_2026[[#This Row],[DK]],"")</f>
        <v/>
      </c>
      <c r="CL114" t="s">
        <v>548</v>
      </c>
      <c r="CM114" t="str">
        <f>IFERROR(IND_JUNIO_2026[[#This Row],[IND_MontoPDP]]/IND_JUNIO_2026[[#This Row],[IND_PDP]],"")</f>
        <v/>
      </c>
    </row>
    <row r="115" spans="42:91" x14ac:dyDescent="0.25">
      <c r="AP115" s="6"/>
      <c r="AQ115" s="6"/>
      <c r="AR115" s="7"/>
      <c r="BX115" s="45" t="s">
        <v>636</v>
      </c>
      <c r="BY115" s="45" t="s">
        <v>7</v>
      </c>
      <c r="BZ115" s="45" t="s">
        <v>599</v>
      </c>
      <c r="CA115" s="55">
        <v>46176</v>
      </c>
      <c r="CB115" s="1">
        <f>IF(IND_JUNIO_2026[[#This Row],[IND_CANTFalta]]=1,0,IF(1-(IND_JUNIO_2026[[#This Row],[IND_Tardanza Tiempo]]*100%/0.166666666666667)&lt;0,0,1-(IND_JUNIO_2026[[#This Row],[IND_Tardanza Tiempo]]*100%/0.166666666666667)))</f>
        <v>1</v>
      </c>
      <c r="CC115" s="45"/>
      <c r="CD115" s="93">
        <v>0</v>
      </c>
      <c r="CE115">
        <v>34</v>
      </c>
      <c r="CF115">
        <v>2</v>
      </c>
      <c r="CG115" s="1">
        <f>IFERROR(IND_JUNIO_2026[[#This Row],[IND_PDP]]/IND_JUNIO_2026[[#This Row],[IND_CEF Unico]],"")</f>
        <v>5.8823529411764705E-2</v>
      </c>
      <c r="CH115">
        <v>450</v>
      </c>
      <c r="CI115">
        <v>350</v>
      </c>
      <c r="CJ115" s="1">
        <f>IFERROR(IND_JUNIO_2026[[#This Row],[IND_Recupero]]/IND_JUNIO_2026[[#This Row],[IND_MontoPDP]],"")</f>
        <v>0.77777777777777779</v>
      </c>
      <c r="CK115" s="1">
        <f>IFERROR(IND_JUNIO_2026[[#This Row],[IND_MontoPDP]]/IND_JUNIO_2026[[#This Row],[DK]],"")</f>
        <v>0.11269999999999999</v>
      </c>
      <c r="CL115">
        <v>3992.9015084294588</v>
      </c>
      <c r="CM115">
        <f>IFERROR(IND_JUNIO_2026[[#This Row],[IND_MontoPDP]]/IND_JUNIO_2026[[#This Row],[IND_PDP]],"")</f>
        <v>225</v>
      </c>
    </row>
    <row r="116" spans="42:91" x14ac:dyDescent="0.25">
      <c r="AP116" s="6"/>
      <c r="AQ116" s="6"/>
      <c r="AR116" s="7"/>
      <c r="BX116" s="45" t="s">
        <v>636</v>
      </c>
      <c r="BY116" s="45" t="s">
        <v>7</v>
      </c>
      <c r="BZ116" s="45" t="s">
        <v>599</v>
      </c>
      <c r="CA116" s="55">
        <v>46177</v>
      </c>
      <c r="CB116" s="1">
        <f>IF(IND_JUNIO_2026[[#This Row],[IND_CANTFalta]]=1,0,IF(1-(IND_JUNIO_2026[[#This Row],[IND_Tardanza Tiempo]]*100%/0.166666666666667)&lt;0,0,1-(IND_JUNIO_2026[[#This Row],[IND_Tardanza Tiempo]]*100%/0.166666666666667)))</f>
        <v>1</v>
      </c>
      <c r="CC116" s="45"/>
      <c r="CD116" s="93">
        <v>0</v>
      </c>
      <c r="CE116">
        <v>24</v>
      </c>
      <c r="CG116" s="1">
        <f>IFERROR(IND_JUNIO_2026[[#This Row],[IND_PDP]]/IND_JUNIO_2026[[#This Row],[IND_CEF Unico]],"")</f>
        <v>0</v>
      </c>
      <c r="CJ116" s="1" t="str">
        <f>IFERROR(IND_JUNIO_2026[[#This Row],[IND_Recupero]]/IND_JUNIO_2026[[#This Row],[IND_MontoPDP]],"")</f>
        <v/>
      </c>
      <c r="CK116" s="1" t="str">
        <f>IFERROR(IND_JUNIO_2026[[#This Row],[IND_MontoPDP]]/IND_JUNIO_2026[[#This Row],[DK]],"")</f>
        <v/>
      </c>
      <c r="CL116" t="s">
        <v>548</v>
      </c>
      <c r="CM116" t="str">
        <f>IFERROR(IND_JUNIO_2026[[#This Row],[IND_MontoPDP]]/IND_JUNIO_2026[[#This Row],[IND_PDP]],"")</f>
        <v/>
      </c>
    </row>
    <row r="117" spans="42:91" x14ac:dyDescent="0.25">
      <c r="AP117" s="6"/>
      <c r="AQ117" s="6"/>
      <c r="AR117" s="7"/>
      <c r="BX117" s="45" t="s">
        <v>636</v>
      </c>
      <c r="BY117" s="45" t="s">
        <v>7</v>
      </c>
      <c r="BZ117" s="45" t="s">
        <v>599</v>
      </c>
      <c r="CA117" s="55">
        <v>46178</v>
      </c>
      <c r="CB117" s="1">
        <f>IF(IND_JUNIO_2026[[#This Row],[IND_CANTFalta]]=1,0,IF(1-(IND_JUNIO_2026[[#This Row],[IND_Tardanza Tiempo]]*100%/0.166666666666667)&lt;0,0,1-(IND_JUNIO_2026[[#This Row],[IND_Tardanza Tiempo]]*100%/0.166666666666667)))</f>
        <v>0.98729166666666668</v>
      </c>
      <c r="CC117" s="45"/>
      <c r="CD117" s="93">
        <v>2.1180555555555558E-3</v>
      </c>
      <c r="CE117">
        <v>8</v>
      </c>
      <c r="CG117" s="1">
        <f>IFERROR(IND_JUNIO_2026[[#This Row],[IND_PDP]]/IND_JUNIO_2026[[#This Row],[IND_CEF Unico]],"")</f>
        <v>0</v>
      </c>
      <c r="CJ117" s="1" t="str">
        <f>IFERROR(IND_JUNIO_2026[[#This Row],[IND_Recupero]]/IND_JUNIO_2026[[#This Row],[IND_MontoPDP]],"")</f>
        <v/>
      </c>
      <c r="CK117" s="1" t="str">
        <f>IFERROR(IND_JUNIO_2026[[#This Row],[IND_MontoPDP]]/IND_JUNIO_2026[[#This Row],[DK]],"")</f>
        <v/>
      </c>
      <c r="CL117" t="s">
        <v>548</v>
      </c>
      <c r="CM117" t="str">
        <f>IFERROR(IND_JUNIO_2026[[#This Row],[IND_MontoPDP]]/IND_JUNIO_2026[[#This Row],[IND_PDP]],"")</f>
        <v/>
      </c>
    </row>
    <row r="118" spans="42:91" x14ac:dyDescent="0.25">
      <c r="AP118" s="6"/>
      <c r="AQ118" s="6"/>
      <c r="AR118" s="7"/>
      <c r="BX118" s="45" t="s">
        <v>636</v>
      </c>
      <c r="BY118" s="45" t="s">
        <v>7</v>
      </c>
      <c r="BZ118" s="45" t="s">
        <v>37</v>
      </c>
      <c r="CA118" s="55">
        <v>46176</v>
      </c>
      <c r="CB118" s="1">
        <f>IF(IND_JUNIO_2026[[#This Row],[IND_CANTFalta]]=1,0,IF(1-(IND_JUNIO_2026[[#This Row],[IND_Tardanza Tiempo]]*100%/0.166666666666667)&lt;0,0,1-(IND_JUNIO_2026[[#This Row],[IND_Tardanza Tiempo]]*100%/0.166666666666667)))</f>
        <v>0.9975694444444444</v>
      </c>
      <c r="CC118" s="45"/>
      <c r="CD118" s="93">
        <v>4.0509259259259258E-4</v>
      </c>
      <c r="CE118">
        <v>50</v>
      </c>
      <c r="CF118">
        <v>2</v>
      </c>
      <c r="CG118" s="1">
        <f>IFERROR(IND_JUNIO_2026[[#This Row],[IND_PDP]]/IND_JUNIO_2026[[#This Row],[IND_CEF Unico]],"")</f>
        <v>0.04</v>
      </c>
      <c r="CH118">
        <v>1500</v>
      </c>
      <c r="CJ118" s="1">
        <f>IFERROR(IND_JUNIO_2026[[#This Row],[IND_Recupero]]/IND_JUNIO_2026[[#This Row],[IND_MontoPDP]],"")</f>
        <v>0</v>
      </c>
      <c r="CK118" s="1" t="str">
        <f>IFERROR(IND_JUNIO_2026[[#This Row],[IND_MontoPDP]]/IND_JUNIO_2026[[#This Row],[DK]],"")</f>
        <v/>
      </c>
      <c r="CL118" t="s">
        <v>548</v>
      </c>
      <c r="CM118">
        <f>IFERROR(IND_JUNIO_2026[[#This Row],[IND_MontoPDP]]/IND_JUNIO_2026[[#This Row],[IND_PDP]],"")</f>
        <v>750</v>
      </c>
    </row>
    <row r="119" spans="42:91" x14ac:dyDescent="0.25">
      <c r="AP119" s="6"/>
      <c r="AQ119" s="6"/>
      <c r="AR119" s="7"/>
      <c r="BX119" s="45" t="s">
        <v>636</v>
      </c>
      <c r="BY119" s="45" t="s">
        <v>7</v>
      </c>
      <c r="BZ119" s="45" t="s">
        <v>37</v>
      </c>
      <c r="CA119" s="55">
        <v>46178</v>
      </c>
      <c r="CB119" s="1">
        <f>IF(IND_JUNIO_2026[[#This Row],[IND_CANTFalta]]=1,0,IF(1-(IND_JUNIO_2026[[#This Row],[IND_Tardanza Tiempo]]*100%/0.166666666666667)&lt;0,0,1-(IND_JUNIO_2026[[#This Row],[IND_Tardanza Tiempo]]*100%/0.166666666666667)))</f>
        <v>0.99868055555555557</v>
      </c>
      <c r="CC119" s="45"/>
      <c r="CD119" s="93">
        <v>2.199074074074074E-4</v>
      </c>
      <c r="CE119">
        <v>12</v>
      </c>
      <c r="CF119">
        <v>1</v>
      </c>
      <c r="CG119" s="1">
        <f>IFERROR(IND_JUNIO_2026[[#This Row],[IND_PDP]]/IND_JUNIO_2026[[#This Row],[IND_CEF Unico]],"")</f>
        <v>8.3333333333333329E-2</v>
      </c>
      <c r="CH119">
        <v>793</v>
      </c>
      <c r="CJ119" s="1">
        <f>IFERROR(IND_JUNIO_2026[[#This Row],[IND_Recupero]]/IND_JUNIO_2026[[#This Row],[IND_MontoPDP]],"")</f>
        <v>0</v>
      </c>
      <c r="CK119" s="1" t="str">
        <f>IFERROR(IND_JUNIO_2026[[#This Row],[IND_MontoPDP]]/IND_JUNIO_2026[[#This Row],[DK]],"")</f>
        <v/>
      </c>
      <c r="CL119" t="s">
        <v>548</v>
      </c>
      <c r="CM119">
        <f>IFERROR(IND_JUNIO_2026[[#This Row],[IND_MontoPDP]]/IND_JUNIO_2026[[#This Row],[IND_PDP]],"")</f>
        <v>793</v>
      </c>
    </row>
    <row r="120" spans="42:91" x14ac:dyDescent="0.25">
      <c r="AP120" s="6"/>
      <c r="AQ120" s="6"/>
      <c r="AR120" s="7"/>
      <c r="BX120" s="45" t="s">
        <v>636</v>
      </c>
      <c r="BY120" s="45" t="s">
        <v>7</v>
      </c>
      <c r="BZ120" s="45" t="s">
        <v>549</v>
      </c>
      <c r="CA120" s="55">
        <v>46174</v>
      </c>
      <c r="CB120" s="1">
        <f>IF(IND_JUNIO_2026[[#This Row],[IND_CANTFalta]]=1,0,IF(1-(IND_JUNIO_2026[[#This Row],[IND_Tardanza Tiempo]]*100%/0.166666666666667)&lt;0,0,1-(IND_JUNIO_2026[[#This Row],[IND_Tardanza Tiempo]]*100%/0.166666666666667)))</f>
        <v>0.99930555555555556</v>
      </c>
      <c r="CC120" s="45"/>
      <c r="CD120" s="93">
        <v>1.1574074074074075E-4</v>
      </c>
      <c r="CE120">
        <v>49</v>
      </c>
      <c r="CG120" s="1">
        <f>IFERROR(IND_JUNIO_2026[[#This Row],[IND_PDP]]/IND_JUNIO_2026[[#This Row],[IND_CEF Unico]],"")</f>
        <v>0</v>
      </c>
      <c r="CJ120" s="1" t="str">
        <f>IFERROR(IND_JUNIO_2026[[#This Row],[IND_Recupero]]/IND_JUNIO_2026[[#This Row],[IND_MontoPDP]],"")</f>
        <v/>
      </c>
      <c r="CK120" s="1" t="str">
        <f>IFERROR(IND_JUNIO_2026[[#This Row],[IND_MontoPDP]]/IND_JUNIO_2026[[#This Row],[DK]],"")</f>
        <v/>
      </c>
      <c r="CL120" t="s">
        <v>548</v>
      </c>
      <c r="CM120" t="str">
        <f>IFERROR(IND_JUNIO_2026[[#This Row],[IND_MontoPDP]]/IND_JUNIO_2026[[#This Row],[IND_PDP]],"")</f>
        <v/>
      </c>
    </row>
    <row r="121" spans="42:91" x14ac:dyDescent="0.25">
      <c r="AP121" s="6"/>
      <c r="AQ121" s="6"/>
      <c r="AR121" s="7"/>
      <c r="BX121" s="45" t="s">
        <v>636</v>
      </c>
      <c r="BY121" s="45" t="s">
        <v>7</v>
      </c>
      <c r="BZ121" s="45" t="s">
        <v>549</v>
      </c>
      <c r="CA121" s="55">
        <v>46176</v>
      </c>
      <c r="CB121" s="1">
        <f>IF(IND_JUNIO_2026[[#This Row],[IND_CANTFalta]]=1,0,IF(1-(IND_JUNIO_2026[[#This Row],[IND_Tardanza Tiempo]]*100%/0.166666666666667)&lt;0,0,1-(IND_JUNIO_2026[[#This Row],[IND_Tardanza Tiempo]]*100%/0.166666666666667)))</f>
        <v>1</v>
      </c>
      <c r="CC121" s="45"/>
      <c r="CD121" s="93">
        <v>0</v>
      </c>
      <c r="CE121">
        <v>81</v>
      </c>
      <c r="CF121">
        <v>1</v>
      </c>
      <c r="CG121" s="1">
        <f>IFERROR(IND_JUNIO_2026[[#This Row],[IND_PDP]]/IND_JUNIO_2026[[#This Row],[IND_CEF Unico]],"")</f>
        <v>1.2345679012345678E-2</v>
      </c>
      <c r="CH121">
        <v>660</v>
      </c>
      <c r="CI121">
        <v>230</v>
      </c>
      <c r="CJ121" s="1">
        <f>IFERROR(IND_JUNIO_2026[[#This Row],[IND_Recupero]]/IND_JUNIO_2026[[#This Row],[IND_MontoPDP]],"")</f>
        <v>0.34848484848484851</v>
      </c>
      <c r="CK121" s="1">
        <f>IFERROR(IND_JUNIO_2026[[#This Row],[IND_MontoPDP]]/IND_JUNIO_2026[[#This Row],[DK]],"")</f>
        <v>0.1328</v>
      </c>
      <c r="CL121">
        <v>4969.8795180722891</v>
      </c>
      <c r="CM121">
        <f>IFERROR(IND_JUNIO_2026[[#This Row],[IND_MontoPDP]]/IND_JUNIO_2026[[#This Row],[IND_PDP]],"")</f>
        <v>660</v>
      </c>
    </row>
    <row r="122" spans="42:91" x14ac:dyDescent="0.25">
      <c r="AP122" s="6"/>
      <c r="AQ122" s="6"/>
      <c r="AR122" s="7"/>
      <c r="BX122" s="45" t="s">
        <v>636</v>
      </c>
      <c r="BY122" s="45" t="s">
        <v>7</v>
      </c>
      <c r="BZ122" s="45" t="s">
        <v>549</v>
      </c>
      <c r="CA122" s="55">
        <v>46177</v>
      </c>
      <c r="CB122" s="1">
        <f>IF(IND_JUNIO_2026[[#This Row],[IND_CANTFalta]]=1,0,IF(1-(IND_JUNIO_2026[[#This Row],[IND_Tardanza Tiempo]]*100%/0.166666666666667)&lt;0,0,1-(IND_JUNIO_2026[[#This Row],[IND_Tardanza Tiempo]]*100%/0.166666666666667)))</f>
        <v>0.99513888888888891</v>
      </c>
      <c r="CC122" s="45"/>
      <c r="CD122" s="93">
        <v>8.1018518518518516E-4</v>
      </c>
      <c r="CE122">
        <v>39</v>
      </c>
      <c r="CF122">
        <v>1</v>
      </c>
      <c r="CG122" s="1">
        <f>IFERROR(IND_JUNIO_2026[[#This Row],[IND_PDP]]/IND_JUNIO_2026[[#This Row],[IND_CEF Unico]],"")</f>
        <v>2.564102564102564E-2</v>
      </c>
      <c r="CH122">
        <v>400</v>
      </c>
      <c r="CJ122" s="1">
        <f>IFERROR(IND_JUNIO_2026[[#This Row],[IND_Recupero]]/IND_JUNIO_2026[[#This Row],[IND_MontoPDP]],"")</f>
        <v>0</v>
      </c>
      <c r="CK122" s="1" t="str">
        <f>IFERROR(IND_JUNIO_2026[[#This Row],[IND_MontoPDP]]/IND_JUNIO_2026[[#This Row],[DK]],"")</f>
        <v/>
      </c>
      <c r="CL122" t="s">
        <v>548</v>
      </c>
      <c r="CM122">
        <f>IFERROR(IND_JUNIO_2026[[#This Row],[IND_MontoPDP]]/IND_JUNIO_2026[[#This Row],[IND_PDP]],"")</f>
        <v>400</v>
      </c>
    </row>
    <row r="123" spans="42:91" x14ac:dyDescent="0.25">
      <c r="AP123" s="6"/>
      <c r="AQ123" s="6"/>
      <c r="AR123" s="7"/>
      <c r="BX123" s="45" t="s">
        <v>636</v>
      </c>
      <c r="BY123" s="45" t="s">
        <v>7</v>
      </c>
      <c r="BZ123" s="45" t="s">
        <v>549</v>
      </c>
      <c r="CA123" s="55">
        <v>46178</v>
      </c>
      <c r="CB123" s="1">
        <f>IF(IND_JUNIO_2026[[#This Row],[IND_CANTFalta]]=1,0,IF(1-(IND_JUNIO_2026[[#This Row],[IND_Tardanza Tiempo]]*100%/0.166666666666667)&lt;0,0,1-(IND_JUNIO_2026[[#This Row],[IND_Tardanza Tiempo]]*100%/0.166666666666667)))</f>
        <v>0.98298611111111112</v>
      </c>
      <c r="CC123" s="45"/>
      <c r="CD123" s="93">
        <v>2.8356481481481483E-3</v>
      </c>
      <c r="CE123">
        <v>14</v>
      </c>
      <c r="CG123" s="1">
        <f>IFERROR(IND_JUNIO_2026[[#This Row],[IND_PDP]]/IND_JUNIO_2026[[#This Row],[IND_CEF Unico]],"")</f>
        <v>0</v>
      </c>
      <c r="CJ123" s="1" t="str">
        <f>IFERROR(IND_JUNIO_2026[[#This Row],[IND_Recupero]]/IND_JUNIO_2026[[#This Row],[IND_MontoPDP]],"")</f>
        <v/>
      </c>
      <c r="CK123" s="1" t="str">
        <f>IFERROR(IND_JUNIO_2026[[#This Row],[IND_MontoPDP]]/IND_JUNIO_2026[[#This Row],[DK]],"")</f>
        <v/>
      </c>
      <c r="CL123" t="s">
        <v>548</v>
      </c>
      <c r="CM123" t="str">
        <f>IFERROR(IND_JUNIO_2026[[#This Row],[IND_MontoPDP]]/IND_JUNIO_2026[[#This Row],[IND_PDP]],"")</f>
        <v/>
      </c>
    </row>
    <row r="124" spans="42:91" x14ac:dyDescent="0.25">
      <c r="AP124" s="6"/>
      <c r="AQ124" s="6"/>
      <c r="AR124" s="7"/>
      <c r="BX124" s="45" t="s">
        <v>636</v>
      </c>
      <c r="BY124" s="45" t="s">
        <v>7</v>
      </c>
      <c r="BZ124" s="45" t="s">
        <v>77</v>
      </c>
      <c r="CA124" s="55">
        <v>46175</v>
      </c>
      <c r="CB124" s="1">
        <f>IF(IND_JUNIO_2026[[#This Row],[IND_CANTFalta]]=1,0,IF(1-(IND_JUNIO_2026[[#This Row],[IND_Tardanza Tiempo]]*100%/0.166666666666667)&lt;0,0,1-(IND_JUNIO_2026[[#This Row],[IND_Tardanza Tiempo]]*100%/0.166666666666667)))</f>
        <v>1</v>
      </c>
      <c r="CC124" s="45"/>
      <c r="CD124" s="93">
        <v>0</v>
      </c>
      <c r="CE124">
        <v>70</v>
      </c>
      <c r="CF124">
        <v>3</v>
      </c>
      <c r="CG124" s="1">
        <f>IFERROR(IND_JUNIO_2026[[#This Row],[IND_PDP]]/IND_JUNIO_2026[[#This Row],[IND_CEF Unico]],"")</f>
        <v>4.2857142857142858E-2</v>
      </c>
      <c r="CH124">
        <v>864</v>
      </c>
      <c r="CJ124" s="1">
        <f>IFERROR(IND_JUNIO_2026[[#This Row],[IND_Recupero]]/IND_JUNIO_2026[[#This Row],[IND_MontoPDP]],"")</f>
        <v>0</v>
      </c>
      <c r="CK124" s="1" t="str">
        <f>IFERROR(IND_JUNIO_2026[[#This Row],[IND_MontoPDP]]/IND_JUNIO_2026[[#This Row],[DK]],"")</f>
        <v/>
      </c>
      <c r="CL124" t="s">
        <v>548</v>
      </c>
      <c r="CM124">
        <f>IFERROR(IND_JUNIO_2026[[#This Row],[IND_MontoPDP]]/IND_JUNIO_2026[[#This Row],[IND_PDP]],"")</f>
        <v>288</v>
      </c>
    </row>
    <row r="125" spans="42:91" x14ac:dyDescent="0.25">
      <c r="AP125" s="6"/>
      <c r="AQ125" s="6"/>
      <c r="AR125" s="7"/>
      <c r="BX125" s="45" t="s">
        <v>636</v>
      </c>
      <c r="BY125" s="45" t="s">
        <v>7</v>
      </c>
      <c r="BZ125" s="45" t="s">
        <v>77</v>
      </c>
      <c r="CA125" s="55">
        <v>46176</v>
      </c>
      <c r="CB125" s="1">
        <f>IF(IND_JUNIO_2026[[#This Row],[IND_CANTFalta]]=1,0,IF(1-(IND_JUNIO_2026[[#This Row],[IND_Tardanza Tiempo]]*100%/0.166666666666667)&lt;0,0,1-(IND_JUNIO_2026[[#This Row],[IND_Tardanza Tiempo]]*100%/0.166666666666667)))</f>
        <v>1</v>
      </c>
      <c r="CC125" s="45"/>
      <c r="CD125" s="93">
        <v>0</v>
      </c>
      <c r="CE125">
        <v>66</v>
      </c>
      <c r="CF125">
        <v>3</v>
      </c>
      <c r="CG125" s="1">
        <f>IFERROR(IND_JUNIO_2026[[#This Row],[IND_PDP]]/IND_JUNIO_2026[[#This Row],[IND_CEF Unico]],"")</f>
        <v>4.5454545454545456E-2</v>
      </c>
      <c r="CH125">
        <v>600</v>
      </c>
      <c r="CJ125" s="1">
        <f>IFERROR(IND_JUNIO_2026[[#This Row],[IND_Recupero]]/IND_JUNIO_2026[[#This Row],[IND_MontoPDP]],"")</f>
        <v>0</v>
      </c>
      <c r="CK125" s="1" t="str">
        <f>IFERROR(IND_JUNIO_2026[[#This Row],[IND_MontoPDP]]/IND_JUNIO_2026[[#This Row],[DK]],"")</f>
        <v/>
      </c>
      <c r="CL125" t="s">
        <v>548</v>
      </c>
      <c r="CM125">
        <f>IFERROR(IND_JUNIO_2026[[#This Row],[IND_MontoPDP]]/IND_JUNIO_2026[[#This Row],[IND_PDP]],"")</f>
        <v>200</v>
      </c>
    </row>
    <row r="126" spans="42:91" x14ac:dyDescent="0.25">
      <c r="AP126" s="6"/>
      <c r="AQ126" s="6"/>
      <c r="AR126" s="7"/>
      <c r="BX126" s="45" t="s">
        <v>636</v>
      </c>
      <c r="BY126" s="45" t="s">
        <v>7</v>
      </c>
      <c r="BZ126" s="45" t="s">
        <v>77</v>
      </c>
      <c r="CA126" s="55">
        <v>46178</v>
      </c>
      <c r="CB126" s="1">
        <f>IF(IND_JUNIO_2026[[#This Row],[IND_CANTFalta]]=1,0,IF(1-(IND_JUNIO_2026[[#This Row],[IND_Tardanza Tiempo]]*100%/0.166666666666667)&lt;0,0,1-(IND_JUNIO_2026[[#This Row],[IND_Tardanza Tiempo]]*100%/0.166666666666667)))</f>
        <v>0.98958333333333337</v>
      </c>
      <c r="CC126" s="45"/>
      <c r="CD126" s="93">
        <v>1.736111111111111E-3</v>
      </c>
      <c r="CE126">
        <v>17</v>
      </c>
      <c r="CG126" s="1">
        <f>IFERROR(IND_JUNIO_2026[[#This Row],[IND_PDP]]/IND_JUNIO_2026[[#This Row],[IND_CEF Unico]],"")</f>
        <v>0</v>
      </c>
      <c r="CJ126" s="1" t="str">
        <f>IFERROR(IND_JUNIO_2026[[#This Row],[IND_Recupero]]/IND_JUNIO_2026[[#This Row],[IND_MontoPDP]],"")</f>
        <v/>
      </c>
      <c r="CK126" s="1" t="str">
        <f>IFERROR(IND_JUNIO_2026[[#This Row],[IND_MontoPDP]]/IND_JUNIO_2026[[#This Row],[DK]],"")</f>
        <v/>
      </c>
      <c r="CL126" t="s">
        <v>548</v>
      </c>
      <c r="CM126" t="str">
        <f>IFERROR(IND_JUNIO_2026[[#This Row],[IND_MontoPDP]]/IND_JUNIO_2026[[#This Row],[IND_PDP]],"")</f>
        <v/>
      </c>
    </row>
    <row r="127" spans="42:91" x14ac:dyDescent="0.25">
      <c r="AP127" s="6"/>
      <c r="AQ127" s="6"/>
      <c r="AR127" s="7"/>
      <c r="BX127" s="45" t="s">
        <v>636</v>
      </c>
      <c r="BY127" s="45" t="s">
        <v>7</v>
      </c>
      <c r="BZ127" s="45" t="s">
        <v>630</v>
      </c>
      <c r="CA127" s="55">
        <v>46178</v>
      </c>
      <c r="CB127" s="1">
        <f>IF(IND_JUNIO_2026[[#This Row],[IND_CANTFalta]]=1,0,IF(1-(IND_JUNIO_2026[[#This Row],[IND_Tardanza Tiempo]]*100%/0.166666666666667)&lt;0,0,1-(IND_JUNIO_2026[[#This Row],[IND_Tardanza Tiempo]]*100%/0.166666666666667)))</f>
        <v>0.99611111111111117</v>
      </c>
      <c r="CC127" s="45"/>
      <c r="CD127" s="93">
        <v>6.4814814814814813E-4</v>
      </c>
      <c r="CE127">
        <v>17</v>
      </c>
      <c r="CG127" s="1">
        <f>IFERROR(IND_JUNIO_2026[[#This Row],[IND_PDP]]/IND_JUNIO_2026[[#This Row],[IND_CEF Unico]],"")</f>
        <v>0</v>
      </c>
      <c r="CJ127" s="1" t="str">
        <f>IFERROR(IND_JUNIO_2026[[#This Row],[IND_Recupero]]/IND_JUNIO_2026[[#This Row],[IND_MontoPDP]],"")</f>
        <v/>
      </c>
      <c r="CK127" s="1" t="str">
        <f>IFERROR(IND_JUNIO_2026[[#This Row],[IND_MontoPDP]]/IND_JUNIO_2026[[#This Row],[DK]],"")</f>
        <v/>
      </c>
      <c r="CL127" t="s">
        <v>548</v>
      </c>
      <c r="CM127" t="str">
        <f>IFERROR(IND_JUNIO_2026[[#This Row],[IND_MontoPDP]]/IND_JUNIO_2026[[#This Row],[IND_PDP]],"")</f>
        <v/>
      </c>
    </row>
    <row r="128" spans="42:91" x14ac:dyDescent="0.25">
      <c r="AP128" s="6"/>
      <c r="AQ128" s="6"/>
      <c r="AR128" s="7"/>
      <c r="BX128" s="45" t="s">
        <v>636</v>
      </c>
      <c r="BY128" s="45" t="s">
        <v>7</v>
      </c>
      <c r="BZ128" s="45" t="s">
        <v>50</v>
      </c>
      <c r="CA128" s="55">
        <v>46176</v>
      </c>
      <c r="CB128" s="1">
        <f>IF(IND_JUNIO_2026[[#This Row],[IND_CANTFalta]]=1,0,IF(1-(IND_JUNIO_2026[[#This Row],[IND_Tardanza Tiempo]]*100%/0.166666666666667)&lt;0,0,1-(IND_JUNIO_2026[[#This Row],[IND_Tardanza Tiempo]]*100%/0.166666666666667)))</f>
        <v>0.99729166666666669</v>
      </c>
      <c r="CC128" s="45"/>
      <c r="CD128" s="93">
        <v>4.5138888888888887E-4</v>
      </c>
      <c r="CE128">
        <v>26</v>
      </c>
      <c r="CF128">
        <v>1</v>
      </c>
      <c r="CG128" s="1">
        <f>IFERROR(IND_JUNIO_2026[[#This Row],[IND_PDP]]/IND_JUNIO_2026[[#This Row],[IND_CEF Unico]],"")</f>
        <v>3.8461538461538464E-2</v>
      </c>
      <c r="CH128">
        <v>670</v>
      </c>
      <c r="CJ128" s="1">
        <f>IFERROR(IND_JUNIO_2026[[#This Row],[IND_Recupero]]/IND_JUNIO_2026[[#This Row],[IND_MontoPDP]],"")</f>
        <v>0</v>
      </c>
      <c r="CK128" s="1" t="str">
        <f>IFERROR(IND_JUNIO_2026[[#This Row],[IND_MontoPDP]]/IND_JUNIO_2026[[#This Row],[DK]],"")</f>
        <v/>
      </c>
      <c r="CL128" t="s">
        <v>548</v>
      </c>
      <c r="CM128">
        <f>IFERROR(IND_JUNIO_2026[[#This Row],[IND_MontoPDP]]/IND_JUNIO_2026[[#This Row],[IND_PDP]],"")</f>
        <v>670</v>
      </c>
    </row>
    <row r="129" spans="42:91" x14ac:dyDescent="0.25">
      <c r="AP129" s="6"/>
      <c r="AQ129" s="6"/>
      <c r="AR129" s="7"/>
      <c r="BX129" s="45" t="s">
        <v>636</v>
      </c>
      <c r="BY129" s="45" t="s">
        <v>7</v>
      </c>
      <c r="BZ129" s="45" t="s">
        <v>50</v>
      </c>
      <c r="CA129" s="55">
        <v>46177</v>
      </c>
      <c r="CB129" s="1">
        <f>IF(IND_JUNIO_2026[[#This Row],[IND_CANTFalta]]=1,0,IF(1-(IND_JUNIO_2026[[#This Row],[IND_Tardanza Tiempo]]*100%/0.166666666666667)&lt;0,0,1-(IND_JUNIO_2026[[#This Row],[IND_Tardanza Tiempo]]*100%/0.166666666666667)))</f>
        <v>0.99902777777777774</v>
      </c>
      <c r="CC129" s="45"/>
      <c r="CD129" s="93">
        <v>1.6203703703703703E-4</v>
      </c>
      <c r="CE129">
        <v>15</v>
      </c>
      <c r="CF129">
        <v>2</v>
      </c>
      <c r="CG129" s="1">
        <f>IFERROR(IND_JUNIO_2026[[#This Row],[IND_PDP]]/IND_JUNIO_2026[[#This Row],[IND_CEF Unico]],"")</f>
        <v>0.13333333333333333</v>
      </c>
      <c r="CH129">
        <v>572</v>
      </c>
      <c r="CJ129" s="1">
        <f>IFERROR(IND_JUNIO_2026[[#This Row],[IND_Recupero]]/IND_JUNIO_2026[[#This Row],[IND_MontoPDP]],"")</f>
        <v>0</v>
      </c>
      <c r="CK129" s="1" t="str">
        <f>IFERROR(IND_JUNIO_2026[[#This Row],[IND_MontoPDP]]/IND_JUNIO_2026[[#This Row],[DK]],"")</f>
        <v/>
      </c>
      <c r="CL129" t="s">
        <v>548</v>
      </c>
      <c r="CM129">
        <f>IFERROR(IND_JUNIO_2026[[#This Row],[IND_MontoPDP]]/IND_JUNIO_2026[[#This Row],[IND_PDP]],"")</f>
        <v>286</v>
      </c>
    </row>
    <row r="130" spans="42:91" x14ac:dyDescent="0.25">
      <c r="AP130" s="6"/>
      <c r="AQ130" s="6"/>
      <c r="AR130" s="7"/>
      <c r="BX130" s="45" t="s">
        <v>636</v>
      </c>
      <c r="BY130" s="45" t="s">
        <v>7</v>
      </c>
      <c r="BZ130" s="45" t="s">
        <v>55</v>
      </c>
      <c r="CA130" s="55">
        <v>46174</v>
      </c>
      <c r="CB130" s="1">
        <f>IF(IND_JUNIO_2026[[#This Row],[IND_CANTFalta]]=1,0,IF(1-(IND_JUNIO_2026[[#This Row],[IND_Tardanza Tiempo]]*100%/0.166666666666667)&lt;0,0,1-(IND_JUNIO_2026[[#This Row],[IND_Tardanza Tiempo]]*100%/0.166666666666667)))</f>
        <v>0.99840277777777775</v>
      </c>
      <c r="CC130" s="45"/>
      <c r="CD130" s="93">
        <v>2.6620370370370372E-4</v>
      </c>
      <c r="CE130">
        <v>29</v>
      </c>
      <c r="CF130">
        <v>2</v>
      </c>
      <c r="CG130" s="1">
        <f>IFERROR(IND_JUNIO_2026[[#This Row],[IND_PDP]]/IND_JUNIO_2026[[#This Row],[IND_CEF Unico]],"")</f>
        <v>6.8965517241379309E-2</v>
      </c>
      <c r="CH130">
        <v>555</v>
      </c>
      <c r="CI130">
        <v>325</v>
      </c>
      <c r="CJ130" s="1">
        <f>IFERROR(IND_JUNIO_2026[[#This Row],[IND_Recupero]]/IND_JUNIO_2026[[#This Row],[IND_MontoPDP]],"")</f>
        <v>0.5855855855855856</v>
      </c>
      <c r="CK130" s="1">
        <f>IFERROR(IND_JUNIO_2026[[#This Row],[IND_MontoPDP]]/IND_JUNIO_2026[[#This Row],[DK]],"")</f>
        <v>0.22919999999999999</v>
      </c>
      <c r="CL130">
        <v>2421.4659685863876</v>
      </c>
      <c r="CM130">
        <f>IFERROR(IND_JUNIO_2026[[#This Row],[IND_MontoPDP]]/IND_JUNIO_2026[[#This Row],[IND_PDP]],"")</f>
        <v>277.5</v>
      </c>
    </row>
    <row r="131" spans="42:91" x14ac:dyDescent="0.25">
      <c r="AP131" s="6"/>
      <c r="AQ131" s="6"/>
      <c r="AR131" s="7"/>
      <c r="BX131" s="45" t="s">
        <v>636</v>
      </c>
      <c r="BY131" s="45" t="s">
        <v>7</v>
      </c>
      <c r="BZ131" s="45" t="s">
        <v>55</v>
      </c>
      <c r="CA131" s="55">
        <v>46175</v>
      </c>
      <c r="CB131" s="1">
        <f>IF(IND_JUNIO_2026[[#This Row],[IND_CANTFalta]]=1,0,IF(1-(IND_JUNIO_2026[[#This Row],[IND_Tardanza Tiempo]]*100%/0.166666666666667)&lt;0,0,1-(IND_JUNIO_2026[[#This Row],[IND_Tardanza Tiempo]]*100%/0.166666666666667)))</f>
        <v>0.99965277777777772</v>
      </c>
      <c r="CC131" s="45"/>
      <c r="CD131" s="93">
        <v>5.7870370370370373E-5</v>
      </c>
      <c r="CE131">
        <v>46</v>
      </c>
      <c r="CF131">
        <v>2</v>
      </c>
      <c r="CG131" s="1">
        <f>IFERROR(IND_JUNIO_2026[[#This Row],[IND_PDP]]/IND_JUNIO_2026[[#This Row],[IND_CEF Unico]],"")</f>
        <v>4.3478260869565216E-2</v>
      </c>
      <c r="CH131">
        <v>320</v>
      </c>
      <c r="CJ131" s="1">
        <f>IFERROR(IND_JUNIO_2026[[#This Row],[IND_Recupero]]/IND_JUNIO_2026[[#This Row],[IND_MontoPDP]],"")</f>
        <v>0</v>
      </c>
      <c r="CK131" s="1" t="str">
        <f>IFERROR(IND_JUNIO_2026[[#This Row],[IND_MontoPDP]]/IND_JUNIO_2026[[#This Row],[DK]],"")</f>
        <v/>
      </c>
      <c r="CL131" t="s">
        <v>548</v>
      </c>
      <c r="CM131">
        <f>IFERROR(IND_JUNIO_2026[[#This Row],[IND_MontoPDP]]/IND_JUNIO_2026[[#This Row],[IND_PDP]],"")</f>
        <v>160</v>
      </c>
    </row>
    <row r="132" spans="42:91" x14ac:dyDescent="0.25">
      <c r="AQ132" s="6"/>
      <c r="AR132" s="7"/>
      <c r="BX132" s="45" t="s">
        <v>636</v>
      </c>
      <c r="BY132" s="45" t="s">
        <v>7</v>
      </c>
      <c r="BZ132" s="45" t="s">
        <v>55</v>
      </c>
      <c r="CA132" s="55">
        <v>46176</v>
      </c>
      <c r="CB132" s="1">
        <f>IF(IND_JUNIO_2026[[#This Row],[IND_CANTFalta]]=1,0,IF(1-(IND_JUNIO_2026[[#This Row],[IND_Tardanza Tiempo]]*100%/0.166666666666667)&lt;0,0,1-(IND_JUNIO_2026[[#This Row],[IND_Tardanza Tiempo]]*100%/0.166666666666667)))</f>
        <v>0.99972222222222218</v>
      </c>
      <c r="CC132" s="45"/>
      <c r="CD132" s="93">
        <v>4.6296296296296294E-5</v>
      </c>
      <c r="CE132">
        <v>28</v>
      </c>
      <c r="CF132">
        <v>1</v>
      </c>
      <c r="CG132" s="1">
        <f>IFERROR(IND_JUNIO_2026[[#This Row],[IND_PDP]]/IND_JUNIO_2026[[#This Row],[IND_CEF Unico]],"")</f>
        <v>3.5714285714285712E-2</v>
      </c>
      <c r="CH132">
        <v>380</v>
      </c>
      <c r="CI132">
        <v>380</v>
      </c>
      <c r="CJ132" s="1">
        <f>IFERROR(IND_JUNIO_2026[[#This Row],[IND_Recupero]]/IND_JUNIO_2026[[#This Row],[IND_MontoPDP]],"")</f>
        <v>1</v>
      </c>
      <c r="CK132" s="1">
        <f>IFERROR(IND_JUNIO_2026[[#This Row],[IND_MontoPDP]]/IND_JUNIO_2026[[#This Row],[DK]],"")</f>
        <v>0.32250000000000001</v>
      </c>
      <c r="CL132">
        <v>1178.2945736434108</v>
      </c>
      <c r="CM132">
        <f>IFERROR(IND_JUNIO_2026[[#This Row],[IND_MontoPDP]]/IND_JUNIO_2026[[#This Row],[IND_PDP]],"")</f>
        <v>380</v>
      </c>
    </row>
    <row r="133" spans="42:91" x14ac:dyDescent="0.25">
      <c r="AQ133" s="6"/>
      <c r="AR133" s="7"/>
      <c r="BX133" s="45" t="s">
        <v>636</v>
      </c>
      <c r="BY133" s="45" t="s">
        <v>7</v>
      </c>
      <c r="BZ133" s="45" t="s">
        <v>55</v>
      </c>
      <c r="CA133" s="55">
        <v>46177</v>
      </c>
      <c r="CB133" s="1">
        <f>IF(IND_JUNIO_2026[[#This Row],[IND_CANTFalta]]=1,0,IF(1-(IND_JUNIO_2026[[#This Row],[IND_Tardanza Tiempo]]*100%/0.166666666666667)&lt;0,0,1-(IND_JUNIO_2026[[#This Row],[IND_Tardanza Tiempo]]*100%/0.166666666666667)))</f>
        <v>0.99951388888888892</v>
      </c>
      <c r="CC133" s="45"/>
      <c r="CD133" s="93">
        <v>8.1018518518518516E-5</v>
      </c>
      <c r="CE133">
        <v>24</v>
      </c>
      <c r="CF133">
        <v>2</v>
      </c>
      <c r="CG133" s="1">
        <f>IFERROR(IND_JUNIO_2026[[#This Row],[IND_PDP]]/IND_JUNIO_2026[[#This Row],[IND_CEF Unico]],"")</f>
        <v>8.3333333333333329E-2</v>
      </c>
      <c r="CH133">
        <v>620</v>
      </c>
      <c r="CJ133" s="1">
        <f>IFERROR(IND_JUNIO_2026[[#This Row],[IND_Recupero]]/IND_JUNIO_2026[[#This Row],[IND_MontoPDP]],"")</f>
        <v>0</v>
      </c>
      <c r="CK133" s="1" t="str">
        <f>IFERROR(IND_JUNIO_2026[[#This Row],[IND_MontoPDP]]/IND_JUNIO_2026[[#This Row],[DK]],"")</f>
        <v/>
      </c>
      <c r="CL133" t="s">
        <v>548</v>
      </c>
      <c r="CM133">
        <f>IFERROR(IND_JUNIO_2026[[#This Row],[IND_MontoPDP]]/IND_JUNIO_2026[[#This Row],[IND_PDP]],"")</f>
        <v>310</v>
      </c>
    </row>
    <row r="134" spans="42:91" x14ac:dyDescent="0.25">
      <c r="AQ134" s="6"/>
      <c r="AR134" s="7"/>
      <c r="BX134" s="45" t="s">
        <v>636</v>
      </c>
      <c r="BY134" s="45" t="s">
        <v>7</v>
      </c>
      <c r="BZ134" s="45" t="s">
        <v>55</v>
      </c>
      <c r="CA134" s="55">
        <v>46178</v>
      </c>
      <c r="CB134" s="1">
        <f>IF(IND_JUNIO_2026[[#This Row],[IND_CANTFalta]]=1,0,IF(1-(IND_JUNIO_2026[[#This Row],[IND_Tardanza Tiempo]]*100%/0.166666666666667)&lt;0,0,1-(IND_JUNIO_2026[[#This Row],[IND_Tardanza Tiempo]]*100%/0.166666666666667)))</f>
        <v>0.99958333333333338</v>
      </c>
      <c r="CC134" s="45"/>
      <c r="CD134" s="93">
        <v>6.9444444444444444E-5</v>
      </c>
      <c r="CE134">
        <v>12</v>
      </c>
      <c r="CG134" s="1">
        <f>IFERROR(IND_JUNIO_2026[[#This Row],[IND_PDP]]/IND_JUNIO_2026[[#This Row],[IND_CEF Unico]],"")</f>
        <v>0</v>
      </c>
      <c r="CJ134" s="1" t="str">
        <f>IFERROR(IND_JUNIO_2026[[#This Row],[IND_Recupero]]/IND_JUNIO_2026[[#This Row],[IND_MontoPDP]],"")</f>
        <v/>
      </c>
      <c r="CK134" s="1" t="str">
        <f>IFERROR(IND_JUNIO_2026[[#This Row],[IND_MontoPDP]]/IND_JUNIO_2026[[#This Row],[DK]],"")</f>
        <v/>
      </c>
      <c r="CL134" t="s">
        <v>548</v>
      </c>
      <c r="CM134" t="str">
        <f>IFERROR(IND_JUNIO_2026[[#This Row],[IND_MontoPDP]]/IND_JUNIO_2026[[#This Row],[IND_PDP]],"")</f>
        <v/>
      </c>
    </row>
    <row r="135" spans="42:91" x14ac:dyDescent="0.25">
      <c r="AQ135" s="6"/>
      <c r="AR135" s="7"/>
      <c r="BX135" s="45" t="s">
        <v>636</v>
      </c>
      <c r="BY135" s="45" t="s">
        <v>7</v>
      </c>
      <c r="BZ135" s="45" t="s">
        <v>73</v>
      </c>
      <c r="CA135" s="55">
        <v>46176</v>
      </c>
      <c r="CB135" s="1">
        <f>IF(IND_JUNIO_2026[[#This Row],[IND_CANTFalta]]=1,0,IF(1-(IND_JUNIO_2026[[#This Row],[IND_Tardanza Tiempo]]*100%/0.166666666666667)&lt;0,0,1-(IND_JUNIO_2026[[#This Row],[IND_Tardanza Tiempo]]*100%/0.166666666666667)))</f>
        <v>0.98701388888888897</v>
      </c>
      <c r="CC135" s="45"/>
      <c r="CD135" s="93">
        <v>2.1643518518518518E-3</v>
      </c>
      <c r="CE135">
        <v>33</v>
      </c>
      <c r="CF135">
        <v>3</v>
      </c>
      <c r="CG135" s="1">
        <f>IFERROR(IND_JUNIO_2026[[#This Row],[IND_PDP]]/IND_JUNIO_2026[[#This Row],[IND_CEF Unico]],"")</f>
        <v>9.0909090909090912E-2</v>
      </c>
      <c r="CH135">
        <v>1200</v>
      </c>
      <c r="CI135">
        <v>950</v>
      </c>
      <c r="CJ135" s="1">
        <f>IFERROR(IND_JUNIO_2026[[#This Row],[IND_Recupero]]/IND_JUNIO_2026[[#This Row],[IND_MontoPDP]],"")</f>
        <v>0.79166666666666663</v>
      </c>
      <c r="CK135" s="1">
        <f>IFERROR(IND_JUNIO_2026[[#This Row],[IND_MontoPDP]]/IND_JUNIO_2026[[#This Row],[DK]],"")</f>
        <v>0.1215</v>
      </c>
      <c r="CL135">
        <v>9876.5432098765432</v>
      </c>
      <c r="CM135">
        <f>IFERROR(IND_JUNIO_2026[[#This Row],[IND_MontoPDP]]/IND_JUNIO_2026[[#This Row],[IND_PDP]],"")</f>
        <v>400</v>
      </c>
    </row>
    <row r="136" spans="42:91" x14ac:dyDescent="0.25">
      <c r="AQ136" s="6"/>
      <c r="AR136" s="7"/>
      <c r="BX136" s="45" t="s">
        <v>636</v>
      </c>
      <c r="BY136" s="45" t="s">
        <v>7</v>
      </c>
      <c r="BZ136" s="45" t="s">
        <v>73</v>
      </c>
      <c r="CA136" s="55">
        <v>46178</v>
      </c>
      <c r="CB136" s="1">
        <f>IF(IND_JUNIO_2026[[#This Row],[IND_CANTFalta]]=1,0,IF(1-(IND_JUNIO_2026[[#This Row],[IND_Tardanza Tiempo]]*100%/0.166666666666667)&lt;0,0,1-(IND_JUNIO_2026[[#This Row],[IND_Tardanza Tiempo]]*100%/0.166666666666667)))</f>
        <v>0.99770833333333331</v>
      </c>
      <c r="CC136" s="45"/>
      <c r="CD136" s="93">
        <v>3.8194444444444446E-4</v>
      </c>
      <c r="CE136">
        <v>4</v>
      </c>
      <c r="CG136" s="1">
        <f>IFERROR(IND_JUNIO_2026[[#This Row],[IND_PDP]]/IND_JUNIO_2026[[#This Row],[IND_CEF Unico]],"")</f>
        <v>0</v>
      </c>
      <c r="CJ136" s="1" t="str">
        <f>IFERROR(IND_JUNIO_2026[[#This Row],[IND_Recupero]]/IND_JUNIO_2026[[#This Row],[IND_MontoPDP]],"")</f>
        <v/>
      </c>
      <c r="CK136" s="1" t="str">
        <f>IFERROR(IND_JUNIO_2026[[#This Row],[IND_MontoPDP]]/IND_JUNIO_2026[[#This Row],[DK]],"")</f>
        <v/>
      </c>
      <c r="CL136" t="s">
        <v>548</v>
      </c>
      <c r="CM136" t="str">
        <f>IFERROR(IND_JUNIO_2026[[#This Row],[IND_MontoPDP]]/IND_JUNIO_2026[[#This Row],[IND_PDP]],"")</f>
        <v/>
      </c>
    </row>
    <row r="137" spans="42:91" x14ac:dyDescent="0.25">
      <c r="AQ137" s="6"/>
      <c r="AR137" s="7"/>
      <c r="BX137" s="45" t="s">
        <v>636</v>
      </c>
      <c r="BY137" s="45" t="s">
        <v>3</v>
      </c>
      <c r="BZ137" s="45" t="s">
        <v>58</v>
      </c>
      <c r="CA137" s="55">
        <v>46174</v>
      </c>
      <c r="CB137" s="1">
        <f>IF(IND_JUNIO_2026[[#This Row],[IND_CANTFalta]]=1,0,IF(1-(IND_JUNIO_2026[[#This Row],[IND_Tardanza Tiempo]]*100%/0.166666666666667)&lt;0,0,1-(IND_JUNIO_2026[[#This Row],[IND_Tardanza Tiempo]]*100%/0.166666666666667)))</f>
        <v>0.99826388888888884</v>
      </c>
      <c r="CC137" s="45"/>
      <c r="CD137" s="93">
        <v>2.8935185185185184E-4</v>
      </c>
      <c r="CE137">
        <v>39</v>
      </c>
      <c r="CF137">
        <v>10</v>
      </c>
      <c r="CG137" s="1">
        <f>IFERROR(IND_JUNIO_2026[[#This Row],[IND_PDP]]/IND_JUNIO_2026[[#This Row],[IND_CEF Unico]],"")</f>
        <v>0.25641025641025639</v>
      </c>
      <c r="CH137">
        <v>8019</v>
      </c>
      <c r="CI137">
        <v>530</v>
      </c>
      <c r="CJ137" s="1">
        <f>IFERROR(IND_JUNIO_2026[[#This Row],[IND_Recupero]]/IND_JUNIO_2026[[#This Row],[IND_MontoPDP]],"")</f>
        <v>6.6093029055992014E-2</v>
      </c>
      <c r="CK137" s="1" t="str">
        <f>IFERROR(IND_JUNIO_2026[[#This Row],[IND_MontoPDP]]/IND_JUNIO_2026[[#This Row],[DK]],"")</f>
        <v/>
      </c>
      <c r="CL137" t="s">
        <v>548</v>
      </c>
      <c r="CM137">
        <f>IFERROR(IND_JUNIO_2026[[#This Row],[IND_MontoPDP]]/IND_JUNIO_2026[[#This Row],[IND_PDP]],"")</f>
        <v>801.9</v>
      </c>
    </row>
    <row r="138" spans="42:91" x14ac:dyDescent="0.25">
      <c r="AQ138" s="6"/>
      <c r="AR138" s="7"/>
      <c r="BX138" s="45" t="s">
        <v>636</v>
      </c>
      <c r="BY138" s="45" t="s">
        <v>3</v>
      </c>
      <c r="BZ138" s="45" t="s">
        <v>58</v>
      </c>
      <c r="CA138" s="55">
        <v>46175</v>
      </c>
      <c r="CB138" s="1">
        <f>IF(IND_JUNIO_2026[[#This Row],[IND_CANTFalta]]=1,0,IF(1-(IND_JUNIO_2026[[#This Row],[IND_Tardanza Tiempo]]*100%/0.166666666666667)&lt;0,0,1-(IND_JUNIO_2026[[#This Row],[IND_Tardanza Tiempo]]*100%/0.166666666666667)))</f>
        <v>0.99972222222222218</v>
      </c>
      <c r="CC138" s="45"/>
      <c r="CD138" s="93">
        <v>4.6296296296296294E-5</v>
      </c>
      <c r="CE138">
        <v>28</v>
      </c>
      <c r="CF138">
        <v>3</v>
      </c>
      <c r="CG138" s="1">
        <f>IFERROR(IND_JUNIO_2026[[#This Row],[IND_PDP]]/IND_JUNIO_2026[[#This Row],[IND_CEF Unico]],"")</f>
        <v>0.10714285714285714</v>
      </c>
      <c r="CH138">
        <v>9200</v>
      </c>
      <c r="CI138">
        <v>8750</v>
      </c>
      <c r="CJ138" s="1">
        <f>IFERROR(IND_JUNIO_2026[[#This Row],[IND_Recupero]]/IND_JUNIO_2026[[#This Row],[IND_MontoPDP]],"")</f>
        <v>0.95108695652173914</v>
      </c>
      <c r="CK138" s="1">
        <f>IFERROR(IND_JUNIO_2026[[#This Row],[IND_MontoPDP]]/IND_JUNIO_2026[[#This Row],[DK]],"")</f>
        <v>0.1275</v>
      </c>
      <c r="CL138">
        <v>72156.862745098042</v>
      </c>
      <c r="CM138">
        <f>IFERROR(IND_JUNIO_2026[[#This Row],[IND_MontoPDP]]/IND_JUNIO_2026[[#This Row],[IND_PDP]],"")</f>
        <v>3066.6666666666665</v>
      </c>
    </row>
    <row r="139" spans="42:91" x14ac:dyDescent="0.25">
      <c r="AQ139" s="6"/>
      <c r="AR139" s="7"/>
      <c r="BX139" s="45" t="s">
        <v>636</v>
      </c>
      <c r="BY139" s="45" t="s">
        <v>3</v>
      </c>
      <c r="BZ139" s="45" t="s">
        <v>58</v>
      </c>
      <c r="CA139" s="55">
        <v>46176</v>
      </c>
      <c r="CB139" s="1">
        <f>IF(IND_JUNIO_2026[[#This Row],[IND_CANTFalta]]=1,0,IF(1-(IND_JUNIO_2026[[#This Row],[IND_Tardanza Tiempo]]*100%/0.166666666666667)&lt;0,0,1-(IND_JUNIO_2026[[#This Row],[IND_Tardanza Tiempo]]*100%/0.166666666666667)))</f>
        <v>0.99916666666666665</v>
      </c>
      <c r="CC139" s="45"/>
      <c r="CD139" s="93">
        <v>1.3888888888888889E-4</v>
      </c>
      <c r="CE139">
        <v>30</v>
      </c>
      <c r="CG139" s="1">
        <f>IFERROR(IND_JUNIO_2026[[#This Row],[IND_PDP]]/IND_JUNIO_2026[[#This Row],[IND_CEF Unico]],"")</f>
        <v>0</v>
      </c>
      <c r="CJ139" s="1" t="str">
        <f>IFERROR(IND_JUNIO_2026[[#This Row],[IND_Recupero]]/IND_JUNIO_2026[[#This Row],[IND_MontoPDP]],"")</f>
        <v/>
      </c>
      <c r="CK139" s="1" t="str">
        <f>IFERROR(IND_JUNIO_2026[[#This Row],[IND_MontoPDP]]/IND_JUNIO_2026[[#This Row],[DK]],"")</f>
        <v/>
      </c>
      <c r="CL139" t="s">
        <v>548</v>
      </c>
      <c r="CM139" t="str">
        <f>IFERROR(IND_JUNIO_2026[[#This Row],[IND_MontoPDP]]/IND_JUNIO_2026[[#This Row],[IND_PDP]],"")</f>
        <v/>
      </c>
    </row>
    <row r="140" spans="42:91" x14ac:dyDescent="0.25">
      <c r="AQ140" s="6"/>
      <c r="AR140" s="7"/>
      <c r="BX140" s="45" t="s">
        <v>636</v>
      </c>
      <c r="BY140" s="45" t="s">
        <v>3</v>
      </c>
      <c r="BZ140" s="45" t="s">
        <v>58</v>
      </c>
      <c r="CA140" s="55">
        <v>46177</v>
      </c>
      <c r="CB140" s="1">
        <f>IF(IND_JUNIO_2026[[#This Row],[IND_CANTFalta]]=1,0,IF(1-(IND_JUNIO_2026[[#This Row],[IND_Tardanza Tiempo]]*100%/0.166666666666667)&lt;0,0,1-(IND_JUNIO_2026[[#This Row],[IND_Tardanza Tiempo]]*100%/0.166666666666667)))</f>
        <v>0.99833333333333329</v>
      </c>
      <c r="CC140" s="45"/>
      <c r="CD140" s="93">
        <v>2.7777777777777778E-4</v>
      </c>
      <c r="CE140">
        <v>18</v>
      </c>
      <c r="CF140">
        <v>1</v>
      </c>
      <c r="CG140" s="1">
        <f>IFERROR(IND_JUNIO_2026[[#This Row],[IND_PDP]]/IND_JUNIO_2026[[#This Row],[IND_CEF Unico]],"")</f>
        <v>5.5555555555555552E-2</v>
      </c>
      <c r="CH140">
        <v>1350</v>
      </c>
      <c r="CJ140" s="1">
        <f>IFERROR(IND_JUNIO_2026[[#This Row],[IND_Recupero]]/IND_JUNIO_2026[[#This Row],[IND_MontoPDP]],"")</f>
        <v>0</v>
      </c>
      <c r="CK140" s="1" t="str">
        <f>IFERROR(IND_JUNIO_2026[[#This Row],[IND_MontoPDP]]/IND_JUNIO_2026[[#This Row],[DK]],"")</f>
        <v/>
      </c>
      <c r="CL140" t="s">
        <v>548</v>
      </c>
      <c r="CM140">
        <f>IFERROR(IND_JUNIO_2026[[#This Row],[IND_MontoPDP]]/IND_JUNIO_2026[[#This Row],[IND_PDP]],"")</f>
        <v>1350</v>
      </c>
    </row>
    <row r="141" spans="42:91" x14ac:dyDescent="0.25">
      <c r="AQ141" s="6"/>
      <c r="AR141" s="7"/>
      <c r="BX141" s="45" t="s">
        <v>636</v>
      </c>
      <c r="BY141" s="45" t="s">
        <v>3</v>
      </c>
      <c r="BZ141" s="45" t="s">
        <v>58</v>
      </c>
      <c r="CA141" s="55">
        <v>46178</v>
      </c>
      <c r="CB141" s="1">
        <f>IF(IND_JUNIO_2026[[#This Row],[IND_CANTFalta]]=1,0,IF(1-(IND_JUNIO_2026[[#This Row],[IND_Tardanza Tiempo]]*100%/0.166666666666667)&lt;0,0,1-(IND_JUNIO_2026[[#This Row],[IND_Tardanza Tiempo]]*100%/0.166666666666667)))</f>
        <v>0.99979166666666663</v>
      </c>
      <c r="CC141" s="45"/>
      <c r="CD141" s="93">
        <v>3.4722222222222222E-5</v>
      </c>
      <c r="CE141">
        <v>3</v>
      </c>
      <c r="CG141" s="1">
        <f>IFERROR(IND_JUNIO_2026[[#This Row],[IND_PDP]]/IND_JUNIO_2026[[#This Row],[IND_CEF Unico]],"")</f>
        <v>0</v>
      </c>
      <c r="CJ141" s="1" t="str">
        <f>IFERROR(IND_JUNIO_2026[[#This Row],[IND_Recupero]]/IND_JUNIO_2026[[#This Row],[IND_MontoPDP]],"")</f>
        <v/>
      </c>
      <c r="CK141" s="1" t="str">
        <f>IFERROR(IND_JUNIO_2026[[#This Row],[IND_MontoPDP]]/IND_JUNIO_2026[[#This Row],[DK]],"")</f>
        <v/>
      </c>
      <c r="CL141" t="s">
        <v>548</v>
      </c>
      <c r="CM141" t="str">
        <f>IFERROR(IND_JUNIO_2026[[#This Row],[IND_MontoPDP]]/IND_JUNIO_2026[[#This Row],[IND_PDP]],"")</f>
        <v/>
      </c>
    </row>
    <row r="142" spans="42:91" x14ac:dyDescent="0.25">
      <c r="AQ142" s="6"/>
      <c r="AR142" s="7"/>
      <c r="BX142" s="45" t="s">
        <v>636</v>
      </c>
      <c r="BY142" s="45" t="s">
        <v>3</v>
      </c>
      <c r="BZ142" s="45" t="s">
        <v>60</v>
      </c>
      <c r="CA142" s="55">
        <v>46174</v>
      </c>
      <c r="CB142" s="1">
        <f>IF(IND_JUNIO_2026[[#This Row],[IND_CANTFalta]]=1,0,IF(1-(IND_JUNIO_2026[[#This Row],[IND_Tardanza Tiempo]]*100%/0.166666666666667)&lt;0,0,1-(IND_JUNIO_2026[[#This Row],[IND_Tardanza Tiempo]]*100%/0.166666666666667)))</f>
        <v>0.99895833333333328</v>
      </c>
      <c r="CC142" s="45"/>
      <c r="CD142" s="93">
        <v>1.7361111111111112E-4</v>
      </c>
      <c r="CE142">
        <v>32</v>
      </c>
      <c r="CF142">
        <v>4</v>
      </c>
      <c r="CG142" s="1">
        <f>IFERROR(IND_JUNIO_2026[[#This Row],[IND_PDP]]/IND_JUNIO_2026[[#This Row],[IND_CEF Unico]],"")</f>
        <v>0.125</v>
      </c>
      <c r="CH142">
        <v>3000</v>
      </c>
      <c r="CI142">
        <v>800</v>
      </c>
      <c r="CJ142" s="1">
        <f>IFERROR(IND_JUNIO_2026[[#This Row],[IND_Recupero]]/IND_JUNIO_2026[[#This Row],[IND_MontoPDP]],"")</f>
        <v>0.26666666666666666</v>
      </c>
      <c r="CK142" s="1" t="str">
        <f>IFERROR(IND_JUNIO_2026[[#This Row],[IND_MontoPDP]]/IND_JUNIO_2026[[#This Row],[DK]],"")</f>
        <v/>
      </c>
      <c r="CL142" t="s">
        <v>548</v>
      </c>
      <c r="CM142">
        <f>IFERROR(IND_JUNIO_2026[[#This Row],[IND_MontoPDP]]/IND_JUNIO_2026[[#This Row],[IND_PDP]],"")</f>
        <v>750</v>
      </c>
    </row>
    <row r="143" spans="42:91" x14ac:dyDescent="0.25">
      <c r="AQ143" s="6"/>
      <c r="AR143" s="7"/>
      <c r="BX143" s="45" t="s">
        <v>636</v>
      </c>
      <c r="BY143" s="45" t="s">
        <v>3</v>
      </c>
      <c r="BZ143" s="45" t="s">
        <v>60</v>
      </c>
      <c r="CA143" s="55">
        <v>46175</v>
      </c>
      <c r="CB143" s="1">
        <f>IF(IND_JUNIO_2026[[#This Row],[IND_CANTFalta]]=1,0,IF(1-(IND_JUNIO_2026[[#This Row],[IND_Tardanza Tiempo]]*100%/0.166666666666667)&lt;0,0,1-(IND_JUNIO_2026[[#This Row],[IND_Tardanza Tiempo]]*100%/0.166666666666667)))</f>
        <v>0.99909722222222219</v>
      </c>
      <c r="CC143" s="45"/>
      <c r="CD143" s="93">
        <v>1.5046296296296297E-4</v>
      </c>
      <c r="CE143">
        <v>17</v>
      </c>
      <c r="CF143">
        <v>1</v>
      </c>
      <c r="CG143" s="1">
        <f>IFERROR(IND_JUNIO_2026[[#This Row],[IND_PDP]]/IND_JUNIO_2026[[#This Row],[IND_CEF Unico]],"")</f>
        <v>5.8823529411764705E-2</v>
      </c>
      <c r="CH143">
        <v>11256</v>
      </c>
      <c r="CI143">
        <v>11256</v>
      </c>
      <c r="CJ143" s="1">
        <f>IFERROR(IND_JUNIO_2026[[#This Row],[IND_Recupero]]/IND_JUNIO_2026[[#This Row],[IND_MontoPDP]],"")</f>
        <v>1</v>
      </c>
      <c r="CK143" s="1">
        <f>IFERROR(IND_JUNIO_2026[[#This Row],[IND_MontoPDP]]/IND_JUNIO_2026[[#This Row],[DK]],"")</f>
        <v>0.16269999999999998</v>
      </c>
      <c r="CL143">
        <v>69182.544560540875</v>
      </c>
      <c r="CM143">
        <f>IFERROR(IND_JUNIO_2026[[#This Row],[IND_MontoPDP]]/IND_JUNIO_2026[[#This Row],[IND_PDP]],"")</f>
        <v>11256</v>
      </c>
    </row>
    <row r="144" spans="42:91" x14ac:dyDescent="0.25">
      <c r="AQ144" s="6"/>
      <c r="AR144" s="7"/>
      <c r="BX144" s="45" t="s">
        <v>636</v>
      </c>
      <c r="BY144" s="45" t="s">
        <v>3</v>
      </c>
      <c r="BZ144" s="45" t="s">
        <v>60</v>
      </c>
      <c r="CA144" s="55">
        <v>46176</v>
      </c>
      <c r="CB144" s="1">
        <f>IF(IND_JUNIO_2026[[#This Row],[IND_CANTFalta]]=1,0,IF(1-(IND_JUNIO_2026[[#This Row],[IND_Tardanza Tiempo]]*100%/0.166666666666667)&lt;0,0,1-(IND_JUNIO_2026[[#This Row],[IND_Tardanza Tiempo]]*100%/0.166666666666667)))</f>
        <v>0.99916666666666665</v>
      </c>
      <c r="CC144" s="45"/>
      <c r="CD144" s="93">
        <v>1.3888888888888889E-4</v>
      </c>
      <c r="CE144">
        <v>13</v>
      </c>
      <c r="CF144">
        <v>1</v>
      </c>
      <c r="CG144" s="1">
        <f>IFERROR(IND_JUNIO_2026[[#This Row],[IND_PDP]]/IND_JUNIO_2026[[#This Row],[IND_CEF Unico]],"")</f>
        <v>7.6923076923076927E-2</v>
      </c>
      <c r="CH144">
        <v>600</v>
      </c>
      <c r="CJ144" s="1">
        <f>IFERROR(IND_JUNIO_2026[[#This Row],[IND_Recupero]]/IND_JUNIO_2026[[#This Row],[IND_MontoPDP]],"")</f>
        <v>0</v>
      </c>
      <c r="CK144" s="1" t="str">
        <f>IFERROR(IND_JUNIO_2026[[#This Row],[IND_MontoPDP]]/IND_JUNIO_2026[[#This Row],[DK]],"")</f>
        <v/>
      </c>
      <c r="CL144" t="s">
        <v>548</v>
      </c>
      <c r="CM144">
        <f>IFERROR(IND_JUNIO_2026[[#This Row],[IND_MontoPDP]]/IND_JUNIO_2026[[#This Row],[IND_PDP]],"")</f>
        <v>600</v>
      </c>
    </row>
    <row r="145" spans="44:91" x14ac:dyDescent="0.25">
      <c r="AR145" s="7"/>
      <c r="BX145" s="45" t="s">
        <v>636</v>
      </c>
      <c r="BY145" s="45" t="s">
        <v>3</v>
      </c>
      <c r="BZ145" s="45" t="s">
        <v>60</v>
      </c>
      <c r="CA145" s="55">
        <v>46177</v>
      </c>
      <c r="CB145" s="1">
        <f>IF(IND_JUNIO_2026[[#This Row],[IND_CANTFalta]]=1,0,IF(1-(IND_JUNIO_2026[[#This Row],[IND_Tardanza Tiempo]]*100%/0.166666666666667)&lt;0,0,1-(IND_JUNIO_2026[[#This Row],[IND_Tardanza Tiempo]]*100%/0.166666666666667)))</f>
        <v>0.99979166666666663</v>
      </c>
      <c r="CC145" s="45"/>
      <c r="CD145" s="93">
        <v>3.4722222222222222E-5</v>
      </c>
      <c r="CE145">
        <v>8</v>
      </c>
      <c r="CG145" s="1">
        <f>IFERROR(IND_JUNIO_2026[[#This Row],[IND_PDP]]/IND_JUNIO_2026[[#This Row],[IND_CEF Unico]],"")</f>
        <v>0</v>
      </c>
      <c r="CJ145" s="1" t="str">
        <f>IFERROR(IND_JUNIO_2026[[#This Row],[IND_Recupero]]/IND_JUNIO_2026[[#This Row],[IND_MontoPDP]],"")</f>
        <v/>
      </c>
      <c r="CK145" s="1" t="str">
        <f>IFERROR(IND_JUNIO_2026[[#This Row],[IND_MontoPDP]]/IND_JUNIO_2026[[#This Row],[DK]],"")</f>
        <v/>
      </c>
      <c r="CL145" t="s">
        <v>548</v>
      </c>
      <c r="CM145" t="str">
        <f>IFERROR(IND_JUNIO_2026[[#This Row],[IND_MontoPDP]]/IND_JUNIO_2026[[#This Row],[IND_PDP]],"")</f>
        <v/>
      </c>
    </row>
    <row r="146" spans="44:91" x14ac:dyDescent="0.25">
      <c r="AR146" s="7"/>
      <c r="BX146" s="45" t="s">
        <v>636</v>
      </c>
      <c r="BY146" s="45" t="s">
        <v>3</v>
      </c>
      <c r="BZ146" s="45" t="s">
        <v>60</v>
      </c>
      <c r="CA146" s="55">
        <v>46178</v>
      </c>
      <c r="CB146" s="1">
        <f>IF(IND_JUNIO_2026[[#This Row],[IND_CANTFalta]]=1,0,IF(1-(IND_JUNIO_2026[[#This Row],[IND_Tardanza Tiempo]]*100%/0.166666666666667)&lt;0,0,1-(IND_JUNIO_2026[[#This Row],[IND_Tardanza Tiempo]]*100%/0.166666666666667)))</f>
        <v>0.99965277777777772</v>
      </c>
      <c r="CC146" s="45"/>
      <c r="CD146" s="93">
        <v>5.7870370370370373E-5</v>
      </c>
      <c r="CE146">
        <v>5</v>
      </c>
      <c r="CG146" s="1">
        <f>IFERROR(IND_JUNIO_2026[[#This Row],[IND_PDP]]/IND_JUNIO_2026[[#This Row],[IND_CEF Unico]],"")</f>
        <v>0</v>
      </c>
      <c r="CJ146" s="1" t="str">
        <f>IFERROR(IND_JUNIO_2026[[#This Row],[IND_Recupero]]/IND_JUNIO_2026[[#This Row],[IND_MontoPDP]],"")</f>
        <v/>
      </c>
      <c r="CK146" s="1" t="str">
        <f>IFERROR(IND_JUNIO_2026[[#This Row],[IND_MontoPDP]]/IND_JUNIO_2026[[#This Row],[DK]],"")</f>
        <v/>
      </c>
      <c r="CL146" t="s">
        <v>548</v>
      </c>
      <c r="CM146" t="str">
        <f>IFERROR(IND_JUNIO_2026[[#This Row],[IND_MontoPDP]]/IND_JUNIO_2026[[#This Row],[IND_PDP]],"")</f>
        <v/>
      </c>
    </row>
    <row r="147" spans="44:91" x14ac:dyDescent="0.25">
      <c r="AR147" s="7"/>
      <c r="BX147" s="45" t="s">
        <v>636</v>
      </c>
      <c r="BY147" s="45" t="s">
        <v>3</v>
      </c>
      <c r="BZ147" s="45" t="s">
        <v>85</v>
      </c>
      <c r="CA147" s="55">
        <v>46174</v>
      </c>
      <c r="CB147" s="1">
        <f>IF(IND_JUNIO_2026[[#This Row],[IND_CANTFalta]]=1,0,IF(1-(IND_JUNIO_2026[[#This Row],[IND_Tardanza Tiempo]]*100%/0.166666666666667)&lt;0,0,1-(IND_JUNIO_2026[[#This Row],[IND_Tardanza Tiempo]]*100%/0.166666666666667)))</f>
        <v>1</v>
      </c>
      <c r="CC147" s="45"/>
      <c r="CD147" s="93">
        <v>0</v>
      </c>
      <c r="CE147">
        <v>41</v>
      </c>
      <c r="CF147">
        <v>10</v>
      </c>
      <c r="CG147" s="1">
        <f>IFERROR(IND_JUNIO_2026[[#This Row],[IND_PDP]]/IND_JUNIO_2026[[#This Row],[IND_CEF Unico]],"")</f>
        <v>0.24390243902439024</v>
      </c>
      <c r="CH147">
        <v>13558</v>
      </c>
      <c r="CI147">
        <v>5578</v>
      </c>
      <c r="CJ147" s="1">
        <f>IFERROR(IND_JUNIO_2026[[#This Row],[IND_Recupero]]/IND_JUNIO_2026[[#This Row],[IND_MontoPDP]],"")</f>
        <v>0.4114176132172887</v>
      </c>
      <c r="CK147" s="1">
        <f>IFERROR(IND_JUNIO_2026[[#This Row],[IND_MontoPDP]]/IND_JUNIO_2026[[#This Row],[DK]],"")</f>
        <v>0.1439</v>
      </c>
      <c r="CL147">
        <v>94218.207088255731</v>
      </c>
      <c r="CM147">
        <f>IFERROR(IND_JUNIO_2026[[#This Row],[IND_MontoPDP]]/IND_JUNIO_2026[[#This Row],[IND_PDP]],"")</f>
        <v>1355.8</v>
      </c>
    </row>
    <row r="148" spans="44:91" x14ac:dyDescent="0.25">
      <c r="AR148" s="7"/>
      <c r="BX148" s="45" t="s">
        <v>636</v>
      </c>
      <c r="BY148" s="45" t="s">
        <v>3</v>
      </c>
      <c r="BZ148" s="45" t="s">
        <v>85</v>
      </c>
      <c r="CA148" s="55">
        <v>46175</v>
      </c>
      <c r="CB148" s="1">
        <f>IF(IND_JUNIO_2026[[#This Row],[IND_CANTFalta]]=1,0,IF(1-(IND_JUNIO_2026[[#This Row],[IND_Tardanza Tiempo]]*100%/0.166666666666667)&lt;0,0,1-(IND_JUNIO_2026[[#This Row],[IND_Tardanza Tiempo]]*100%/0.166666666666667)))</f>
        <v>1</v>
      </c>
      <c r="CC148" s="45"/>
      <c r="CD148" s="93">
        <v>0</v>
      </c>
      <c r="CE148">
        <v>24</v>
      </c>
      <c r="CF148">
        <v>3</v>
      </c>
      <c r="CG148" s="1">
        <f>IFERROR(IND_JUNIO_2026[[#This Row],[IND_PDP]]/IND_JUNIO_2026[[#This Row],[IND_CEF Unico]],"")</f>
        <v>0.125</v>
      </c>
      <c r="CH148">
        <v>1219</v>
      </c>
      <c r="CI148">
        <v>1006</v>
      </c>
      <c r="CJ148" s="1">
        <f>IFERROR(IND_JUNIO_2026[[#This Row],[IND_Recupero]]/IND_JUNIO_2026[[#This Row],[IND_MontoPDP]],"")</f>
        <v>0.82526661197703033</v>
      </c>
      <c r="CK148" s="1">
        <f>IFERROR(IND_JUNIO_2026[[#This Row],[IND_MontoPDP]]/IND_JUNIO_2026[[#This Row],[DK]],"")</f>
        <v>0.64180000000000004</v>
      </c>
      <c r="CL148">
        <v>1899.3455905266437</v>
      </c>
      <c r="CM148">
        <f>IFERROR(IND_JUNIO_2026[[#This Row],[IND_MontoPDP]]/IND_JUNIO_2026[[#This Row],[IND_PDP]],"")</f>
        <v>406.33333333333331</v>
      </c>
    </row>
    <row r="149" spans="44:91" x14ac:dyDescent="0.25">
      <c r="AR149" s="7"/>
      <c r="BX149" s="45" t="s">
        <v>636</v>
      </c>
      <c r="BY149" s="45" t="s">
        <v>3</v>
      </c>
      <c r="BZ149" s="45" t="s">
        <v>85</v>
      </c>
      <c r="CA149" s="55">
        <v>46176</v>
      </c>
      <c r="CB149" s="1">
        <f>IF(IND_JUNIO_2026[[#This Row],[IND_CANTFalta]]=1,0,IF(1-(IND_JUNIO_2026[[#This Row],[IND_Tardanza Tiempo]]*100%/0.166666666666667)&lt;0,0,1-(IND_JUNIO_2026[[#This Row],[IND_Tardanza Tiempo]]*100%/0.166666666666667)))</f>
        <v>0.98659722222222224</v>
      </c>
      <c r="CC149" s="45"/>
      <c r="CD149" s="93">
        <v>2.2337962962962962E-3</v>
      </c>
      <c r="CE149">
        <v>49</v>
      </c>
      <c r="CF149">
        <v>2</v>
      </c>
      <c r="CG149" s="1">
        <f>IFERROR(IND_JUNIO_2026[[#This Row],[IND_PDP]]/IND_JUNIO_2026[[#This Row],[IND_CEF Unico]],"")</f>
        <v>4.0816326530612242E-2</v>
      </c>
      <c r="CH149">
        <v>345</v>
      </c>
      <c r="CI149">
        <v>250</v>
      </c>
      <c r="CJ149" s="1">
        <f>IFERROR(IND_JUNIO_2026[[#This Row],[IND_Recupero]]/IND_JUNIO_2026[[#This Row],[IND_MontoPDP]],"")</f>
        <v>0.72463768115942029</v>
      </c>
      <c r="CK149" s="1">
        <f>IFERROR(IND_JUNIO_2026[[#This Row],[IND_MontoPDP]]/IND_JUNIO_2026[[#This Row],[DK]],"")</f>
        <v>0.41089999999999999</v>
      </c>
      <c r="CL149">
        <v>839.62034558286689</v>
      </c>
      <c r="CM149">
        <f>IFERROR(IND_JUNIO_2026[[#This Row],[IND_MontoPDP]]/IND_JUNIO_2026[[#This Row],[IND_PDP]],"")</f>
        <v>172.5</v>
      </c>
    </row>
    <row r="150" spans="44:91" x14ac:dyDescent="0.25">
      <c r="AR150" s="7"/>
      <c r="BX150" s="45" t="s">
        <v>636</v>
      </c>
      <c r="BY150" s="45" t="s">
        <v>3</v>
      </c>
      <c r="BZ150" s="45" t="s">
        <v>85</v>
      </c>
      <c r="CA150" s="55">
        <v>46177</v>
      </c>
      <c r="CB150" s="1">
        <f>IF(IND_JUNIO_2026[[#This Row],[IND_CANTFalta]]=1,0,IF(1-(IND_JUNIO_2026[[#This Row],[IND_Tardanza Tiempo]]*100%/0.166666666666667)&lt;0,0,1-(IND_JUNIO_2026[[#This Row],[IND_Tardanza Tiempo]]*100%/0.166666666666667)))</f>
        <v>0.9975694444444444</v>
      </c>
      <c r="CC150" s="45"/>
      <c r="CD150" s="93">
        <v>4.0509259259259258E-4</v>
      </c>
      <c r="CE150">
        <v>38</v>
      </c>
      <c r="CG150" s="1">
        <f>IFERROR(IND_JUNIO_2026[[#This Row],[IND_PDP]]/IND_JUNIO_2026[[#This Row],[IND_CEF Unico]],"")</f>
        <v>0</v>
      </c>
      <c r="CJ150" s="1" t="str">
        <f>IFERROR(IND_JUNIO_2026[[#This Row],[IND_Recupero]]/IND_JUNIO_2026[[#This Row],[IND_MontoPDP]],"")</f>
        <v/>
      </c>
      <c r="CK150" s="1" t="str">
        <f>IFERROR(IND_JUNIO_2026[[#This Row],[IND_MontoPDP]]/IND_JUNIO_2026[[#This Row],[DK]],"")</f>
        <v/>
      </c>
      <c r="CL150" t="s">
        <v>548</v>
      </c>
      <c r="CM150" t="str">
        <f>IFERROR(IND_JUNIO_2026[[#This Row],[IND_MontoPDP]]/IND_JUNIO_2026[[#This Row],[IND_PDP]],"")</f>
        <v/>
      </c>
    </row>
    <row r="151" spans="44:91" x14ac:dyDescent="0.25">
      <c r="AR151" s="7"/>
      <c r="BX151" s="45" t="s">
        <v>636</v>
      </c>
      <c r="BY151" s="45" t="s">
        <v>3</v>
      </c>
      <c r="BZ151" s="45" t="s">
        <v>85</v>
      </c>
      <c r="CA151" s="55">
        <v>46178</v>
      </c>
      <c r="CB151" s="1">
        <f>IF(IND_JUNIO_2026[[#This Row],[IND_CANTFalta]]=1,0,IF(1-(IND_JUNIO_2026[[#This Row],[IND_Tardanza Tiempo]]*100%/0.166666666666667)&lt;0,0,1-(IND_JUNIO_2026[[#This Row],[IND_Tardanza Tiempo]]*100%/0.166666666666667)))</f>
        <v>0.99875000000000003</v>
      </c>
      <c r="CC151" s="45"/>
      <c r="CD151" s="93">
        <v>2.0833333333333335E-4</v>
      </c>
      <c r="CE151">
        <v>8</v>
      </c>
      <c r="CG151" s="1">
        <f>IFERROR(IND_JUNIO_2026[[#This Row],[IND_PDP]]/IND_JUNIO_2026[[#This Row],[IND_CEF Unico]],"")</f>
        <v>0</v>
      </c>
      <c r="CJ151" s="1" t="str">
        <f>IFERROR(IND_JUNIO_2026[[#This Row],[IND_Recupero]]/IND_JUNIO_2026[[#This Row],[IND_MontoPDP]],"")</f>
        <v/>
      </c>
      <c r="CK151" s="1" t="str">
        <f>IFERROR(IND_JUNIO_2026[[#This Row],[IND_MontoPDP]]/IND_JUNIO_2026[[#This Row],[DK]],"")</f>
        <v/>
      </c>
      <c r="CL151" t="s">
        <v>548</v>
      </c>
      <c r="CM151" t="str">
        <f>IFERROR(IND_JUNIO_2026[[#This Row],[IND_MontoPDP]]/IND_JUNIO_2026[[#This Row],[IND_PDP]],"")</f>
        <v/>
      </c>
    </row>
    <row r="152" spans="44:91" x14ac:dyDescent="0.25">
      <c r="AR152" s="7"/>
      <c r="BX152" s="45" t="s">
        <v>636</v>
      </c>
      <c r="BY152" s="45" t="s">
        <v>3</v>
      </c>
      <c r="BZ152" s="45" t="s">
        <v>22</v>
      </c>
      <c r="CA152" s="55">
        <v>46178</v>
      </c>
      <c r="CB152" s="1">
        <f>IF(IND_JUNIO_2026[[#This Row],[IND_CANTFalta]]=1,0,IF(1-(IND_JUNIO_2026[[#This Row],[IND_Tardanza Tiempo]]*100%/0.166666666666667)&lt;0,0,1-(IND_JUNIO_2026[[#This Row],[IND_Tardanza Tiempo]]*100%/0.166666666666667)))</f>
        <v>0.99993055555555554</v>
      </c>
      <c r="CC152" s="45"/>
      <c r="CD152" s="93">
        <v>1.1574074074074073E-5</v>
      </c>
      <c r="CE152">
        <v>7</v>
      </c>
      <c r="CG152" s="1">
        <f>IFERROR(IND_JUNIO_2026[[#This Row],[IND_PDP]]/IND_JUNIO_2026[[#This Row],[IND_CEF Unico]],"")</f>
        <v>0</v>
      </c>
      <c r="CJ152" s="1" t="str">
        <f>IFERROR(IND_JUNIO_2026[[#This Row],[IND_Recupero]]/IND_JUNIO_2026[[#This Row],[IND_MontoPDP]],"")</f>
        <v/>
      </c>
      <c r="CK152" s="1" t="str">
        <f>IFERROR(IND_JUNIO_2026[[#This Row],[IND_MontoPDP]]/IND_JUNIO_2026[[#This Row],[DK]],"")</f>
        <v/>
      </c>
      <c r="CL152" t="s">
        <v>548</v>
      </c>
      <c r="CM152" t="str">
        <f>IFERROR(IND_JUNIO_2026[[#This Row],[IND_MontoPDP]]/IND_JUNIO_2026[[#This Row],[IND_PDP]],"")</f>
        <v/>
      </c>
    </row>
    <row r="153" spans="44:91" x14ac:dyDescent="0.25">
      <c r="AR153" s="7"/>
      <c r="BX153" s="45" t="s">
        <v>636</v>
      </c>
      <c r="BY153" s="45" t="s">
        <v>3</v>
      </c>
      <c r="BZ153" s="45" t="s">
        <v>493</v>
      </c>
      <c r="CA153" s="55">
        <v>46174</v>
      </c>
      <c r="CB153" s="1">
        <f>IF(IND_JUNIO_2026[[#This Row],[IND_CANTFalta]]=1,0,IF(1-(IND_JUNIO_2026[[#This Row],[IND_Tardanza Tiempo]]*100%/0.166666666666667)&lt;0,0,1-(IND_JUNIO_2026[[#This Row],[IND_Tardanza Tiempo]]*100%/0.166666666666667)))</f>
        <v>1</v>
      </c>
      <c r="CC153" s="45"/>
      <c r="CD153" s="93">
        <v>0</v>
      </c>
      <c r="CE153">
        <v>44</v>
      </c>
      <c r="CF153">
        <v>10</v>
      </c>
      <c r="CG153" s="1">
        <f>IFERROR(IND_JUNIO_2026[[#This Row],[IND_PDP]]/IND_JUNIO_2026[[#This Row],[IND_CEF Unico]],"")</f>
        <v>0.22727272727272727</v>
      </c>
      <c r="CH153">
        <v>6248</v>
      </c>
      <c r="CJ153" s="1">
        <f>IFERROR(IND_JUNIO_2026[[#This Row],[IND_Recupero]]/IND_JUNIO_2026[[#This Row],[IND_MontoPDP]],"")</f>
        <v>0</v>
      </c>
      <c r="CK153" s="1" t="str">
        <f>IFERROR(IND_JUNIO_2026[[#This Row],[IND_MontoPDP]]/IND_JUNIO_2026[[#This Row],[DK]],"")</f>
        <v/>
      </c>
      <c r="CL153" t="s">
        <v>548</v>
      </c>
      <c r="CM153">
        <f>IFERROR(IND_JUNIO_2026[[#This Row],[IND_MontoPDP]]/IND_JUNIO_2026[[#This Row],[IND_PDP]],"")</f>
        <v>624.79999999999995</v>
      </c>
    </row>
    <row r="154" spans="44:91" x14ac:dyDescent="0.25">
      <c r="AR154" s="7"/>
      <c r="BX154" s="45" t="s">
        <v>636</v>
      </c>
      <c r="BY154" s="45" t="s">
        <v>3</v>
      </c>
      <c r="BZ154" s="45" t="s">
        <v>493</v>
      </c>
      <c r="CA154" s="55">
        <v>46175</v>
      </c>
      <c r="CB154" s="1">
        <f>IF(IND_JUNIO_2026[[#This Row],[IND_CANTFalta]]=1,0,IF(1-(IND_JUNIO_2026[[#This Row],[IND_Tardanza Tiempo]]*100%/0.166666666666667)&lt;0,0,1-(IND_JUNIO_2026[[#This Row],[IND_Tardanza Tiempo]]*100%/0.166666666666667)))</f>
        <v>1</v>
      </c>
      <c r="CC154" s="45"/>
      <c r="CD154" s="93">
        <v>0</v>
      </c>
      <c r="CE154">
        <v>42</v>
      </c>
      <c r="CF154">
        <v>3</v>
      </c>
      <c r="CG154" s="1">
        <f>IFERROR(IND_JUNIO_2026[[#This Row],[IND_PDP]]/IND_JUNIO_2026[[#This Row],[IND_CEF Unico]],"")</f>
        <v>7.1428571428571425E-2</v>
      </c>
      <c r="CH154">
        <v>2920</v>
      </c>
      <c r="CI154">
        <v>1730</v>
      </c>
      <c r="CJ154" s="1">
        <f>IFERROR(IND_JUNIO_2026[[#This Row],[IND_Recupero]]/IND_JUNIO_2026[[#This Row],[IND_MontoPDP]],"")</f>
        <v>0.59246575342465757</v>
      </c>
      <c r="CK154" s="1">
        <f>IFERROR(IND_JUNIO_2026[[#This Row],[IND_MontoPDP]]/IND_JUNIO_2026[[#This Row],[DK]],"")</f>
        <v>0.11339999999999999</v>
      </c>
      <c r="CL154">
        <v>25749.559082892418</v>
      </c>
      <c r="CM154">
        <f>IFERROR(IND_JUNIO_2026[[#This Row],[IND_MontoPDP]]/IND_JUNIO_2026[[#This Row],[IND_PDP]],"")</f>
        <v>973.33333333333337</v>
      </c>
    </row>
    <row r="155" spans="44:91" x14ac:dyDescent="0.25">
      <c r="AR155" s="7"/>
      <c r="BX155" s="45" t="s">
        <v>636</v>
      </c>
      <c r="BY155" s="45" t="s">
        <v>3</v>
      </c>
      <c r="BZ155" s="45" t="s">
        <v>493</v>
      </c>
      <c r="CA155" s="55">
        <v>46176</v>
      </c>
      <c r="CB155" s="1">
        <f>IF(IND_JUNIO_2026[[#This Row],[IND_CANTFalta]]=1,0,IF(1-(IND_JUNIO_2026[[#This Row],[IND_Tardanza Tiempo]]*100%/0.166666666666667)&lt;0,0,1-(IND_JUNIO_2026[[#This Row],[IND_Tardanza Tiempo]]*100%/0.166666666666667)))</f>
        <v>1</v>
      </c>
      <c r="CC155" s="45"/>
      <c r="CD155" s="93">
        <v>0</v>
      </c>
      <c r="CE155">
        <v>30</v>
      </c>
      <c r="CF155">
        <v>2</v>
      </c>
      <c r="CG155" s="1">
        <f>IFERROR(IND_JUNIO_2026[[#This Row],[IND_PDP]]/IND_JUNIO_2026[[#This Row],[IND_CEF Unico]],"")</f>
        <v>6.6666666666666666E-2</v>
      </c>
      <c r="CH155">
        <v>5680</v>
      </c>
      <c r="CI155">
        <v>5680</v>
      </c>
      <c r="CJ155" s="1">
        <f>IFERROR(IND_JUNIO_2026[[#This Row],[IND_Recupero]]/IND_JUNIO_2026[[#This Row],[IND_MontoPDP]],"")</f>
        <v>1</v>
      </c>
      <c r="CK155" s="1">
        <f>IFERROR(IND_JUNIO_2026[[#This Row],[IND_MontoPDP]]/IND_JUNIO_2026[[#This Row],[DK]],"")</f>
        <v>0.1002</v>
      </c>
      <c r="CL155">
        <v>56686.62674650699</v>
      </c>
      <c r="CM155">
        <f>IFERROR(IND_JUNIO_2026[[#This Row],[IND_MontoPDP]]/IND_JUNIO_2026[[#This Row],[IND_PDP]],"")</f>
        <v>2840</v>
      </c>
    </row>
    <row r="156" spans="44:91" x14ac:dyDescent="0.25">
      <c r="AR156" s="7"/>
      <c r="BX156" s="45" t="s">
        <v>636</v>
      </c>
      <c r="BY156" s="45" t="s">
        <v>3</v>
      </c>
      <c r="BZ156" s="45" t="s">
        <v>493</v>
      </c>
      <c r="CA156" s="55">
        <v>46177</v>
      </c>
      <c r="CB156" s="1">
        <f>IF(IND_JUNIO_2026[[#This Row],[IND_CANTFalta]]=1,0,IF(1-(IND_JUNIO_2026[[#This Row],[IND_Tardanza Tiempo]]*100%/0.166666666666667)&lt;0,0,1-(IND_JUNIO_2026[[#This Row],[IND_Tardanza Tiempo]]*100%/0.166666666666667)))</f>
        <v>0.99937500000000001</v>
      </c>
      <c r="CC156" s="45"/>
      <c r="CD156" s="93">
        <v>1.0416666666666667E-4</v>
      </c>
      <c r="CE156">
        <v>19</v>
      </c>
      <c r="CF156">
        <v>2</v>
      </c>
      <c r="CG156" s="1">
        <f>IFERROR(IND_JUNIO_2026[[#This Row],[IND_PDP]]/IND_JUNIO_2026[[#This Row],[IND_CEF Unico]],"")</f>
        <v>0.10526315789473684</v>
      </c>
      <c r="CH156">
        <v>1175</v>
      </c>
      <c r="CJ156" s="1">
        <f>IFERROR(IND_JUNIO_2026[[#This Row],[IND_Recupero]]/IND_JUNIO_2026[[#This Row],[IND_MontoPDP]],"")</f>
        <v>0</v>
      </c>
      <c r="CK156" s="1" t="str">
        <f>IFERROR(IND_JUNIO_2026[[#This Row],[IND_MontoPDP]]/IND_JUNIO_2026[[#This Row],[DK]],"")</f>
        <v/>
      </c>
      <c r="CL156" t="s">
        <v>548</v>
      </c>
      <c r="CM156">
        <f>IFERROR(IND_JUNIO_2026[[#This Row],[IND_MontoPDP]]/IND_JUNIO_2026[[#This Row],[IND_PDP]],"")</f>
        <v>587.5</v>
      </c>
    </row>
    <row r="157" spans="44:91" x14ac:dyDescent="0.25">
      <c r="AR157" s="7"/>
      <c r="BX157" s="45" t="s">
        <v>636</v>
      </c>
      <c r="BY157" s="45" t="s">
        <v>3</v>
      </c>
      <c r="BZ157" s="45" t="s">
        <v>493</v>
      </c>
      <c r="CA157" s="55">
        <v>46178</v>
      </c>
      <c r="CB157" s="1">
        <f>IF(IND_JUNIO_2026[[#This Row],[IND_CANTFalta]]=1,0,IF(1-(IND_JUNIO_2026[[#This Row],[IND_Tardanza Tiempo]]*100%/0.166666666666667)&lt;0,0,1-(IND_JUNIO_2026[[#This Row],[IND_Tardanza Tiempo]]*100%/0.166666666666667)))</f>
        <v>1</v>
      </c>
      <c r="CC157" s="45"/>
      <c r="CD157" s="93">
        <v>0</v>
      </c>
      <c r="CE157">
        <v>14</v>
      </c>
      <c r="CF157">
        <v>1</v>
      </c>
      <c r="CG157" s="1">
        <f>IFERROR(IND_JUNIO_2026[[#This Row],[IND_PDP]]/IND_JUNIO_2026[[#This Row],[IND_CEF Unico]],"")</f>
        <v>7.1428571428571425E-2</v>
      </c>
      <c r="CH157">
        <v>4200</v>
      </c>
      <c r="CJ157" s="1">
        <f>IFERROR(IND_JUNIO_2026[[#This Row],[IND_Recupero]]/IND_JUNIO_2026[[#This Row],[IND_MontoPDP]],"")</f>
        <v>0</v>
      </c>
      <c r="CK157" s="1" t="str">
        <f>IFERROR(IND_JUNIO_2026[[#This Row],[IND_MontoPDP]]/IND_JUNIO_2026[[#This Row],[DK]],"")</f>
        <v/>
      </c>
      <c r="CL157" t="s">
        <v>548</v>
      </c>
      <c r="CM157">
        <f>IFERROR(IND_JUNIO_2026[[#This Row],[IND_MontoPDP]]/IND_JUNIO_2026[[#This Row],[IND_PDP]],"")</f>
        <v>4200</v>
      </c>
    </row>
    <row r="158" spans="44:91" x14ac:dyDescent="0.25">
      <c r="AR158" s="7"/>
      <c r="BX158" s="45" t="s">
        <v>636</v>
      </c>
      <c r="BY158" s="45" t="s">
        <v>3</v>
      </c>
      <c r="BZ158" s="45" t="s">
        <v>32</v>
      </c>
      <c r="CA158" s="55">
        <v>46174</v>
      </c>
      <c r="CB158" s="1">
        <f>IF(IND_JUNIO_2026[[#This Row],[IND_CANTFalta]]=1,0,IF(1-(IND_JUNIO_2026[[#This Row],[IND_Tardanza Tiempo]]*100%/0.166666666666667)&lt;0,0,1-(IND_JUNIO_2026[[#This Row],[IND_Tardanza Tiempo]]*100%/0.166666666666667)))</f>
        <v>0.99902777777777774</v>
      </c>
      <c r="CC158" s="45"/>
      <c r="CD158" s="93">
        <v>1.6203703703703703E-4</v>
      </c>
      <c r="CE158">
        <v>46</v>
      </c>
      <c r="CF158">
        <v>8</v>
      </c>
      <c r="CG158" s="1">
        <f>IFERROR(IND_JUNIO_2026[[#This Row],[IND_PDP]]/IND_JUNIO_2026[[#This Row],[IND_CEF Unico]],"")</f>
        <v>0.17391304347826086</v>
      </c>
      <c r="CH158">
        <v>3774</v>
      </c>
      <c r="CJ158" s="1">
        <f>IFERROR(IND_JUNIO_2026[[#This Row],[IND_Recupero]]/IND_JUNIO_2026[[#This Row],[IND_MontoPDP]],"")</f>
        <v>0</v>
      </c>
      <c r="CK158" s="1" t="str">
        <f>IFERROR(IND_JUNIO_2026[[#This Row],[IND_MontoPDP]]/IND_JUNIO_2026[[#This Row],[DK]],"")</f>
        <v/>
      </c>
      <c r="CL158" t="s">
        <v>548</v>
      </c>
      <c r="CM158">
        <f>IFERROR(IND_JUNIO_2026[[#This Row],[IND_MontoPDP]]/IND_JUNIO_2026[[#This Row],[IND_PDP]],"")</f>
        <v>471.75</v>
      </c>
    </row>
    <row r="159" spans="44:91" x14ac:dyDescent="0.25">
      <c r="AR159" s="7"/>
      <c r="BX159" s="45" t="s">
        <v>636</v>
      </c>
      <c r="BY159" s="45" t="s">
        <v>3</v>
      </c>
      <c r="BZ159" s="45" t="s">
        <v>32</v>
      </c>
      <c r="CA159" s="55">
        <v>46175</v>
      </c>
      <c r="CB159" s="1">
        <f>IF(IND_JUNIO_2026[[#This Row],[IND_CANTFalta]]=1,0,IF(1-(IND_JUNIO_2026[[#This Row],[IND_Tardanza Tiempo]]*100%/0.166666666666667)&lt;0,0,1-(IND_JUNIO_2026[[#This Row],[IND_Tardanza Tiempo]]*100%/0.166666666666667)))</f>
        <v>0.99916666666666665</v>
      </c>
      <c r="CC159" s="45"/>
      <c r="CD159" s="93">
        <v>1.3888888888888889E-4</v>
      </c>
      <c r="CE159">
        <v>25</v>
      </c>
      <c r="CG159" s="1">
        <f>IFERROR(IND_JUNIO_2026[[#This Row],[IND_PDP]]/IND_JUNIO_2026[[#This Row],[IND_CEF Unico]],"")</f>
        <v>0</v>
      </c>
      <c r="CJ159" s="1" t="str">
        <f>IFERROR(IND_JUNIO_2026[[#This Row],[IND_Recupero]]/IND_JUNIO_2026[[#This Row],[IND_MontoPDP]],"")</f>
        <v/>
      </c>
      <c r="CK159" s="1" t="str">
        <f>IFERROR(IND_JUNIO_2026[[#This Row],[IND_MontoPDP]]/IND_JUNIO_2026[[#This Row],[DK]],"")</f>
        <v/>
      </c>
      <c r="CL159" t="s">
        <v>548</v>
      </c>
      <c r="CM159" t="str">
        <f>IFERROR(IND_JUNIO_2026[[#This Row],[IND_MontoPDP]]/IND_JUNIO_2026[[#This Row],[IND_PDP]],"")</f>
        <v/>
      </c>
    </row>
    <row r="160" spans="44:91" x14ac:dyDescent="0.25">
      <c r="AR160" s="7"/>
      <c r="BX160" s="45" t="s">
        <v>636</v>
      </c>
      <c r="BY160" s="45" t="s">
        <v>3</v>
      </c>
      <c r="BZ160" s="45" t="s">
        <v>32</v>
      </c>
      <c r="CA160" s="55">
        <v>46177</v>
      </c>
      <c r="CB160" s="1">
        <f>IF(IND_JUNIO_2026[[#This Row],[IND_CANTFalta]]=1,0,IF(1-(IND_JUNIO_2026[[#This Row],[IND_Tardanza Tiempo]]*100%/0.166666666666667)&lt;0,0,1-(IND_JUNIO_2026[[#This Row],[IND_Tardanza Tiempo]]*100%/0.166666666666667)))</f>
        <v>0.99812500000000004</v>
      </c>
      <c r="CC160" s="45"/>
      <c r="CD160" s="93">
        <v>3.1250000000000001E-4</v>
      </c>
      <c r="CE160">
        <v>17</v>
      </c>
      <c r="CF160">
        <v>1</v>
      </c>
      <c r="CG160" s="1">
        <f>IFERROR(IND_JUNIO_2026[[#This Row],[IND_PDP]]/IND_JUNIO_2026[[#This Row],[IND_CEF Unico]],"")</f>
        <v>5.8823529411764705E-2</v>
      </c>
      <c r="CH160">
        <v>5000</v>
      </c>
      <c r="CJ160" s="1">
        <f>IFERROR(IND_JUNIO_2026[[#This Row],[IND_Recupero]]/IND_JUNIO_2026[[#This Row],[IND_MontoPDP]],"")</f>
        <v>0</v>
      </c>
      <c r="CK160" s="1" t="str">
        <f>IFERROR(IND_JUNIO_2026[[#This Row],[IND_MontoPDP]]/IND_JUNIO_2026[[#This Row],[DK]],"")</f>
        <v/>
      </c>
      <c r="CL160" t="s">
        <v>548</v>
      </c>
      <c r="CM160">
        <f>IFERROR(IND_JUNIO_2026[[#This Row],[IND_MontoPDP]]/IND_JUNIO_2026[[#This Row],[IND_PDP]],"")</f>
        <v>5000</v>
      </c>
    </row>
    <row r="161" spans="44:91" x14ac:dyDescent="0.25">
      <c r="AR161" s="7"/>
      <c r="BX161" s="45" t="s">
        <v>636</v>
      </c>
      <c r="BY161" s="45" t="s">
        <v>3</v>
      </c>
      <c r="BZ161" s="45" t="s">
        <v>32</v>
      </c>
      <c r="CA161" s="55">
        <v>46178</v>
      </c>
      <c r="CB161" s="1">
        <f>IF(IND_JUNIO_2026[[#This Row],[IND_CANTFalta]]=1,0,IF(1-(IND_JUNIO_2026[[#This Row],[IND_Tardanza Tiempo]]*100%/0.166666666666667)&lt;0,0,1-(IND_JUNIO_2026[[#This Row],[IND_Tardanza Tiempo]]*100%/0.166666666666667)))</f>
        <v>0.9981944444444445</v>
      </c>
      <c r="CC161" s="45"/>
      <c r="CD161" s="93">
        <v>3.0092592592592595E-4</v>
      </c>
      <c r="CE161">
        <v>9</v>
      </c>
      <c r="CG161" s="1">
        <f>IFERROR(IND_JUNIO_2026[[#This Row],[IND_PDP]]/IND_JUNIO_2026[[#This Row],[IND_CEF Unico]],"")</f>
        <v>0</v>
      </c>
      <c r="CJ161" s="1" t="str">
        <f>IFERROR(IND_JUNIO_2026[[#This Row],[IND_Recupero]]/IND_JUNIO_2026[[#This Row],[IND_MontoPDP]],"")</f>
        <v/>
      </c>
      <c r="CK161" s="1" t="str">
        <f>IFERROR(IND_JUNIO_2026[[#This Row],[IND_MontoPDP]]/IND_JUNIO_2026[[#This Row],[DK]],"")</f>
        <v/>
      </c>
      <c r="CL161" t="s">
        <v>548</v>
      </c>
      <c r="CM161" t="str">
        <f>IFERROR(IND_JUNIO_2026[[#This Row],[IND_MontoPDP]]/IND_JUNIO_2026[[#This Row],[IND_PDP]],"")</f>
        <v/>
      </c>
    </row>
    <row r="162" spans="44:91" x14ac:dyDescent="0.25">
      <c r="AR162" s="7"/>
      <c r="BX162" s="45" t="s">
        <v>636</v>
      </c>
      <c r="BY162" s="45" t="s">
        <v>3</v>
      </c>
      <c r="BZ162" s="45" t="s">
        <v>42</v>
      </c>
      <c r="CA162" s="55">
        <v>46178</v>
      </c>
      <c r="CB162" s="1">
        <f>IF(IND_JUNIO_2026[[#This Row],[IND_CANTFalta]]=1,0,IF(1-(IND_JUNIO_2026[[#This Row],[IND_Tardanza Tiempo]]*100%/0.166666666666667)&lt;0,0,1-(IND_JUNIO_2026[[#This Row],[IND_Tardanza Tiempo]]*100%/0.166666666666667)))</f>
        <v>0.99972222222222218</v>
      </c>
      <c r="CC162" s="45"/>
      <c r="CD162" s="93">
        <v>4.6296296296296294E-5</v>
      </c>
      <c r="CE162">
        <v>4</v>
      </c>
      <c r="CF162">
        <v>1</v>
      </c>
      <c r="CG162" s="1">
        <f>IFERROR(IND_JUNIO_2026[[#This Row],[IND_PDP]]/IND_JUNIO_2026[[#This Row],[IND_CEF Unico]],"")</f>
        <v>0.25</v>
      </c>
      <c r="CH162">
        <v>206</v>
      </c>
      <c r="CJ162" s="1">
        <f>IFERROR(IND_JUNIO_2026[[#This Row],[IND_Recupero]]/IND_JUNIO_2026[[#This Row],[IND_MontoPDP]],"")</f>
        <v>0</v>
      </c>
      <c r="CK162" s="1" t="str">
        <f>IFERROR(IND_JUNIO_2026[[#This Row],[IND_MontoPDP]]/IND_JUNIO_2026[[#This Row],[DK]],"")</f>
        <v/>
      </c>
      <c r="CL162" t="s">
        <v>548</v>
      </c>
      <c r="CM162">
        <f>IFERROR(IND_JUNIO_2026[[#This Row],[IND_MontoPDP]]/IND_JUNIO_2026[[#This Row],[IND_PDP]],"")</f>
        <v>206</v>
      </c>
    </row>
    <row r="163" spans="44:91" x14ac:dyDescent="0.25">
      <c r="AR163" s="7"/>
      <c r="BX163" s="45" t="s">
        <v>636</v>
      </c>
      <c r="BY163" s="45" t="s">
        <v>3</v>
      </c>
      <c r="BZ163" s="45" t="s">
        <v>96</v>
      </c>
      <c r="CA163" s="55">
        <v>46174</v>
      </c>
      <c r="CB163" s="1">
        <f>IF(IND_JUNIO_2026[[#This Row],[IND_CANTFalta]]=1,0,IF(1-(IND_JUNIO_2026[[#This Row],[IND_Tardanza Tiempo]]*100%/0.166666666666667)&lt;0,0,1-(IND_JUNIO_2026[[#This Row],[IND_Tardanza Tiempo]]*100%/0.166666666666667)))</f>
        <v>0.98645833333333333</v>
      </c>
      <c r="CC163" s="45"/>
      <c r="CD163" s="93">
        <v>2.2569444444444442E-3</v>
      </c>
      <c r="CE163">
        <v>40</v>
      </c>
      <c r="CF163">
        <v>10</v>
      </c>
      <c r="CG163" s="1">
        <f>IFERROR(IND_JUNIO_2026[[#This Row],[IND_PDP]]/IND_JUNIO_2026[[#This Row],[IND_CEF Unico]],"")</f>
        <v>0.25</v>
      </c>
      <c r="CH163">
        <v>5180</v>
      </c>
      <c r="CJ163" s="1">
        <f>IFERROR(IND_JUNIO_2026[[#This Row],[IND_Recupero]]/IND_JUNIO_2026[[#This Row],[IND_MontoPDP]],"")</f>
        <v>0</v>
      </c>
      <c r="CK163" s="1" t="str">
        <f>IFERROR(IND_JUNIO_2026[[#This Row],[IND_MontoPDP]]/IND_JUNIO_2026[[#This Row],[DK]],"")</f>
        <v/>
      </c>
      <c r="CL163" t="s">
        <v>548</v>
      </c>
      <c r="CM163">
        <f>IFERROR(IND_JUNIO_2026[[#This Row],[IND_MontoPDP]]/IND_JUNIO_2026[[#This Row],[IND_PDP]],"")</f>
        <v>518</v>
      </c>
    </row>
    <row r="164" spans="44:91" x14ac:dyDescent="0.25">
      <c r="AR164" s="7"/>
      <c r="BX164" s="45" t="s">
        <v>636</v>
      </c>
      <c r="BY164" s="45" t="s">
        <v>3</v>
      </c>
      <c r="BZ164" s="45" t="s">
        <v>96</v>
      </c>
      <c r="CA164" s="55">
        <v>46175</v>
      </c>
      <c r="CB164" s="1">
        <f>IF(IND_JUNIO_2026[[#This Row],[IND_CANTFalta]]=1,0,IF(1-(IND_JUNIO_2026[[#This Row],[IND_Tardanza Tiempo]]*100%/0.166666666666667)&lt;0,0,1-(IND_JUNIO_2026[[#This Row],[IND_Tardanza Tiempo]]*100%/0.166666666666667)))</f>
        <v>1</v>
      </c>
      <c r="CC164" s="45"/>
      <c r="CD164" s="93">
        <v>0</v>
      </c>
      <c r="CE164">
        <v>23</v>
      </c>
      <c r="CF164">
        <v>1</v>
      </c>
      <c r="CG164" s="1">
        <f>IFERROR(IND_JUNIO_2026[[#This Row],[IND_PDP]]/IND_JUNIO_2026[[#This Row],[IND_CEF Unico]],"")</f>
        <v>4.3478260869565216E-2</v>
      </c>
      <c r="CH164">
        <v>360</v>
      </c>
      <c r="CJ164" s="1">
        <f>IFERROR(IND_JUNIO_2026[[#This Row],[IND_Recupero]]/IND_JUNIO_2026[[#This Row],[IND_MontoPDP]],"")</f>
        <v>0</v>
      </c>
      <c r="CK164" s="1" t="str">
        <f>IFERROR(IND_JUNIO_2026[[#This Row],[IND_MontoPDP]]/IND_JUNIO_2026[[#This Row],[DK]],"")</f>
        <v/>
      </c>
      <c r="CL164" t="s">
        <v>548</v>
      </c>
      <c r="CM164">
        <f>IFERROR(IND_JUNIO_2026[[#This Row],[IND_MontoPDP]]/IND_JUNIO_2026[[#This Row],[IND_PDP]],"")</f>
        <v>360</v>
      </c>
    </row>
    <row r="165" spans="44:91" x14ac:dyDescent="0.25">
      <c r="AR165" s="7"/>
      <c r="BX165" s="45" t="s">
        <v>636</v>
      </c>
      <c r="BY165" s="45" t="s">
        <v>3</v>
      </c>
      <c r="BZ165" s="45" t="s">
        <v>96</v>
      </c>
      <c r="CA165" s="55">
        <v>46178</v>
      </c>
      <c r="CB165" s="1">
        <f>IF(IND_JUNIO_2026[[#This Row],[IND_CANTFalta]]=1,0,IF(1-(IND_JUNIO_2026[[#This Row],[IND_Tardanza Tiempo]]*100%/0.166666666666667)&lt;0,0,1-(IND_JUNIO_2026[[#This Row],[IND_Tardanza Tiempo]]*100%/0.166666666666667)))</f>
        <v>1</v>
      </c>
      <c r="CC165" s="45"/>
      <c r="CD165" s="93">
        <v>0</v>
      </c>
      <c r="CE165">
        <v>2</v>
      </c>
      <c r="CF165">
        <v>1</v>
      </c>
      <c r="CG165" s="1">
        <f>IFERROR(IND_JUNIO_2026[[#This Row],[IND_PDP]]/IND_JUNIO_2026[[#This Row],[IND_CEF Unico]],"")</f>
        <v>0.5</v>
      </c>
      <c r="CH165">
        <v>300</v>
      </c>
      <c r="CJ165" s="1">
        <f>IFERROR(IND_JUNIO_2026[[#This Row],[IND_Recupero]]/IND_JUNIO_2026[[#This Row],[IND_MontoPDP]],"")</f>
        <v>0</v>
      </c>
      <c r="CK165" s="1" t="str">
        <f>IFERROR(IND_JUNIO_2026[[#This Row],[IND_MontoPDP]]/IND_JUNIO_2026[[#This Row],[DK]],"")</f>
        <v/>
      </c>
      <c r="CL165" t="s">
        <v>548</v>
      </c>
      <c r="CM165">
        <f>IFERROR(IND_JUNIO_2026[[#This Row],[IND_MontoPDP]]/IND_JUNIO_2026[[#This Row],[IND_PDP]],"")</f>
        <v>300</v>
      </c>
    </row>
    <row r="166" spans="44:91" x14ac:dyDescent="0.25">
      <c r="AR166" s="7"/>
      <c r="BX166" s="45" t="s">
        <v>636</v>
      </c>
      <c r="BY166" s="45" t="s">
        <v>3</v>
      </c>
      <c r="BZ166" s="45" t="s">
        <v>68</v>
      </c>
      <c r="CA166" s="55">
        <v>46174</v>
      </c>
      <c r="CB166" s="1">
        <f>IF(IND_JUNIO_2026[[#This Row],[IND_CANTFalta]]=1,0,IF(1-(IND_JUNIO_2026[[#This Row],[IND_Tardanza Tiempo]]*100%/0.166666666666667)&lt;0,0,1-(IND_JUNIO_2026[[#This Row],[IND_Tardanza Tiempo]]*100%/0.166666666666667)))</f>
        <v>0.99833333333333329</v>
      </c>
      <c r="CC166" s="45"/>
      <c r="CD166" s="93">
        <v>2.7777777777777778E-4</v>
      </c>
      <c r="CE166">
        <v>27</v>
      </c>
      <c r="CF166">
        <v>11</v>
      </c>
      <c r="CG166" s="1">
        <f>IFERROR(IND_JUNIO_2026[[#This Row],[IND_PDP]]/IND_JUNIO_2026[[#This Row],[IND_CEF Unico]],"")</f>
        <v>0.40740740740740738</v>
      </c>
      <c r="CH166">
        <v>7529</v>
      </c>
      <c r="CI166">
        <v>2020</v>
      </c>
      <c r="CJ166" s="1">
        <f>IFERROR(IND_JUNIO_2026[[#This Row],[IND_Recupero]]/IND_JUNIO_2026[[#This Row],[IND_MontoPDP]],"")</f>
        <v>0.26829592243325806</v>
      </c>
      <c r="CK166" s="1" t="str">
        <f>IFERROR(IND_JUNIO_2026[[#This Row],[IND_MontoPDP]]/IND_JUNIO_2026[[#This Row],[DK]],"")</f>
        <v/>
      </c>
      <c r="CL166" t="s">
        <v>548</v>
      </c>
      <c r="CM166">
        <f>IFERROR(IND_JUNIO_2026[[#This Row],[IND_MontoPDP]]/IND_JUNIO_2026[[#This Row],[IND_PDP]],"")</f>
        <v>684.4545454545455</v>
      </c>
    </row>
    <row r="167" spans="44:91" x14ac:dyDescent="0.25">
      <c r="AR167" s="7"/>
      <c r="BX167" s="45" t="s">
        <v>636</v>
      </c>
      <c r="BY167" s="45" t="s">
        <v>3</v>
      </c>
      <c r="BZ167" s="45" t="s">
        <v>68</v>
      </c>
      <c r="CA167" s="55">
        <v>46176</v>
      </c>
      <c r="CB167" s="1">
        <f>IF(IND_JUNIO_2026[[#This Row],[IND_CANTFalta]]=1,0,IF(1-(IND_JUNIO_2026[[#This Row],[IND_Tardanza Tiempo]]*100%/0.166666666666667)&lt;0,0,1-(IND_JUNIO_2026[[#This Row],[IND_Tardanza Tiempo]]*100%/0.166666666666667)))</f>
        <v>0.99569444444444444</v>
      </c>
      <c r="CC167" s="45"/>
      <c r="CD167" s="93">
        <v>7.1759259259259259E-4</v>
      </c>
      <c r="CE167">
        <v>20</v>
      </c>
      <c r="CG167" s="1">
        <f>IFERROR(IND_JUNIO_2026[[#This Row],[IND_PDP]]/IND_JUNIO_2026[[#This Row],[IND_CEF Unico]],"")</f>
        <v>0</v>
      </c>
      <c r="CJ167" s="1" t="str">
        <f>IFERROR(IND_JUNIO_2026[[#This Row],[IND_Recupero]]/IND_JUNIO_2026[[#This Row],[IND_MontoPDP]],"")</f>
        <v/>
      </c>
      <c r="CK167" s="1" t="str">
        <f>IFERROR(IND_JUNIO_2026[[#This Row],[IND_MontoPDP]]/IND_JUNIO_2026[[#This Row],[DK]],"")</f>
        <v/>
      </c>
      <c r="CL167" t="s">
        <v>548</v>
      </c>
      <c r="CM167" t="str">
        <f>IFERROR(IND_JUNIO_2026[[#This Row],[IND_MontoPDP]]/IND_JUNIO_2026[[#This Row],[IND_PDP]],"")</f>
        <v/>
      </c>
    </row>
    <row r="168" spans="44:91" x14ac:dyDescent="0.25">
      <c r="AR168" s="7"/>
      <c r="BX168" s="45" t="s">
        <v>636</v>
      </c>
      <c r="BY168" s="45" t="s">
        <v>3</v>
      </c>
      <c r="BZ168" s="45" t="s">
        <v>68</v>
      </c>
      <c r="CA168" s="55">
        <v>46177</v>
      </c>
      <c r="CB168" s="1">
        <f>IF(IND_JUNIO_2026[[#This Row],[IND_CANTFalta]]=1,0,IF(1-(IND_JUNIO_2026[[#This Row],[IND_Tardanza Tiempo]]*100%/0.166666666666667)&lt;0,0,1-(IND_JUNIO_2026[[#This Row],[IND_Tardanza Tiempo]]*100%/0.166666666666667)))</f>
        <v>0.99715277777777778</v>
      </c>
      <c r="CC168" s="45"/>
      <c r="CD168" s="93">
        <v>4.7453703703703704E-4</v>
      </c>
      <c r="CE168">
        <v>15</v>
      </c>
      <c r="CG168" s="1">
        <f>IFERROR(IND_JUNIO_2026[[#This Row],[IND_PDP]]/IND_JUNIO_2026[[#This Row],[IND_CEF Unico]],"")</f>
        <v>0</v>
      </c>
      <c r="CJ168" s="1" t="str">
        <f>IFERROR(IND_JUNIO_2026[[#This Row],[IND_Recupero]]/IND_JUNIO_2026[[#This Row],[IND_MontoPDP]],"")</f>
        <v/>
      </c>
      <c r="CK168" s="1" t="str">
        <f>IFERROR(IND_JUNIO_2026[[#This Row],[IND_MontoPDP]]/IND_JUNIO_2026[[#This Row],[DK]],"")</f>
        <v/>
      </c>
      <c r="CL168" t="s">
        <v>548</v>
      </c>
      <c r="CM168" t="str">
        <f>IFERROR(IND_JUNIO_2026[[#This Row],[IND_MontoPDP]]/IND_JUNIO_2026[[#This Row],[IND_PDP]],"")</f>
        <v/>
      </c>
    </row>
    <row r="169" spans="44:91" x14ac:dyDescent="0.25">
      <c r="AR169" s="7"/>
      <c r="BX169" s="45" t="s">
        <v>636</v>
      </c>
      <c r="BY169" s="45" t="s">
        <v>3</v>
      </c>
      <c r="BZ169" s="45" t="s">
        <v>79</v>
      </c>
      <c r="CA169" s="55">
        <v>46175</v>
      </c>
      <c r="CB169" s="1">
        <f>IF(IND_JUNIO_2026[[#This Row],[IND_CANTFalta]]=1,0,IF(1-(IND_JUNIO_2026[[#This Row],[IND_Tardanza Tiempo]]*100%/0.166666666666667)&lt;0,0,1-(IND_JUNIO_2026[[#This Row],[IND_Tardanza Tiempo]]*100%/0.166666666666667)))</f>
        <v>0.99854166666666666</v>
      </c>
      <c r="CC169" s="45"/>
      <c r="CD169" s="93">
        <v>2.4305555555555555E-4</v>
      </c>
      <c r="CE169">
        <v>15</v>
      </c>
      <c r="CF169">
        <v>1</v>
      </c>
      <c r="CG169" s="1">
        <f>IFERROR(IND_JUNIO_2026[[#This Row],[IND_PDP]]/IND_JUNIO_2026[[#This Row],[IND_CEF Unico]],"")</f>
        <v>6.6666666666666666E-2</v>
      </c>
      <c r="CH169">
        <v>1000</v>
      </c>
      <c r="CI169">
        <v>1000</v>
      </c>
      <c r="CJ169" s="1">
        <f>IFERROR(IND_JUNIO_2026[[#This Row],[IND_Recupero]]/IND_JUNIO_2026[[#This Row],[IND_MontoPDP]],"")</f>
        <v>1</v>
      </c>
      <c r="CK169" s="1" t="str">
        <f>IFERROR(IND_JUNIO_2026[[#This Row],[IND_MontoPDP]]/IND_JUNIO_2026[[#This Row],[DK]],"")</f>
        <v/>
      </c>
      <c r="CL169" t="s">
        <v>548</v>
      </c>
      <c r="CM169">
        <f>IFERROR(IND_JUNIO_2026[[#This Row],[IND_MontoPDP]]/IND_JUNIO_2026[[#This Row],[IND_PDP]],"")</f>
        <v>1000</v>
      </c>
    </row>
    <row r="170" spans="44:91" x14ac:dyDescent="0.25">
      <c r="AR170" s="7"/>
      <c r="BX170" s="45" t="s">
        <v>636</v>
      </c>
      <c r="BY170" s="45" t="s">
        <v>3</v>
      </c>
      <c r="BZ170" s="45" t="s">
        <v>79</v>
      </c>
      <c r="CA170" s="55">
        <v>46176</v>
      </c>
      <c r="CB170" s="1">
        <f>IF(IND_JUNIO_2026[[#This Row],[IND_CANTFalta]]=1,0,IF(1-(IND_JUNIO_2026[[#This Row],[IND_Tardanza Tiempo]]*100%/0.166666666666667)&lt;0,0,1-(IND_JUNIO_2026[[#This Row],[IND_Tardanza Tiempo]]*100%/0.166666666666667)))</f>
        <v>1</v>
      </c>
      <c r="CC170" s="45"/>
      <c r="CD170" s="93">
        <v>0</v>
      </c>
      <c r="CE170">
        <v>14</v>
      </c>
      <c r="CF170">
        <v>1</v>
      </c>
      <c r="CG170" s="1">
        <f>IFERROR(IND_JUNIO_2026[[#This Row],[IND_PDP]]/IND_JUNIO_2026[[#This Row],[IND_CEF Unico]],"")</f>
        <v>7.1428571428571425E-2</v>
      </c>
      <c r="CH170">
        <v>1000</v>
      </c>
      <c r="CJ170" s="1">
        <f>IFERROR(IND_JUNIO_2026[[#This Row],[IND_Recupero]]/IND_JUNIO_2026[[#This Row],[IND_MontoPDP]],"")</f>
        <v>0</v>
      </c>
      <c r="CK170" s="1" t="str">
        <f>IFERROR(IND_JUNIO_2026[[#This Row],[IND_MontoPDP]]/IND_JUNIO_2026[[#This Row],[DK]],"")</f>
        <v/>
      </c>
      <c r="CL170" t="s">
        <v>548</v>
      </c>
      <c r="CM170">
        <f>IFERROR(IND_JUNIO_2026[[#This Row],[IND_MontoPDP]]/IND_JUNIO_2026[[#This Row],[IND_PDP]],"")</f>
        <v>1000</v>
      </c>
    </row>
    <row r="171" spans="44:91" x14ac:dyDescent="0.25">
      <c r="AR171" s="7"/>
      <c r="BX171" s="45" t="s">
        <v>636</v>
      </c>
      <c r="BY171" s="45" t="s">
        <v>3</v>
      </c>
      <c r="BZ171" s="45" t="s">
        <v>79</v>
      </c>
      <c r="CA171" s="55">
        <v>46178</v>
      </c>
      <c r="CB171" s="1">
        <f>IF(IND_JUNIO_2026[[#This Row],[IND_CANTFalta]]=1,0,IF(1-(IND_JUNIO_2026[[#This Row],[IND_Tardanza Tiempo]]*100%/0.166666666666667)&lt;0,0,1-(IND_JUNIO_2026[[#This Row],[IND_Tardanza Tiempo]]*100%/0.166666666666667)))</f>
        <v>0.97916666666666674</v>
      </c>
      <c r="CC171" s="45"/>
      <c r="CD171" s="93">
        <v>3.472222222222222E-3</v>
      </c>
      <c r="CE171">
        <v>5</v>
      </c>
      <c r="CG171" s="1">
        <f>IFERROR(IND_JUNIO_2026[[#This Row],[IND_PDP]]/IND_JUNIO_2026[[#This Row],[IND_CEF Unico]],"")</f>
        <v>0</v>
      </c>
      <c r="CJ171" s="1" t="str">
        <f>IFERROR(IND_JUNIO_2026[[#This Row],[IND_Recupero]]/IND_JUNIO_2026[[#This Row],[IND_MontoPDP]],"")</f>
        <v/>
      </c>
      <c r="CK171" s="1" t="str">
        <f>IFERROR(IND_JUNIO_2026[[#This Row],[IND_MontoPDP]]/IND_JUNIO_2026[[#This Row],[DK]],"")</f>
        <v/>
      </c>
      <c r="CL171" t="s">
        <v>548</v>
      </c>
      <c r="CM171" t="str">
        <f>IFERROR(IND_JUNIO_2026[[#This Row],[IND_MontoPDP]]/IND_JUNIO_2026[[#This Row],[IND_PDP]],"")</f>
        <v/>
      </c>
    </row>
    <row r="172" spans="44:91" x14ac:dyDescent="0.25">
      <c r="AR172" s="7"/>
      <c r="BX172" s="45" t="s">
        <v>636</v>
      </c>
      <c r="BY172" s="45" t="s">
        <v>3</v>
      </c>
      <c r="BZ172" s="45" t="s">
        <v>59</v>
      </c>
      <c r="CA172" s="55">
        <v>46174</v>
      </c>
      <c r="CB172" s="1">
        <f>IF(IND_JUNIO_2026[[#This Row],[IND_CANTFalta]]=1,0,IF(1-(IND_JUNIO_2026[[#This Row],[IND_Tardanza Tiempo]]*100%/0.166666666666667)&lt;0,0,1-(IND_JUNIO_2026[[#This Row],[IND_Tardanza Tiempo]]*100%/0.166666666666667)))</f>
        <v>0.99986111111111109</v>
      </c>
      <c r="CC172" s="45"/>
      <c r="CD172" s="93">
        <v>2.3148148148148147E-5</v>
      </c>
      <c r="CE172">
        <v>40</v>
      </c>
      <c r="CF172">
        <v>10</v>
      </c>
      <c r="CG172" s="1">
        <f>IFERROR(IND_JUNIO_2026[[#This Row],[IND_PDP]]/IND_JUNIO_2026[[#This Row],[IND_CEF Unico]],"")</f>
        <v>0.25</v>
      </c>
      <c r="CH172">
        <v>7920</v>
      </c>
      <c r="CJ172" s="1">
        <f>IFERROR(IND_JUNIO_2026[[#This Row],[IND_Recupero]]/IND_JUNIO_2026[[#This Row],[IND_MontoPDP]],"")</f>
        <v>0</v>
      </c>
      <c r="CK172" s="1" t="str">
        <f>IFERROR(IND_JUNIO_2026[[#This Row],[IND_MontoPDP]]/IND_JUNIO_2026[[#This Row],[DK]],"")</f>
        <v/>
      </c>
      <c r="CL172" t="s">
        <v>548</v>
      </c>
      <c r="CM172">
        <f>IFERROR(IND_JUNIO_2026[[#This Row],[IND_MontoPDP]]/IND_JUNIO_2026[[#This Row],[IND_PDP]],"")</f>
        <v>792</v>
      </c>
    </row>
    <row r="173" spans="44:91" x14ac:dyDescent="0.25">
      <c r="AR173" s="7"/>
      <c r="BX173" s="45" t="s">
        <v>636</v>
      </c>
      <c r="BY173" s="45" t="s">
        <v>3</v>
      </c>
      <c r="BZ173" s="45" t="s">
        <v>59</v>
      </c>
      <c r="CA173" s="55">
        <v>46175</v>
      </c>
      <c r="CB173" s="1">
        <f>IF(IND_JUNIO_2026[[#This Row],[IND_CANTFalta]]=1,0,IF(1-(IND_JUNIO_2026[[#This Row],[IND_Tardanza Tiempo]]*100%/0.166666666666667)&lt;0,0,1-(IND_JUNIO_2026[[#This Row],[IND_Tardanza Tiempo]]*100%/0.166666666666667)))</f>
        <v>0.99965277777777772</v>
      </c>
      <c r="CC173" s="45"/>
      <c r="CD173" s="93">
        <v>5.7870370370370373E-5</v>
      </c>
      <c r="CE173">
        <v>20</v>
      </c>
      <c r="CF173">
        <v>3</v>
      </c>
      <c r="CG173" s="1">
        <f>IFERROR(IND_JUNIO_2026[[#This Row],[IND_PDP]]/IND_JUNIO_2026[[#This Row],[IND_CEF Unico]],"")</f>
        <v>0.15</v>
      </c>
      <c r="CH173">
        <v>3700</v>
      </c>
      <c r="CI173">
        <v>3400</v>
      </c>
      <c r="CJ173" s="1">
        <f>IFERROR(IND_JUNIO_2026[[#This Row],[IND_Recupero]]/IND_JUNIO_2026[[#This Row],[IND_MontoPDP]],"")</f>
        <v>0.91891891891891897</v>
      </c>
      <c r="CK173" s="1">
        <f>IFERROR(IND_JUNIO_2026[[#This Row],[IND_MontoPDP]]/IND_JUNIO_2026[[#This Row],[DK]],"")</f>
        <v>0.12479999999999999</v>
      </c>
      <c r="CL173">
        <v>29647.435897435898</v>
      </c>
      <c r="CM173">
        <f>IFERROR(IND_JUNIO_2026[[#This Row],[IND_MontoPDP]]/IND_JUNIO_2026[[#This Row],[IND_PDP]],"")</f>
        <v>1233.3333333333333</v>
      </c>
    </row>
    <row r="174" spans="44:91" x14ac:dyDescent="0.25">
      <c r="AR174" s="7"/>
      <c r="BX174" s="45" t="s">
        <v>636</v>
      </c>
      <c r="BY174" s="45" t="s">
        <v>3</v>
      </c>
      <c r="BZ174" s="45" t="s">
        <v>59</v>
      </c>
      <c r="CA174" s="55">
        <v>46176</v>
      </c>
      <c r="CB174" s="1">
        <f>IF(IND_JUNIO_2026[[#This Row],[IND_CANTFalta]]=1,0,IF(1-(IND_JUNIO_2026[[#This Row],[IND_Tardanza Tiempo]]*100%/0.166666666666667)&lt;0,0,1-(IND_JUNIO_2026[[#This Row],[IND_Tardanza Tiempo]]*100%/0.166666666666667)))</f>
        <v>0.99916666666666665</v>
      </c>
      <c r="CC174" s="45"/>
      <c r="CD174" s="93">
        <v>1.3888888888888889E-4</v>
      </c>
      <c r="CE174">
        <v>24</v>
      </c>
      <c r="CF174">
        <v>3</v>
      </c>
      <c r="CG174" s="1">
        <f>IFERROR(IND_JUNIO_2026[[#This Row],[IND_PDP]]/IND_JUNIO_2026[[#This Row],[IND_CEF Unico]],"")</f>
        <v>0.125</v>
      </c>
      <c r="CH174">
        <v>3885</v>
      </c>
      <c r="CI174">
        <v>3000</v>
      </c>
      <c r="CJ174" s="1">
        <f>IFERROR(IND_JUNIO_2026[[#This Row],[IND_Recupero]]/IND_JUNIO_2026[[#This Row],[IND_MontoPDP]],"")</f>
        <v>0.77220077220077221</v>
      </c>
      <c r="CK174" s="1">
        <f>IFERROR(IND_JUNIO_2026[[#This Row],[IND_MontoPDP]]/IND_JUNIO_2026[[#This Row],[DK]],"")</f>
        <v>0.11499999999999999</v>
      </c>
      <c r="CL174">
        <v>33782.608695652176</v>
      </c>
      <c r="CM174">
        <f>IFERROR(IND_JUNIO_2026[[#This Row],[IND_MontoPDP]]/IND_JUNIO_2026[[#This Row],[IND_PDP]],"")</f>
        <v>1295</v>
      </c>
    </row>
    <row r="175" spans="44:91" x14ac:dyDescent="0.25">
      <c r="BX175" s="45" t="s">
        <v>636</v>
      </c>
      <c r="BY175" s="45" t="s">
        <v>3</v>
      </c>
      <c r="BZ175" s="45" t="s">
        <v>59</v>
      </c>
      <c r="CA175" s="55">
        <v>46177</v>
      </c>
      <c r="CB175" s="1">
        <f>IF(IND_JUNIO_2026[[#This Row],[IND_CANTFalta]]=1,0,IF(1-(IND_JUNIO_2026[[#This Row],[IND_Tardanza Tiempo]]*100%/0.166666666666667)&lt;0,0,1-(IND_JUNIO_2026[[#This Row],[IND_Tardanza Tiempo]]*100%/0.166666666666667)))</f>
        <v>0.99937500000000001</v>
      </c>
      <c r="CC175" s="45"/>
      <c r="CD175" s="93">
        <v>1.0416666666666667E-4</v>
      </c>
      <c r="CE175">
        <v>25</v>
      </c>
      <c r="CG175" s="1">
        <f>IFERROR(IND_JUNIO_2026[[#This Row],[IND_PDP]]/IND_JUNIO_2026[[#This Row],[IND_CEF Unico]],"")</f>
        <v>0</v>
      </c>
      <c r="CJ175" s="1" t="str">
        <f>IFERROR(IND_JUNIO_2026[[#This Row],[IND_Recupero]]/IND_JUNIO_2026[[#This Row],[IND_MontoPDP]],"")</f>
        <v/>
      </c>
      <c r="CK175" s="1" t="str">
        <f>IFERROR(IND_JUNIO_2026[[#This Row],[IND_MontoPDP]]/IND_JUNIO_2026[[#This Row],[DK]],"")</f>
        <v/>
      </c>
      <c r="CL175" t="s">
        <v>548</v>
      </c>
      <c r="CM175" t="str">
        <f>IFERROR(IND_JUNIO_2026[[#This Row],[IND_MontoPDP]]/IND_JUNIO_2026[[#This Row],[IND_PDP]],"")</f>
        <v/>
      </c>
    </row>
    <row r="176" spans="44:91" x14ac:dyDescent="0.25">
      <c r="BX176" s="45" t="s">
        <v>636</v>
      </c>
      <c r="BY176" s="45" t="s">
        <v>3</v>
      </c>
      <c r="BZ176" s="45" t="s">
        <v>59</v>
      </c>
      <c r="CA176" s="55">
        <v>46178</v>
      </c>
      <c r="CB176" s="1">
        <f>IF(IND_JUNIO_2026[[#This Row],[IND_CANTFalta]]=1,0,IF(1-(IND_JUNIO_2026[[#This Row],[IND_Tardanza Tiempo]]*100%/0.166666666666667)&lt;0,0,1-(IND_JUNIO_2026[[#This Row],[IND_Tardanza Tiempo]]*100%/0.166666666666667)))</f>
        <v>0.99993055555555554</v>
      </c>
      <c r="CC176" s="45"/>
      <c r="CD176" s="93">
        <v>1.1574074074074073E-5</v>
      </c>
      <c r="CE176">
        <v>10</v>
      </c>
      <c r="CG176" s="1">
        <f>IFERROR(IND_JUNIO_2026[[#This Row],[IND_PDP]]/IND_JUNIO_2026[[#This Row],[IND_CEF Unico]],"")</f>
        <v>0</v>
      </c>
      <c r="CJ176" s="1" t="str">
        <f>IFERROR(IND_JUNIO_2026[[#This Row],[IND_Recupero]]/IND_JUNIO_2026[[#This Row],[IND_MontoPDP]],"")</f>
        <v/>
      </c>
      <c r="CK176" s="1" t="str">
        <f>IFERROR(IND_JUNIO_2026[[#This Row],[IND_MontoPDP]]/IND_JUNIO_2026[[#This Row],[DK]],"")</f>
        <v/>
      </c>
      <c r="CL176" t="s">
        <v>548</v>
      </c>
      <c r="CM176" t="str">
        <f>IFERROR(IND_JUNIO_2026[[#This Row],[IND_MontoPDP]]/IND_JUNIO_2026[[#This Row],[IND_PDP]],"")</f>
        <v/>
      </c>
    </row>
    <row r="177" spans="76:91" x14ac:dyDescent="0.25">
      <c r="BX177" s="45" t="s">
        <v>636</v>
      </c>
      <c r="BY177" s="45" t="s">
        <v>125</v>
      </c>
      <c r="BZ177" s="45" t="s">
        <v>109</v>
      </c>
      <c r="CA177" s="55">
        <v>46177</v>
      </c>
      <c r="CB177" s="1">
        <f>IF(IND_JUNIO_2026[[#This Row],[IND_CANTFalta]]=1,0,IF(1-(IND_JUNIO_2026[[#This Row],[IND_Tardanza Tiempo]]*100%/0.166666666666667)&lt;0,0,1-(IND_JUNIO_2026[[#This Row],[IND_Tardanza Tiempo]]*100%/0.166666666666667)))</f>
        <v>0.96201388888888895</v>
      </c>
      <c r="CC177" s="45"/>
      <c r="CD177" s="93">
        <v>6.3310185185185188E-3</v>
      </c>
      <c r="CE177">
        <v>14</v>
      </c>
      <c r="CF177">
        <v>1</v>
      </c>
      <c r="CG177" s="1">
        <f>IFERROR(IND_JUNIO_2026[[#This Row],[IND_PDP]]/IND_JUNIO_2026[[#This Row],[IND_CEF Unico]],"")</f>
        <v>7.1428571428571425E-2</v>
      </c>
      <c r="CH177">
        <v>1500</v>
      </c>
      <c r="CJ177" s="1">
        <f>IFERROR(IND_JUNIO_2026[[#This Row],[IND_Recupero]]/IND_JUNIO_2026[[#This Row],[IND_MontoPDP]],"")</f>
        <v>0</v>
      </c>
      <c r="CK177" s="1" t="str">
        <f>IFERROR(IND_JUNIO_2026[[#This Row],[IND_MontoPDP]]/IND_JUNIO_2026[[#This Row],[DK]],"")</f>
        <v/>
      </c>
      <c r="CL177" t="s">
        <v>548</v>
      </c>
      <c r="CM177">
        <f>IFERROR(IND_JUNIO_2026[[#This Row],[IND_MontoPDP]]/IND_JUNIO_2026[[#This Row],[IND_PDP]],"")</f>
        <v>1500</v>
      </c>
    </row>
    <row r="178" spans="76:91" x14ac:dyDescent="0.25">
      <c r="BX178" s="45" t="s">
        <v>636</v>
      </c>
      <c r="BY178" s="45" t="s">
        <v>125</v>
      </c>
      <c r="BZ178" s="45" t="s">
        <v>109</v>
      </c>
      <c r="CA178" s="55">
        <v>46178</v>
      </c>
      <c r="CB178" s="1">
        <f>IF(IND_JUNIO_2026[[#This Row],[IND_CANTFalta]]=1,0,IF(1-(IND_JUNIO_2026[[#This Row],[IND_Tardanza Tiempo]]*100%/0.166666666666667)&lt;0,0,1-(IND_JUNIO_2026[[#This Row],[IND_Tardanza Tiempo]]*100%/0.166666666666667)))</f>
        <v>0.97909722222222229</v>
      </c>
      <c r="CC178" s="45"/>
      <c r="CD178" s="93">
        <v>3.4837962962962965E-3</v>
      </c>
      <c r="CE178">
        <v>6</v>
      </c>
      <c r="CG178" s="1">
        <f>IFERROR(IND_JUNIO_2026[[#This Row],[IND_PDP]]/IND_JUNIO_2026[[#This Row],[IND_CEF Unico]],"")</f>
        <v>0</v>
      </c>
      <c r="CJ178" s="1" t="str">
        <f>IFERROR(IND_JUNIO_2026[[#This Row],[IND_Recupero]]/IND_JUNIO_2026[[#This Row],[IND_MontoPDP]],"")</f>
        <v/>
      </c>
      <c r="CK178" s="1" t="str">
        <f>IFERROR(IND_JUNIO_2026[[#This Row],[IND_MontoPDP]]/IND_JUNIO_2026[[#This Row],[DK]],"")</f>
        <v/>
      </c>
      <c r="CL178" t="s">
        <v>548</v>
      </c>
      <c r="CM178" t="str">
        <f>IFERROR(IND_JUNIO_2026[[#This Row],[IND_MontoPDP]]/IND_JUNIO_2026[[#This Row],[IND_PDP]],"")</f>
        <v/>
      </c>
    </row>
    <row r="179" spans="76:91" x14ac:dyDescent="0.25">
      <c r="BX179" s="45" t="s">
        <v>636</v>
      </c>
      <c r="BY179" s="45" t="s">
        <v>125</v>
      </c>
      <c r="BZ179" s="45" t="s">
        <v>41</v>
      </c>
      <c r="CA179" s="55">
        <v>46177</v>
      </c>
      <c r="CB179" s="1">
        <f>IF(IND_JUNIO_2026[[#This Row],[IND_CANTFalta]]=1,0,IF(1-(IND_JUNIO_2026[[#This Row],[IND_Tardanza Tiempo]]*100%/0.166666666666667)&lt;0,0,1-(IND_JUNIO_2026[[#This Row],[IND_Tardanza Tiempo]]*100%/0.166666666666667)))</f>
        <v>0.948888888888889</v>
      </c>
      <c r="CC179" s="45"/>
      <c r="CD179" s="93">
        <v>8.518518518518519E-3</v>
      </c>
      <c r="CE179">
        <v>12</v>
      </c>
      <c r="CF179">
        <v>1</v>
      </c>
      <c r="CG179" s="1">
        <f>IFERROR(IND_JUNIO_2026[[#This Row],[IND_PDP]]/IND_JUNIO_2026[[#This Row],[IND_CEF Unico]],"")</f>
        <v>8.3333333333333329E-2</v>
      </c>
      <c r="CH179">
        <v>2500</v>
      </c>
      <c r="CJ179" s="1">
        <f>IFERROR(IND_JUNIO_2026[[#This Row],[IND_Recupero]]/IND_JUNIO_2026[[#This Row],[IND_MontoPDP]],"")</f>
        <v>0</v>
      </c>
      <c r="CK179" s="1" t="str">
        <f>IFERROR(IND_JUNIO_2026[[#This Row],[IND_MontoPDP]]/IND_JUNIO_2026[[#This Row],[DK]],"")</f>
        <v/>
      </c>
      <c r="CL179" t="s">
        <v>548</v>
      </c>
      <c r="CM179">
        <f>IFERROR(IND_JUNIO_2026[[#This Row],[IND_MontoPDP]]/IND_JUNIO_2026[[#This Row],[IND_PDP]],"")</f>
        <v>2500</v>
      </c>
    </row>
    <row r="180" spans="76:91" x14ac:dyDescent="0.25">
      <c r="BX180" s="45" t="s">
        <v>636</v>
      </c>
      <c r="BY180" s="45" t="s">
        <v>125</v>
      </c>
      <c r="BZ180" s="45" t="s">
        <v>41</v>
      </c>
      <c r="CA180" s="55">
        <v>46178</v>
      </c>
      <c r="CB180" s="1">
        <f>IF(IND_JUNIO_2026[[#This Row],[IND_CANTFalta]]=1,0,IF(1-(IND_JUNIO_2026[[#This Row],[IND_Tardanza Tiempo]]*100%/0.166666666666667)&lt;0,0,1-(IND_JUNIO_2026[[#This Row],[IND_Tardanza Tiempo]]*100%/0.166666666666667)))</f>
        <v>0.97819444444444448</v>
      </c>
      <c r="CC180" s="45"/>
      <c r="CD180" s="93">
        <v>3.6342592592592594E-3</v>
      </c>
      <c r="CE180">
        <v>4</v>
      </c>
      <c r="CG180" s="1">
        <f>IFERROR(IND_JUNIO_2026[[#This Row],[IND_PDP]]/IND_JUNIO_2026[[#This Row],[IND_CEF Unico]],"")</f>
        <v>0</v>
      </c>
      <c r="CJ180" s="1" t="str">
        <f>IFERROR(IND_JUNIO_2026[[#This Row],[IND_Recupero]]/IND_JUNIO_2026[[#This Row],[IND_MontoPDP]],"")</f>
        <v/>
      </c>
      <c r="CK180" s="1" t="str">
        <f>IFERROR(IND_JUNIO_2026[[#This Row],[IND_MontoPDP]]/IND_JUNIO_2026[[#This Row],[DK]],"")</f>
        <v/>
      </c>
      <c r="CL180" t="s">
        <v>548</v>
      </c>
      <c r="CM180" t="str">
        <f>IFERROR(IND_JUNIO_2026[[#This Row],[IND_MontoPDP]]/IND_JUNIO_2026[[#This Row],[IND_PDP]],"")</f>
        <v/>
      </c>
    </row>
    <row r="181" spans="76:91" x14ac:dyDescent="0.25">
      <c r="BX181" s="45" t="s">
        <v>636</v>
      </c>
      <c r="BY181" s="45" t="s">
        <v>125</v>
      </c>
      <c r="BZ181" s="45" t="s">
        <v>61</v>
      </c>
      <c r="CA181" s="55">
        <v>46175</v>
      </c>
      <c r="CB181" s="1">
        <f>IF(IND_JUNIO_2026[[#This Row],[IND_CANTFalta]]=1,0,IF(1-(IND_JUNIO_2026[[#This Row],[IND_Tardanza Tiempo]]*100%/0.166666666666667)&lt;0,0,1-(IND_JUNIO_2026[[#This Row],[IND_Tardanza Tiempo]]*100%/0.166666666666667)))</f>
        <v>0</v>
      </c>
      <c r="CC181" s="45">
        <v>1</v>
      </c>
      <c r="CD181" s="93">
        <v>0</v>
      </c>
      <c r="CG181" s="1" t="str">
        <f>IFERROR(IND_JUNIO_2026[[#This Row],[IND_PDP]]/IND_JUNIO_2026[[#This Row],[IND_CEF Unico]],"")</f>
        <v/>
      </c>
      <c r="CJ181" s="1" t="str">
        <f>IFERROR(IND_JUNIO_2026[[#This Row],[IND_Recupero]]/IND_JUNIO_2026[[#This Row],[IND_MontoPDP]],"")</f>
        <v/>
      </c>
      <c r="CK181" s="1" t="str">
        <f>IFERROR(IND_JUNIO_2026[[#This Row],[IND_MontoPDP]]/IND_JUNIO_2026[[#This Row],[DK]],"")</f>
        <v/>
      </c>
      <c r="CL181" t="s">
        <v>548</v>
      </c>
      <c r="CM181" t="str">
        <f>IFERROR(IND_JUNIO_2026[[#This Row],[IND_MontoPDP]]/IND_JUNIO_2026[[#This Row],[IND_PDP]],"")</f>
        <v/>
      </c>
    </row>
    <row r="182" spans="76:91" x14ac:dyDescent="0.25">
      <c r="BX182" s="45" t="s">
        <v>636</v>
      </c>
      <c r="BY182" s="45" t="s">
        <v>125</v>
      </c>
      <c r="BZ182" s="45" t="s">
        <v>61</v>
      </c>
      <c r="CA182" s="55">
        <v>46177</v>
      </c>
      <c r="CB182" s="1">
        <f>IF(IND_JUNIO_2026[[#This Row],[IND_CANTFalta]]=1,0,IF(1-(IND_JUNIO_2026[[#This Row],[IND_Tardanza Tiempo]]*100%/0.166666666666667)&lt;0,0,1-(IND_JUNIO_2026[[#This Row],[IND_Tardanza Tiempo]]*100%/0.166666666666667)))</f>
        <v>0.94770833333333337</v>
      </c>
      <c r="CC182" s="45"/>
      <c r="CD182" s="93">
        <v>8.7152777777777784E-3</v>
      </c>
      <c r="CE182">
        <v>25</v>
      </c>
      <c r="CG182" s="1">
        <f>IFERROR(IND_JUNIO_2026[[#This Row],[IND_PDP]]/IND_JUNIO_2026[[#This Row],[IND_CEF Unico]],"")</f>
        <v>0</v>
      </c>
      <c r="CJ182" s="1" t="str">
        <f>IFERROR(IND_JUNIO_2026[[#This Row],[IND_Recupero]]/IND_JUNIO_2026[[#This Row],[IND_MontoPDP]],"")</f>
        <v/>
      </c>
      <c r="CK182" s="1" t="str">
        <f>IFERROR(IND_JUNIO_2026[[#This Row],[IND_MontoPDP]]/IND_JUNIO_2026[[#This Row],[DK]],"")</f>
        <v/>
      </c>
      <c r="CL182" t="s">
        <v>548</v>
      </c>
      <c r="CM182" t="str">
        <f>IFERROR(IND_JUNIO_2026[[#This Row],[IND_MontoPDP]]/IND_JUNIO_2026[[#This Row],[IND_PDP]],"")</f>
        <v/>
      </c>
    </row>
    <row r="183" spans="76:91" x14ac:dyDescent="0.25">
      <c r="BX183" s="45" t="s">
        <v>636</v>
      </c>
      <c r="BY183" s="45" t="s">
        <v>125</v>
      </c>
      <c r="BZ183" s="45" t="s">
        <v>80</v>
      </c>
      <c r="CA183" s="55">
        <v>46178</v>
      </c>
      <c r="CB183" s="1">
        <f>IF(IND_JUNIO_2026[[#This Row],[IND_CANTFalta]]=1,0,IF(1-(IND_JUNIO_2026[[#This Row],[IND_Tardanza Tiempo]]*100%/0.166666666666667)&lt;0,0,1-(IND_JUNIO_2026[[#This Row],[IND_Tardanza Tiempo]]*100%/0.166666666666667)))</f>
        <v>0.97493055555555563</v>
      </c>
      <c r="CC183" s="45"/>
      <c r="CD183" s="93">
        <v>4.178240740740741E-3</v>
      </c>
      <c r="CE183">
        <v>3</v>
      </c>
      <c r="CF183">
        <v>1</v>
      </c>
      <c r="CG183" s="1">
        <f>IFERROR(IND_JUNIO_2026[[#This Row],[IND_PDP]]/IND_JUNIO_2026[[#This Row],[IND_CEF Unico]],"")</f>
        <v>0.33333333333333331</v>
      </c>
      <c r="CH183">
        <v>1500</v>
      </c>
      <c r="CJ183" s="1">
        <f>IFERROR(IND_JUNIO_2026[[#This Row],[IND_Recupero]]/IND_JUNIO_2026[[#This Row],[IND_MontoPDP]],"")</f>
        <v>0</v>
      </c>
      <c r="CK183" s="1" t="str">
        <f>IFERROR(IND_JUNIO_2026[[#This Row],[IND_MontoPDP]]/IND_JUNIO_2026[[#This Row],[DK]],"")</f>
        <v/>
      </c>
      <c r="CL183" t="s">
        <v>548</v>
      </c>
      <c r="CM183">
        <f>IFERROR(IND_JUNIO_2026[[#This Row],[IND_MontoPDP]]/IND_JUNIO_2026[[#This Row],[IND_PDP]],"")</f>
        <v>1500</v>
      </c>
    </row>
    <row r="184" spans="76:91" x14ac:dyDescent="0.25">
      <c r="BX184" s="45" t="s">
        <v>636</v>
      </c>
      <c r="BY184" s="45" t="s">
        <v>125</v>
      </c>
      <c r="BZ184" s="45" t="s">
        <v>495</v>
      </c>
      <c r="CA184" s="55">
        <v>46174</v>
      </c>
      <c r="CB184" s="1">
        <f>IF(IND_JUNIO_2026[[#This Row],[IND_CANTFalta]]=1,0,IF(1-(IND_JUNIO_2026[[#This Row],[IND_Tardanza Tiempo]]*100%/0.166666666666667)&lt;0,0,1-(IND_JUNIO_2026[[#This Row],[IND_Tardanza Tiempo]]*100%/0.166666666666667)))</f>
        <v>0.91763888888888911</v>
      </c>
      <c r="CC184" s="45"/>
      <c r="CD184" s="93">
        <v>1.3726851851851851E-2</v>
      </c>
      <c r="CE184">
        <v>27</v>
      </c>
      <c r="CF184">
        <v>5</v>
      </c>
      <c r="CG184" s="1">
        <f>IFERROR(IND_JUNIO_2026[[#This Row],[IND_PDP]]/IND_JUNIO_2026[[#This Row],[IND_CEF Unico]],"")</f>
        <v>0.18518518518518517</v>
      </c>
      <c r="CH184">
        <v>3850</v>
      </c>
      <c r="CI184">
        <v>1000</v>
      </c>
      <c r="CJ184" s="1">
        <f>IFERROR(IND_JUNIO_2026[[#This Row],[IND_Recupero]]/IND_JUNIO_2026[[#This Row],[IND_MontoPDP]],"")</f>
        <v>0.25974025974025972</v>
      </c>
      <c r="CK184" s="1">
        <f>IFERROR(IND_JUNIO_2026[[#This Row],[IND_MontoPDP]]/IND_JUNIO_2026[[#This Row],[DK]],"")</f>
        <v>0.19220000000000001</v>
      </c>
      <c r="CL184">
        <v>20031.217481789801</v>
      </c>
      <c r="CM184">
        <f>IFERROR(IND_JUNIO_2026[[#This Row],[IND_MontoPDP]]/IND_JUNIO_2026[[#This Row],[IND_PDP]],"")</f>
        <v>770</v>
      </c>
    </row>
    <row r="185" spans="76:91" x14ac:dyDescent="0.25">
      <c r="BX185" s="45" t="s">
        <v>636</v>
      </c>
      <c r="BY185" s="45" t="s">
        <v>125</v>
      </c>
      <c r="BZ185" s="45" t="s">
        <v>495</v>
      </c>
      <c r="CA185" s="55">
        <v>46175</v>
      </c>
      <c r="CB185" s="1">
        <f>IF(IND_JUNIO_2026[[#This Row],[IND_CANTFalta]]=1,0,IF(1-(IND_JUNIO_2026[[#This Row],[IND_Tardanza Tiempo]]*100%/0.166666666666667)&lt;0,0,1-(IND_JUNIO_2026[[#This Row],[IND_Tardanza Tiempo]]*100%/0.166666666666667)))</f>
        <v>0.97034722222222225</v>
      </c>
      <c r="CC185" s="45"/>
      <c r="CD185" s="93">
        <v>4.9421296296296297E-3</v>
      </c>
      <c r="CE185">
        <v>27</v>
      </c>
      <c r="CF185">
        <v>1</v>
      </c>
      <c r="CG185" s="1">
        <f>IFERROR(IND_JUNIO_2026[[#This Row],[IND_PDP]]/IND_JUNIO_2026[[#This Row],[IND_CEF Unico]],"")</f>
        <v>3.7037037037037035E-2</v>
      </c>
      <c r="CH185">
        <v>1100</v>
      </c>
      <c r="CJ185" s="1">
        <f>IFERROR(IND_JUNIO_2026[[#This Row],[IND_Recupero]]/IND_JUNIO_2026[[#This Row],[IND_MontoPDP]],"")</f>
        <v>0</v>
      </c>
      <c r="CK185" s="1" t="str">
        <f>IFERROR(IND_JUNIO_2026[[#This Row],[IND_MontoPDP]]/IND_JUNIO_2026[[#This Row],[DK]],"")</f>
        <v/>
      </c>
      <c r="CL185" t="s">
        <v>548</v>
      </c>
      <c r="CM185">
        <f>IFERROR(IND_JUNIO_2026[[#This Row],[IND_MontoPDP]]/IND_JUNIO_2026[[#This Row],[IND_PDP]],"")</f>
        <v>1100</v>
      </c>
    </row>
    <row r="186" spans="76:91" x14ac:dyDescent="0.25">
      <c r="BX186" s="45" t="s">
        <v>636</v>
      </c>
      <c r="BY186" s="45" t="s">
        <v>125</v>
      </c>
      <c r="BZ186" s="45" t="s">
        <v>72</v>
      </c>
      <c r="CA186" s="55">
        <v>46175</v>
      </c>
      <c r="CB186" s="1">
        <f>IF(IND_JUNIO_2026[[#This Row],[IND_CANTFalta]]=1,0,IF(1-(IND_JUNIO_2026[[#This Row],[IND_Tardanza Tiempo]]*100%/0.166666666666667)&lt;0,0,1-(IND_JUNIO_2026[[#This Row],[IND_Tardanza Tiempo]]*100%/0.166666666666667)))</f>
        <v>0.97173611111111113</v>
      </c>
      <c r="CC186" s="45"/>
      <c r="CD186" s="93">
        <v>4.7106481481481478E-3</v>
      </c>
      <c r="CE186">
        <v>44</v>
      </c>
      <c r="CG186" s="1">
        <f>IFERROR(IND_JUNIO_2026[[#This Row],[IND_PDP]]/IND_JUNIO_2026[[#This Row],[IND_CEF Unico]],"")</f>
        <v>0</v>
      </c>
      <c r="CJ186" s="1" t="str">
        <f>IFERROR(IND_JUNIO_2026[[#This Row],[IND_Recupero]]/IND_JUNIO_2026[[#This Row],[IND_MontoPDP]],"")</f>
        <v/>
      </c>
      <c r="CK186" s="1" t="str">
        <f>IFERROR(IND_JUNIO_2026[[#This Row],[IND_MontoPDP]]/IND_JUNIO_2026[[#This Row],[DK]],"")</f>
        <v/>
      </c>
      <c r="CL186" t="s">
        <v>548</v>
      </c>
      <c r="CM186" t="str">
        <f>IFERROR(IND_JUNIO_2026[[#This Row],[IND_MontoPDP]]/IND_JUNIO_2026[[#This Row],[IND_PDP]],"")</f>
        <v/>
      </c>
    </row>
    <row r="187" spans="76:91" x14ac:dyDescent="0.25">
      <c r="BX187" s="45" t="s">
        <v>636</v>
      </c>
      <c r="BY187" s="45" t="s">
        <v>125</v>
      </c>
      <c r="BZ187" s="45" t="s">
        <v>12</v>
      </c>
      <c r="CA187" s="55">
        <v>46176</v>
      </c>
      <c r="CB187" s="1">
        <f>IF(IND_JUNIO_2026[[#This Row],[IND_CANTFalta]]=1,0,IF(1-(IND_JUNIO_2026[[#This Row],[IND_Tardanza Tiempo]]*100%/0.166666666666667)&lt;0,0,1-(IND_JUNIO_2026[[#This Row],[IND_Tardanza Tiempo]]*100%/0.166666666666667)))</f>
        <v>0.9959027777777778</v>
      </c>
      <c r="CC187" s="45"/>
      <c r="CD187" s="93">
        <v>6.8287037037037036E-4</v>
      </c>
      <c r="CE187">
        <v>13</v>
      </c>
      <c r="CG187" s="1">
        <f>IFERROR(IND_JUNIO_2026[[#This Row],[IND_PDP]]/IND_JUNIO_2026[[#This Row],[IND_CEF Unico]],"")</f>
        <v>0</v>
      </c>
      <c r="CJ187" s="1" t="str">
        <f>IFERROR(IND_JUNIO_2026[[#This Row],[IND_Recupero]]/IND_JUNIO_2026[[#This Row],[IND_MontoPDP]],"")</f>
        <v/>
      </c>
      <c r="CK187" s="1" t="str">
        <f>IFERROR(IND_JUNIO_2026[[#This Row],[IND_MontoPDP]]/IND_JUNIO_2026[[#This Row],[DK]],"")</f>
        <v/>
      </c>
      <c r="CL187" t="s">
        <v>548</v>
      </c>
      <c r="CM187" t="str">
        <f>IFERROR(IND_JUNIO_2026[[#This Row],[IND_MontoPDP]]/IND_JUNIO_2026[[#This Row],[IND_PDP]],"")</f>
        <v/>
      </c>
    </row>
    <row r="188" spans="76:91" x14ac:dyDescent="0.25">
      <c r="BX188" s="45" t="s">
        <v>636</v>
      </c>
      <c r="BY188" s="45" t="s">
        <v>125</v>
      </c>
      <c r="BZ188" s="45" t="s">
        <v>26</v>
      </c>
      <c r="CA188" s="55">
        <v>46176</v>
      </c>
      <c r="CB188" s="1">
        <f>IF(IND_JUNIO_2026[[#This Row],[IND_CANTFalta]]=1,0,IF(1-(IND_JUNIO_2026[[#This Row],[IND_Tardanza Tiempo]]*100%/0.166666666666667)&lt;0,0,1-(IND_JUNIO_2026[[#This Row],[IND_Tardanza Tiempo]]*100%/0.166666666666667)))</f>
        <v>0.13604166666666839</v>
      </c>
      <c r="CC188" s="45"/>
      <c r="CD188" s="93">
        <v>0.14399305555555555</v>
      </c>
      <c r="CE188">
        <v>16</v>
      </c>
      <c r="CF188">
        <v>1</v>
      </c>
      <c r="CG188" s="1">
        <f>IFERROR(IND_JUNIO_2026[[#This Row],[IND_PDP]]/IND_JUNIO_2026[[#This Row],[IND_CEF Unico]],"")</f>
        <v>6.25E-2</v>
      </c>
      <c r="CH188">
        <v>3700</v>
      </c>
      <c r="CI188">
        <v>3700</v>
      </c>
      <c r="CJ188" s="1">
        <f>IFERROR(IND_JUNIO_2026[[#This Row],[IND_Recupero]]/IND_JUNIO_2026[[#This Row],[IND_MontoPDP]],"")</f>
        <v>1</v>
      </c>
      <c r="CK188" s="1">
        <f>IFERROR(IND_JUNIO_2026[[#This Row],[IND_MontoPDP]]/IND_JUNIO_2026[[#This Row],[DK]],"")</f>
        <v>0.10179999999999999</v>
      </c>
      <c r="CL188">
        <v>36345.776031434187</v>
      </c>
      <c r="CM188">
        <f>IFERROR(IND_JUNIO_2026[[#This Row],[IND_MontoPDP]]/IND_JUNIO_2026[[#This Row],[IND_PDP]],"")</f>
        <v>3700</v>
      </c>
    </row>
    <row r="189" spans="76:91" x14ac:dyDescent="0.25">
      <c r="BX189" s="45" t="s">
        <v>636</v>
      </c>
      <c r="BY189" s="45" t="s">
        <v>2</v>
      </c>
      <c r="BZ189" s="45" t="s">
        <v>15</v>
      </c>
      <c r="CA189" s="55">
        <v>46174</v>
      </c>
      <c r="CB189" s="1">
        <f>IF(IND_JUNIO_2026[[#This Row],[IND_CANTFalta]]=1,0,IF(1-(IND_JUNIO_2026[[#This Row],[IND_Tardanza Tiempo]]*100%/0.166666666666667)&lt;0,0,1-(IND_JUNIO_2026[[#This Row],[IND_Tardanza Tiempo]]*100%/0.166666666666667)))</f>
        <v>0.93958333333333344</v>
      </c>
      <c r="CC189" s="45"/>
      <c r="CD189" s="93">
        <v>1.0069444444444445E-2</v>
      </c>
      <c r="CE189">
        <v>22</v>
      </c>
      <c r="CF189">
        <v>4</v>
      </c>
      <c r="CG189" s="1">
        <f>IFERROR(IND_JUNIO_2026[[#This Row],[IND_PDP]]/IND_JUNIO_2026[[#This Row],[IND_CEF Unico]],"")</f>
        <v>0.18181818181818182</v>
      </c>
      <c r="CH189">
        <v>3176</v>
      </c>
      <c r="CI189">
        <v>2100</v>
      </c>
      <c r="CJ189" s="1">
        <f>IFERROR(IND_JUNIO_2026[[#This Row],[IND_Recupero]]/IND_JUNIO_2026[[#This Row],[IND_MontoPDP]],"")</f>
        <v>0.66120906801007562</v>
      </c>
      <c r="CK189" s="1" t="str">
        <f>IFERROR(IND_JUNIO_2026[[#This Row],[IND_MontoPDP]]/IND_JUNIO_2026[[#This Row],[DK]],"")</f>
        <v/>
      </c>
      <c r="CL189" t="s">
        <v>548</v>
      </c>
      <c r="CM189">
        <f>IFERROR(IND_JUNIO_2026[[#This Row],[IND_MontoPDP]]/IND_JUNIO_2026[[#This Row],[IND_PDP]],"")</f>
        <v>794</v>
      </c>
    </row>
    <row r="190" spans="76:91" x14ac:dyDescent="0.25">
      <c r="BX190" s="45" t="s">
        <v>636</v>
      </c>
      <c r="BY190" s="45" t="s">
        <v>2</v>
      </c>
      <c r="BZ190" s="45" t="s">
        <v>81</v>
      </c>
      <c r="CA190" s="55">
        <v>46174</v>
      </c>
      <c r="CB190" s="1">
        <f>IF(IND_JUNIO_2026[[#This Row],[IND_CANTFalta]]=1,0,IF(1-(IND_JUNIO_2026[[#This Row],[IND_Tardanza Tiempo]]*100%/0.166666666666667)&lt;0,0,1-(IND_JUNIO_2026[[#This Row],[IND_Tardanza Tiempo]]*100%/0.166666666666667)))</f>
        <v>0</v>
      </c>
      <c r="CC190" s="45">
        <v>1</v>
      </c>
      <c r="CD190" s="93">
        <v>0</v>
      </c>
      <c r="CG190" s="1" t="str">
        <f>IFERROR(IND_JUNIO_2026[[#This Row],[IND_PDP]]/IND_JUNIO_2026[[#This Row],[IND_CEF Unico]],"")</f>
        <v/>
      </c>
      <c r="CJ190" s="1" t="str">
        <f>IFERROR(IND_JUNIO_2026[[#This Row],[IND_Recupero]]/IND_JUNIO_2026[[#This Row],[IND_MontoPDP]],"")</f>
        <v/>
      </c>
      <c r="CK190" s="1" t="str">
        <f>IFERROR(IND_JUNIO_2026[[#This Row],[IND_MontoPDP]]/IND_JUNIO_2026[[#This Row],[DK]],"")</f>
        <v/>
      </c>
      <c r="CL190" t="s">
        <v>548</v>
      </c>
      <c r="CM190" t="str">
        <f>IFERROR(IND_JUNIO_2026[[#This Row],[IND_MontoPDP]]/IND_JUNIO_2026[[#This Row],[IND_PDP]],"")</f>
        <v/>
      </c>
    </row>
    <row r="191" spans="76:91" x14ac:dyDescent="0.25">
      <c r="BX191" s="45" t="s">
        <v>636</v>
      </c>
      <c r="BY191" s="45" t="s">
        <v>2</v>
      </c>
      <c r="BZ191" s="45" t="s">
        <v>81</v>
      </c>
      <c r="CA191" s="55">
        <v>46175</v>
      </c>
      <c r="CB191" s="1">
        <f>IF(IND_JUNIO_2026[[#This Row],[IND_CANTFalta]]=1,0,IF(1-(IND_JUNIO_2026[[#This Row],[IND_Tardanza Tiempo]]*100%/0.166666666666667)&lt;0,0,1-(IND_JUNIO_2026[[#This Row],[IND_Tardanza Tiempo]]*100%/0.166666666666667)))</f>
        <v>0</v>
      </c>
      <c r="CC191" s="45">
        <v>1</v>
      </c>
      <c r="CD191" s="93">
        <v>0</v>
      </c>
      <c r="CG191" s="1" t="str">
        <f>IFERROR(IND_JUNIO_2026[[#This Row],[IND_PDP]]/IND_JUNIO_2026[[#This Row],[IND_CEF Unico]],"")</f>
        <v/>
      </c>
      <c r="CJ191" s="1" t="str">
        <f>IFERROR(IND_JUNIO_2026[[#This Row],[IND_Recupero]]/IND_JUNIO_2026[[#This Row],[IND_MontoPDP]],"")</f>
        <v/>
      </c>
      <c r="CK191" s="1" t="str">
        <f>IFERROR(IND_JUNIO_2026[[#This Row],[IND_MontoPDP]]/IND_JUNIO_2026[[#This Row],[DK]],"")</f>
        <v/>
      </c>
      <c r="CL191" t="s">
        <v>548</v>
      </c>
      <c r="CM191" t="str">
        <f>IFERROR(IND_JUNIO_2026[[#This Row],[IND_MontoPDP]]/IND_JUNIO_2026[[#This Row],[IND_PDP]],"")</f>
        <v/>
      </c>
    </row>
    <row r="192" spans="76:91" x14ac:dyDescent="0.25">
      <c r="BX192" s="45" t="s">
        <v>636</v>
      </c>
      <c r="BY192" s="45" t="s">
        <v>2</v>
      </c>
      <c r="BZ192" s="45" t="s">
        <v>81</v>
      </c>
      <c r="CA192" s="55">
        <v>46176</v>
      </c>
      <c r="CB192" s="1">
        <f>IF(IND_JUNIO_2026[[#This Row],[IND_CANTFalta]]=1,0,IF(1-(IND_JUNIO_2026[[#This Row],[IND_Tardanza Tiempo]]*100%/0.166666666666667)&lt;0,0,1-(IND_JUNIO_2026[[#This Row],[IND_Tardanza Tiempo]]*100%/0.166666666666667)))</f>
        <v>0</v>
      </c>
      <c r="CC192" s="45">
        <v>1</v>
      </c>
      <c r="CD192" s="93">
        <v>0</v>
      </c>
      <c r="CG192" s="1" t="str">
        <f>IFERROR(IND_JUNIO_2026[[#This Row],[IND_PDP]]/IND_JUNIO_2026[[#This Row],[IND_CEF Unico]],"")</f>
        <v/>
      </c>
      <c r="CJ192" s="1" t="str">
        <f>IFERROR(IND_JUNIO_2026[[#This Row],[IND_Recupero]]/IND_JUNIO_2026[[#This Row],[IND_MontoPDP]],"")</f>
        <v/>
      </c>
      <c r="CK192" s="1" t="str">
        <f>IFERROR(IND_JUNIO_2026[[#This Row],[IND_MontoPDP]]/IND_JUNIO_2026[[#This Row],[DK]],"")</f>
        <v/>
      </c>
      <c r="CL192" t="s">
        <v>548</v>
      </c>
      <c r="CM192" t="str">
        <f>IFERROR(IND_JUNIO_2026[[#This Row],[IND_MontoPDP]]/IND_JUNIO_2026[[#This Row],[IND_PDP]],"")</f>
        <v/>
      </c>
    </row>
    <row r="193" spans="76:91" x14ac:dyDescent="0.25">
      <c r="BX193" s="45" t="s">
        <v>636</v>
      </c>
      <c r="BY193" s="45" t="s">
        <v>2</v>
      </c>
      <c r="BZ193" s="45" t="s">
        <v>81</v>
      </c>
      <c r="CA193" s="55">
        <v>46177</v>
      </c>
      <c r="CB193" s="1">
        <f>IF(IND_JUNIO_2026[[#This Row],[IND_CANTFalta]]=1,0,IF(1-(IND_JUNIO_2026[[#This Row],[IND_Tardanza Tiempo]]*100%/0.166666666666667)&lt;0,0,1-(IND_JUNIO_2026[[#This Row],[IND_Tardanza Tiempo]]*100%/0.166666666666667)))</f>
        <v>0</v>
      </c>
      <c r="CC193" s="45">
        <v>1</v>
      </c>
      <c r="CD193" s="93">
        <v>0</v>
      </c>
      <c r="CG193" s="1" t="str">
        <f>IFERROR(IND_JUNIO_2026[[#This Row],[IND_PDP]]/IND_JUNIO_2026[[#This Row],[IND_CEF Unico]],"")</f>
        <v/>
      </c>
      <c r="CJ193" s="1" t="str">
        <f>IFERROR(IND_JUNIO_2026[[#This Row],[IND_Recupero]]/IND_JUNIO_2026[[#This Row],[IND_MontoPDP]],"")</f>
        <v/>
      </c>
      <c r="CK193" s="1" t="str">
        <f>IFERROR(IND_JUNIO_2026[[#This Row],[IND_MontoPDP]]/IND_JUNIO_2026[[#This Row],[DK]],"")</f>
        <v/>
      </c>
      <c r="CL193" t="s">
        <v>548</v>
      </c>
      <c r="CM193" t="str">
        <f>IFERROR(IND_JUNIO_2026[[#This Row],[IND_MontoPDP]]/IND_JUNIO_2026[[#This Row],[IND_PDP]],"")</f>
        <v/>
      </c>
    </row>
    <row r="194" spans="76:91" x14ac:dyDescent="0.25">
      <c r="BX194" s="45" t="s">
        <v>636</v>
      </c>
      <c r="BY194" s="45" t="s">
        <v>2</v>
      </c>
      <c r="BZ194" s="45" t="s">
        <v>81</v>
      </c>
      <c r="CA194" s="55">
        <v>46178</v>
      </c>
      <c r="CB194" s="1">
        <f>IF(IND_JUNIO_2026[[#This Row],[IND_CANTFalta]]=1,0,IF(1-(IND_JUNIO_2026[[#This Row],[IND_Tardanza Tiempo]]*100%/0.166666666666667)&lt;0,0,1-(IND_JUNIO_2026[[#This Row],[IND_Tardanza Tiempo]]*100%/0.166666666666667)))</f>
        <v>0</v>
      </c>
      <c r="CC194" s="45">
        <v>1</v>
      </c>
      <c r="CD194" s="93">
        <v>0</v>
      </c>
      <c r="CG194" s="1" t="str">
        <f>IFERROR(IND_JUNIO_2026[[#This Row],[IND_PDP]]/IND_JUNIO_2026[[#This Row],[IND_CEF Unico]],"")</f>
        <v/>
      </c>
      <c r="CJ194" s="1" t="str">
        <f>IFERROR(IND_JUNIO_2026[[#This Row],[IND_Recupero]]/IND_JUNIO_2026[[#This Row],[IND_MontoPDP]],"")</f>
        <v/>
      </c>
      <c r="CK194" s="1" t="str">
        <f>IFERROR(IND_JUNIO_2026[[#This Row],[IND_MontoPDP]]/IND_JUNIO_2026[[#This Row],[DK]],"")</f>
        <v/>
      </c>
      <c r="CL194" t="s">
        <v>548</v>
      </c>
      <c r="CM194" t="str">
        <f>IFERROR(IND_JUNIO_2026[[#This Row],[IND_MontoPDP]]/IND_JUNIO_2026[[#This Row],[IND_PDP]],"")</f>
        <v/>
      </c>
    </row>
    <row r="195" spans="76:91" x14ac:dyDescent="0.25">
      <c r="BX195" s="45" t="s">
        <v>636</v>
      </c>
      <c r="BY195" s="45" t="s">
        <v>2</v>
      </c>
      <c r="BZ195" s="45" t="s">
        <v>24</v>
      </c>
      <c r="CA195" s="55">
        <v>46174</v>
      </c>
      <c r="CB195" s="1">
        <f>IF(IND_JUNIO_2026[[#This Row],[IND_CANTFalta]]=1,0,IF(1-(IND_JUNIO_2026[[#This Row],[IND_Tardanza Tiempo]]*100%/0.166666666666667)&lt;0,0,1-(IND_JUNIO_2026[[#This Row],[IND_Tardanza Tiempo]]*100%/0.166666666666667)))</f>
        <v>0.95812500000000012</v>
      </c>
      <c r="CC195" s="45"/>
      <c r="CD195" s="93">
        <v>6.9791666666666665E-3</v>
      </c>
      <c r="CE195">
        <v>43</v>
      </c>
      <c r="CF195">
        <v>11</v>
      </c>
      <c r="CG195" s="1">
        <f>IFERROR(IND_JUNIO_2026[[#This Row],[IND_PDP]]/IND_JUNIO_2026[[#This Row],[IND_CEF Unico]],"")</f>
        <v>0.2558139534883721</v>
      </c>
      <c r="CH195">
        <v>8435</v>
      </c>
      <c r="CI195">
        <v>350</v>
      </c>
      <c r="CJ195" s="1">
        <f>IFERROR(IND_JUNIO_2026[[#This Row],[IND_Recupero]]/IND_JUNIO_2026[[#This Row],[IND_MontoPDP]],"")</f>
        <v>4.1493775933609957E-2</v>
      </c>
      <c r="CK195" s="1" t="str">
        <f>IFERROR(IND_JUNIO_2026[[#This Row],[IND_MontoPDP]]/IND_JUNIO_2026[[#This Row],[DK]],"")</f>
        <v/>
      </c>
      <c r="CL195" t="s">
        <v>548</v>
      </c>
      <c r="CM195">
        <f>IFERROR(IND_JUNIO_2026[[#This Row],[IND_MontoPDP]]/IND_JUNIO_2026[[#This Row],[IND_PDP]],"")</f>
        <v>766.81818181818187</v>
      </c>
    </row>
    <row r="196" spans="76:91" x14ac:dyDescent="0.25">
      <c r="BX196" s="45" t="s">
        <v>636</v>
      </c>
      <c r="BY196" s="45" t="s">
        <v>2</v>
      </c>
      <c r="BZ196" s="45" t="s">
        <v>24</v>
      </c>
      <c r="CA196" s="55">
        <v>46176</v>
      </c>
      <c r="CB196" s="1">
        <f>IF(IND_JUNIO_2026[[#This Row],[IND_CANTFalta]]=1,0,IF(1-(IND_JUNIO_2026[[#This Row],[IND_Tardanza Tiempo]]*100%/0.166666666666667)&lt;0,0,1-(IND_JUNIO_2026[[#This Row],[IND_Tardanza Tiempo]]*100%/0.166666666666667)))</f>
        <v>0.97263888888888894</v>
      </c>
      <c r="CC196" s="45"/>
      <c r="CD196" s="93">
        <v>4.5601851851851853E-3</v>
      </c>
      <c r="CE196">
        <v>30</v>
      </c>
      <c r="CF196">
        <v>1</v>
      </c>
      <c r="CG196" s="1">
        <f>IFERROR(IND_JUNIO_2026[[#This Row],[IND_PDP]]/IND_JUNIO_2026[[#This Row],[IND_CEF Unico]],"")</f>
        <v>3.3333333333333333E-2</v>
      </c>
      <c r="CH196">
        <v>300</v>
      </c>
      <c r="CJ196" s="1">
        <f>IFERROR(IND_JUNIO_2026[[#This Row],[IND_Recupero]]/IND_JUNIO_2026[[#This Row],[IND_MontoPDP]],"")</f>
        <v>0</v>
      </c>
      <c r="CK196" s="1" t="str">
        <f>IFERROR(IND_JUNIO_2026[[#This Row],[IND_MontoPDP]]/IND_JUNIO_2026[[#This Row],[DK]],"")</f>
        <v/>
      </c>
      <c r="CL196" t="s">
        <v>548</v>
      </c>
      <c r="CM196">
        <f>IFERROR(IND_JUNIO_2026[[#This Row],[IND_MontoPDP]]/IND_JUNIO_2026[[#This Row],[IND_PDP]],"")</f>
        <v>300</v>
      </c>
    </row>
    <row r="197" spans="76:91" x14ac:dyDescent="0.25">
      <c r="BX197" s="45" t="s">
        <v>636</v>
      </c>
      <c r="BY197" s="45" t="s">
        <v>2</v>
      </c>
      <c r="BZ197" s="45" t="s">
        <v>24</v>
      </c>
      <c r="CA197" s="55">
        <v>46177</v>
      </c>
      <c r="CB197" s="1">
        <f>IF(IND_JUNIO_2026[[#This Row],[IND_CANTFalta]]=1,0,IF(1-(IND_JUNIO_2026[[#This Row],[IND_Tardanza Tiempo]]*100%/0.166666666666667)&lt;0,0,1-(IND_JUNIO_2026[[#This Row],[IND_Tardanza Tiempo]]*100%/0.166666666666667)))</f>
        <v>0.95090277777777787</v>
      </c>
      <c r="CC197" s="45"/>
      <c r="CD197" s="93">
        <v>8.1828703703703699E-3</v>
      </c>
      <c r="CE197">
        <v>12</v>
      </c>
      <c r="CF197">
        <v>1</v>
      </c>
      <c r="CG197" s="1">
        <f>IFERROR(IND_JUNIO_2026[[#This Row],[IND_PDP]]/IND_JUNIO_2026[[#This Row],[IND_CEF Unico]],"")</f>
        <v>8.3333333333333329E-2</v>
      </c>
      <c r="CH197">
        <v>348</v>
      </c>
      <c r="CJ197" s="1">
        <f>IFERROR(IND_JUNIO_2026[[#This Row],[IND_Recupero]]/IND_JUNIO_2026[[#This Row],[IND_MontoPDP]],"")</f>
        <v>0</v>
      </c>
      <c r="CK197" s="1" t="str">
        <f>IFERROR(IND_JUNIO_2026[[#This Row],[IND_MontoPDP]]/IND_JUNIO_2026[[#This Row],[DK]],"")</f>
        <v/>
      </c>
      <c r="CL197" t="s">
        <v>548</v>
      </c>
      <c r="CM197">
        <f>IFERROR(IND_JUNIO_2026[[#This Row],[IND_MontoPDP]]/IND_JUNIO_2026[[#This Row],[IND_PDP]],"")</f>
        <v>348</v>
      </c>
    </row>
    <row r="198" spans="76:91" x14ac:dyDescent="0.25">
      <c r="BX198" s="45" t="s">
        <v>636</v>
      </c>
      <c r="BY198" s="45" t="s">
        <v>2</v>
      </c>
      <c r="BZ198" s="45" t="s">
        <v>24</v>
      </c>
      <c r="CA198" s="55">
        <v>46178</v>
      </c>
      <c r="CB198" s="1">
        <f>IF(IND_JUNIO_2026[[#This Row],[IND_CANTFalta]]=1,0,IF(1-(IND_JUNIO_2026[[#This Row],[IND_Tardanza Tiempo]]*100%/0.166666666666667)&lt;0,0,1-(IND_JUNIO_2026[[#This Row],[IND_Tardanza Tiempo]]*100%/0.166666666666667)))</f>
        <v>0.9397916666666668</v>
      </c>
      <c r="CC198" s="45"/>
      <c r="CD198" s="93">
        <v>1.0034722222222223E-2</v>
      </c>
      <c r="CE198">
        <v>2</v>
      </c>
      <c r="CG198" s="1">
        <f>IFERROR(IND_JUNIO_2026[[#This Row],[IND_PDP]]/IND_JUNIO_2026[[#This Row],[IND_CEF Unico]],"")</f>
        <v>0</v>
      </c>
      <c r="CJ198" s="1" t="str">
        <f>IFERROR(IND_JUNIO_2026[[#This Row],[IND_Recupero]]/IND_JUNIO_2026[[#This Row],[IND_MontoPDP]],"")</f>
        <v/>
      </c>
      <c r="CK198" s="1" t="str">
        <f>IFERROR(IND_JUNIO_2026[[#This Row],[IND_MontoPDP]]/IND_JUNIO_2026[[#This Row],[DK]],"")</f>
        <v/>
      </c>
      <c r="CL198" t="s">
        <v>548</v>
      </c>
      <c r="CM198" t="str">
        <f>IFERROR(IND_JUNIO_2026[[#This Row],[IND_MontoPDP]]/IND_JUNIO_2026[[#This Row],[IND_PDP]],"")</f>
        <v/>
      </c>
    </row>
    <row r="199" spans="76:91" x14ac:dyDescent="0.25">
      <c r="BX199" s="45" t="s">
        <v>636</v>
      </c>
      <c r="BY199" s="45" t="s">
        <v>2</v>
      </c>
      <c r="BZ199" s="45" t="s">
        <v>13</v>
      </c>
      <c r="CA199" s="55">
        <v>46175</v>
      </c>
      <c r="CB199" s="1">
        <f>IF(IND_JUNIO_2026[[#This Row],[IND_CANTFalta]]=1,0,IF(1-(IND_JUNIO_2026[[#This Row],[IND_Tardanza Tiempo]]*100%/0.166666666666667)&lt;0,0,1-(IND_JUNIO_2026[[#This Row],[IND_Tardanza Tiempo]]*100%/0.166666666666667)))</f>
        <v>0.92256944444444455</v>
      </c>
      <c r="CC199" s="45"/>
      <c r="CD199" s="93">
        <v>1.2905092592592593E-2</v>
      </c>
      <c r="CE199">
        <v>22</v>
      </c>
      <c r="CF199">
        <v>5</v>
      </c>
      <c r="CG199" s="1">
        <f>IFERROR(IND_JUNIO_2026[[#This Row],[IND_PDP]]/IND_JUNIO_2026[[#This Row],[IND_CEF Unico]],"")</f>
        <v>0.22727272727272727</v>
      </c>
      <c r="CH199">
        <v>8474</v>
      </c>
      <c r="CI199">
        <v>7000</v>
      </c>
      <c r="CJ199" s="1">
        <f>IFERROR(IND_JUNIO_2026[[#This Row],[IND_Recupero]]/IND_JUNIO_2026[[#This Row],[IND_MontoPDP]],"")</f>
        <v>0.82605617181968372</v>
      </c>
      <c r="CK199" s="1">
        <f>IFERROR(IND_JUNIO_2026[[#This Row],[IND_MontoPDP]]/IND_JUNIO_2026[[#This Row],[DK]],"")</f>
        <v>0.13270000000000001</v>
      </c>
      <c r="CL199">
        <v>63858.327053504137</v>
      </c>
      <c r="CM199">
        <f>IFERROR(IND_JUNIO_2026[[#This Row],[IND_MontoPDP]]/IND_JUNIO_2026[[#This Row],[IND_PDP]],"")</f>
        <v>1694.8</v>
      </c>
    </row>
    <row r="200" spans="76:91" x14ac:dyDescent="0.25">
      <c r="BX200" s="45" t="s">
        <v>636</v>
      </c>
      <c r="BY200" s="45" t="s">
        <v>2</v>
      </c>
      <c r="BZ200" s="45" t="s">
        <v>13</v>
      </c>
      <c r="CA200" s="55">
        <v>46176</v>
      </c>
      <c r="CB200" s="1">
        <f>IF(IND_JUNIO_2026[[#This Row],[IND_CANTFalta]]=1,0,IF(1-(IND_JUNIO_2026[[#This Row],[IND_Tardanza Tiempo]]*100%/0.166666666666667)&lt;0,0,1-(IND_JUNIO_2026[[#This Row],[IND_Tardanza Tiempo]]*100%/0.166666666666667)))</f>
        <v>3.1805555555557308E-2</v>
      </c>
      <c r="CC200" s="45"/>
      <c r="CD200" s="93">
        <v>0.16136574074074075</v>
      </c>
      <c r="CE200">
        <v>16</v>
      </c>
      <c r="CG200" s="1">
        <f>IFERROR(IND_JUNIO_2026[[#This Row],[IND_PDP]]/IND_JUNIO_2026[[#This Row],[IND_CEF Unico]],"")</f>
        <v>0</v>
      </c>
      <c r="CJ200" s="1" t="str">
        <f>IFERROR(IND_JUNIO_2026[[#This Row],[IND_Recupero]]/IND_JUNIO_2026[[#This Row],[IND_MontoPDP]],"")</f>
        <v/>
      </c>
      <c r="CK200" s="1" t="str">
        <f>IFERROR(IND_JUNIO_2026[[#This Row],[IND_MontoPDP]]/IND_JUNIO_2026[[#This Row],[DK]],"")</f>
        <v/>
      </c>
      <c r="CL200" t="s">
        <v>548</v>
      </c>
      <c r="CM200" t="str">
        <f>IFERROR(IND_JUNIO_2026[[#This Row],[IND_MontoPDP]]/IND_JUNIO_2026[[#This Row],[IND_PDP]],"")</f>
        <v/>
      </c>
    </row>
    <row r="201" spans="76:91" x14ac:dyDescent="0.25">
      <c r="BX201" s="45" t="s">
        <v>636</v>
      </c>
      <c r="BY201" s="45" t="s">
        <v>2</v>
      </c>
      <c r="BZ201" s="45" t="s">
        <v>13</v>
      </c>
      <c r="CA201" s="55">
        <v>46178</v>
      </c>
      <c r="CB201" s="1">
        <f>IF(IND_JUNIO_2026[[#This Row],[IND_CANTFalta]]=1,0,IF(1-(IND_JUNIO_2026[[#This Row],[IND_Tardanza Tiempo]]*100%/0.166666666666667)&lt;0,0,1-(IND_JUNIO_2026[[#This Row],[IND_Tardanza Tiempo]]*100%/0.166666666666667)))</f>
        <v>0.93625000000000014</v>
      </c>
      <c r="CC201" s="45"/>
      <c r="CD201" s="93">
        <v>1.0625000000000001E-2</v>
      </c>
      <c r="CE201">
        <v>3</v>
      </c>
      <c r="CG201" s="1">
        <f>IFERROR(IND_JUNIO_2026[[#This Row],[IND_PDP]]/IND_JUNIO_2026[[#This Row],[IND_CEF Unico]],"")</f>
        <v>0</v>
      </c>
      <c r="CJ201" s="1" t="str">
        <f>IFERROR(IND_JUNIO_2026[[#This Row],[IND_Recupero]]/IND_JUNIO_2026[[#This Row],[IND_MontoPDP]],"")</f>
        <v/>
      </c>
      <c r="CK201" s="1" t="str">
        <f>IFERROR(IND_JUNIO_2026[[#This Row],[IND_MontoPDP]]/IND_JUNIO_2026[[#This Row],[DK]],"")</f>
        <v/>
      </c>
      <c r="CL201" t="s">
        <v>548</v>
      </c>
      <c r="CM201" t="str">
        <f>IFERROR(IND_JUNIO_2026[[#This Row],[IND_MontoPDP]]/IND_JUNIO_2026[[#This Row],[IND_PDP]],"")</f>
        <v/>
      </c>
    </row>
    <row r="202" spans="76:91" x14ac:dyDescent="0.25">
      <c r="BX202" s="45" t="s">
        <v>636</v>
      </c>
      <c r="BY202" s="45" t="s">
        <v>2</v>
      </c>
      <c r="BZ202" s="45" t="s">
        <v>25</v>
      </c>
      <c r="CA202" s="55">
        <v>46174</v>
      </c>
      <c r="CB202" s="1">
        <f>IF(IND_JUNIO_2026[[#This Row],[IND_CANTFalta]]=1,0,IF(1-(IND_JUNIO_2026[[#This Row],[IND_Tardanza Tiempo]]*100%/0.166666666666667)&lt;0,0,1-(IND_JUNIO_2026[[#This Row],[IND_Tardanza Tiempo]]*100%/0.166666666666667)))</f>
        <v>0.97895833333333337</v>
      </c>
      <c r="CC202" s="45"/>
      <c r="CD202" s="93">
        <v>3.5069444444444445E-3</v>
      </c>
      <c r="CE202">
        <v>34</v>
      </c>
      <c r="CF202">
        <v>7</v>
      </c>
      <c r="CG202" s="1">
        <f>IFERROR(IND_JUNIO_2026[[#This Row],[IND_PDP]]/IND_JUNIO_2026[[#This Row],[IND_CEF Unico]],"")</f>
        <v>0.20588235294117646</v>
      </c>
      <c r="CH202">
        <v>8304</v>
      </c>
      <c r="CJ202" s="1">
        <f>IFERROR(IND_JUNIO_2026[[#This Row],[IND_Recupero]]/IND_JUNIO_2026[[#This Row],[IND_MontoPDP]],"")</f>
        <v>0</v>
      </c>
      <c r="CK202" s="1" t="str">
        <f>IFERROR(IND_JUNIO_2026[[#This Row],[IND_MontoPDP]]/IND_JUNIO_2026[[#This Row],[DK]],"")</f>
        <v/>
      </c>
      <c r="CL202" t="s">
        <v>548</v>
      </c>
      <c r="CM202">
        <f>IFERROR(IND_JUNIO_2026[[#This Row],[IND_MontoPDP]]/IND_JUNIO_2026[[#This Row],[IND_PDP]],"")</f>
        <v>1186.2857142857142</v>
      </c>
    </row>
    <row r="203" spans="76:91" x14ac:dyDescent="0.25">
      <c r="BX203" s="45" t="s">
        <v>636</v>
      </c>
      <c r="BY203" s="45" t="s">
        <v>2</v>
      </c>
      <c r="BZ203" s="45" t="s">
        <v>25</v>
      </c>
      <c r="CA203" s="55">
        <v>46177</v>
      </c>
      <c r="CB203" s="1">
        <f>IF(IND_JUNIO_2026[[#This Row],[IND_CANTFalta]]=1,0,IF(1-(IND_JUNIO_2026[[#This Row],[IND_Tardanza Tiempo]]*100%/0.166666666666667)&lt;0,0,1-(IND_JUNIO_2026[[#This Row],[IND_Tardanza Tiempo]]*100%/0.166666666666667)))</f>
        <v>0.49166666666666758</v>
      </c>
      <c r="CC203" s="45"/>
      <c r="CD203" s="93">
        <v>8.4722222222222227E-2</v>
      </c>
      <c r="CE203">
        <v>14</v>
      </c>
      <c r="CG203" s="1">
        <f>IFERROR(IND_JUNIO_2026[[#This Row],[IND_PDP]]/IND_JUNIO_2026[[#This Row],[IND_CEF Unico]],"")</f>
        <v>0</v>
      </c>
      <c r="CJ203" s="1" t="str">
        <f>IFERROR(IND_JUNIO_2026[[#This Row],[IND_Recupero]]/IND_JUNIO_2026[[#This Row],[IND_MontoPDP]],"")</f>
        <v/>
      </c>
      <c r="CK203" s="1" t="str">
        <f>IFERROR(IND_JUNIO_2026[[#This Row],[IND_MontoPDP]]/IND_JUNIO_2026[[#This Row],[DK]],"")</f>
        <v/>
      </c>
      <c r="CL203" t="s">
        <v>548</v>
      </c>
      <c r="CM203" t="str">
        <f>IFERROR(IND_JUNIO_2026[[#This Row],[IND_MontoPDP]]/IND_JUNIO_2026[[#This Row],[IND_PDP]],"")</f>
        <v/>
      </c>
    </row>
    <row r="204" spans="76:91" x14ac:dyDescent="0.25">
      <c r="BX204" s="45" t="s">
        <v>636</v>
      </c>
      <c r="BY204" s="45" t="s">
        <v>2</v>
      </c>
      <c r="BZ204" s="45" t="s">
        <v>25</v>
      </c>
      <c r="CA204" s="55">
        <v>46178</v>
      </c>
      <c r="CB204" s="1">
        <f>IF(IND_JUNIO_2026[[#This Row],[IND_CANTFalta]]=1,0,IF(1-(IND_JUNIO_2026[[#This Row],[IND_Tardanza Tiempo]]*100%/0.166666666666667)&lt;0,0,1-(IND_JUNIO_2026[[#This Row],[IND_Tardanza Tiempo]]*100%/0.166666666666667)))</f>
        <v>0.8431944444444448</v>
      </c>
      <c r="CC204" s="45"/>
      <c r="CD204" s="93">
        <v>2.613425925925926E-2</v>
      </c>
      <c r="CE204">
        <v>4</v>
      </c>
      <c r="CG204" s="1">
        <f>IFERROR(IND_JUNIO_2026[[#This Row],[IND_PDP]]/IND_JUNIO_2026[[#This Row],[IND_CEF Unico]],"")</f>
        <v>0</v>
      </c>
      <c r="CJ204" s="1" t="str">
        <f>IFERROR(IND_JUNIO_2026[[#This Row],[IND_Recupero]]/IND_JUNIO_2026[[#This Row],[IND_MontoPDP]],"")</f>
        <v/>
      </c>
      <c r="CK204" s="1" t="str">
        <f>IFERROR(IND_JUNIO_2026[[#This Row],[IND_MontoPDP]]/IND_JUNIO_2026[[#This Row],[DK]],"")</f>
        <v/>
      </c>
      <c r="CL204" t="s">
        <v>548</v>
      </c>
      <c r="CM204" t="str">
        <f>IFERROR(IND_JUNIO_2026[[#This Row],[IND_MontoPDP]]/IND_JUNIO_2026[[#This Row],[IND_PDP]],"")</f>
        <v/>
      </c>
    </row>
    <row r="205" spans="76:91" x14ac:dyDescent="0.25">
      <c r="BX205" s="45" t="s">
        <v>636</v>
      </c>
      <c r="BY205" s="45" t="s">
        <v>2</v>
      </c>
      <c r="BZ205" s="45" t="s">
        <v>76</v>
      </c>
      <c r="CA205" s="55">
        <v>46174</v>
      </c>
      <c r="CB205" s="1">
        <f>IF(IND_JUNIO_2026[[#This Row],[IND_CANTFalta]]=1,0,IF(1-(IND_JUNIO_2026[[#This Row],[IND_Tardanza Tiempo]]*100%/0.166666666666667)&lt;0,0,1-(IND_JUNIO_2026[[#This Row],[IND_Tardanza Tiempo]]*100%/0.166666666666667)))</f>
        <v>0.83513888888888921</v>
      </c>
      <c r="CC205" s="45"/>
      <c r="CD205" s="93">
        <v>2.7476851851851853E-2</v>
      </c>
      <c r="CE205">
        <v>34</v>
      </c>
      <c r="CF205">
        <v>4</v>
      </c>
      <c r="CG205" s="1">
        <f>IFERROR(IND_JUNIO_2026[[#This Row],[IND_PDP]]/IND_JUNIO_2026[[#This Row],[IND_CEF Unico]],"")</f>
        <v>0.11764705882352941</v>
      </c>
      <c r="CH205">
        <v>4646</v>
      </c>
      <c r="CJ205" s="1">
        <f>IFERROR(IND_JUNIO_2026[[#This Row],[IND_Recupero]]/IND_JUNIO_2026[[#This Row],[IND_MontoPDP]],"")</f>
        <v>0</v>
      </c>
      <c r="CK205" s="1" t="str">
        <f>IFERROR(IND_JUNIO_2026[[#This Row],[IND_MontoPDP]]/IND_JUNIO_2026[[#This Row],[DK]],"")</f>
        <v/>
      </c>
      <c r="CL205" t="s">
        <v>548</v>
      </c>
      <c r="CM205">
        <f>IFERROR(IND_JUNIO_2026[[#This Row],[IND_MontoPDP]]/IND_JUNIO_2026[[#This Row],[IND_PDP]],"")</f>
        <v>1161.5</v>
      </c>
    </row>
    <row r="206" spans="76:91" x14ac:dyDescent="0.25">
      <c r="BX206" s="45" t="s">
        <v>636</v>
      </c>
      <c r="BY206" s="45" t="s">
        <v>2</v>
      </c>
      <c r="BZ206" s="45" t="s">
        <v>76</v>
      </c>
      <c r="CA206" s="55">
        <v>46175</v>
      </c>
      <c r="CB206" s="1">
        <f>IF(IND_JUNIO_2026[[#This Row],[IND_CANTFalta]]=1,0,IF(1-(IND_JUNIO_2026[[#This Row],[IND_Tardanza Tiempo]]*100%/0.166666666666667)&lt;0,0,1-(IND_JUNIO_2026[[#This Row],[IND_Tardanza Tiempo]]*100%/0.166666666666667)))</f>
        <v>0.94444444444444453</v>
      </c>
      <c r="CC206" s="45"/>
      <c r="CD206" s="93">
        <v>9.2592592592592587E-3</v>
      </c>
      <c r="CE206">
        <v>24</v>
      </c>
      <c r="CF206">
        <v>2</v>
      </c>
      <c r="CG206" s="1">
        <f>IFERROR(IND_JUNIO_2026[[#This Row],[IND_PDP]]/IND_JUNIO_2026[[#This Row],[IND_CEF Unico]],"")</f>
        <v>8.3333333333333329E-2</v>
      </c>
      <c r="CH206">
        <v>2618</v>
      </c>
      <c r="CI206">
        <v>1034</v>
      </c>
      <c r="CJ206" s="1">
        <f>IFERROR(IND_JUNIO_2026[[#This Row],[IND_Recupero]]/IND_JUNIO_2026[[#This Row],[IND_MontoPDP]],"")</f>
        <v>0.3949579831932773</v>
      </c>
      <c r="CK206" s="1" t="str">
        <f>IFERROR(IND_JUNIO_2026[[#This Row],[IND_MontoPDP]]/IND_JUNIO_2026[[#This Row],[DK]],"")</f>
        <v/>
      </c>
      <c r="CL206" t="s">
        <v>548</v>
      </c>
      <c r="CM206">
        <f>IFERROR(IND_JUNIO_2026[[#This Row],[IND_MontoPDP]]/IND_JUNIO_2026[[#This Row],[IND_PDP]],"")</f>
        <v>1309</v>
      </c>
    </row>
    <row r="207" spans="76:91" x14ac:dyDescent="0.25">
      <c r="BX207" s="45" t="s">
        <v>636</v>
      </c>
      <c r="BY207" s="45" t="s">
        <v>2</v>
      </c>
      <c r="BZ207" s="45" t="s">
        <v>76</v>
      </c>
      <c r="CA207" s="55">
        <v>46176</v>
      </c>
      <c r="CB207" s="1">
        <f>IF(IND_JUNIO_2026[[#This Row],[IND_CANTFalta]]=1,0,IF(1-(IND_JUNIO_2026[[#This Row],[IND_Tardanza Tiempo]]*100%/0.166666666666667)&lt;0,0,1-(IND_JUNIO_2026[[#This Row],[IND_Tardanza Tiempo]]*100%/0.166666666666667)))</f>
        <v>0.92909722222222235</v>
      </c>
      <c r="CC207" s="45"/>
      <c r="CD207" s="93">
        <v>1.1817129629629629E-2</v>
      </c>
      <c r="CE207">
        <v>30</v>
      </c>
      <c r="CF207">
        <v>1</v>
      </c>
      <c r="CG207" s="1">
        <f>IFERROR(IND_JUNIO_2026[[#This Row],[IND_PDP]]/IND_JUNIO_2026[[#This Row],[IND_CEF Unico]],"")</f>
        <v>3.3333333333333333E-2</v>
      </c>
      <c r="CH207">
        <v>483</v>
      </c>
      <c r="CJ207" s="1">
        <f>IFERROR(IND_JUNIO_2026[[#This Row],[IND_Recupero]]/IND_JUNIO_2026[[#This Row],[IND_MontoPDP]],"")</f>
        <v>0</v>
      </c>
      <c r="CK207" s="1" t="str">
        <f>IFERROR(IND_JUNIO_2026[[#This Row],[IND_MontoPDP]]/IND_JUNIO_2026[[#This Row],[DK]],"")</f>
        <v/>
      </c>
      <c r="CL207" t="s">
        <v>548</v>
      </c>
      <c r="CM207">
        <f>IFERROR(IND_JUNIO_2026[[#This Row],[IND_MontoPDP]]/IND_JUNIO_2026[[#This Row],[IND_PDP]],"")</f>
        <v>483</v>
      </c>
    </row>
    <row r="208" spans="76:91" x14ac:dyDescent="0.25">
      <c r="BX208" s="45" t="s">
        <v>636</v>
      </c>
      <c r="BY208" s="45" t="s">
        <v>6</v>
      </c>
      <c r="BZ208" s="45" t="s">
        <v>105</v>
      </c>
      <c r="CA208" s="55">
        <v>46176</v>
      </c>
      <c r="CB208" s="1">
        <f>IF(IND_JUNIO_2026[[#This Row],[IND_CANTFalta]]=1,0,IF(1-(IND_JUNIO_2026[[#This Row],[IND_Tardanza Tiempo]]*100%/0.166666666666667)&lt;0,0,1-(IND_JUNIO_2026[[#This Row],[IND_Tardanza Tiempo]]*100%/0.166666666666667)))</f>
        <v>0.90090277777777794</v>
      </c>
      <c r="CC208" s="45"/>
      <c r="CD208" s="93">
        <v>1.6516203703703703E-2</v>
      </c>
      <c r="CE208">
        <v>15</v>
      </c>
      <c r="CF208">
        <v>1</v>
      </c>
      <c r="CG208" s="1">
        <f>IFERROR(IND_JUNIO_2026[[#This Row],[IND_PDP]]/IND_JUNIO_2026[[#This Row],[IND_CEF Unico]],"")</f>
        <v>6.6666666666666666E-2</v>
      </c>
      <c r="CH208">
        <v>3500</v>
      </c>
      <c r="CJ208" s="1">
        <f>IFERROR(IND_JUNIO_2026[[#This Row],[IND_Recupero]]/IND_JUNIO_2026[[#This Row],[IND_MontoPDP]],"")</f>
        <v>0</v>
      </c>
      <c r="CK208" s="1" t="str">
        <f>IFERROR(IND_JUNIO_2026[[#This Row],[IND_MontoPDP]]/IND_JUNIO_2026[[#This Row],[DK]],"")</f>
        <v/>
      </c>
      <c r="CL208" t="s">
        <v>548</v>
      </c>
      <c r="CM208">
        <f>IFERROR(IND_JUNIO_2026[[#This Row],[IND_MontoPDP]]/IND_JUNIO_2026[[#This Row],[IND_PDP]],"")</f>
        <v>3500</v>
      </c>
    </row>
    <row r="209" spans="76:91" x14ac:dyDescent="0.25">
      <c r="BX209" s="45" t="s">
        <v>636</v>
      </c>
      <c r="BY209" s="45" t="s">
        <v>6</v>
      </c>
      <c r="BZ209" s="45" t="s">
        <v>105</v>
      </c>
      <c r="CA209" s="55">
        <v>46178</v>
      </c>
      <c r="CB209" s="1">
        <f>IF(IND_JUNIO_2026[[#This Row],[IND_CANTFalta]]=1,0,IF(1-(IND_JUNIO_2026[[#This Row],[IND_Tardanza Tiempo]]*100%/0.166666666666667)&lt;0,0,1-(IND_JUNIO_2026[[#This Row],[IND_Tardanza Tiempo]]*100%/0.166666666666667)))</f>
        <v>0.97881944444444446</v>
      </c>
      <c r="CC209" s="45"/>
      <c r="CD209" s="93">
        <v>3.5300925925925925E-3</v>
      </c>
      <c r="CE209">
        <v>5</v>
      </c>
      <c r="CG209" s="1">
        <f>IFERROR(IND_JUNIO_2026[[#This Row],[IND_PDP]]/IND_JUNIO_2026[[#This Row],[IND_CEF Unico]],"")</f>
        <v>0</v>
      </c>
      <c r="CJ209" s="1" t="str">
        <f>IFERROR(IND_JUNIO_2026[[#This Row],[IND_Recupero]]/IND_JUNIO_2026[[#This Row],[IND_MontoPDP]],"")</f>
        <v/>
      </c>
      <c r="CK209" s="1" t="str">
        <f>IFERROR(IND_JUNIO_2026[[#This Row],[IND_MontoPDP]]/IND_JUNIO_2026[[#This Row],[DK]],"")</f>
        <v/>
      </c>
      <c r="CL209" t="s">
        <v>548</v>
      </c>
      <c r="CM209" t="str">
        <f>IFERROR(IND_JUNIO_2026[[#This Row],[IND_MontoPDP]]/IND_JUNIO_2026[[#This Row],[IND_PDP]],"")</f>
        <v/>
      </c>
    </row>
    <row r="210" spans="76:91" x14ac:dyDescent="0.25">
      <c r="BX210" s="45" t="s">
        <v>636</v>
      </c>
      <c r="BY210" s="45" t="s">
        <v>6</v>
      </c>
      <c r="BZ210" s="45" t="s">
        <v>38</v>
      </c>
      <c r="CA210" s="55">
        <v>46174</v>
      </c>
      <c r="CB210" s="1">
        <f>IF(IND_JUNIO_2026[[#This Row],[IND_CANTFalta]]=1,0,IF(1-(IND_JUNIO_2026[[#This Row],[IND_Tardanza Tiempo]]*100%/0.166666666666667)&lt;0,0,1-(IND_JUNIO_2026[[#This Row],[IND_Tardanza Tiempo]]*100%/0.166666666666667)))</f>
        <v>0.99506944444444445</v>
      </c>
      <c r="CC210" s="45"/>
      <c r="CD210" s="93">
        <v>8.2175925925925927E-4</v>
      </c>
      <c r="CE210">
        <v>31</v>
      </c>
      <c r="CF210">
        <v>8</v>
      </c>
      <c r="CG210" s="1">
        <f>IFERROR(IND_JUNIO_2026[[#This Row],[IND_PDP]]/IND_JUNIO_2026[[#This Row],[IND_CEF Unico]],"")</f>
        <v>0.25806451612903225</v>
      </c>
      <c r="CH210">
        <v>4160</v>
      </c>
      <c r="CJ210" s="1">
        <f>IFERROR(IND_JUNIO_2026[[#This Row],[IND_Recupero]]/IND_JUNIO_2026[[#This Row],[IND_MontoPDP]],"")</f>
        <v>0</v>
      </c>
      <c r="CK210" s="1" t="str">
        <f>IFERROR(IND_JUNIO_2026[[#This Row],[IND_MontoPDP]]/IND_JUNIO_2026[[#This Row],[DK]],"")</f>
        <v/>
      </c>
      <c r="CL210" t="s">
        <v>548</v>
      </c>
      <c r="CM210">
        <f>IFERROR(IND_JUNIO_2026[[#This Row],[IND_MontoPDP]]/IND_JUNIO_2026[[#This Row],[IND_PDP]],"")</f>
        <v>520</v>
      </c>
    </row>
    <row r="211" spans="76:91" x14ac:dyDescent="0.25">
      <c r="BX211" s="45" t="s">
        <v>636</v>
      </c>
      <c r="BY211" s="45" t="s">
        <v>7</v>
      </c>
      <c r="BZ211" s="45" t="s">
        <v>600</v>
      </c>
      <c r="CA211" s="55">
        <v>46174</v>
      </c>
      <c r="CB211" s="1">
        <f>IF(IND_JUNIO_2026[[#This Row],[IND_CANTFalta]]=1,0,IF(1-(IND_JUNIO_2026[[#This Row],[IND_Tardanza Tiempo]]*100%/0.166666666666667)&lt;0,0,1-(IND_JUNIO_2026[[#This Row],[IND_Tardanza Tiempo]]*100%/0.166666666666667)))</f>
        <v>0.97138888888888897</v>
      </c>
      <c r="CC211" s="45"/>
      <c r="CD211" s="93">
        <v>4.7685185185185183E-3</v>
      </c>
      <c r="CE211">
        <v>37</v>
      </c>
      <c r="CF211">
        <v>1</v>
      </c>
      <c r="CG211" s="1">
        <f>IFERROR(IND_JUNIO_2026[[#This Row],[IND_PDP]]/IND_JUNIO_2026[[#This Row],[IND_CEF Unico]],"")</f>
        <v>2.7027027027027029E-2</v>
      </c>
      <c r="CH211">
        <v>750</v>
      </c>
      <c r="CI211">
        <v>750</v>
      </c>
      <c r="CJ211" s="1">
        <f>IFERROR(IND_JUNIO_2026[[#This Row],[IND_Recupero]]/IND_JUNIO_2026[[#This Row],[IND_MontoPDP]],"")</f>
        <v>1</v>
      </c>
      <c r="CK211" s="1">
        <f>IFERROR(IND_JUNIO_2026[[#This Row],[IND_MontoPDP]]/IND_JUNIO_2026[[#This Row],[DK]],"")</f>
        <v>0.19089999999999999</v>
      </c>
      <c r="CL211">
        <v>3928.7585123101103</v>
      </c>
      <c r="CM211">
        <f>IFERROR(IND_JUNIO_2026[[#This Row],[IND_MontoPDP]]/IND_JUNIO_2026[[#This Row],[IND_PDP]],"")</f>
        <v>750</v>
      </c>
    </row>
    <row r="212" spans="76:91" x14ac:dyDescent="0.25">
      <c r="BX212" s="45" t="s">
        <v>636</v>
      </c>
      <c r="BY212" s="45" t="s">
        <v>7</v>
      </c>
      <c r="BZ212" s="45" t="s">
        <v>51</v>
      </c>
      <c r="CA212" s="55">
        <v>46174</v>
      </c>
      <c r="CB212" s="1">
        <f>IF(IND_JUNIO_2026[[#This Row],[IND_CANTFalta]]=1,0,IF(1-(IND_JUNIO_2026[[#This Row],[IND_Tardanza Tiempo]]*100%/0.166666666666667)&lt;0,0,1-(IND_JUNIO_2026[[#This Row],[IND_Tardanza Tiempo]]*100%/0.166666666666667)))</f>
        <v>0.96916666666666673</v>
      </c>
      <c r="CC212" s="45"/>
      <c r="CD212" s="93">
        <v>5.138888888888889E-3</v>
      </c>
      <c r="CE212">
        <v>18</v>
      </c>
      <c r="CF212">
        <v>1</v>
      </c>
      <c r="CG212" s="1">
        <f>IFERROR(IND_JUNIO_2026[[#This Row],[IND_PDP]]/IND_JUNIO_2026[[#This Row],[IND_CEF Unico]],"")</f>
        <v>5.5555555555555552E-2</v>
      </c>
      <c r="CH212">
        <v>100</v>
      </c>
      <c r="CI212">
        <v>100</v>
      </c>
      <c r="CJ212" s="1">
        <f>IFERROR(IND_JUNIO_2026[[#This Row],[IND_Recupero]]/IND_JUNIO_2026[[#This Row],[IND_MontoPDP]],"")</f>
        <v>1</v>
      </c>
      <c r="CK212" s="1">
        <f>IFERROR(IND_JUNIO_2026[[#This Row],[IND_MontoPDP]]/IND_JUNIO_2026[[#This Row],[DK]],"")</f>
        <v>0.30969999999999998</v>
      </c>
      <c r="CL212">
        <v>322.89312237649341</v>
      </c>
      <c r="CM212">
        <f>IFERROR(IND_JUNIO_2026[[#This Row],[IND_MontoPDP]]/IND_JUNIO_2026[[#This Row],[IND_PDP]],"")</f>
        <v>100</v>
      </c>
    </row>
    <row r="213" spans="76:91" x14ac:dyDescent="0.25">
      <c r="BX213" s="45" t="s">
        <v>636</v>
      </c>
      <c r="BY213" s="45" t="s">
        <v>7</v>
      </c>
      <c r="BZ213" s="45" t="s">
        <v>49</v>
      </c>
      <c r="CA213" s="55">
        <v>46175</v>
      </c>
      <c r="CB213" s="1">
        <f>IF(IND_JUNIO_2026[[#This Row],[IND_CANTFalta]]=1,0,IF(1-(IND_JUNIO_2026[[#This Row],[IND_Tardanza Tiempo]]*100%/0.166666666666667)&lt;0,0,1-(IND_JUNIO_2026[[#This Row],[IND_Tardanza Tiempo]]*100%/0.166666666666667)))</f>
        <v>0.96493055555555562</v>
      </c>
      <c r="CC213" s="45"/>
      <c r="CD213" s="93">
        <v>5.8449074074074072E-3</v>
      </c>
      <c r="CE213">
        <v>16</v>
      </c>
      <c r="CF213">
        <v>3</v>
      </c>
      <c r="CG213" s="1">
        <f>IFERROR(IND_JUNIO_2026[[#This Row],[IND_PDP]]/IND_JUNIO_2026[[#This Row],[IND_CEF Unico]],"")</f>
        <v>0.1875</v>
      </c>
      <c r="CH213">
        <v>1100</v>
      </c>
      <c r="CJ213" s="1">
        <f>IFERROR(IND_JUNIO_2026[[#This Row],[IND_Recupero]]/IND_JUNIO_2026[[#This Row],[IND_MontoPDP]],"")</f>
        <v>0</v>
      </c>
      <c r="CK213" s="1" t="str">
        <f>IFERROR(IND_JUNIO_2026[[#This Row],[IND_MontoPDP]]/IND_JUNIO_2026[[#This Row],[DK]],"")</f>
        <v/>
      </c>
      <c r="CL213" t="s">
        <v>548</v>
      </c>
      <c r="CM213">
        <f>IFERROR(IND_JUNIO_2026[[#This Row],[IND_MontoPDP]]/IND_JUNIO_2026[[#This Row],[IND_PDP]],"")</f>
        <v>366.66666666666669</v>
      </c>
    </row>
    <row r="214" spans="76:91" x14ac:dyDescent="0.25">
      <c r="BX214" s="45" t="s">
        <v>636</v>
      </c>
      <c r="BY214" s="45" t="s">
        <v>7</v>
      </c>
      <c r="BZ214" s="45" t="s">
        <v>49</v>
      </c>
      <c r="CA214" s="55">
        <v>46177</v>
      </c>
      <c r="CB214" s="1">
        <f>IF(IND_JUNIO_2026[[#This Row],[IND_CANTFalta]]=1,0,IF(1-(IND_JUNIO_2026[[#This Row],[IND_Tardanza Tiempo]]*100%/0.166666666666667)&lt;0,0,1-(IND_JUNIO_2026[[#This Row],[IND_Tardanza Tiempo]]*100%/0.166666666666667)))</f>
        <v>0.94736111111111121</v>
      </c>
      <c r="CC214" s="45"/>
      <c r="CD214" s="93">
        <v>8.773148148148148E-3</v>
      </c>
      <c r="CE214">
        <v>13</v>
      </c>
      <c r="CG214" s="1">
        <f>IFERROR(IND_JUNIO_2026[[#This Row],[IND_PDP]]/IND_JUNIO_2026[[#This Row],[IND_CEF Unico]],"")</f>
        <v>0</v>
      </c>
      <c r="CJ214" s="1" t="str">
        <f>IFERROR(IND_JUNIO_2026[[#This Row],[IND_Recupero]]/IND_JUNIO_2026[[#This Row],[IND_MontoPDP]],"")</f>
        <v/>
      </c>
      <c r="CK214" s="1" t="str">
        <f>IFERROR(IND_JUNIO_2026[[#This Row],[IND_MontoPDP]]/IND_JUNIO_2026[[#This Row],[DK]],"")</f>
        <v/>
      </c>
      <c r="CL214" t="s">
        <v>548</v>
      </c>
      <c r="CM214" t="str">
        <f>IFERROR(IND_JUNIO_2026[[#This Row],[IND_MontoPDP]]/IND_JUNIO_2026[[#This Row],[IND_PDP]],"")</f>
        <v/>
      </c>
    </row>
    <row r="215" spans="76:91" x14ac:dyDescent="0.25">
      <c r="BX215" s="45" t="s">
        <v>636</v>
      </c>
      <c r="BY215" s="45" t="s">
        <v>7</v>
      </c>
      <c r="BZ215" s="45" t="s">
        <v>49</v>
      </c>
      <c r="CA215" s="55">
        <v>46178</v>
      </c>
      <c r="CB215" s="1">
        <f>IF(IND_JUNIO_2026[[#This Row],[IND_CANTFalta]]=1,0,IF(1-(IND_JUNIO_2026[[#This Row],[IND_Tardanza Tiempo]]*100%/0.166666666666667)&lt;0,0,1-(IND_JUNIO_2026[[#This Row],[IND_Tardanza Tiempo]]*100%/0.166666666666667)))</f>
        <v>0.97777777777777786</v>
      </c>
      <c r="CC215" s="45"/>
      <c r="CD215" s="93">
        <v>3.7037037037037038E-3</v>
      </c>
      <c r="CE215">
        <v>5</v>
      </c>
      <c r="CG215" s="1">
        <f>IFERROR(IND_JUNIO_2026[[#This Row],[IND_PDP]]/IND_JUNIO_2026[[#This Row],[IND_CEF Unico]],"")</f>
        <v>0</v>
      </c>
      <c r="CJ215" s="1" t="str">
        <f>IFERROR(IND_JUNIO_2026[[#This Row],[IND_Recupero]]/IND_JUNIO_2026[[#This Row],[IND_MontoPDP]],"")</f>
        <v/>
      </c>
      <c r="CK215" s="1" t="str">
        <f>IFERROR(IND_JUNIO_2026[[#This Row],[IND_MontoPDP]]/IND_JUNIO_2026[[#This Row],[DK]],"")</f>
        <v/>
      </c>
      <c r="CL215" t="s">
        <v>548</v>
      </c>
      <c r="CM215" t="str">
        <f>IFERROR(IND_JUNIO_2026[[#This Row],[IND_MontoPDP]]/IND_JUNIO_2026[[#This Row],[IND_PDP]],"")</f>
        <v/>
      </c>
    </row>
    <row r="216" spans="76:91" x14ac:dyDescent="0.25">
      <c r="BX216" s="45" t="s">
        <v>636</v>
      </c>
      <c r="BY216" s="45" t="s">
        <v>7</v>
      </c>
      <c r="BZ216" s="45" t="s">
        <v>599</v>
      </c>
      <c r="CA216" s="55">
        <v>46174</v>
      </c>
      <c r="CB216" s="1">
        <f>IF(IND_JUNIO_2026[[#This Row],[IND_CANTFalta]]=1,0,IF(1-(IND_JUNIO_2026[[#This Row],[IND_Tardanza Tiempo]]*100%/0.166666666666667)&lt;0,0,1-(IND_JUNIO_2026[[#This Row],[IND_Tardanza Tiempo]]*100%/0.166666666666667)))</f>
        <v>0.95854166666666674</v>
      </c>
      <c r="CC216" s="45"/>
      <c r="CD216" s="93">
        <v>6.9097222222222225E-3</v>
      </c>
      <c r="CE216">
        <v>25</v>
      </c>
      <c r="CF216">
        <v>1</v>
      </c>
      <c r="CG216" s="1">
        <f>IFERROR(IND_JUNIO_2026[[#This Row],[IND_PDP]]/IND_JUNIO_2026[[#This Row],[IND_CEF Unico]],"")</f>
        <v>0.04</v>
      </c>
      <c r="CH216">
        <v>225</v>
      </c>
      <c r="CJ216" s="1">
        <f>IFERROR(IND_JUNIO_2026[[#This Row],[IND_Recupero]]/IND_JUNIO_2026[[#This Row],[IND_MontoPDP]],"")</f>
        <v>0</v>
      </c>
      <c r="CK216" s="1" t="str">
        <f>IFERROR(IND_JUNIO_2026[[#This Row],[IND_MontoPDP]]/IND_JUNIO_2026[[#This Row],[DK]],"")</f>
        <v/>
      </c>
      <c r="CL216" t="s">
        <v>548</v>
      </c>
      <c r="CM216">
        <f>IFERROR(IND_JUNIO_2026[[#This Row],[IND_MontoPDP]]/IND_JUNIO_2026[[#This Row],[IND_PDP]],"")</f>
        <v>225</v>
      </c>
    </row>
    <row r="217" spans="76:91" x14ac:dyDescent="0.25">
      <c r="BX217" s="45" t="s">
        <v>636</v>
      </c>
      <c r="BY217" s="45" t="s">
        <v>7</v>
      </c>
      <c r="BZ217" s="45" t="s">
        <v>599</v>
      </c>
      <c r="CA217" s="55">
        <v>46175</v>
      </c>
      <c r="CB217" s="1">
        <f>IF(IND_JUNIO_2026[[#This Row],[IND_CANTFalta]]=1,0,IF(1-(IND_JUNIO_2026[[#This Row],[IND_Tardanza Tiempo]]*100%/0.166666666666667)&lt;0,0,1-(IND_JUNIO_2026[[#This Row],[IND_Tardanza Tiempo]]*100%/0.166666666666667)))</f>
        <v>0.94958333333333345</v>
      </c>
      <c r="CC217" s="45"/>
      <c r="CD217" s="93">
        <v>8.4027777777777781E-3</v>
      </c>
      <c r="CE217">
        <v>26</v>
      </c>
      <c r="CF217">
        <v>3</v>
      </c>
      <c r="CG217" s="1">
        <f>IFERROR(IND_JUNIO_2026[[#This Row],[IND_PDP]]/IND_JUNIO_2026[[#This Row],[IND_CEF Unico]],"")</f>
        <v>0.11538461538461539</v>
      </c>
      <c r="CH217">
        <v>945</v>
      </c>
      <c r="CI217">
        <v>300</v>
      </c>
      <c r="CJ217" s="1">
        <f>IFERROR(IND_JUNIO_2026[[#This Row],[IND_Recupero]]/IND_JUNIO_2026[[#This Row],[IND_MontoPDP]],"")</f>
        <v>0.31746031746031744</v>
      </c>
      <c r="CK217" s="1">
        <f>IFERROR(IND_JUNIO_2026[[#This Row],[IND_MontoPDP]]/IND_JUNIO_2026[[#This Row],[DK]],"")</f>
        <v>0.16550000000000001</v>
      </c>
      <c r="CL217">
        <v>5709.9697885196374</v>
      </c>
      <c r="CM217">
        <f>IFERROR(IND_JUNIO_2026[[#This Row],[IND_MontoPDP]]/IND_JUNIO_2026[[#This Row],[IND_PDP]],"")</f>
        <v>315</v>
      </c>
    </row>
    <row r="218" spans="76:91" x14ac:dyDescent="0.25">
      <c r="BX218" s="45" t="s">
        <v>636</v>
      </c>
      <c r="BY218" s="45" t="s">
        <v>7</v>
      </c>
      <c r="BZ218" s="45" t="s">
        <v>37</v>
      </c>
      <c r="CA218" s="55">
        <v>46174</v>
      </c>
      <c r="CB218" s="1">
        <f>IF(IND_JUNIO_2026[[#This Row],[IND_CANTFalta]]=1,0,IF(1-(IND_JUNIO_2026[[#This Row],[IND_Tardanza Tiempo]]*100%/0.166666666666667)&lt;0,0,1-(IND_JUNIO_2026[[#This Row],[IND_Tardanza Tiempo]]*100%/0.166666666666667)))</f>
        <v>0.48277777777777886</v>
      </c>
      <c r="CC218" s="45"/>
      <c r="CD218" s="93">
        <v>8.6203703703703699E-2</v>
      </c>
      <c r="CE218">
        <v>25</v>
      </c>
      <c r="CF218">
        <v>2</v>
      </c>
      <c r="CG218" s="1">
        <f>IFERROR(IND_JUNIO_2026[[#This Row],[IND_PDP]]/IND_JUNIO_2026[[#This Row],[IND_CEF Unico]],"")</f>
        <v>0.08</v>
      </c>
      <c r="CH218">
        <v>1450</v>
      </c>
      <c r="CI218">
        <v>225</v>
      </c>
      <c r="CJ218" s="1">
        <f>IFERROR(IND_JUNIO_2026[[#This Row],[IND_Recupero]]/IND_JUNIO_2026[[#This Row],[IND_MontoPDP]],"")</f>
        <v>0.15517241379310345</v>
      </c>
      <c r="CK218" s="1">
        <f>IFERROR(IND_JUNIO_2026[[#This Row],[IND_MontoPDP]]/IND_JUNIO_2026[[#This Row],[DK]],"")</f>
        <v>2.2800000000000001E-2</v>
      </c>
      <c r="CL218">
        <v>63596.491228070176</v>
      </c>
      <c r="CM218">
        <f>IFERROR(IND_JUNIO_2026[[#This Row],[IND_MontoPDP]]/IND_JUNIO_2026[[#This Row],[IND_PDP]],"")</f>
        <v>725</v>
      </c>
    </row>
    <row r="219" spans="76:91" x14ac:dyDescent="0.25">
      <c r="BX219" s="45" t="s">
        <v>636</v>
      </c>
      <c r="BY219" s="45" t="s">
        <v>7</v>
      </c>
      <c r="BZ219" s="45" t="s">
        <v>37</v>
      </c>
      <c r="CA219" s="55">
        <v>46175</v>
      </c>
      <c r="CB219" s="1">
        <f>IF(IND_JUNIO_2026[[#This Row],[IND_CANTFalta]]=1,0,IF(1-(IND_JUNIO_2026[[#This Row],[IND_Tardanza Tiempo]]*100%/0.166666666666667)&lt;0,0,1-(IND_JUNIO_2026[[#This Row],[IND_Tardanza Tiempo]]*100%/0.166666666666667)))</f>
        <v>0.91930555555555571</v>
      </c>
      <c r="CC219" s="45"/>
      <c r="CD219" s="93">
        <v>1.3449074074074073E-2</v>
      </c>
      <c r="CE219">
        <v>50</v>
      </c>
      <c r="CF219">
        <v>3</v>
      </c>
      <c r="CG219" s="1">
        <f>IFERROR(IND_JUNIO_2026[[#This Row],[IND_PDP]]/IND_JUNIO_2026[[#This Row],[IND_CEF Unico]],"")</f>
        <v>0.06</v>
      </c>
      <c r="CH219">
        <v>603</v>
      </c>
      <c r="CI219">
        <v>353</v>
      </c>
      <c r="CJ219" s="1">
        <f>IFERROR(IND_JUNIO_2026[[#This Row],[IND_Recupero]]/IND_JUNIO_2026[[#This Row],[IND_MontoPDP]],"")</f>
        <v>0.58540630182421227</v>
      </c>
      <c r="CK219" s="1">
        <f>IFERROR(IND_JUNIO_2026[[#This Row],[IND_MontoPDP]]/IND_JUNIO_2026[[#This Row],[DK]],"")</f>
        <v>0.50529999999999997</v>
      </c>
      <c r="CL219">
        <v>1193.3504848604789</v>
      </c>
      <c r="CM219">
        <f>IFERROR(IND_JUNIO_2026[[#This Row],[IND_MontoPDP]]/IND_JUNIO_2026[[#This Row],[IND_PDP]],"")</f>
        <v>201</v>
      </c>
    </row>
    <row r="220" spans="76:91" x14ac:dyDescent="0.25">
      <c r="BX220" s="45" t="s">
        <v>636</v>
      </c>
      <c r="BY220" s="45" t="s">
        <v>7</v>
      </c>
      <c r="BZ220" s="45" t="s">
        <v>37</v>
      </c>
      <c r="CA220" s="55">
        <v>46177</v>
      </c>
      <c r="CB220" s="1">
        <f>IF(IND_JUNIO_2026[[#This Row],[IND_CANTFalta]]=1,0,IF(1-(IND_JUNIO_2026[[#This Row],[IND_Tardanza Tiempo]]*100%/0.166666666666667)&lt;0,0,1-(IND_JUNIO_2026[[#This Row],[IND_Tardanza Tiempo]]*100%/0.166666666666667)))</f>
        <v>0.95111111111111124</v>
      </c>
      <c r="CC220" s="45"/>
      <c r="CD220" s="93">
        <v>8.1481481481481474E-3</v>
      </c>
      <c r="CE220">
        <v>30</v>
      </c>
      <c r="CF220">
        <v>3</v>
      </c>
      <c r="CG220" s="1">
        <f>IFERROR(IND_JUNIO_2026[[#This Row],[IND_PDP]]/IND_JUNIO_2026[[#This Row],[IND_CEF Unico]],"")</f>
        <v>0.1</v>
      </c>
      <c r="CH220">
        <v>866</v>
      </c>
      <c r="CJ220" s="1">
        <f>IFERROR(IND_JUNIO_2026[[#This Row],[IND_Recupero]]/IND_JUNIO_2026[[#This Row],[IND_MontoPDP]],"")</f>
        <v>0</v>
      </c>
      <c r="CK220" s="1" t="str">
        <f>IFERROR(IND_JUNIO_2026[[#This Row],[IND_MontoPDP]]/IND_JUNIO_2026[[#This Row],[DK]],"")</f>
        <v/>
      </c>
      <c r="CL220" t="s">
        <v>548</v>
      </c>
      <c r="CM220">
        <f>IFERROR(IND_JUNIO_2026[[#This Row],[IND_MontoPDP]]/IND_JUNIO_2026[[#This Row],[IND_PDP]],"")</f>
        <v>288.66666666666669</v>
      </c>
    </row>
    <row r="221" spans="76:91" x14ac:dyDescent="0.25">
      <c r="BX221" s="45" t="s">
        <v>636</v>
      </c>
      <c r="BY221" s="45" t="s">
        <v>7</v>
      </c>
      <c r="BZ221" s="45" t="s">
        <v>549</v>
      </c>
      <c r="CA221" s="55">
        <v>46175</v>
      </c>
      <c r="CB221" s="1">
        <f>IF(IND_JUNIO_2026[[#This Row],[IND_CANTFalta]]=1,0,IF(1-(IND_JUNIO_2026[[#This Row],[IND_Tardanza Tiempo]]*100%/0.166666666666667)&lt;0,0,1-(IND_JUNIO_2026[[#This Row],[IND_Tardanza Tiempo]]*100%/0.166666666666667)))</f>
        <v>0.9059722222222224</v>
      </c>
      <c r="CC221" s="45"/>
      <c r="CD221" s="93">
        <v>1.5671296296296298E-2</v>
      </c>
      <c r="CE221">
        <v>54</v>
      </c>
      <c r="CF221">
        <v>3</v>
      </c>
      <c r="CG221" s="1">
        <f>IFERROR(IND_JUNIO_2026[[#This Row],[IND_PDP]]/IND_JUNIO_2026[[#This Row],[IND_CEF Unico]],"")</f>
        <v>5.5555555555555552E-2</v>
      </c>
      <c r="CH221">
        <v>462</v>
      </c>
      <c r="CI221">
        <v>250</v>
      </c>
      <c r="CJ221" s="1">
        <f>IFERROR(IND_JUNIO_2026[[#This Row],[IND_Recupero]]/IND_JUNIO_2026[[#This Row],[IND_MontoPDP]],"")</f>
        <v>0.54112554112554112</v>
      </c>
      <c r="CK221" s="1">
        <f>IFERROR(IND_JUNIO_2026[[#This Row],[IND_MontoPDP]]/IND_JUNIO_2026[[#This Row],[DK]],"")</f>
        <v>0.19939999999999999</v>
      </c>
      <c r="CL221">
        <v>2316.950852557673</v>
      </c>
      <c r="CM221">
        <f>IFERROR(IND_JUNIO_2026[[#This Row],[IND_MontoPDP]]/IND_JUNIO_2026[[#This Row],[IND_PDP]],"")</f>
        <v>154</v>
      </c>
    </row>
    <row r="222" spans="76:91" x14ac:dyDescent="0.25">
      <c r="BX222" s="45" t="s">
        <v>636</v>
      </c>
      <c r="BY222" s="45" t="s">
        <v>7</v>
      </c>
      <c r="BZ222" s="45" t="s">
        <v>77</v>
      </c>
      <c r="CA222" s="55">
        <v>46174</v>
      </c>
      <c r="CB222" s="1">
        <f>IF(IND_JUNIO_2026[[#This Row],[IND_CANTFalta]]=1,0,IF(1-(IND_JUNIO_2026[[#This Row],[IND_Tardanza Tiempo]]*100%/0.166666666666667)&lt;0,0,1-(IND_JUNIO_2026[[#This Row],[IND_Tardanza Tiempo]]*100%/0.166666666666667)))</f>
        <v>0.82618055555555592</v>
      </c>
      <c r="CC222" s="45"/>
      <c r="CD222" s="93">
        <v>2.8969907407407406E-2</v>
      </c>
      <c r="CE222">
        <v>37</v>
      </c>
      <c r="CG222" s="1">
        <f>IFERROR(IND_JUNIO_2026[[#This Row],[IND_PDP]]/IND_JUNIO_2026[[#This Row],[IND_CEF Unico]],"")</f>
        <v>0</v>
      </c>
      <c r="CJ222" s="1" t="str">
        <f>IFERROR(IND_JUNIO_2026[[#This Row],[IND_Recupero]]/IND_JUNIO_2026[[#This Row],[IND_MontoPDP]],"")</f>
        <v/>
      </c>
      <c r="CK222" s="1" t="str">
        <f>IFERROR(IND_JUNIO_2026[[#This Row],[IND_MontoPDP]]/IND_JUNIO_2026[[#This Row],[DK]],"")</f>
        <v/>
      </c>
      <c r="CL222" t="s">
        <v>548</v>
      </c>
      <c r="CM222" t="str">
        <f>IFERROR(IND_JUNIO_2026[[#This Row],[IND_MontoPDP]]/IND_JUNIO_2026[[#This Row],[IND_PDP]],"")</f>
        <v/>
      </c>
    </row>
    <row r="223" spans="76:91" x14ac:dyDescent="0.25">
      <c r="BX223" s="45" t="s">
        <v>636</v>
      </c>
      <c r="BY223" s="45" t="s">
        <v>7</v>
      </c>
      <c r="BZ223" s="45" t="s">
        <v>77</v>
      </c>
      <c r="CA223" s="55">
        <v>46177</v>
      </c>
      <c r="CB223" s="1">
        <f>IF(IND_JUNIO_2026[[#This Row],[IND_CANTFalta]]=1,0,IF(1-(IND_JUNIO_2026[[#This Row],[IND_Tardanza Tiempo]]*100%/0.166666666666667)&lt;0,0,1-(IND_JUNIO_2026[[#This Row],[IND_Tardanza Tiempo]]*100%/0.166666666666667)))</f>
        <v>0.95597222222222233</v>
      </c>
      <c r="CC223" s="45"/>
      <c r="CD223" s="93">
        <v>7.3379629629629628E-3</v>
      </c>
      <c r="CE223">
        <v>58</v>
      </c>
      <c r="CF223">
        <v>3</v>
      </c>
      <c r="CG223" s="1">
        <f>IFERROR(IND_JUNIO_2026[[#This Row],[IND_PDP]]/IND_JUNIO_2026[[#This Row],[IND_CEF Unico]],"")</f>
        <v>5.1724137931034482E-2</v>
      </c>
      <c r="CH223">
        <v>2645</v>
      </c>
      <c r="CJ223" s="1">
        <f>IFERROR(IND_JUNIO_2026[[#This Row],[IND_Recupero]]/IND_JUNIO_2026[[#This Row],[IND_MontoPDP]],"")</f>
        <v>0</v>
      </c>
      <c r="CK223" s="1" t="str">
        <f>IFERROR(IND_JUNIO_2026[[#This Row],[IND_MontoPDP]]/IND_JUNIO_2026[[#This Row],[DK]],"")</f>
        <v/>
      </c>
      <c r="CL223" t="s">
        <v>548</v>
      </c>
      <c r="CM223">
        <f>IFERROR(IND_JUNIO_2026[[#This Row],[IND_MontoPDP]]/IND_JUNIO_2026[[#This Row],[IND_PDP]],"")</f>
        <v>881.66666666666663</v>
      </c>
    </row>
    <row r="224" spans="76:91" x14ac:dyDescent="0.25">
      <c r="BX224" s="45" t="s">
        <v>636</v>
      </c>
      <c r="BY224" s="45" t="s">
        <v>7</v>
      </c>
      <c r="BZ224" s="45" t="s">
        <v>630</v>
      </c>
      <c r="CA224" s="55">
        <v>46175</v>
      </c>
      <c r="CB224" s="1">
        <f>IF(IND_JUNIO_2026[[#This Row],[IND_CANTFalta]]=1,0,IF(1-(IND_JUNIO_2026[[#This Row],[IND_Tardanza Tiempo]]*100%/0.166666666666667)&lt;0,0,1-(IND_JUNIO_2026[[#This Row],[IND_Tardanza Tiempo]]*100%/0.166666666666667)))</f>
        <v>0</v>
      </c>
      <c r="CC224" s="45"/>
      <c r="CD224" s="93">
        <v>0.21697916666666667</v>
      </c>
      <c r="CE224">
        <v>10</v>
      </c>
      <c r="CG224" s="1">
        <f>IFERROR(IND_JUNIO_2026[[#This Row],[IND_PDP]]/IND_JUNIO_2026[[#This Row],[IND_CEF Unico]],"")</f>
        <v>0</v>
      </c>
      <c r="CJ224" s="1" t="str">
        <f>IFERROR(IND_JUNIO_2026[[#This Row],[IND_Recupero]]/IND_JUNIO_2026[[#This Row],[IND_MontoPDP]],"")</f>
        <v/>
      </c>
      <c r="CK224" s="1" t="str">
        <f>IFERROR(IND_JUNIO_2026[[#This Row],[IND_MontoPDP]]/IND_JUNIO_2026[[#This Row],[DK]],"")</f>
        <v/>
      </c>
      <c r="CL224" t="s">
        <v>548</v>
      </c>
      <c r="CM224" t="str">
        <f>IFERROR(IND_JUNIO_2026[[#This Row],[IND_MontoPDP]]/IND_JUNIO_2026[[#This Row],[IND_PDP]],"")</f>
        <v/>
      </c>
    </row>
    <row r="225" spans="76:91" x14ac:dyDescent="0.25">
      <c r="BX225" s="45" t="s">
        <v>636</v>
      </c>
      <c r="BY225" s="45" t="s">
        <v>7</v>
      </c>
      <c r="BZ225" s="45" t="s">
        <v>630</v>
      </c>
      <c r="CA225" s="55">
        <v>46176</v>
      </c>
      <c r="CB225" s="1">
        <f>IF(IND_JUNIO_2026[[#This Row],[IND_CANTFalta]]=1,0,IF(1-(IND_JUNIO_2026[[#This Row],[IND_Tardanza Tiempo]]*100%/0.166666666666667)&lt;0,0,1-(IND_JUNIO_2026[[#This Row],[IND_Tardanza Tiempo]]*100%/0.166666666666667)))</f>
        <v>0.93680555555555567</v>
      </c>
      <c r="CC225" s="45"/>
      <c r="CD225" s="93">
        <v>1.0532407407407407E-2</v>
      </c>
      <c r="CE225">
        <v>37</v>
      </c>
      <c r="CG225" s="1">
        <f>IFERROR(IND_JUNIO_2026[[#This Row],[IND_PDP]]/IND_JUNIO_2026[[#This Row],[IND_CEF Unico]],"")</f>
        <v>0</v>
      </c>
      <c r="CJ225" s="1" t="str">
        <f>IFERROR(IND_JUNIO_2026[[#This Row],[IND_Recupero]]/IND_JUNIO_2026[[#This Row],[IND_MontoPDP]],"")</f>
        <v/>
      </c>
      <c r="CK225" s="1" t="str">
        <f>IFERROR(IND_JUNIO_2026[[#This Row],[IND_MontoPDP]]/IND_JUNIO_2026[[#This Row],[DK]],"")</f>
        <v/>
      </c>
      <c r="CL225" t="s">
        <v>548</v>
      </c>
      <c r="CM225" t="str">
        <f>IFERROR(IND_JUNIO_2026[[#This Row],[IND_MontoPDP]]/IND_JUNIO_2026[[#This Row],[IND_PDP]],"")</f>
        <v/>
      </c>
    </row>
    <row r="226" spans="76:91" x14ac:dyDescent="0.25">
      <c r="BX226" s="45" t="s">
        <v>636</v>
      </c>
      <c r="BY226" s="45" t="s">
        <v>7</v>
      </c>
      <c r="BZ226" s="45" t="s">
        <v>630</v>
      </c>
      <c r="CA226" s="55">
        <v>46177</v>
      </c>
      <c r="CB226" s="1">
        <f>IF(IND_JUNIO_2026[[#This Row],[IND_CANTFalta]]=1,0,IF(1-(IND_JUNIO_2026[[#This Row],[IND_Tardanza Tiempo]]*100%/0.166666666666667)&lt;0,0,1-(IND_JUNIO_2026[[#This Row],[IND_Tardanza Tiempo]]*100%/0.166666666666667)))</f>
        <v>0.92708333333333348</v>
      </c>
      <c r="CC226" s="45"/>
      <c r="CD226" s="93">
        <v>1.2152777777777778E-2</v>
      </c>
      <c r="CE226">
        <v>36</v>
      </c>
      <c r="CF226">
        <v>1</v>
      </c>
      <c r="CG226" s="1">
        <f>IFERROR(IND_JUNIO_2026[[#This Row],[IND_PDP]]/IND_JUNIO_2026[[#This Row],[IND_CEF Unico]],"")</f>
        <v>2.7777777777777776E-2</v>
      </c>
      <c r="CH226">
        <v>160</v>
      </c>
      <c r="CJ226" s="1">
        <f>IFERROR(IND_JUNIO_2026[[#This Row],[IND_Recupero]]/IND_JUNIO_2026[[#This Row],[IND_MontoPDP]],"")</f>
        <v>0</v>
      </c>
      <c r="CK226" s="1" t="str">
        <f>IFERROR(IND_JUNIO_2026[[#This Row],[IND_MontoPDP]]/IND_JUNIO_2026[[#This Row],[DK]],"")</f>
        <v/>
      </c>
      <c r="CL226" t="s">
        <v>548</v>
      </c>
      <c r="CM226">
        <f>IFERROR(IND_JUNIO_2026[[#This Row],[IND_MontoPDP]]/IND_JUNIO_2026[[#This Row],[IND_PDP]],"")</f>
        <v>160</v>
      </c>
    </row>
    <row r="227" spans="76:91" x14ac:dyDescent="0.25">
      <c r="BX227" s="45" t="s">
        <v>636</v>
      </c>
      <c r="BY227" s="45" t="s">
        <v>7</v>
      </c>
      <c r="BZ227" s="45" t="s">
        <v>50</v>
      </c>
      <c r="CA227" s="55">
        <v>46174</v>
      </c>
      <c r="CB227" s="1">
        <f>IF(IND_JUNIO_2026[[#This Row],[IND_CANTFalta]]=1,0,IF(1-(IND_JUNIO_2026[[#This Row],[IND_Tardanza Tiempo]]*100%/0.166666666666667)&lt;0,0,1-(IND_JUNIO_2026[[#This Row],[IND_Tardanza Tiempo]]*100%/0.166666666666667)))</f>
        <v>0.78895833333333376</v>
      </c>
      <c r="CC227" s="45"/>
      <c r="CD227" s="93">
        <v>3.5173611111111114E-2</v>
      </c>
      <c r="CE227">
        <v>10</v>
      </c>
      <c r="CF227">
        <v>2</v>
      </c>
      <c r="CG227" s="1">
        <f>IFERROR(IND_JUNIO_2026[[#This Row],[IND_PDP]]/IND_JUNIO_2026[[#This Row],[IND_CEF Unico]],"")</f>
        <v>0.2</v>
      </c>
      <c r="CH227">
        <v>1050</v>
      </c>
      <c r="CJ227" s="1">
        <f>IFERROR(IND_JUNIO_2026[[#This Row],[IND_Recupero]]/IND_JUNIO_2026[[#This Row],[IND_MontoPDP]],"")</f>
        <v>0</v>
      </c>
      <c r="CK227" s="1" t="str">
        <f>IFERROR(IND_JUNIO_2026[[#This Row],[IND_MontoPDP]]/IND_JUNIO_2026[[#This Row],[DK]],"")</f>
        <v/>
      </c>
      <c r="CL227" t="s">
        <v>548</v>
      </c>
      <c r="CM227">
        <f>IFERROR(IND_JUNIO_2026[[#This Row],[IND_MontoPDP]]/IND_JUNIO_2026[[#This Row],[IND_PDP]],"")</f>
        <v>525</v>
      </c>
    </row>
    <row r="228" spans="76:91" x14ac:dyDescent="0.25">
      <c r="BX228" s="45" t="s">
        <v>636</v>
      </c>
      <c r="BY228" s="45" t="s">
        <v>7</v>
      </c>
      <c r="BZ228" s="45" t="s">
        <v>50</v>
      </c>
      <c r="CA228" s="55">
        <v>46175</v>
      </c>
      <c r="CB228" s="1">
        <f>IF(IND_JUNIO_2026[[#This Row],[IND_CANTFalta]]=1,0,IF(1-(IND_JUNIO_2026[[#This Row],[IND_Tardanza Tiempo]]*100%/0.166666666666667)&lt;0,0,1-(IND_JUNIO_2026[[#This Row],[IND_Tardanza Tiempo]]*100%/0.166666666666667)))</f>
        <v>0</v>
      </c>
      <c r="CC228" s="45">
        <v>1</v>
      </c>
      <c r="CD228" s="93">
        <v>0</v>
      </c>
      <c r="CG228" s="1" t="str">
        <f>IFERROR(IND_JUNIO_2026[[#This Row],[IND_PDP]]/IND_JUNIO_2026[[#This Row],[IND_CEF Unico]],"")</f>
        <v/>
      </c>
      <c r="CJ228" s="1" t="str">
        <f>IFERROR(IND_JUNIO_2026[[#This Row],[IND_Recupero]]/IND_JUNIO_2026[[#This Row],[IND_MontoPDP]],"")</f>
        <v/>
      </c>
      <c r="CK228" s="1" t="str">
        <f>IFERROR(IND_JUNIO_2026[[#This Row],[IND_MontoPDP]]/IND_JUNIO_2026[[#This Row],[DK]],"")</f>
        <v/>
      </c>
      <c r="CL228" t="s">
        <v>548</v>
      </c>
      <c r="CM228" t="str">
        <f>IFERROR(IND_JUNIO_2026[[#This Row],[IND_MontoPDP]]/IND_JUNIO_2026[[#This Row],[IND_PDP]],"")</f>
        <v/>
      </c>
    </row>
    <row r="229" spans="76:91" x14ac:dyDescent="0.25">
      <c r="BX229" s="45" t="s">
        <v>636</v>
      </c>
      <c r="BY229" s="45" t="s">
        <v>7</v>
      </c>
      <c r="BZ229" s="45" t="s">
        <v>50</v>
      </c>
      <c r="CA229" s="55">
        <v>46178</v>
      </c>
      <c r="CB229" s="1">
        <f>IF(IND_JUNIO_2026[[#This Row],[IND_CANTFalta]]=1,0,IF(1-(IND_JUNIO_2026[[#This Row],[IND_Tardanza Tiempo]]*100%/0.166666666666667)&lt;0,0,1-(IND_JUNIO_2026[[#This Row],[IND_Tardanza Tiempo]]*100%/0.166666666666667)))</f>
        <v>0.88430555555555579</v>
      </c>
      <c r="CC229" s="45"/>
      <c r="CD229" s="93">
        <v>1.9282407407407408E-2</v>
      </c>
      <c r="CE229">
        <v>8</v>
      </c>
      <c r="CG229" s="1">
        <f>IFERROR(IND_JUNIO_2026[[#This Row],[IND_PDP]]/IND_JUNIO_2026[[#This Row],[IND_CEF Unico]],"")</f>
        <v>0</v>
      </c>
      <c r="CJ229" s="1" t="str">
        <f>IFERROR(IND_JUNIO_2026[[#This Row],[IND_Recupero]]/IND_JUNIO_2026[[#This Row],[IND_MontoPDP]],"")</f>
        <v/>
      </c>
      <c r="CK229" s="1" t="str">
        <f>IFERROR(IND_JUNIO_2026[[#This Row],[IND_MontoPDP]]/IND_JUNIO_2026[[#This Row],[DK]],"")</f>
        <v/>
      </c>
      <c r="CL229" t="s">
        <v>548</v>
      </c>
      <c r="CM229" t="str">
        <f>IFERROR(IND_JUNIO_2026[[#This Row],[IND_MontoPDP]]/IND_JUNIO_2026[[#This Row],[IND_PDP]],"")</f>
        <v/>
      </c>
    </row>
    <row r="230" spans="76:91" x14ac:dyDescent="0.25">
      <c r="BX230" s="45" t="s">
        <v>636</v>
      </c>
      <c r="BY230" s="45" t="s">
        <v>7</v>
      </c>
      <c r="BZ230" s="45" t="s">
        <v>73</v>
      </c>
      <c r="CA230" s="55">
        <v>46174</v>
      </c>
      <c r="CB230" s="1">
        <f>IF(IND_JUNIO_2026[[#This Row],[IND_CANTFalta]]=1,0,IF(1-(IND_JUNIO_2026[[#This Row],[IND_Tardanza Tiempo]]*100%/0.166666666666667)&lt;0,0,1-(IND_JUNIO_2026[[#This Row],[IND_Tardanza Tiempo]]*100%/0.166666666666667)))</f>
        <v>0.88423611111111133</v>
      </c>
      <c r="CC230" s="45"/>
      <c r="CD230" s="93">
        <v>1.9293981481481481E-2</v>
      </c>
      <c r="CE230">
        <v>13</v>
      </c>
      <c r="CG230" s="1">
        <f>IFERROR(IND_JUNIO_2026[[#This Row],[IND_PDP]]/IND_JUNIO_2026[[#This Row],[IND_CEF Unico]],"")</f>
        <v>0</v>
      </c>
      <c r="CJ230" s="1" t="str">
        <f>IFERROR(IND_JUNIO_2026[[#This Row],[IND_Recupero]]/IND_JUNIO_2026[[#This Row],[IND_MontoPDP]],"")</f>
        <v/>
      </c>
      <c r="CK230" s="1" t="str">
        <f>IFERROR(IND_JUNIO_2026[[#This Row],[IND_MontoPDP]]/IND_JUNIO_2026[[#This Row],[DK]],"")</f>
        <v/>
      </c>
      <c r="CL230" t="s">
        <v>548</v>
      </c>
      <c r="CM230" t="str">
        <f>IFERROR(IND_JUNIO_2026[[#This Row],[IND_MontoPDP]]/IND_JUNIO_2026[[#This Row],[IND_PDP]],"")</f>
        <v/>
      </c>
    </row>
    <row r="231" spans="76:91" x14ac:dyDescent="0.25">
      <c r="BX231" s="45" t="s">
        <v>636</v>
      </c>
      <c r="BY231" s="45" t="s">
        <v>7</v>
      </c>
      <c r="BZ231" s="45" t="s">
        <v>73</v>
      </c>
      <c r="CA231" s="55">
        <v>46175</v>
      </c>
      <c r="CB231" s="1">
        <f>IF(IND_JUNIO_2026[[#This Row],[IND_CANTFalta]]=1,0,IF(1-(IND_JUNIO_2026[[#This Row],[IND_Tardanza Tiempo]]*100%/0.166666666666667)&lt;0,0,1-(IND_JUNIO_2026[[#This Row],[IND_Tardanza Tiempo]]*100%/0.166666666666667)))</f>
        <v>0.92784722222222238</v>
      </c>
      <c r="CC231" s="45"/>
      <c r="CD231" s="93">
        <v>1.2025462962962963E-2</v>
      </c>
      <c r="CE231">
        <v>29</v>
      </c>
      <c r="CF231">
        <v>1</v>
      </c>
      <c r="CG231" s="1">
        <f>IFERROR(IND_JUNIO_2026[[#This Row],[IND_PDP]]/IND_JUNIO_2026[[#This Row],[IND_CEF Unico]],"")</f>
        <v>3.4482758620689655E-2</v>
      </c>
      <c r="CH231">
        <v>263</v>
      </c>
      <c r="CJ231" s="1">
        <f>IFERROR(IND_JUNIO_2026[[#This Row],[IND_Recupero]]/IND_JUNIO_2026[[#This Row],[IND_MontoPDP]],"")</f>
        <v>0</v>
      </c>
      <c r="CK231" s="1" t="str">
        <f>IFERROR(IND_JUNIO_2026[[#This Row],[IND_MontoPDP]]/IND_JUNIO_2026[[#This Row],[DK]],"")</f>
        <v/>
      </c>
      <c r="CL231" t="s">
        <v>548</v>
      </c>
      <c r="CM231">
        <f>IFERROR(IND_JUNIO_2026[[#This Row],[IND_MontoPDP]]/IND_JUNIO_2026[[#This Row],[IND_PDP]],"")</f>
        <v>263</v>
      </c>
    </row>
    <row r="232" spans="76:91" x14ac:dyDescent="0.25">
      <c r="BX232" s="45" t="s">
        <v>636</v>
      </c>
      <c r="BY232" s="45" t="s">
        <v>7</v>
      </c>
      <c r="BZ232" s="45" t="s">
        <v>73</v>
      </c>
      <c r="CA232" s="55">
        <v>46177</v>
      </c>
      <c r="CB232" s="1">
        <f>IF(IND_JUNIO_2026[[#This Row],[IND_CANTFalta]]=1,0,IF(1-(IND_JUNIO_2026[[#This Row],[IND_Tardanza Tiempo]]*100%/0.166666666666667)&lt;0,0,1-(IND_JUNIO_2026[[#This Row],[IND_Tardanza Tiempo]]*100%/0.166666666666667)))</f>
        <v>0.92006944444444461</v>
      </c>
      <c r="CC232" s="45"/>
      <c r="CD232" s="93">
        <v>1.3321759259259259E-2</v>
      </c>
      <c r="CE232">
        <v>18</v>
      </c>
      <c r="CF232">
        <v>1</v>
      </c>
      <c r="CG232" s="1">
        <f>IFERROR(IND_JUNIO_2026[[#This Row],[IND_PDP]]/IND_JUNIO_2026[[#This Row],[IND_CEF Unico]],"")</f>
        <v>5.5555555555555552E-2</v>
      </c>
      <c r="CH232">
        <v>220</v>
      </c>
      <c r="CJ232" s="1">
        <f>IFERROR(IND_JUNIO_2026[[#This Row],[IND_Recupero]]/IND_JUNIO_2026[[#This Row],[IND_MontoPDP]],"")</f>
        <v>0</v>
      </c>
      <c r="CK232" s="1" t="str">
        <f>IFERROR(IND_JUNIO_2026[[#This Row],[IND_MontoPDP]]/IND_JUNIO_2026[[#This Row],[DK]],"")</f>
        <v/>
      </c>
      <c r="CL232" t="s">
        <v>548</v>
      </c>
      <c r="CM232">
        <f>IFERROR(IND_JUNIO_2026[[#This Row],[IND_MontoPDP]]/IND_JUNIO_2026[[#This Row],[IND_PDP]],"")</f>
        <v>220</v>
      </c>
    </row>
    <row r="233" spans="76:91" x14ac:dyDescent="0.25">
      <c r="BX233" s="45" t="s">
        <v>636</v>
      </c>
      <c r="BY233" s="45" t="s">
        <v>3</v>
      </c>
      <c r="BZ233" s="45" t="s">
        <v>22</v>
      </c>
      <c r="CA233" s="55">
        <v>46174</v>
      </c>
      <c r="CB233" s="1">
        <f>IF(IND_JUNIO_2026[[#This Row],[IND_CANTFalta]]=1,0,IF(1-(IND_JUNIO_2026[[#This Row],[IND_Tardanza Tiempo]]*100%/0.166666666666667)&lt;0,0,1-(IND_JUNIO_2026[[#This Row],[IND_Tardanza Tiempo]]*100%/0.166666666666667)))</f>
        <v>0.989375</v>
      </c>
      <c r="CC233" s="45"/>
      <c r="CD233" s="93">
        <v>1.7708333333333332E-3</v>
      </c>
      <c r="CE233">
        <v>32</v>
      </c>
      <c r="CF233">
        <v>4</v>
      </c>
      <c r="CG233" s="1">
        <f>IFERROR(IND_JUNIO_2026[[#This Row],[IND_PDP]]/IND_JUNIO_2026[[#This Row],[IND_CEF Unico]],"")</f>
        <v>0.125</v>
      </c>
      <c r="CH233">
        <v>2616</v>
      </c>
      <c r="CI233">
        <v>1400</v>
      </c>
      <c r="CJ233" s="1">
        <f>IFERROR(IND_JUNIO_2026[[#This Row],[IND_Recupero]]/IND_JUNIO_2026[[#This Row],[IND_MontoPDP]],"")</f>
        <v>0.53516819571865448</v>
      </c>
      <c r="CK233" s="1" t="str">
        <f>IFERROR(IND_JUNIO_2026[[#This Row],[IND_MontoPDP]]/IND_JUNIO_2026[[#This Row],[DK]],"")</f>
        <v/>
      </c>
      <c r="CL233" t="s">
        <v>548</v>
      </c>
      <c r="CM233">
        <f>IFERROR(IND_JUNIO_2026[[#This Row],[IND_MontoPDP]]/IND_JUNIO_2026[[#This Row],[IND_PDP]],"")</f>
        <v>654</v>
      </c>
    </row>
    <row r="234" spans="76:91" x14ac:dyDescent="0.25">
      <c r="BX234" s="45" t="s">
        <v>636</v>
      </c>
      <c r="BY234" s="45" t="s">
        <v>3</v>
      </c>
      <c r="BZ234" s="45" t="s">
        <v>22</v>
      </c>
      <c r="CA234" s="55">
        <v>46175</v>
      </c>
      <c r="CB234" s="1">
        <f>IF(IND_JUNIO_2026[[#This Row],[IND_CANTFalta]]=1,0,IF(1-(IND_JUNIO_2026[[#This Row],[IND_Tardanza Tiempo]]*100%/0.166666666666667)&lt;0,0,1-(IND_JUNIO_2026[[#This Row],[IND_Tardanza Tiempo]]*100%/0.166666666666667)))</f>
        <v>0.97312500000000002</v>
      </c>
      <c r="CC234" s="45"/>
      <c r="CD234" s="93">
        <v>4.4791666666666669E-3</v>
      </c>
      <c r="CE234">
        <v>35</v>
      </c>
      <c r="CF234">
        <v>2</v>
      </c>
      <c r="CG234" s="1">
        <f>IFERROR(IND_JUNIO_2026[[#This Row],[IND_PDP]]/IND_JUNIO_2026[[#This Row],[IND_CEF Unico]],"")</f>
        <v>5.7142857142857141E-2</v>
      </c>
      <c r="CH234">
        <v>635</v>
      </c>
      <c r="CJ234" s="1">
        <f>IFERROR(IND_JUNIO_2026[[#This Row],[IND_Recupero]]/IND_JUNIO_2026[[#This Row],[IND_MontoPDP]],"")</f>
        <v>0</v>
      </c>
      <c r="CK234" s="1" t="str">
        <f>IFERROR(IND_JUNIO_2026[[#This Row],[IND_MontoPDP]]/IND_JUNIO_2026[[#This Row],[DK]],"")</f>
        <v/>
      </c>
      <c r="CL234" t="s">
        <v>548</v>
      </c>
      <c r="CM234">
        <f>IFERROR(IND_JUNIO_2026[[#This Row],[IND_MontoPDP]]/IND_JUNIO_2026[[#This Row],[IND_PDP]],"")</f>
        <v>317.5</v>
      </c>
    </row>
    <row r="235" spans="76:91" x14ac:dyDescent="0.25">
      <c r="BX235" s="45" t="s">
        <v>636</v>
      </c>
      <c r="BY235" s="45" t="s">
        <v>3</v>
      </c>
      <c r="BZ235" s="45" t="s">
        <v>22</v>
      </c>
      <c r="CA235" s="55">
        <v>46176</v>
      </c>
      <c r="CB235" s="1">
        <f>IF(IND_JUNIO_2026[[#This Row],[IND_CANTFalta]]=1,0,IF(1-(IND_JUNIO_2026[[#This Row],[IND_Tardanza Tiempo]]*100%/0.166666666666667)&lt;0,0,1-(IND_JUNIO_2026[[#This Row],[IND_Tardanza Tiempo]]*100%/0.166666666666667)))</f>
        <v>0.85597222222222247</v>
      </c>
      <c r="CC235" s="45"/>
      <c r="CD235" s="93">
        <v>2.4004629629629629E-2</v>
      </c>
      <c r="CE235">
        <v>25</v>
      </c>
      <c r="CG235" s="1">
        <f>IFERROR(IND_JUNIO_2026[[#This Row],[IND_PDP]]/IND_JUNIO_2026[[#This Row],[IND_CEF Unico]],"")</f>
        <v>0</v>
      </c>
      <c r="CJ235" s="1" t="str">
        <f>IFERROR(IND_JUNIO_2026[[#This Row],[IND_Recupero]]/IND_JUNIO_2026[[#This Row],[IND_MontoPDP]],"")</f>
        <v/>
      </c>
      <c r="CK235" s="1" t="str">
        <f>IFERROR(IND_JUNIO_2026[[#This Row],[IND_MontoPDP]]/IND_JUNIO_2026[[#This Row],[DK]],"")</f>
        <v/>
      </c>
      <c r="CL235" t="s">
        <v>548</v>
      </c>
      <c r="CM235" t="str">
        <f>IFERROR(IND_JUNIO_2026[[#This Row],[IND_MontoPDP]]/IND_JUNIO_2026[[#This Row],[IND_PDP]],"")</f>
        <v/>
      </c>
    </row>
    <row r="236" spans="76:91" x14ac:dyDescent="0.25">
      <c r="BX236" s="45" t="s">
        <v>636</v>
      </c>
      <c r="BY236" s="45" t="s">
        <v>3</v>
      </c>
      <c r="BZ236" s="45" t="s">
        <v>22</v>
      </c>
      <c r="CA236" s="55">
        <v>46177</v>
      </c>
      <c r="CB236" s="1">
        <f>IF(IND_JUNIO_2026[[#This Row],[IND_CANTFalta]]=1,0,IF(1-(IND_JUNIO_2026[[#This Row],[IND_Tardanza Tiempo]]*100%/0.166666666666667)&lt;0,0,1-(IND_JUNIO_2026[[#This Row],[IND_Tardanza Tiempo]]*100%/0.166666666666667)))</f>
        <v>0.96722222222222232</v>
      </c>
      <c r="CC236" s="45"/>
      <c r="CD236" s="93">
        <v>5.4629629629629629E-3</v>
      </c>
      <c r="CE236">
        <v>20</v>
      </c>
      <c r="CG236" s="1">
        <f>IFERROR(IND_JUNIO_2026[[#This Row],[IND_PDP]]/IND_JUNIO_2026[[#This Row],[IND_CEF Unico]],"")</f>
        <v>0</v>
      </c>
      <c r="CJ236" s="1" t="str">
        <f>IFERROR(IND_JUNIO_2026[[#This Row],[IND_Recupero]]/IND_JUNIO_2026[[#This Row],[IND_MontoPDP]],"")</f>
        <v/>
      </c>
      <c r="CK236" s="1" t="str">
        <f>IFERROR(IND_JUNIO_2026[[#This Row],[IND_MontoPDP]]/IND_JUNIO_2026[[#This Row],[DK]],"")</f>
        <v/>
      </c>
      <c r="CL236" t="s">
        <v>548</v>
      </c>
      <c r="CM236" t="str">
        <f>IFERROR(IND_JUNIO_2026[[#This Row],[IND_MontoPDP]]/IND_JUNIO_2026[[#This Row],[IND_PDP]],"")</f>
        <v/>
      </c>
    </row>
    <row r="237" spans="76:91" x14ac:dyDescent="0.25">
      <c r="BX237" s="45" t="s">
        <v>636</v>
      </c>
      <c r="BY237" s="45" t="s">
        <v>3</v>
      </c>
      <c r="BZ237" s="45" t="s">
        <v>32</v>
      </c>
      <c r="CA237" s="55">
        <v>46176</v>
      </c>
      <c r="CB237" s="1">
        <f>IF(IND_JUNIO_2026[[#This Row],[IND_CANTFalta]]=1,0,IF(1-(IND_JUNIO_2026[[#This Row],[IND_Tardanza Tiempo]]*100%/0.166666666666667)&lt;0,0,1-(IND_JUNIO_2026[[#This Row],[IND_Tardanza Tiempo]]*100%/0.166666666666667)))</f>
        <v>0.94673611111111122</v>
      </c>
      <c r="CC237" s="45"/>
      <c r="CD237" s="93">
        <v>8.8773148148148153E-3</v>
      </c>
      <c r="CE237">
        <v>24</v>
      </c>
      <c r="CG237" s="1">
        <f>IFERROR(IND_JUNIO_2026[[#This Row],[IND_PDP]]/IND_JUNIO_2026[[#This Row],[IND_CEF Unico]],"")</f>
        <v>0</v>
      </c>
      <c r="CJ237" s="1" t="str">
        <f>IFERROR(IND_JUNIO_2026[[#This Row],[IND_Recupero]]/IND_JUNIO_2026[[#This Row],[IND_MontoPDP]],"")</f>
        <v/>
      </c>
      <c r="CK237" s="1" t="str">
        <f>IFERROR(IND_JUNIO_2026[[#This Row],[IND_MontoPDP]]/IND_JUNIO_2026[[#This Row],[DK]],"")</f>
        <v/>
      </c>
      <c r="CL237" t="s">
        <v>548</v>
      </c>
      <c r="CM237" t="str">
        <f>IFERROR(IND_JUNIO_2026[[#This Row],[IND_MontoPDP]]/IND_JUNIO_2026[[#This Row],[IND_PDP]],"")</f>
        <v/>
      </c>
    </row>
    <row r="238" spans="76:91" x14ac:dyDescent="0.25">
      <c r="BX238" s="45" t="s">
        <v>636</v>
      </c>
      <c r="BY238" s="45" t="s">
        <v>3</v>
      </c>
      <c r="BZ238" s="45" t="s">
        <v>42</v>
      </c>
      <c r="CA238" s="55">
        <v>46174</v>
      </c>
      <c r="CB238" s="1">
        <f>IF(IND_JUNIO_2026[[#This Row],[IND_CANTFalta]]=1,0,IF(1-(IND_JUNIO_2026[[#This Row],[IND_Tardanza Tiempo]]*100%/0.166666666666667)&lt;0,0,1-(IND_JUNIO_2026[[#This Row],[IND_Tardanza Tiempo]]*100%/0.166666666666667)))</f>
        <v>0.96270833333333339</v>
      </c>
      <c r="CC238" s="45"/>
      <c r="CD238" s="93">
        <v>6.2152777777777779E-3</v>
      </c>
      <c r="CE238">
        <v>43</v>
      </c>
      <c r="CF238">
        <v>5</v>
      </c>
      <c r="CG238" s="1">
        <f>IFERROR(IND_JUNIO_2026[[#This Row],[IND_PDP]]/IND_JUNIO_2026[[#This Row],[IND_CEF Unico]],"")</f>
        <v>0.11627906976744186</v>
      </c>
      <c r="CH238">
        <v>3871</v>
      </c>
      <c r="CJ238" s="1">
        <f>IFERROR(IND_JUNIO_2026[[#This Row],[IND_Recupero]]/IND_JUNIO_2026[[#This Row],[IND_MontoPDP]],"")</f>
        <v>0</v>
      </c>
      <c r="CK238" s="1" t="str">
        <f>IFERROR(IND_JUNIO_2026[[#This Row],[IND_MontoPDP]]/IND_JUNIO_2026[[#This Row],[DK]],"")</f>
        <v/>
      </c>
      <c r="CL238" t="s">
        <v>548</v>
      </c>
      <c r="CM238">
        <f>IFERROR(IND_JUNIO_2026[[#This Row],[IND_MontoPDP]]/IND_JUNIO_2026[[#This Row],[IND_PDP]],"")</f>
        <v>774.2</v>
      </c>
    </row>
    <row r="239" spans="76:91" x14ac:dyDescent="0.25">
      <c r="BX239" s="45" t="s">
        <v>636</v>
      </c>
      <c r="BY239" s="45" t="s">
        <v>3</v>
      </c>
      <c r="BZ239" s="45" t="s">
        <v>42</v>
      </c>
      <c r="CA239" s="55">
        <v>46175</v>
      </c>
      <c r="CB239" s="1">
        <f>IF(IND_JUNIO_2026[[#This Row],[IND_CANTFalta]]=1,0,IF(1-(IND_JUNIO_2026[[#This Row],[IND_Tardanza Tiempo]]*100%/0.166666666666667)&lt;0,0,1-(IND_JUNIO_2026[[#This Row],[IND_Tardanza Tiempo]]*100%/0.166666666666667)))</f>
        <v>0.88263888888888908</v>
      </c>
      <c r="CC239" s="45"/>
      <c r="CD239" s="93">
        <v>1.9560185185185184E-2</v>
      </c>
      <c r="CE239">
        <v>43</v>
      </c>
      <c r="CF239">
        <v>1</v>
      </c>
      <c r="CG239" s="1">
        <f>IFERROR(IND_JUNIO_2026[[#This Row],[IND_PDP]]/IND_JUNIO_2026[[#This Row],[IND_CEF Unico]],"")</f>
        <v>2.3255813953488372E-2</v>
      </c>
      <c r="CH239">
        <v>15000</v>
      </c>
      <c r="CI239">
        <v>15000</v>
      </c>
      <c r="CJ239" s="1">
        <f>IFERROR(IND_JUNIO_2026[[#This Row],[IND_Recupero]]/IND_JUNIO_2026[[#This Row],[IND_MontoPDP]],"")</f>
        <v>1</v>
      </c>
      <c r="CK239" s="1">
        <f>IFERROR(IND_JUNIO_2026[[#This Row],[IND_MontoPDP]]/IND_JUNIO_2026[[#This Row],[DK]],"")</f>
        <v>0.18260000000000001</v>
      </c>
      <c r="CL239">
        <v>82146.768893756846</v>
      </c>
      <c r="CM239">
        <f>IFERROR(IND_JUNIO_2026[[#This Row],[IND_MontoPDP]]/IND_JUNIO_2026[[#This Row],[IND_PDP]],"")</f>
        <v>15000</v>
      </c>
    </row>
    <row r="240" spans="76:91" x14ac:dyDescent="0.25">
      <c r="BX240" s="45" t="s">
        <v>636</v>
      </c>
      <c r="BY240" s="45" t="s">
        <v>3</v>
      </c>
      <c r="BZ240" s="45" t="s">
        <v>42</v>
      </c>
      <c r="CA240" s="55">
        <v>46176</v>
      </c>
      <c r="CB240" s="1">
        <f>IF(IND_JUNIO_2026[[#This Row],[IND_CANTFalta]]=1,0,IF(1-(IND_JUNIO_2026[[#This Row],[IND_Tardanza Tiempo]]*100%/0.166666666666667)&lt;0,0,1-(IND_JUNIO_2026[[#This Row],[IND_Tardanza Tiempo]]*100%/0.166666666666667)))</f>
        <v>0.84854166666666697</v>
      </c>
      <c r="CC240" s="45"/>
      <c r="CD240" s="93">
        <v>2.5243055555555557E-2</v>
      </c>
      <c r="CE240">
        <v>30</v>
      </c>
      <c r="CG240" s="1">
        <f>IFERROR(IND_JUNIO_2026[[#This Row],[IND_PDP]]/IND_JUNIO_2026[[#This Row],[IND_CEF Unico]],"")</f>
        <v>0</v>
      </c>
      <c r="CJ240" s="1" t="str">
        <f>IFERROR(IND_JUNIO_2026[[#This Row],[IND_Recupero]]/IND_JUNIO_2026[[#This Row],[IND_MontoPDP]],"")</f>
        <v/>
      </c>
      <c r="CK240" s="1" t="str">
        <f>IFERROR(IND_JUNIO_2026[[#This Row],[IND_MontoPDP]]/IND_JUNIO_2026[[#This Row],[DK]],"")</f>
        <v/>
      </c>
      <c r="CL240" t="s">
        <v>548</v>
      </c>
      <c r="CM240" t="str">
        <f>IFERROR(IND_JUNIO_2026[[#This Row],[IND_MontoPDP]]/IND_JUNIO_2026[[#This Row],[IND_PDP]],"")</f>
        <v/>
      </c>
    </row>
    <row r="241" spans="76:91" x14ac:dyDescent="0.25">
      <c r="BX241" s="45" t="s">
        <v>636</v>
      </c>
      <c r="BY241" s="45" t="s">
        <v>3</v>
      </c>
      <c r="BZ241" s="45" t="s">
        <v>42</v>
      </c>
      <c r="CA241" s="55">
        <v>46177</v>
      </c>
      <c r="CB241" s="1">
        <f>IF(IND_JUNIO_2026[[#This Row],[IND_CANTFalta]]=1,0,IF(1-(IND_JUNIO_2026[[#This Row],[IND_Tardanza Tiempo]]*100%/0.166666666666667)&lt;0,0,1-(IND_JUNIO_2026[[#This Row],[IND_Tardanza Tiempo]]*100%/0.166666666666667)))</f>
        <v>0.96430555555555564</v>
      </c>
      <c r="CC241" s="45"/>
      <c r="CD241" s="93">
        <v>5.9490740740740745E-3</v>
      </c>
      <c r="CE241">
        <v>31</v>
      </c>
      <c r="CG241" s="1">
        <f>IFERROR(IND_JUNIO_2026[[#This Row],[IND_PDP]]/IND_JUNIO_2026[[#This Row],[IND_CEF Unico]],"")</f>
        <v>0</v>
      </c>
      <c r="CJ241" s="1" t="str">
        <f>IFERROR(IND_JUNIO_2026[[#This Row],[IND_Recupero]]/IND_JUNIO_2026[[#This Row],[IND_MontoPDP]],"")</f>
        <v/>
      </c>
      <c r="CK241" s="1" t="str">
        <f>IFERROR(IND_JUNIO_2026[[#This Row],[IND_MontoPDP]]/IND_JUNIO_2026[[#This Row],[DK]],"")</f>
        <v/>
      </c>
      <c r="CL241" t="s">
        <v>548</v>
      </c>
      <c r="CM241" t="str">
        <f>IFERROR(IND_JUNIO_2026[[#This Row],[IND_MontoPDP]]/IND_JUNIO_2026[[#This Row],[IND_PDP]],"")</f>
        <v/>
      </c>
    </row>
    <row r="242" spans="76:91" x14ac:dyDescent="0.25">
      <c r="BX242" s="45" t="s">
        <v>636</v>
      </c>
      <c r="BY242" s="45" t="s">
        <v>3</v>
      </c>
      <c r="BZ242" s="45" t="s">
        <v>96</v>
      </c>
      <c r="CA242" s="55">
        <v>46176</v>
      </c>
      <c r="CB242" s="1">
        <f>IF(IND_JUNIO_2026[[#This Row],[IND_CANTFalta]]=1,0,IF(1-(IND_JUNIO_2026[[#This Row],[IND_Tardanza Tiempo]]*100%/0.166666666666667)&lt;0,0,1-(IND_JUNIO_2026[[#This Row],[IND_Tardanza Tiempo]]*100%/0.166666666666667)))</f>
        <v>0.94652777777777786</v>
      </c>
      <c r="CC242" s="45"/>
      <c r="CD242" s="93">
        <v>8.9120370370370378E-3</v>
      </c>
      <c r="CE242">
        <v>25</v>
      </c>
      <c r="CF242">
        <v>1</v>
      </c>
      <c r="CG242" s="1">
        <f>IFERROR(IND_JUNIO_2026[[#This Row],[IND_PDP]]/IND_JUNIO_2026[[#This Row],[IND_CEF Unico]],"")</f>
        <v>0.04</v>
      </c>
      <c r="CH242">
        <v>460</v>
      </c>
      <c r="CI242">
        <v>460</v>
      </c>
      <c r="CJ242" s="1">
        <f>IFERROR(IND_JUNIO_2026[[#This Row],[IND_Recupero]]/IND_JUNIO_2026[[#This Row],[IND_MontoPDP]],"")</f>
        <v>1</v>
      </c>
      <c r="CK242" s="1">
        <f>IFERROR(IND_JUNIO_2026[[#This Row],[IND_MontoPDP]]/IND_JUNIO_2026[[#This Row],[DK]],"")</f>
        <v>0.25219999999999998</v>
      </c>
      <c r="CL242">
        <v>1823.9492466296592</v>
      </c>
      <c r="CM242">
        <f>IFERROR(IND_JUNIO_2026[[#This Row],[IND_MontoPDP]]/IND_JUNIO_2026[[#This Row],[IND_PDP]],"")</f>
        <v>460</v>
      </c>
    </row>
    <row r="243" spans="76:91" x14ac:dyDescent="0.25">
      <c r="BX243" s="45" t="s">
        <v>636</v>
      </c>
      <c r="BY243" s="45" t="s">
        <v>3</v>
      </c>
      <c r="BZ243" s="45" t="s">
        <v>96</v>
      </c>
      <c r="CA243" s="55">
        <v>46177</v>
      </c>
      <c r="CB243" s="1">
        <f>IF(IND_JUNIO_2026[[#This Row],[IND_CANTFalta]]=1,0,IF(1-(IND_JUNIO_2026[[#This Row],[IND_Tardanza Tiempo]]*100%/0.166666666666667)&lt;0,0,1-(IND_JUNIO_2026[[#This Row],[IND_Tardanza Tiempo]]*100%/0.166666666666667)))</f>
        <v>0.97729166666666667</v>
      </c>
      <c r="CC243" s="45"/>
      <c r="CD243" s="93">
        <v>3.7847222222222223E-3</v>
      </c>
      <c r="CE243">
        <v>13</v>
      </c>
      <c r="CF243">
        <v>1</v>
      </c>
      <c r="CG243" s="1">
        <f>IFERROR(IND_JUNIO_2026[[#This Row],[IND_PDP]]/IND_JUNIO_2026[[#This Row],[IND_CEF Unico]],"")</f>
        <v>7.6923076923076927E-2</v>
      </c>
      <c r="CH243">
        <v>400</v>
      </c>
      <c r="CJ243" s="1">
        <f>IFERROR(IND_JUNIO_2026[[#This Row],[IND_Recupero]]/IND_JUNIO_2026[[#This Row],[IND_MontoPDP]],"")</f>
        <v>0</v>
      </c>
      <c r="CK243" s="1" t="str">
        <f>IFERROR(IND_JUNIO_2026[[#This Row],[IND_MontoPDP]]/IND_JUNIO_2026[[#This Row],[DK]],"")</f>
        <v/>
      </c>
      <c r="CL243" t="s">
        <v>548</v>
      </c>
      <c r="CM243">
        <f>IFERROR(IND_JUNIO_2026[[#This Row],[IND_MontoPDP]]/IND_JUNIO_2026[[#This Row],[IND_PDP]],"")</f>
        <v>400</v>
      </c>
    </row>
    <row r="244" spans="76:91" x14ac:dyDescent="0.25">
      <c r="BX244" s="45" t="s">
        <v>636</v>
      </c>
      <c r="BY244" s="45" t="s">
        <v>3</v>
      </c>
      <c r="BZ244" s="45" t="s">
        <v>68</v>
      </c>
      <c r="CA244" s="55">
        <v>46175</v>
      </c>
      <c r="CB244" s="1">
        <f>IF(IND_JUNIO_2026[[#This Row],[IND_CANTFalta]]=1,0,IF(1-(IND_JUNIO_2026[[#This Row],[IND_Tardanza Tiempo]]*100%/0.166666666666667)&lt;0,0,1-(IND_JUNIO_2026[[#This Row],[IND_Tardanza Tiempo]]*100%/0.166666666666667)))</f>
        <v>0.9537500000000001</v>
      </c>
      <c r="CC244" s="45"/>
      <c r="CD244" s="93">
        <v>7.7083333333333335E-3</v>
      </c>
      <c r="CE244">
        <v>17</v>
      </c>
      <c r="CF244">
        <v>1</v>
      </c>
      <c r="CG244" s="1">
        <f>IFERROR(IND_JUNIO_2026[[#This Row],[IND_PDP]]/IND_JUNIO_2026[[#This Row],[IND_CEF Unico]],"")</f>
        <v>5.8823529411764705E-2</v>
      </c>
      <c r="CH244">
        <v>1867</v>
      </c>
      <c r="CJ244" s="1">
        <f>IFERROR(IND_JUNIO_2026[[#This Row],[IND_Recupero]]/IND_JUNIO_2026[[#This Row],[IND_MontoPDP]],"")</f>
        <v>0</v>
      </c>
      <c r="CK244" s="1" t="str">
        <f>IFERROR(IND_JUNIO_2026[[#This Row],[IND_MontoPDP]]/IND_JUNIO_2026[[#This Row],[DK]],"")</f>
        <v/>
      </c>
      <c r="CL244" t="s">
        <v>548</v>
      </c>
      <c r="CM244">
        <f>IFERROR(IND_JUNIO_2026[[#This Row],[IND_MontoPDP]]/IND_JUNIO_2026[[#This Row],[IND_PDP]],"")</f>
        <v>1867</v>
      </c>
    </row>
    <row r="245" spans="76:91" x14ac:dyDescent="0.25">
      <c r="BX245" s="45" t="s">
        <v>636</v>
      </c>
      <c r="BY245" s="45" t="s">
        <v>3</v>
      </c>
      <c r="BZ245" s="45" t="s">
        <v>68</v>
      </c>
      <c r="CA245" s="55">
        <v>46178</v>
      </c>
      <c r="CB245" s="1">
        <f>IF(IND_JUNIO_2026[[#This Row],[IND_CANTFalta]]=1,0,IF(1-(IND_JUNIO_2026[[#This Row],[IND_Tardanza Tiempo]]*100%/0.166666666666667)&lt;0,0,1-(IND_JUNIO_2026[[#This Row],[IND_Tardanza Tiempo]]*100%/0.166666666666667)))</f>
        <v>0.94097222222222232</v>
      </c>
      <c r="CC245" s="45"/>
      <c r="CD245" s="93">
        <v>9.8379629629629633E-3</v>
      </c>
      <c r="CE245">
        <v>4</v>
      </c>
      <c r="CG245" s="1">
        <f>IFERROR(IND_JUNIO_2026[[#This Row],[IND_PDP]]/IND_JUNIO_2026[[#This Row],[IND_CEF Unico]],"")</f>
        <v>0</v>
      </c>
      <c r="CJ245" s="1" t="str">
        <f>IFERROR(IND_JUNIO_2026[[#This Row],[IND_Recupero]]/IND_JUNIO_2026[[#This Row],[IND_MontoPDP]],"")</f>
        <v/>
      </c>
      <c r="CK245" s="1" t="str">
        <f>IFERROR(IND_JUNIO_2026[[#This Row],[IND_MontoPDP]]/IND_JUNIO_2026[[#This Row],[DK]],"")</f>
        <v/>
      </c>
      <c r="CL245" t="s">
        <v>548</v>
      </c>
      <c r="CM245" t="str">
        <f>IFERROR(IND_JUNIO_2026[[#This Row],[IND_MontoPDP]]/IND_JUNIO_2026[[#This Row],[IND_PDP]],"")</f>
        <v/>
      </c>
    </row>
    <row r="246" spans="76:91" x14ac:dyDescent="0.25">
      <c r="BX246" s="45" t="s">
        <v>636</v>
      </c>
      <c r="BY246" s="45" t="s">
        <v>3</v>
      </c>
      <c r="BZ246" s="45" t="s">
        <v>79</v>
      </c>
      <c r="CA246" s="55">
        <v>46174</v>
      </c>
      <c r="CB246" s="1">
        <f>IF(IND_JUNIO_2026[[#This Row],[IND_CANTFalta]]=1,0,IF(1-(IND_JUNIO_2026[[#This Row],[IND_Tardanza Tiempo]]*100%/0.166666666666667)&lt;0,0,1-(IND_JUNIO_2026[[#This Row],[IND_Tardanza Tiempo]]*100%/0.166666666666667)))</f>
        <v>0.92194444444444457</v>
      </c>
      <c r="CC246" s="45"/>
      <c r="CD246" s="93">
        <v>1.3009259259259259E-2</v>
      </c>
      <c r="CE246">
        <v>25</v>
      </c>
      <c r="CF246">
        <v>8</v>
      </c>
      <c r="CG246" s="1">
        <f>IFERROR(IND_JUNIO_2026[[#This Row],[IND_PDP]]/IND_JUNIO_2026[[#This Row],[IND_CEF Unico]],"")</f>
        <v>0.32</v>
      </c>
      <c r="CH246">
        <v>5039</v>
      </c>
      <c r="CJ246" s="1">
        <f>IFERROR(IND_JUNIO_2026[[#This Row],[IND_Recupero]]/IND_JUNIO_2026[[#This Row],[IND_MontoPDP]],"")</f>
        <v>0</v>
      </c>
      <c r="CK246" s="1" t="str">
        <f>IFERROR(IND_JUNIO_2026[[#This Row],[IND_MontoPDP]]/IND_JUNIO_2026[[#This Row],[DK]],"")</f>
        <v/>
      </c>
      <c r="CL246" t="s">
        <v>548</v>
      </c>
      <c r="CM246">
        <f>IFERROR(IND_JUNIO_2026[[#This Row],[IND_MontoPDP]]/IND_JUNIO_2026[[#This Row],[IND_PDP]],"")</f>
        <v>629.875</v>
      </c>
    </row>
    <row r="247" spans="76:91" x14ac:dyDescent="0.25">
      <c r="BX247" s="45" t="s">
        <v>636</v>
      </c>
      <c r="BY247" s="45" t="s">
        <v>3</v>
      </c>
      <c r="BZ247" s="45" t="s">
        <v>79</v>
      </c>
      <c r="CA247" s="55">
        <v>46177</v>
      </c>
      <c r="CB247" s="1">
        <f>IF(IND_JUNIO_2026[[#This Row],[IND_CANTFalta]]=1,0,IF(1-(IND_JUNIO_2026[[#This Row],[IND_Tardanza Tiempo]]*100%/0.166666666666667)&lt;0,0,1-(IND_JUNIO_2026[[#This Row],[IND_Tardanza Tiempo]]*100%/0.166666666666667)))</f>
        <v>0.95034722222222234</v>
      </c>
      <c r="CC247" s="45"/>
      <c r="CD247" s="93">
        <v>8.2754629629629636E-3</v>
      </c>
      <c r="CE247">
        <v>11</v>
      </c>
      <c r="CG247" s="1">
        <f>IFERROR(IND_JUNIO_2026[[#This Row],[IND_PDP]]/IND_JUNIO_2026[[#This Row],[IND_CEF Unico]],"")</f>
        <v>0</v>
      </c>
      <c r="CJ247" s="1" t="str">
        <f>IFERROR(IND_JUNIO_2026[[#This Row],[IND_Recupero]]/IND_JUNIO_2026[[#This Row],[IND_MontoPDP]],"")</f>
        <v/>
      </c>
      <c r="CK247" s="1" t="str">
        <f>IFERROR(IND_JUNIO_2026[[#This Row],[IND_MontoPDP]]/IND_JUNIO_2026[[#This Row],[DK]],"")</f>
        <v/>
      </c>
      <c r="CL247" t="s">
        <v>548</v>
      </c>
      <c r="CM247" t="str">
        <f>IFERROR(IND_JUNIO_2026[[#This Row],[IND_MontoPDP]]/IND_JUNIO_2026[[#This Row],[IND_PDP]],"")</f>
        <v/>
      </c>
    </row>
  </sheetData>
  <phoneticPr fontId="2" type="noConversion"/>
  <conditionalFormatting sqref="E3:E54">
    <cfRule type="containsText" dxfId="4" priority="4" operator="containsText" text="kenneth">
      <formula>NOT(ISERROR(SEARCH("kenneth",E3)))</formula>
    </cfRule>
  </conditionalFormatting>
  <conditionalFormatting sqref="CD9:CD247">
    <cfRule type="cellIs" dxfId="3" priority="1" operator="greaterThan">
      <formula>0</formula>
    </cfRule>
  </conditionalFormatting>
  <conditionalFormatting sqref="R9:R56">
    <cfRule type="duplicateValues" dxfId="2" priority="217"/>
  </conditionalFormatting>
  <conditionalFormatting sqref="B3:B54">
    <cfRule type="duplicateValues" dxfId="1" priority="218"/>
  </conditionalFormatting>
  <conditionalFormatting sqref="F3:F54">
    <cfRule type="duplicateValues" dxfId="0" priority="219"/>
  </conditionalFormatting>
  <pageMargins left="0.7" right="0.7" top="0.75" bottom="0.75" header="0.3" footer="0.3"/>
  <pageSetup paperSize="9" orientation="portrait" r:id="rId1"/>
  <tableParts count="5">
    <tablePart r:id="rId2"/>
    <tablePart r:id="rId3"/>
    <tablePart r:id="rId4"/>
    <tablePart r:id="rId5"/>
    <tablePart r:id="rId6"/>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C1EAC-660F-4182-86D5-7EBABAAE2527}">
  <sheetPr>
    <tabColor rgb="FFFFC000"/>
  </sheetPr>
  <dimension ref="A1:G107"/>
  <sheetViews>
    <sheetView workbookViewId="0">
      <selection sqref="A1:G107"/>
    </sheetView>
  </sheetViews>
  <sheetFormatPr baseColWidth="10" defaultRowHeight="15" x14ac:dyDescent="0.25"/>
  <cols>
    <col min="1" max="1" width="22.7109375" bestFit="1" customWidth="1"/>
    <col min="2" max="2" width="47" bestFit="1" customWidth="1"/>
    <col min="3" max="3" width="11.7109375" bestFit="1" customWidth="1"/>
    <col min="4" max="4" width="43.28515625" bestFit="1" customWidth="1"/>
    <col min="5" max="5" width="10.42578125" bestFit="1" customWidth="1"/>
    <col min="6" max="6" width="11.42578125" bestFit="1" customWidth="1"/>
    <col min="7" max="7" width="6.42578125" bestFit="1" customWidth="1"/>
    <col min="8" max="8" width="10.42578125" bestFit="1" customWidth="1"/>
  </cols>
  <sheetData>
    <row r="1" spans="1:7" x14ac:dyDescent="0.25">
      <c r="A1" t="s">
        <v>210</v>
      </c>
      <c r="B1" t="s">
        <v>345</v>
      </c>
      <c r="C1" t="s">
        <v>341</v>
      </c>
      <c r="D1" t="s">
        <v>340</v>
      </c>
      <c r="E1" t="s">
        <v>343</v>
      </c>
      <c r="F1" t="s">
        <v>136</v>
      </c>
      <c r="G1" t="s">
        <v>344</v>
      </c>
    </row>
    <row r="2" spans="1:7" x14ac:dyDescent="0.25">
      <c r="A2" t="s">
        <v>78</v>
      </c>
      <c r="B2" t="s">
        <v>346</v>
      </c>
      <c r="C2" s="55">
        <v>27152</v>
      </c>
      <c r="D2" t="s">
        <v>265</v>
      </c>
      <c r="E2" t="s">
        <v>0</v>
      </c>
      <c r="F2" t="str">
        <f>UPPER(TEXT(pbi_ListaEmpleadosExpertis[[#This Row],[FEC_NAC]],"mmmm"))</f>
        <v>MAYO</v>
      </c>
      <c r="G2">
        <f>DAY(pbi_ListaEmpleadosExpertis[[#This Row],[FEC_NAC]])</f>
        <v>3</v>
      </c>
    </row>
    <row r="3" spans="1:7" x14ac:dyDescent="0.25">
      <c r="A3" t="s">
        <v>557</v>
      </c>
      <c r="B3" t="s">
        <v>346</v>
      </c>
      <c r="C3" s="55">
        <v>27960</v>
      </c>
      <c r="D3" t="s">
        <v>562</v>
      </c>
      <c r="E3" t="s">
        <v>0</v>
      </c>
      <c r="F3" t="str">
        <f>UPPER(TEXT(pbi_ListaEmpleadosExpertis[[#This Row],[FEC_NAC]],"mmmm"))</f>
        <v>JULIO</v>
      </c>
      <c r="G3">
        <f>DAY(pbi_ListaEmpleadosExpertis[[#This Row],[FEC_NAC]])</f>
        <v>19</v>
      </c>
    </row>
    <row r="4" spans="1:7" x14ac:dyDescent="0.25">
      <c r="A4" t="s">
        <v>35</v>
      </c>
      <c r="B4" t="s">
        <v>346</v>
      </c>
      <c r="C4" s="55">
        <v>28011</v>
      </c>
      <c r="D4" t="s">
        <v>254</v>
      </c>
      <c r="E4" t="s">
        <v>0</v>
      </c>
      <c r="F4" t="str">
        <f>UPPER(TEXT(pbi_ListaEmpleadosExpertis[[#This Row],[FEC_NAC]],"mmmm"))</f>
        <v>SETIEMBRE</v>
      </c>
      <c r="G4">
        <f>DAY(pbi_ListaEmpleadosExpertis[[#This Row],[FEC_NAC]])</f>
        <v>8</v>
      </c>
    </row>
    <row r="5" spans="1:7" x14ac:dyDescent="0.25">
      <c r="A5" t="s">
        <v>242</v>
      </c>
      <c r="B5" t="s">
        <v>354</v>
      </c>
      <c r="C5" s="55">
        <v>28072</v>
      </c>
      <c r="D5" t="s">
        <v>243</v>
      </c>
      <c r="E5" t="s">
        <v>342</v>
      </c>
      <c r="F5" t="str">
        <f>UPPER(TEXT(pbi_ListaEmpleadosExpertis[[#This Row],[FEC_NAC]],"mmmm"))</f>
        <v>NOVIEMBRE</v>
      </c>
      <c r="G5">
        <f>DAY(pbi_ListaEmpleadosExpertis[[#This Row],[FEC_NAC]])</f>
        <v>8</v>
      </c>
    </row>
    <row r="6" spans="1:7" x14ac:dyDescent="0.25">
      <c r="A6" t="s">
        <v>73</v>
      </c>
      <c r="B6" t="s">
        <v>346</v>
      </c>
      <c r="C6" s="55">
        <v>29084</v>
      </c>
      <c r="D6" t="s">
        <v>270</v>
      </c>
      <c r="E6" t="s">
        <v>0</v>
      </c>
      <c r="F6" t="str">
        <f>UPPER(TEXT(pbi_ListaEmpleadosExpertis[[#This Row],[FEC_NAC]],"mmmm"))</f>
        <v>AGOSTO</v>
      </c>
      <c r="G6">
        <f>DAY(pbi_ListaEmpleadosExpertis[[#This Row],[FEC_NAC]])</f>
        <v>17</v>
      </c>
    </row>
    <row r="7" spans="1:7" x14ac:dyDescent="0.25">
      <c r="A7" t="s">
        <v>272</v>
      </c>
      <c r="B7" t="s">
        <v>355</v>
      </c>
      <c r="C7" s="55">
        <v>29359</v>
      </c>
      <c r="D7" t="s">
        <v>273</v>
      </c>
      <c r="E7" t="s">
        <v>342</v>
      </c>
      <c r="F7" t="str">
        <f>UPPER(TEXT(pbi_ListaEmpleadosExpertis[[#This Row],[FEC_NAC]],"mmmm"))</f>
        <v>MAYO</v>
      </c>
      <c r="G7">
        <f>DAY(pbi_ListaEmpleadosExpertis[[#This Row],[FEC_NAC]])</f>
        <v>18</v>
      </c>
    </row>
    <row r="8" spans="1:7" x14ac:dyDescent="0.25">
      <c r="A8" t="s">
        <v>49</v>
      </c>
      <c r="B8" t="s">
        <v>346</v>
      </c>
      <c r="C8" s="55">
        <v>29446</v>
      </c>
      <c r="D8" t="s">
        <v>217</v>
      </c>
      <c r="E8" t="s">
        <v>0</v>
      </c>
      <c r="F8" t="str">
        <f>UPPER(TEXT(pbi_ListaEmpleadosExpertis[[#This Row],[FEC_NAC]],"mmmm"))</f>
        <v>AGOSTO</v>
      </c>
      <c r="G8">
        <f>DAY(pbi_ListaEmpleadosExpertis[[#This Row],[FEC_NAC]])</f>
        <v>13</v>
      </c>
    </row>
    <row r="9" spans="1:7" x14ac:dyDescent="0.25">
      <c r="A9" t="s">
        <v>10</v>
      </c>
      <c r="B9" t="s">
        <v>346</v>
      </c>
      <c r="C9" s="55">
        <v>29662</v>
      </c>
      <c r="D9" t="s">
        <v>251</v>
      </c>
      <c r="E9" t="s">
        <v>0</v>
      </c>
      <c r="F9" t="str">
        <f>UPPER(TEXT(pbi_ListaEmpleadosExpertis[[#This Row],[FEC_NAC]],"mmmm"))</f>
        <v>MARZO</v>
      </c>
      <c r="G9">
        <f>DAY(pbi_ListaEmpleadosExpertis[[#This Row],[FEC_NAC]])</f>
        <v>17</v>
      </c>
    </row>
    <row r="10" spans="1:7" x14ac:dyDescent="0.25">
      <c r="A10" t="s">
        <v>26</v>
      </c>
      <c r="B10" t="s">
        <v>346</v>
      </c>
      <c r="C10" s="55">
        <v>29802</v>
      </c>
      <c r="D10" t="s">
        <v>221</v>
      </c>
      <c r="E10" t="s">
        <v>0</v>
      </c>
      <c r="F10" t="str">
        <f>UPPER(TEXT(pbi_ListaEmpleadosExpertis[[#This Row],[FEC_NAC]],"mmmm"))</f>
        <v>AGOSTO</v>
      </c>
      <c r="G10">
        <f>DAY(pbi_ListaEmpleadosExpertis[[#This Row],[FEC_NAC]])</f>
        <v>4</v>
      </c>
    </row>
    <row r="11" spans="1:7" x14ac:dyDescent="0.25">
      <c r="A11" t="s">
        <v>306</v>
      </c>
      <c r="B11" t="s">
        <v>363</v>
      </c>
      <c r="C11" s="55">
        <v>30385</v>
      </c>
      <c r="D11" t="s">
        <v>307</v>
      </c>
      <c r="E11" t="s">
        <v>342</v>
      </c>
      <c r="F11" t="str">
        <f>UPPER(TEXT(pbi_ListaEmpleadosExpertis[[#This Row],[FEC_NAC]],"mmmm"))</f>
        <v>MARZO</v>
      </c>
      <c r="G11">
        <f>DAY(pbi_ListaEmpleadosExpertis[[#This Row],[FEC_NAC]])</f>
        <v>10</v>
      </c>
    </row>
    <row r="12" spans="1:7" x14ac:dyDescent="0.25">
      <c r="A12" t="s">
        <v>594</v>
      </c>
      <c r="B12" t="s">
        <v>595</v>
      </c>
      <c r="C12" s="55">
        <v>30429</v>
      </c>
      <c r="D12" t="s">
        <v>596</v>
      </c>
      <c r="E12" t="s">
        <v>342</v>
      </c>
      <c r="F12" t="str">
        <f>UPPER(TEXT(pbi_ListaEmpleadosExpertis[[#This Row],[FEC_NAC]],"mmmm"))</f>
        <v>ABRIL</v>
      </c>
      <c r="G12">
        <f>DAY(pbi_ListaEmpleadosExpertis[[#This Row],[FEC_NAC]])</f>
        <v>23</v>
      </c>
    </row>
    <row r="13" spans="1:7" x14ac:dyDescent="0.25">
      <c r="A13" t="s">
        <v>77</v>
      </c>
      <c r="B13" t="s">
        <v>346</v>
      </c>
      <c r="C13" s="55">
        <v>30549</v>
      </c>
      <c r="D13" t="s">
        <v>259</v>
      </c>
      <c r="E13" t="s">
        <v>0</v>
      </c>
      <c r="F13" t="str">
        <f>UPPER(TEXT(pbi_ListaEmpleadosExpertis[[#This Row],[FEC_NAC]],"mmmm"))</f>
        <v>AGOSTO</v>
      </c>
      <c r="G13">
        <f>DAY(pbi_ListaEmpleadosExpertis[[#This Row],[FEC_NAC]])</f>
        <v>21</v>
      </c>
    </row>
    <row r="14" spans="1:7" x14ac:dyDescent="0.25">
      <c r="A14" t="s">
        <v>296</v>
      </c>
      <c r="B14" t="s">
        <v>359</v>
      </c>
      <c r="C14" s="55">
        <v>30628</v>
      </c>
      <c r="D14" t="s">
        <v>297</v>
      </c>
      <c r="E14" t="s">
        <v>342</v>
      </c>
      <c r="F14" t="str">
        <f>UPPER(TEXT(pbi_ListaEmpleadosExpertis[[#This Row],[FEC_NAC]],"mmmm"))</f>
        <v>NOVIEMBRE</v>
      </c>
      <c r="G14">
        <f>DAY(pbi_ListaEmpleadosExpertis[[#This Row],[FEC_NAC]])</f>
        <v>8</v>
      </c>
    </row>
    <row r="15" spans="1:7" x14ac:dyDescent="0.25">
      <c r="A15" t="s">
        <v>609</v>
      </c>
      <c r="B15" t="s">
        <v>610</v>
      </c>
      <c r="C15" s="55">
        <v>30635</v>
      </c>
      <c r="D15" t="s">
        <v>611</v>
      </c>
      <c r="E15" t="s">
        <v>342</v>
      </c>
      <c r="F15" t="str">
        <f>UPPER(TEXT(pbi_ListaEmpleadosExpertis[[#This Row],[FEC_NAC]],"mmmm"))</f>
        <v>NOVIEMBRE</v>
      </c>
      <c r="G15">
        <f>DAY(pbi_ListaEmpleadosExpertis[[#This Row],[FEC_NAC]])</f>
        <v>15</v>
      </c>
    </row>
    <row r="16" spans="1:7" x14ac:dyDescent="0.25">
      <c r="A16" t="s">
        <v>599</v>
      </c>
      <c r="B16" t="s">
        <v>346</v>
      </c>
      <c r="C16" s="55">
        <v>30700</v>
      </c>
      <c r="D16" t="s">
        <v>608</v>
      </c>
      <c r="E16" t="s">
        <v>0</v>
      </c>
      <c r="F16" t="str">
        <f>UPPER(TEXT(pbi_ListaEmpleadosExpertis[[#This Row],[FEC_NAC]],"mmmm"))</f>
        <v>ENERO</v>
      </c>
      <c r="G16">
        <f>DAY(pbi_ListaEmpleadosExpertis[[#This Row],[FEC_NAC]])</f>
        <v>19</v>
      </c>
    </row>
    <row r="17" spans="1:7" x14ac:dyDescent="0.25">
      <c r="A17" t="s">
        <v>238</v>
      </c>
      <c r="B17" t="s">
        <v>350</v>
      </c>
      <c r="C17" s="55">
        <v>30884</v>
      </c>
      <c r="D17" t="s">
        <v>239</v>
      </c>
      <c r="E17" t="s">
        <v>342</v>
      </c>
      <c r="F17" t="str">
        <f>UPPER(TEXT(pbi_ListaEmpleadosExpertis[[#This Row],[FEC_NAC]],"mmmm"))</f>
        <v>JULIO</v>
      </c>
      <c r="G17">
        <f>DAY(pbi_ListaEmpleadosExpertis[[#This Row],[FEC_NAC]])</f>
        <v>21</v>
      </c>
    </row>
    <row r="18" spans="1:7" x14ac:dyDescent="0.25">
      <c r="A18" t="s">
        <v>317</v>
      </c>
      <c r="B18" t="s">
        <v>367</v>
      </c>
      <c r="C18" s="55">
        <v>30965</v>
      </c>
      <c r="D18" t="s">
        <v>318</v>
      </c>
      <c r="E18" t="s">
        <v>342</v>
      </c>
      <c r="F18" t="str">
        <f>UPPER(TEXT(pbi_ListaEmpleadosExpertis[[#This Row],[FEC_NAC]],"mmmm"))</f>
        <v>OCTUBRE</v>
      </c>
      <c r="G18">
        <f>DAY(pbi_ListaEmpleadosExpertis[[#This Row],[FEC_NAC]])</f>
        <v>10</v>
      </c>
    </row>
    <row r="19" spans="1:7" x14ac:dyDescent="0.25">
      <c r="A19" t="s">
        <v>48</v>
      </c>
      <c r="B19" t="s">
        <v>346</v>
      </c>
      <c r="C19" s="55">
        <v>31158</v>
      </c>
      <c r="D19" t="s">
        <v>255</v>
      </c>
      <c r="E19" t="s">
        <v>0</v>
      </c>
      <c r="F19" t="str">
        <f>UPPER(TEXT(pbi_ListaEmpleadosExpertis[[#This Row],[FEC_NAC]],"mmmm"))</f>
        <v>ABRIL</v>
      </c>
      <c r="G19">
        <f>DAY(pbi_ListaEmpleadosExpertis[[#This Row],[FEC_NAC]])</f>
        <v>21</v>
      </c>
    </row>
    <row r="20" spans="1:7" x14ac:dyDescent="0.25">
      <c r="A20" t="s">
        <v>24</v>
      </c>
      <c r="B20" t="s">
        <v>346</v>
      </c>
      <c r="C20" s="55">
        <v>31492</v>
      </c>
      <c r="D20" t="s">
        <v>280</v>
      </c>
      <c r="E20" t="s">
        <v>0</v>
      </c>
      <c r="F20" t="str">
        <f>UPPER(TEXT(pbi_ListaEmpleadosExpertis[[#This Row],[FEC_NAC]],"mmmm"))</f>
        <v>MARZO</v>
      </c>
      <c r="G20">
        <f>DAY(pbi_ListaEmpleadosExpertis[[#This Row],[FEC_NAC]])</f>
        <v>21</v>
      </c>
    </row>
    <row r="21" spans="1:7" x14ac:dyDescent="0.25">
      <c r="A21" t="s">
        <v>61</v>
      </c>
      <c r="B21" t="s">
        <v>346</v>
      </c>
      <c r="C21" s="55">
        <v>31644</v>
      </c>
      <c r="D21" t="s">
        <v>264</v>
      </c>
      <c r="E21" t="s">
        <v>0</v>
      </c>
      <c r="F21" t="str">
        <f>UPPER(TEXT(pbi_ListaEmpleadosExpertis[[#This Row],[FEC_NAC]],"mmmm"))</f>
        <v>AGOSTO</v>
      </c>
      <c r="G21">
        <f>DAY(pbi_ListaEmpleadosExpertis[[#This Row],[FEC_NAC]])</f>
        <v>20</v>
      </c>
    </row>
    <row r="22" spans="1:7" x14ac:dyDescent="0.25">
      <c r="A22" t="s">
        <v>240</v>
      </c>
      <c r="B22" t="s">
        <v>349</v>
      </c>
      <c r="C22" s="55">
        <v>31700</v>
      </c>
      <c r="D22" t="s">
        <v>241</v>
      </c>
      <c r="E22" t="s">
        <v>342</v>
      </c>
      <c r="F22" t="str">
        <f>UPPER(TEXT(pbi_ListaEmpleadosExpertis[[#This Row],[FEC_NAC]],"mmmm"))</f>
        <v>OCTUBRE</v>
      </c>
      <c r="G22">
        <f>DAY(pbi_ListaEmpleadosExpertis[[#This Row],[FEC_NAC]])</f>
        <v>15</v>
      </c>
    </row>
    <row r="23" spans="1:7" x14ac:dyDescent="0.25">
      <c r="A23" t="s">
        <v>248</v>
      </c>
      <c r="B23" t="s">
        <v>133</v>
      </c>
      <c r="C23" s="55">
        <v>31900</v>
      </c>
      <c r="D23" t="s">
        <v>249</v>
      </c>
      <c r="E23" t="s">
        <v>342</v>
      </c>
      <c r="F23" t="str">
        <f>UPPER(TEXT(pbi_ListaEmpleadosExpertis[[#This Row],[FEC_NAC]],"mmmm"))</f>
        <v>MAYO</v>
      </c>
      <c r="G23">
        <f>DAY(pbi_ListaEmpleadosExpertis[[#This Row],[FEC_NAC]])</f>
        <v>3</v>
      </c>
    </row>
    <row r="24" spans="1:7" x14ac:dyDescent="0.25">
      <c r="A24" t="s">
        <v>338</v>
      </c>
      <c r="B24" t="s">
        <v>559</v>
      </c>
      <c r="C24" s="55">
        <v>31980</v>
      </c>
      <c r="D24" t="s">
        <v>339</v>
      </c>
      <c r="E24" t="s">
        <v>342</v>
      </c>
      <c r="F24" t="str">
        <f>UPPER(TEXT(pbi_ListaEmpleadosExpertis[[#This Row],[FEC_NAC]],"mmmm"))</f>
        <v>JULIO</v>
      </c>
      <c r="G24">
        <f>DAY(pbi_ListaEmpleadosExpertis[[#This Row],[FEC_NAC]])</f>
        <v>22</v>
      </c>
    </row>
    <row r="25" spans="1:7" x14ac:dyDescent="0.25">
      <c r="A25" t="s">
        <v>300</v>
      </c>
      <c r="B25" t="s">
        <v>361</v>
      </c>
      <c r="C25" s="55">
        <v>32019</v>
      </c>
      <c r="D25" t="s">
        <v>301</v>
      </c>
      <c r="E25" t="s">
        <v>342</v>
      </c>
      <c r="F25" t="str">
        <f>UPPER(TEXT(pbi_ListaEmpleadosExpertis[[#This Row],[FEC_NAC]],"mmmm"))</f>
        <v>AGOSTO</v>
      </c>
      <c r="G25">
        <f>DAY(pbi_ListaEmpleadosExpertis[[#This Row],[FEC_NAC]])</f>
        <v>30</v>
      </c>
    </row>
    <row r="26" spans="1:7" x14ac:dyDescent="0.25">
      <c r="A26" t="s">
        <v>55</v>
      </c>
      <c r="B26" t="s">
        <v>346</v>
      </c>
      <c r="C26" s="55">
        <v>32222</v>
      </c>
      <c r="D26" t="s">
        <v>311</v>
      </c>
      <c r="E26" t="s">
        <v>0</v>
      </c>
      <c r="F26" t="str">
        <f>UPPER(TEXT(pbi_ListaEmpleadosExpertis[[#This Row],[FEC_NAC]],"mmmm"))</f>
        <v>MARZO</v>
      </c>
      <c r="G26">
        <f>DAY(pbi_ListaEmpleadosExpertis[[#This Row],[FEC_NAC]])</f>
        <v>20</v>
      </c>
    </row>
    <row r="27" spans="1:7" x14ac:dyDescent="0.25">
      <c r="A27" t="s">
        <v>230</v>
      </c>
      <c r="B27" t="s">
        <v>353</v>
      </c>
      <c r="C27" s="55">
        <v>32245</v>
      </c>
      <c r="D27" t="s">
        <v>231</v>
      </c>
      <c r="E27" t="s">
        <v>342</v>
      </c>
      <c r="F27" t="str">
        <f>UPPER(TEXT(pbi_ListaEmpleadosExpertis[[#This Row],[FEC_NAC]],"mmmm"))</f>
        <v>ABRIL</v>
      </c>
      <c r="G27">
        <f>DAY(pbi_ListaEmpleadosExpertis[[#This Row],[FEC_NAC]])</f>
        <v>12</v>
      </c>
    </row>
    <row r="28" spans="1:7" x14ac:dyDescent="0.25">
      <c r="A28" t="s">
        <v>11</v>
      </c>
      <c r="B28" t="s">
        <v>346</v>
      </c>
      <c r="C28" s="55">
        <v>32262</v>
      </c>
      <c r="D28" t="s">
        <v>283</v>
      </c>
      <c r="E28" t="s">
        <v>0</v>
      </c>
      <c r="F28" t="str">
        <f>UPPER(TEXT(pbi_ListaEmpleadosExpertis[[#This Row],[FEC_NAC]],"mmmm"))</f>
        <v>ABRIL</v>
      </c>
      <c r="G28">
        <f>DAY(pbi_ListaEmpleadosExpertis[[#This Row],[FEC_NAC]])</f>
        <v>29</v>
      </c>
    </row>
    <row r="29" spans="1:7" x14ac:dyDescent="0.25">
      <c r="A29" t="s">
        <v>80</v>
      </c>
      <c r="B29" t="s">
        <v>346</v>
      </c>
      <c r="C29" s="55">
        <v>32273</v>
      </c>
      <c r="D29" t="s">
        <v>274</v>
      </c>
      <c r="E29" t="s">
        <v>0</v>
      </c>
      <c r="F29" t="str">
        <f>UPPER(TEXT(pbi_ListaEmpleadosExpertis[[#This Row],[FEC_NAC]],"mmmm"))</f>
        <v>MAYO</v>
      </c>
      <c r="G29">
        <f>DAY(pbi_ListaEmpleadosExpertis[[#This Row],[FEC_NAC]])</f>
        <v>10</v>
      </c>
    </row>
    <row r="30" spans="1:7" x14ac:dyDescent="0.25">
      <c r="A30" t="s">
        <v>12</v>
      </c>
      <c r="B30" t="s">
        <v>346</v>
      </c>
      <c r="C30" s="55">
        <v>32342</v>
      </c>
      <c r="D30" t="s">
        <v>262</v>
      </c>
      <c r="E30" t="s">
        <v>0</v>
      </c>
      <c r="F30" t="str">
        <f>UPPER(TEXT(pbi_ListaEmpleadosExpertis[[#This Row],[FEC_NAC]],"mmmm"))</f>
        <v>JULIO</v>
      </c>
      <c r="G30">
        <f>DAY(pbi_ListaEmpleadosExpertis[[#This Row],[FEC_NAC]])</f>
        <v>18</v>
      </c>
    </row>
    <row r="31" spans="1:7" x14ac:dyDescent="0.25">
      <c r="A31" t="s">
        <v>228</v>
      </c>
      <c r="B31" t="s">
        <v>352</v>
      </c>
      <c r="C31" s="55">
        <v>32507</v>
      </c>
      <c r="D31" t="s">
        <v>229</v>
      </c>
      <c r="E31" t="s">
        <v>342</v>
      </c>
      <c r="F31" t="str">
        <f>UPPER(TEXT(pbi_ListaEmpleadosExpertis[[#This Row],[FEC_NAC]],"mmmm"))</f>
        <v>DICIEMBRE</v>
      </c>
      <c r="G31">
        <f>DAY(pbi_ListaEmpleadosExpertis[[#This Row],[FEC_NAC]])</f>
        <v>30</v>
      </c>
    </row>
    <row r="32" spans="1:7" x14ac:dyDescent="0.25">
      <c r="A32" t="s">
        <v>236</v>
      </c>
      <c r="B32" t="s">
        <v>348</v>
      </c>
      <c r="C32" s="55">
        <v>32523</v>
      </c>
      <c r="D32" t="s">
        <v>237</v>
      </c>
      <c r="E32" t="s">
        <v>342</v>
      </c>
      <c r="F32" t="str">
        <f>UPPER(TEXT(pbi_ListaEmpleadosExpertis[[#This Row],[FEC_NAC]],"mmmm"))</f>
        <v>ENERO</v>
      </c>
      <c r="G32">
        <f>DAY(pbi_ListaEmpleadosExpertis[[#This Row],[FEC_NAC]])</f>
        <v>15</v>
      </c>
    </row>
    <row r="33" spans="1:7" x14ac:dyDescent="0.25">
      <c r="A33" t="s">
        <v>174</v>
      </c>
      <c r="B33" t="s">
        <v>346</v>
      </c>
      <c r="C33" s="55">
        <v>32697</v>
      </c>
      <c r="D33" t="s">
        <v>335</v>
      </c>
      <c r="E33" t="s">
        <v>0</v>
      </c>
      <c r="F33" t="str">
        <f>UPPER(TEXT(pbi_ListaEmpleadosExpertis[[#This Row],[FEC_NAC]],"mmmm"))</f>
        <v>JULIO</v>
      </c>
      <c r="G33">
        <f>DAY(pbi_ListaEmpleadosExpertis[[#This Row],[FEC_NAC]])</f>
        <v>8</v>
      </c>
    </row>
    <row r="34" spans="1:7" x14ac:dyDescent="0.25">
      <c r="A34" t="s">
        <v>41</v>
      </c>
      <c r="B34" t="s">
        <v>346</v>
      </c>
      <c r="C34" s="55">
        <v>32742</v>
      </c>
      <c r="D34" t="s">
        <v>245</v>
      </c>
      <c r="E34" t="s">
        <v>0</v>
      </c>
      <c r="F34" t="str">
        <f>UPPER(TEXT(pbi_ListaEmpleadosExpertis[[#This Row],[FEC_NAC]],"mmmm"))</f>
        <v>AGOSTO</v>
      </c>
      <c r="G34">
        <f>DAY(pbi_ListaEmpleadosExpertis[[#This Row],[FEC_NAC]])</f>
        <v>22</v>
      </c>
    </row>
    <row r="35" spans="1:7" x14ac:dyDescent="0.25">
      <c r="A35" t="s">
        <v>214</v>
      </c>
      <c r="B35" t="s">
        <v>133</v>
      </c>
      <c r="C35" s="55">
        <v>32748</v>
      </c>
      <c r="D35" t="s">
        <v>215</v>
      </c>
      <c r="E35" t="s">
        <v>342</v>
      </c>
      <c r="F35" t="str">
        <f>UPPER(TEXT(pbi_ListaEmpleadosExpertis[[#This Row],[FEC_NAC]],"mmmm"))</f>
        <v>AGOSTO</v>
      </c>
      <c r="G35">
        <f>DAY(pbi_ListaEmpleadosExpertis[[#This Row],[FEC_NAC]])</f>
        <v>28</v>
      </c>
    </row>
    <row r="36" spans="1:7" x14ac:dyDescent="0.25">
      <c r="A36" t="s">
        <v>294</v>
      </c>
      <c r="B36" t="s">
        <v>358</v>
      </c>
      <c r="C36" s="55">
        <v>32983</v>
      </c>
      <c r="D36" t="s">
        <v>295</v>
      </c>
      <c r="E36" t="s">
        <v>342</v>
      </c>
      <c r="F36" t="str">
        <f>UPPER(TEXT(pbi_ListaEmpleadosExpertis[[#This Row],[FEC_NAC]],"mmmm"))</f>
        <v>ABRIL</v>
      </c>
      <c r="G36">
        <f>DAY(pbi_ListaEmpleadosExpertis[[#This Row],[FEC_NAC]])</f>
        <v>20</v>
      </c>
    </row>
    <row r="37" spans="1:7" x14ac:dyDescent="0.25">
      <c r="A37" t="s">
        <v>327</v>
      </c>
      <c r="B37" t="s">
        <v>364</v>
      </c>
      <c r="C37" s="55">
        <v>33158</v>
      </c>
      <c r="D37" t="s">
        <v>328</v>
      </c>
      <c r="E37" t="s">
        <v>342</v>
      </c>
      <c r="F37" t="str">
        <f>UPPER(TEXT(pbi_ListaEmpleadosExpertis[[#This Row],[FEC_NAC]],"mmmm"))</f>
        <v>OCTUBRE</v>
      </c>
      <c r="G37">
        <f>DAY(pbi_ListaEmpleadosExpertis[[#This Row],[FEC_NAC]])</f>
        <v>12</v>
      </c>
    </row>
    <row r="38" spans="1:7" x14ac:dyDescent="0.25">
      <c r="A38" t="s">
        <v>96</v>
      </c>
      <c r="B38" t="s">
        <v>346</v>
      </c>
      <c r="C38" s="55">
        <v>33230</v>
      </c>
      <c r="D38" t="s">
        <v>302</v>
      </c>
      <c r="E38" t="s">
        <v>0</v>
      </c>
      <c r="F38" t="str">
        <f>UPPER(TEXT(pbi_ListaEmpleadosExpertis[[#This Row],[FEC_NAC]],"mmmm"))</f>
        <v>DICIEMBRE</v>
      </c>
      <c r="G38">
        <f>DAY(pbi_ListaEmpleadosExpertis[[#This Row],[FEC_NAC]])</f>
        <v>23</v>
      </c>
    </row>
    <row r="39" spans="1:7" x14ac:dyDescent="0.25">
      <c r="A39" t="s">
        <v>50</v>
      </c>
      <c r="B39" t="s">
        <v>346</v>
      </c>
      <c r="C39" s="55">
        <v>33383</v>
      </c>
      <c r="D39" t="s">
        <v>288</v>
      </c>
      <c r="E39" t="s">
        <v>0</v>
      </c>
      <c r="F39" t="str">
        <f>UPPER(TEXT(pbi_ListaEmpleadosExpertis[[#This Row],[FEC_NAC]],"mmmm"))</f>
        <v>MAYO</v>
      </c>
      <c r="G39">
        <f>DAY(pbi_ListaEmpleadosExpertis[[#This Row],[FEC_NAC]])</f>
        <v>25</v>
      </c>
    </row>
    <row r="40" spans="1:7" x14ac:dyDescent="0.25">
      <c r="A40" t="s">
        <v>38</v>
      </c>
      <c r="B40" t="s">
        <v>346</v>
      </c>
      <c r="C40" s="55">
        <v>33472</v>
      </c>
      <c r="D40" t="s">
        <v>310</v>
      </c>
      <c r="E40" t="s">
        <v>0</v>
      </c>
      <c r="F40" t="str">
        <f>UPPER(TEXT(pbi_ListaEmpleadosExpertis[[#This Row],[FEC_NAC]],"mmmm"))</f>
        <v>AGOSTO</v>
      </c>
      <c r="G40">
        <f>DAY(pbi_ListaEmpleadosExpertis[[#This Row],[FEC_NAC]])</f>
        <v>22</v>
      </c>
    </row>
    <row r="41" spans="1:7" x14ac:dyDescent="0.25">
      <c r="A41" t="s">
        <v>290</v>
      </c>
      <c r="B41" t="s">
        <v>356</v>
      </c>
      <c r="C41" s="55">
        <v>33496</v>
      </c>
      <c r="D41" t="s">
        <v>291</v>
      </c>
      <c r="E41" t="s">
        <v>342</v>
      </c>
      <c r="F41" t="str">
        <f>UPPER(TEXT(pbi_ListaEmpleadosExpertis[[#This Row],[FEC_NAC]],"mmmm"))</f>
        <v>SETIEMBRE</v>
      </c>
      <c r="G41">
        <f>DAY(pbi_ListaEmpleadosExpertis[[#This Row],[FEC_NAC]])</f>
        <v>15</v>
      </c>
    </row>
    <row r="42" spans="1:7" x14ac:dyDescent="0.25">
      <c r="A42" t="s">
        <v>65</v>
      </c>
      <c r="B42" t="s">
        <v>346</v>
      </c>
      <c r="C42" s="55">
        <v>33579</v>
      </c>
      <c r="D42" t="s">
        <v>266</v>
      </c>
      <c r="E42" t="s">
        <v>0</v>
      </c>
      <c r="F42" t="str">
        <f>UPPER(TEXT(pbi_ListaEmpleadosExpertis[[#This Row],[FEC_NAC]],"mmmm"))</f>
        <v>DICIEMBRE</v>
      </c>
      <c r="G42">
        <f>DAY(pbi_ListaEmpleadosExpertis[[#This Row],[FEC_NAC]])</f>
        <v>7</v>
      </c>
    </row>
    <row r="43" spans="1:7" x14ac:dyDescent="0.25">
      <c r="A43" t="s">
        <v>15</v>
      </c>
      <c r="B43" t="s">
        <v>346</v>
      </c>
      <c r="C43" s="55">
        <v>33997</v>
      </c>
      <c r="D43" t="s">
        <v>253</v>
      </c>
      <c r="E43" t="s">
        <v>0</v>
      </c>
      <c r="F43" t="str">
        <f>UPPER(TEXT(pbi_ListaEmpleadosExpertis[[#This Row],[FEC_NAC]],"mmmm"))</f>
        <v>ENERO</v>
      </c>
      <c r="G43">
        <f>DAY(pbi_ListaEmpleadosExpertis[[#This Row],[FEC_NAC]])</f>
        <v>28</v>
      </c>
    </row>
    <row r="44" spans="1:7" x14ac:dyDescent="0.25">
      <c r="A44" t="s">
        <v>72</v>
      </c>
      <c r="B44" t="s">
        <v>346</v>
      </c>
      <c r="C44" s="55">
        <v>34072</v>
      </c>
      <c r="D44" t="s">
        <v>268</v>
      </c>
      <c r="E44" t="s">
        <v>0</v>
      </c>
      <c r="F44" t="str">
        <f>UPPER(TEXT(pbi_ListaEmpleadosExpertis[[#This Row],[FEC_NAC]],"mmmm"))</f>
        <v>ABRIL</v>
      </c>
      <c r="G44">
        <f>DAY(pbi_ListaEmpleadosExpertis[[#This Row],[FEC_NAC]])</f>
        <v>13</v>
      </c>
    </row>
    <row r="45" spans="1:7" x14ac:dyDescent="0.25">
      <c r="A45" t="s">
        <v>29</v>
      </c>
      <c r="B45" t="s">
        <v>346</v>
      </c>
      <c r="C45" s="55">
        <v>34083</v>
      </c>
      <c r="D45" t="s">
        <v>250</v>
      </c>
      <c r="E45" t="s">
        <v>0</v>
      </c>
      <c r="F45" t="str">
        <f>UPPER(TEXT(pbi_ListaEmpleadosExpertis[[#This Row],[FEC_NAC]],"mmmm"))</f>
        <v>ABRIL</v>
      </c>
      <c r="G45">
        <f>DAY(pbi_ListaEmpleadosExpertis[[#This Row],[FEC_NAC]])</f>
        <v>24</v>
      </c>
    </row>
    <row r="46" spans="1:7" x14ac:dyDescent="0.25">
      <c r="A46" t="s">
        <v>58</v>
      </c>
      <c r="B46" t="s">
        <v>346</v>
      </c>
      <c r="C46" s="55">
        <v>34110</v>
      </c>
      <c r="D46" t="s">
        <v>216</v>
      </c>
      <c r="E46" t="s">
        <v>0</v>
      </c>
      <c r="F46" t="str">
        <f>UPPER(TEXT(pbi_ListaEmpleadosExpertis[[#This Row],[FEC_NAC]],"mmmm"))</f>
        <v>MAYO</v>
      </c>
      <c r="G46">
        <f>DAY(pbi_ListaEmpleadosExpertis[[#This Row],[FEC_NAC]])</f>
        <v>21</v>
      </c>
    </row>
    <row r="47" spans="1:7" x14ac:dyDescent="0.25">
      <c r="A47" t="s">
        <v>105</v>
      </c>
      <c r="B47" t="s">
        <v>346</v>
      </c>
      <c r="C47" s="55">
        <v>34138</v>
      </c>
      <c r="D47" t="s">
        <v>246</v>
      </c>
      <c r="E47" t="s">
        <v>0</v>
      </c>
      <c r="F47" t="str">
        <f>UPPER(TEXT(pbi_ListaEmpleadosExpertis[[#This Row],[FEC_NAC]],"mmmm"))</f>
        <v>JUNIO</v>
      </c>
      <c r="G47">
        <f>DAY(pbi_ListaEmpleadosExpertis[[#This Row],[FEC_NAC]])</f>
        <v>18</v>
      </c>
    </row>
    <row r="48" spans="1:7" x14ac:dyDescent="0.25">
      <c r="A48" t="s">
        <v>226</v>
      </c>
      <c r="B48" t="s">
        <v>133</v>
      </c>
      <c r="C48" s="55">
        <v>34159</v>
      </c>
      <c r="D48" t="s">
        <v>227</v>
      </c>
      <c r="E48" t="s">
        <v>342</v>
      </c>
      <c r="F48" t="str">
        <f>UPPER(TEXT(pbi_ListaEmpleadosExpertis[[#This Row],[FEC_NAC]],"mmmm"))</f>
        <v>JULIO</v>
      </c>
      <c r="G48">
        <f>DAY(pbi_ListaEmpleadosExpertis[[#This Row],[FEC_NAC]])</f>
        <v>9</v>
      </c>
    </row>
    <row r="49" spans="1:7" x14ac:dyDescent="0.25">
      <c r="A49" t="s">
        <v>276</v>
      </c>
      <c r="B49" t="s">
        <v>624</v>
      </c>
      <c r="C49" s="55">
        <v>34263</v>
      </c>
      <c r="D49" t="s">
        <v>277</v>
      </c>
      <c r="E49" t="s">
        <v>342</v>
      </c>
      <c r="F49" t="str">
        <f>UPPER(TEXT(pbi_ListaEmpleadosExpertis[[#This Row],[FEC_NAC]],"mmmm"))</f>
        <v>OCTUBRE</v>
      </c>
      <c r="G49">
        <f>DAY(pbi_ListaEmpleadosExpertis[[#This Row],[FEC_NAC]])</f>
        <v>21</v>
      </c>
    </row>
    <row r="50" spans="1:7" x14ac:dyDescent="0.25">
      <c r="A50" t="s">
        <v>319</v>
      </c>
      <c r="B50" t="s">
        <v>368</v>
      </c>
      <c r="C50" s="55">
        <v>34307</v>
      </c>
      <c r="D50" t="s">
        <v>320</v>
      </c>
      <c r="E50" t="s">
        <v>342</v>
      </c>
      <c r="F50" t="str">
        <f>UPPER(TEXT(pbi_ListaEmpleadosExpertis[[#This Row],[FEC_NAC]],"mmmm"))</f>
        <v>DICIEMBRE</v>
      </c>
      <c r="G50">
        <f>DAY(pbi_ListaEmpleadosExpertis[[#This Row],[FEC_NAC]])</f>
        <v>4</v>
      </c>
    </row>
    <row r="51" spans="1:7" x14ac:dyDescent="0.25">
      <c r="A51" t="s">
        <v>321</v>
      </c>
      <c r="B51" t="s">
        <v>369</v>
      </c>
      <c r="C51" s="55">
        <v>34317</v>
      </c>
      <c r="D51" t="s">
        <v>322</v>
      </c>
      <c r="E51" t="s">
        <v>342</v>
      </c>
      <c r="F51" t="str">
        <f>UPPER(TEXT(pbi_ListaEmpleadosExpertis[[#This Row],[FEC_NAC]],"mmmm"))</f>
        <v>DICIEMBRE</v>
      </c>
      <c r="G51">
        <f>DAY(pbi_ListaEmpleadosExpertis[[#This Row],[FEC_NAC]])</f>
        <v>14</v>
      </c>
    </row>
    <row r="52" spans="1:7" x14ac:dyDescent="0.25">
      <c r="A52" t="s">
        <v>212</v>
      </c>
      <c r="B52" t="s">
        <v>133</v>
      </c>
      <c r="C52" s="55">
        <v>34332</v>
      </c>
      <c r="D52" t="s">
        <v>213</v>
      </c>
      <c r="E52" t="s">
        <v>342</v>
      </c>
      <c r="F52" t="str">
        <f>UPPER(TEXT(pbi_ListaEmpleadosExpertis[[#This Row],[FEC_NAC]],"mmmm"))</f>
        <v>DICIEMBRE</v>
      </c>
      <c r="G52">
        <f>DAY(pbi_ListaEmpleadosExpertis[[#This Row],[FEC_NAC]])</f>
        <v>29</v>
      </c>
    </row>
    <row r="53" spans="1:7" x14ac:dyDescent="0.25">
      <c r="A53" t="s">
        <v>224</v>
      </c>
      <c r="B53" t="s">
        <v>133</v>
      </c>
      <c r="C53" s="55">
        <v>34369</v>
      </c>
      <c r="D53" t="s">
        <v>225</v>
      </c>
      <c r="E53" t="s">
        <v>342</v>
      </c>
      <c r="F53" t="str">
        <f>UPPER(TEXT(pbi_ListaEmpleadosExpertis[[#This Row],[FEC_NAC]],"mmmm"))</f>
        <v>FEBRERO</v>
      </c>
      <c r="G53">
        <f>DAY(pbi_ListaEmpleadosExpertis[[#This Row],[FEC_NAC]])</f>
        <v>4</v>
      </c>
    </row>
    <row r="54" spans="1:7" x14ac:dyDescent="0.25">
      <c r="A54" t="s">
        <v>22</v>
      </c>
      <c r="B54" t="s">
        <v>346</v>
      </c>
      <c r="C54" s="55">
        <v>34422</v>
      </c>
      <c r="D54" t="s">
        <v>275</v>
      </c>
      <c r="E54" t="s">
        <v>0</v>
      </c>
      <c r="F54" t="str">
        <f>UPPER(TEXT(pbi_ListaEmpleadosExpertis[[#This Row],[FEC_NAC]],"mmmm"))</f>
        <v>MARZO</v>
      </c>
      <c r="G54">
        <f>DAY(pbi_ListaEmpleadosExpertis[[#This Row],[FEC_NAC]])</f>
        <v>29</v>
      </c>
    </row>
    <row r="55" spans="1:7" x14ac:dyDescent="0.25">
      <c r="A55" t="s">
        <v>549</v>
      </c>
      <c r="B55" t="s">
        <v>560</v>
      </c>
      <c r="C55" s="55">
        <v>34446</v>
      </c>
      <c r="D55" t="s">
        <v>561</v>
      </c>
      <c r="E55" t="s">
        <v>342</v>
      </c>
      <c r="F55" t="str">
        <f>UPPER(TEXT(pbi_ListaEmpleadosExpertis[[#This Row],[FEC_NAC]],"mmmm"))</f>
        <v>ABRIL</v>
      </c>
      <c r="G55">
        <f>DAY(pbi_ListaEmpleadosExpertis[[#This Row],[FEC_NAC]])</f>
        <v>22</v>
      </c>
    </row>
    <row r="56" spans="1:7" x14ac:dyDescent="0.25">
      <c r="A56" t="s">
        <v>32</v>
      </c>
      <c r="B56" t="s">
        <v>346</v>
      </c>
      <c r="C56" s="55">
        <v>34529</v>
      </c>
      <c r="D56" t="s">
        <v>289</v>
      </c>
      <c r="E56" t="s">
        <v>0</v>
      </c>
      <c r="F56" t="str">
        <f>UPPER(TEXT(pbi_ListaEmpleadosExpertis[[#This Row],[FEC_NAC]],"mmmm"))</f>
        <v>JULIO</v>
      </c>
      <c r="G56">
        <f>DAY(pbi_ListaEmpleadosExpertis[[#This Row],[FEC_NAC]])</f>
        <v>14</v>
      </c>
    </row>
    <row r="57" spans="1:7" x14ac:dyDescent="0.25">
      <c r="A57" t="s">
        <v>122</v>
      </c>
      <c r="B57" t="s">
        <v>346</v>
      </c>
      <c r="C57" s="55">
        <v>34546</v>
      </c>
      <c r="D57" t="s">
        <v>267</v>
      </c>
      <c r="E57" t="s">
        <v>0</v>
      </c>
      <c r="F57" t="str">
        <f>UPPER(TEXT(pbi_ListaEmpleadosExpertis[[#This Row],[FEC_NAC]],"mmmm"))</f>
        <v>JULIO</v>
      </c>
      <c r="G57">
        <f>DAY(pbi_ListaEmpleadosExpertis[[#This Row],[FEC_NAC]])</f>
        <v>31</v>
      </c>
    </row>
    <row r="58" spans="1:7" x14ac:dyDescent="0.25">
      <c r="A58" t="s">
        <v>75</v>
      </c>
      <c r="B58" t="s">
        <v>346</v>
      </c>
      <c r="C58" s="55">
        <v>34563</v>
      </c>
      <c r="D58" t="s">
        <v>252</v>
      </c>
      <c r="E58" t="s">
        <v>0</v>
      </c>
      <c r="F58" t="str">
        <f>UPPER(TEXT(pbi_ListaEmpleadosExpertis[[#This Row],[FEC_NAC]],"mmmm"))</f>
        <v>AGOSTO</v>
      </c>
      <c r="G58">
        <f>DAY(pbi_ListaEmpleadosExpertis[[#This Row],[FEC_NAC]])</f>
        <v>17</v>
      </c>
    </row>
    <row r="59" spans="1:7" x14ac:dyDescent="0.25">
      <c r="A59" t="s">
        <v>298</v>
      </c>
      <c r="B59" t="s">
        <v>360</v>
      </c>
      <c r="C59" s="55">
        <v>34575</v>
      </c>
      <c r="D59" t="s">
        <v>299</v>
      </c>
      <c r="E59" t="s">
        <v>342</v>
      </c>
      <c r="F59" t="str">
        <f>UPPER(TEXT(pbi_ListaEmpleadosExpertis[[#This Row],[FEC_NAC]],"mmmm"))</f>
        <v>AGOSTO</v>
      </c>
      <c r="G59">
        <f>DAY(pbi_ListaEmpleadosExpertis[[#This Row],[FEC_NAC]])</f>
        <v>29</v>
      </c>
    </row>
    <row r="60" spans="1:7" x14ac:dyDescent="0.25">
      <c r="A60" t="s">
        <v>292</v>
      </c>
      <c r="B60" t="s">
        <v>357</v>
      </c>
      <c r="C60" s="55">
        <v>34610</v>
      </c>
      <c r="D60" t="s">
        <v>293</v>
      </c>
      <c r="E60" t="s">
        <v>342</v>
      </c>
      <c r="F60" t="str">
        <f>UPPER(TEXT(pbi_ListaEmpleadosExpertis[[#This Row],[FEC_NAC]],"mmmm"))</f>
        <v>OCTUBRE</v>
      </c>
      <c r="G60">
        <f>DAY(pbi_ListaEmpleadosExpertis[[#This Row],[FEC_NAC]])</f>
        <v>3</v>
      </c>
    </row>
    <row r="61" spans="1:7" x14ac:dyDescent="0.25">
      <c r="A61" t="s">
        <v>325</v>
      </c>
      <c r="B61" t="s">
        <v>371</v>
      </c>
      <c r="C61" s="55">
        <v>34677</v>
      </c>
      <c r="D61" t="s">
        <v>326</v>
      </c>
      <c r="E61" t="s">
        <v>342</v>
      </c>
      <c r="F61" t="str">
        <f>UPPER(TEXT(pbi_ListaEmpleadosExpertis[[#This Row],[FEC_NAC]],"mmmm"))</f>
        <v>DICIEMBRE</v>
      </c>
      <c r="G61">
        <f>DAY(pbi_ListaEmpleadosExpertis[[#This Row],[FEC_NAC]])</f>
        <v>9</v>
      </c>
    </row>
    <row r="62" spans="1:7" x14ac:dyDescent="0.25">
      <c r="A62" t="s">
        <v>81</v>
      </c>
      <c r="B62" t="s">
        <v>346</v>
      </c>
      <c r="C62" s="55">
        <v>34710</v>
      </c>
      <c r="D62" t="s">
        <v>287</v>
      </c>
      <c r="E62" t="s">
        <v>0</v>
      </c>
      <c r="F62" t="str">
        <f>UPPER(TEXT(pbi_ListaEmpleadosExpertis[[#This Row],[FEC_NAC]],"mmmm"))</f>
        <v>ENERO</v>
      </c>
      <c r="G62">
        <f>DAY(pbi_ListaEmpleadosExpertis[[#This Row],[FEC_NAC]])</f>
        <v>11</v>
      </c>
    </row>
    <row r="63" spans="1:7" x14ac:dyDescent="0.25">
      <c r="A63" t="s">
        <v>308</v>
      </c>
      <c r="B63" t="s">
        <v>364</v>
      </c>
      <c r="C63" s="55">
        <v>34782</v>
      </c>
      <c r="D63" t="s">
        <v>309</v>
      </c>
      <c r="E63" t="s">
        <v>342</v>
      </c>
      <c r="F63" t="str">
        <f>UPPER(TEXT(pbi_ListaEmpleadosExpertis[[#This Row],[FEC_NAC]],"mmmm"))</f>
        <v>MARZO</v>
      </c>
      <c r="G63">
        <f>DAY(pbi_ListaEmpleadosExpertis[[#This Row],[FEC_NAC]])</f>
        <v>24</v>
      </c>
    </row>
    <row r="64" spans="1:7" x14ac:dyDescent="0.25">
      <c r="A64" t="s">
        <v>97</v>
      </c>
      <c r="B64" t="s">
        <v>346</v>
      </c>
      <c r="C64" s="55">
        <v>34832</v>
      </c>
      <c r="D64" t="s">
        <v>316</v>
      </c>
      <c r="E64" t="s">
        <v>0</v>
      </c>
      <c r="F64" t="str">
        <f>UPPER(TEXT(pbi_ListaEmpleadosExpertis[[#This Row],[FEC_NAC]],"mmmm"))</f>
        <v>MAYO</v>
      </c>
      <c r="G64">
        <f>DAY(pbi_ListaEmpleadosExpertis[[#This Row],[FEC_NAC]])</f>
        <v>13</v>
      </c>
    </row>
    <row r="65" spans="1:7" x14ac:dyDescent="0.25">
      <c r="A65" t="s">
        <v>234</v>
      </c>
      <c r="B65" t="s">
        <v>347</v>
      </c>
      <c r="C65" s="55">
        <v>34917</v>
      </c>
      <c r="D65" t="s">
        <v>235</v>
      </c>
      <c r="E65" t="s">
        <v>342</v>
      </c>
      <c r="F65" t="str">
        <f>UPPER(TEXT(pbi_ListaEmpleadosExpertis[[#This Row],[FEC_NAC]],"mmmm"))</f>
        <v>AGOSTO</v>
      </c>
      <c r="G65">
        <f>DAY(pbi_ListaEmpleadosExpertis[[#This Row],[FEC_NAC]])</f>
        <v>6</v>
      </c>
    </row>
    <row r="66" spans="1:7" x14ac:dyDescent="0.25">
      <c r="A66" t="s">
        <v>232</v>
      </c>
      <c r="B66" t="s">
        <v>351</v>
      </c>
      <c r="C66" s="55">
        <v>35013</v>
      </c>
      <c r="D66" t="s">
        <v>233</v>
      </c>
      <c r="E66" t="s">
        <v>342</v>
      </c>
      <c r="F66" t="str">
        <f>UPPER(TEXT(pbi_ListaEmpleadosExpertis[[#This Row],[FEC_NAC]],"mmmm"))</f>
        <v>NOVIEMBRE</v>
      </c>
      <c r="G66">
        <f>DAY(pbi_ListaEmpleadosExpertis[[#This Row],[FEC_NAC]])</f>
        <v>10</v>
      </c>
    </row>
    <row r="67" spans="1:7" x14ac:dyDescent="0.25">
      <c r="A67" t="s">
        <v>333</v>
      </c>
      <c r="B67" t="s">
        <v>374</v>
      </c>
      <c r="C67" s="55">
        <v>35081</v>
      </c>
      <c r="D67" t="s">
        <v>334</v>
      </c>
      <c r="E67" t="s">
        <v>342</v>
      </c>
      <c r="F67" t="str">
        <f>UPPER(TEXT(pbi_ListaEmpleadosExpertis[[#This Row],[FEC_NAC]],"mmmm"))</f>
        <v>ENERO</v>
      </c>
      <c r="G67">
        <f>DAY(pbi_ListaEmpleadosExpertis[[#This Row],[FEC_NAC]])</f>
        <v>17</v>
      </c>
    </row>
    <row r="68" spans="1:7" x14ac:dyDescent="0.25">
      <c r="A68" t="s">
        <v>68</v>
      </c>
      <c r="B68" t="s">
        <v>346</v>
      </c>
      <c r="C68" s="55">
        <v>35108</v>
      </c>
      <c r="D68" t="s">
        <v>282</v>
      </c>
      <c r="E68" t="s">
        <v>0</v>
      </c>
      <c r="F68" t="str">
        <f>UPPER(TEXT(pbi_ListaEmpleadosExpertis[[#This Row],[FEC_NAC]],"mmmm"))</f>
        <v>FEBRERO</v>
      </c>
      <c r="G68">
        <f>DAY(pbi_ListaEmpleadosExpertis[[#This Row],[FEC_NAC]])</f>
        <v>13</v>
      </c>
    </row>
    <row r="69" spans="1:7" x14ac:dyDescent="0.25">
      <c r="A69" t="s">
        <v>79</v>
      </c>
      <c r="B69" t="s">
        <v>346</v>
      </c>
      <c r="C69" s="55">
        <v>35268</v>
      </c>
      <c r="D69" t="s">
        <v>244</v>
      </c>
      <c r="E69" t="s">
        <v>0</v>
      </c>
      <c r="F69" t="str">
        <f>UPPER(TEXT(pbi_ListaEmpleadosExpertis[[#This Row],[FEC_NAC]],"mmmm"))</f>
        <v>JULIO</v>
      </c>
      <c r="G69">
        <f>DAY(pbi_ListaEmpleadosExpertis[[#This Row],[FEC_NAC]])</f>
        <v>22</v>
      </c>
    </row>
    <row r="70" spans="1:7" x14ac:dyDescent="0.25">
      <c r="A70" t="s">
        <v>13</v>
      </c>
      <c r="B70" t="s">
        <v>346</v>
      </c>
      <c r="C70" s="55">
        <v>35346</v>
      </c>
      <c r="D70" t="s">
        <v>256</v>
      </c>
      <c r="E70" t="s">
        <v>0</v>
      </c>
      <c r="F70" t="str">
        <f>UPPER(TEXT(pbi_ListaEmpleadosExpertis[[#This Row],[FEC_NAC]],"mmmm"))</f>
        <v>OCTUBRE</v>
      </c>
      <c r="G70">
        <f>DAY(pbi_ListaEmpleadosExpertis[[#This Row],[FEC_NAC]])</f>
        <v>8</v>
      </c>
    </row>
    <row r="71" spans="1:7" x14ac:dyDescent="0.25">
      <c r="A71" t="s">
        <v>336</v>
      </c>
      <c r="B71" t="s">
        <v>375</v>
      </c>
      <c r="C71" s="55">
        <v>35388</v>
      </c>
      <c r="D71" t="s">
        <v>337</v>
      </c>
      <c r="E71" t="s">
        <v>342</v>
      </c>
      <c r="F71" t="str">
        <f>UPPER(TEXT(pbi_ListaEmpleadosExpertis[[#This Row],[FEC_NAC]],"mmmm"))</f>
        <v>NOVIEMBRE</v>
      </c>
      <c r="G71">
        <f>DAY(pbi_ListaEmpleadosExpertis[[#This Row],[FEC_NAC]])</f>
        <v>19</v>
      </c>
    </row>
    <row r="72" spans="1:7" x14ac:dyDescent="0.25">
      <c r="A72" t="s">
        <v>18</v>
      </c>
      <c r="B72" t="s">
        <v>346</v>
      </c>
      <c r="C72" s="55">
        <v>35472</v>
      </c>
      <c r="D72" t="s">
        <v>269</v>
      </c>
      <c r="E72" t="s">
        <v>0</v>
      </c>
      <c r="F72" t="str">
        <f>UPPER(TEXT(pbi_ListaEmpleadosExpertis[[#This Row],[FEC_NAC]],"mmmm"))</f>
        <v>FEBRERO</v>
      </c>
      <c r="G72">
        <f>DAY(pbi_ListaEmpleadosExpertis[[#This Row],[FEC_NAC]])</f>
        <v>11</v>
      </c>
    </row>
    <row r="73" spans="1:7" x14ac:dyDescent="0.25">
      <c r="A73" t="s">
        <v>17</v>
      </c>
      <c r="B73" t="s">
        <v>346</v>
      </c>
      <c r="C73" s="55">
        <v>35492</v>
      </c>
      <c r="D73" t="s">
        <v>263</v>
      </c>
      <c r="E73" t="s">
        <v>0</v>
      </c>
      <c r="F73" t="str">
        <f>UPPER(TEXT(pbi_ListaEmpleadosExpertis[[#This Row],[FEC_NAC]],"mmmm"))</f>
        <v>MARZO</v>
      </c>
      <c r="G73">
        <f>DAY(pbi_ListaEmpleadosExpertis[[#This Row],[FEC_NAC]])</f>
        <v>3</v>
      </c>
    </row>
    <row r="74" spans="1:7" x14ac:dyDescent="0.25">
      <c r="A74" t="s">
        <v>23</v>
      </c>
      <c r="B74" t="s">
        <v>346</v>
      </c>
      <c r="C74" s="55">
        <v>35504</v>
      </c>
      <c r="D74" t="s">
        <v>211</v>
      </c>
      <c r="E74" t="s">
        <v>0</v>
      </c>
      <c r="F74" t="str">
        <f>UPPER(TEXT(pbi_ListaEmpleadosExpertis[[#This Row],[FEC_NAC]],"mmmm"))</f>
        <v>MARZO</v>
      </c>
      <c r="G74">
        <f>DAY(pbi_ListaEmpleadosExpertis[[#This Row],[FEC_NAC]])</f>
        <v>15</v>
      </c>
    </row>
    <row r="75" spans="1:7" x14ac:dyDescent="0.25">
      <c r="A75" t="s">
        <v>601</v>
      </c>
      <c r="B75" t="s">
        <v>346</v>
      </c>
      <c r="C75" s="55">
        <v>35531</v>
      </c>
      <c r="D75" t="s">
        <v>623</v>
      </c>
      <c r="E75" t="s">
        <v>0</v>
      </c>
      <c r="F75" t="str">
        <f>UPPER(TEXT(pbi_ListaEmpleadosExpertis[[#This Row],[FEC_NAC]],"mmmm"))</f>
        <v>ABRIL</v>
      </c>
      <c r="G75">
        <f>DAY(pbi_ListaEmpleadosExpertis[[#This Row],[FEC_NAC]])</f>
        <v>11</v>
      </c>
    </row>
    <row r="76" spans="1:7" x14ac:dyDescent="0.25">
      <c r="A76" t="s">
        <v>76</v>
      </c>
      <c r="B76" t="s">
        <v>346</v>
      </c>
      <c r="C76" s="55">
        <v>35600</v>
      </c>
      <c r="D76" t="s">
        <v>257</v>
      </c>
      <c r="E76" t="s">
        <v>0</v>
      </c>
      <c r="F76" t="str">
        <f>UPPER(TEXT(pbi_ListaEmpleadosExpertis[[#This Row],[FEC_NAC]],"mmmm"))</f>
        <v>JUNIO</v>
      </c>
      <c r="G76">
        <f>DAY(pbi_ListaEmpleadosExpertis[[#This Row],[FEC_NAC]])</f>
        <v>19</v>
      </c>
    </row>
    <row r="77" spans="1:7" x14ac:dyDescent="0.25">
      <c r="A77" t="s">
        <v>34</v>
      </c>
      <c r="B77" t="s">
        <v>346</v>
      </c>
      <c r="C77" s="55">
        <v>35634</v>
      </c>
      <c r="D77" t="s">
        <v>271</v>
      </c>
      <c r="E77" t="s">
        <v>0</v>
      </c>
      <c r="F77" t="str">
        <f>UPPER(TEXT(pbi_ListaEmpleadosExpertis[[#This Row],[FEC_NAC]],"mmmm"))</f>
        <v>JULIO</v>
      </c>
      <c r="G77">
        <f>DAY(pbi_ListaEmpleadosExpertis[[#This Row],[FEC_NAC]])</f>
        <v>23</v>
      </c>
    </row>
    <row r="78" spans="1:7" x14ac:dyDescent="0.25">
      <c r="A78" t="s">
        <v>51</v>
      </c>
      <c r="B78" t="s">
        <v>346</v>
      </c>
      <c r="C78" s="55">
        <v>35642</v>
      </c>
      <c r="D78" t="s">
        <v>303</v>
      </c>
      <c r="E78" t="s">
        <v>0</v>
      </c>
      <c r="F78" t="str">
        <f>UPPER(TEXT(pbi_ListaEmpleadosExpertis[[#This Row],[FEC_NAC]],"mmmm"))</f>
        <v>JULIO</v>
      </c>
      <c r="G78">
        <f>DAY(pbi_ListaEmpleadosExpertis[[#This Row],[FEC_NAC]])</f>
        <v>31</v>
      </c>
    </row>
    <row r="79" spans="1:7" x14ac:dyDescent="0.25">
      <c r="A79" t="s">
        <v>109</v>
      </c>
      <c r="B79" t="s">
        <v>346</v>
      </c>
      <c r="C79" s="55">
        <v>35706</v>
      </c>
      <c r="D79" t="s">
        <v>279</v>
      </c>
      <c r="E79" t="s">
        <v>0</v>
      </c>
      <c r="F79" t="str">
        <f>UPPER(TEXT(pbi_ListaEmpleadosExpertis[[#This Row],[FEC_NAC]],"mmmm"))</f>
        <v>OCTUBRE</v>
      </c>
      <c r="G79">
        <f>DAY(pbi_ListaEmpleadosExpertis[[#This Row],[FEC_NAC]])</f>
        <v>3</v>
      </c>
    </row>
    <row r="80" spans="1:7" x14ac:dyDescent="0.25">
      <c r="A80" t="s">
        <v>615</v>
      </c>
      <c r="B80" t="s">
        <v>616</v>
      </c>
      <c r="C80" s="55">
        <v>35900</v>
      </c>
      <c r="D80" t="s">
        <v>617</v>
      </c>
      <c r="E80" t="s">
        <v>342</v>
      </c>
      <c r="F80" t="str">
        <f>UPPER(TEXT(pbi_ListaEmpleadosExpertis[[#This Row],[FEC_NAC]],"mmmm"))</f>
        <v>ABRIL</v>
      </c>
      <c r="G80">
        <f>DAY(pbi_ListaEmpleadosExpertis[[#This Row],[FEC_NAC]])</f>
        <v>15</v>
      </c>
    </row>
    <row r="81" spans="1:7" x14ac:dyDescent="0.25">
      <c r="A81" t="s">
        <v>19</v>
      </c>
      <c r="B81" t="s">
        <v>346</v>
      </c>
      <c r="C81" s="55">
        <v>35905</v>
      </c>
      <c r="D81" t="s">
        <v>247</v>
      </c>
      <c r="E81" t="s">
        <v>0</v>
      </c>
      <c r="F81" t="str">
        <f>UPPER(TEXT(pbi_ListaEmpleadosExpertis[[#This Row],[FEC_NAC]],"mmmm"))</f>
        <v>ABRIL</v>
      </c>
      <c r="G81">
        <f>DAY(pbi_ListaEmpleadosExpertis[[#This Row],[FEC_NAC]])</f>
        <v>20</v>
      </c>
    </row>
    <row r="82" spans="1:7" x14ac:dyDescent="0.25">
      <c r="A82" t="s">
        <v>219</v>
      </c>
      <c r="B82" t="s">
        <v>133</v>
      </c>
      <c r="C82" s="55">
        <v>35909</v>
      </c>
      <c r="D82" t="s">
        <v>220</v>
      </c>
      <c r="E82" t="s">
        <v>342</v>
      </c>
      <c r="F82" t="str">
        <f>UPPER(TEXT(pbi_ListaEmpleadosExpertis[[#This Row],[FEC_NAC]],"mmmm"))</f>
        <v>ABRIL</v>
      </c>
      <c r="G82">
        <f>DAY(pbi_ListaEmpleadosExpertis[[#This Row],[FEC_NAC]])</f>
        <v>24</v>
      </c>
    </row>
    <row r="83" spans="1:7" x14ac:dyDescent="0.25">
      <c r="A83" t="s">
        <v>37</v>
      </c>
      <c r="B83" t="s">
        <v>346</v>
      </c>
      <c r="C83" s="55">
        <v>36072</v>
      </c>
      <c r="D83" t="s">
        <v>218</v>
      </c>
      <c r="E83" t="s">
        <v>0</v>
      </c>
      <c r="F83" t="str">
        <f>UPPER(TEXT(pbi_ListaEmpleadosExpertis[[#This Row],[FEC_NAC]],"mmmm"))</f>
        <v>OCTUBRE</v>
      </c>
      <c r="G83">
        <f>DAY(pbi_ListaEmpleadosExpertis[[#This Row],[FEC_NAC]])</f>
        <v>4</v>
      </c>
    </row>
    <row r="84" spans="1:7" x14ac:dyDescent="0.25">
      <c r="A84" t="s">
        <v>621</v>
      </c>
      <c r="B84" t="s">
        <v>364</v>
      </c>
      <c r="C84" s="55">
        <v>36194</v>
      </c>
      <c r="D84" t="s">
        <v>622</v>
      </c>
      <c r="E84" t="s">
        <v>342</v>
      </c>
      <c r="F84" t="str">
        <f>UPPER(TEXT(pbi_ListaEmpleadosExpertis[[#This Row],[FEC_NAC]],"mmmm"))</f>
        <v>FEBRERO</v>
      </c>
      <c r="G84">
        <f>DAY(pbi_ListaEmpleadosExpertis[[#This Row],[FEC_NAC]])</f>
        <v>3</v>
      </c>
    </row>
    <row r="85" spans="1:7" x14ac:dyDescent="0.25">
      <c r="A85" t="s">
        <v>260</v>
      </c>
      <c r="B85" t="s">
        <v>357</v>
      </c>
      <c r="C85" s="55">
        <v>36240</v>
      </c>
      <c r="D85" t="s">
        <v>261</v>
      </c>
      <c r="E85" t="s">
        <v>342</v>
      </c>
      <c r="F85" t="str">
        <f>UPPER(TEXT(pbi_ListaEmpleadosExpertis[[#This Row],[FEC_NAC]],"mmmm"))</f>
        <v>MARZO</v>
      </c>
      <c r="G85">
        <f>DAY(pbi_ListaEmpleadosExpertis[[#This Row],[FEC_NAC]])</f>
        <v>21</v>
      </c>
    </row>
    <row r="86" spans="1:7" x14ac:dyDescent="0.25">
      <c r="A86" t="s">
        <v>25</v>
      </c>
      <c r="B86" t="s">
        <v>346</v>
      </c>
      <c r="C86" s="55">
        <v>36267</v>
      </c>
      <c r="D86" t="s">
        <v>258</v>
      </c>
      <c r="E86" t="s">
        <v>0</v>
      </c>
      <c r="F86" t="str">
        <f>UPPER(TEXT(pbi_ListaEmpleadosExpertis[[#This Row],[FEC_NAC]],"mmmm"))</f>
        <v>ABRIL</v>
      </c>
      <c r="G86">
        <f>DAY(pbi_ListaEmpleadosExpertis[[#This Row],[FEC_NAC]])</f>
        <v>17</v>
      </c>
    </row>
    <row r="87" spans="1:7" x14ac:dyDescent="0.25">
      <c r="A87" t="s">
        <v>612</v>
      </c>
      <c r="B87" t="s">
        <v>613</v>
      </c>
      <c r="C87" s="55">
        <v>36351</v>
      </c>
      <c r="D87" t="s">
        <v>614</v>
      </c>
      <c r="E87" t="s">
        <v>342</v>
      </c>
      <c r="F87" t="str">
        <f>UPPER(TEXT(pbi_ListaEmpleadosExpertis[[#This Row],[FEC_NAC]],"mmmm"))</f>
        <v>JULIO</v>
      </c>
      <c r="G87">
        <f>DAY(pbi_ListaEmpleadosExpertis[[#This Row],[FEC_NAC]])</f>
        <v>10</v>
      </c>
    </row>
    <row r="88" spans="1:7" x14ac:dyDescent="0.25">
      <c r="A88" t="s">
        <v>618</v>
      </c>
      <c r="B88" t="s">
        <v>619</v>
      </c>
      <c r="C88" s="55">
        <v>36417</v>
      </c>
      <c r="D88" t="s">
        <v>620</v>
      </c>
      <c r="E88" t="s">
        <v>342</v>
      </c>
      <c r="F88" t="str">
        <f>UPPER(TEXT(pbi_ListaEmpleadosExpertis[[#This Row],[FEC_NAC]],"mmmm"))</f>
        <v>SETIEMBRE</v>
      </c>
      <c r="G88">
        <f>DAY(pbi_ListaEmpleadosExpertis[[#This Row],[FEC_NAC]])</f>
        <v>14</v>
      </c>
    </row>
    <row r="89" spans="1:7" x14ac:dyDescent="0.25">
      <c r="A89" t="s">
        <v>600</v>
      </c>
      <c r="B89" t="s">
        <v>346</v>
      </c>
      <c r="C89" s="55">
        <v>36526</v>
      </c>
      <c r="D89" t="s">
        <v>606</v>
      </c>
      <c r="E89" t="s">
        <v>0</v>
      </c>
      <c r="F89" t="str">
        <f>UPPER(TEXT(pbi_ListaEmpleadosExpertis[[#This Row],[FEC_NAC]],"mmmm"))</f>
        <v>ENERO</v>
      </c>
      <c r="G89">
        <f>DAY(pbi_ListaEmpleadosExpertis[[#This Row],[FEC_NAC]])</f>
        <v>1</v>
      </c>
    </row>
    <row r="90" spans="1:7" x14ac:dyDescent="0.25">
      <c r="A90" t="s">
        <v>85</v>
      </c>
      <c r="B90" t="s">
        <v>346</v>
      </c>
      <c r="C90" s="55">
        <v>36674</v>
      </c>
      <c r="D90" t="s">
        <v>543</v>
      </c>
      <c r="E90" t="s">
        <v>0</v>
      </c>
      <c r="F90" t="str">
        <f>UPPER(TEXT(pbi_ListaEmpleadosExpertis[[#This Row],[FEC_NAC]],"mmmm"))</f>
        <v>MAYO</v>
      </c>
      <c r="G90">
        <f>DAY(pbi_ListaEmpleadosExpertis[[#This Row],[FEC_NAC]])</f>
        <v>28</v>
      </c>
    </row>
    <row r="91" spans="1:7" x14ac:dyDescent="0.25">
      <c r="A91" t="s">
        <v>493</v>
      </c>
      <c r="B91" t="s">
        <v>346</v>
      </c>
      <c r="C91" s="55">
        <v>36795</v>
      </c>
      <c r="D91" t="s">
        <v>494</v>
      </c>
      <c r="E91" t="s">
        <v>0</v>
      </c>
      <c r="F91" t="str">
        <f>UPPER(TEXT(pbi_ListaEmpleadosExpertis[[#This Row],[FEC_NAC]],"mmmm"))</f>
        <v>SETIEMBRE</v>
      </c>
      <c r="G91">
        <f>DAY(pbi_ListaEmpleadosExpertis[[#This Row],[FEC_NAC]])</f>
        <v>26</v>
      </c>
    </row>
    <row r="92" spans="1:7" x14ac:dyDescent="0.25">
      <c r="A92" t="s">
        <v>304</v>
      </c>
      <c r="B92" t="s">
        <v>362</v>
      </c>
      <c r="C92" s="55">
        <v>36819</v>
      </c>
      <c r="D92" t="s">
        <v>305</v>
      </c>
      <c r="E92" t="s">
        <v>342</v>
      </c>
      <c r="F92" t="str">
        <f>UPPER(TEXT(pbi_ListaEmpleadosExpertis[[#This Row],[FEC_NAC]],"mmmm"))</f>
        <v>OCTUBRE</v>
      </c>
      <c r="G92">
        <f>DAY(pbi_ListaEmpleadosExpertis[[#This Row],[FEC_NAC]])</f>
        <v>20</v>
      </c>
    </row>
    <row r="93" spans="1:7" x14ac:dyDescent="0.25">
      <c r="A93" t="s">
        <v>60</v>
      </c>
      <c r="B93" t="s">
        <v>346</v>
      </c>
      <c r="C93" s="55">
        <v>36877</v>
      </c>
      <c r="D93" t="s">
        <v>278</v>
      </c>
      <c r="E93" t="s">
        <v>0</v>
      </c>
      <c r="F93" t="str">
        <f>UPPER(TEXT(pbi_ListaEmpleadosExpertis[[#This Row],[FEC_NAC]],"mmmm"))</f>
        <v>DICIEMBRE</v>
      </c>
      <c r="G93">
        <f>DAY(pbi_ListaEmpleadosExpertis[[#This Row],[FEC_NAC]])</f>
        <v>17</v>
      </c>
    </row>
    <row r="94" spans="1:7" x14ac:dyDescent="0.25">
      <c r="A94" t="s">
        <v>312</v>
      </c>
      <c r="B94" t="s">
        <v>365</v>
      </c>
      <c r="C94" s="55">
        <v>37051</v>
      </c>
      <c r="D94" t="s">
        <v>313</v>
      </c>
      <c r="E94" t="s">
        <v>342</v>
      </c>
      <c r="F94" t="str">
        <f>UPPER(TEXT(pbi_ListaEmpleadosExpertis[[#This Row],[FEC_NAC]],"mmmm"))</f>
        <v>JUNIO</v>
      </c>
      <c r="G94">
        <f>DAY(pbi_ListaEmpleadosExpertis[[#This Row],[FEC_NAC]])</f>
        <v>9</v>
      </c>
    </row>
    <row r="95" spans="1:7" x14ac:dyDescent="0.25">
      <c r="A95" t="s">
        <v>495</v>
      </c>
      <c r="B95" t="s">
        <v>346</v>
      </c>
      <c r="C95" s="55">
        <v>37054</v>
      </c>
      <c r="D95" t="s">
        <v>496</v>
      </c>
      <c r="E95" t="s">
        <v>0</v>
      </c>
      <c r="F95" t="str">
        <f>UPPER(TEXT(pbi_ListaEmpleadosExpertis[[#This Row],[FEC_NAC]],"mmmm"))</f>
        <v>JUNIO</v>
      </c>
      <c r="G95">
        <f>DAY(pbi_ListaEmpleadosExpertis[[#This Row],[FEC_NAC]])</f>
        <v>12</v>
      </c>
    </row>
    <row r="96" spans="1:7" x14ac:dyDescent="0.25">
      <c r="A96" t="s">
        <v>329</v>
      </c>
      <c r="B96" t="s">
        <v>372</v>
      </c>
      <c r="C96" s="55">
        <v>37080</v>
      </c>
      <c r="D96" t="s">
        <v>330</v>
      </c>
      <c r="E96" t="s">
        <v>342</v>
      </c>
      <c r="F96" t="str">
        <f>UPPER(TEXT(pbi_ListaEmpleadosExpertis[[#This Row],[FEC_NAC]],"mmmm"))</f>
        <v>JULIO</v>
      </c>
      <c r="G96">
        <f>DAY(pbi_ListaEmpleadosExpertis[[#This Row],[FEC_NAC]])</f>
        <v>8</v>
      </c>
    </row>
    <row r="97" spans="1:7" x14ac:dyDescent="0.25">
      <c r="A97" t="s">
        <v>285</v>
      </c>
      <c r="B97" t="s">
        <v>374</v>
      </c>
      <c r="C97" s="55">
        <v>37354</v>
      </c>
      <c r="D97" t="s">
        <v>286</v>
      </c>
      <c r="E97" t="s">
        <v>342</v>
      </c>
      <c r="F97" t="str">
        <f>UPPER(TEXT(pbi_ListaEmpleadosExpertis[[#This Row],[FEC_NAC]],"mmmm"))</f>
        <v>ABRIL</v>
      </c>
      <c r="G97">
        <f>DAY(pbi_ListaEmpleadosExpertis[[#This Row],[FEC_NAC]])</f>
        <v>8</v>
      </c>
    </row>
    <row r="98" spans="1:7" x14ac:dyDescent="0.25">
      <c r="A98" t="s">
        <v>222</v>
      </c>
      <c r="B98" t="s">
        <v>133</v>
      </c>
      <c r="C98" s="55">
        <v>37410</v>
      </c>
      <c r="D98" t="s">
        <v>223</v>
      </c>
      <c r="E98" t="s">
        <v>342</v>
      </c>
      <c r="F98" t="str">
        <f>UPPER(TEXT(pbi_ListaEmpleadosExpertis[[#This Row],[FEC_NAC]],"mmmm"))</f>
        <v>JUNIO</v>
      </c>
      <c r="G98">
        <f>DAY(pbi_ListaEmpleadosExpertis[[#This Row],[FEC_NAC]])</f>
        <v>3</v>
      </c>
    </row>
    <row r="99" spans="1:7" x14ac:dyDescent="0.25">
      <c r="A99" t="s">
        <v>31</v>
      </c>
      <c r="B99" t="s">
        <v>346</v>
      </c>
      <c r="C99" s="55">
        <v>37505</v>
      </c>
      <c r="D99" t="s">
        <v>607</v>
      </c>
      <c r="E99" t="s">
        <v>0</v>
      </c>
      <c r="F99" t="str">
        <f>UPPER(TEXT(pbi_ListaEmpleadosExpertis[[#This Row],[FEC_NAC]],"mmmm"))</f>
        <v>SETIEMBRE</v>
      </c>
      <c r="G99">
        <f>DAY(pbi_ListaEmpleadosExpertis[[#This Row],[FEC_NAC]])</f>
        <v>6</v>
      </c>
    </row>
    <row r="100" spans="1:7" x14ac:dyDescent="0.25">
      <c r="A100" t="s">
        <v>331</v>
      </c>
      <c r="B100" t="s">
        <v>373</v>
      </c>
      <c r="C100" s="55">
        <v>37550</v>
      </c>
      <c r="D100" t="s">
        <v>332</v>
      </c>
      <c r="E100" t="s">
        <v>342</v>
      </c>
      <c r="F100" t="str">
        <f>UPPER(TEXT(pbi_ListaEmpleadosExpertis[[#This Row],[FEC_NAC]],"mmmm"))</f>
        <v>OCTUBRE</v>
      </c>
      <c r="G100">
        <f>DAY(pbi_ListaEmpleadosExpertis[[#This Row],[FEC_NAC]])</f>
        <v>21</v>
      </c>
    </row>
    <row r="101" spans="1:7" x14ac:dyDescent="0.25">
      <c r="A101" t="s">
        <v>42</v>
      </c>
      <c r="B101" t="s">
        <v>346</v>
      </c>
      <c r="C101" s="55">
        <v>37683</v>
      </c>
      <c r="D101" t="s">
        <v>284</v>
      </c>
      <c r="E101" t="s">
        <v>0</v>
      </c>
      <c r="F101" t="str">
        <f>UPPER(TEXT(pbi_ListaEmpleadosExpertis[[#This Row],[FEC_NAC]],"mmmm"))</f>
        <v>MARZO</v>
      </c>
      <c r="G101">
        <f>DAY(pbi_ListaEmpleadosExpertis[[#This Row],[FEC_NAC]])</f>
        <v>3</v>
      </c>
    </row>
    <row r="102" spans="1:7" x14ac:dyDescent="0.25">
      <c r="A102" t="s">
        <v>591</v>
      </c>
      <c r="B102" t="s">
        <v>592</v>
      </c>
      <c r="C102" s="55">
        <v>37729</v>
      </c>
      <c r="D102" t="s">
        <v>593</v>
      </c>
      <c r="E102" t="s">
        <v>342</v>
      </c>
      <c r="F102" t="str">
        <f>UPPER(TEXT(pbi_ListaEmpleadosExpertis[[#This Row],[FEC_NAC]],"mmmm"))</f>
        <v>ABRIL</v>
      </c>
      <c r="G102">
        <f>DAY(pbi_ListaEmpleadosExpertis[[#This Row],[FEC_NAC]])</f>
        <v>18</v>
      </c>
    </row>
    <row r="103" spans="1:7" x14ac:dyDescent="0.25">
      <c r="A103" t="s">
        <v>566</v>
      </c>
      <c r="B103" t="s">
        <v>346</v>
      </c>
      <c r="C103" s="55">
        <v>37743</v>
      </c>
      <c r="D103" t="s">
        <v>597</v>
      </c>
      <c r="E103" t="s">
        <v>0</v>
      </c>
      <c r="F103" t="str">
        <f>UPPER(TEXT(pbi_ListaEmpleadosExpertis[[#This Row],[FEC_NAC]],"mmmm"))</f>
        <v>MAYO</v>
      </c>
      <c r="G103">
        <f>DAY(pbi_ListaEmpleadosExpertis[[#This Row],[FEC_NAC]])</f>
        <v>2</v>
      </c>
    </row>
    <row r="104" spans="1:7" x14ac:dyDescent="0.25">
      <c r="A104" t="s">
        <v>59</v>
      </c>
      <c r="B104" t="s">
        <v>346</v>
      </c>
      <c r="C104" s="55">
        <v>38004</v>
      </c>
      <c r="D104" t="s">
        <v>281</v>
      </c>
      <c r="E104" t="s">
        <v>0</v>
      </c>
      <c r="F104" t="str">
        <f>UPPER(TEXT(pbi_ListaEmpleadosExpertis[[#This Row],[FEC_NAC]],"mmmm"))</f>
        <v>ENERO</v>
      </c>
      <c r="G104">
        <f>DAY(pbi_ListaEmpleadosExpertis[[#This Row],[FEC_NAC]])</f>
        <v>18</v>
      </c>
    </row>
    <row r="105" spans="1:7" x14ac:dyDescent="0.25">
      <c r="A105" t="s">
        <v>323</v>
      </c>
      <c r="B105" t="s">
        <v>370</v>
      </c>
      <c r="C105" s="55">
        <v>38097</v>
      </c>
      <c r="D105" t="s">
        <v>324</v>
      </c>
      <c r="E105" t="s">
        <v>342</v>
      </c>
      <c r="F105" t="str">
        <f>UPPER(TEXT(pbi_ListaEmpleadosExpertis[[#This Row],[FEC_NAC]],"mmmm"))</f>
        <v>ABRIL</v>
      </c>
      <c r="G105">
        <f>DAY(pbi_ListaEmpleadosExpertis[[#This Row],[FEC_NAC]])</f>
        <v>20</v>
      </c>
    </row>
    <row r="106" spans="1:7" x14ac:dyDescent="0.25">
      <c r="A106" t="s">
        <v>314</v>
      </c>
      <c r="B106" t="s">
        <v>366</v>
      </c>
      <c r="C106" s="55">
        <v>38500</v>
      </c>
      <c r="D106" t="s">
        <v>315</v>
      </c>
      <c r="E106" t="s">
        <v>342</v>
      </c>
      <c r="F106" t="str">
        <f>UPPER(TEXT(pbi_ListaEmpleadosExpertis[[#This Row],[FEC_NAC]],"mmmm"))</f>
        <v>MAYO</v>
      </c>
      <c r="G106">
        <f>DAY(pbi_ListaEmpleadosExpertis[[#This Row],[FEC_NAC]])</f>
        <v>28</v>
      </c>
    </row>
    <row r="107" spans="1:7" x14ac:dyDescent="0.25">
      <c r="A107" t="s">
        <v>589</v>
      </c>
      <c r="B107" t="s">
        <v>625</v>
      </c>
      <c r="C107" s="55"/>
      <c r="D107" t="s">
        <v>590</v>
      </c>
      <c r="E107" t="s">
        <v>342</v>
      </c>
      <c r="F107" t="str">
        <f>UPPER(TEXT(pbi_ListaEmpleadosExpertis[[#This Row],[FEC_NAC]],"mmmm"))</f>
        <v>ENERO</v>
      </c>
      <c r="G107">
        <f>DAY(pbi_ListaEmpleadosExpertis[[#This Row],[FEC_NAC]])</f>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B9D05-E5CE-447D-9CD6-8EE09A832E8C}">
  <sheetPr>
    <tabColor rgb="FF00B050"/>
  </sheetPr>
  <dimension ref="A1:J588"/>
  <sheetViews>
    <sheetView workbookViewId="0">
      <selection sqref="A1:J588"/>
    </sheetView>
  </sheetViews>
  <sheetFormatPr baseColWidth="10" defaultRowHeight="15" x14ac:dyDescent="0.25"/>
  <cols>
    <col min="1" max="1" width="9.42578125" bestFit="1" customWidth="1"/>
    <col min="2" max="2" width="25.28515625" bestFit="1" customWidth="1"/>
    <col min="3" max="3" width="9" bestFit="1" customWidth="1"/>
    <col min="4" max="4" width="12.140625" bestFit="1" customWidth="1"/>
    <col min="5" max="5" width="14.42578125" bestFit="1" customWidth="1"/>
    <col min="6" max="6" width="7.42578125" bestFit="1" customWidth="1"/>
    <col min="7" max="7" width="21.42578125" bestFit="1" customWidth="1"/>
    <col min="8" max="8" width="22" bestFit="1" customWidth="1"/>
    <col min="9" max="9" width="17.140625" bestFit="1" customWidth="1"/>
    <col min="10" max="10" width="17.7109375" bestFit="1" customWidth="1"/>
  </cols>
  <sheetData>
    <row r="1" spans="1:10" x14ac:dyDescent="0.25">
      <c r="A1" t="s">
        <v>568</v>
      </c>
      <c r="B1" t="s">
        <v>0</v>
      </c>
      <c r="C1" t="s">
        <v>376</v>
      </c>
      <c r="D1" t="s">
        <v>569</v>
      </c>
      <c r="E1" t="s">
        <v>570</v>
      </c>
      <c r="F1" t="s">
        <v>571</v>
      </c>
      <c r="G1" t="s">
        <v>378</v>
      </c>
      <c r="H1" t="s">
        <v>572</v>
      </c>
      <c r="I1" t="s">
        <v>567</v>
      </c>
      <c r="J1" t="s">
        <v>573</v>
      </c>
    </row>
    <row r="2" spans="1:10" x14ac:dyDescent="0.25">
      <c r="A2" t="s">
        <v>574</v>
      </c>
      <c r="B2" t="s">
        <v>219</v>
      </c>
      <c r="C2">
        <v>74122258</v>
      </c>
      <c r="D2" t="s">
        <v>6</v>
      </c>
      <c r="E2" t="s">
        <v>133</v>
      </c>
      <c r="F2" t="s">
        <v>575</v>
      </c>
      <c r="G2" s="55">
        <v>44022</v>
      </c>
      <c r="H2">
        <v>71</v>
      </c>
      <c r="I2" t="s">
        <v>159</v>
      </c>
      <c r="J2" s="55"/>
    </row>
    <row r="3" spans="1:10" x14ac:dyDescent="0.25">
      <c r="A3" t="s">
        <v>574</v>
      </c>
      <c r="B3" t="s">
        <v>222</v>
      </c>
      <c r="C3">
        <v>75000131</v>
      </c>
      <c r="D3" t="s">
        <v>125</v>
      </c>
      <c r="E3" t="s">
        <v>133</v>
      </c>
      <c r="F3" t="s">
        <v>575</v>
      </c>
      <c r="G3" s="55">
        <v>44872</v>
      </c>
      <c r="H3">
        <v>43</v>
      </c>
      <c r="I3" t="s">
        <v>158</v>
      </c>
      <c r="J3" s="55"/>
    </row>
    <row r="4" spans="1:10" x14ac:dyDescent="0.25">
      <c r="A4" t="s">
        <v>574</v>
      </c>
      <c r="B4" t="s">
        <v>226</v>
      </c>
      <c r="C4">
        <v>73049631</v>
      </c>
      <c r="D4" t="s">
        <v>3</v>
      </c>
      <c r="E4" t="s">
        <v>133</v>
      </c>
      <c r="F4" t="s">
        <v>575</v>
      </c>
      <c r="G4" s="55">
        <v>43506</v>
      </c>
      <c r="H4">
        <v>88</v>
      </c>
      <c r="I4" t="s">
        <v>157</v>
      </c>
      <c r="J4" s="55"/>
    </row>
    <row r="5" spans="1:10" x14ac:dyDescent="0.25">
      <c r="A5" t="s">
        <v>574</v>
      </c>
      <c r="B5" t="s">
        <v>214</v>
      </c>
      <c r="C5">
        <v>46872195</v>
      </c>
      <c r="D5" t="s">
        <v>7</v>
      </c>
      <c r="E5" t="s">
        <v>133</v>
      </c>
      <c r="F5" t="s">
        <v>575</v>
      </c>
      <c r="G5" s="55">
        <v>43805</v>
      </c>
      <c r="H5">
        <v>78</v>
      </c>
      <c r="I5" t="s">
        <v>159</v>
      </c>
      <c r="J5" s="55"/>
    </row>
    <row r="6" spans="1:10" x14ac:dyDescent="0.25">
      <c r="A6" t="s">
        <v>574</v>
      </c>
      <c r="B6" t="s">
        <v>224</v>
      </c>
      <c r="C6">
        <v>70984733</v>
      </c>
      <c r="D6" t="s">
        <v>4</v>
      </c>
      <c r="E6" t="s">
        <v>133</v>
      </c>
      <c r="F6" t="s">
        <v>575</v>
      </c>
      <c r="G6" s="55">
        <v>43466</v>
      </c>
      <c r="H6">
        <v>89</v>
      </c>
      <c r="I6" t="s">
        <v>157</v>
      </c>
      <c r="J6" s="55"/>
    </row>
    <row r="7" spans="1:10" x14ac:dyDescent="0.25">
      <c r="A7" t="s">
        <v>574</v>
      </c>
      <c r="B7" t="s">
        <v>212</v>
      </c>
      <c r="C7">
        <v>73613568</v>
      </c>
      <c r="D7" t="s">
        <v>5</v>
      </c>
      <c r="E7" t="s">
        <v>133</v>
      </c>
      <c r="F7" t="s">
        <v>575</v>
      </c>
      <c r="G7" s="55">
        <v>43318</v>
      </c>
      <c r="H7">
        <v>94</v>
      </c>
      <c r="I7" t="s">
        <v>158</v>
      </c>
      <c r="J7" s="55"/>
    </row>
    <row r="8" spans="1:10" x14ac:dyDescent="0.25">
      <c r="A8" t="s">
        <v>574</v>
      </c>
      <c r="B8" t="s">
        <v>118</v>
      </c>
      <c r="C8">
        <v>74318905</v>
      </c>
      <c r="D8" t="s">
        <v>8</v>
      </c>
      <c r="E8" t="s">
        <v>133</v>
      </c>
      <c r="F8" t="s">
        <v>575</v>
      </c>
      <c r="G8" s="55">
        <v>44355</v>
      </c>
      <c r="H8">
        <v>60</v>
      </c>
      <c r="I8" t="s">
        <v>209</v>
      </c>
      <c r="J8" s="55"/>
    </row>
    <row r="9" spans="1:10" x14ac:dyDescent="0.25">
      <c r="A9" t="s">
        <v>574</v>
      </c>
      <c r="B9" t="s">
        <v>576</v>
      </c>
      <c r="C9">
        <v>46796397</v>
      </c>
      <c r="D9" t="s">
        <v>9</v>
      </c>
      <c r="E9" t="s">
        <v>133</v>
      </c>
      <c r="F9" t="s">
        <v>575</v>
      </c>
      <c r="G9" s="55">
        <v>44791</v>
      </c>
      <c r="H9">
        <v>45</v>
      </c>
      <c r="I9" t="s">
        <v>209</v>
      </c>
      <c r="J9" s="55"/>
    </row>
    <row r="10" spans="1:10" x14ac:dyDescent="0.25">
      <c r="A10" t="s">
        <v>574</v>
      </c>
      <c r="B10" t="s">
        <v>58</v>
      </c>
      <c r="C10">
        <v>72519113</v>
      </c>
      <c r="D10" t="s">
        <v>7</v>
      </c>
      <c r="E10" t="s">
        <v>501</v>
      </c>
      <c r="F10" t="s">
        <v>575</v>
      </c>
      <c r="G10" s="55">
        <v>43119</v>
      </c>
      <c r="H10">
        <v>100</v>
      </c>
      <c r="I10" t="s">
        <v>159</v>
      </c>
      <c r="J10" s="55"/>
    </row>
    <row r="11" spans="1:10" x14ac:dyDescent="0.25">
      <c r="A11" t="s">
        <v>574</v>
      </c>
      <c r="B11" t="s">
        <v>49</v>
      </c>
      <c r="C11">
        <v>40702064</v>
      </c>
      <c r="D11" t="s">
        <v>4</v>
      </c>
      <c r="E11" t="s">
        <v>501</v>
      </c>
      <c r="F11" t="s">
        <v>575</v>
      </c>
      <c r="G11" s="55">
        <v>43313</v>
      </c>
      <c r="H11">
        <v>94</v>
      </c>
      <c r="I11" t="s">
        <v>157</v>
      </c>
      <c r="J11" s="55"/>
    </row>
    <row r="12" spans="1:10" x14ac:dyDescent="0.25">
      <c r="A12" t="s">
        <v>574</v>
      </c>
      <c r="B12" t="s">
        <v>23</v>
      </c>
      <c r="C12">
        <v>72413556</v>
      </c>
      <c r="D12" t="s">
        <v>3</v>
      </c>
      <c r="E12" t="s">
        <v>501</v>
      </c>
      <c r="F12" t="s">
        <v>575</v>
      </c>
      <c r="G12" s="55">
        <v>44109</v>
      </c>
      <c r="H12">
        <v>68</v>
      </c>
      <c r="I12" t="s">
        <v>157</v>
      </c>
      <c r="J12" s="55"/>
    </row>
    <row r="13" spans="1:10" x14ac:dyDescent="0.25">
      <c r="A13" t="s">
        <v>574</v>
      </c>
      <c r="B13" t="s">
        <v>26</v>
      </c>
      <c r="C13">
        <v>41005089</v>
      </c>
      <c r="D13" t="s">
        <v>5</v>
      </c>
      <c r="E13" t="s">
        <v>501</v>
      </c>
      <c r="F13" t="s">
        <v>575</v>
      </c>
      <c r="G13" s="55">
        <v>44257</v>
      </c>
      <c r="H13">
        <v>63</v>
      </c>
      <c r="I13" t="s">
        <v>158</v>
      </c>
      <c r="J13" s="55"/>
    </row>
    <row r="14" spans="1:10" x14ac:dyDescent="0.25">
      <c r="A14" t="s">
        <v>574</v>
      </c>
      <c r="B14" t="s">
        <v>69</v>
      </c>
      <c r="C14">
        <v>73930771</v>
      </c>
      <c r="D14" t="s">
        <v>7</v>
      </c>
      <c r="E14" t="s">
        <v>501</v>
      </c>
      <c r="F14" t="s">
        <v>575</v>
      </c>
      <c r="G14" s="55">
        <v>44459</v>
      </c>
      <c r="H14">
        <v>56</v>
      </c>
      <c r="I14" t="s">
        <v>159</v>
      </c>
      <c r="J14" s="55"/>
    </row>
    <row r="15" spans="1:10" x14ac:dyDescent="0.25">
      <c r="A15" t="s">
        <v>574</v>
      </c>
      <c r="B15" t="s">
        <v>74</v>
      </c>
      <c r="C15">
        <v>70135127</v>
      </c>
      <c r="D15" t="s">
        <v>4</v>
      </c>
      <c r="E15" t="s">
        <v>501</v>
      </c>
      <c r="F15" t="s">
        <v>575</v>
      </c>
      <c r="G15" s="55">
        <v>44468</v>
      </c>
      <c r="H15">
        <v>56</v>
      </c>
      <c r="I15" t="s">
        <v>157</v>
      </c>
      <c r="J15" s="55"/>
    </row>
    <row r="16" spans="1:10" x14ac:dyDescent="0.25">
      <c r="A16" t="s">
        <v>574</v>
      </c>
      <c r="B16" t="s">
        <v>19</v>
      </c>
      <c r="C16">
        <v>76656128</v>
      </c>
      <c r="D16" t="s">
        <v>9</v>
      </c>
      <c r="E16" t="s">
        <v>501</v>
      </c>
      <c r="F16" t="s">
        <v>575</v>
      </c>
      <c r="G16" s="55">
        <v>44671</v>
      </c>
      <c r="H16">
        <v>49</v>
      </c>
      <c r="I16" t="s">
        <v>156</v>
      </c>
      <c r="J16" s="55"/>
    </row>
    <row r="17" spans="1:10" x14ac:dyDescent="0.25">
      <c r="A17" t="s">
        <v>574</v>
      </c>
      <c r="B17" t="s">
        <v>29</v>
      </c>
      <c r="C17">
        <v>72758956</v>
      </c>
      <c r="D17" t="s">
        <v>6</v>
      </c>
      <c r="E17" t="s">
        <v>501</v>
      </c>
      <c r="F17" t="s">
        <v>575</v>
      </c>
      <c r="G17" s="55">
        <v>44685</v>
      </c>
      <c r="H17">
        <v>49</v>
      </c>
      <c r="I17" t="s">
        <v>159</v>
      </c>
      <c r="J17" s="55"/>
    </row>
    <row r="18" spans="1:10" x14ac:dyDescent="0.25">
      <c r="A18" t="s">
        <v>574</v>
      </c>
      <c r="B18" t="s">
        <v>10</v>
      </c>
      <c r="C18">
        <v>40980108</v>
      </c>
      <c r="D18" t="s">
        <v>8</v>
      </c>
      <c r="E18" t="s">
        <v>501</v>
      </c>
      <c r="F18" t="s">
        <v>575</v>
      </c>
      <c r="G18" s="55">
        <v>44704</v>
      </c>
      <c r="H18">
        <v>48</v>
      </c>
      <c r="I18" t="s">
        <v>155</v>
      </c>
      <c r="J18" s="55"/>
    </row>
    <row r="19" spans="1:10" x14ac:dyDescent="0.25">
      <c r="A19" t="s">
        <v>574</v>
      </c>
      <c r="B19" t="s">
        <v>75</v>
      </c>
      <c r="C19">
        <v>71264767</v>
      </c>
      <c r="D19" t="s">
        <v>6</v>
      </c>
      <c r="E19" t="s">
        <v>501</v>
      </c>
      <c r="F19" t="s">
        <v>575</v>
      </c>
      <c r="G19" s="55">
        <v>44714</v>
      </c>
      <c r="H19">
        <v>48</v>
      </c>
      <c r="I19" t="s">
        <v>159</v>
      </c>
      <c r="J19" s="55"/>
    </row>
    <row r="20" spans="1:10" x14ac:dyDescent="0.25">
      <c r="A20" t="s">
        <v>574</v>
      </c>
      <c r="B20" t="s">
        <v>15</v>
      </c>
      <c r="C20">
        <v>47587400</v>
      </c>
      <c r="D20" t="s">
        <v>125</v>
      </c>
      <c r="E20" t="s">
        <v>501</v>
      </c>
      <c r="F20" t="s">
        <v>575</v>
      </c>
      <c r="G20" s="55">
        <v>44733</v>
      </c>
      <c r="H20">
        <v>47</v>
      </c>
      <c r="I20" t="s">
        <v>158</v>
      </c>
      <c r="J20" s="55"/>
    </row>
    <row r="21" spans="1:10" x14ac:dyDescent="0.25">
      <c r="A21" t="s">
        <v>574</v>
      </c>
      <c r="B21" t="s">
        <v>35</v>
      </c>
      <c r="C21">
        <v>10491198</v>
      </c>
      <c r="D21" t="s">
        <v>4</v>
      </c>
      <c r="E21" t="s">
        <v>501</v>
      </c>
      <c r="F21" t="s">
        <v>575</v>
      </c>
      <c r="G21" s="55">
        <v>44746</v>
      </c>
      <c r="H21">
        <v>47</v>
      </c>
      <c r="I21" t="s">
        <v>157</v>
      </c>
      <c r="J21" s="55"/>
    </row>
    <row r="22" spans="1:10" x14ac:dyDescent="0.25">
      <c r="A22" t="s">
        <v>574</v>
      </c>
      <c r="B22" t="s">
        <v>48</v>
      </c>
      <c r="C22">
        <v>43307898</v>
      </c>
      <c r="D22" t="s">
        <v>3</v>
      </c>
      <c r="E22" t="s">
        <v>501</v>
      </c>
      <c r="F22" t="s">
        <v>575</v>
      </c>
      <c r="G22" s="55">
        <v>44746</v>
      </c>
      <c r="H22">
        <v>47</v>
      </c>
      <c r="I22" t="s">
        <v>157</v>
      </c>
      <c r="J22" s="55"/>
    </row>
    <row r="23" spans="1:10" x14ac:dyDescent="0.25">
      <c r="A23" t="s">
        <v>574</v>
      </c>
      <c r="B23" t="s">
        <v>106</v>
      </c>
      <c r="C23">
        <v>72197469</v>
      </c>
      <c r="D23" t="s">
        <v>3</v>
      </c>
      <c r="E23" t="s">
        <v>577</v>
      </c>
      <c r="F23" t="s">
        <v>575</v>
      </c>
      <c r="G23" s="55">
        <v>44747</v>
      </c>
      <c r="H23">
        <v>39</v>
      </c>
      <c r="I23" t="s">
        <v>157</v>
      </c>
      <c r="J23" s="55">
        <v>45961</v>
      </c>
    </row>
    <row r="24" spans="1:10" x14ac:dyDescent="0.25">
      <c r="A24" t="s">
        <v>574</v>
      </c>
      <c r="B24" t="s">
        <v>67</v>
      </c>
      <c r="C24">
        <v>9880053</v>
      </c>
      <c r="D24" t="s">
        <v>6</v>
      </c>
      <c r="E24" t="s">
        <v>501</v>
      </c>
      <c r="F24" t="s">
        <v>575</v>
      </c>
      <c r="G24" s="55">
        <v>44809</v>
      </c>
      <c r="H24">
        <v>45</v>
      </c>
      <c r="I24" t="s">
        <v>159</v>
      </c>
      <c r="J24" s="55"/>
    </row>
    <row r="25" spans="1:10" x14ac:dyDescent="0.25">
      <c r="A25" t="s">
        <v>574</v>
      </c>
      <c r="B25" t="s">
        <v>13</v>
      </c>
      <c r="C25">
        <v>72512391</v>
      </c>
      <c r="D25" t="s">
        <v>9</v>
      </c>
      <c r="E25" t="s">
        <v>501</v>
      </c>
      <c r="F25" t="s">
        <v>575</v>
      </c>
      <c r="G25" s="55">
        <v>44809</v>
      </c>
      <c r="H25">
        <v>45</v>
      </c>
      <c r="I25" t="s">
        <v>156</v>
      </c>
      <c r="J25" s="55"/>
    </row>
    <row r="26" spans="1:10" x14ac:dyDescent="0.25">
      <c r="A26" t="s">
        <v>574</v>
      </c>
      <c r="B26" t="s">
        <v>76</v>
      </c>
      <c r="C26">
        <v>60914051</v>
      </c>
      <c r="D26" t="s">
        <v>8</v>
      </c>
      <c r="E26" t="s">
        <v>501</v>
      </c>
      <c r="F26" t="s">
        <v>575</v>
      </c>
      <c r="G26" s="55">
        <v>44817</v>
      </c>
      <c r="H26">
        <v>45</v>
      </c>
      <c r="I26" t="s">
        <v>155</v>
      </c>
      <c r="J26" s="55"/>
    </row>
    <row r="27" spans="1:10" x14ac:dyDescent="0.25">
      <c r="A27" t="s">
        <v>574</v>
      </c>
      <c r="B27" t="s">
        <v>25</v>
      </c>
      <c r="C27">
        <v>72373931</v>
      </c>
      <c r="D27" t="s">
        <v>8</v>
      </c>
      <c r="E27" t="s">
        <v>501</v>
      </c>
      <c r="F27" t="s">
        <v>575</v>
      </c>
      <c r="G27" s="55">
        <v>44818</v>
      </c>
      <c r="H27">
        <v>45</v>
      </c>
      <c r="I27" t="s">
        <v>155</v>
      </c>
      <c r="J27" s="55"/>
    </row>
    <row r="28" spans="1:10" x14ac:dyDescent="0.25">
      <c r="A28" t="s">
        <v>574</v>
      </c>
      <c r="B28" t="s">
        <v>21</v>
      </c>
      <c r="C28">
        <v>44042880</v>
      </c>
      <c r="D28" t="s">
        <v>7</v>
      </c>
      <c r="E28" t="s">
        <v>501</v>
      </c>
      <c r="F28" t="s">
        <v>575</v>
      </c>
      <c r="G28" s="55">
        <v>44824</v>
      </c>
      <c r="H28">
        <v>44</v>
      </c>
      <c r="I28" t="s">
        <v>159</v>
      </c>
      <c r="J28" s="55"/>
    </row>
    <row r="29" spans="1:10" x14ac:dyDescent="0.25">
      <c r="A29" t="s">
        <v>574</v>
      </c>
      <c r="B29" t="s">
        <v>77</v>
      </c>
      <c r="C29">
        <v>42251780</v>
      </c>
      <c r="D29" t="s">
        <v>9</v>
      </c>
      <c r="E29" t="s">
        <v>501</v>
      </c>
      <c r="F29" t="s">
        <v>575</v>
      </c>
      <c r="G29" s="55">
        <v>44838</v>
      </c>
      <c r="H29">
        <v>44</v>
      </c>
      <c r="I29" t="s">
        <v>156</v>
      </c>
      <c r="J29" s="55"/>
    </row>
    <row r="30" spans="1:10" x14ac:dyDescent="0.25">
      <c r="A30" t="s">
        <v>574</v>
      </c>
      <c r="B30" t="s">
        <v>33</v>
      </c>
      <c r="C30">
        <v>80689573</v>
      </c>
      <c r="D30" t="s">
        <v>3</v>
      </c>
      <c r="E30" t="s">
        <v>501</v>
      </c>
      <c r="F30" t="s">
        <v>575</v>
      </c>
      <c r="G30" s="55">
        <v>44867</v>
      </c>
      <c r="H30">
        <v>43</v>
      </c>
      <c r="I30" t="s">
        <v>157</v>
      </c>
      <c r="J30" s="55"/>
    </row>
    <row r="31" spans="1:10" x14ac:dyDescent="0.25">
      <c r="A31" t="s">
        <v>574</v>
      </c>
      <c r="B31" t="s">
        <v>12</v>
      </c>
      <c r="C31">
        <v>45262585</v>
      </c>
      <c r="D31" t="s">
        <v>125</v>
      </c>
      <c r="E31" t="s">
        <v>501</v>
      </c>
      <c r="F31" t="s">
        <v>575</v>
      </c>
      <c r="G31" s="55">
        <v>44868</v>
      </c>
      <c r="H31">
        <v>43</v>
      </c>
      <c r="I31" t="s">
        <v>158</v>
      </c>
      <c r="J31" s="55"/>
    </row>
    <row r="32" spans="1:10" x14ac:dyDescent="0.25">
      <c r="A32" t="s">
        <v>574</v>
      </c>
      <c r="B32" t="s">
        <v>17</v>
      </c>
      <c r="C32">
        <v>70876605</v>
      </c>
      <c r="D32" t="s">
        <v>6</v>
      </c>
      <c r="E32" t="s">
        <v>500</v>
      </c>
      <c r="F32" t="s">
        <v>575</v>
      </c>
      <c r="G32" s="55">
        <v>44886</v>
      </c>
      <c r="H32">
        <v>42</v>
      </c>
      <c r="I32" t="s">
        <v>159</v>
      </c>
      <c r="J32" s="55"/>
    </row>
    <row r="33" spans="1:10" x14ac:dyDescent="0.25">
      <c r="A33" t="s">
        <v>574</v>
      </c>
      <c r="B33" t="s">
        <v>61</v>
      </c>
      <c r="C33">
        <v>44001162</v>
      </c>
      <c r="D33" t="s">
        <v>8</v>
      </c>
      <c r="E33" t="s">
        <v>501</v>
      </c>
      <c r="F33" t="s">
        <v>575</v>
      </c>
      <c r="G33" s="55">
        <v>44907</v>
      </c>
      <c r="H33">
        <v>42</v>
      </c>
      <c r="I33" t="s">
        <v>155</v>
      </c>
      <c r="J33" s="55"/>
    </row>
    <row r="34" spans="1:10" x14ac:dyDescent="0.25">
      <c r="A34" t="s">
        <v>574</v>
      </c>
      <c r="B34" t="s">
        <v>36</v>
      </c>
      <c r="C34">
        <v>76917479</v>
      </c>
      <c r="D34" t="s">
        <v>6</v>
      </c>
      <c r="E34" t="s">
        <v>501</v>
      </c>
      <c r="F34" t="s">
        <v>575</v>
      </c>
      <c r="G34" s="55">
        <v>44939</v>
      </c>
      <c r="H34">
        <v>41</v>
      </c>
      <c r="I34" t="s">
        <v>159</v>
      </c>
      <c r="J34" s="55"/>
    </row>
    <row r="35" spans="1:10" x14ac:dyDescent="0.25">
      <c r="A35" t="s">
        <v>574</v>
      </c>
      <c r="B35" t="s">
        <v>78</v>
      </c>
      <c r="C35">
        <v>10706451</v>
      </c>
      <c r="D35" t="s">
        <v>6</v>
      </c>
      <c r="E35" t="s">
        <v>501</v>
      </c>
      <c r="F35" t="s">
        <v>575</v>
      </c>
      <c r="G35" s="55">
        <v>44943</v>
      </c>
      <c r="H35">
        <v>41</v>
      </c>
      <c r="I35" t="s">
        <v>159</v>
      </c>
      <c r="J35" s="55"/>
    </row>
    <row r="36" spans="1:10" x14ac:dyDescent="0.25">
      <c r="A36" t="s">
        <v>574</v>
      </c>
      <c r="B36" t="s">
        <v>70</v>
      </c>
      <c r="C36">
        <v>47982910</v>
      </c>
      <c r="D36" t="s">
        <v>5</v>
      </c>
      <c r="E36" t="s">
        <v>501</v>
      </c>
      <c r="F36" t="s">
        <v>575</v>
      </c>
      <c r="G36" s="55">
        <v>44967</v>
      </c>
      <c r="H36">
        <v>40</v>
      </c>
      <c r="I36" t="s">
        <v>158</v>
      </c>
      <c r="J36" s="55"/>
    </row>
    <row r="37" spans="1:10" x14ac:dyDescent="0.25">
      <c r="A37" t="s">
        <v>574</v>
      </c>
      <c r="B37" t="s">
        <v>65</v>
      </c>
      <c r="C37">
        <v>47659267</v>
      </c>
      <c r="D37" t="s">
        <v>125</v>
      </c>
      <c r="E37" t="s">
        <v>501</v>
      </c>
      <c r="F37" t="s">
        <v>575</v>
      </c>
      <c r="G37" s="55">
        <v>45019</v>
      </c>
      <c r="H37">
        <v>38</v>
      </c>
      <c r="I37" t="s">
        <v>158</v>
      </c>
      <c r="J37" s="55"/>
    </row>
    <row r="38" spans="1:10" x14ac:dyDescent="0.25">
      <c r="A38" t="s">
        <v>574</v>
      </c>
      <c r="B38" t="s">
        <v>37</v>
      </c>
      <c r="C38">
        <v>70988976</v>
      </c>
      <c r="D38" t="s">
        <v>9</v>
      </c>
      <c r="E38" t="s">
        <v>500</v>
      </c>
      <c r="F38" t="s">
        <v>575</v>
      </c>
      <c r="G38" s="55">
        <v>45112</v>
      </c>
      <c r="H38">
        <v>35</v>
      </c>
      <c r="I38" t="s">
        <v>156</v>
      </c>
      <c r="J38" s="55"/>
    </row>
    <row r="39" spans="1:10" x14ac:dyDescent="0.25">
      <c r="A39" t="s">
        <v>574</v>
      </c>
      <c r="B39" t="s">
        <v>18</v>
      </c>
      <c r="C39">
        <v>76214436</v>
      </c>
      <c r="D39" t="s">
        <v>7</v>
      </c>
      <c r="E39" t="s">
        <v>501</v>
      </c>
      <c r="F39" t="s">
        <v>575</v>
      </c>
      <c r="G39" s="55">
        <v>45132</v>
      </c>
      <c r="H39">
        <v>34</v>
      </c>
      <c r="I39" t="s">
        <v>159</v>
      </c>
      <c r="J39" s="55"/>
    </row>
    <row r="40" spans="1:10" x14ac:dyDescent="0.25">
      <c r="A40" t="s">
        <v>574</v>
      </c>
      <c r="B40" t="s">
        <v>73</v>
      </c>
      <c r="C40">
        <v>40318129</v>
      </c>
      <c r="D40" t="s">
        <v>125</v>
      </c>
      <c r="E40" t="s">
        <v>501</v>
      </c>
      <c r="F40" t="s">
        <v>575</v>
      </c>
      <c r="G40" s="55">
        <v>45141</v>
      </c>
      <c r="H40">
        <v>34</v>
      </c>
      <c r="I40" t="s">
        <v>158</v>
      </c>
      <c r="J40" s="55"/>
    </row>
    <row r="41" spans="1:10" x14ac:dyDescent="0.25">
      <c r="A41" t="s">
        <v>574</v>
      </c>
      <c r="B41" t="s">
        <v>20</v>
      </c>
      <c r="C41">
        <v>48307357</v>
      </c>
      <c r="D41" t="s">
        <v>7</v>
      </c>
      <c r="E41" t="s">
        <v>501</v>
      </c>
      <c r="F41" t="s">
        <v>575</v>
      </c>
      <c r="G41" s="55">
        <v>45141</v>
      </c>
      <c r="H41">
        <v>34</v>
      </c>
      <c r="I41" t="s">
        <v>159</v>
      </c>
      <c r="J41" s="55"/>
    </row>
    <row r="42" spans="1:10" x14ac:dyDescent="0.25">
      <c r="A42" t="s">
        <v>574</v>
      </c>
      <c r="B42" t="s">
        <v>79</v>
      </c>
      <c r="C42">
        <v>71262377</v>
      </c>
      <c r="D42" t="s">
        <v>5</v>
      </c>
      <c r="E42" t="s">
        <v>501</v>
      </c>
      <c r="F42" t="s">
        <v>575</v>
      </c>
      <c r="G42" s="55">
        <v>45145</v>
      </c>
      <c r="H42">
        <v>34</v>
      </c>
      <c r="I42" t="s">
        <v>158</v>
      </c>
      <c r="J42" s="55"/>
    </row>
    <row r="43" spans="1:10" x14ac:dyDescent="0.25">
      <c r="A43" t="s">
        <v>574</v>
      </c>
      <c r="B43" t="s">
        <v>34</v>
      </c>
      <c r="C43">
        <v>76824571</v>
      </c>
      <c r="D43" t="s">
        <v>9</v>
      </c>
      <c r="E43" t="s">
        <v>501</v>
      </c>
      <c r="F43" t="s">
        <v>575</v>
      </c>
      <c r="G43" s="55">
        <v>45173</v>
      </c>
      <c r="H43">
        <v>33</v>
      </c>
      <c r="I43" t="s">
        <v>156</v>
      </c>
      <c r="J43" s="55"/>
    </row>
    <row r="44" spans="1:10" x14ac:dyDescent="0.25">
      <c r="A44" t="s">
        <v>574</v>
      </c>
      <c r="B44" t="s">
        <v>80</v>
      </c>
      <c r="C44">
        <v>45084594</v>
      </c>
      <c r="D44" t="s">
        <v>9</v>
      </c>
      <c r="E44" t="s">
        <v>501</v>
      </c>
      <c r="F44" t="s">
        <v>575</v>
      </c>
      <c r="G44" s="55">
        <v>45281</v>
      </c>
      <c r="H44">
        <v>29</v>
      </c>
      <c r="I44" t="s">
        <v>156</v>
      </c>
      <c r="J44" s="55"/>
    </row>
    <row r="45" spans="1:10" x14ac:dyDescent="0.25">
      <c r="A45" t="s">
        <v>574</v>
      </c>
      <c r="B45" t="s">
        <v>22</v>
      </c>
      <c r="C45">
        <v>70551168</v>
      </c>
      <c r="D45" t="s">
        <v>6</v>
      </c>
      <c r="E45" t="s">
        <v>501</v>
      </c>
      <c r="F45" t="s">
        <v>575</v>
      </c>
      <c r="G45" s="55">
        <v>45295</v>
      </c>
      <c r="H45">
        <v>29</v>
      </c>
      <c r="I45" t="s">
        <v>159</v>
      </c>
      <c r="J45" s="55"/>
    </row>
    <row r="46" spans="1:10" x14ac:dyDescent="0.25">
      <c r="A46" t="s">
        <v>574</v>
      </c>
      <c r="B46" t="s">
        <v>41</v>
      </c>
      <c r="C46">
        <v>46461021</v>
      </c>
      <c r="D46" t="s">
        <v>125</v>
      </c>
      <c r="E46" t="s">
        <v>501</v>
      </c>
      <c r="F46" t="s">
        <v>575</v>
      </c>
      <c r="G46" s="55">
        <v>45302</v>
      </c>
      <c r="H46">
        <v>29</v>
      </c>
      <c r="I46" t="s">
        <v>158</v>
      </c>
      <c r="J46" s="55"/>
    </row>
    <row r="47" spans="1:10" x14ac:dyDescent="0.25">
      <c r="A47" t="s">
        <v>574</v>
      </c>
      <c r="B47" t="s">
        <v>24</v>
      </c>
      <c r="C47">
        <v>43614775</v>
      </c>
      <c r="D47" t="s">
        <v>9</v>
      </c>
      <c r="E47" t="s">
        <v>501</v>
      </c>
      <c r="F47" t="s">
        <v>575</v>
      </c>
      <c r="G47" s="55">
        <v>45334</v>
      </c>
      <c r="H47">
        <v>28</v>
      </c>
      <c r="I47" t="s">
        <v>156</v>
      </c>
      <c r="J47" s="55"/>
    </row>
    <row r="48" spans="1:10" x14ac:dyDescent="0.25">
      <c r="A48" t="s">
        <v>574</v>
      </c>
      <c r="B48" t="s">
        <v>31</v>
      </c>
      <c r="C48">
        <v>75882265</v>
      </c>
      <c r="D48" t="s">
        <v>6</v>
      </c>
      <c r="E48" t="s">
        <v>501</v>
      </c>
      <c r="F48" t="s">
        <v>575</v>
      </c>
      <c r="G48" s="55">
        <v>45334</v>
      </c>
      <c r="H48">
        <v>28</v>
      </c>
      <c r="I48" t="s">
        <v>159</v>
      </c>
      <c r="J48" s="55"/>
    </row>
    <row r="49" spans="1:10" x14ac:dyDescent="0.25">
      <c r="A49" t="s">
        <v>574</v>
      </c>
      <c r="B49" t="s">
        <v>16</v>
      </c>
      <c r="C49">
        <v>47029782</v>
      </c>
      <c r="D49" t="s">
        <v>125</v>
      </c>
      <c r="E49" t="s">
        <v>501</v>
      </c>
      <c r="F49" t="s">
        <v>575</v>
      </c>
      <c r="G49" s="55">
        <v>45334</v>
      </c>
      <c r="H49">
        <v>28</v>
      </c>
      <c r="I49" t="s">
        <v>158</v>
      </c>
      <c r="J49" s="55"/>
    </row>
    <row r="50" spans="1:10" x14ac:dyDescent="0.25">
      <c r="A50" t="s">
        <v>574</v>
      </c>
      <c r="B50" t="s">
        <v>59</v>
      </c>
      <c r="C50">
        <v>60870839</v>
      </c>
      <c r="D50" t="s">
        <v>8</v>
      </c>
      <c r="E50" t="s">
        <v>500</v>
      </c>
      <c r="F50" t="s">
        <v>575</v>
      </c>
      <c r="G50" s="55">
        <v>45344</v>
      </c>
      <c r="H50">
        <v>27</v>
      </c>
      <c r="I50" t="s">
        <v>155</v>
      </c>
      <c r="J50" s="55"/>
    </row>
    <row r="51" spans="1:10" x14ac:dyDescent="0.25">
      <c r="A51" t="s">
        <v>574</v>
      </c>
      <c r="B51" t="s">
        <v>68</v>
      </c>
      <c r="C51">
        <v>73257316</v>
      </c>
      <c r="D51" t="s">
        <v>5</v>
      </c>
      <c r="E51" t="s">
        <v>501</v>
      </c>
      <c r="F51" t="s">
        <v>575</v>
      </c>
      <c r="G51" s="55">
        <v>45363</v>
      </c>
      <c r="H51">
        <v>27</v>
      </c>
      <c r="I51" t="s">
        <v>158</v>
      </c>
      <c r="J51" s="55"/>
    </row>
    <row r="52" spans="1:10" x14ac:dyDescent="0.25">
      <c r="A52" t="s">
        <v>574</v>
      </c>
      <c r="B52" t="s">
        <v>11</v>
      </c>
      <c r="C52">
        <v>45139159</v>
      </c>
      <c r="D52" t="s">
        <v>7</v>
      </c>
      <c r="E52" t="s">
        <v>501</v>
      </c>
      <c r="F52" t="s">
        <v>575</v>
      </c>
      <c r="G52" s="55">
        <v>45369</v>
      </c>
      <c r="H52">
        <v>26</v>
      </c>
      <c r="I52" t="s">
        <v>159</v>
      </c>
      <c r="J52" s="55"/>
    </row>
    <row r="53" spans="1:10" x14ac:dyDescent="0.25">
      <c r="A53" t="s">
        <v>574</v>
      </c>
      <c r="B53" t="s">
        <v>42</v>
      </c>
      <c r="C53">
        <v>73725129</v>
      </c>
      <c r="D53" t="s">
        <v>8</v>
      </c>
      <c r="E53" t="s">
        <v>501</v>
      </c>
      <c r="F53" t="s">
        <v>575</v>
      </c>
      <c r="G53" s="55">
        <v>45398</v>
      </c>
      <c r="H53">
        <v>26</v>
      </c>
      <c r="I53" t="s">
        <v>155</v>
      </c>
      <c r="J53" s="55"/>
    </row>
    <row r="54" spans="1:10" x14ac:dyDescent="0.25">
      <c r="A54" t="s">
        <v>574</v>
      </c>
      <c r="B54" t="s">
        <v>71</v>
      </c>
      <c r="C54">
        <v>45596891</v>
      </c>
      <c r="D54" t="s">
        <v>4</v>
      </c>
      <c r="E54" t="s">
        <v>577</v>
      </c>
      <c r="F54" t="s">
        <v>575</v>
      </c>
      <c r="G54" s="55">
        <v>45427</v>
      </c>
      <c r="H54">
        <v>17</v>
      </c>
      <c r="I54" t="s">
        <v>157</v>
      </c>
      <c r="J54" s="55">
        <v>45961</v>
      </c>
    </row>
    <row r="55" spans="1:10" x14ac:dyDescent="0.25">
      <c r="A55" t="s">
        <v>574</v>
      </c>
      <c r="B55" t="s">
        <v>40</v>
      </c>
      <c r="C55">
        <v>60976055</v>
      </c>
      <c r="D55" t="s">
        <v>4</v>
      </c>
      <c r="E55" t="s">
        <v>501</v>
      </c>
      <c r="F55" t="s">
        <v>575</v>
      </c>
      <c r="G55" s="55">
        <v>45433</v>
      </c>
      <c r="H55">
        <v>24</v>
      </c>
      <c r="I55" t="s">
        <v>157</v>
      </c>
      <c r="J55" s="55"/>
    </row>
    <row r="56" spans="1:10" x14ac:dyDescent="0.25">
      <c r="A56" t="s">
        <v>574</v>
      </c>
      <c r="B56" t="s">
        <v>103</v>
      </c>
      <c r="C56">
        <v>47218693</v>
      </c>
      <c r="D56" t="s">
        <v>5</v>
      </c>
      <c r="E56" t="s">
        <v>577</v>
      </c>
      <c r="F56" t="s">
        <v>575</v>
      </c>
      <c r="G56" s="55">
        <v>45455</v>
      </c>
      <c r="H56">
        <v>16</v>
      </c>
      <c r="I56" t="s">
        <v>158</v>
      </c>
      <c r="J56" s="55">
        <v>45961</v>
      </c>
    </row>
    <row r="57" spans="1:10" x14ac:dyDescent="0.25">
      <c r="A57" t="s">
        <v>574</v>
      </c>
      <c r="B57" t="s">
        <v>81</v>
      </c>
      <c r="C57">
        <v>72716299</v>
      </c>
      <c r="D57" t="s">
        <v>8</v>
      </c>
      <c r="E57" t="s">
        <v>501</v>
      </c>
      <c r="F57" t="s">
        <v>575</v>
      </c>
      <c r="G57" s="55">
        <v>45511</v>
      </c>
      <c r="H57">
        <v>22</v>
      </c>
      <c r="I57" t="s">
        <v>155</v>
      </c>
      <c r="J57" s="55"/>
    </row>
    <row r="58" spans="1:10" x14ac:dyDescent="0.25">
      <c r="A58" t="s">
        <v>574</v>
      </c>
      <c r="B58" t="s">
        <v>32</v>
      </c>
      <c r="C58">
        <v>48584670</v>
      </c>
      <c r="D58" t="s">
        <v>3</v>
      </c>
      <c r="E58" t="s">
        <v>500</v>
      </c>
      <c r="F58" t="s">
        <v>575</v>
      </c>
      <c r="G58" s="55">
        <v>45526</v>
      </c>
      <c r="H58">
        <v>21</v>
      </c>
      <c r="I58" t="s">
        <v>157</v>
      </c>
      <c r="J58" s="55"/>
    </row>
    <row r="59" spans="1:10" x14ac:dyDescent="0.25">
      <c r="A59" t="s">
        <v>574</v>
      </c>
      <c r="B59" t="s">
        <v>57</v>
      </c>
      <c r="C59">
        <v>74996029</v>
      </c>
      <c r="D59" t="s">
        <v>8</v>
      </c>
      <c r="E59" t="s">
        <v>501</v>
      </c>
      <c r="F59" t="s">
        <v>575</v>
      </c>
      <c r="G59" s="55">
        <v>45589</v>
      </c>
      <c r="H59">
        <v>19</v>
      </c>
      <c r="I59" t="s">
        <v>155</v>
      </c>
      <c r="J59" s="55"/>
    </row>
    <row r="60" spans="1:10" x14ac:dyDescent="0.25">
      <c r="A60" t="s">
        <v>574</v>
      </c>
      <c r="B60" t="s">
        <v>66</v>
      </c>
      <c r="C60">
        <v>46819930</v>
      </c>
      <c r="D60" t="s">
        <v>125</v>
      </c>
      <c r="E60" t="s">
        <v>500</v>
      </c>
      <c r="F60" t="s">
        <v>575</v>
      </c>
      <c r="G60" s="55">
        <v>45670</v>
      </c>
      <c r="H60">
        <v>17</v>
      </c>
      <c r="I60" t="s">
        <v>158</v>
      </c>
      <c r="J60" s="55"/>
    </row>
    <row r="61" spans="1:10" x14ac:dyDescent="0.25">
      <c r="A61" t="s">
        <v>574</v>
      </c>
      <c r="B61" t="s">
        <v>27</v>
      </c>
      <c r="C61">
        <v>73203775</v>
      </c>
      <c r="D61" t="s">
        <v>8</v>
      </c>
      <c r="E61" t="s">
        <v>501</v>
      </c>
      <c r="F61" t="s">
        <v>575</v>
      </c>
      <c r="G61" s="55">
        <v>45677</v>
      </c>
      <c r="H61">
        <v>16</v>
      </c>
      <c r="I61" t="s">
        <v>155</v>
      </c>
      <c r="J61" s="55"/>
    </row>
    <row r="62" spans="1:10" x14ac:dyDescent="0.25">
      <c r="A62" t="s">
        <v>574</v>
      </c>
      <c r="B62" t="s">
        <v>51</v>
      </c>
      <c r="C62">
        <v>76089925</v>
      </c>
      <c r="D62" t="s">
        <v>9</v>
      </c>
      <c r="E62" t="s">
        <v>501</v>
      </c>
      <c r="F62" t="s">
        <v>575</v>
      </c>
      <c r="G62" s="55">
        <v>45678</v>
      </c>
      <c r="H62">
        <v>16</v>
      </c>
      <c r="I62" t="s">
        <v>156</v>
      </c>
      <c r="J62" s="55"/>
    </row>
    <row r="63" spans="1:10" x14ac:dyDescent="0.25">
      <c r="A63" t="s">
        <v>574</v>
      </c>
      <c r="B63" t="s">
        <v>72</v>
      </c>
      <c r="C63">
        <v>47690367</v>
      </c>
      <c r="D63" t="s">
        <v>5</v>
      </c>
      <c r="E63" t="s">
        <v>501</v>
      </c>
      <c r="F63" t="s">
        <v>575</v>
      </c>
      <c r="G63" s="55">
        <v>45691</v>
      </c>
      <c r="H63">
        <v>16</v>
      </c>
      <c r="I63" t="s">
        <v>158</v>
      </c>
      <c r="J63" s="55"/>
    </row>
    <row r="64" spans="1:10" x14ac:dyDescent="0.25">
      <c r="A64" t="s">
        <v>574</v>
      </c>
      <c r="B64" t="s">
        <v>110</v>
      </c>
      <c r="C64">
        <v>43611146</v>
      </c>
      <c r="D64" t="s">
        <v>4</v>
      </c>
      <c r="E64" t="s">
        <v>577</v>
      </c>
      <c r="F64" t="s">
        <v>575</v>
      </c>
      <c r="G64" s="55">
        <v>45699</v>
      </c>
      <c r="H64">
        <v>8</v>
      </c>
      <c r="I64" t="s">
        <v>157</v>
      </c>
      <c r="J64" s="55">
        <v>45961</v>
      </c>
    </row>
    <row r="65" spans="1:10" x14ac:dyDescent="0.25">
      <c r="A65" t="s">
        <v>574</v>
      </c>
      <c r="B65" t="s">
        <v>104</v>
      </c>
      <c r="C65">
        <v>72074706</v>
      </c>
      <c r="D65" t="s">
        <v>4</v>
      </c>
      <c r="E65" t="s">
        <v>577</v>
      </c>
      <c r="F65" t="s">
        <v>575</v>
      </c>
      <c r="G65" s="55">
        <v>45699</v>
      </c>
      <c r="H65">
        <v>8</v>
      </c>
      <c r="I65" t="s">
        <v>157</v>
      </c>
      <c r="J65" s="55">
        <v>45961</v>
      </c>
    </row>
    <row r="66" spans="1:10" x14ac:dyDescent="0.25">
      <c r="A66" t="s">
        <v>574</v>
      </c>
      <c r="B66" t="s">
        <v>53</v>
      </c>
      <c r="C66">
        <v>46587976</v>
      </c>
      <c r="D66" t="s">
        <v>3</v>
      </c>
      <c r="E66" t="s">
        <v>501</v>
      </c>
      <c r="F66" t="s">
        <v>575</v>
      </c>
      <c r="G66" s="55">
        <v>45726</v>
      </c>
      <c r="H66">
        <v>15</v>
      </c>
      <c r="I66" t="s">
        <v>157</v>
      </c>
      <c r="J66" s="55"/>
    </row>
    <row r="67" spans="1:10" x14ac:dyDescent="0.25">
      <c r="A67" t="s">
        <v>574</v>
      </c>
      <c r="B67" t="s">
        <v>105</v>
      </c>
      <c r="C67">
        <v>48344037</v>
      </c>
      <c r="D67" t="s">
        <v>7</v>
      </c>
      <c r="E67" t="s">
        <v>501</v>
      </c>
      <c r="F67" t="s">
        <v>575</v>
      </c>
      <c r="G67" s="55">
        <v>45748</v>
      </c>
      <c r="H67">
        <v>14</v>
      </c>
      <c r="I67" t="s">
        <v>159</v>
      </c>
      <c r="J67" s="55"/>
    </row>
    <row r="68" spans="1:10" x14ac:dyDescent="0.25">
      <c r="A68" t="s">
        <v>574</v>
      </c>
      <c r="B68" t="s">
        <v>50</v>
      </c>
      <c r="C68">
        <v>72733809</v>
      </c>
      <c r="D68" t="s">
        <v>9</v>
      </c>
      <c r="E68" t="s">
        <v>501</v>
      </c>
      <c r="F68" t="s">
        <v>575</v>
      </c>
      <c r="G68" s="55">
        <v>45789</v>
      </c>
      <c r="H68">
        <v>13</v>
      </c>
      <c r="I68" t="s">
        <v>156</v>
      </c>
      <c r="J68" s="55"/>
    </row>
    <row r="69" spans="1:10" x14ac:dyDescent="0.25">
      <c r="A69" t="s">
        <v>574</v>
      </c>
      <c r="B69" t="s">
        <v>43</v>
      </c>
      <c r="C69">
        <v>74799185</v>
      </c>
      <c r="D69" t="s">
        <v>3</v>
      </c>
      <c r="E69" t="s">
        <v>501</v>
      </c>
      <c r="F69" t="s">
        <v>575</v>
      </c>
      <c r="G69" s="55">
        <v>45792</v>
      </c>
      <c r="H69">
        <v>13</v>
      </c>
      <c r="I69" t="s">
        <v>157</v>
      </c>
      <c r="J69" s="55"/>
    </row>
    <row r="70" spans="1:10" x14ac:dyDescent="0.25">
      <c r="A70" t="s">
        <v>574</v>
      </c>
      <c r="B70" t="s">
        <v>44</v>
      </c>
      <c r="C70">
        <v>45468175</v>
      </c>
      <c r="D70" t="s">
        <v>3</v>
      </c>
      <c r="E70" t="s">
        <v>501</v>
      </c>
      <c r="F70" t="s">
        <v>575</v>
      </c>
      <c r="G70" s="55">
        <v>45799</v>
      </c>
      <c r="H70">
        <v>12</v>
      </c>
      <c r="I70" t="s">
        <v>157</v>
      </c>
      <c r="J70" s="55"/>
    </row>
    <row r="71" spans="1:10" x14ac:dyDescent="0.25">
      <c r="A71" t="s">
        <v>574</v>
      </c>
      <c r="B71" t="s">
        <v>38</v>
      </c>
      <c r="C71">
        <v>47411966</v>
      </c>
      <c r="D71" t="s">
        <v>125</v>
      </c>
      <c r="E71" t="s">
        <v>501</v>
      </c>
      <c r="F71" t="s">
        <v>575</v>
      </c>
      <c r="G71" s="55">
        <v>45800</v>
      </c>
      <c r="H71">
        <v>12</v>
      </c>
      <c r="I71" t="s">
        <v>158</v>
      </c>
      <c r="J71" s="55"/>
    </row>
    <row r="72" spans="1:10" x14ac:dyDescent="0.25">
      <c r="A72" t="s">
        <v>574</v>
      </c>
      <c r="B72" t="s">
        <v>55</v>
      </c>
      <c r="C72">
        <v>45119892</v>
      </c>
      <c r="D72" t="s">
        <v>4</v>
      </c>
      <c r="E72" t="s">
        <v>501</v>
      </c>
      <c r="F72" t="s">
        <v>575</v>
      </c>
      <c r="G72" s="55">
        <v>45813</v>
      </c>
      <c r="H72">
        <v>12</v>
      </c>
      <c r="I72" t="s">
        <v>157</v>
      </c>
      <c r="J72" s="55"/>
    </row>
    <row r="73" spans="1:10" x14ac:dyDescent="0.25">
      <c r="A73" t="s">
        <v>574</v>
      </c>
      <c r="B73" t="s">
        <v>54</v>
      </c>
      <c r="C73">
        <v>70155949</v>
      </c>
      <c r="D73" t="s">
        <v>9</v>
      </c>
      <c r="E73" t="s">
        <v>501</v>
      </c>
      <c r="F73" t="s">
        <v>575</v>
      </c>
      <c r="G73" s="55">
        <v>45814</v>
      </c>
      <c r="H73">
        <v>12</v>
      </c>
      <c r="I73" t="s">
        <v>156</v>
      </c>
      <c r="J73" s="55"/>
    </row>
    <row r="74" spans="1:10" x14ac:dyDescent="0.25">
      <c r="A74" t="s">
        <v>574</v>
      </c>
      <c r="B74" t="s">
        <v>28</v>
      </c>
      <c r="C74">
        <v>70951123</v>
      </c>
      <c r="D74" t="s">
        <v>5</v>
      </c>
      <c r="E74" t="s">
        <v>501</v>
      </c>
      <c r="F74" t="s">
        <v>575</v>
      </c>
      <c r="G74" s="55">
        <v>45840</v>
      </c>
      <c r="H74">
        <v>11</v>
      </c>
      <c r="I74" t="s">
        <v>158</v>
      </c>
      <c r="J74" s="55"/>
    </row>
    <row r="75" spans="1:10" x14ac:dyDescent="0.25">
      <c r="A75" t="s">
        <v>574</v>
      </c>
      <c r="B75" t="s">
        <v>60</v>
      </c>
      <c r="C75">
        <v>72839865</v>
      </c>
      <c r="D75" t="s">
        <v>7</v>
      </c>
      <c r="E75" t="s">
        <v>501</v>
      </c>
      <c r="F75" t="s">
        <v>575</v>
      </c>
      <c r="G75" s="55">
        <v>45854</v>
      </c>
      <c r="H75">
        <v>11</v>
      </c>
      <c r="I75" t="s">
        <v>159</v>
      </c>
      <c r="J75" s="55"/>
    </row>
    <row r="76" spans="1:10" x14ac:dyDescent="0.25">
      <c r="A76" t="s">
        <v>574</v>
      </c>
      <c r="B76" t="s">
        <v>101</v>
      </c>
      <c r="C76">
        <v>46938414</v>
      </c>
      <c r="D76" t="s">
        <v>3</v>
      </c>
      <c r="E76" t="s">
        <v>577</v>
      </c>
      <c r="F76" t="s">
        <v>575</v>
      </c>
      <c r="G76" s="55">
        <v>45870</v>
      </c>
      <c r="H76">
        <v>2</v>
      </c>
      <c r="I76" t="s">
        <v>157</v>
      </c>
      <c r="J76" s="55">
        <v>45961</v>
      </c>
    </row>
    <row r="77" spans="1:10" x14ac:dyDescent="0.25">
      <c r="A77" t="s">
        <v>574</v>
      </c>
      <c r="B77" t="s">
        <v>102</v>
      </c>
      <c r="C77">
        <v>9996175</v>
      </c>
      <c r="D77" t="s">
        <v>3</v>
      </c>
      <c r="E77" t="s">
        <v>577</v>
      </c>
      <c r="F77" t="s">
        <v>575</v>
      </c>
      <c r="G77" s="55">
        <v>45870</v>
      </c>
      <c r="H77">
        <v>2</v>
      </c>
      <c r="I77" t="s">
        <v>157</v>
      </c>
      <c r="J77" s="55">
        <v>45961</v>
      </c>
    </row>
    <row r="78" spans="1:10" x14ac:dyDescent="0.25">
      <c r="A78" t="s">
        <v>574</v>
      </c>
      <c r="B78" t="s">
        <v>91</v>
      </c>
      <c r="C78">
        <v>75346810</v>
      </c>
      <c r="D78" t="s">
        <v>125</v>
      </c>
      <c r="E78" t="s">
        <v>501</v>
      </c>
      <c r="F78" t="s">
        <v>575</v>
      </c>
      <c r="G78" s="55">
        <v>45877</v>
      </c>
      <c r="H78">
        <v>10</v>
      </c>
      <c r="I78" t="s">
        <v>158</v>
      </c>
      <c r="J78" s="55"/>
    </row>
    <row r="79" spans="1:10" x14ac:dyDescent="0.25">
      <c r="A79" t="s">
        <v>574</v>
      </c>
      <c r="B79" t="s">
        <v>93</v>
      </c>
      <c r="C79">
        <v>47322258</v>
      </c>
      <c r="D79" t="s">
        <v>4</v>
      </c>
      <c r="E79" t="s">
        <v>501</v>
      </c>
      <c r="F79" t="s">
        <v>575</v>
      </c>
      <c r="G79" s="55">
        <v>45880</v>
      </c>
      <c r="H79">
        <v>10</v>
      </c>
      <c r="I79" t="s">
        <v>157</v>
      </c>
      <c r="J79" s="55"/>
    </row>
    <row r="80" spans="1:10" x14ac:dyDescent="0.25">
      <c r="A80" t="s">
        <v>574</v>
      </c>
      <c r="B80" t="s">
        <v>92</v>
      </c>
      <c r="C80">
        <v>73040632</v>
      </c>
      <c r="D80" t="s">
        <v>4</v>
      </c>
      <c r="E80" t="s">
        <v>501</v>
      </c>
      <c r="F80" t="s">
        <v>575</v>
      </c>
      <c r="G80" s="55">
        <v>45880</v>
      </c>
      <c r="H80">
        <v>10</v>
      </c>
      <c r="I80" t="s">
        <v>157</v>
      </c>
      <c r="J80" s="55"/>
    </row>
    <row r="81" spans="1:10" x14ac:dyDescent="0.25">
      <c r="A81" t="s">
        <v>574</v>
      </c>
      <c r="B81" t="s">
        <v>96</v>
      </c>
      <c r="C81">
        <v>46793103</v>
      </c>
      <c r="D81" t="s">
        <v>5</v>
      </c>
      <c r="E81" t="s">
        <v>501</v>
      </c>
      <c r="F81" t="s">
        <v>575</v>
      </c>
      <c r="G81" s="55">
        <v>45882</v>
      </c>
      <c r="H81">
        <v>10</v>
      </c>
      <c r="I81" t="s">
        <v>158</v>
      </c>
      <c r="J81" s="55"/>
    </row>
    <row r="82" spans="1:10" x14ac:dyDescent="0.25">
      <c r="A82" t="s">
        <v>574</v>
      </c>
      <c r="B82" t="s">
        <v>97</v>
      </c>
      <c r="C82">
        <v>74602206</v>
      </c>
      <c r="D82" t="s">
        <v>3</v>
      </c>
      <c r="E82" t="s">
        <v>501</v>
      </c>
      <c r="F82" t="s">
        <v>575</v>
      </c>
      <c r="G82" s="55">
        <v>45884</v>
      </c>
      <c r="H82">
        <v>10</v>
      </c>
      <c r="I82" t="s">
        <v>157</v>
      </c>
      <c r="J82" s="55"/>
    </row>
    <row r="83" spans="1:10" x14ac:dyDescent="0.25">
      <c r="A83" t="s">
        <v>574</v>
      </c>
      <c r="B83" t="s">
        <v>100</v>
      </c>
      <c r="C83">
        <v>41285428</v>
      </c>
      <c r="D83" t="s">
        <v>9</v>
      </c>
      <c r="E83" t="s">
        <v>501</v>
      </c>
      <c r="F83" t="s">
        <v>575</v>
      </c>
      <c r="G83" s="55">
        <v>45890</v>
      </c>
      <c r="H83">
        <v>9</v>
      </c>
      <c r="I83" t="s">
        <v>156</v>
      </c>
      <c r="J83" s="55"/>
    </row>
    <row r="84" spans="1:10" x14ac:dyDescent="0.25">
      <c r="A84" t="s">
        <v>574</v>
      </c>
      <c r="B84" t="s">
        <v>99</v>
      </c>
      <c r="C84">
        <v>73708621</v>
      </c>
      <c r="D84" t="s">
        <v>6</v>
      </c>
      <c r="E84" t="s">
        <v>501</v>
      </c>
      <c r="F84" t="s">
        <v>575</v>
      </c>
      <c r="G84" s="55">
        <v>45891</v>
      </c>
      <c r="H84">
        <v>9</v>
      </c>
      <c r="I84" t="s">
        <v>159</v>
      </c>
      <c r="J84" s="55"/>
    </row>
    <row r="85" spans="1:10" x14ac:dyDescent="0.25">
      <c r="A85" t="s">
        <v>574</v>
      </c>
      <c r="B85" t="s">
        <v>114</v>
      </c>
      <c r="C85">
        <v>47005973</v>
      </c>
      <c r="D85" t="s">
        <v>4</v>
      </c>
      <c r="E85" t="s">
        <v>501</v>
      </c>
      <c r="F85" t="s">
        <v>575</v>
      </c>
      <c r="G85" s="55">
        <v>45912</v>
      </c>
      <c r="H85">
        <v>9</v>
      </c>
      <c r="I85" t="s">
        <v>157</v>
      </c>
      <c r="J85" s="55"/>
    </row>
    <row r="86" spans="1:10" x14ac:dyDescent="0.25">
      <c r="A86" t="s">
        <v>578</v>
      </c>
      <c r="B86" t="s">
        <v>219</v>
      </c>
      <c r="C86">
        <v>74122258</v>
      </c>
      <c r="D86" t="s">
        <v>6</v>
      </c>
      <c r="E86" t="s">
        <v>133</v>
      </c>
      <c r="F86" t="s">
        <v>575</v>
      </c>
      <c r="G86" s="55">
        <v>44022</v>
      </c>
      <c r="H86">
        <v>71</v>
      </c>
      <c r="I86" t="s">
        <v>209</v>
      </c>
      <c r="J86" s="55"/>
    </row>
    <row r="87" spans="1:10" x14ac:dyDescent="0.25">
      <c r="A87" t="s">
        <v>578</v>
      </c>
      <c r="B87" t="s">
        <v>248</v>
      </c>
      <c r="C87">
        <v>44265602</v>
      </c>
      <c r="D87" t="s">
        <v>2</v>
      </c>
      <c r="E87" t="s">
        <v>133</v>
      </c>
      <c r="F87" t="s">
        <v>575</v>
      </c>
      <c r="G87" s="55">
        <v>44673</v>
      </c>
      <c r="H87">
        <v>49</v>
      </c>
      <c r="I87" t="s">
        <v>158</v>
      </c>
      <c r="J87" s="55"/>
    </row>
    <row r="88" spans="1:10" x14ac:dyDescent="0.25">
      <c r="A88" t="s">
        <v>578</v>
      </c>
      <c r="B88" t="s">
        <v>226</v>
      </c>
      <c r="C88">
        <v>73049631</v>
      </c>
      <c r="D88" t="s">
        <v>3</v>
      </c>
      <c r="E88" t="s">
        <v>133</v>
      </c>
      <c r="F88" t="s">
        <v>575</v>
      </c>
      <c r="G88" s="55">
        <v>43506</v>
      </c>
      <c r="H88">
        <v>88</v>
      </c>
      <c r="I88" t="s">
        <v>159</v>
      </c>
      <c r="J88" s="55"/>
    </row>
    <row r="89" spans="1:10" x14ac:dyDescent="0.25">
      <c r="A89" t="s">
        <v>578</v>
      </c>
      <c r="B89" t="s">
        <v>214</v>
      </c>
      <c r="C89">
        <v>46872195</v>
      </c>
      <c r="D89" t="s">
        <v>7</v>
      </c>
      <c r="E89" t="s">
        <v>133</v>
      </c>
      <c r="F89" t="s">
        <v>575</v>
      </c>
      <c r="G89" s="55">
        <v>43805</v>
      </c>
      <c r="H89">
        <v>78</v>
      </c>
      <c r="I89" t="s">
        <v>160</v>
      </c>
      <c r="J89" s="55"/>
    </row>
    <row r="90" spans="1:10" x14ac:dyDescent="0.25">
      <c r="A90" t="s">
        <v>578</v>
      </c>
      <c r="B90" t="s">
        <v>224</v>
      </c>
      <c r="C90">
        <v>70984733</v>
      </c>
      <c r="D90" t="s">
        <v>4</v>
      </c>
      <c r="E90" t="s">
        <v>133</v>
      </c>
      <c r="F90" t="s">
        <v>575</v>
      </c>
      <c r="G90" s="55">
        <v>43466</v>
      </c>
      <c r="H90">
        <v>89</v>
      </c>
      <c r="I90" t="s">
        <v>159</v>
      </c>
      <c r="J90" s="55"/>
    </row>
    <row r="91" spans="1:10" x14ac:dyDescent="0.25">
      <c r="A91" t="s">
        <v>578</v>
      </c>
      <c r="B91" t="s">
        <v>212</v>
      </c>
      <c r="C91">
        <v>73613568</v>
      </c>
      <c r="D91" t="s">
        <v>5</v>
      </c>
      <c r="E91" t="s">
        <v>133</v>
      </c>
      <c r="F91" t="s">
        <v>575</v>
      </c>
      <c r="G91" s="55">
        <v>43318</v>
      </c>
      <c r="H91">
        <v>94</v>
      </c>
      <c r="I91" t="s">
        <v>160</v>
      </c>
      <c r="J91" s="55"/>
    </row>
    <row r="92" spans="1:10" x14ac:dyDescent="0.25">
      <c r="A92" t="s">
        <v>578</v>
      </c>
      <c r="B92" t="s">
        <v>58</v>
      </c>
      <c r="C92">
        <v>72519113</v>
      </c>
      <c r="D92" t="s">
        <v>4</v>
      </c>
      <c r="E92" t="s">
        <v>501</v>
      </c>
      <c r="F92" t="s">
        <v>575</v>
      </c>
      <c r="G92" s="55">
        <v>43119</v>
      </c>
      <c r="H92">
        <v>100</v>
      </c>
      <c r="I92" t="s">
        <v>159</v>
      </c>
      <c r="J92" s="55"/>
    </row>
    <row r="93" spans="1:10" x14ac:dyDescent="0.25">
      <c r="A93" t="s">
        <v>578</v>
      </c>
      <c r="B93" t="s">
        <v>49</v>
      </c>
      <c r="C93">
        <v>40702064</v>
      </c>
      <c r="D93" t="s">
        <v>2</v>
      </c>
      <c r="E93" t="s">
        <v>501</v>
      </c>
      <c r="F93" t="s">
        <v>575</v>
      </c>
      <c r="G93" s="55">
        <v>43313</v>
      </c>
      <c r="H93">
        <v>94</v>
      </c>
      <c r="I93" t="s">
        <v>158</v>
      </c>
      <c r="J93" s="55"/>
    </row>
    <row r="94" spans="1:10" x14ac:dyDescent="0.25">
      <c r="A94" t="s">
        <v>578</v>
      </c>
      <c r="B94" t="s">
        <v>23</v>
      </c>
      <c r="C94">
        <v>72413556</v>
      </c>
      <c r="D94" t="s">
        <v>3</v>
      </c>
      <c r="E94" t="s">
        <v>501</v>
      </c>
      <c r="F94" t="s">
        <v>575</v>
      </c>
      <c r="G94" s="55">
        <v>44109</v>
      </c>
      <c r="H94">
        <v>68</v>
      </c>
      <c r="I94" t="s">
        <v>159</v>
      </c>
      <c r="J94" s="55"/>
    </row>
    <row r="95" spans="1:10" x14ac:dyDescent="0.25">
      <c r="A95" t="s">
        <v>578</v>
      </c>
      <c r="B95" t="s">
        <v>26</v>
      </c>
      <c r="C95">
        <v>41005089</v>
      </c>
      <c r="D95" t="s">
        <v>6</v>
      </c>
      <c r="E95" t="s">
        <v>501</v>
      </c>
      <c r="F95" t="s">
        <v>575</v>
      </c>
      <c r="G95" s="55">
        <v>44257</v>
      </c>
      <c r="H95">
        <v>63</v>
      </c>
      <c r="I95" t="s">
        <v>161</v>
      </c>
      <c r="J95" s="55"/>
    </row>
    <row r="96" spans="1:10" x14ac:dyDescent="0.25">
      <c r="A96" t="s">
        <v>578</v>
      </c>
      <c r="B96" t="s">
        <v>69</v>
      </c>
      <c r="C96">
        <v>73930771</v>
      </c>
      <c r="D96" t="s">
        <v>3</v>
      </c>
      <c r="E96" t="s">
        <v>501</v>
      </c>
      <c r="F96" t="s">
        <v>575</v>
      </c>
      <c r="G96" s="55">
        <v>44459</v>
      </c>
      <c r="H96">
        <v>56</v>
      </c>
      <c r="I96" t="s">
        <v>159</v>
      </c>
      <c r="J96" s="55"/>
    </row>
    <row r="97" spans="1:10" x14ac:dyDescent="0.25">
      <c r="A97" t="s">
        <v>578</v>
      </c>
      <c r="B97" t="s">
        <v>74</v>
      </c>
      <c r="C97">
        <v>70135127</v>
      </c>
      <c r="D97" t="s">
        <v>7</v>
      </c>
      <c r="E97" t="s">
        <v>577</v>
      </c>
      <c r="F97" t="s">
        <v>575</v>
      </c>
      <c r="G97" s="55">
        <v>44468</v>
      </c>
      <c r="H97">
        <v>50</v>
      </c>
      <c r="I97" t="s">
        <v>160</v>
      </c>
      <c r="J97" s="55">
        <v>45991</v>
      </c>
    </row>
    <row r="98" spans="1:10" x14ac:dyDescent="0.25">
      <c r="A98" t="s">
        <v>578</v>
      </c>
      <c r="B98" t="s">
        <v>19</v>
      </c>
      <c r="C98">
        <v>76656128</v>
      </c>
      <c r="D98" t="s">
        <v>6</v>
      </c>
      <c r="E98" t="s">
        <v>501</v>
      </c>
      <c r="F98" t="s">
        <v>575</v>
      </c>
      <c r="G98" s="55">
        <v>44671</v>
      </c>
      <c r="H98">
        <v>49</v>
      </c>
      <c r="I98" t="s">
        <v>161</v>
      </c>
      <c r="J98" s="55"/>
    </row>
    <row r="99" spans="1:10" x14ac:dyDescent="0.25">
      <c r="A99" t="s">
        <v>578</v>
      </c>
      <c r="B99" t="s">
        <v>29</v>
      </c>
      <c r="C99">
        <v>72758956</v>
      </c>
      <c r="D99" t="s">
        <v>5</v>
      </c>
      <c r="E99" t="s">
        <v>501</v>
      </c>
      <c r="F99" t="s">
        <v>575</v>
      </c>
      <c r="G99" s="55">
        <v>44685</v>
      </c>
      <c r="H99">
        <v>49</v>
      </c>
      <c r="I99" t="s">
        <v>160</v>
      </c>
      <c r="J99" s="55"/>
    </row>
    <row r="100" spans="1:10" x14ac:dyDescent="0.25">
      <c r="A100" t="s">
        <v>578</v>
      </c>
      <c r="B100" t="s">
        <v>10</v>
      </c>
      <c r="C100">
        <v>40980108</v>
      </c>
      <c r="D100" t="s">
        <v>4</v>
      </c>
      <c r="E100" t="s">
        <v>501</v>
      </c>
      <c r="F100" t="s">
        <v>575</v>
      </c>
      <c r="G100" s="55">
        <v>44704</v>
      </c>
      <c r="H100">
        <v>48</v>
      </c>
      <c r="I100" t="s">
        <v>159</v>
      </c>
      <c r="J100" s="55"/>
    </row>
    <row r="101" spans="1:10" x14ac:dyDescent="0.25">
      <c r="A101" t="s">
        <v>578</v>
      </c>
      <c r="B101" t="s">
        <v>75</v>
      </c>
      <c r="C101">
        <v>71264767</v>
      </c>
      <c r="D101" t="s">
        <v>4</v>
      </c>
      <c r="E101" t="s">
        <v>501</v>
      </c>
      <c r="F101" t="s">
        <v>575</v>
      </c>
      <c r="G101" s="55">
        <v>44714</v>
      </c>
      <c r="H101">
        <v>48</v>
      </c>
      <c r="I101" t="s">
        <v>159</v>
      </c>
      <c r="J101" s="55"/>
    </row>
    <row r="102" spans="1:10" x14ac:dyDescent="0.25">
      <c r="A102" t="s">
        <v>578</v>
      </c>
      <c r="B102" t="s">
        <v>15</v>
      </c>
      <c r="C102">
        <v>47587400</v>
      </c>
      <c r="D102" t="s">
        <v>2</v>
      </c>
      <c r="E102" t="s">
        <v>501</v>
      </c>
      <c r="F102" t="s">
        <v>575</v>
      </c>
      <c r="G102" s="55">
        <v>44733</v>
      </c>
      <c r="H102">
        <v>47</v>
      </c>
      <c r="I102" t="s">
        <v>158</v>
      </c>
      <c r="J102" s="55"/>
    </row>
    <row r="103" spans="1:10" x14ac:dyDescent="0.25">
      <c r="A103" t="s">
        <v>578</v>
      </c>
      <c r="B103" t="s">
        <v>35</v>
      </c>
      <c r="C103">
        <v>10491198</v>
      </c>
      <c r="D103" t="s">
        <v>6</v>
      </c>
      <c r="E103" t="s">
        <v>501</v>
      </c>
      <c r="F103" t="s">
        <v>575</v>
      </c>
      <c r="G103" s="55">
        <v>44746</v>
      </c>
      <c r="H103">
        <v>47</v>
      </c>
      <c r="I103" t="s">
        <v>161</v>
      </c>
      <c r="J103" s="55"/>
    </row>
    <row r="104" spans="1:10" x14ac:dyDescent="0.25">
      <c r="A104" t="s">
        <v>578</v>
      </c>
      <c r="B104" t="s">
        <v>48</v>
      </c>
      <c r="C104">
        <v>43307898</v>
      </c>
      <c r="D104" t="s">
        <v>2</v>
      </c>
      <c r="E104" t="s">
        <v>501</v>
      </c>
      <c r="F104" t="s">
        <v>575</v>
      </c>
      <c r="G104" s="55">
        <v>44746</v>
      </c>
      <c r="H104">
        <v>47</v>
      </c>
      <c r="I104" t="s">
        <v>158</v>
      </c>
      <c r="J104" s="55"/>
    </row>
    <row r="105" spans="1:10" x14ac:dyDescent="0.25">
      <c r="A105" t="s">
        <v>578</v>
      </c>
      <c r="B105" t="s">
        <v>67</v>
      </c>
      <c r="C105">
        <v>9880053</v>
      </c>
      <c r="D105" t="s">
        <v>6</v>
      </c>
      <c r="E105" t="s">
        <v>577</v>
      </c>
      <c r="F105" t="s">
        <v>575</v>
      </c>
      <c r="G105" s="55">
        <v>44809</v>
      </c>
      <c r="H105">
        <v>38</v>
      </c>
      <c r="I105" t="s">
        <v>161</v>
      </c>
      <c r="J105" s="55">
        <v>45991</v>
      </c>
    </row>
    <row r="106" spans="1:10" x14ac:dyDescent="0.25">
      <c r="A106" t="s">
        <v>578</v>
      </c>
      <c r="B106" t="s">
        <v>13</v>
      </c>
      <c r="C106">
        <v>72512391</v>
      </c>
      <c r="D106" t="s">
        <v>3</v>
      </c>
      <c r="E106" t="s">
        <v>501</v>
      </c>
      <c r="F106" t="s">
        <v>575</v>
      </c>
      <c r="G106" s="55">
        <v>44809</v>
      </c>
      <c r="H106">
        <v>45</v>
      </c>
      <c r="I106" t="s">
        <v>159</v>
      </c>
      <c r="J106" s="55"/>
    </row>
    <row r="107" spans="1:10" x14ac:dyDescent="0.25">
      <c r="A107" t="s">
        <v>578</v>
      </c>
      <c r="B107" t="s">
        <v>76</v>
      </c>
      <c r="C107">
        <v>60914051</v>
      </c>
      <c r="D107" t="s">
        <v>3</v>
      </c>
      <c r="E107" t="s">
        <v>501</v>
      </c>
      <c r="F107" t="s">
        <v>575</v>
      </c>
      <c r="G107" s="55">
        <v>44817</v>
      </c>
      <c r="H107">
        <v>45</v>
      </c>
      <c r="I107" t="s">
        <v>159</v>
      </c>
      <c r="J107" s="55"/>
    </row>
    <row r="108" spans="1:10" x14ac:dyDescent="0.25">
      <c r="A108" t="s">
        <v>578</v>
      </c>
      <c r="B108" t="s">
        <v>25</v>
      </c>
      <c r="C108">
        <v>72373931</v>
      </c>
      <c r="D108" t="s">
        <v>2</v>
      </c>
      <c r="E108" t="s">
        <v>500</v>
      </c>
      <c r="F108" t="s">
        <v>575</v>
      </c>
      <c r="G108" s="55">
        <v>44818</v>
      </c>
      <c r="H108">
        <v>45</v>
      </c>
      <c r="I108" t="s">
        <v>158</v>
      </c>
      <c r="J108" s="55"/>
    </row>
    <row r="109" spans="1:10" x14ac:dyDescent="0.25">
      <c r="A109" t="s">
        <v>578</v>
      </c>
      <c r="B109" t="s">
        <v>21</v>
      </c>
      <c r="C109">
        <v>44042880</v>
      </c>
      <c r="D109" t="s">
        <v>2</v>
      </c>
      <c r="E109" t="s">
        <v>501</v>
      </c>
      <c r="F109" t="s">
        <v>575</v>
      </c>
      <c r="G109" s="55">
        <v>44824</v>
      </c>
      <c r="H109">
        <v>44</v>
      </c>
      <c r="I109" t="s">
        <v>158</v>
      </c>
      <c r="J109" s="55"/>
    </row>
    <row r="110" spans="1:10" x14ac:dyDescent="0.25">
      <c r="A110" t="s">
        <v>578</v>
      </c>
      <c r="B110" t="s">
        <v>77</v>
      </c>
      <c r="C110">
        <v>42251780</v>
      </c>
      <c r="D110" t="s">
        <v>5</v>
      </c>
      <c r="E110" t="s">
        <v>501</v>
      </c>
      <c r="F110" t="s">
        <v>575</v>
      </c>
      <c r="G110" s="55">
        <v>44838</v>
      </c>
      <c r="H110">
        <v>44</v>
      </c>
      <c r="I110" t="s">
        <v>160</v>
      </c>
      <c r="J110" s="55"/>
    </row>
    <row r="111" spans="1:10" x14ac:dyDescent="0.25">
      <c r="A111" t="s">
        <v>578</v>
      </c>
      <c r="B111" t="s">
        <v>33</v>
      </c>
      <c r="C111">
        <v>80689573</v>
      </c>
      <c r="D111" t="s">
        <v>2</v>
      </c>
      <c r="E111" t="s">
        <v>500</v>
      </c>
      <c r="F111" t="s">
        <v>575</v>
      </c>
      <c r="G111" s="55">
        <v>44867</v>
      </c>
      <c r="H111">
        <v>43</v>
      </c>
      <c r="I111" t="s">
        <v>158</v>
      </c>
      <c r="J111" s="55"/>
    </row>
    <row r="112" spans="1:10" x14ac:dyDescent="0.25">
      <c r="A112" t="s">
        <v>578</v>
      </c>
      <c r="B112" t="s">
        <v>12</v>
      </c>
      <c r="C112">
        <v>45262585</v>
      </c>
      <c r="D112" t="s">
        <v>2</v>
      </c>
      <c r="E112" t="s">
        <v>500</v>
      </c>
      <c r="F112" t="s">
        <v>575</v>
      </c>
      <c r="G112" s="55">
        <v>44868</v>
      </c>
      <c r="H112">
        <v>43</v>
      </c>
      <c r="I112" t="s">
        <v>158</v>
      </c>
      <c r="J112" s="55"/>
    </row>
    <row r="113" spans="1:10" x14ac:dyDescent="0.25">
      <c r="A113" t="s">
        <v>578</v>
      </c>
      <c r="B113" t="s">
        <v>17</v>
      </c>
      <c r="C113">
        <v>70876605</v>
      </c>
      <c r="D113" t="s">
        <v>3</v>
      </c>
      <c r="E113" t="s">
        <v>501</v>
      </c>
      <c r="F113" t="s">
        <v>575</v>
      </c>
      <c r="G113" s="55">
        <v>44886</v>
      </c>
      <c r="H113">
        <v>42</v>
      </c>
      <c r="I113" t="s">
        <v>159</v>
      </c>
      <c r="J113" s="55"/>
    </row>
    <row r="114" spans="1:10" x14ac:dyDescent="0.25">
      <c r="A114" t="s">
        <v>578</v>
      </c>
      <c r="B114" t="s">
        <v>61</v>
      </c>
      <c r="C114">
        <v>44001162</v>
      </c>
      <c r="D114" t="s">
        <v>6</v>
      </c>
      <c r="E114" t="s">
        <v>501</v>
      </c>
      <c r="F114" t="s">
        <v>575</v>
      </c>
      <c r="G114" s="55">
        <v>44907</v>
      </c>
      <c r="H114">
        <v>42</v>
      </c>
      <c r="I114" t="s">
        <v>161</v>
      </c>
      <c r="J114" s="55"/>
    </row>
    <row r="115" spans="1:10" x14ac:dyDescent="0.25">
      <c r="A115" t="s">
        <v>578</v>
      </c>
      <c r="B115" t="s">
        <v>36</v>
      </c>
      <c r="C115">
        <v>76917479</v>
      </c>
      <c r="D115" t="s">
        <v>5</v>
      </c>
      <c r="E115" t="s">
        <v>577</v>
      </c>
      <c r="F115" t="s">
        <v>575</v>
      </c>
      <c r="G115" s="55">
        <v>44939</v>
      </c>
      <c r="H115">
        <v>34</v>
      </c>
      <c r="I115" t="s">
        <v>160</v>
      </c>
      <c r="J115" s="55">
        <v>45991</v>
      </c>
    </row>
    <row r="116" spans="1:10" x14ac:dyDescent="0.25">
      <c r="A116" t="s">
        <v>578</v>
      </c>
      <c r="B116" t="s">
        <v>78</v>
      </c>
      <c r="C116">
        <v>10706451</v>
      </c>
      <c r="D116" t="s">
        <v>6</v>
      </c>
      <c r="E116" t="s">
        <v>501</v>
      </c>
      <c r="F116" t="s">
        <v>575</v>
      </c>
      <c r="G116" s="55">
        <v>44943</v>
      </c>
      <c r="H116">
        <v>41</v>
      </c>
      <c r="I116" t="s">
        <v>161</v>
      </c>
      <c r="J116" s="55"/>
    </row>
    <row r="117" spans="1:10" x14ac:dyDescent="0.25">
      <c r="A117" t="s">
        <v>578</v>
      </c>
      <c r="B117" t="s">
        <v>70</v>
      </c>
      <c r="C117">
        <v>47982910</v>
      </c>
      <c r="D117" t="s">
        <v>7</v>
      </c>
      <c r="E117" t="s">
        <v>577</v>
      </c>
      <c r="F117" t="s">
        <v>575</v>
      </c>
      <c r="G117" s="55">
        <v>44967</v>
      </c>
      <c r="H117">
        <v>32</v>
      </c>
      <c r="I117" t="s">
        <v>160</v>
      </c>
      <c r="J117" s="55">
        <v>45965</v>
      </c>
    </row>
    <row r="118" spans="1:10" x14ac:dyDescent="0.25">
      <c r="A118" t="s">
        <v>578</v>
      </c>
      <c r="B118" t="s">
        <v>65</v>
      </c>
      <c r="C118">
        <v>47659267</v>
      </c>
      <c r="D118" t="s">
        <v>6</v>
      </c>
      <c r="E118" t="s">
        <v>501</v>
      </c>
      <c r="F118" t="s">
        <v>575</v>
      </c>
      <c r="G118" s="55">
        <v>45019</v>
      </c>
      <c r="H118">
        <v>38</v>
      </c>
      <c r="I118" t="s">
        <v>161</v>
      </c>
      <c r="J118" s="55"/>
    </row>
    <row r="119" spans="1:10" x14ac:dyDescent="0.25">
      <c r="A119" t="s">
        <v>578</v>
      </c>
      <c r="B119" t="s">
        <v>37</v>
      </c>
      <c r="C119">
        <v>70988976</v>
      </c>
      <c r="D119" t="s">
        <v>4</v>
      </c>
      <c r="E119" t="s">
        <v>501</v>
      </c>
      <c r="F119" t="s">
        <v>575</v>
      </c>
      <c r="G119" s="55">
        <v>45112</v>
      </c>
      <c r="H119">
        <v>35</v>
      </c>
      <c r="I119" t="s">
        <v>159</v>
      </c>
      <c r="J119" s="55"/>
    </row>
    <row r="120" spans="1:10" x14ac:dyDescent="0.25">
      <c r="A120" t="s">
        <v>578</v>
      </c>
      <c r="B120" t="s">
        <v>18</v>
      </c>
      <c r="C120">
        <v>76214436</v>
      </c>
      <c r="D120" t="s">
        <v>6</v>
      </c>
      <c r="E120" t="s">
        <v>501</v>
      </c>
      <c r="F120" t="s">
        <v>575</v>
      </c>
      <c r="G120" s="55">
        <v>45132</v>
      </c>
      <c r="H120">
        <v>34</v>
      </c>
      <c r="I120" t="s">
        <v>161</v>
      </c>
      <c r="J120" s="55"/>
    </row>
    <row r="121" spans="1:10" x14ac:dyDescent="0.25">
      <c r="A121" t="s">
        <v>578</v>
      </c>
      <c r="B121" t="s">
        <v>73</v>
      </c>
      <c r="C121">
        <v>40318129</v>
      </c>
      <c r="D121" t="s">
        <v>2</v>
      </c>
      <c r="E121" t="s">
        <v>501</v>
      </c>
      <c r="F121" t="s">
        <v>575</v>
      </c>
      <c r="G121" s="55">
        <v>45141</v>
      </c>
      <c r="H121">
        <v>34</v>
      </c>
      <c r="I121" t="s">
        <v>158</v>
      </c>
      <c r="J121" s="55"/>
    </row>
    <row r="122" spans="1:10" x14ac:dyDescent="0.25">
      <c r="A122" t="s">
        <v>578</v>
      </c>
      <c r="B122" t="s">
        <v>20</v>
      </c>
      <c r="C122">
        <v>48307357</v>
      </c>
      <c r="D122" t="s">
        <v>7</v>
      </c>
      <c r="E122" t="s">
        <v>577</v>
      </c>
      <c r="F122" t="s">
        <v>575</v>
      </c>
      <c r="G122" s="55">
        <v>45141</v>
      </c>
      <c r="H122">
        <v>27</v>
      </c>
      <c r="I122" t="s">
        <v>160</v>
      </c>
      <c r="J122" s="55">
        <v>45991</v>
      </c>
    </row>
    <row r="123" spans="1:10" x14ac:dyDescent="0.25">
      <c r="A123" t="s">
        <v>578</v>
      </c>
      <c r="B123" t="s">
        <v>79</v>
      </c>
      <c r="C123">
        <v>71262377</v>
      </c>
      <c r="D123" t="s">
        <v>5</v>
      </c>
      <c r="E123" t="s">
        <v>501</v>
      </c>
      <c r="F123" t="s">
        <v>575</v>
      </c>
      <c r="G123" s="55">
        <v>45145</v>
      </c>
      <c r="H123">
        <v>34</v>
      </c>
      <c r="I123" t="s">
        <v>160</v>
      </c>
      <c r="J123" s="55"/>
    </row>
    <row r="124" spans="1:10" x14ac:dyDescent="0.25">
      <c r="A124" t="s">
        <v>578</v>
      </c>
      <c r="B124" t="s">
        <v>34</v>
      </c>
      <c r="C124">
        <v>76824571</v>
      </c>
      <c r="D124" t="s">
        <v>2</v>
      </c>
      <c r="E124" t="s">
        <v>500</v>
      </c>
      <c r="F124" t="s">
        <v>575</v>
      </c>
      <c r="G124" s="55">
        <v>45173</v>
      </c>
      <c r="H124">
        <v>33</v>
      </c>
      <c r="I124" t="s">
        <v>158</v>
      </c>
      <c r="J124" s="55"/>
    </row>
    <row r="125" spans="1:10" x14ac:dyDescent="0.25">
      <c r="A125" t="s">
        <v>578</v>
      </c>
      <c r="B125" t="s">
        <v>80</v>
      </c>
      <c r="C125">
        <v>45084594</v>
      </c>
      <c r="D125" t="s">
        <v>4</v>
      </c>
      <c r="E125" t="s">
        <v>501</v>
      </c>
      <c r="F125" t="s">
        <v>575</v>
      </c>
      <c r="G125" s="55">
        <v>45281</v>
      </c>
      <c r="H125">
        <v>29</v>
      </c>
      <c r="I125" t="s">
        <v>159</v>
      </c>
      <c r="J125" s="55"/>
    </row>
    <row r="126" spans="1:10" x14ac:dyDescent="0.25">
      <c r="A126" t="s">
        <v>578</v>
      </c>
      <c r="B126" t="s">
        <v>22</v>
      </c>
      <c r="C126">
        <v>70551168</v>
      </c>
      <c r="D126" t="s">
        <v>3</v>
      </c>
      <c r="E126" t="s">
        <v>501</v>
      </c>
      <c r="F126" t="s">
        <v>575</v>
      </c>
      <c r="G126" s="55">
        <v>45295</v>
      </c>
      <c r="H126">
        <v>29</v>
      </c>
      <c r="I126" t="s">
        <v>159</v>
      </c>
      <c r="J126" s="55"/>
    </row>
    <row r="127" spans="1:10" x14ac:dyDescent="0.25">
      <c r="A127" t="s">
        <v>578</v>
      </c>
      <c r="B127" t="s">
        <v>41</v>
      </c>
      <c r="C127">
        <v>46461021</v>
      </c>
      <c r="D127" t="s">
        <v>6</v>
      </c>
      <c r="E127" t="s">
        <v>501</v>
      </c>
      <c r="F127" t="s">
        <v>575</v>
      </c>
      <c r="G127" s="55">
        <v>45302</v>
      </c>
      <c r="H127">
        <v>29</v>
      </c>
      <c r="I127" t="s">
        <v>161</v>
      </c>
      <c r="J127" s="55"/>
    </row>
    <row r="128" spans="1:10" x14ac:dyDescent="0.25">
      <c r="A128" t="s">
        <v>578</v>
      </c>
      <c r="B128" t="s">
        <v>24</v>
      </c>
      <c r="C128">
        <v>43614775</v>
      </c>
      <c r="D128" t="s">
        <v>6</v>
      </c>
      <c r="E128" t="s">
        <v>501</v>
      </c>
      <c r="F128" t="s">
        <v>575</v>
      </c>
      <c r="G128" s="55">
        <v>45334</v>
      </c>
      <c r="H128">
        <v>28</v>
      </c>
      <c r="I128" t="s">
        <v>161</v>
      </c>
      <c r="J128" s="55"/>
    </row>
    <row r="129" spans="1:10" x14ac:dyDescent="0.25">
      <c r="A129" t="s">
        <v>578</v>
      </c>
      <c r="B129" t="s">
        <v>31</v>
      </c>
      <c r="C129">
        <v>75882265</v>
      </c>
      <c r="D129" t="s">
        <v>3</v>
      </c>
      <c r="E129" t="s">
        <v>501</v>
      </c>
      <c r="F129" t="s">
        <v>575</v>
      </c>
      <c r="G129" s="55">
        <v>45334</v>
      </c>
      <c r="H129">
        <v>28</v>
      </c>
      <c r="I129" t="s">
        <v>159</v>
      </c>
      <c r="J129" s="55"/>
    </row>
    <row r="130" spans="1:10" x14ac:dyDescent="0.25">
      <c r="A130" t="s">
        <v>578</v>
      </c>
      <c r="B130" t="s">
        <v>16</v>
      </c>
      <c r="C130">
        <v>47029782</v>
      </c>
      <c r="D130" t="s">
        <v>3</v>
      </c>
      <c r="E130" t="s">
        <v>501</v>
      </c>
      <c r="F130" t="s">
        <v>575</v>
      </c>
      <c r="G130" s="55">
        <v>45334</v>
      </c>
      <c r="H130">
        <v>28</v>
      </c>
      <c r="I130" t="s">
        <v>159</v>
      </c>
      <c r="J130" s="55"/>
    </row>
    <row r="131" spans="1:10" x14ac:dyDescent="0.25">
      <c r="A131" t="s">
        <v>578</v>
      </c>
      <c r="B131" t="s">
        <v>59</v>
      </c>
      <c r="C131">
        <v>60870839</v>
      </c>
      <c r="D131" t="s">
        <v>4</v>
      </c>
      <c r="E131" t="s">
        <v>501</v>
      </c>
      <c r="F131" t="s">
        <v>575</v>
      </c>
      <c r="G131" s="55">
        <v>45344</v>
      </c>
      <c r="H131">
        <v>27</v>
      </c>
      <c r="I131" t="s">
        <v>159</v>
      </c>
      <c r="J131" s="55"/>
    </row>
    <row r="132" spans="1:10" x14ac:dyDescent="0.25">
      <c r="A132" t="s">
        <v>578</v>
      </c>
      <c r="B132" t="s">
        <v>68</v>
      </c>
      <c r="C132">
        <v>73257316</v>
      </c>
      <c r="D132" t="s">
        <v>2</v>
      </c>
      <c r="E132" t="s">
        <v>501</v>
      </c>
      <c r="F132" t="s">
        <v>575</v>
      </c>
      <c r="G132" s="55">
        <v>45363</v>
      </c>
      <c r="H132">
        <v>27</v>
      </c>
      <c r="I132" t="s">
        <v>158</v>
      </c>
      <c r="J132" s="55"/>
    </row>
    <row r="133" spans="1:10" x14ac:dyDescent="0.25">
      <c r="A133" t="s">
        <v>578</v>
      </c>
      <c r="B133" t="s">
        <v>11</v>
      </c>
      <c r="C133">
        <v>45139159</v>
      </c>
      <c r="D133" t="s">
        <v>6</v>
      </c>
      <c r="E133" t="s">
        <v>501</v>
      </c>
      <c r="F133" t="s">
        <v>575</v>
      </c>
      <c r="G133" s="55">
        <v>45369</v>
      </c>
      <c r="H133">
        <v>26</v>
      </c>
      <c r="I133" t="s">
        <v>161</v>
      </c>
      <c r="J133" s="55"/>
    </row>
    <row r="134" spans="1:10" x14ac:dyDescent="0.25">
      <c r="A134" t="s">
        <v>578</v>
      </c>
      <c r="B134" t="s">
        <v>42</v>
      </c>
      <c r="C134">
        <v>73725129</v>
      </c>
      <c r="D134" t="s">
        <v>2</v>
      </c>
      <c r="E134" t="s">
        <v>501</v>
      </c>
      <c r="F134" t="s">
        <v>575</v>
      </c>
      <c r="G134" s="55">
        <v>45398</v>
      </c>
      <c r="H134">
        <v>26</v>
      </c>
      <c r="I134" t="s">
        <v>158</v>
      </c>
      <c r="J134" s="55"/>
    </row>
    <row r="135" spans="1:10" x14ac:dyDescent="0.25">
      <c r="A135" t="s">
        <v>578</v>
      </c>
      <c r="B135" t="s">
        <v>40</v>
      </c>
      <c r="C135">
        <v>60976055</v>
      </c>
      <c r="D135" t="s">
        <v>4</v>
      </c>
      <c r="E135" t="s">
        <v>501</v>
      </c>
      <c r="F135" t="s">
        <v>575</v>
      </c>
      <c r="G135" s="55">
        <v>45433</v>
      </c>
      <c r="H135">
        <v>24</v>
      </c>
      <c r="I135" t="s">
        <v>159</v>
      </c>
      <c r="J135" s="55"/>
    </row>
    <row r="136" spans="1:10" x14ac:dyDescent="0.25">
      <c r="A136" t="s">
        <v>578</v>
      </c>
      <c r="B136" t="s">
        <v>81</v>
      </c>
      <c r="C136">
        <v>72716299</v>
      </c>
      <c r="D136" t="s">
        <v>6</v>
      </c>
      <c r="E136" t="s">
        <v>501</v>
      </c>
      <c r="F136" t="s">
        <v>575</v>
      </c>
      <c r="G136" s="55">
        <v>45511</v>
      </c>
      <c r="H136">
        <v>22</v>
      </c>
      <c r="I136" t="s">
        <v>161</v>
      </c>
      <c r="J136" s="55"/>
    </row>
    <row r="137" spans="1:10" x14ac:dyDescent="0.25">
      <c r="A137" t="s">
        <v>578</v>
      </c>
      <c r="B137" t="s">
        <v>32</v>
      </c>
      <c r="C137">
        <v>48584670</v>
      </c>
      <c r="D137" t="s">
        <v>3</v>
      </c>
      <c r="E137" t="s">
        <v>501</v>
      </c>
      <c r="F137" t="s">
        <v>575</v>
      </c>
      <c r="G137" s="55">
        <v>45526</v>
      </c>
      <c r="H137">
        <v>21</v>
      </c>
      <c r="I137" t="s">
        <v>159</v>
      </c>
      <c r="J137" s="55"/>
    </row>
    <row r="138" spans="1:10" x14ac:dyDescent="0.25">
      <c r="A138" t="s">
        <v>578</v>
      </c>
      <c r="B138" t="s">
        <v>57</v>
      </c>
      <c r="C138">
        <v>74996029</v>
      </c>
      <c r="D138" t="s">
        <v>4</v>
      </c>
      <c r="E138" t="s">
        <v>501</v>
      </c>
      <c r="F138" t="s">
        <v>575</v>
      </c>
      <c r="G138" s="55">
        <v>45589</v>
      </c>
      <c r="H138">
        <v>19</v>
      </c>
      <c r="I138" t="s">
        <v>159</v>
      </c>
      <c r="J138" s="55"/>
    </row>
    <row r="139" spans="1:10" x14ac:dyDescent="0.25">
      <c r="A139" t="s">
        <v>578</v>
      </c>
      <c r="B139" t="s">
        <v>27</v>
      </c>
      <c r="C139">
        <v>73203775</v>
      </c>
      <c r="D139" t="s">
        <v>2</v>
      </c>
      <c r="E139" t="s">
        <v>577</v>
      </c>
      <c r="F139" t="s">
        <v>575</v>
      </c>
      <c r="G139" s="55">
        <v>45677</v>
      </c>
      <c r="H139">
        <v>10</v>
      </c>
      <c r="I139" t="s">
        <v>158</v>
      </c>
      <c r="J139" s="55">
        <v>45991</v>
      </c>
    </row>
    <row r="140" spans="1:10" x14ac:dyDescent="0.25">
      <c r="A140" t="s">
        <v>578</v>
      </c>
      <c r="B140" t="s">
        <v>51</v>
      </c>
      <c r="C140">
        <v>76089925</v>
      </c>
      <c r="D140" t="s">
        <v>7</v>
      </c>
      <c r="E140" t="s">
        <v>501</v>
      </c>
      <c r="F140" t="s">
        <v>575</v>
      </c>
      <c r="G140" s="55">
        <v>45678</v>
      </c>
      <c r="H140">
        <v>16</v>
      </c>
      <c r="I140" t="s">
        <v>160</v>
      </c>
      <c r="J140" s="55"/>
    </row>
    <row r="141" spans="1:10" x14ac:dyDescent="0.25">
      <c r="A141" t="s">
        <v>578</v>
      </c>
      <c r="B141" t="s">
        <v>72</v>
      </c>
      <c r="C141">
        <v>47690367</v>
      </c>
      <c r="D141" t="s">
        <v>7</v>
      </c>
      <c r="E141" t="s">
        <v>501</v>
      </c>
      <c r="F141" t="s">
        <v>575</v>
      </c>
      <c r="G141" s="55">
        <v>45691</v>
      </c>
      <c r="H141">
        <v>16</v>
      </c>
      <c r="I141" t="s">
        <v>160</v>
      </c>
      <c r="J141" s="55"/>
    </row>
    <row r="142" spans="1:10" x14ac:dyDescent="0.25">
      <c r="A142" t="s">
        <v>578</v>
      </c>
      <c r="B142" t="s">
        <v>53</v>
      </c>
      <c r="C142">
        <v>46587976</v>
      </c>
      <c r="D142" t="s">
        <v>7</v>
      </c>
      <c r="E142" t="s">
        <v>577</v>
      </c>
      <c r="F142" t="s">
        <v>575</v>
      </c>
      <c r="G142" s="55">
        <v>45726</v>
      </c>
      <c r="H142">
        <v>8</v>
      </c>
      <c r="I142" t="s">
        <v>160</v>
      </c>
      <c r="J142" s="55">
        <v>45991</v>
      </c>
    </row>
    <row r="143" spans="1:10" x14ac:dyDescent="0.25">
      <c r="A143" t="s">
        <v>578</v>
      </c>
      <c r="B143" t="s">
        <v>105</v>
      </c>
      <c r="C143">
        <v>48344037</v>
      </c>
      <c r="D143" t="s">
        <v>4</v>
      </c>
      <c r="E143" t="s">
        <v>577</v>
      </c>
      <c r="F143" t="s">
        <v>575</v>
      </c>
      <c r="G143" s="55">
        <v>45748</v>
      </c>
      <c r="H143">
        <v>7</v>
      </c>
      <c r="I143" t="s">
        <v>159</v>
      </c>
      <c r="J143" s="55">
        <v>45991</v>
      </c>
    </row>
    <row r="144" spans="1:10" x14ac:dyDescent="0.25">
      <c r="A144" t="s">
        <v>578</v>
      </c>
      <c r="B144" t="s">
        <v>50</v>
      </c>
      <c r="C144">
        <v>72733809</v>
      </c>
      <c r="D144" t="s">
        <v>6</v>
      </c>
      <c r="E144" t="s">
        <v>501</v>
      </c>
      <c r="F144" t="s">
        <v>575</v>
      </c>
      <c r="G144" s="55">
        <v>45789</v>
      </c>
      <c r="H144">
        <v>13</v>
      </c>
      <c r="I144" t="s">
        <v>161</v>
      </c>
      <c r="J144" s="55"/>
    </row>
    <row r="145" spans="1:10" x14ac:dyDescent="0.25">
      <c r="A145" t="s">
        <v>578</v>
      </c>
      <c r="B145" t="s">
        <v>43</v>
      </c>
      <c r="C145">
        <v>74799185</v>
      </c>
      <c r="D145" t="s">
        <v>2</v>
      </c>
      <c r="E145" t="s">
        <v>577</v>
      </c>
      <c r="F145" t="s">
        <v>575</v>
      </c>
      <c r="G145" s="55">
        <v>45792</v>
      </c>
      <c r="H145">
        <v>6</v>
      </c>
      <c r="I145" t="s">
        <v>158</v>
      </c>
      <c r="J145" s="55">
        <v>45978</v>
      </c>
    </row>
    <row r="146" spans="1:10" x14ac:dyDescent="0.25">
      <c r="A146" t="s">
        <v>578</v>
      </c>
      <c r="B146" t="s">
        <v>44</v>
      </c>
      <c r="C146">
        <v>45468175</v>
      </c>
      <c r="D146" t="s">
        <v>3</v>
      </c>
      <c r="E146" t="s">
        <v>501</v>
      </c>
      <c r="F146" t="s">
        <v>575</v>
      </c>
      <c r="G146" s="55">
        <v>45799</v>
      </c>
      <c r="H146">
        <v>12</v>
      </c>
      <c r="I146" t="s">
        <v>159</v>
      </c>
      <c r="J146" s="55"/>
    </row>
    <row r="147" spans="1:10" x14ac:dyDescent="0.25">
      <c r="A147" t="s">
        <v>578</v>
      </c>
      <c r="B147" t="s">
        <v>38</v>
      </c>
      <c r="C147">
        <v>47411966</v>
      </c>
      <c r="D147" t="s">
        <v>2</v>
      </c>
      <c r="E147" t="s">
        <v>501</v>
      </c>
      <c r="F147" t="s">
        <v>575</v>
      </c>
      <c r="G147" s="55">
        <v>45800</v>
      </c>
      <c r="H147">
        <v>12</v>
      </c>
      <c r="I147" t="s">
        <v>158</v>
      </c>
      <c r="J147" s="55"/>
    </row>
    <row r="148" spans="1:10" x14ac:dyDescent="0.25">
      <c r="A148" t="s">
        <v>578</v>
      </c>
      <c r="B148" t="s">
        <v>55</v>
      </c>
      <c r="C148">
        <v>45119892</v>
      </c>
      <c r="D148" t="s">
        <v>5</v>
      </c>
      <c r="E148" t="s">
        <v>501</v>
      </c>
      <c r="F148" t="s">
        <v>575</v>
      </c>
      <c r="G148" s="55">
        <v>45813</v>
      </c>
      <c r="H148">
        <v>12</v>
      </c>
      <c r="I148" t="s">
        <v>160</v>
      </c>
      <c r="J148" s="55"/>
    </row>
    <row r="149" spans="1:10" x14ac:dyDescent="0.25">
      <c r="A149" t="s">
        <v>578</v>
      </c>
      <c r="B149" t="s">
        <v>54</v>
      </c>
      <c r="C149">
        <v>70155949</v>
      </c>
      <c r="D149" t="s">
        <v>5</v>
      </c>
      <c r="E149" t="s">
        <v>577</v>
      </c>
      <c r="F149" t="s">
        <v>575</v>
      </c>
      <c r="G149" s="55">
        <v>45814</v>
      </c>
      <c r="H149">
        <v>5</v>
      </c>
      <c r="I149" t="s">
        <v>160</v>
      </c>
      <c r="J149" s="55">
        <v>45991</v>
      </c>
    </row>
    <row r="150" spans="1:10" x14ac:dyDescent="0.25">
      <c r="A150" t="s">
        <v>578</v>
      </c>
      <c r="B150" t="s">
        <v>60</v>
      </c>
      <c r="C150">
        <v>72839865</v>
      </c>
      <c r="D150" t="s">
        <v>4</v>
      </c>
      <c r="E150" t="s">
        <v>501</v>
      </c>
      <c r="F150" t="s">
        <v>575</v>
      </c>
      <c r="G150" s="55">
        <v>45854</v>
      </c>
      <c r="H150">
        <v>11</v>
      </c>
      <c r="I150" t="s">
        <v>159</v>
      </c>
      <c r="J150" s="55"/>
    </row>
    <row r="151" spans="1:10" x14ac:dyDescent="0.25">
      <c r="A151" t="s">
        <v>578</v>
      </c>
      <c r="B151" t="s">
        <v>93</v>
      </c>
      <c r="C151">
        <v>47322258</v>
      </c>
      <c r="D151" t="s">
        <v>4</v>
      </c>
      <c r="E151" t="s">
        <v>501</v>
      </c>
      <c r="F151" t="s">
        <v>575</v>
      </c>
      <c r="G151" s="55">
        <v>45880</v>
      </c>
      <c r="H151">
        <v>10</v>
      </c>
      <c r="I151" t="s">
        <v>159</v>
      </c>
      <c r="J151" s="55"/>
    </row>
    <row r="152" spans="1:10" x14ac:dyDescent="0.25">
      <c r="A152" t="s">
        <v>578</v>
      </c>
      <c r="B152" t="s">
        <v>92</v>
      </c>
      <c r="C152">
        <v>73040632</v>
      </c>
      <c r="D152" t="s">
        <v>7</v>
      </c>
      <c r="E152" t="s">
        <v>577</v>
      </c>
      <c r="F152" t="s">
        <v>575</v>
      </c>
      <c r="G152" s="55">
        <v>45880</v>
      </c>
      <c r="H152">
        <v>2</v>
      </c>
      <c r="I152" t="s">
        <v>160</v>
      </c>
      <c r="J152" s="55">
        <v>45968</v>
      </c>
    </row>
    <row r="153" spans="1:10" x14ac:dyDescent="0.25">
      <c r="A153" t="s">
        <v>578</v>
      </c>
      <c r="B153" t="s">
        <v>96</v>
      </c>
      <c r="C153">
        <v>46793103</v>
      </c>
      <c r="D153" t="s">
        <v>5</v>
      </c>
      <c r="E153" t="s">
        <v>501</v>
      </c>
      <c r="F153" t="s">
        <v>575</v>
      </c>
      <c r="G153" s="55">
        <v>45882</v>
      </c>
      <c r="H153">
        <v>10</v>
      </c>
      <c r="I153" t="s">
        <v>160</v>
      </c>
      <c r="J153" s="55"/>
    </row>
    <row r="154" spans="1:10" x14ac:dyDescent="0.25">
      <c r="A154" t="s">
        <v>578</v>
      </c>
      <c r="B154" t="s">
        <v>97</v>
      </c>
      <c r="C154">
        <v>74602206</v>
      </c>
      <c r="D154" t="s">
        <v>3</v>
      </c>
      <c r="E154" t="s">
        <v>501</v>
      </c>
      <c r="F154" t="s">
        <v>575</v>
      </c>
      <c r="G154" s="55">
        <v>45884</v>
      </c>
      <c r="H154">
        <v>10</v>
      </c>
      <c r="I154" t="s">
        <v>159</v>
      </c>
      <c r="J154" s="55"/>
    </row>
    <row r="155" spans="1:10" x14ac:dyDescent="0.25">
      <c r="A155" t="s">
        <v>578</v>
      </c>
      <c r="B155" t="s">
        <v>100</v>
      </c>
      <c r="C155">
        <v>41285428</v>
      </c>
      <c r="D155" t="s">
        <v>5</v>
      </c>
      <c r="E155" t="s">
        <v>577</v>
      </c>
      <c r="F155" t="s">
        <v>575</v>
      </c>
      <c r="G155" s="55">
        <v>45890</v>
      </c>
      <c r="H155">
        <v>2</v>
      </c>
      <c r="I155" t="s">
        <v>160</v>
      </c>
      <c r="J155" s="55">
        <v>45979</v>
      </c>
    </row>
    <row r="156" spans="1:10" x14ac:dyDescent="0.25">
      <c r="A156" t="s">
        <v>578</v>
      </c>
      <c r="B156" t="s">
        <v>114</v>
      </c>
      <c r="C156">
        <v>47005973</v>
      </c>
      <c r="D156" t="s">
        <v>7</v>
      </c>
      <c r="E156" t="s">
        <v>501</v>
      </c>
      <c r="F156" t="s">
        <v>575</v>
      </c>
      <c r="G156" s="55">
        <v>45912</v>
      </c>
      <c r="H156">
        <v>9</v>
      </c>
      <c r="I156" t="s">
        <v>160</v>
      </c>
      <c r="J156" s="55"/>
    </row>
    <row r="157" spans="1:10" x14ac:dyDescent="0.25">
      <c r="A157" t="s">
        <v>578</v>
      </c>
      <c r="B157" t="s">
        <v>122</v>
      </c>
      <c r="C157">
        <v>76586998</v>
      </c>
      <c r="D157" t="s">
        <v>7</v>
      </c>
      <c r="E157" t="s">
        <v>501</v>
      </c>
      <c r="F157" t="s">
        <v>575</v>
      </c>
      <c r="G157" s="55">
        <v>45971</v>
      </c>
      <c r="H157">
        <v>7</v>
      </c>
      <c r="I157" t="s">
        <v>160</v>
      </c>
      <c r="J157" s="55"/>
    </row>
    <row r="158" spans="1:10" x14ac:dyDescent="0.25">
      <c r="A158" t="s">
        <v>579</v>
      </c>
      <c r="B158" t="s">
        <v>219</v>
      </c>
      <c r="C158">
        <v>74122258</v>
      </c>
      <c r="D158" t="s">
        <v>6</v>
      </c>
      <c r="E158" t="s">
        <v>133</v>
      </c>
      <c r="F158" t="s">
        <v>575</v>
      </c>
      <c r="G158" s="55">
        <v>44022</v>
      </c>
      <c r="H158">
        <v>71</v>
      </c>
      <c r="I158" t="s">
        <v>209</v>
      </c>
      <c r="J158" s="55"/>
    </row>
    <row r="159" spans="1:10" x14ac:dyDescent="0.25">
      <c r="A159" t="s">
        <v>579</v>
      </c>
      <c r="B159" t="s">
        <v>248</v>
      </c>
      <c r="C159">
        <v>44265602</v>
      </c>
      <c r="D159" t="s">
        <v>2</v>
      </c>
      <c r="E159" t="s">
        <v>133</v>
      </c>
      <c r="F159" t="s">
        <v>575</v>
      </c>
      <c r="G159" s="55">
        <v>44673</v>
      </c>
      <c r="H159">
        <v>49</v>
      </c>
      <c r="I159" t="s">
        <v>209</v>
      </c>
      <c r="J159" s="55"/>
    </row>
    <row r="160" spans="1:10" x14ac:dyDescent="0.25">
      <c r="A160" t="s">
        <v>579</v>
      </c>
      <c r="B160" t="s">
        <v>226</v>
      </c>
      <c r="C160">
        <v>73049631</v>
      </c>
      <c r="D160" t="s">
        <v>3</v>
      </c>
      <c r="E160" t="s">
        <v>133</v>
      </c>
      <c r="F160" t="s">
        <v>575</v>
      </c>
      <c r="G160" s="55">
        <v>43506</v>
      </c>
      <c r="H160">
        <v>88</v>
      </c>
      <c r="I160" t="s">
        <v>159</v>
      </c>
      <c r="J160" s="55"/>
    </row>
    <row r="161" spans="1:10" x14ac:dyDescent="0.25">
      <c r="A161" t="s">
        <v>579</v>
      </c>
      <c r="B161" t="s">
        <v>214</v>
      </c>
      <c r="C161">
        <v>46872195</v>
      </c>
      <c r="D161" t="s">
        <v>7</v>
      </c>
      <c r="E161" t="s">
        <v>133</v>
      </c>
      <c r="F161" t="s">
        <v>575</v>
      </c>
      <c r="G161" s="55">
        <v>43805</v>
      </c>
      <c r="H161">
        <v>78</v>
      </c>
      <c r="I161" t="s">
        <v>175</v>
      </c>
      <c r="J161" s="55"/>
    </row>
    <row r="162" spans="1:10" x14ac:dyDescent="0.25">
      <c r="A162" t="s">
        <v>579</v>
      </c>
      <c r="B162" t="s">
        <v>224</v>
      </c>
      <c r="C162">
        <v>70984733</v>
      </c>
      <c r="D162" t="s">
        <v>4</v>
      </c>
      <c r="E162" t="s">
        <v>133</v>
      </c>
      <c r="F162" t="s">
        <v>575</v>
      </c>
      <c r="G162" s="55">
        <v>43466</v>
      </c>
      <c r="H162">
        <v>89</v>
      </c>
      <c r="I162" t="s">
        <v>159</v>
      </c>
      <c r="J162" s="55"/>
    </row>
    <row r="163" spans="1:10" x14ac:dyDescent="0.25">
      <c r="A163" t="s">
        <v>579</v>
      </c>
      <c r="B163" t="s">
        <v>29</v>
      </c>
      <c r="C163">
        <v>72758956</v>
      </c>
      <c r="D163" t="s">
        <v>2</v>
      </c>
      <c r="E163" t="s">
        <v>501</v>
      </c>
      <c r="F163" t="s">
        <v>575</v>
      </c>
      <c r="G163" s="55">
        <v>44685</v>
      </c>
      <c r="H163">
        <v>49</v>
      </c>
      <c r="I163" t="s">
        <v>204</v>
      </c>
      <c r="J163" s="55"/>
    </row>
    <row r="164" spans="1:10" x14ac:dyDescent="0.25">
      <c r="A164" t="s">
        <v>579</v>
      </c>
      <c r="B164" t="s">
        <v>15</v>
      </c>
      <c r="C164">
        <v>47587400</v>
      </c>
      <c r="D164" t="s">
        <v>2</v>
      </c>
      <c r="E164" t="s">
        <v>501</v>
      </c>
      <c r="F164" t="s">
        <v>575</v>
      </c>
      <c r="G164" s="55">
        <v>44733</v>
      </c>
      <c r="H164">
        <v>47</v>
      </c>
      <c r="I164" t="s">
        <v>204</v>
      </c>
      <c r="J164" s="55"/>
    </row>
    <row r="165" spans="1:10" x14ac:dyDescent="0.25">
      <c r="A165" t="s">
        <v>579</v>
      </c>
      <c r="B165" t="s">
        <v>76</v>
      </c>
      <c r="C165">
        <v>60914051</v>
      </c>
      <c r="D165" t="s">
        <v>2</v>
      </c>
      <c r="E165" t="s">
        <v>501</v>
      </c>
      <c r="F165" t="s">
        <v>575</v>
      </c>
      <c r="G165" s="55">
        <v>44817</v>
      </c>
      <c r="H165">
        <v>45</v>
      </c>
      <c r="I165" t="s">
        <v>204</v>
      </c>
      <c r="J165" s="55"/>
    </row>
    <row r="166" spans="1:10" x14ac:dyDescent="0.25">
      <c r="A166" t="s">
        <v>579</v>
      </c>
      <c r="B166" t="s">
        <v>25</v>
      </c>
      <c r="C166">
        <v>72373931</v>
      </c>
      <c r="D166" t="s">
        <v>2</v>
      </c>
      <c r="E166" t="s">
        <v>501</v>
      </c>
      <c r="F166" t="s">
        <v>575</v>
      </c>
      <c r="G166" s="55">
        <v>44818</v>
      </c>
      <c r="H166">
        <v>45</v>
      </c>
      <c r="I166" t="s">
        <v>204</v>
      </c>
      <c r="J166" s="55"/>
    </row>
    <row r="167" spans="1:10" x14ac:dyDescent="0.25">
      <c r="A167" t="s">
        <v>579</v>
      </c>
      <c r="B167" t="s">
        <v>78</v>
      </c>
      <c r="C167">
        <v>10706451</v>
      </c>
      <c r="D167" t="s">
        <v>2</v>
      </c>
      <c r="E167" t="s">
        <v>501</v>
      </c>
      <c r="F167" t="s">
        <v>575</v>
      </c>
      <c r="G167" s="55">
        <v>44943</v>
      </c>
      <c r="H167">
        <v>41</v>
      </c>
      <c r="I167" t="s">
        <v>204</v>
      </c>
      <c r="J167" s="55"/>
    </row>
    <row r="168" spans="1:10" x14ac:dyDescent="0.25">
      <c r="A168" t="s">
        <v>579</v>
      </c>
      <c r="B168" t="s">
        <v>79</v>
      </c>
      <c r="C168">
        <v>71262377</v>
      </c>
      <c r="D168" t="s">
        <v>2</v>
      </c>
      <c r="E168" t="s">
        <v>501</v>
      </c>
      <c r="F168" t="s">
        <v>575</v>
      </c>
      <c r="G168" s="55">
        <v>45145</v>
      </c>
      <c r="H168">
        <v>34</v>
      </c>
      <c r="I168" t="s">
        <v>204</v>
      </c>
      <c r="J168" s="55"/>
    </row>
    <row r="169" spans="1:10" x14ac:dyDescent="0.25">
      <c r="A169" t="s">
        <v>579</v>
      </c>
      <c r="B169" t="s">
        <v>68</v>
      </c>
      <c r="C169">
        <v>73257316</v>
      </c>
      <c r="D169" t="s">
        <v>2</v>
      </c>
      <c r="E169" t="s">
        <v>501</v>
      </c>
      <c r="F169" t="s">
        <v>575</v>
      </c>
      <c r="G169" s="55">
        <v>45363</v>
      </c>
      <c r="H169">
        <v>27</v>
      </c>
      <c r="I169" t="s">
        <v>204</v>
      </c>
      <c r="J169" s="55"/>
    </row>
    <row r="170" spans="1:10" x14ac:dyDescent="0.25">
      <c r="A170" t="s">
        <v>579</v>
      </c>
      <c r="B170" t="s">
        <v>42</v>
      </c>
      <c r="C170">
        <v>73725129</v>
      </c>
      <c r="D170" t="s">
        <v>2</v>
      </c>
      <c r="E170" t="s">
        <v>501</v>
      </c>
      <c r="F170" t="s">
        <v>575</v>
      </c>
      <c r="G170" s="55">
        <v>45398</v>
      </c>
      <c r="H170">
        <v>26</v>
      </c>
      <c r="I170" t="s">
        <v>204</v>
      </c>
      <c r="J170" s="55"/>
    </row>
    <row r="171" spans="1:10" x14ac:dyDescent="0.25">
      <c r="A171" t="s">
        <v>579</v>
      </c>
      <c r="B171" t="s">
        <v>38</v>
      </c>
      <c r="C171">
        <v>47411966</v>
      </c>
      <c r="D171" t="s">
        <v>2</v>
      </c>
      <c r="E171" t="s">
        <v>501</v>
      </c>
      <c r="F171" t="s">
        <v>575</v>
      </c>
      <c r="G171" s="55">
        <v>45800</v>
      </c>
      <c r="H171">
        <v>12</v>
      </c>
      <c r="I171" t="s">
        <v>204</v>
      </c>
      <c r="J171" s="55"/>
    </row>
    <row r="172" spans="1:10" x14ac:dyDescent="0.25">
      <c r="A172" t="s">
        <v>579</v>
      </c>
      <c r="B172" t="s">
        <v>26</v>
      </c>
      <c r="C172">
        <v>41005089</v>
      </c>
      <c r="D172" t="s">
        <v>6</v>
      </c>
      <c r="E172" t="s">
        <v>501</v>
      </c>
      <c r="F172" t="s">
        <v>575</v>
      </c>
      <c r="G172" s="55">
        <v>44257</v>
      </c>
      <c r="H172">
        <v>63</v>
      </c>
      <c r="I172" t="s">
        <v>203</v>
      </c>
      <c r="J172" s="55"/>
    </row>
    <row r="173" spans="1:10" x14ac:dyDescent="0.25">
      <c r="A173" t="s">
        <v>579</v>
      </c>
      <c r="B173" t="s">
        <v>19</v>
      </c>
      <c r="C173">
        <v>76656128</v>
      </c>
      <c r="D173" t="s">
        <v>6</v>
      </c>
      <c r="E173" t="s">
        <v>501</v>
      </c>
      <c r="F173" t="s">
        <v>575</v>
      </c>
      <c r="G173" s="55">
        <v>44671</v>
      </c>
      <c r="H173">
        <v>49</v>
      </c>
      <c r="I173" t="s">
        <v>203</v>
      </c>
      <c r="J173" s="55"/>
    </row>
    <row r="174" spans="1:10" x14ac:dyDescent="0.25">
      <c r="A174" t="s">
        <v>579</v>
      </c>
      <c r="B174" t="s">
        <v>35</v>
      </c>
      <c r="C174">
        <v>10491198</v>
      </c>
      <c r="D174" t="s">
        <v>6</v>
      </c>
      <c r="E174" t="s">
        <v>501</v>
      </c>
      <c r="F174" t="s">
        <v>575</v>
      </c>
      <c r="G174" s="55">
        <v>44746</v>
      </c>
      <c r="H174">
        <v>47</v>
      </c>
      <c r="I174" t="s">
        <v>203</v>
      </c>
      <c r="J174" s="55"/>
    </row>
    <row r="175" spans="1:10" x14ac:dyDescent="0.25">
      <c r="A175" t="s">
        <v>579</v>
      </c>
      <c r="B175" t="s">
        <v>37</v>
      </c>
      <c r="C175">
        <v>70988976</v>
      </c>
      <c r="D175" t="s">
        <v>6</v>
      </c>
      <c r="E175" t="s">
        <v>501</v>
      </c>
      <c r="F175" t="s">
        <v>575</v>
      </c>
      <c r="G175" s="55">
        <v>45112</v>
      </c>
      <c r="H175">
        <v>35</v>
      </c>
      <c r="I175" t="s">
        <v>203</v>
      </c>
      <c r="J175" s="55"/>
    </row>
    <row r="176" spans="1:10" x14ac:dyDescent="0.25">
      <c r="A176" t="s">
        <v>579</v>
      </c>
      <c r="B176" t="s">
        <v>34</v>
      </c>
      <c r="C176">
        <v>76824571</v>
      </c>
      <c r="D176" t="s">
        <v>6</v>
      </c>
      <c r="E176" t="s">
        <v>501</v>
      </c>
      <c r="F176" t="s">
        <v>575</v>
      </c>
      <c r="G176" s="55">
        <v>45173</v>
      </c>
      <c r="H176">
        <v>33</v>
      </c>
      <c r="I176" t="s">
        <v>203</v>
      </c>
      <c r="J176" s="55"/>
    </row>
    <row r="177" spans="1:10" x14ac:dyDescent="0.25">
      <c r="A177" t="s">
        <v>579</v>
      </c>
      <c r="B177" t="s">
        <v>80</v>
      </c>
      <c r="C177">
        <v>45084594</v>
      </c>
      <c r="D177" t="s">
        <v>6</v>
      </c>
      <c r="E177" t="s">
        <v>501</v>
      </c>
      <c r="F177" t="s">
        <v>575</v>
      </c>
      <c r="G177" s="55">
        <v>45281</v>
      </c>
      <c r="H177">
        <v>29</v>
      </c>
      <c r="I177" t="s">
        <v>203</v>
      </c>
      <c r="J177" s="55"/>
    </row>
    <row r="178" spans="1:10" x14ac:dyDescent="0.25">
      <c r="A178" t="s">
        <v>579</v>
      </c>
      <c r="B178" t="s">
        <v>11</v>
      </c>
      <c r="C178">
        <v>45139159</v>
      </c>
      <c r="D178" t="s">
        <v>6</v>
      </c>
      <c r="E178" t="s">
        <v>501</v>
      </c>
      <c r="F178" t="s">
        <v>575</v>
      </c>
      <c r="G178" s="55">
        <v>45369</v>
      </c>
      <c r="H178">
        <v>26</v>
      </c>
      <c r="I178" t="s">
        <v>203</v>
      </c>
      <c r="J178" s="55"/>
    </row>
    <row r="179" spans="1:10" x14ac:dyDescent="0.25">
      <c r="A179" t="s">
        <v>579</v>
      </c>
      <c r="B179" t="s">
        <v>81</v>
      </c>
      <c r="C179">
        <v>72716299</v>
      </c>
      <c r="D179" t="s">
        <v>6</v>
      </c>
      <c r="E179" t="s">
        <v>501</v>
      </c>
      <c r="F179" t="s">
        <v>575</v>
      </c>
      <c r="G179" s="55">
        <v>45511</v>
      </c>
      <c r="H179">
        <v>22</v>
      </c>
      <c r="I179" t="s">
        <v>203</v>
      </c>
      <c r="J179" s="55"/>
    </row>
    <row r="180" spans="1:10" x14ac:dyDescent="0.25">
      <c r="A180" t="s">
        <v>579</v>
      </c>
      <c r="B180" t="s">
        <v>50</v>
      </c>
      <c r="C180">
        <v>72733809</v>
      </c>
      <c r="D180" t="s">
        <v>6</v>
      </c>
      <c r="E180" t="s">
        <v>501</v>
      </c>
      <c r="F180" t="s">
        <v>575</v>
      </c>
      <c r="G180" s="55">
        <v>45789</v>
      </c>
      <c r="H180">
        <v>13</v>
      </c>
      <c r="I180" t="s">
        <v>203</v>
      </c>
      <c r="J180" s="55"/>
    </row>
    <row r="181" spans="1:10" x14ac:dyDescent="0.25">
      <c r="A181" t="s">
        <v>579</v>
      </c>
      <c r="B181" t="s">
        <v>58</v>
      </c>
      <c r="C181">
        <v>72519113</v>
      </c>
      <c r="D181" t="s">
        <v>7</v>
      </c>
      <c r="E181" t="s">
        <v>501</v>
      </c>
      <c r="F181" t="s">
        <v>575</v>
      </c>
      <c r="G181" s="55">
        <v>43119</v>
      </c>
      <c r="H181">
        <v>100</v>
      </c>
      <c r="I181" t="s">
        <v>175</v>
      </c>
      <c r="J181" s="55"/>
    </row>
    <row r="182" spans="1:10" x14ac:dyDescent="0.25">
      <c r="A182" t="s">
        <v>579</v>
      </c>
      <c r="B182" t="s">
        <v>49</v>
      </c>
      <c r="C182">
        <v>40702064</v>
      </c>
      <c r="D182" t="s">
        <v>7</v>
      </c>
      <c r="E182" t="s">
        <v>501</v>
      </c>
      <c r="F182" t="s">
        <v>575</v>
      </c>
      <c r="G182" s="55">
        <v>43313</v>
      </c>
      <c r="H182">
        <v>94</v>
      </c>
      <c r="I182" t="s">
        <v>175</v>
      </c>
      <c r="J182" s="55"/>
    </row>
    <row r="183" spans="1:10" x14ac:dyDescent="0.25">
      <c r="A183" t="s">
        <v>579</v>
      </c>
      <c r="B183" t="s">
        <v>48</v>
      </c>
      <c r="C183">
        <v>43307898</v>
      </c>
      <c r="D183" t="s">
        <v>7</v>
      </c>
      <c r="E183" t="s">
        <v>501</v>
      </c>
      <c r="F183" t="s">
        <v>575</v>
      </c>
      <c r="G183" s="55">
        <v>44746</v>
      </c>
      <c r="H183">
        <v>47</v>
      </c>
      <c r="I183" t="s">
        <v>175</v>
      </c>
      <c r="J183" s="55"/>
    </row>
    <row r="184" spans="1:10" x14ac:dyDescent="0.25">
      <c r="A184" t="s">
        <v>579</v>
      </c>
      <c r="B184" t="s">
        <v>21</v>
      </c>
      <c r="C184">
        <v>44042880</v>
      </c>
      <c r="D184" t="s">
        <v>7</v>
      </c>
      <c r="E184" t="s">
        <v>577</v>
      </c>
      <c r="F184" t="s">
        <v>575</v>
      </c>
      <c r="G184" s="55">
        <v>44824</v>
      </c>
      <c r="H184">
        <v>39</v>
      </c>
      <c r="I184" t="s">
        <v>175</v>
      </c>
      <c r="J184" s="55">
        <v>46022</v>
      </c>
    </row>
    <row r="185" spans="1:10" x14ac:dyDescent="0.25">
      <c r="A185" t="s">
        <v>579</v>
      </c>
      <c r="B185" t="s">
        <v>77</v>
      </c>
      <c r="C185">
        <v>42251780</v>
      </c>
      <c r="D185" t="s">
        <v>7</v>
      </c>
      <c r="E185" t="s">
        <v>501</v>
      </c>
      <c r="F185" t="s">
        <v>575</v>
      </c>
      <c r="G185" s="55">
        <v>44838</v>
      </c>
      <c r="H185">
        <v>44</v>
      </c>
      <c r="I185" t="s">
        <v>175</v>
      </c>
      <c r="J185" s="55"/>
    </row>
    <row r="186" spans="1:10" x14ac:dyDescent="0.25">
      <c r="A186" t="s">
        <v>579</v>
      </c>
      <c r="B186" t="s">
        <v>12</v>
      </c>
      <c r="C186">
        <v>45262585</v>
      </c>
      <c r="D186" t="s">
        <v>7</v>
      </c>
      <c r="E186" t="s">
        <v>501</v>
      </c>
      <c r="F186" t="s">
        <v>575</v>
      </c>
      <c r="G186" s="55">
        <v>44868</v>
      </c>
      <c r="H186">
        <v>43</v>
      </c>
      <c r="I186" t="s">
        <v>175</v>
      </c>
      <c r="J186" s="55"/>
    </row>
    <row r="187" spans="1:10" x14ac:dyDescent="0.25">
      <c r="A187" t="s">
        <v>579</v>
      </c>
      <c r="B187" t="s">
        <v>73</v>
      </c>
      <c r="C187">
        <v>40318129</v>
      </c>
      <c r="D187" t="s">
        <v>7</v>
      </c>
      <c r="E187" t="s">
        <v>501</v>
      </c>
      <c r="F187" t="s">
        <v>575</v>
      </c>
      <c r="G187" s="55">
        <v>45141</v>
      </c>
      <c r="H187">
        <v>34</v>
      </c>
      <c r="I187" t="s">
        <v>175</v>
      </c>
      <c r="J187" s="55"/>
    </row>
    <row r="188" spans="1:10" x14ac:dyDescent="0.25">
      <c r="A188" t="s">
        <v>579</v>
      </c>
      <c r="B188" t="s">
        <v>41</v>
      </c>
      <c r="C188">
        <v>46461021</v>
      </c>
      <c r="D188" t="s">
        <v>7</v>
      </c>
      <c r="E188" t="s">
        <v>501</v>
      </c>
      <c r="F188" t="s">
        <v>575</v>
      </c>
      <c r="G188" s="55">
        <v>45302</v>
      </c>
      <c r="H188">
        <v>29</v>
      </c>
      <c r="I188" t="s">
        <v>175</v>
      </c>
      <c r="J188" s="55"/>
    </row>
    <row r="189" spans="1:10" x14ac:dyDescent="0.25">
      <c r="A189" t="s">
        <v>579</v>
      </c>
      <c r="B189" t="s">
        <v>40</v>
      </c>
      <c r="C189">
        <v>60976055</v>
      </c>
      <c r="D189" t="s">
        <v>7</v>
      </c>
      <c r="E189" t="s">
        <v>501</v>
      </c>
      <c r="F189" t="s">
        <v>575</v>
      </c>
      <c r="G189" s="55">
        <v>45433</v>
      </c>
      <c r="H189">
        <v>24</v>
      </c>
      <c r="I189" t="s">
        <v>175</v>
      </c>
      <c r="J189" s="55"/>
    </row>
    <row r="190" spans="1:10" x14ac:dyDescent="0.25">
      <c r="A190" t="s">
        <v>579</v>
      </c>
      <c r="B190" t="s">
        <v>51</v>
      </c>
      <c r="C190">
        <v>76089925</v>
      </c>
      <c r="D190" t="s">
        <v>7</v>
      </c>
      <c r="E190" t="s">
        <v>501</v>
      </c>
      <c r="F190" t="s">
        <v>575</v>
      </c>
      <c r="G190" s="55">
        <v>45678</v>
      </c>
      <c r="H190">
        <v>16</v>
      </c>
      <c r="I190" t="s">
        <v>175</v>
      </c>
      <c r="J190" s="55"/>
    </row>
    <row r="191" spans="1:10" x14ac:dyDescent="0.25">
      <c r="A191" t="s">
        <v>579</v>
      </c>
      <c r="B191" t="s">
        <v>97</v>
      </c>
      <c r="C191">
        <v>74602206</v>
      </c>
      <c r="D191" t="s">
        <v>7</v>
      </c>
      <c r="E191" t="s">
        <v>501</v>
      </c>
      <c r="F191" t="s">
        <v>575</v>
      </c>
      <c r="G191" s="55">
        <v>45884</v>
      </c>
      <c r="H191">
        <v>10</v>
      </c>
      <c r="I191" t="s">
        <v>175</v>
      </c>
      <c r="J191" s="55"/>
    </row>
    <row r="192" spans="1:10" x14ac:dyDescent="0.25">
      <c r="A192" t="s">
        <v>579</v>
      </c>
      <c r="B192" t="s">
        <v>114</v>
      </c>
      <c r="C192">
        <v>47005973</v>
      </c>
      <c r="D192" t="s">
        <v>7</v>
      </c>
      <c r="E192" t="s">
        <v>577</v>
      </c>
      <c r="F192" t="s">
        <v>575</v>
      </c>
      <c r="G192" s="55">
        <v>45912</v>
      </c>
      <c r="H192">
        <v>2</v>
      </c>
      <c r="I192" t="s">
        <v>175</v>
      </c>
      <c r="J192" s="55">
        <v>46001</v>
      </c>
    </row>
    <row r="193" spans="1:10" x14ac:dyDescent="0.25">
      <c r="A193" t="s">
        <v>579</v>
      </c>
      <c r="B193" t="s">
        <v>10</v>
      </c>
      <c r="C193">
        <v>40980108</v>
      </c>
      <c r="D193" t="s">
        <v>4</v>
      </c>
      <c r="E193" t="s">
        <v>501</v>
      </c>
      <c r="F193" t="s">
        <v>575</v>
      </c>
      <c r="G193" s="55">
        <v>44704</v>
      </c>
      <c r="H193">
        <v>48</v>
      </c>
      <c r="I193" t="s">
        <v>159</v>
      </c>
      <c r="J193" s="55"/>
    </row>
    <row r="194" spans="1:10" x14ac:dyDescent="0.25">
      <c r="A194" t="s">
        <v>579</v>
      </c>
      <c r="B194" t="s">
        <v>75</v>
      </c>
      <c r="C194">
        <v>71264767</v>
      </c>
      <c r="D194" t="s">
        <v>4</v>
      </c>
      <c r="E194" t="s">
        <v>501</v>
      </c>
      <c r="F194" t="s">
        <v>575</v>
      </c>
      <c r="G194" s="55">
        <v>44714</v>
      </c>
      <c r="H194">
        <v>48</v>
      </c>
      <c r="I194" t="s">
        <v>159</v>
      </c>
      <c r="J194" s="55"/>
    </row>
    <row r="195" spans="1:10" x14ac:dyDescent="0.25">
      <c r="A195" t="s">
        <v>579</v>
      </c>
      <c r="B195" t="s">
        <v>61</v>
      </c>
      <c r="C195">
        <v>44001162</v>
      </c>
      <c r="D195" t="s">
        <v>4</v>
      </c>
      <c r="E195" t="s">
        <v>501</v>
      </c>
      <c r="F195" t="s">
        <v>575</v>
      </c>
      <c r="G195" s="55">
        <v>44907</v>
      </c>
      <c r="H195">
        <v>42</v>
      </c>
      <c r="I195" t="s">
        <v>159</v>
      </c>
      <c r="J195" s="55"/>
    </row>
    <row r="196" spans="1:10" x14ac:dyDescent="0.25">
      <c r="A196" t="s">
        <v>579</v>
      </c>
      <c r="B196" t="s">
        <v>18</v>
      </c>
      <c r="C196">
        <v>76214436</v>
      </c>
      <c r="D196" t="s">
        <v>4</v>
      </c>
      <c r="E196" t="s">
        <v>501</v>
      </c>
      <c r="F196" t="s">
        <v>575</v>
      </c>
      <c r="G196" s="55">
        <v>45132</v>
      </c>
      <c r="H196">
        <v>34</v>
      </c>
      <c r="I196" t="s">
        <v>159</v>
      </c>
      <c r="J196" s="55"/>
    </row>
    <row r="197" spans="1:10" x14ac:dyDescent="0.25">
      <c r="A197" t="s">
        <v>579</v>
      </c>
      <c r="B197" t="s">
        <v>59</v>
      </c>
      <c r="C197">
        <v>60870839</v>
      </c>
      <c r="D197" t="s">
        <v>4</v>
      </c>
      <c r="E197" t="s">
        <v>501</v>
      </c>
      <c r="F197" t="s">
        <v>575</v>
      </c>
      <c r="G197" s="55">
        <v>45344</v>
      </c>
      <c r="H197">
        <v>27</v>
      </c>
      <c r="I197" t="s">
        <v>159</v>
      </c>
      <c r="J197" s="55"/>
    </row>
    <row r="198" spans="1:10" x14ac:dyDescent="0.25">
      <c r="A198" t="s">
        <v>579</v>
      </c>
      <c r="B198" t="s">
        <v>57</v>
      </c>
      <c r="C198">
        <v>74996029</v>
      </c>
      <c r="D198" t="s">
        <v>4</v>
      </c>
      <c r="E198" t="s">
        <v>577</v>
      </c>
      <c r="F198" t="s">
        <v>575</v>
      </c>
      <c r="G198" s="55">
        <v>45589</v>
      </c>
      <c r="H198">
        <v>13</v>
      </c>
      <c r="I198" t="s">
        <v>159</v>
      </c>
      <c r="J198" s="55">
        <v>46007</v>
      </c>
    </row>
    <row r="199" spans="1:10" x14ac:dyDescent="0.25">
      <c r="A199" t="s">
        <v>579</v>
      </c>
      <c r="B199" t="s">
        <v>72</v>
      </c>
      <c r="C199">
        <v>47690367</v>
      </c>
      <c r="D199" t="s">
        <v>4</v>
      </c>
      <c r="E199" t="s">
        <v>501</v>
      </c>
      <c r="F199" t="s">
        <v>575</v>
      </c>
      <c r="G199" s="55">
        <v>45691</v>
      </c>
      <c r="H199">
        <v>16</v>
      </c>
      <c r="I199" t="s">
        <v>159</v>
      </c>
      <c r="J199" s="55"/>
    </row>
    <row r="200" spans="1:10" x14ac:dyDescent="0.25">
      <c r="A200" t="s">
        <v>579</v>
      </c>
      <c r="B200" t="s">
        <v>55</v>
      </c>
      <c r="C200">
        <v>45119892</v>
      </c>
      <c r="D200" t="s">
        <v>4</v>
      </c>
      <c r="E200" t="s">
        <v>501</v>
      </c>
      <c r="F200" t="s">
        <v>575</v>
      </c>
      <c r="G200" s="55">
        <v>45813</v>
      </c>
      <c r="H200">
        <v>12</v>
      </c>
      <c r="I200" t="s">
        <v>159</v>
      </c>
      <c r="J200" s="55"/>
    </row>
    <row r="201" spans="1:10" x14ac:dyDescent="0.25">
      <c r="A201" t="s">
        <v>579</v>
      </c>
      <c r="B201" t="s">
        <v>60</v>
      </c>
      <c r="C201">
        <v>72839865</v>
      </c>
      <c r="D201" t="s">
        <v>4</v>
      </c>
      <c r="E201" t="s">
        <v>501</v>
      </c>
      <c r="F201" t="s">
        <v>575</v>
      </c>
      <c r="G201" s="55">
        <v>45854</v>
      </c>
      <c r="H201">
        <v>11</v>
      </c>
      <c r="I201" t="s">
        <v>159</v>
      </c>
      <c r="J201" s="55"/>
    </row>
    <row r="202" spans="1:10" x14ac:dyDescent="0.25">
      <c r="A202" t="s">
        <v>579</v>
      </c>
      <c r="B202" t="s">
        <v>122</v>
      </c>
      <c r="C202">
        <v>76586998</v>
      </c>
      <c r="D202" t="s">
        <v>4</v>
      </c>
      <c r="E202" t="s">
        <v>501</v>
      </c>
      <c r="F202" t="s">
        <v>575</v>
      </c>
      <c r="G202" s="55">
        <v>45971</v>
      </c>
      <c r="H202">
        <v>7</v>
      </c>
      <c r="I202" t="s">
        <v>159</v>
      </c>
      <c r="J202" s="55"/>
    </row>
    <row r="203" spans="1:10" x14ac:dyDescent="0.25">
      <c r="A203" t="s">
        <v>579</v>
      </c>
      <c r="B203" t="s">
        <v>23</v>
      </c>
      <c r="C203">
        <v>72413556</v>
      </c>
      <c r="D203" t="s">
        <v>3</v>
      </c>
      <c r="E203" t="s">
        <v>501</v>
      </c>
      <c r="F203" t="s">
        <v>575</v>
      </c>
      <c r="G203" s="55">
        <v>44109</v>
      </c>
      <c r="H203">
        <v>68</v>
      </c>
      <c r="I203" t="s">
        <v>159</v>
      </c>
      <c r="J203" s="55"/>
    </row>
    <row r="204" spans="1:10" x14ac:dyDescent="0.25">
      <c r="A204" t="s">
        <v>579</v>
      </c>
      <c r="B204" t="s">
        <v>13</v>
      </c>
      <c r="C204">
        <v>72512391</v>
      </c>
      <c r="D204" t="s">
        <v>3</v>
      </c>
      <c r="E204" t="s">
        <v>501</v>
      </c>
      <c r="F204" t="s">
        <v>575</v>
      </c>
      <c r="G204" s="55">
        <v>44809</v>
      </c>
      <c r="H204">
        <v>45</v>
      </c>
      <c r="I204" t="s">
        <v>159</v>
      </c>
      <c r="J204" s="55"/>
    </row>
    <row r="205" spans="1:10" x14ac:dyDescent="0.25">
      <c r="A205" t="s">
        <v>579</v>
      </c>
      <c r="B205" t="s">
        <v>33</v>
      </c>
      <c r="C205">
        <v>80689573</v>
      </c>
      <c r="D205" t="s">
        <v>3</v>
      </c>
      <c r="E205" t="s">
        <v>501</v>
      </c>
      <c r="F205" t="s">
        <v>575</v>
      </c>
      <c r="G205" s="55">
        <v>44867</v>
      </c>
      <c r="H205">
        <v>43</v>
      </c>
      <c r="I205" t="s">
        <v>159</v>
      </c>
      <c r="J205" s="55"/>
    </row>
    <row r="206" spans="1:10" x14ac:dyDescent="0.25">
      <c r="A206" t="s">
        <v>579</v>
      </c>
      <c r="B206" t="s">
        <v>17</v>
      </c>
      <c r="C206">
        <v>70876605</v>
      </c>
      <c r="D206" t="s">
        <v>3</v>
      </c>
      <c r="E206" t="s">
        <v>501</v>
      </c>
      <c r="F206" t="s">
        <v>575</v>
      </c>
      <c r="G206" s="55">
        <v>44886</v>
      </c>
      <c r="H206">
        <v>42</v>
      </c>
      <c r="I206" t="s">
        <v>159</v>
      </c>
      <c r="J206" s="55"/>
    </row>
    <row r="207" spans="1:10" x14ac:dyDescent="0.25">
      <c r="A207" t="s">
        <v>579</v>
      </c>
      <c r="B207" t="s">
        <v>65</v>
      </c>
      <c r="C207">
        <v>47659267</v>
      </c>
      <c r="D207" t="s">
        <v>3</v>
      </c>
      <c r="E207" t="s">
        <v>501</v>
      </c>
      <c r="F207" t="s">
        <v>575</v>
      </c>
      <c r="G207" s="55">
        <v>45019</v>
      </c>
      <c r="H207">
        <v>38</v>
      </c>
      <c r="I207" t="s">
        <v>159</v>
      </c>
      <c r="J207" s="55"/>
    </row>
    <row r="208" spans="1:10" x14ac:dyDescent="0.25">
      <c r="A208" t="s">
        <v>579</v>
      </c>
      <c r="B208" t="s">
        <v>22</v>
      </c>
      <c r="C208">
        <v>70551168</v>
      </c>
      <c r="D208" t="s">
        <v>3</v>
      </c>
      <c r="E208" t="s">
        <v>501</v>
      </c>
      <c r="F208" t="s">
        <v>575</v>
      </c>
      <c r="G208" s="55">
        <v>45295</v>
      </c>
      <c r="H208">
        <v>29</v>
      </c>
      <c r="I208" t="s">
        <v>159</v>
      </c>
      <c r="J208" s="55"/>
    </row>
    <row r="209" spans="1:10" x14ac:dyDescent="0.25">
      <c r="A209" t="s">
        <v>579</v>
      </c>
      <c r="B209" t="s">
        <v>24</v>
      </c>
      <c r="C209">
        <v>43614775</v>
      </c>
      <c r="D209" t="s">
        <v>3</v>
      </c>
      <c r="E209" t="s">
        <v>501</v>
      </c>
      <c r="F209" t="s">
        <v>575</v>
      </c>
      <c r="G209" s="55">
        <v>45334</v>
      </c>
      <c r="H209">
        <v>28</v>
      </c>
      <c r="I209" t="s">
        <v>159</v>
      </c>
      <c r="J209" s="55"/>
    </row>
    <row r="210" spans="1:10" x14ac:dyDescent="0.25">
      <c r="A210" t="s">
        <v>579</v>
      </c>
      <c r="B210" t="s">
        <v>31</v>
      </c>
      <c r="C210">
        <v>75882265</v>
      </c>
      <c r="D210" t="s">
        <v>3</v>
      </c>
      <c r="E210" t="s">
        <v>501</v>
      </c>
      <c r="F210" t="s">
        <v>575</v>
      </c>
      <c r="G210" s="55">
        <v>45334</v>
      </c>
      <c r="H210">
        <v>28</v>
      </c>
      <c r="I210" t="s">
        <v>159</v>
      </c>
      <c r="J210" s="55"/>
    </row>
    <row r="211" spans="1:10" x14ac:dyDescent="0.25">
      <c r="A211" t="s">
        <v>579</v>
      </c>
      <c r="B211" t="s">
        <v>32</v>
      </c>
      <c r="C211">
        <v>48584670</v>
      </c>
      <c r="D211" t="s">
        <v>3</v>
      </c>
      <c r="E211" t="s">
        <v>501</v>
      </c>
      <c r="F211" t="s">
        <v>575</v>
      </c>
      <c r="G211" s="55">
        <v>45526</v>
      </c>
      <c r="H211">
        <v>21</v>
      </c>
      <c r="I211" t="s">
        <v>159</v>
      </c>
      <c r="J211" s="55"/>
    </row>
    <row r="212" spans="1:10" x14ac:dyDescent="0.25">
      <c r="A212" t="s">
        <v>579</v>
      </c>
      <c r="B212" t="s">
        <v>96</v>
      </c>
      <c r="C212">
        <v>46793103</v>
      </c>
      <c r="D212" t="s">
        <v>3</v>
      </c>
      <c r="E212" t="s">
        <v>501</v>
      </c>
      <c r="F212" t="s">
        <v>575</v>
      </c>
      <c r="G212" s="55">
        <v>45882</v>
      </c>
      <c r="H212">
        <v>10</v>
      </c>
      <c r="I212" t="s">
        <v>159</v>
      </c>
      <c r="J212" s="55"/>
    </row>
    <row r="213" spans="1:10" x14ac:dyDescent="0.25">
      <c r="A213" t="s">
        <v>579</v>
      </c>
      <c r="B213" t="s">
        <v>174</v>
      </c>
      <c r="C213">
        <v>46994661</v>
      </c>
      <c r="D213" t="s">
        <v>7</v>
      </c>
      <c r="E213" t="s">
        <v>501</v>
      </c>
      <c r="F213" t="s">
        <v>575</v>
      </c>
      <c r="G213" s="55">
        <v>45992</v>
      </c>
      <c r="H213">
        <v>6</v>
      </c>
      <c r="I213" t="s">
        <v>175</v>
      </c>
      <c r="J213" s="55"/>
    </row>
    <row r="214" spans="1:10" x14ac:dyDescent="0.25">
      <c r="A214" t="s">
        <v>580</v>
      </c>
      <c r="B214" t="s">
        <v>219</v>
      </c>
      <c r="C214">
        <v>74122258</v>
      </c>
      <c r="D214" t="s">
        <v>6</v>
      </c>
      <c r="E214" t="s">
        <v>133</v>
      </c>
      <c r="F214" t="s">
        <v>575</v>
      </c>
      <c r="G214" s="55">
        <v>44022</v>
      </c>
      <c r="H214">
        <v>71</v>
      </c>
      <c r="I214" t="s">
        <v>209</v>
      </c>
      <c r="J214" s="55"/>
    </row>
    <row r="215" spans="1:10" x14ac:dyDescent="0.25">
      <c r="A215" t="s">
        <v>580</v>
      </c>
      <c r="B215" t="s">
        <v>248</v>
      </c>
      <c r="C215">
        <v>44265602</v>
      </c>
      <c r="D215" t="s">
        <v>2</v>
      </c>
      <c r="E215" t="s">
        <v>133</v>
      </c>
      <c r="F215" t="s">
        <v>575</v>
      </c>
      <c r="G215" s="55">
        <v>44673</v>
      </c>
      <c r="H215">
        <v>49</v>
      </c>
      <c r="I215" t="s">
        <v>209</v>
      </c>
      <c r="J215" s="55"/>
    </row>
    <row r="216" spans="1:10" x14ac:dyDescent="0.25">
      <c r="A216" t="s">
        <v>580</v>
      </c>
      <c r="B216" t="s">
        <v>226</v>
      </c>
      <c r="C216">
        <v>73049631</v>
      </c>
      <c r="D216" t="s">
        <v>3</v>
      </c>
      <c r="E216" t="s">
        <v>133</v>
      </c>
      <c r="F216" t="s">
        <v>575</v>
      </c>
      <c r="G216" s="55">
        <v>43506</v>
      </c>
      <c r="H216">
        <v>88</v>
      </c>
      <c r="I216" t="s">
        <v>159</v>
      </c>
      <c r="J216" s="55"/>
    </row>
    <row r="217" spans="1:10" x14ac:dyDescent="0.25">
      <c r="A217" t="s">
        <v>580</v>
      </c>
      <c r="B217" t="s">
        <v>222</v>
      </c>
      <c r="C217">
        <v>75000131</v>
      </c>
      <c r="D217" t="s">
        <v>125</v>
      </c>
      <c r="E217" t="s">
        <v>133</v>
      </c>
      <c r="F217" t="s">
        <v>575</v>
      </c>
      <c r="G217" s="55">
        <v>44874</v>
      </c>
      <c r="H217">
        <v>43</v>
      </c>
      <c r="I217" t="s">
        <v>175</v>
      </c>
      <c r="J217" s="55"/>
    </row>
    <row r="218" spans="1:10" x14ac:dyDescent="0.25">
      <c r="A218" t="s">
        <v>580</v>
      </c>
      <c r="B218" t="s">
        <v>224</v>
      </c>
      <c r="C218">
        <v>70984733</v>
      </c>
      <c r="D218" t="s">
        <v>4</v>
      </c>
      <c r="E218" t="s">
        <v>133</v>
      </c>
      <c r="F218" t="s">
        <v>575</v>
      </c>
      <c r="G218" s="55">
        <v>43466</v>
      </c>
      <c r="H218">
        <v>89</v>
      </c>
      <c r="I218" t="s">
        <v>159</v>
      </c>
      <c r="J218" s="55"/>
    </row>
    <row r="219" spans="1:10" x14ac:dyDescent="0.25">
      <c r="A219" t="s">
        <v>580</v>
      </c>
      <c r="B219" t="s">
        <v>58</v>
      </c>
      <c r="C219">
        <v>72519113</v>
      </c>
      <c r="D219" t="s">
        <v>125</v>
      </c>
      <c r="E219" t="s">
        <v>501</v>
      </c>
      <c r="F219" t="s">
        <v>575</v>
      </c>
      <c r="G219" s="55">
        <v>43119</v>
      </c>
      <c r="H219">
        <v>100</v>
      </c>
      <c r="I219" t="s">
        <v>175</v>
      </c>
      <c r="J219" s="55"/>
    </row>
    <row r="220" spans="1:10" x14ac:dyDescent="0.25">
      <c r="A220" t="s">
        <v>580</v>
      </c>
      <c r="B220" t="s">
        <v>49</v>
      </c>
      <c r="C220">
        <v>40702064</v>
      </c>
      <c r="D220" t="s">
        <v>125</v>
      </c>
      <c r="E220" t="s">
        <v>500</v>
      </c>
      <c r="F220" t="s">
        <v>575</v>
      </c>
      <c r="G220" s="55">
        <v>43313</v>
      </c>
      <c r="H220">
        <v>94</v>
      </c>
      <c r="I220" t="s">
        <v>175</v>
      </c>
      <c r="J220" s="55"/>
    </row>
    <row r="221" spans="1:10" x14ac:dyDescent="0.25">
      <c r="A221" t="s">
        <v>580</v>
      </c>
      <c r="B221" t="s">
        <v>23</v>
      </c>
      <c r="C221">
        <v>72413556</v>
      </c>
      <c r="D221" t="s">
        <v>3</v>
      </c>
      <c r="E221" t="s">
        <v>501</v>
      </c>
      <c r="F221" t="s">
        <v>575</v>
      </c>
      <c r="G221" s="55">
        <v>44109</v>
      </c>
      <c r="H221">
        <v>68</v>
      </c>
      <c r="I221" t="s">
        <v>159</v>
      </c>
      <c r="J221" s="55"/>
    </row>
    <row r="222" spans="1:10" x14ac:dyDescent="0.25">
      <c r="A222" t="s">
        <v>580</v>
      </c>
      <c r="B222" t="s">
        <v>26</v>
      </c>
      <c r="C222">
        <v>41005089</v>
      </c>
      <c r="D222" t="s">
        <v>6</v>
      </c>
      <c r="E222" t="s">
        <v>501</v>
      </c>
      <c r="F222" t="s">
        <v>575</v>
      </c>
      <c r="G222" s="55">
        <v>44257</v>
      </c>
      <c r="H222">
        <v>63</v>
      </c>
      <c r="I222" t="s">
        <v>159</v>
      </c>
      <c r="J222" s="55"/>
    </row>
    <row r="223" spans="1:10" x14ac:dyDescent="0.25">
      <c r="A223" t="s">
        <v>580</v>
      </c>
      <c r="B223" t="s">
        <v>19</v>
      </c>
      <c r="C223">
        <v>76656128</v>
      </c>
      <c r="D223" t="s">
        <v>6</v>
      </c>
      <c r="E223" t="s">
        <v>501</v>
      </c>
      <c r="F223" t="s">
        <v>575</v>
      </c>
      <c r="G223" s="55">
        <v>44671</v>
      </c>
      <c r="H223">
        <v>49</v>
      </c>
      <c r="I223" t="s">
        <v>159</v>
      </c>
      <c r="J223" s="55"/>
    </row>
    <row r="224" spans="1:10" x14ac:dyDescent="0.25">
      <c r="A224" t="s">
        <v>580</v>
      </c>
      <c r="B224" t="s">
        <v>29</v>
      </c>
      <c r="C224">
        <v>72758956</v>
      </c>
      <c r="D224" t="s">
        <v>2</v>
      </c>
      <c r="E224" t="s">
        <v>501</v>
      </c>
      <c r="F224" t="s">
        <v>575</v>
      </c>
      <c r="G224" s="55">
        <v>44685</v>
      </c>
      <c r="H224">
        <v>49</v>
      </c>
      <c r="I224" t="s">
        <v>209</v>
      </c>
      <c r="J224" s="55"/>
    </row>
    <row r="225" spans="1:10" x14ac:dyDescent="0.25">
      <c r="A225" t="s">
        <v>580</v>
      </c>
      <c r="B225" t="s">
        <v>10</v>
      </c>
      <c r="C225">
        <v>40980108</v>
      </c>
      <c r="D225" t="s">
        <v>4</v>
      </c>
      <c r="E225" t="s">
        <v>501</v>
      </c>
      <c r="F225" t="s">
        <v>575</v>
      </c>
      <c r="G225" s="55">
        <v>44704</v>
      </c>
      <c r="H225">
        <v>48</v>
      </c>
      <c r="I225" t="s">
        <v>159</v>
      </c>
      <c r="J225" s="55"/>
    </row>
    <row r="226" spans="1:10" x14ac:dyDescent="0.25">
      <c r="A226" t="s">
        <v>580</v>
      </c>
      <c r="B226" t="s">
        <v>75</v>
      </c>
      <c r="C226">
        <v>71264767</v>
      </c>
      <c r="D226" t="s">
        <v>4</v>
      </c>
      <c r="E226" t="s">
        <v>501</v>
      </c>
      <c r="F226" t="s">
        <v>575</v>
      </c>
      <c r="G226" s="55">
        <v>44714</v>
      </c>
      <c r="H226">
        <v>48</v>
      </c>
      <c r="I226" t="s">
        <v>159</v>
      </c>
      <c r="J226" s="55"/>
    </row>
    <row r="227" spans="1:10" x14ac:dyDescent="0.25">
      <c r="A227" t="s">
        <v>580</v>
      </c>
      <c r="B227" t="s">
        <v>15</v>
      </c>
      <c r="C227">
        <v>47587400</v>
      </c>
      <c r="D227" t="s">
        <v>2</v>
      </c>
      <c r="E227" t="s">
        <v>501</v>
      </c>
      <c r="F227" t="s">
        <v>575</v>
      </c>
      <c r="G227" s="55">
        <v>44733</v>
      </c>
      <c r="H227">
        <v>47</v>
      </c>
      <c r="I227" t="s">
        <v>209</v>
      </c>
      <c r="J227" s="55"/>
    </row>
    <row r="228" spans="1:10" x14ac:dyDescent="0.25">
      <c r="A228" t="s">
        <v>580</v>
      </c>
      <c r="B228" t="s">
        <v>35</v>
      </c>
      <c r="C228">
        <v>10491198</v>
      </c>
      <c r="D228" t="s">
        <v>6</v>
      </c>
      <c r="E228" t="s">
        <v>501</v>
      </c>
      <c r="F228" t="s">
        <v>575</v>
      </c>
      <c r="G228" s="55">
        <v>44746</v>
      </c>
      <c r="H228">
        <v>47</v>
      </c>
      <c r="I228" t="s">
        <v>159</v>
      </c>
      <c r="J228" s="55"/>
    </row>
    <row r="229" spans="1:10" x14ac:dyDescent="0.25">
      <c r="A229" t="s">
        <v>580</v>
      </c>
      <c r="B229" t="s">
        <v>48</v>
      </c>
      <c r="C229">
        <v>43307898</v>
      </c>
      <c r="D229" t="s">
        <v>125</v>
      </c>
      <c r="E229" t="s">
        <v>501</v>
      </c>
      <c r="F229" t="s">
        <v>575</v>
      </c>
      <c r="G229" s="55">
        <v>44746</v>
      </c>
      <c r="H229">
        <v>47</v>
      </c>
      <c r="I229" t="s">
        <v>175</v>
      </c>
      <c r="J229" s="55"/>
    </row>
    <row r="230" spans="1:10" x14ac:dyDescent="0.25">
      <c r="A230" t="s">
        <v>580</v>
      </c>
      <c r="B230" t="s">
        <v>13</v>
      </c>
      <c r="C230">
        <v>72512391</v>
      </c>
      <c r="D230" t="s">
        <v>3</v>
      </c>
      <c r="E230" t="s">
        <v>501</v>
      </c>
      <c r="F230" t="s">
        <v>575</v>
      </c>
      <c r="G230" s="55">
        <v>44809</v>
      </c>
      <c r="H230">
        <v>45</v>
      </c>
      <c r="I230" t="s">
        <v>159</v>
      </c>
      <c r="J230" s="55"/>
    </row>
    <row r="231" spans="1:10" x14ac:dyDescent="0.25">
      <c r="A231" t="s">
        <v>580</v>
      </c>
      <c r="B231" t="s">
        <v>76</v>
      </c>
      <c r="C231">
        <v>60914051</v>
      </c>
      <c r="D231" t="s">
        <v>2</v>
      </c>
      <c r="E231" t="s">
        <v>501</v>
      </c>
      <c r="F231" t="s">
        <v>575</v>
      </c>
      <c r="G231" s="55">
        <v>44817</v>
      </c>
      <c r="H231">
        <v>45</v>
      </c>
      <c r="I231" t="s">
        <v>209</v>
      </c>
      <c r="J231" s="55"/>
    </row>
    <row r="232" spans="1:10" x14ac:dyDescent="0.25">
      <c r="A232" t="s">
        <v>580</v>
      </c>
      <c r="B232" t="s">
        <v>25</v>
      </c>
      <c r="C232">
        <v>72373931</v>
      </c>
      <c r="D232" t="s">
        <v>2</v>
      </c>
      <c r="E232" t="s">
        <v>501</v>
      </c>
      <c r="F232" t="s">
        <v>575</v>
      </c>
      <c r="G232" s="55">
        <v>44818</v>
      </c>
      <c r="H232">
        <v>45</v>
      </c>
      <c r="I232" t="s">
        <v>209</v>
      </c>
      <c r="J232" s="55"/>
    </row>
    <row r="233" spans="1:10" x14ac:dyDescent="0.25">
      <c r="A233" t="s">
        <v>580</v>
      </c>
      <c r="B233" t="s">
        <v>77</v>
      </c>
      <c r="C233">
        <v>42251780</v>
      </c>
      <c r="D233" t="s">
        <v>125</v>
      </c>
      <c r="E233" t="s">
        <v>501</v>
      </c>
      <c r="F233" t="s">
        <v>575</v>
      </c>
      <c r="G233" s="55">
        <v>44838</v>
      </c>
      <c r="H233">
        <v>44</v>
      </c>
      <c r="I233" t="s">
        <v>175</v>
      </c>
      <c r="J233" s="55"/>
    </row>
    <row r="234" spans="1:10" x14ac:dyDescent="0.25">
      <c r="A234" t="s">
        <v>580</v>
      </c>
      <c r="B234" t="s">
        <v>33</v>
      </c>
      <c r="C234">
        <v>80689573</v>
      </c>
      <c r="D234" t="s">
        <v>3</v>
      </c>
      <c r="E234" t="s">
        <v>501</v>
      </c>
      <c r="F234" t="s">
        <v>575</v>
      </c>
      <c r="G234" s="55">
        <v>44867</v>
      </c>
      <c r="H234">
        <v>43</v>
      </c>
      <c r="I234" t="s">
        <v>159</v>
      </c>
      <c r="J234" s="55"/>
    </row>
    <row r="235" spans="1:10" x14ac:dyDescent="0.25">
      <c r="A235" t="s">
        <v>580</v>
      </c>
      <c r="B235" t="s">
        <v>12</v>
      </c>
      <c r="C235">
        <v>45262585</v>
      </c>
      <c r="D235" t="s">
        <v>4</v>
      </c>
      <c r="E235" t="s">
        <v>501</v>
      </c>
      <c r="F235" t="s">
        <v>575</v>
      </c>
      <c r="G235" s="55">
        <v>44868</v>
      </c>
      <c r="H235">
        <v>43</v>
      </c>
      <c r="I235" t="s">
        <v>159</v>
      </c>
      <c r="J235" s="55"/>
    </row>
    <row r="236" spans="1:10" x14ac:dyDescent="0.25">
      <c r="A236" t="s">
        <v>580</v>
      </c>
      <c r="B236" t="s">
        <v>17</v>
      </c>
      <c r="C236">
        <v>70876605</v>
      </c>
      <c r="D236" t="s">
        <v>3</v>
      </c>
      <c r="E236" t="s">
        <v>501</v>
      </c>
      <c r="F236" t="s">
        <v>575</v>
      </c>
      <c r="G236" s="55">
        <v>44886</v>
      </c>
      <c r="H236">
        <v>42</v>
      </c>
      <c r="I236" t="s">
        <v>159</v>
      </c>
      <c r="J236" s="55"/>
    </row>
    <row r="237" spans="1:10" x14ac:dyDescent="0.25">
      <c r="A237" t="s">
        <v>580</v>
      </c>
      <c r="B237" t="s">
        <v>61</v>
      </c>
      <c r="C237">
        <v>44001162</v>
      </c>
      <c r="D237" t="s">
        <v>4</v>
      </c>
      <c r="E237" t="s">
        <v>500</v>
      </c>
      <c r="F237" t="s">
        <v>575</v>
      </c>
      <c r="G237" s="55">
        <v>44907</v>
      </c>
      <c r="H237">
        <v>42</v>
      </c>
      <c r="I237" t="s">
        <v>159</v>
      </c>
      <c r="J237" s="55"/>
    </row>
    <row r="238" spans="1:10" x14ac:dyDescent="0.25">
      <c r="A238" t="s">
        <v>580</v>
      </c>
      <c r="B238" t="s">
        <v>78</v>
      </c>
      <c r="C238">
        <v>10706451</v>
      </c>
      <c r="D238" t="s">
        <v>2</v>
      </c>
      <c r="E238" t="s">
        <v>501</v>
      </c>
      <c r="F238" t="s">
        <v>575</v>
      </c>
      <c r="G238" s="55">
        <v>44943</v>
      </c>
      <c r="H238">
        <v>41</v>
      </c>
      <c r="I238" t="s">
        <v>209</v>
      </c>
      <c r="J238" s="55"/>
    </row>
    <row r="239" spans="1:10" x14ac:dyDescent="0.25">
      <c r="A239" t="s">
        <v>580</v>
      </c>
      <c r="B239" t="s">
        <v>65</v>
      </c>
      <c r="C239">
        <v>47659267</v>
      </c>
      <c r="D239" t="s">
        <v>3</v>
      </c>
      <c r="E239" t="s">
        <v>501</v>
      </c>
      <c r="F239" t="s">
        <v>575</v>
      </c>
      <c r="G239" s="55">
        <v>45019</v>
      </c>
      <c r="H239">
        <v>38</v>
      </c>
      <c r="I239" t="s">
        <v>159</v>
      </c>
      <c r="J239" s="55"/>
    </row>
    <row r="240" spans="1:10" x14ac:dyDescent="0.25">
      <c r="A240" t="s">
        <v>580</v>
      </c>
      <c r="B240" t="s">
        <v>37</v>
      </c>
      <c r="C240">
        <v>70988976</v>
      </c>
      <c r="D240" t="s">
        <v>6</v>
      </c>
      <c r="E240" t="s">
        <v>501</v>
      </c>
      <c r="F240" t="s">
        <v>575</v>
      </c>
      <c r="G240" s="55">
        <v>45112</v>
      </c>
      <c r="H240">
        <v>35</v>
      </c>
      <c r="I240" t="s">
        <v>159</v>
      </c>
      <c r="J240" s="55"/>
    </row>
    <row r="241" spans="1:10" x14ac:dyDescent="0.25">
      <c r="A241" t="s">
        <v>580</v>
      </c>
      <c r="B241" t="s">
        <v>18</v>
      </c>
      <c r="C241">
        <v>76214436</v>
      </c>
      <c r="D241" t="s">
        <v>4</v>
      </c>
      <c r="E241" t="s">
        <v>501</v>
      </c>
      <c r="F241" t="s">
        <v>575</v>
      </c>
      <c r="G241" s="55">
        <v>45132</v>
      </c>
      <c r="H241">
        <v>34</v>
      </c>
      <c r="I241" t="s">
        <v>159</v>
      </c>
      <c r="J241" s="55"/>
    </row>
    <row r="242" spans="1:10" x14ac:dyDescent="0.25">
      <c r="A242" t="s">
        <v>580</v>
      </c>
      <c r="B242" t="s">
        <v>73</v>
      </c>
      <c r="C242">
        <v>40318129</v>
      </c>
      <c r="D242" t="s">
        <v>125</v>
      </c>
      <c r="E242" t="s">
        <v>501</v>
      </c>
      <c r="F242" t="s">
        <v>575</v>
      </c>
      <c r="G242" s="55">
        <v>45141</v>
      </c>
      <c r="H242">
        <v>34</v>
      </c>
      <c r="I242" t="s">
        <v>175</v>
      </c>
      <c r="J242" s="55"/>
    </row>
    <row r="243" spans="1:10" x14ac:dyDescent="0.25">
      <c r="A243" t="s">
        <v>580</v>
      </c>
      <c r="B243" t="s">
        <v>79</v>
      </c>
      <c r="C243">
        <v>71262377</v>
      </c>
      <c r="D243" t="s">
        <v>2</v>
      </c>
      <c r="E243" t="s">
        <v>501</v>
      </c>
      <c r="F243" t="s">
        <v>575</v>
      </c>
      <c r="G243" s="55">
        <v>45145</v>
      </c>
      <c r="H243">
        <v>34</v>
      </c>
      <c r="I243" t="s">
        <v>209</v>
      </c>
      <c r="J243" s="55"/>
    </row>
    <row r="244" spans="1:10" x14ac:dyDescent="0.25">
      <c r="A244" t="s">
        <v>580</v>
      </c>
      <c r="B244" t="s">
        <v>34</v>
      </c>
      <c r="C244">
        <v>76824571</v>
      </c>
      <c r="D244" t="s">
        <v>6</v>
      </c>
      <c r="E244" t="s">
        <v>501</v>
      </c>
      <c r="F244" t="s">
        <v>575</v>
      </c>
      <c r="G244" s="55">
        <v>45173</v>
      </c>
      <c r="H244">
        <v>33</v>
      </c>
      <c r="I244" t="s">
        <v>159</v>
      </c>
      <c r="J244" s="55"/>
    </row>
    <row r="245" spans="1:10" x14ac:dyDescent="0.25">
      <c r="A245" t="s">
        <v>580</v>
      </c>
      <c r="B245" t="s">
        <v>80</v>
      </c>
      <c r="C245">
        <v>45084594</v>
      </c>
      <c r="D245" t="s">
        <v>6</v>
      </c>
      <c r="E245" t="s">
        <v>501</v>
      </c>
      <c r="F245" t="s">
        <v>575</v>
      </c>
      <c r="G245" s="55">
        <v>45281</v>
      </c>
      <c r="H245">
        <v>29</v>
      </c>
      <c r="I245" t="s">
        <v>159</v>
      </c>
      <c r="J245" s="55"/>
    </row>
    <row r="246" spans="1:10" x14ac:dyDescent="0.25">
      <c r="A246" t="s">
        <v>580</v>
      </c>
      <c r="B246" t="s">
        <v>22</v>
      </c>
      <c r="C246">
        <v>70551168</v>
      </c>
      <c r="D246" t="s">
        <v>3</v>
      </c>
      <c r="E246" t="s">
        <v>500</v>
      </c>
      <c r="F246" t="s">
        <v>575</v>
      </c>
      <c r="G246" s="55">
        <v>45295</v>
      </c>
      <c r="H246">
        <v>29</v>
      </c>
      <c r="I246" t="s">
        <v>159</v>
      </c>
      <c r="J246" s="55"/>
    </row>
    <row r="247" spans="1:10" x14ac:dyDescent="0.25">
      <c r="A247" t="s">
        <v>580</v>
      </c>
      <c r="B247" t="s">
        <v>41</v>
      </c>
      <c r="C247">
        <v>46461021</v>
      </c>
      <c r="D247" t="s">
        <v>125</v>
      </c>
      <c r="E247" t="s">
        <v>501</v>
      </c>
      <c r="F247" t="s">
        <v>575</v>
      </c>
      <c r="G247" s="55">
        <v>45302</v>
      </c>
      <c r="H247">
        <v>29</v>
      </c>
      <c r="I247" t="s">
        <v>175</v>
      </c>
      <c r="J247" s="55"/>
    </row>
    <row r="248" spans="1:10" x14ac:dyDescent="0.25">
      <c r="A248" t="s">
        <v>580</v>
      </c>
      <c r="B248" t="s">
        <v>24</v>
      </c>
      <c r="C248">
        <v>43614775</v>
      </c>
      <c r="D248" t="s">
        <v>3</v>
      </c>
      <c r="E248" t="s">
        <v>501</v>
      </c>
      <c r="F248" t="s">
        <v>575</v>
      </c>
      <c r="G248" s="55">
        <v>45334</v>
      </c>
      <c r="H248">
        <v>28</v>
      </c>
      <c r="I248" t="s">
        <v>159</v>
      </c>
      <c r="J248" s="55"/>
    </row>
    <row r="249" spans="1:10" x14ac:dyDescent="0.25">
      <c r="A249" t="s">
        <v>580</v>
      </c>
      <c r="B249" t="s">
        <v>31</v>
      </c>
      <c r="C249">
        <v>75882265</v>
      </c>
      <c r="D249" t="s">
        <v>3</v>
      </c>
      <c r="E249" t="s">
        <v>501</v>
      </c>
      <c r="F249" t="s">
        <v>575</v>
      </c>
      <c r="G249" s="55">
        <v>45334</v>
      </c>
      <c r="H249">
        <v>28</v>
      </c>
      <c r="I249" t="s">
        <v>159</v>
      </c>
      <c r="J249" s="55"/>
    </row>
    <row r="250" spans="1:10" x14ac:dyDescent="0.25">
      <c r="A250" t="s">
        <v>580</v>
      </c>
      <c r="B250" t="s">
        <v>59</v>
      </c>
      <c r="C250">
        <v>60870839</v>
      </c>
      <c r="D250" t="s">
        <v>4</v>
      </c>
      <c r="E250" t="s">
        <v>501</v>
      </c>
      <c r="F250" t="s">
        <v>575</v>
      </c>
      <c r="G250" s="55">
        <v>45344</v>
      </c>
      <c r="H250">
        <v>27</v>
      </c>
      <c r="I250" t="s">
        <v>159</v>
      </c>
      <c r="J250" s="55"/>
    </row>
    <row r="251" spans="1:10" x14ac:dyDescent="0.25">
      <c r="A251" t="s">
        <v>580</v>
      </c>
      <c r="B251" t="s">
        <v>68</v>
      </c>
      <c r="C251">
        <v>73257316</v>
      </c>
      <c r="D251" t="s">
        <v>2</v>
      </c>
      <c r="E251" t="s">
        <v>501</v>
      </c>
      <c r="F251" t="s">
        <v>575</v>
      </c>
      <c r="G251" s="55">
        <v>45363</v>
      </c>
      <c r="H251">
        <v>27</v>
      </c>
      <c r="I251" t="s">
        <v>209</v>
      </c>
      <c r="J251" s="55"/>
    </row>
    <row r="252" spans="1:10" x14ac:dyDescent="0.25">
      <c r="A252" t="s">
        <v>580</v>
      </c>
      <c r="B252" t="s">
        <v>11</v>
      </c>
      <c r="C252">
        <v>45139159</v>
      </c>
      <c r="D252" t="s">
        <v>6</v>
      </c>
      <c r="E252" t="s">
        <v>501</v>
      </c>
      <c r="F252" t="s">
        <v>575</v>
      </c>
      <c r="G252" s="55">
        <v>45369</v>
      </c>
      <c r="H252">
        <v>26</v>
      </c>
      <c r="I252" t="s">
        <v>159</v>
      </c>
      <c r="J252" s="55"/>
    </row>
    <row r="253" spans="1:10" x14ac:dyDescent="0.25">
      <c r="A253" t="s">
        <v>580</v>
      </c>
      <c r="B253" t="s">
        <v>42</v>
      </c>
      <c r="C253">
        <v>73725129</v>
      </c>
      <c r="D253" t="s">
        <v>2</v>
      </c>
      <c r="E253" t="s">
        <v>501</v>
      </c>
      <c r="F253" t="s">
        <v>575</v>
      </c>
      <c r="G253" s="55">
        <v>45398</v>
      </c>
      <c r="H253">
        <v>26</v>
      </c>
      <c r="I253" t="s">
        <v>209</v>
      </c>
      <c r="J253" s="55"/>
    </row>
    <row r="254" spans="1:10" x14ac:dyDescent="0.25">
      <c r="A254" t="s">
        <v>580</v>
      </c>
      <c r="B254" t="s">
        <v>40</v>
      </c>
      <c r="C254">
        <v>60976055</v>
      </c>
      <c r="D254" t="s">
        <v>125</v>
      </c>
      <c r="E254" t="s">
        <v>501</v>
      </c>
      <c r="F254" t="s">
        <v>575</v>
      </c>
      <c r="G254" s="55">
        <v>45433</v>
      </c>
      <c r="H254">
        <v>24</v>
      </c>
      <c r="I254" t="s">
        <v>175</v>
      </c>
      <c r="J254" s="55"/>
    </row>
    <row r="255" spans="1:10" x14ac:dyDescent="0.25">
      <c r="A255" t="s">
        <v>580</v>
      </c>
      <c r="B255" t="s">
        <v>81</v>
      </c>
      <c r="C255">
        <v>72716299</v>
      </c>
      <c r="D255" t="s">
        <v>6</v>
      </c>
      <c r="E255" t="s">
        <v>501</v>
      </c>
      <c r="F255" t="s">
        <v>575</v>
      </c>
      <c r="G255" s="55">
        <v>45511</v>
      </c>
      <c r="H255">
        <v>22</v>
      </c>
      <c r="I255" t="s">
        <v>159</v>
      </c>
      <c r="J255" s="55"/>
    </row>
    <row r="256" spans="1:10" x14ac:dyDescent="0.25">
      <c r="A256" t="s">
        <v>580</v>
      </c>
      <c r="B256" t="s">
        <v>32</v>
      </c>
      <c r="C256">
        <v>48584670</v>
      </c>
      <c r="D256" t="s">
        <v>3</v>
      </c>
      <c r="E256" t="s">
        <v>501</v>
      </c>
      <c r="F256" t="s">
        <v>575</v>
      </c>
      <c r="G256" s="55">
        <v>45526</v>
      </c>
      <c r="H256">
        <v>21</v>
      </c>
      <c r="I256" t="s">
        <v>159</v>
      </c>
      <c r="J256" s="55"/>
    </row>
    <row r="257" spans="1:10" x14ac:dyDescent="0.25">
      <c r="A257" t="s">
        <v>580</v>
      </c>
      <c r="B257" t="s">
        <v>51</v>
      </c>
      <c r="C257">
        <v>76089925</v>
      </c>
      <c r="D257" t="s">
        <v>125</v>
      </c>
      <c r="E257" t="s">
        <v>501</v>
      </c>
      <c r="F257" t="s">
        <v>575</v>
      </c>
      <c r="G257" s="55">
        <v>45678</v>
      </c>
      <c r="H257">
        <v>16</v>
      </c>
      <c r="I257" t="s">
        <v>175</v>
      </c>
      <c r="J257" s="55"/>
    </row>
    <row r="258" spans="1:10" x14ac:dyDescent="0.25">
      <c r="A258" t="s">
        <v>580</v>
      </c>
      <c r="B258" t="s">
        <v>72</v>
      </c>
      <c r="C258">
        <v>47690367</v>
      </c>
      <c r="D258" t="s">
        <v>4</v>
      </c>
      <c r="E258" t="s">
        <v>501</v>
      </c>
      <c r="F258" t="s">
        <v>575</v>
      </c>
      <c r="G258" s="55">
        <v>45691</v>
      </c>
      <c r="H258">
        <v>16</v>
      </c>
      <c r="I258" t="s">
        <v>159</v>
      </c>
      <c r="J258" s="55"/>
    </row>
    <row r="259" spans="1:10" x14ac:dyDescent="0.25">
      <c r="A259" t="s">
        <v>580</v>
      </c>
      <c r="B259" t="s">
        <v>50</v>
      </c>
      <c r="C259">
        <v>72733809</v>
      </c>
      <c r="D259" t="s">
        <v>6</v>
      </c>
      <c r="E259" t="s">
        <v>501</v>
      </c>
      <c r="F259" t="s">
        <v>575</v>
      </c>
      <c r="G259" s="55">
        <v>45789</v>
      </c>
      <c r="H259">
        <v>13</v>
      </c>
      <c r="I259" t="s">
        <v>159</v>
      </c>
      <c r="J259" s="55"/>
    </row>
    <row r="260" spans="1:10" x14ac:dyDescent="0.25">
      <c r="A260" t="s">
        <v>580</v>
      </c>
      <c r="B260" t="s">
        <v>38</v>
      </c>
      <c r="C260">
        <v>47411966</v>
      </c>
      <c r="D260" t="s">
        <v>2</v>
      </c>
      <c r="E260" t="s">
        <v>501</v>
      </c>
      <c r="F260" t="s">
        <v>575</v>
      </c>
      <c r="G260" s="55">
        <v>45800</v>
      </c>
      <c r="H260">
        <v>12</v>
      </c>
      <c r="I260" t="s">
        <v>209</v>
      </c>
      <c r="J260" s="55"/>
    </row>
    <row r="261" spans="1:10" x14ac:dyDescent="0.25">
      <c r="A261" t="s">
        <v>580</v>
      </c>
      <c r="B261" t="s">
        <v>55</v>
      </c>
      <c r="C261">
        <v>45119892</v>
      </c>
      <c r="D261" t="s">
        <v>125</v>
      </c>
      <c r="E261" t="s">
        <v>501</v>
      </c>
      <c r="F261" t="s">
        <v>575</v>
      </c>
      <c r="G261" s="55">
        <v>45813</v>
      </c>
      <c r="H261">
        <v>12</v>
      </c>
      <c r="I261" t="s">
        <v>175</v>
      </c>
      <c r="J261" s="55"/>
    </row>
    <row r="262" spans="1:10" x14ac:dyDescent="0.25">
      <c r="A262" t="s">
        <v>580</v>
      </c>
      <c r="B262" t="s">
        <v>60</v>
      </c>
      <c r="C262">
        <v>72839865</v>
      </c>
      <c r="D262" t="s">
        <v>4</v>
      </c>
      <c r="E262" t="s">
        <v>501</v>
      </c>
      <c r="F262" t="s">
        <v>575</v>
      </c>
      <c r="G262" s="55">
        <v>45854</v>
      </c>
      <c r="H262">
        <v>11</v>
      </c>
      <c r="I262" t="s">
        <v>159</v>
      </c>
      <c r="J262" s="55"/>
    </row>
    <row r="263" spans="1:10" x14ac:dyDescent="0.25">
      <c r="A263" t="s">
        <v>580</v>
      </c>
      <c r="B263" t="s">
        <v>96</v>
      </c>
      <c r="C263">
        <v>46793103</v>
      </c>
      <c r="D263" t="s">
        <v>3</v>
      </c>
      <c r="E263" t="s">
        <v>501</v>
      </c>
      <c r="F263" t="s">
        <v>575</v>
      </c>
      <c r="G263" s="55">
        <v>45882</v>
      </c>
      <c r="H263">
        <v>10</v>
      </c>
      <c r="I263" t="s">
        <v>159</v>
      </c>
      <c r="J263" s="55"/>
    </row>
    <row r="264" spans="1:10" x14ac:dyDescent="0.25">
      <c r="A264" t="s">
        <v>580</v>
      </c>
      <c r="B264" t="s">
        <v>97</v>
      </c>
      <c r="C264">
        <v>74602206</v>
      </c>
      <c r="D264" t="s">
        <v>125</v>
      </c>
      <c r="E264" t="s">
        <v>501</v>
      </c>
      <c r="F264" t="s">
        <v>575</v>
      </c>
      <c r="G264" s="55">
        <v>45884</v>
      </c>
      <c r="H264">
        <v>10</v>
      </c>
      <c r="I264" t="s">
        <v>175</v>
      </c>
      <c r="J264" s="55"/>
    </row>
    <row r="265" spans="1:10" x14ac:dyDescent="0.25">
      <c r="A265" t="s">
        <v>580</v>
      </c>
      <c r="B265" t="s">
        <v>122</v>
      </c>
      <c r="C265">
        <v>76586998</v>
      </c>
      <c r="D265" t="s">
        <v>4</v>
      </c>
      <c r="E265" t="s">
        <v>501</v>
      </c>
      <c r="F265" t="s">
        <v>575</v>
      </c>
      <c r="G265" s="55">
        <v>45971</v>
      </c>
      <c r="H265">
        <v>7</v>
      </c>
      <c r="I265" t="s">
        <v>159</v>
      </c>
      <c r="J265" s="55"/>
    </row>
    <row r="266" spans="1:10" x14ac:dyDescent="0.25">
      <c r="A266" t="s">
        <v>580</v>
      </c>
      <c r="B266" t="s">
        <v>174</v>
      </c>
      <c r="C266">
        <v>46994661</v>
      </c>
      <c r="D266" t="s">
        <v>125</v>
      </c>
      <c r="E266" t="s">
        <v>501</v>
      </c>
      <c r="F266" t="s">
        <v>575</v>
      </c>
      <c r="G266" s="55">
        <v>45992</v>
      </c>
      <c r="H266">
        <v>6</v>
      </c>
      <c r="I266" t="s">
        <v>175</v>
      </c>
      <c r="J266" s="55"/>
    </row>
    <row r="267" spans="1:10" x14ac:dyDescent="0.25">
      <c r="A267" t="s">
        <v>580</v>
      </c>
      <c r="B267" t="s">
        <v>206</v>
      </c>
      <c r="C267">
        <v>47497410</v>
      </c>
      <c r="D267" t="s">
        <v>4</v>
      </c>
      <c r="E267" t="s">
        <v>501</v>
      </c>
      <c r="F267" t="s">
        <v>575</v>
      </c>
      <c r="G267" s="55">
        <v>46024</v>
      </c>
      <c r="H267">
        <v>5</v>
      </c>
      <c r="I267" t="s">
        <v>159</v>
      </c>
      <c r="J267" s="55"/>
    </row>
    <row r="268" spans="1:10" x14ac:dyDescent="0.25">
      <c r="A268" t="s">
        <v>580</v>
      </c>
      <c r="B268" t="s">
        <v>109</v>
      </c>
      <c r="C268">
        <v>74626735</v>
      </c>
      <c r="D268" t="s">
        <v>125</v>
      </c>
      <c r="E268" t="s">
        <v>501</v>
      </c>
      <c r="F268" t="s">
        <v>575</v>
      </c>
      <c r="G268" s="55">
        <v>46024</v>
      </c>
      <c r="H268">
        <v>5</v>
      </c>
      <c r="I268" t="s">
        <v>175</v>
      </c>
      <c r="J268" s="55"/>
    </row>
    <row r="269" spans="1:10" x14ac:dyDescent="0.25">
      <c r="A269" t="s">
        <v>580</v>
      </c>
      <c r="B269" t="s">
        <v>105</v>
      </c>
      <c r="C269">
        <v>48344037</v>
      </c>
      <c r="D269" t="s">
        <v>6</v>
      </c>
      <c r="E269" t="s">
        <v>501</v>
      </c>
      <c r="F269" t="s">
        <v>575</v>
      </c>
      <c r="G269" s="55">
        <v>46027</v>
      </c>
      <c r="H269">
        <v>5</v>
      </c>
      <c r="I269" t="s">
        <v>159</v>
      </c>
      <c r="J269" s="55"/>
    </row>
    <row r="270" spans="1:10" x14ac:dyDescent="0.25">
      <c r="A270" t="s">
        <v>580</v>
      </c>
      <c r="B270" t="s">
        <v>207</v>
      </c>
      <c r="C270">
        <v>75069320</v>
      </c>
      <c r="D270" t="s">
        <v>125</v>
      </c>
      <c r="E270" t="s">
        <v>501</v>
      </c>
      <c r="F270" t="s">
        <v>575</v>
      </c>
      <c r="G270" s="55">
        <v>46029</v>
      </c>
      <c r="H270">
        <v>5</v>
      </c>
      <c r="I270" t="s">
        <v>175</v>
      </c>
      <c r="J270" s="55"/>
    </row>
    <row r="271" spans="1:10" x14ac:dyDescent="0.25">
      <c r="A271" t="s">
        <v>580</v>
      </c>
      <c r="B271" t="s">
        <v>377</v>
      </c>
      <c r="C271">
        <v>44883074</v>
      </c>
      <c r="D271" t="s">
        <v>125</v>
      </c>
      <c r="E271" t="s">
        <v>501</v>
      </c>
      <c r="F271" t="s">
        <v>575</v>
      </c>
      <c r="G271" s="55">
        <v>46038</v>
      </c>
      <c r="H271">
        <v>5</v>
      </c>
      <c r="I271" t="s">
        <v>175</v>
      </c>
      <c r="J271" s="55"/>
    </row>
    <row r="272" spans="1:10" x14ac:dyDescent="0.25">
      <c r="A272" t="s">
        <v>580</v>
      </c>
      <c r="B272" t="s">
        <v>497</v>
      </c>
      <c r="C272">
        <v>9668687</v>
      </c>
      <c r="D272" t="s">
        <v>125</v>
      </c>
      <c r="E272" t="s">
        <v>501</v>
      </c>
      <c r="F272" t="s">
        <v>575</v>
      </c>
      <c r="G272" s="55">
        <v>46041</v>
      </c>
      <c r="H272">
        <v>4</v>
      </c>
      <c r="I272" t="s">
        <v>175</v>
      </c>
      <c r="J272" s="55"/>
    </row>
    <row r="273" spans="1:10" x14ac:dyDescent="0.25">
      <c r="A273" t="s">
        <v>580</v>
      </c>
      <c r="B273" t="s">
        <v>493</v>
      </c>
      <c r="C273">
        <v>75026229</v>
      </c>
      <c r="D273" t="s">
        <v>125</v>
      </c>
      <c r="E273" t="s">
        <v>501</v>
      </c>
      <c r="F273" t="s">
        <v>575</v>
      </c>
      <c r="G273" s="55">
        <v>46052</v>
      </c>
      <c r="H273">
        <v>4</v>
      </c>
      <c r="I273" t="s">
        <v>175</v>
      </c>
      <c r="J273" s="55"/>
    </row>
    <row r="274" spans="1:10" x14ac:dyDescent="0.25">
      <c r="A274" t="s">
        <v>580</v>
      </c>
      <c r="B274" t="s">
        <v>495</v>
      </c>
      <c r="C274">
        <v>62792399</v>
      </c>
      <c r="D274" t="s">
        <v>125</v>
      </c>
      <c r="E274" t="s">
        <v>501</v>
      </c>
      <c r="F274" t="s">
        <v>575</v>
      </c>
      <c r="G274" s="55">
        <v>46052</v>
      </c>
      <c r="H274">
        <v>4</v>
      </c>
      <c r="I274" t="s">
        <v>175</v>
      </c>
      <c r="J274" s="55"/>
    </row>
    <row r="275" spans="1:10" x14ac:dyDescent="0.25">
      <c r="A275" t="s">
        <v>581</v>
      </c>
      <c r="B275" t="s">
        <v>219</v>
      </c>
      <c r="C275">
        <v>74122258</v>
      </c>
      <c r="D275" t="s">
        <v>6</v>
      </c>
      <c r="E275" t="s">
        <v>133</v>
      </c>
      <c r="F275" t="s">
        <v>575</v>
      </c>
      <c r="G275" s="55">
        <v>44022</v>
      </c>
      <c r="H275">
        <v>71</v>
      </c>
      <c r="I275" t="s">
        <v>209</v>
      </c>
      <c r="J275" s="55"/>
    </row>
    <row r="276" spans="1:10" x14ac:dyDescent="0.25">
      <c r="A276" t="s">
        <v>581</v>
      </c>
      <c r="B276" t="s">
        <v>248</v>
      </c>
      <c r="C276">
        <v>44265602</v>
      </c>
      <c r="D276" t="s">
        <v>2</v>
      </c>
      <c r="E276" t="s">
        <v>133</v>
      </c>
      <c r="F276" t="s">
        <v>575</v>
      </c>
      <c r="G276" s="55">
        <v>44673</v>
      </c>
      <c r="H276">
        <v>49</v>
      </c>
      <c r="I276" t="s">
        <v>209</v>
      </c>
      <c r="J276" s="55"/>
    </row>
    <row r="277" spans="1:10" x14ac:dyDescent="0.25">
      <c r="A277" t="s">
        <v>581</v>
      </c>
      <c r="B277" t="s">
        <v>226</v>
      </c>
      <c r="C277">
        <v>73049631</v>
      </c>
      <c r="D277" t="s">
        <v>3</v>
      </c>
      <c r="E277" t="s">
        <v>133</v>
      </c>
      <c r="F277" t="s">
        <v>575</v>
      </c>
      <c r="G277" s="55">
        <v>43506</v>
      </c>
      <c r="H277">
        <v>88</v>
      </c>
      <c r="I277" t="s">
        <v>159</v>
      </c>
      <c r="J277" s="55"/>
    </row>
    <row r="278" spans="1:10" x14ac:dyDescent="0.25">
      <c r="A278" t="s">
        <v>581</v>
      </c>
      <c r="B278" t="s">
        <v>222</v>
      </c>
      <c r="C278">
        <v>75000131</v>
      </c>
      <c r="D278" t="s">
        <v>125</v>
      </c>
      <c r="E278" t="s">
        <v>133</v>
      </c>
      <c r="F278" t="s">
        <v>575</v>
      </c>
      <c r="G278" s="55">
        <v>44874</v>
      </c>
      <c r="H278">
        <v>43</v>
      </c>
      <c r="I278" t="s">
        <v>159</v>
      </c>
      <c r="J278" s="55"/>
    </row>
    <row r="279" spans="1:10" x14ac:dyDescent="0.25">
      <c r="A279" t="s">
        <v>581</v>
      </c>
      <c r="B279" t="s">
        <v>582</v>
      </c>
      <c r="C279">
        <v>73930771</v>
      </c>
      <c r="D279" t="s">
        <v>124</v>
      </c>
      <c r="E279" t="s">
        <v>133</v>
      </c>
      <c r="F279" t="s">
        <v>575</v>
      </c>
      <c r="G279" s="55">
        <v>44459</v>
      </c>
      <c r="H279">
        <v>56</v>
      </c>
      <c r="I279" t="s">
        <v>175</v>
      </c>
      <c r="J279" s="55"/>
    </row>
    <row r="280" spans="1:10" x14ac:dyDescent="0.25">
      <c r="A280" t="s">
        <v>581</v>
      </c>
      <c r="B280" t="s">
        <v>58</v>
      </c>
      <c r="C280">
        <v>72519113</v>
      </c>
      <c r="D280" t="s">
        <v>124</v>
      </c>
      <c r="E280" t="s">
        <v>501</v>
      </c>
      <c r="F280" t="s">
        <v>575</v>
      </c>
      <c r="G280" s="55">
        <v>43119</v>
      </c>
      <c r="H280">
        <v>100</v>
      </c>
      <c r="I280" t="s">
        <v>175</v>
      </c>
      <c r="J280" s="55"/>
    </row>
    <row r="281" spans="1:10" x14ac:dyDescent="0.25">
      <c r="A281" t="s">
        <v>581</v>
      </c>
      <c r="B281" t="s">
        <v>49</v>
      </c>
      <c r="C281">
        <v>40702064</v>
      </c>
      <c r="D281" t="s">
        <v>124</v>
      </c>
      <c r="E281" t="s">
        <v>501</v>
      </c>
      <c r="F281" t="s">
        <v>575</v>
      </c>
      <c r="G281" s="55">
        <v>43313</v>
      </c>
      <c r="H281">
        <v>94</v>
      </c>
      <c r="I281" t="s">
        <v>175</v>
      </c>
      <c r="J281" s="55"/>
    </row>
    <row r="282" spans="1:10" x14ac:dyDescent="0.25">
      <c r="A282" t="s">
        <v>581</v>
      </c>
      <c r="B282" t="s">
        <v>48</v>
      </c>
      <c r="C282">
        <v>43307898</v>
      </c>
      <c r="D282" t="s">
        <v>124</v>
      </c>
      <c r="E282" t="s">
        <v>501</v>
      </c>
      <c r="F282" t="s">
        <v>575</v>
      </c>
      <c r="G282" s="55">
        <v>44746</v>
      </c>
      <c r="H282">
        <v>47</v>
      </c>
      <c r="I282" t="s">
        <v>175</v>
      </c>
      <c r="J282" s="55"/>
    </row>
    <row r="283" spans="1:10" x14ac:dyDescent="0.25">
      <c r="A283" t="s">
        <v>581</v>
      </c>
      <c r="B283" t="s">
        <v>77</v>
      </c>
      <c r="C283">
        <v>42251780</v>
      </c>
      <c r="D283" t="s">
        <v>124</v>
      </c>
      <c r="E283" t="s">
        <v>501</v>
      </c>
      <c r="F283" t="s">
        <v>575</v>
      </c>
      <c r="G283" s="55">
        <v>44838</v>
      </c>
      <c r="H283">
        <v>44</v>
      </c>
      <c r="I283" t="s">
        <v>175</v>
      </c>
      <c r="J283" s="55"/>
    </row>
    <row r="284" spans="1:10" x14ac:dyDescent="0.25">
      <c r="A284" t="s">
        <v>581</v>
      </c>
      <c r="B284" t="s">
        <v>73</v>
      </c>
      <c r="C284">
        <v>40318129</v>
      </c>
      <c r="D284" t="s">
        <v>124</v>
      </c>
      <c r="E284" t="s">
        <v>501</v>
      </c>
      <c r="F284" t="s">
        <v>575</v>
      </c>
      <c r="G284" s="55">
        <v>45141</v>
      </c>
      <c r="H284">
        <v>34</v>
      </c>
      <c r="I284" t="s">
        <v>175</v>
      </c>
      <c r="J284" s="55"/>
    </row>
    <row r="285" spans="1:10" x14ac:dyDescent="0.25">
      <c r="A285" t="s">
        <v>581</v>
      </c>
      <c r="B285" t="s">
        <v>41</v>
      </c>
      <c r="C285">
        <v>46461021</v>
      </c>
      <c r="D285" t="s">
        <v>124</v>
      </c>
      <c r="E285" t="s">
        <v>500</v>
      </c>
      <c r="F285" t="s">
        <v>575</v>
      </c>
      <c r="G285" s="55">
        <v>45302</v>
      </c>
      <c r="H285">
        <v>29</v>
      </c>
      <c r="I285" t="s">
        <v>175</v>
      </c>
      <c r="J285" s="55"/>
    </row>
    <row r="286" spans="1:10" x14ac:dyDescent="0.25">
      <c r="A286" t="s">
        <v>581</v>
      </c>
      <c r="B286" t="s">
        <v>51</v>
      </c>
      <c r="C286">
        <v>76089925</v>
      </c>
      <c r="D286" t="s">
        <v>124</v>
      </c>
      <c r="E286" t="s">
        <v>501</v>
      </c>
      <c r="F286" t="s">
        <v>575</v>
      </c>
      <c r="G286" s="55">
        <v>45678</v>
      </c>
      <c r="H286">
        <v>16</v>
      </c>
      <c r="I286" t="s">
        <v>175</v>
      </c>
      <c r="J286" s="55"/>
    </row>
    <row r="287" spans="1:10" x14ac:dyDescent="0.25">
      <c r="A287" t="s">
        <v>581</v>
      </c>
      <c r="B287" t="s">
        <v>55</v>
      </c>
      <c r="C287">
        <v>45119892</v>
      </c>
      <c r="D287" t="s">
        <v>124</v>
      </c>
      <c r="E287" t="s">
        <v>501</v>
      </c>
      <c r="F287" t="s">
        <v>575</v>
      </c>
      <c r="G287" s="55">
        <v>45813</v>
      </c>
      <c r="H287">
        <v>12</v>
      </c>
      <c r="I287" t="s">
        <v>175</v>
      </c>
      <c r="J287" s="55"/>
    </row>
    <row r="288" spans="1:10" x14ac:dyDescent="0.25">
      <c r="A288" t="s">
        <v>581</v>
      </c>
      <c r="B288" t="s">
        <v>40</v>
      </c>
      <c r="C288">
        <v>60976055</v>
      </c>
      <c r="D288" t="s">
        <v>124</v>
      </c>
      <c r="E288" t="s">
        <v>577</v>
      </c>
      <c r="F288" t="s">
        <v>575</v>
      </c>
      <c r="G288" s="55">
        <v>45433</v>
      </c>
      <c r="H288">
        <v>20</v>
      </c>
      <c r="I288" t="s">
        <v>175</v>
      </c>
      <c r="J288" s="55">
        <v>46057</v>
      </c>
    </row>
    <row r="289" spans="1:10" x14ac:dyDescent="0.25">
      <c r="A289" t="s">
        <v>581</v>
      </c>
      <c r="B289" t="s">
        <v>174</v>
      </c>
      <c r="C289">
        <v>46994661</v>
      </c>
      <c r="D289" t="s">
        <v>124</v>
      </c>
      <c r="E289" t="s">
        <v>501</v>
      </c>
      <c r="F289" t="s">
        <v>575</v>
      </c>
      <c r="G289" s="55">
        <v>45992</v>
      </c>
      <c r="H289">
        <v>6</v>
      </c>
      <c r="I289" t="s">
        <v>175</v>
      </c>
      <c r="J289" s="55"/>
    </row>
    <row r="290" spans="1:10" x14ac:dyDescent="0.25">
      <c r="A290" t="s">
        <v>581</v>
      </c>
      <c r="B290" t="s">
        <v>493</v>
      </c>
      <c r="C290">
        <v>75026229</v>
      </c>
      <c r="D290" t="s">
        <v>124</v>
      </c>
      <c r="E290" t="s">
        <v>501</v>
      </c>
      <c r="F290" t="s">
        <v>575</v>
      </c>
      <c r="G290" s="55">
        <v>46052</v>
      </c>
      <c r="H290">
        <v>4</v>
      </c>
      <c r="I290" t="s">
        <v>175</v>
      </c>
      <c r="J290" s="55"/>
    </row>
    <row r="291" spans="1:10" x14ac:dyDescent="0.25">
      <c r="A291" t="s">
        <v>581</v>
      </c>
      <c r="B291" t="s">
        <v>495</v>
      </c>
      <c r="C291">
        <v>62792399</v>
      </c>
      <c r="D291" t="s">
        <v>124</v>
      </c>
      <c r="E291" t="s">
        <v>501</v>
      </c>
      <c r="F291" t="s">
        <v>575</v>
      </c>
      <c r="G291" s="55">
        <v>46052</v>
      </c>
      <c r="H291">
        <v>4</v>
      </c>
      <c r="I291" t="s">
        <v>175</v>
      </c>
      <c r="J291" s="55"/>
    </row>
    <row r="292" spans="1:10" x14ac:dyDescent="0.25">
      <c r="A292" t="s">
        <v>581</v>
      </c>
      <c r="B292" t="s">
        <v>544</v>
      </c>
      <c r="C292">
        <v>75197920</v>
      </c>
      <c r="D292" t="s">
        <v>124</v>
      </c>
      <c r="E292" t="s">
        <v>577</v>
      </c>
      <c r="F292" t="s">
        <v>575</v>
      </c>
      <c r="G292" s="55">
        <v>46055</v>
      </c>
      <c r="H292">
        <v>0</v>
      </c>
      <c r="I292" t="s">
        <v>175</v>
      </c>
      <c r="J292" s="55">
        <v>46072</v>
      </c>
    </row>
    <row r="293" spans="1:10" x14ac:dyDescent="0.25">
      <c r="A293" t="s">
        <v>581</v>
      </c>
      <c r="B293" t="s">
        <v>10</v>
      </c>
      <c r="C293">
        <v>40980108</v>
      </c>
      <c r="D293" t="s">
        <v>125</v>
      </c>
      <c r="E293" t="s">
        <v>501</v>
      </c>
      <c r="F293" t="s">
        <v>575</v>
      </c>
      <c r="G293" s="55">
        <v>44704</v>
      </c>
      <c r="H293">
        <v>48</v>
      </c>
      <c r="I293" t="s">
        <v>159</v>
      </c>
      <c r="J293" s="55"/>
    </row>
    <row r="294" spans="1:10" x14ac:dyDescent="0.25">
      <c r="A294" t="s">
        <v>581</v>
      </c>
      <c r="B294" t="s">
        <v>75</v>
      </c>
      <c r="C294">
        <v>71264767</v>
      </c>
      <c r="D294" t="s">
        <v>125</v>
      </c>
      <c r="E294" t="s">
        <v>501</v>
      </c>
      <c r="F294" t="s">
        <v>575</v>
      </c>
      <c r="G294" s="55">
        <v>44714</v>
      </c>
      <c r="H294">
        <v>48</v>
      </c>
      <c r="I294" t="s">
        <v>159</v>
      </c>
      <c r="J294" s="55"/>
    </row>
    <row r="295" spans="1:10" x14ac:dyDescent="0.25">
      <c r="A295" t="s">
        <v>581</v>
      </c>
      <c r="B295" t="s">
        <v>12</v>
      </c>
      <c r="C295">
        <v>45262585</v>
      </c>
      <c r="D295" t="s">
        <v>125</v>
      </c>
      <c r="E295" t="s">
        <v>501</v>
      </c>
      <c r="F295" t="s">
        <v>575</v>
      </c>
      <c r="G295" s="55">
        <v>44868</v>
      </c>
      <c r="H295">
        <v>43</v>
      </c>
      <c r="I295" t="s">
        <v>159</v>
      </c>
      <c r="J295" s="55"/>
    </row>
    <row r="296" spans="1:10" x14ac:dyDescent="0.25">
      <c r="A296" t="s">
        <v>581</v>
      </c>
      <c r="B296" t="s">
        <v>61</v>
      </c>
      <c r="C296">
        <v>44001162</v>
      </c>
      <c r="D296" t="s">
        <v>125</v>
      </c>
      <c r="E296" t="s">
        <v>501</v>
      </c>
      <c r="F296" t="s">
        <v>575</v>
      </c>
      <c r="G296" s="55">
        <v>44907</v>
      </c>
      <c r="H296">
        <v>42</v>
      </c>
      <c r="I296" t="s">
        <v>159</v>
      </c>
      <c r="J296" s="55"/>
    </row>
    <row r="297" spans="1:10" x14ac:dyDescent="0.25">
      <c r="A297" t="s">
        <v>581</v>
      </c>
      <c r="B297" t="s">
        <v>18</v>
      </c>
      <c r="C297">
        <v>76214436</v>
      </c>
      <c r="D297" t="s">
        <v>125</v>
      </c>
      <c r="E297" t="s">
        <v>501</v>
      </c>
      <c r="F297" t="s">
        <v>575</v>
      </c>
      <c r="G297" s="55">
        <v>45132</v>
      </c>
      <c r="H297">
        <v>34</v>
      </c>
      <c r="I297" t="s">
        <v>159</v>
      </c>
      <c r="J297" s="55"/>
    </row>
    <row r="298" spans="1:10" x14ac:dyDescent="0.25">
      <c r="A298" t="s">
        <v>581</v>
      </c>
      <c r="B298" t="s">
        <v>59</v>
      </c>
      <c r="C298">
        <v>60870839</v>
      </c>
      <c r="D298" t="s">
        <v>125</v>
      </c>
      <c r="E298" t="s">
        <v>501</v>
      </c>
      <c r="F298" t="s">
        <v>575</v>
      </c>
      <c r="G298" s="55">
        <v>45344</v>
      </c>
      <c r="H298">
        <v>27</v>
      </c>
      <c r="I298" t="s">
        <v>159</v>
      </c>
      <c r="J298" s="55"/>
    </row>
    <row r="299" spans="1:10" x14ac:dyDescent="0.25">
      <c r="A299" t="s">
        <v>581</v>
      </c>
      <c r="B299" t="s">
        <v>72</v>
      </c>
      <c r="C299">
        <v>47690367</v>
      </c>
      <c r="D299" t="s">
        <v>125</v>
      </c>
      <c r="E299" t="s">
        <v>500</v>
      </c>
      <c r="F299" t="s">
        <v>575</v>
      </c>
      <c r="G299" s="55">
        <v>45691</v>
      </c>
      <c r="H299">
        <v>16</v>
      </c>
      <c r="I299" t="s">
        <v>159</v>
      </c>
      <c r="J299" s="55"/>
    </row>
    <row r="300" spans="1:10" x14ac:dyDescent="0.25">
      <c r="A300" t="s">
        <v>581</v>
      </c>
      <c r="B300" t="s">
        <v>60</v>
      </c>
      <c r="C300">
        <v>72839865</v>
      </c>
      <c r="D300" t="s">
        <v>125</v>
      </c>
      <c r="E300" t="s">
        <v>501</v>
      </c>
      <c r="F300" t="s">
        <v>575</v>
      </c>
      <c r="G300" s="55">
        <v>45854</v>
      </c>
      <c r="H300">
        <v>11</v>
      </c>
      <c r="I300" t="s">
        <v>159</v>
      </c>
      <c r="J300" s="55"/>
    </row>
    <row r="301" spans="1:10" x14ac:dyDescent="0.25">
      <c r="A301" t="s">
        <v>581</v>
      </c>
      <c r="B301" t="s">
        <v>122</v>
      </c>
      <c r="C301">
        <v>76586998</v>
      </c>
      <c r="D301" t="s">
        <v>125</v>
      </c>
      <c r="E301" t="s">
        <v>501</v>
      </c>
      <c r="F301" t="s">
        <v>575</v>
      </c>
      <c r="G301" s="55">
        <v>45971</v>
      </c>
      <c r="H301">
        <v>7</v>
      </c>
      <c r="I301" t="s">
        <v>159</v>
      </c>
      <c r="J301" s="55"/>
    </row>
    <row r="302" spans="1:10" x14ac:dyDescent="0.25">
      <c r="A302" t="s">
        <v>581</v>
      </c>
      <c r="B302" t="s">
        <v>109</v>
      </c>
      <c r="C302">
        <v>74626735</v>
      </c>
      <c r="D302" t="s">
        <v>125</v>
      </c>
      <c r="E302" t="s">
        <v>501</v>
      </c>
      <c r="F302" t="s">
        <v>575</v>
      </c>
      <c r="G302" s="55">
        <v>46024</v>
      </c>
      <c r="H302">
        <v>5</v>
      </c>
      <c r="I302" t="s">
        <v>159</v>
      </c>
      <c r="J302" s="55"/>
    </row>
    <row r="303" spans="1:10" x14ac:dyDescent="0.25">
      <c r="A303" t="s">
        <v>581</v>
      </c>
      <c r="B303" t="s">
        <v>206</v>
      </c>
      <c r="C303">
        <v>47497410</v>
      </c>
      <c r="D303" t="s">
        <v>125</v>
      </c>
      <c r="E303" t="s">
        <v>501</v>
      </c>
      <c r="F303" t="s">
        <v>575</v>
      </c>
      <c r="G303" s="55">
        <v>46024</v>
      </c>
      <c r="H303">
        <v>5</v>
      </c>
      <c r="I303" t="s">
        <v>159</v>
      </c>
      <c r="J303" s="55"/>
    </row>
    <row r="304" spans="1:10" x14ac:dyDescent="0.25">
      <c r="A304" t="s">
        <v>581</v>
      </c>
      <c r="B304" t="s">
        <v>85</v>
      </c>
      <c r="C304">
        <v>70477743</v>
      </c>
      <c r="D304" t="s">
        <v>125</v>
      </c>
      <c r="E304" t="s">
        <v>501</v>
      </c>
      <c r="F304" t="s">
        <v>575</v>
      </c>
      <c r="G304" s="55">
        <v>46055</v>
      </c>
      <c r="H304">
        <v>4</v>
      </c>
      <c r="I304" t="s">
        <v>159</v>
      </c>
      <c r="J304" s="55"/>
    </row>
    <row r="305" spans="1:10" x14ac:dyDescent="0.25">
      <c r="A305" t="s">
        <v>581</v>
      </c>
      <c r="B305" t="s">
        <v>29</v>
      </c>
      <c r="C305">
        <v>72758956</v>
      </c>
      <c r="D305" t="s">
        <v>2</v>
      </c>
      <c r="E305" t="s">
        <v>501</v>
      </c>
      <c r="F305" t="s">
        <v>575</v>
      </c>
      <c r="G305" s="55">
        <v>44685</v>
      </c>
      <c r="H305">
        <v>49</v>
      </c>
      <c r="I305" t="s">
        <v>209</v>
      </c>
      <c r="J305" s="55"/>
    </row>
    <row r="306" spans="1:10" x14ac:dyDescent="0.25">
      <c r="A306" t="s">
        <v>581</v>
      </c>
      <c r="B306" t="s">
        <v>15</v>
      </c>
      <c r="C306">
        <v>47587400</v>
      </c>
      <c r="D306" t="s">
        <v>2</v>
      </c>
      <c r="E306" t="s">
        <v>501</v>
      </c>
      <c r="F306" t="s">
        <v>575</v>
      </c>
      <c r="G306" s="55">
        <v>44733</v>
      </c>
      <c r="H306">
        <v>47</v>
      </c>
      <c r="I306" t="s">
        <v>209</v>
      </c>
      <c r="J306" s="55"/>
    </row>
    <row r="307" spans="1:10" x14ac:dyDescent="0.25">
      <c r="A307" t="s">
        <v>581</v>
      </c>
      <c r="B307" t="s">
        <v>76</v>
      </c>
      <c r="C307">
        <v>60914051</v>
      </c>
      <c r="D307" t="s">
        <v>2</v>
      </c>
      <c r="E307" t="s">
        <v>501</v>
      </c>
      <c r="F307" t="s">
        <v>575</v>
      </c>
      <c r="G307" s="55">
        <v>44817</v>
      </c>
      <c r="H307">
        <v>45</v>
      </c>
      <c r="I307" t="s">
        <v>209</v>
      </c>
      <c r="J307" s="55"/>
    </row>
    <row r="308" spans="1:10" x14ac:dyDescent="0.25">
      <c r="A308" t="s">
        <v>581</v>
      </c>
      <c r="B308" t="s">
        <v>25</v>
      </c>
      <c r="C308">
        <v>72373931</v>
      </c>
      <c r="D308" t="s">
        <v>2</v>
      </c>
      <c r="E308" t="s">
        <v>501</v>
      </c>
      <c r="F308" t="s">
        <v>575</v>
      </c>
      <c r="G308" s="55">
        <v>44818</v>
      </c>
      <c r="H308">
        <v>45</v>
      </c>
      <c r="I308" t="s">
        <v>209</v>
      </c>
      <c r="J308" s="55"/>
    </row>
    <row r="309" spans="1:10" x14ac:dyDescent="0.25">
      <c r="A309" t="s">
        <v>581</v>
      </c>
      <c r="B309" t="s">
        <v>79</v>
      </c>
      <c r="C309">
        <v>71262377</v>
      </c>
      <c r="D309" t="s">
        <v>2</v>
      </c>
      <c r="E309" t="s">
        <v>501</v>
      </c>
      <c r="F309" t="s">
        <v>575</v>
      </c>
      <c r="G309" s="55">
        <v>45145</v>
      </c>
      <c r="H309">
        <v>34</v>
      </c>
      <c r="I309" t="s">
        <v>209</v>
      </c>
      <c r="J309" s="55"/>
    </row>
    <row r="310" spans="1:10" x14ac:dyDescent="0.25">
      <c r="A310" t="s">
        <v>581</v>
      </c>
      <c r="B310" t="s">
        <v>68</v>
      </c>
      <c r="C310">
        <v>73257316</v>
      </c>
      <c r="D310" t="s">
        <v>2</v>
      </c>
      <c r="E310" t="s">
        <v>500</v>
      </c>
      <c r="F310" t="s">
        <v>575</v>
      </c>
      <c r="G310" s="55">
        <v>45363</v>
      </c>
      <c r="H310">
        <v>27</v>
      </c>
      <c r="I310" t="s">
        <v>209</v>
      </c>
      <c r="J310" s="55"/>
    </row>
    <row r="311" spans="1:10" x14ac:dyDescent="0.25">
      <c r="A311" t="s">
        <v>581</v>
      </c>
      <c r="B311" t="s">
        <v>42</v>
      </c>
      <c r="C311">
        <v>73725129</v>
      </c>
      <c r="D311" t="s">
        <v>2</v>
      </c>
      <c r="E311" t="s">
        <v>501</v>
      </c>
      <c r="F311" t="s">
        <v>575</v>
      </c>
      <c r="G311" s="55">
        <v>45398</v>
      </c>
      <c r="H311">
        <v>26</v>
      </c>
      <c r="I311" t="s">
        <v>209</v>
      </c>
      <c r="J311" s="55"/>
    </row>
    <row r="312" spans="1:10" x14ac:dyDescent="0.25">
      <c r="A312" t="s">
        <v>581</v>
      </c>
      <c r="B312" t="s">
        <v>38</v>
      </c>
      <c r="C312">
        <v>47411966</v>
      </c>
      <c r="D312" t="s">
        <v>2</v>
      </c>
      <c r="E312" t="s">
        <v>501</v>
      </c>
      <c r="F312" t="s">
        <v>575</v>
      </c>
      <c r="G312" s="55">
        <v>45800</v>
      </c>
      <c r="H312">
        <v>12</v>
      </c>
      <c r="I312" t="s">
        <v>209</v>
      </c>
      <c r="J312" s="55"/>
    </row>
    <row r="313" spans="1:10" x14ac:dyDescent="0.25">
      <c r="A313" t="s">
        <v>581</v>
      </c>
      <c r="B313" t="s">
        <v>26</v>
      </c>
      <c r="C313">
        <v>41005089</v>
      </c>
      <c r="D313" t="s">
        <v>6</v>
      </c>
      <c r="E313" t="s">
        <v>501</v>
      </c>
      <c r="F313" t="s">
        <v>575</v>
      </c>
      <c r="G313" s="55">
        <v>44257</v>
      </c>
      <c r="H313">
        <v>63</v>
      </c>
      <c r="I313" t="s">
        <v>583</v>
      </c>
      <c r="J313" s="55"/>
    </row>
    <row r="314" spans="1:10" x14ac:dyDescent="0.25">
      <c r="A314" t="s">
        <v>581</v>
      </c>
      <c r="B314" t="s">
        <v>19</v>
      </c>
      <c r="C314">
        <v>76656128</v>
      </c>
      <c r="D314" t="s">
        <v>6</v>
      </c>
      <c r="E314" t="s">
        <v>501</v>
      </c>
      <c r="F314" t="s">
        <v>575</v>
      </c>
      <c r="G314" s="55">
        <v>44671</v>
      </c>
      <c r="H314">
        <v>49</v>
      </c>
      <c r="I314" t="s">
        <v>583</v>
      </c>
      <c r="J314" s="55"/>
    </row>
    <row r="315" spans="1:10" x14ac:dyDescent="0.25">
      <c r="A315" t="s">
        <v>581</v>
      </c>
      <c r="B315" t="s">
        <v>35</v>
      </c>
      <c r="C315">
        <v>10491198</v>
      </c>
      <c r="D315" t="s">
        <v>6</v>
      </c>
      <c r="E315" t="s">
        <v>501</v>
      </c>
      <c r="F315" t="s">
        <v>575</v>
      </c>
      <c r="G315" s="55">
        <v>44746</v>
      </c>
      <c r="H315">
        <v>47</v>
      </c>
      <c r="I315" t="s">
        <v>584</v>
      </c>
      <c r="J315" s="55"/>
    </row>
    <row r="316" spans="1:10" x14ac:dyDescent="0.25">
      <c r="A316" t="s">
        <v>581</v>
      </c>
      <c r="B316" t="s">
        <v>78</v>
      </c>
      <c r="C316">
        <v>10706451</v>
      </c>
      <c r="D316" t="s">
        <v>6</v>
      </c>
      <c r="E316" t="s">
        <v>501</v>
      </c>
      <c r="F316" t="s">
        <v>575</v>
      </c>
      <c r="G316" s="55">
        <v>44943</v>
      </c>
      <c r="H316">
        <v>41</v>
      </c>
      <c r="I316" t="s">
        <v>584</v>
      </c>
      <c r="J316" s="55"/>
    </row>
    <row r="317" spans="1:10" x14ac:dyDescent="0.25">
      <c r="A317" t="s">
        <v>581</v>
      </c>
      <c r="B317" t="s">
        <v>37</v>
      </c>
      <c r="C317">
        <v>70988976</v>
      </c>
      <c r="D317" t="s">
        <v>6</v>
      </c>
      <c r="E317" t="s">
        <v>501</v>
      </c>
      <c r="F317" t="s">
        <v>575</v>
      </c>
      <c r="G317" s="55">
        <v>45112</v>
      </c>
      <c r="H317">
        <v>35</v>
      </c>
      <c r="I317" t="s">
        <v>584</v>
      </c>
      <c r="J317" s="55"/>
    </row>
    <row r="318" spans="1:10" x14ac:dyDescent="0.25">
      <c r="A318" t="s">
        <v>581</v>
      </c>
      <c r="B318" t="s">
        <v>34</v>
      </c>
      <c r="C318">
        <v>76824571</v>
      </c>
      <c r="D318" t="s">
        <v>6</v>
      </c>
      <c r="E318" t="s">
        <v>501</v>
      </c>
      <c r="F318" t="s">
        <v>575</v>
      </c>
      <c r="G318" s="55">
        <v>45173</v>
      </c>
      <c r="H318">
        <v>33</v>
      </c>
      <c r="I318" t="s">
        <v>583</v>
      </c>
      <c r="J318" s="55"/>
    </row>
    <row r="319" spans="1:10" x14ac:dyDescent="0.25">
      <c r="A319" t="s">
        <v>581</v>
      </c>
      <c r="B319" t="s">
        <v>80</v>
      </c>
      <c r="C319">
        <v>45084594</v>
      </c>
      <c r="D319" t="s">
        <v>6</v>
      </c>
      <c r="E319" t="s">
        <v>501</v>
      </c>
      <c r="F319" t="s">
        <v>575</v>
      </c>
      <c r="G319" s="55">
        <v>45281</v>
      </c>
      <c r="H319">
        <v>29</v>
      </c>
      <c r="I319" t="s">
        <v>583</v>
      </c>
      <c r="J319" s="55"/>
    </row>
    <row r="320" spans="1:10" x14ac:dyDescent="0.25">
      <c r="A320" t="s">
        <v>581</v>
      </c>
      <c r="B320" t="s">
        <v>11</v>
      </c>
      <c r="C320">
        <v>45139159</v>
      </c>
      <c r="D320" t="s">
        <v>6</v>
      </c>
      <c r="E320" t="s">
        <v>500</v>
      </c>
      <c r="F320" t="s">
        <v>575</v>
      </c>
      <c r="G320" s="55">
        <v>45369</v>
      </c>
      <c r="H320">
        <v>26</v>
      </c>
      <c r="I320" t="s">
        <v>583</v>
      </c>
      <c r="J320" s="55"/>
    </row>
    <row r="321" spans="1:10" x14ac:dyDescent="0.25">
      <c r="A321" t="s">
        <v>581</v>
      </c>
      <c r="B321" t="s">
        <v>81</v>
      </c>
      <c r="C321">
        <v>72716299</v>
      </c>
      <c r="D321" t="s">
        <v>6</v>
      </c>
      <c r="E321" t="s">
        <v>501</v>
      </c>
      <c r="F321" t="s">
        <v>575</v>
      </c>
      <c r="G321" s="55">
        <v>45511</v>
      </c>
      <c r="H321">
        <v>22</v>
      </c>
      <c r="I321" t="s">
        <v>583</v>
      </c>
      <c r="J321" s="55"/>
    </row>
    <row r="322" spans="1:10" x14ac:dyDescent="0.25">
      <c r="A322" t="s">
        <v>581</v>
      </c>
      <c r="B322" t="s">
        <v>50</v>
      </c>
      <c r="C322">
        <v>72733809</v>
      </c>
      <c r="D322" t="s">
        <v>6</v>
      </c>
      <c r="E322" t="s">
        <v>501</v>
      </c>
      <c r="F322" t="s">
        <v>575</v>
      </c>
      <c r="G322" s="55">
        <v>45789</v>
      </c>
      <c r="H322">
        <v>13</v>
      </c>
      <c r="I322" t="s">
        <v>583</v>
      </c>
      <c r="J322" s="55"/>
    </row>
    <row r="323" spans="1:10" x14ac:dyDescent="0.25">
      <c r="A323" t="s">
        <v>581</v>
      </c>
      <c r="B323" t="s">
        <v>97</v>
      </c>
      <c r="C323">
        <v>74602206</v>
      </c>
      <c r="D323" t="s">
        <v>6</v>
      </c>
      <c r="E323" t="s">
        <v>501</v>
      </c>
      <c r="F323" t="s">
        <v>575</v>
      </c>
      <c r="G323" s="55">
        <v>45884</v>
      </c>
      <c r="H323">
        <v>10</v>
      </c>
      <c r="I323" t="s">
        <v>584</v>
      </c>
      <c r="J323" s="55"/>
    </row>
    <row r="324" spans="1:10" x14ac:dyDescent="0.25">
      <c r="A324" t="s">
        <v>581</v>
      </c>
      <c r="B324" t="s">
        <v>105</v>
      </c>
      <c r="C324">
        <v>48344037</v>
      </c>
      <c r="D324" t="s">
        <v>6</v>
      </c>
      <c r="E324" t="s">
        <v>501</v>
      </c>
      <c r="F324" t="s">
        <v>575</v>
      </c>
      <c r="G324" s="55">
        <v>46027</v>
      </c>
      <c r="H324">
        <v>5</v>
      </c>
      <c r="I324" t="s">
        <v>583</v>
      </c>
      <c r="J324" s="55"/>
    </row>
    <row r="325" spans="1:10" x14ac:dyDescent="0.25">
      <c r="A325" t="s">
        <v>581</v>
      </c>
      <c r="B325" t="s">
        <v>23</v>
      </c>
      <c r="C325">
        <v>72413556</v>
      </c>
      <c r="D325" t="s">
        <v>3</v>
      </c>
      <c r="E325" t="s">
        <v>501</v>
      </c>
      <c r="F325" t="s">
        <v>575</v>
      </c>
      <c r="G325" s="55">
        <v>44109</v>
      </c>
      <c r="H325">
        <v>68</v>
      </c>
      <c r="I325" t="s">
        <v>159</v>
      </c>
      <c r="J325" s="55"/>
    </row>
    <row r="326" spans="1:10" x14ac:dyDescent="0.25">
      <c r="A326" t="s">
        <v>581</v>
      </c>
      <c r="B326" t="s">
        <v>13</v>
      </c>
      <c r="C326">
        <v>72512391</v>
      </c>
      <c r="D326" t="s">
        <v>3</v>
      </c>
      <c r="E326" t="s">
        <v>501</v>
      </c>
      <c r="F326" t="s">
        <v>575</v>
      </c>
      <c r="G326" s="55">
        <v>44809</v>
      </c>
      <c r="H326">
        <v>45</v>
      </c>
      <c r="I326" t="s">
        <v>159</v>
      </c>
      <c r="J326" s="55"/>
    </row>
    <row r="327" spans="1:10" x14ac:dyDescent="0.25">
      <c r="A327" t="s">
        <v>581</v>
      </c>
      <c r="B327" t="s">
        <v>33</v>
      </c>
      <c r="C327">
        <v>80689573</v>
      </c>
      <c r="D327" t="s">
        <v>3</v>
      </c>
      <c r="E327" t="s">
        <v>577</v>
      </c>
      <c r="F327" t="s">
        <v>575</v>
      </c>
      <c r="G327" s="55">
        <v>44867</v>
      </c>
      <c r="H327">
        <v>39</v>
      </c>
      <c r="I327" t="s">
        <v>159</v>
      </c>
      <c r="J327" s="55">
        <v>46063</v>
      </c>
    </row>
    <row r="328" spans="1:10" x14ac:dyDescent="0.25">
      <c r="A328" t="s">
        <v>581</v>
      </c>
      <c r="B328" t="s">
        <v>17</v>
      </c>
      <c r="C328">
        <v>70876605</v>
      </c>
      <c r="D328" t="s">
        <v>3</v>
      </c>
      <c r="E328" t="s">
        <v>501</v>
      </c>
      <c r="F328" t="s">
        <v>575</v>
      </c>
      <c r="G328" s="55">
        <v>44886</v>
      </c>
      <c r="H328">
        <v>42</v>
      </c>
      <c r="I328" t="s">
        <v>159</v>
      </c>
      <c r="J328" s="55"/>
    </row>
    <row r="329" spans="1:10" x14ac:dyDescent="0.25">
      <c r="A329" t="s">
        <v>581</v>
      </c>
      <c r="B329" t="s">
        <v>65</v>
      </c>
      <c r="C329">
        <v>47659267</v>
      </c>
      <c r="D329" t="s">
        <v>3</v>
      </c>
      <c r="E329" t="s">
        <v>501</v>
      </c>
      <c r="F329" t="s">
        <v>575</v>
      </c>
      <c r="G329" s="55">
        <v>45019</v>
      </c>
      <c r="H329">
        <v>38</v>
      </c>
      <c r="I329" t="s">
        <v>159</v>
      </c>
      <c r="J329" s="55"/>
    </row>
    <row r="330" spans="1:10" x14ac:dyDescent="0.25">
      <c r="A330" t="s">
        <v>581</v>
      </c>
      <c r="B330" t="s">
        <v>22</v>
      </c>
      <c r="C330">
        <v>70551168</v>
      </c>
      <c r="D330" t="s">
        <v>3</v>
      </c>
      <c r="E330" t="s">
        <v>501</v>
      </c>
      <c r="F330" t="s">
        <v>575</v>
      </c>
      <c r="G330" s="55">
        <v>45295</v>
      </c>
      <c r="H330">
        <v>29</v>
      </c>
      <c r="I330" t="s">
        <v>159</v>
      </c>
      <c r="J330" s="55"/>
    </row>
    <row r="331" spans="1:10" x14ac:dyDescent="0.25">
      <c r="A331" t="s">
        <v>581</v>
      </c>
      <c r="B331" t="s">
        <v>24</v>
      </c>
      <c r="C331">
        <v>43614775</v>
      </c>
      <c r="D331" t="s">
        <v>3</v>
      </c>
      <c r="E331" t="s">
        <v>500</v>
      </c>
      <c r="F331" t="s">
        <v>575</v>
      </c>
      <c r="G331" s="55">
        <v>45334</v>
      </c>
      <c r="H331">
        <v>28</v>
      </c>
      <c r="I331" t="s">
        <v>159</v>
      </c>
      <c r="J331" s="55"/>
    </row>
    <row r="332" spans="1:10" x14ac:dyDescent="0.25">
      <c r="A332" t="s">
        <v>581</v>
      </c>
      <c r="B332" t="s">
        <v>31</v>
      </c>
      <c r="C332">
        <v>75882265</v>
      </c>
      <c r="D332" t="s">
        <v>3</v>
      </c>
      <c r="E332" t="s">
        <v>577</v>
      </c>
      <c r="F332" t="s">
        <v>575</v>
      </c>
      <c r="G332" s="55">
        <v>45334</v>
      </c>
      <c r="H332">
        <v>24</v>
      </c>
      <c r="I332" t="s">
        <v>159</v>
      </c>
      <c r="J332" s="55">
        <v>46081</v>
      </c>
    </row>
    <row r="333" spans="1:10" x14ac:dyDescent="0.25">
      <c r="A333" t="s">
        <v>581</v>
      </c>
      <c r="B333" t="s">
        <v>32</v>
      </c>
      <c r="C333">
        <v>48584670</v>
      </c>
      <c r="D333" t="s">
        <v>3</v>
      </c>
      <c r="E333" t="s">
        <v>501</v>
      </c>
      <c r="F333" t="s">
        <v>575</v>
      </c>
      <c r="G333" s="55">
        <v>45526</v>
      </c>
      <c r="H333">
        <v>21</v>
      </c>
      <c r="I333" t="s">
        <v>159</v>
      </c>
      <c r="J333" s="55"/>
    </row>
    <row r="334" spans="1:10" x14ac:dyDescent="0.25">
      <c r="A334" t="s">
        <v>581</v>
      </c>
      <c r="B334" t="s">
        <v>96</v>
      </c>
      <c r="C334">
        <v>46793103</v>
      </c>
      <c r="D334" t="s">
        <v>3</v>
      </c>
      <c r="E334" t="s">
        <v>501</v>
      </c>
      <c r="F334" t="s">
        <v>575</v>
      </c>
      <c r="G334" s="55">
        <v>45882</v>
      </c>
      <c r="H334">
        <v>10</v>
      </c>
      <c r="I334" t="s">
        <v>159</v>
      </c>
      <c r="J334" s="55"/>
    </row>
    <row r="335" spans="1:10" x14ac:dyDescent="0.25">
      <c r="A335" t="s">
        <v>581</v>
      </c>
      <c r="B335" t="s">
        <v>207</v>
      </c>
      <c r="C335">
        <v>75069320</v>
      </c>
      <c r="D335" t="s">
        <v>3</v>
      </c>
      <c r="E335" t="s">
        <v>501</v>
      </c>
      <c r="F335" t="s">
        <v>575</v>
      </c>
      <c r="G335" s="55">
        <v>46029</v>
      </c>
      <c r="H335">
        <v>5</v>
      </c>
      <c r="I335" t="s">
        <v>159</v>
      </c>
      <c r="J335" s="55"/>
    </row>
    <row r="336" spans="1:10" x14ac:dyDescent="0.25">
      <c r="A336" t="s">
        <v>581</v>
      </c>
      <c r="B336" t="s">
        <v>377</v>
      </c>
      <c r="C336">
        <v>44883074</v>
      </c>
      <c r="D336" t="s">
        <v>3</v>
      </c>
      <c r="E336" t="s">
        <v>501</v>
      </c>
      <c r="F336" t="s">
        <v>575</v>
      </c>
      <c r="G336" s="55">
        <v>46038</v>
      </c>
      <c r="H336">
        <v>5</v>
      </c>
      <c r="I336" t="s">
        <v>159</v>
      </c>
      <c r="J336" s="55"/>
    </row>
    <row r="337" spans="1:10" x14ac:dyDescent="0.25">
      <c r="A337" t="s">
        <v>581</v>
      </c>
      <c r="B337" t="s">
        <v>497</v>
      </c>
      <c r="C337">
        <v>9668687</v>
      </c>
      <c r="D337" t="s">
        <v>124</v>
      </c>
      <c r="E337" t="s">
        <v>577</v>
      </c>
      <c r="F337" t="s">
        <v>575</v>
      </c>
      <c r="G337" s="55">
        <v>46041</v>
      </c>
      <c r="H337">
        <v>0</v>
      </c>
      <c r="I337" t="s">
        <v>175</v>
      </c>
      <c r="J337" s="55">
        <v>46058</v>
      </c>
    </row>
    <row r="338" spans="1:10" x14ac:dyDescent="0.25">
      <c r="A338" t="s">
        <v>581</v>
      </c>
      <c r="B338" t="s">
        <v>549</v>
      </c>
      <c r="C338">
        <v>73233992</v>
      </c>
      <c r="D338" t="s">
        <v>124</v>
      </c>
      <c r="E338" t="s">
        <v>501</v>
      </c>
      <c r="F338" t="s">
        <v>575</v>
      </c>
      <c r="G338" s="55">
        <v>46064</v>
      </c>
      <c r="H338">
        <v>4</v>
      </c>
      <c r="I338" t="s">
        <v>175</v>
      </c>
      <c r="J338" s="55"/>
    </row>
    <row r="339" spans="1:10" x14ac:dyDescent="0.25">
      <c r="A339" t="s">
        <v>581</v>
      </c>
      <c r="B339" t="s">
        <v>557</v>
      </c>
      <c r="C339">
        <v>10330959</v>
      </c>
      <c r="D339" t="s">
        <v>124</v>
      </c>
      <c r="E339" t="s">
        <v>501</v>
      </c>
      <c r="F339" t="s">
        <v>575</v>
      </c>
      <c r="G339" s="55">
        <v>46078</v>
      </c>
      <c r="H339">
        <v>3</v>
      </c>
      <c r="I339" t="s">
        <v>175</v>
      </c>
      <c r="J339" s="55"/>
    </row>
    <row r="340" spans="1:10" x14ac:dyDescent="0.25">
      <c r="A340" t="s">
        <v>581</v>
      </c>
      <c r="B340" t="s">
        <v>563</v>
      </c>
      <c r="C340">
        <v>78564842</v>
      </c>
      <c r="D340" t="s">
        <v>124</v>
      </c>
      <c r="E340" t="s">
        <v>501</v>
      </c>
      <c r="F340" t="s">
        <v>575</v>
      </c>
      <c r="G340" s="55">
        <v>46078</v>
      </c>
      <c r="H340">
        <v>3</v>
      </c>
      <c r="I340" t="s">
        <v>175</v>
      </c>
      <c r="J340" s="55"/>
    </row>
    <row r="341" spans="1:10" x14ac:dyDescent="0.25">
      <c r="A341" t="s">
        <v>585</v>
      </c>
      <c r="B341" t="s">
        <v>219</v>
      </c>
      <c r="C341">
        <v>74122258</v>
      </c>
      <c r="D341" t="s">
        <v>6</v>
      </c>
      <c r="E341" t="s">
        <v>133</v>
      </c>
      <c r="F341" t="s">
        <v>575</v>
      </c>
      <c r="G341" s="55">
        <v>44022</v>
      </c>
      <c r="H341">
        <v>71</v>
      </c>
      <c r="I341" t="s">
        <v>209</v>
      </c>
      <c r="J341" s="55"/>
    </row>
    <row r="342" spans="1:10" x14ac:dyDescent="0.25">
      <c r="A342" t="s">
        <v>585</v>
      </c>
      <c r="B342" t="s">
        <v>248</v>
      </c>
      <c r="C342">
        <v>44265602</v>
      </c>
      <c r="D342" t="s">
        <v>2</v>
      </c>
      <c r="E342" t="s">
        <v>133</v>
      </c>
      <c r="F342" t="s">
        <v>575</v>
      </c>
      <c r="G342" s="55">
        <v>44673</v>
      </c>
      <c r="H342">
        <v>49</v>
      </c>
      <c r="I342" t="s">
        <v>159</v>
      </c>
      <c r="J342" s="55"/>
    </row>
    <row r="343" spans="1:10" x14ac:dyDescent="0.25">
      <c r="A343" t="s">
        <v>585</v>
      </c>
      <c r="B343" t="s">
        <v>226</v>
      </c>
      <c r="C343">
        <v>73049631</v>
      </c>
      <c r="D343" t="s">
        <v>3</v>
      </c>
      <c r="E343" t="s">
        <v>133</v>
      </c>
      <c r="F343" t="s">
        <v>575</v>
      </c>
      <c r="G343" s="55">
        <v>43506</v>
      </c>
      <c r="H343">
        <v>88</v>
      </c>
      <c r="I343" t="s">
        <v>209</v>
      </c>
      <c r="J343" s="55"/>
    </row>
    <row r="344" spans="1:10" x14ac:dyDescent="0.25">
      <c r="A344" t="s">
        <v>585</v>
      </c>
      <c r="B344" t="s">
        <v>222</v>
      </c>
      <c r="C344">
        <v>75000131</v>
      </c>
      <c r="D344" t="s">
        <v>125</v>
      </c>
      <c r="E344" t="s">
        <v>133</v>
      </c>
      <c r="F344" t="s">
        <v>575</v>
      </c>
      <c r="G344" s="55">
        <v>44874</v>
      </c>
      <c r="H344">
        <v>43</v>
      </c>
      <c r="I344" t="s">
        <v>159</v>
      </c>
      <c r="J344" s="55"/>
    </row>
    <row r="345" spans="1:10" x14ac:dyDescent="0.25">
      <c r="A345" t="s">
        <v>585</v>
      </c>
      <c r="B345" t="s">
        <v>214</v>
      </c>
      <c r="C345">
        <v>46872195</v>
      </c>
      <c r="D345" t="s">
        <v>7</v>
      </c>
      <c r="E345" t="s">
        <v>133</v>
      </c>
      <c r="F345" t="s">
        <v>575</v>
      </c>
      <c r="G345" s="55">
        <v>43805</v>
      </c>
      <c r="H345">
        <v>78</v>
      </c>
      <c r="I345" t="s">
        <v>175</v>
      </c>
      <c r="J345" s="55"/>
    </row>
    <row r="346" spans="1:10" x14ac:dyDescent="0.25">
      <c r="A346" t="s">
        <v>585</v>
      </c>
      <c r="B346" t="s">
        <v>58</v>
      </c>
      <c r="C346">
        <v>72519113</v>
      </c>
      <c r="D346" t="s">
        <v>7</v>
      </c>
      <c r="E346" t="s">
        <v>500</v>
      </c>
      <c r="F346" t="s">
        <v>575</v>
      </c>
      <c r="G346" s="55">
        <v>43119</v>
      </c>
      <c r="H346">
        <v>100</v>
      </c>
      <c r="I346" t="s">
        <v>586</v>
      </c>
      <c r="J346" s="55"/>
    </row>
    <row r="347" spans="1:10" x14ac:dyDescent="0.25">
      <c r="A347" t="s">
        <v>585</v>
      </c>
      <c r="B347" t="s">
        <v>49</v>
      </c>
      <c r="C347">
        <v>40702064</v>
      </c>
      <c r="D347" t="s">
        <v>7</v>
      </c>
      <c r="E347" t="s">
        <v>501</v>
      </c>
      <c r="F347" t="s">
        <v>575</v>
      </c>
      <c r="G347" s="55">
        <v>43313</v>
      </c>
      <c r="H347">
        <v>94</v>
      </c>
      <c r="I347" t="s">
        <v>586</v>
      </c>
      <c r="J347" s="55"/>
    </row>
    <row r="348" spans="1:10" x14ac:dyDescent="0.25">
      <c r="A348" t="s">
        <v>585</v>
      </c>
      <c r="B348" t="s">
        <v>23</v>
      </c>
      <c r="C348">
        <v>72413556</v>
      </c>
      <c r="D348" t="s">
        <v>2</v>
      </c>
      <c r="E348" t="s">
        <v>501</v>
      </c>
      <c r="F348" t="s">
        <v>575</v>
      </c>
      <c r="G348" s="55">
        <v>44109</v>
      </c>
      <c r="H348">
        <v>68</v>
      </c>
      <c r="I348" t="s">
        <v>159</v>
      </c>
      <c r="J348" s="55"/>
    </row>
    <row r="349" spans="1:10" x14ac:dyDescent="0.25">
      <c r="A349" t="s">
        <v>585</v>
      </c>
      <c r="B349" t="s">
        <v>26</v>
      </c>
      <c r="C349">
        <v>41005089</v>
      </c>
      <c r="D349" t="s">
        <v>6</v>
      </c>
      <c r="E349" t="s">
        <v>500</v>
      </c>
      <c r="F349" t="s">
        <v>575</v>
      </c>
      <c r="G349" s="55">
        <v>44257</v>
      </c>
      <c r="H349">
        <v>63</v>
      </c>
      <c r="I349" t="s">
        <v>583</v>
      </c>
      <c r="J349" s="55"/>
    </row>
    <row r="350" spans="1:10" x14ac:dyDescent="0.25">
      <c r="A350" t="s">
        <v>585</v>
      </c>
      <c r="B350" t="s">
        <v>19</v>
      </c>
      <c r="C350">
        <v>76656128</v>
      </c>
      <c r="D350" t="s">
        <v>6</v>
      </c>
      <c r="E350" t="s">
        <v>501</v>
      </c>
      <c r="F350" t="s">
        <v>575</v>
      </c>
      <c r="G350" s="55">
        <v>44671</v>
      </c>
      <c r="H350">
        <v>49</v>
      </c>
      <c r="I350" t="s">
        <v>583</v>
      </c>
      <c r="J350" s="55"/>
    </row>
    <row r="351" spans="1:10" x14ac:dyDescent="0.25">
      <c r="A351" t="s">
        <v>585</v>
      </c>
      <c r="B351" t="s">
        <v>29</v>
      </c>
      <c r="C351">
        <v>72758956</v>
      </c>
      <c r="D351" t="s">
        <v>3</v>
      </c>
      <c r="E351" t="s">
        <v>501</v>
      </c>
      <c r="F351" t="s">
        <v>575</v>
      </c>
      <c r="G351" s="55">
        <v>44685</v>
      </c>
      <c r="H351">
        <v>49</v>
      </c>
      <c r="I351" t="s">
        <v>583</v>
      </c>
      <c r="J351" s="55"/>
    </row>
    <row r="352" spans="1:10" x14ac:dyDescent="0.25">
      <c r="A352" t="s">
        <v>585</v>
      </c>
      <c r="B352" t="s">
        <v>10</v>
      </c>
      <c r="C352">
        <v>40980108</v>
      </c>
      <c r="D352" t="s">
        <v>125</v>
      </c>
      <c r="E352" t="s">
        <v>500</v>
      </c>
      <c r="F352" t="s">
        <v>575</v>
      </c>
      <c r="G352" s="55">
        <v>44704</v>
      </c>
      <c r="H352">
        <v>48</v>
      </c>
      <c r="I352" t="s">
        <v>159</v>
      </c>
      <c r="J352" s="55"/>
    </row>
    <row r="353" spans="1:10" x14ac:dyDescent="0.25">
      <c r="A353" t="s">
        <v>585</v>
      </c>
      <c r="B353" t="s">
        <v>75</v>
      </c>
      <c r="C353">
        <v>71264767</v>
      </c>
      <c r="D353" t="s">
        <v>125</v>
      </c>
      <c r="E353" t="s">
        <v>501</v>
      </c>
      <c r="F353" t="s">
        <v>575</v>
      </c>
      <c r="G353" s="55">
        <v>44714</v>
      </c>
      <c r="H353">
        <v>48</v>
      </c>
      <c r="I353" t="s">
        <v>159</v>
      </c>
      <c r="J353" s="55"/>
    </row>
    <row r="354" spans="1:10" x14ac:dyDescent="0.25">
      <c r="A354" t="s">
        <v>585</v>
      </c>
      <c r="B354" t="s">
        <v>15</v>
      </c>
      <c r="C354">
        <v>47587400</v>
      </c>
      <c r="D354" t="s">
        <v>2</v>
      </c>
      <c r="E354" t="s">
        <v>501</v>
      </c>
      <c r="F354" t="s">
        <v>575</v>
      </c>
      <c r="G354" s="55">
        <v>44733</v>
      </c>
      <c r="H354">
        <v>47</v>
      </c>
      <c r="I354" t="s">
        <v>159</v>
      </c>
      <c r="J354" s="55"/>
    </row>
    <row r="355" spans="1:10" x14ac:dyDescent="0.25">
      <c r="A355" t="s">
        <v>585</v>
      </c>
      <c r="B355" t="s">
        <v>48</v>
      </c>
      <c r="C355">
        <v>43307898</v>
      </c>
      <c r="D355" t="s">
        <v>7</v>
      </c>
      <c r="E355" t="s">
        <v>501</v>
      </c>
      <c r="F355" t="s">
        <v>575</v>
      </c>
      <c r="G355" s="55">
        <v>44746</v>
      </c>
      <c r="H355">
        <v>47</v>
      </c>
      <c r="I355" t="s">
        <v>586</v>
      </c>
      <c r="J355" s="55"/>
    </row>
    <row r="356" spans="1:10" x14ac:dyDescent="0.25">
      <c r="A356" t="s">
        <v>585</v>
      </c>
      <c r="B356" t="s">
        <v>35</v>
      </c>
      <c r="C356">
        <v>10491198</v>
      </c>
      <c r="D356" t="s">
        <v>6</v>
      </c>
      <c r="E356" t="s">
        <v>501</v>
      </c>
      <c r="F356" t="s">
        <v>575</v>
      </c>
      <c r="G356" s="55">
        <v>44746</v>
      </c>
      <c r="H356">
        <v>47</v>
      </c>
      <c r="I356" t="s">
        <v>584</v>
      </c>
      <c r="J356" s="55"/>
    </row>
    <row r="357" spans="1:10" x14ac:dyDescent="0.25">
      <c r="A357" t="s">
        <v>585</v>
      </c>
      <c r="B357" t="s">
        <v>13</v>
      </c>
      <c r="C357">
        <v>72512391</v>
      </c>
      <c r="D357" t="s">
        <v>2</v>
      </c>
      <c r="E357" t="s">
        <v>501</v>
      </c>
      <c r="F357" t="s">
        <v>575</v>
      </c>
      <c r="G357" s="55">
        <v>44809</v>
      </c>
      <c r="H357">
        <v>45</v>
      </c>
      <c r="I357" t="s">
        <v>159</v>
      </c>
      <c r="J357" s="55"/>
    </row>
    <row r="358" spans="1:10" x14ac:dyDescent="0.25">
      <c r="A358" t="s">
        <v>585</v>
      </c>
      <c r="B358" t="s">
        <v>76</v>
      </c>
      <c r="C358">
        <v>60914051</v>
      </c>
      <c r="D358" t="s">
        <v>3</v>
      </c>
      <c r="E358" t="s">
        <v>501</v>
      </c>
      <c r="F358" t="s">
        <v>575</v>
      </c>
      <c r="G358" s="55">
        <v>44817</v>
      </c>
      <c r="H358">
        <v>45</v>
      </c>
      <c r="I358" t="s">
        <v>584</v>
      </c>
      <c r="J358" s="55"/>
    </row>
    <row r="359" spans="1:10" x14ac:dyDescent="0.25">
      <c r="A359" t="s">
        <v>585</v>
      </c>
      <c r="B359" t="s">
        <v>25</v>
      </c>
      <c r="C359">
        <v>72373931</v>
      </c>
      <c r="D359" t="s">
        <v>2</v>
      </c>
      <c r="E359" t="s">
        <v>501</v>
      </c>
      <c r="F359" t="s">
        <v>575</v>
      </c>
      <c r="G359" s="55">
        <v>44818</v>
      </c>
      <c r="H359">
        <v>45</v>
      </c>
      <c r="I359" t="s">
        <v>159</v>
      </c>
      <c r="J359" s="55"/>
    </row>
    <row r="360" spans="1:10" x14ac:dyDescent="0.25">
      <c r="A360" t="s">
        <v>585</v>
      </c>
      <c r="B360" t="s">
        <v>77</v>
      </c>
      <c r="C360">
        <v>42251780</v>
      </c>
      <c r="D360" t="s">
        <v>7</v>
      </c>
      <c r="E360" t="s">
        <v>501</v>
      </c>
      <c r="F360" t="s">
        <v>575</v>
      </c>
      <c r="G360" s="55">
        <v>44838</v>
      </c>
      <c r="H360">
        <v>44</v>
      </c>
      <c r="I360" t="s">
        <v>586</v>
      </c>
      <c r="J360" s="55"/>
    </row>
    <row r="361" spans="1:10" x14ac:dyDescent="0.25">
      <c r="A361" t="s">
        <v>585</v>
      </c>
      <c r="B361" t="s">
        <v>12</v>
      </c>
      <c r="C361">
        <v>45262585</v>
      </c>
      <c r="D361" t="s">
        <v>125</v>
      </c>
      <c r="E361" t="s">
        <v>501</v>
      </c>
      <c r="F361" t="s">
        <v>575</v>
      </c>
      <c r="G361" s="55">
        <v>44868</v>
      </c>
      <c r="H361">
        <v>43</v>
      </c>
      <c r="I361" t="s">
        <v>159</v>
      </c>
      <c r="J361" s="55"/>
    </row>
    <row r="362" spans="1:10" x14ac:dyDescent="0.25">
      <c r="A362" t="s">
        <v>585</v>
      </c>
      <c r="B362" t="s">
        <v>17</v>
      </c>
      <c r="C362">
        <v>70876605</v>
      </c>
      <c r="D362" t="s">
        <v>2</v>
      </c>
      <c r="E362" t="s">
        <v>501</v>
      </c>
      <c r="F362" t="s">
        <v>575</v>
      </c>
      <c r="G362" s="55">
        <v>44886</v>
      </c>
      <c r="H362">
        <v>42</v>
      </c>
      <c r="I362" t="s">
        <v>159</v>
      </c>
      <c r="J362" s="55"/>
    </row>
    <row r="363" spans="1:10" x14ac:dyDescent="0.25">
      <c r="A363" t="s">
        <v>585</v>
      </c>
      <c r="B363" t="s">
        <v>61</v>
      </c>
      <c r="C363">
        <v>44001162</v>
      </c>
      <c r="D363" t="s">
        <v>125</v>
      </c>
      <c r="E363" t="s">
        <v>501</v>
      </c>
      <c r="F363" t="s">
        <v>575</v>
      </c>
      <c r="G363" s="55">
        <v>44907</v>
      </c>
      <c r="H363">
        <v>42</v>
      </c>
      <c r="I363" t="s">
        <v>159</v>
      </c>
      <c r="J363" s="55"/>
    </row>
    <row r="364" spans="1:10" x14ac:dyDescent="0.25">
      <c r="A364" t="s">
        <v>585</v>
      </c>
      <c r="B364" t="s">
        <v>78</v>
      </c>
      <c r="C364">
        <v>10706451</v>
      </c>
      <c r="D364" t="s">
        <v>3</v>
      </c>
      <c r="E364" t="s">
        <v>501</v>
      </c>
      <c r="F364" t="s">
        <v>575</v>
      </c>
      <c r="G364" s="55">
        <v>44943</v>
      </c>
      <c r="H364">
        <v>41</v>
      </c>
      <c r="I364" t="s">
        <v>584</v>
      </c>
      <c r="J364" s="55"/>
    </row>
    <row r="365" spans="1:10" x14ac:dyDescent="0.25">
      <c r="A365" t="s">
        <v>585</v>
      </c>
      <c r="B365" t="s">
        <v>65</v>
      </c>
      <c r="C365">
        <v>47659267</v>
      </c>
      <c r="D365" t="s">
        <v>2</v>
      </c>
      <c r="E365" t="s">
        <v>501</v>
      </c>
      <c r="F365" t="s">
        <v>575</v>
      </c>
      <c r="G365" s="55">
        <v>45019</v>
      </c>
      <c r="H365">
        <v>38</v>
      </c>
      <c r="I365" t="s">
        <v>159</v>
      </c>
      <c r="J365" s="55"/>
    </row>
    <row r="366" spans="1:10" x14ac:dyDescent="0.25">
      <c r="A366" t="s">
        <v>585</v>
      </c>
      <c r="B366" t="s">
        <v>37</v>
      </c>
      <c r="C366">
        <v>70988976</v>
      </c>
      <c r="D366" t="s">
        <v>6</v>
      </c>
      <c r="E366" t="s">
        <v>501</v>
      </c>
      <c r="F366" t="s">
        <v>575</v>
      </c>
      <c r="G366" s="55">
        <v>45112</v>
      </c>
      <c r="H366">
        <v>35</v>
      </c>
      <c r="I366" t="s">
        <v>584</v>
      </c>
      <c r="J366" s="55"/>
    </row>
    <row r="367" spans="1:10" x14ac:dyDescent="0.25">
      <c r="A367" t="s">
        <v>585</v>
      </c>
      <c r="B367" t="s">
        <v>18</v>
      </c>
      <c r="C367">
        <v>76214436</v>
      </c>
      <c r="D367" t="s">
        <v>125</v>
      </c>
      <c r="E367" t="s">
        <v>501</v>
      </c>
      <c r="F367" t="s">
        <v>575</v>
      </c>
      <c r="G367" s="55">
        <v>45132</v>
      </c>
      <c r="H367">
        <v>34</v>
      </c>
      <c r="I367" t="s">
        <v>159</v>
      </c>
      <c r="J367" s="55"/>
    </row>
    <row r="368" spans="1:10" x14ac:dyDescent="0.25">
      <c r="A368" t="s">
        <v>585</v>
      </c>
      <c r="B368" t="s">
        <v>73</v>
      </c>
      <c r="C368">
        <v>40318129</v>
      </c>
      <c r="D368" t="s">
        <v>7</v>
      </c>
      <c r="E368" t="s">
        <v>501</v>
      </c>
      <c r="F368" t="s">
        <v>575</v>
      </c>
      <c r="G368" s="55">
        <v>45141</v>
      </c>
      <c r="H368">
        <v>34</v>
      </c>
      <c r="I368" t="s">
        <v>586</v>
      </c>
      <c r="J368" s="55"/>
    </row>
    <row r="369" spans="1:10" x14ac:dyDescent="0.25">
      <c r="A369" t="s">
        <v>585</v>
      </c>
      <c r="B369" t="s">
        <v>79</v>
      </c>
      <c r="C369">
        <v>71262377</v>
      </c>
      <c r="D369" t="s">
        <v>3</v>
      </c>
      <c r="E369" t="s">
        <v>501</v>
      </c>
      <c r="F369" t="s">
        <v>575</v>
      </c>
      <c r="G369" s="55">
        <v>45145</v>
      </c>
      <c r="H369">
        <v>34</v>
      </c>
      <c r="I369" t="s">
        <v>583</v>
      </c>
      <c r="J369" s="55"/>
    </row>
    <row r="370" spans="1:10" x14ac:dyDescent="0.25">
      <c r="A370" t="s">
        <v>585</v>
      </c>
      <c r="B370" t="s">
        <v>34</v>
      </c>
      <c r="C370">
        <v>76824571</v>
      </c>
      <c r="D370" t="s">
        <v>6</v>
      </c>
      <c r="E370" t="s">
        <v>501</v>
      </c>
      <c r="F370" t="s">
        <v>575</v>
      </c>
      <c r="G370" s="55">
        <v>45173</v>
      </c>
      <c r="H370">
        <v>33</v>
      </c>
      <c r="I370" t="s">
        <v>583</v>
      </c>
      <c r="J370" s="55"/>
    </row>
    <row r="371" spans="1:10" x14ac:dyDescent="0.25">
      <c r="A371" t="s">
        <v>585</v>
      </c>
      <c r="B371" t="s">
        <v>80</v>
      </c>
      <c r="C371">
        <v>45084594</v>
      </c>
      <c r="D371" t="s">
        <v>6</v>
      </c>
      <c r="E371" t="s">
        <v>501</v>
      </c>
      <c r="F371" t="s">
        <v>575</v>
      </c>
      <c r="G371" s="55">
        <v>45281</v>
      </c>
      <c r="H371">
        <v>29</v>
      </c>
      <c r="I371" t="s">
        <v>583</v>
      </c>
      <c r="J371" s="55"/>
    </row>
    <row r="372" spans="1:10" x14ac:dyDescent="0.25">
      <c r="A372" t="s">
        <v>585</v>
      </c>
      <c r="B372" t="s">
        <v>22</v>
      </c>
      <c r="C372">
        <v>70551168</v>
      </c>
      <c r="D372" t="s">
        <v>2</v>
      </c>
      <c r="E372" t="s">
        <v>501</v>
      </c>
      <c r="F372" t="s">
        <v>575</v>
      </c>
      <c r="G372" s="55">
        <v>45295</v>
      </c>
      <c r="H372">
        <v>29</v>
      </c>
      <c r="I372" t="s">
        <v>159</v>
      </c>
      <c r="J372" s="55"/>
    </row>
    <row r="373" spans="1:10" x14ac:dyDescent="0.25">
      <c r="A373" t="s">
        <v>585</v>
      </c>
      <c r="B373" t="s">
        <v>41</v>
      </c>
      <c r="C373">
        <v>46461021</v>
      </c>
      <c r="D373" t="s">
        <v>7</v>
      </c>
      <c r="E373" t="s">
        <v>501</v>
      </c>
      <c r="F373" t="s">
        <v>575</v>
      </c>
      <c r="G373" s="55">
        <v>45302</v>
      </c>
      <c r="H373">
        <v>29</v>
      </c>
      <c r="I373" t="s">
        <v>587</v>
      </c>
      <c r="J373" s="55"/>
    </row>
    <row r="374" spans="1:10" x14ac:dyDescent="0.25">
      <c r="A374" t="s">
        <v>585</v>
      </c>
      <c r="B374" t="s">
        <v>24</v>
      </c>
      <c r="C374">
        <v>43614775</v>
      </c>
      <c r="D374" t="s">
        <v>2</v>
      </c>
      <c r="E374" t="s">
        <v>501</v>
      </c>
      <c r="F374" t="s">
        <v>575</v>
      </c>
      <c r="G374" s="55">
        <v>45334</v>
      </c>
      <c r="H374">
        <v>28</v>
      </c>
      <c r="I374" t="s">
        <v>159</v>
      </c>
      <c r="J374" s="55"/>
    </row>
    <row r="375" spans="1:10" x14ac:dyDescent="0.25">
      <c r="A375" t="s">
        <v>585</v>
      </c>
      <c r="B375" t="s">
        <v>59</v>
      </c>
      <c r="C375">
        <v>60870839</v>
      </c>
      <c r="D375" t="s">
        <v>125</v>
      </c>
      <c r="E375" t="s">
        <v>501</v>
      </c>
      <c r="F375" t="s">
        <v>575</v>
      </c>
      <c r="G375" s="55">
        <v>45344</v>
      </c>
      <c r="H375">
        <v>27</v>
      </c>
      <c r="I375" t="s">
        <v>159</v>
      </c>
      <c r="J375" s="55"/>
    </row>
    <row r="376" spans="1:10" x14ac:dyDescent="0.25">
      <c r="A376" t="s">
        <v>585</v>
      </c>
      <c r="B376" t="s">
        <v>68</v>
      </c>
      <c r="C376">
        <v>73257316</v>
      </c>
      <c r="D376" t="s">
        <v>3</v>
      </c>
      <c r="E376" t="s">
        <v>501</v>
      </c>
      <c r="F376" t="s">
        <v>575</v>
      </c>
      <c r="G376" s="55">
        <v>45363</v>
      </c>
      <c r="H376">
        <v>27</v>
      </c>
      <c r="I376" t="s">
        <v>583</v>
      </c>
      <c r="J376" s="55"/>
    </row>
    <row r="377" spans="1:10" x14ac:dyDescent="0.25">
      <c r="A377" t="s">
        <v>585</v>
      </c>
      <c r="B377" t="s">
        <v>11</v>
      </c>
      <c r="C377">
        <v>45139159</v>
      </c>
      <c r="D377" t="s">
        <v>6</v>
      </c>
      <c r="E377" t="s">
        <v>501</v>
      </c>
      <c r="F377" t="s">
        <v>575</v>
      </c>
      <c r="G377" s="55">
        <v>45369</v>
      </c>
      <c r="H377">
        <v>26</v>
      </c>
      <c r="I377" t="s">
        <v>583</v>
      </c>
      <c r="J377" s="55"/>
    </row>
    <row r="378" spans="1:10" x14ac:dyDescent="0.25">
      <c r="A378" t="s">
        <v>585</v>
      </c>
      <c r="B378" t="s">
        <v>42</v>
      </c>
      <c r="C378">
        <v>73725129</v>
      </c>
      <c r="D378" t="s">
        <v>2</v>
      </c>
      <c r="E378" t="s">
        <v>500</v>
      </c>
      <c r="F378" t="s">
        <v>575</v>
      </c>
      <c r="G378" s="55">
        <v>45398</v>
      </c>
      <c r="H378">
        <v>26</v>
      </c>
      <c r="I378" t="s">
        <v>159</v>
      </c>
      <c r="J378" s="55"/>
    </row>
    <row r="379" spans="1:10" x14ac:dyDescent="0.25">
      <c r="A379" t="s">
        <v>585</v>
      </c>
      <c r="B379" t="s">
        <v>81</v>
      </c>
      <c r="C379">
        <v>72716299</v>
      </c>
      <c r="D379" t="s">
        <v>6</v>
      </c>
      <c r="E379" t="s">
        <v>501</v>
      </c>
      <c r="F379" t="s">
        <v>575</v>
      </c>
      <c r="G379" s="55">
        <v>45511</v>
      </c>
      <c r="H379">
        <v>22</v>
      </c>
      <c r="I379" t="s">
        <v>583</v>
      </c>
      <c r="J379" s="55"/>
    </row>
    <row r="380" spans="1:10" x14ac:dyDescent="0.25">
      <c r="A380" t="s">
        <v>585</v>
      </c>
      <c r="B380" t="s">
        <v>32</v>
      </c>
      <c r="C380">
        <v>48584670</v>
      </c>
      <c r="D380" t="s">
        <v>3</v>
      </c>
      <c r="E380" t="s">
        <v>501</v>
      </c>
      <c r="F380" t="s">
        <v>575</v>
      </c>
      <c r="G380" s="55">
        <v>45526</v>
      </c>
      <c r="H380">
        <v>21</v>
      </c>
      <c r="I380" t="s">
        <v>583</v>
      </c>
      <c r="J380" s="55"/>
    </row>
    <row r="381" spans="1:10" x14ac:dyDescent="0.25">
      <c r="A381" t="s">
        <v>585</v>
      </c>
      <c r="B381" t="s">
        <v>51</v>
      </c>
      <c r="C381">
        <v>76089925</v>
      </c>
      <c r="D381" t="s">
        <v>7</v>
      </c>
      <c r="E381" t="s">
        <v>501</v>
      </c>
      <c r="F381" t="s">
        <v>575</v>
      </c>
      <c r="G381" s="55">
        <v>45678</v>
      </c>
      <c r="H381">
        <v>16</v>
      </c>
      <c r="I381" t="s">
        <v>586</v>
      </c>
      <c r="J381" s="55"/>
    </row>
    <row r="382" spans="1:10" x14ac:dyDescent="0.25">
      <c r="A382" t="s">
        <v>585</v>
      </c>
      <c r="B382" t="s">
        <v>72</v>
      </c>
      <c r="C382">
        <v>47690367</v>
      </c>
      <c r="D382" t="s">
        <v>125</v>
      </c>
      <c r="E382" t="s">
        <v>501</v>
      </c>
      <c r="F382" t="s">
        <v>575</v>
      </c>
      <c r="G382" s="55">
        <v>45691</v>
      </c>
      <c r="H382">
        <v>16</v>
      </c>
      <c r="I382" t="s">
        <v>159</v>
      </c>
      <c r="J382" s="55"/>
    </row>
    <row r="383" spans="1:10" x14ac:dyDescent="0.25">
      <c r="A383" t="s">
        <v>585</v>
      </c>
      <c r="B383" t="s">
        <v>50</v>
      </c>
      <c r="C383">
        <v>72733809</v>
      </c>
      <c r="D383" t="s">
        <v>6</v>
      </c>
      <c r="E383" t="s">
        <v>501</v>
      </c>
      <c r="F383" t="s">
        <v>575</v>
      </c>
      <c r="G383" s="55">
        <v>45789</v>
      </c>
      <c r="H383">
        <v>13</v>
      </c>
      <c r="I383" t="s">
        <v>583</v>
      </c>
      <c r="J383" s="55"/>
    </row>
    <row r="384" spans="1:10" x14ac:dyDescent="0.25">
      <c r="A384" t="s">
        <v>585</v>
      </c>
      <c r="B384" t="s">
        <v>38</v>
      </c>
      <c r="C384">
        <v>47411966</v>
      </c>
      <c r="D384" t="s">
        <v>3</v>
      </c>
      <c r="E384" t="s">
        <v>501</v>
      </c>
      <c r="F384" t="s">
        <v>575</v>
      </c>
      <c r="G384" s="55">
        <v>45800</v>
      </c>
      <c r="H384">
        <v>12</v>
      </c>
      <c r="I384" t="s">
        <v>584</v>
      </c>
      <c r="J384" s="55"/>
    </row>
    <row r="385" spans="1:10" x14ac:dyDescent="0.25">
      <c r="A385" t="s">
        <v>585</v>
      </c>
      <c r="B385" t="s">
        <v>55</v>
      </c>
      <c r="C385">
        <v>45119892</v>
      </c>
      <c r="D385" t="s">
        <v>588</v>
      </c>
      <c r="E385" t="s">
        <v>501</v>
      </c>
      <c r="F385" t="s">
        <v>575</v>
      </c>
      <c r="G385" s="55">
        <v>45813</v>
      </c>
      <c r="H385">
        <v>12</v>
      </c>
      <c r="I385" t="s">
        <v>588</v>
      </c>
      <c r="J385" s="55"/>
    </row>
    <row r="386" spans="1:10" x14ac:dyDescent="0.25">
      <c r="A386" t="s">
        <v>585</v>
      </c>
      <c r="B386" t="s">
        <v>60</v>
      </c>
      <c r="C386">
        <v>72839865</v>
      </c>
      <c r="D386" t="s">
        <v>125</v>
      </c>
      <c r="E386" t="s">
        <v>501</v>
      </c>
      <c r="F386" t="s">
        <v>575</v>
      </c>
      <c r="G386" s="55">
        <v>45854</v>
      </c>
      <c r="H386">
        <v>11</v>
      </c>
      <c r="I386" t="s">
        <v>159</v>
      </c>
      <c r="J386" s="55"/>
    </row>
    <row r="387" spans="1:10" x14ac:dyDescent="0.25">
      <c r="A387" t="s">
        <v>585</v>
      </c>
      <c r="B387" t="s">
        <v>96</v>
      </c>
      <c r="C387">
        <v>46793103</v>
      </c>
      <c r="D387" t="s">
        <v>3</v>
      </c>
      <c r="E387" t="s">
        <v>501</v>
      </c>
      <c r="F387" t="s">
        <v>575</v>
      </c>
      <c r="G387" s="55">
        <v>45882</v>
      </c>
      <c r="H387">
        <v>10</v>
      </c>
      <c r="I387" t="s">
        <v>583</v>
      </c>
      <c r="J387" s="55"/>
    </row>
    <row r="388" spans="1:10" x14ac:dyDescent="0.25">
      <c r="A388" t="s">
        <v>585</v>
      </c>
      <c r="B388" t="s">
        <v>97</v>
      </c>
      <c r="C388">
        <v>74602206</v>
      </c>
      <c r="D388" t="s">
        <v>6</v>
      </c>
      <c r="E388" t="s">
        <v>501</v>
      </c>
      <c r="F388" t="s">
        <v>575</v>
      </c>
      <c r="G388" s="55">
        <v>45884</v>
      </c>
      <c r="H388">
        <v>10</v>
      </c>
      <c r="I388" t="s">
        <v>584</v>
      </c>
      <c r="J388" s="55"/>
    </row>
    <row r="389" spans="1:10" x14ac:dyDescent="0.25">
      <c r="A389" t="s">
        <v>585</v>
      </c>
      <c r="B389" t="s">
        <v>122</v>
      </c>
      <c r="C389">
        <v>76586998</v>
      </c>
      <c r="D389" t="s">
        <v>125</v>
      </c>
      <c r="E389" t="s">
        <v>501</v>
      </c>
      <c r="F389" t="s">
        <v>575</v>
      </c>
      <c r="G389" s="55">
        <v>45971</v>
      </c>
      <c r="H389">
        <v>7</v>
      </c>
      <c r="I389" t="s">
        <v>159</v>
      </c>
      <c r="J389" s="55"/>
    </row>
    <row r="390" spans="1:10" x14ac:dyDescent="0.25">
      <c r="A390" t="s">
        <v>585</v>
      </c>
      <c r="B390" t="s">
        <v>174</v>
      </c>
      <c r="C390">
        <v>46994661</v>
      </c>
      <c r="D390" t="s">
        <v>3</v>
      </c>
      <c r="E390" t="s">
        <v>501</v>
      </c>
      <c r="F390" t="s">
        <v>575</v>
      </c>
      <c r="G390" s="55">
        <v>45992</v>
      </c>
      <c r="H390">
        <v>6</v>
      </c>
      <c r="I390" t="s">
        <v>583</v>
      </c>
      <c r="J390" s="55"/>
    </row>
    <row r="391" spans="1:10" x14ac:dyDescent="0.25">
      <c r="A391" t="s">
        <v>585</v>
      </c>
      <c r="B391" t="s">
        <v>109</v>
      </c>
      <c r="C391">
        <v>74626735</v>
      </c>
      <c r="D391" t="s">
        <v>125</v>
      </c>
      <c r="E391" t="s">
        <v>501</v>
      </c>
      <c r="F391" t="s">
        <v>575</v>
      </c>
      <c r="G391" s="55">
        <v>46024</v>
      </c>
      <c r="H391">
        <v>5</v>
      </c>
      <c r="I391" t="s">
        <v>159</v>
      </c>
      <c r="J391" s="55"/>
    </row>
    <row r="392" spans="1:10" x14ac:dyDescent="0.25">
      <c r="A392" t="s">
        <v>585</v>
      </c>
      <c r="B392" t="s">
        <v>206</v>
      </c>
      <c r="C392">
        <v>47497410</v>
      </c>
      <c r="D392" t="s">
        <v>125</v>
      </c>
      <c r="E392" t="s">
        <v>501</v>
      </c>
      <c r="F392" t="s">
        <v>575</v>
      </c>
      <c r="G392" s="55">
        <v>46024</v>
      </c>
      <c r="H392">
        <v>5</v>
      </c>
      <c r="I392" t="s">
        <v>159</v>
      </c>
      <c r="J392" s="55"/>
    </row>
    <row r="393" spans="1:10" x14ac:dyDescent="0.25">
      <c r="A393" t="s">
        <v>585</v>
      </c>
      <c r="B393" t="s">
        <v>105</v>
      </c>
      <c r="C393">
        <v>48344037</v>
      </c>
      <c r="D393" t="s">
        <v>6</v>
      </c>
      <c r="E393" t="s">
        <v>501</v>
      </c>
      <c r="F393" t="s">
        <v>575</v>
      </c>
      <c r="G393" s="55">
        <v>46027</v>
      </c>
      <c r="H393">
        <v>5</v>
      </c>
      <c r="I393" t="s">
        <v>583</v>
      </c>
      <c r="J393" s="55"/>
    </row>
    <row r="394" spans="1:10" x14ac:dyDescent="0.25">
      <c r="A394" t="s">
        <v>585</v>
      </c>
      <c r="B394" t="s">
        <v>207</v>
      </c>
      <c r="C394">
        <v>75069320</v>
      </c>
      <c r="D394" t="s">
        <v>2</v>
      </c>
      <c r="E394" t="s">
        <v>577</v>
      </c>
      <c r="F394" t="s">
        <v>575</v>
      </c>
      <c r="G394" s="55">
        <v>46029</v>
      </c>
      <c r="H394">
        <v>2</v>
      </c>
      <c r="I394" t="s">
        <v>159</v>
      </c>
      <c r="J394" s="55">
        <v>46097</v>
      </c>
    </row>
    <row r="395" spans="1:10" x14ac:dyDescent="0.25">
      <c r="A395" t="s">
        <v>585</v>
      </c>
      <c r="B395" t="s">
        <v>377</v>
      </c>
      <c r="C395">
        <v>44883074</v>
      </c>
      <c r="D395" t="s">
        <v>2</v>
      </c>
      <c r="E395" t="s">
        <v>501</v>
      </c>
      <c r="F395" t="s">
        <v>575</v>
      </c>
      <c r="G395" s="55">
        <v>46038</v>
      </c>
      <c r="H395">
        <v>5</v>
      </c>
      <c r="I395" t="s">
        <v>159</v>
      </c>
      <c r="J395" s="55"/>
    </row>
    <row r="396" spans="1:10" x14ac:dyDescent="0.25">
      <c r="A396" t="s">
        <v>585</v>
      </c>
      <c r="B396" t="s">
        <v>493</v>
      </c>
      <c r="C396">
        <v>75026229</v>
      </c>
      <c r="D396" t="s">
        <v>3</v>
      </c>
      <c r="E396" t="s">
        <v>501</v>
      </c>
      <c r="F396" t="s">
        <v>575</v>
      </c>
      <c r="G396" s="55">
        <v>46052</v>
      </c>
      <c r="H396">
        <v>4</v>
      </c>
      <c r="I396" t="s">
        <v>583</v>
      </c>
      <c r="J396" s="55"/>
    </row>
    <row r="397" spans="1:10" x14ac:dyDescent="0.25">
      <c r="A397" t="s">
        <v>585</v>
      </c>
      <c r="B397" t="s">
        <v>495</v>
      </c>
      <c r="C397">
        <v>62792399</v>
      </c>
      <c r="D397" t="s">
        <v>7</v>
      </c>
      <c r="E397" t="s">
        <v>501</v>
      </c>
      <c r="F397" t="s">
        <v>575</v>
      </c>
      <c r="G397" s="55">
        <v>46052</v>
      </c>
      <c r="H397">
        <v>4</v>
      </c>
      <c r="I397" t="s">
        <v>587</v>
      </c>
      <c r="J397" s="55"/>
    </row>
    <row r="398" spans="1:10" x14ac:dyDescent="0.25">
      <c r="A398" t="s">
        <v>585</v>
      </c>
      <c r="B398" t="s">
        <v>85</v>
      </c>
      <c r="C398">
        <v>70477743</v>
      </c>
      <c r="D398" t="s">
        <v>125</v>
      </c>
      <c r="E398" t="s">
        <v>501</v>
      </c>
      <c r="F398" t="s">
        <v>575</v>
      </c>
      <c r="G398" s="55">
        <v>46055</v>
      </c>
      <c r="H398">
        <v>4</v>
      </c>
      <c r="I398" t="s">
        <v>159</v>
      </c>
      <c r="J398" s="55"/>
    </row>
    <row r="399" spans="1:10" x14ac:dyDescent="0.25">
      <c r="A399" t="s">
        <v>585</v>
      </c>
      <c r="B399" t="s">
        <v>549</v>
      </c>
      <c r="C399">
        <v>73233992</v>
      </c>
      <c r="D399" t="s">
        <v>7</v>
      </c>
      <c r="E399" t="s">
        <v>501</v>
      </c>
      <c r="F399" t="s">
        <v>575</v>
      </c>
      <c r="G399" s="55">
        <v>46065</v>
      </c>
      <c r="H399">
        <v>4</v>
      </c>
      <c r="I399" t="s">
        <v>587</v>
      </c>
      <c r="J399" s="55"/>
    </row>
    <row r="400" spans="1:10" x14ac:dyDescent="0.25">
      <c r="A400" t="s">
        <v>585</v>
      </c>
      <c r="B400" t="s">
        <v>557</v>
      </c>
      <c r="C400">
        <v>10330959</v>
      </c>
      <c r="D400" t="s">
        <v>7</v>
      </c>
      <c r="E400" t="s">
        <v>501</v>
      </c>
      <c r="F400" t="s">
        <v>575</v>
      </c>
      <c r="G400" s="55">
        <v>46073</v>
      </c>
      <c r="H400">
        <v>3</v>
      </c>
      <c r="I400" t="s">
        <v>587</v>
      </c>
      <c r="J400" s="55"/>
    </row>
    <row r="401" spans="1:10" x14ac:dyDescent="0.25">
      <c r="A401" t="s">
        <v>585</v>
      </c>
      <c r="B401" t="s">
        <v>563</v>
      </c>
      <c r="C401">
        <v>78564842</v>
      </c>
      <c r="D401" t="s">
        <v>7</v>
      </c>
      <c r="E401" t="s">
        <v>577</v>
      </c>
      <c r="F401" t="s">
        <v>575</v>
      </c>
      <c r="G401" s="55">
        <v>46078</v>
      </c>
      <c r="H401">
        <v>0</v>
      </c>
      <c r="I401" t="s">
        <v>587</v>
      </c>
      <c r="J401" s="55">
        <v>46086</v>
      </c>
    </row>
    <row r="402" spans="1:10" x14ac:dyDescent="0.25">
      <c r="A402" t="s">
        <v>585</v>
      </c>
      <c r="B402" t="s">
        <v>564</v>
      </c>
      <c r="C402">
        <v>43184866</v>
      </c>
      <c r="D402" t="s">
        <v>2</v>
      </c>
      <c r="E402" t="s">
        <v>501</v>
      </c>
      <c r="F402" t="s">
        <v>575</v>
      </c>
      <c r="G402" s="55">
        <v>46083</v>
      </c>
      <c r="H402">
        <v>3</v>
      </c>
      <c r="I402" t="s">
        <v>159</v>
      </c>
      <c r="J402" s="55"/>
    </row>
    <row r="403" spans="1:10" x14ac:dyDescent="0.25">
      <c r="A403" t="s">
        <v>585</v>
      </c>
      <c r="B403" t="s">
        <v>565</v>
      </c>
      <c r="C403">
        <v>10762187</v>
      </c>
      <c r="D403" t="s">
        <v>7</v>
      </c>
      <c r="E403" t="s">
        <v>501</v>
      </c>
      <c r="F403" t="s">
        <v>575</v>
      </c>
      <c r="G403" s="55">
        <v>46083</v>
      </c>
      <c r="H403">
        <v>3</v>
      </c>
      <c r="I403" t="s">
        <v>587</v>
      </c>
      <c r="J403" s="55"/>
    </row>
    <row r="404" spans="1:10" x14ac:dyDescent="0.25">
      <c r="A404" t="s">
        <v>585</v>
      </c>
      <c r="B404" t="s">
        <v>566</v>
      </c>
      <c r="C404">
        <v>75693756</v>
      </c>
      <c r="D404" t="s">
        <v>7</v>
      </c>
      <c r="E404" t="s">
        <v>501</v>
      </c>
      <c r="F404" t="s">
        <v>575</v>
      </c>
      <c r="G404" s="55">
        <v>46084</v>
      </c>
      <c r="H404">
        <v>3</v>
      </c>
      <c r="I404" t="s">
        <v>587</v>
      </c>
      <c r="J404" s="55"/>
    </row>
    <row r="405" spans="1:10" x14ac:dyDescent="0.25">
      <c r="A405" t="s">
        <v>598</v>
      </c>
      <c r="B405" t="s">
        <v>219</v>
      </c>
      <c r="C405">
        <v>74122258</v>
      </c>
      <c r="D405" t="s">
        <v>6</v>
      </c>
      <c r="E405" t="s">
        <v>133</v>
      </c>
      <c r="F405" t="s">
        <v>575</v>
      </c>
      <c r="G405" s="55">
        <v>44022</v>
      </c>
      <c r="H405">
        <v>71</v>
      </c>
      <c r="I405" t="s">
        <v>209</v>
      </c>
      <c r="J405" s="55"/>
    </row>
    <row r="406" spans="1:10" x14ac:dyDescent="0.25">
      <c r="A406" t="s">
        <v>598</v>
      </c>
      <c r="B406" t="s">
        <v>248</v>
      </c>
      <c r="C406">
        <v>44265602</v>
      </c>
      <c r="D406" t="s">
        <v>2</v>
      </c>
      <c r="E406" t="s">
        <v>133</v>
      </c>
      <c r="F406" t="s">
        <v>575</v>
      </c>
      <c r="G406" s="55">
        <v>44673</v>
      </c>
      <c r="H406">
        <v>49</v>
      </c>
      <c r="I406" t="s">
        <v>159</v>
      </c>
      <c r="J406" s="55"/>
    </row>
    <row r="407" spans="1:10" x14ac:dyDescent="0.25">
      <c r="A407" t="s">
        <v>598</v>
      </c>
      <c r="B407" t="s">
        <v>226</v>
      </c>
      <c r="C407">
        <v>73049631</v>
      </c>
      <c r="D407" t="s">
        <v>3</v>
      </c>
      <c r="E407" t="s">
        <v>133</v>
      </c>
      <c r="F407" t="s">
        <v>575</v>
      </c>
      <c r="G407" s="55">
        <v>43506</v>
      </c>
      <c r="H407">
        <v>88</v>
      </c>
      <c r="I407" t="s">
        <v>209</v>
      </c>
      <c r="J407" s="55"/>
    </row>
    <row r="408" spans="1:10" x14ac:dyDescent="0.25">
      <c r="A408" t="s">
        <v>598</v>
      </c>
      <c r="B408" t="s">
        <v>222</v>
      </c>
      <c r="C408">
        <v>75000131</v>
      </c>
      <c r="D408" t="s">
        <v>125</v>
      </c>
      <c r="E408" t="s">
        <v>133</v>
      </c>
      <c r="F408" t="s">
        <v>575</v>
      </c>
      <c r="G408" s="55">
        <v>44874</v>
      </c>
      <c r="H408">
        <v>43</v>
      </c>
      <c r="I408" t="s">
        <v>159</v>
      </c>
      <c r="J408" s="55"/>
    </row>
    <row r="409" spans="1:10" x14ac:dyDescent="0.25">
      <c r="A409" t="s">
        <v>598</v>
      </c>
      <c r="B409" t="s">
        <v>214</v>
      </c>
      <c r="C409">
        <v>46872195</v>
      </c>
      <c r="D409" t="s">
        <v>7</v>
      </c>
      <c r="E409" t="s">
        <v>133</v>
      </c>
      <c r="F409" t="s">
        <v>575</v>
      </c>
      <c r="G409" s="55">
        <v>43805</v>
      </c>
      <c r="H409">
        <v>78</v>
      </c>
      <c r="I409" t="s">
        <v>175</v>
      </c>
      <c r="J409" s="55"/>
    </row>
    <row r="410" spans="1:10" x14ac:dyDescent="0.25">
      <c r="A410" t="s">
        <v>598</v>
      </c>
      <c r="B410" t="s">
        <v>493</v>
      </c>
      <c r="C410">
        <v>75026229</v>
      </c>
      <c r="D410" t="s">
        <v>3</v>
      </c>
      <c r="E410" t="s">
        <v>501</v>
      </c>
      <c r="F410" t="s">
        <v>575</v>
      </c>
      <c r="G410" s="55">
        <v>46052</v>
      </c>
      <c r="H410">
        <v>4</v>
      </c>
      <c r="I410" t="s">
        <v>209</v>
      </c>
      <c r="J410" s="55"/>
    </row>
    <row r="411" spans="1:10" x14ac:dyDescent="0.25">
      <c r="A411" t="s">
        <v>598</v>
      </c>
      <c r="B411" t="s">
        <v>174</v>
      </c>
      <c r="C411">
        <v>46994661</v>
      </c>
      <c r="D411" t="s">
        <v>3</v>
      </c>
      <c r="E411" t="s">
        <v>501</v>
      </c>
      <c r="F411" t="s">
        <v>575</v>
      </c>
      <c r="G411" s="55">
        <v>45992</v>
      </c>
      <c r="H411">
        <v>6</v>
      </c>
      <c r="I411" t="s">
        <v>209</v>
      </c>
      <c r="J411" s="55"/>
    </row>
    <row r="412" spans="1:10" x14ac:dyDescent="0.25">
      <c r="A412" t="s">
        <v>598</v>
      </c>
      <c r="B412" t="s">
        <v>79</v>
      </c>
      <c r="C412">
        <v>71262377</v>
      </c>
      <c r="D412" t="s">
        <v>3</v>
      </c>
      <c r="E412" t="s">
        <v>501</v>
      </c>
      <c r="F412" t="s">
        <v>575</v>
      </c>
      <c r="G412" s="55">
        <v>45145</v>
      </c>
      <c r="H412">
        <v>34</v>
      </c>
      <c r="I412" t="s">
        <v>209</v>
      </c>
      <c r="J412" s="55"/>
    </row>
    <row r="413" spans="1:10" x14ac:dyDescent="0.25">
      <c r="A413" t="s">
        <v>598</v>
      </c>
      <c r="B413" t="s">
        <v>29</v>
      </c>
      <c r="C413">
        <v>72758956</v>
      </c>
      <c r="D413" t="s">
        <v>3</v>
      </c>
      <c r="E413" t="s">
        <v>501</v>
      </c>
      <c r="F413" t="s">
        <v>575</v>
      </c>
      <c r="G413" s="55">
        <v>44685</v>
      </c>
      <c r="H413">
        <v>49</v>
      </c>
      <c r="I413" t="s">
        <v>209</v>
      </c>
      <c r="J413" s="55"/>
    </row>
    <row r="414" spans="1:10" x14ac:dyDescent="0.25">
      <c r="A414" t="s">
        <v>598</v>
      </c>
      <c r="B414" t="s">
        <v>68</v>
      </c>
      <c r="C414">
        <v>73257316</v>
      </c>
      <c r="D414" t="s">
        <v>3</v>
      </c>
      <c r="E414" t="s">
        <v>501</v>
      </c>
      <c r="F414" t="s">
        <v>575</v>
      </c>
      <c r="G414" s="55">
        <v>45363</v>
      </c>
      <c r="H414">
        <v>27</v>
      </c>
      <c r="I414" t="s">
        <v>209</v>
      </c>
      <c r="J414" s="55"/>
    </row>
    <row r="415" spans="1:10" x14ac:dyDescent="0.25">
      <c r="A415" t="s">
        <v>598</v>
      </c>
      <c r="B415" t="s">
        <v>32</v>
      </c>
      <c r="C415">
        <v>48584670</v>
      </c>
      <c r="D415" t="s">
        <v>3</v>
      </c>
      <c r="E415" t="s">
        <v>501</v>
      </c>
      <c r="F415" t="s">
        <v>575</v>
      </c>
      <c r="G415" s="55">
        <v>45526</v>
      </c>
      <c r="H415">
        <v>21</v>
      </c>
      <c r="I415" t="s">
        <v>209</v>
      </c>
      <c r="J415" s="55"/>
    </row>
    <row r="416" spans="1:10" x14ac:dyDescent="0.25">
      <c r="A416" t="s">
        <v>598</v>
      </c>
      <c r="B416" t="s">
        <v>96</v>
      </c>
      <c r="C416">
        <v>46793103</v>
      </c>
      <c r="D416" t="s">
        <v>3</v>
      </c>
      <c r="E416" t="s">
        <v>501</v>
      </c>
      <c r="F416" t="s">
        <v>575</v>
      </c>
      <c r="G416" s="55">
        <v>45882</v>
      </c>
      <c r="H416">
        <v>10</v>
      </c>
      <c r="I416" t="s">
        <v>209</v>
      </c>
      <c r="J416" s="55"/>
    </row>
    <row r="417" spans="1:10" x14ac:dyDescent="0.25">
      <c r="A417" t="s">
        <v>598</v>
      </c>
      <c r="B417" t="s">
        <v>564</v>
      </c>
      <c r="C417">
        <v>43184866</v>
      </c>
      <c r="D417" t="s">
        <v>3</v>
      </c>
      <c r="E417" t="s">
        <v>501</v>
      </c>
      <c r="F417" t="s">
        <v>575</v>
      </c>
      <c r="G417" s="55">
        <v>46083</v>
      </c>
      <c r="H417">
        <v>3</v>
      </c>
      <c r="I417" t="s">
        <v>209</v>
      </c>
      <c r="J417" s="55"/>
    </row>
    <row r="418" spans="1:10" x14ac:dyDescent="0.25">
      <c r="A418" t="s">
        <v>598</v>
      </c>
      <c r="B418" t="s">
        <v>58</v>
      </c>
      <c r="C418">
        <v>72519113</v>
      </c>
      <c r="D418" t="s">
        <v>3</v>
      </c>
      <c r="E418" t="s">
        <v>501</v>
      </c>
      <c r="F418" t="s">
        <v>575</v>
      </c>
      <c r="G418" s="55">
        <v>43119</v>
      </c>
      <c r="H418">
        <v>100</v>
      </c>
      <c r="I418" t="s">
        <v>209</v>
      </c>
      <c r="J418" s="55"/>
    </row>
    <row r="419" spans="1:10" x14ac:dyDescent="0.25">
      <c r="A419" t="s">
        <v>598</v>
      </c>
      <c r="B419" t="s">
        <v>85</v>
      </c>
      <c r="C419">
        <v>70477743</v>
      </c>
      <c r="D419" t="s">
        <v>3</v>
      </c>
      <c r="E419" t="s">
        <v>501</v>
      </c>
      <c r="F419" t="s">
        <v>575</v>
      </c>
      <c r="G419" s="55">
        <v>46055</v>
      </c>
      <c r="H419">
        <v>4</v>
      </c>
      <c r="I419" t="s">
        <v>209</v>
      </c>
      <c r="J419" s="55"/>
    </row>
    <row r="420" spans="1:10" x14ac:dyDescent="0.25">
      <c r="A420" t="s">
        <v>598</v>
      </c>
      <c r="B420" t="s">
        <v>34</v>
      </c>
      <c r="C420">
        <v>76824571</v>
      </c>
      <c r="D420" t="s">
        <v>6</v>
      </c>
      <c r="E420" t="s">
        <v>501</v>
      </c>
      <c r="F420" t="s">
        <v>575</v>
      </c>
      <c r="G420" s="55">
        <v>45173</v>
      </c>
      <c r="H420">
        <v>33</v>
      </c>
      <c r="I420" t="s">
        <v>209</v>
      </c>
      <c r="J420" s="55"/>
    </row>
    <row r="421" spans="1:10" x14ac:dyDescent="0.25">
      <c r="A421" t="s">
        <v>598</v>
      </c>
      <c r="B421" t="s">
        <v>76</v>
      </c>
      <c r="C421">
        <v>60914051</v>
      </c>
      <c r="D421" t="s">
        <v>6</v>
      </c>
      <c r="E421" t="s">
        <v>501</v>
      </c>
      <c r="F421" t="s">
        <v>575</v>
      </c>
      <c r="G421" s="55">
        <v>44817</v>
      </c>
      <c r="H421">
        <v>45</v>
      </c>
      <c r="I421" t="s">
        <v>209</v>
      </c>
      <c r="J421" s="55"/>
    </row>
    <row r="422" spans="1:10" x14ac:dyDescent="0.25">
      <c r="A422" t="s">
        <v>598</v>
      </c>
      <c r="B422" t="s">
        <v>38</v>
      </c>
      <c r="C422">
        <v>47411966</v>
      </c>
      <c r="D422" t="s">
        <v>6</v>
      </c>
      <c r="E422" t="s">
        <v>501</v>
      </c>
      <c r="F422" t="s">
        <v>575</v>
      </c>
      <c r="G422" s="55">
        <v>45800</v>
      </c>
      <c r="H422">
        <v>12</v>
      </c>
      <c r="I422" t="s">
        <v>209</v>
      </c>
      <c r="J422" s="55"/>
    </row>
    <row r="423" spans="1:10" x14ac:dyDescent="0.25">
      <c r="A423" t="s">
        <v>598</v>
      </c>
      <c r="B423" t="s">
        <v>35</v>
      </c>
      <c r="C423">
        <v>10491198</v>
      </c>
      <c r="D423" t="s">
        <v>6</v>
      </c>
      <c r="E423" t="s">
        <v>501</v>
      </c>
      <c r="F423" t="s">
        <v>575</v>
      </c>
      <c r="G423" s="55">
        <v>44746</v>
      </c>
      <c r="H423">
        <v>47</v>
      </c>
      <c r="I423" t="s">
        <v>209</v>
      </c>
      <c r="J423" s="55"/>
    </row>
    <row r="424" spans="1:10" x14ac:dyDescent="0.25">
      <c r="A424" t="s">
        <v>598</v>
      </c>
      <c r="B424" t="s">
        <v>97</v>
      </c>
      <c r="C424">
        <v>74602206</v>
      </c>
      <c r="D424" t="s">
        <v>6</v>
      </c>
      <c r="E424" t="s">
        <v>501</v>
      </c>
      <c r="F424" t="s">
        <v>575</v>
      </c>
      <c r="G424" s="55">
        <v>45884</v>
      </c>
      <c r="H424">
        <v>10</v>
      </c>
      <c r="I424" t="s">
        <v>209</v>
      </c>
      <c r="J424" s="55"/>
    </row>
    <row r="425" spans="1:10" x14ac:dyDescent="0.25">
      <c r="A425" t="s">
        <v>598</v>
      </c>
      <c r="B425" t="s">
        <v>105</v>
      </c>
      <c r="C425">
        <v>48344037</v>
      </c>
      <c r="D425" t="s">
        <v>6</v>
      </c>
      <c r="E425" t="s">
        <v>501</v>
      </c>
      <c r="F425" t="s">
        <v>575</v>
      </c>
      <c r="G425" s="55">
        <v>46027</v>
      </c>
      <c r="H425">
        <v>5</v>
      </c>
      <c r="I425" t="s">
        <v>209</v>
      </c>
      <c r="J425" s="55"/>
    </row>
    <row r="426" spans="1:10" x14ac:dyDescent="0.25">
      <c r="A426" t="s">
        <v>598</v>
      </c>
      <c r="B426" t="s">
        <v>11</v>
      </c>
      <c r="C426">
        <v>45139159</v>
      </c>
      <c r="D426" t="s">
        <v>6</v>
      </c>
      <c r="E426" t="s">
        <v>501</v>
      </c>
      <c r="F426" t="s">
        <v>575</v>
      </c>
      <c r="G426" s="55">
        <v>45369</v>
      </c>
      <c r="H426">
        <v>26</v>
      </c>
      <c r="I426" t="s">
        <v>209</v>
      </c>
      <c r="J426" s="55"/>
    </row>
    <row r="427" spans="1:10" x14ac:dyDescent="0.25">
      <c r="A427" t="s">
        <v>598</v>
      </c>
      <c r="B427" t="s">
        <v>15</v>
      </c>
      <c r="C427">
        <v>47587400</v>
      </c>
      <c r="D427" t="s">
        <v>2</v>
      </c>
      <c r="E427" t="s">
        <v>501</v>
      </c>
      <c r="F427" t="s">
        <v>575</v>
      </c>
      <c r="G427" s="55">
        <v>44733</v>
      </c>
      <c r="H427">
        <v>47</v>
      </c>
      <c r="I427" t="s">
        <v>159</v>
      </c>
      <c r="J427" s="55"/>
    </row>
    <row r="428" spans="1:10" x14ac:dyDescent="0.25">
      <c r="A428" t="s">
        <v>598</v>
      </c>
      <c r="B428" t="s">
        <v>23</v>
      </c>
      <c r="C428">
        <v>72413556</v>
      </c>
      <c r="D428" t="s">
        <v>2</v>
      </c>
      <c r="E428" t="s">
        <v>501</v>
      </c>
      <c r="F428" t="s">
        <v>575</v>
      </c>
      <c r="G428" s="55">
        <v>44109</v>
      </c>
      <c r="H428">
        <v>68</v>
      </c>
      <c r="I428" t="s">
        <v>159</v>
      </c>
      <c r="J428" s="55"/>
    </row>
    <row r="429" spans="1:10" x14ac:dyDescent="0.25">
      <c r="A429" t="s">
        <v>598</v>
      </c>
      <c r="B429" t="s">
        <v>65</v>
      </c>
      <c r="C429">
        <v>47659267</v>
      </c>
      <c r="D429" t="s">
        <v>2</v>
      </c>
      <c r="E429" t="s">
        <v>501</v>
      </c>
      <c r="F429" t="s">
        <v>575</v>
      </c>
      <c r="G429" s="55">
        <v>45019</v>
      </c>
      <c r="H429">
        <v>38</v>
      </c>
      <c r="I429" t="s">
        <v>159</v>
      </c>
      <c r="J429" s="55"/>
    </row>
    <row r="430" spans="1:10" x14ac:dyDescent="0.25">
      <c r="A430" t="s">
        <v>598</v>
      </c>
      <c r="B430" t="s">
        <v>13</v>
      </c>
      <c r="C430">
        <v>72512391</v>
      </c>
      <c r="D430" t="s">
        <v>2</v>
      </c>
      <c r="E430" t="s">
        <v>501</v>
      </c>
      <c r="F430" t="s">
        <v>575</v>
      </c>
      <c r="G430" s="55">
        <v>44809</v>
      </c>
      <c r="H430">
        <v>45</v>
      </c>
      <c r="I430" t="s">
        <v>159</v>
      </c>
      <c r="J430" s="55"/>
    </row>
    <row r="431" spans="1:10" x14ac:dyDescent="0.25">
      <c r="A431" t="s">
        <v>598</v>
      </c>
      <c r="B431" t="s">
        <v>22</v>
      </c>
      <c r="C431">
        <v>70551168</v>
      </c>
      <c r="D431" t="s">
        <v>2</v>
      </c>
      <c r="E431" t="s">
        <v>501</v>
      </c>
      <c r="F431" t="s">
        <v>575</v>
      </c>
      <c r="G431" s="55">
        <v>45295</v>
      </c>
      <c r="H431">
        <v>29</v>
      </c>
      <c r="I431" t="s">
        <v>159</v>
      </c>
      <c r="J431" s="55"/>
    </row>
    <row r="432" spans="1:10" x14ac:dyDescent="0.25">
      <c r="A432" t="s">
        <v>598</v>
      </c>
      <c r="B432" t="s">
        <v>24</v>
      </c>
      <c r="C432">
        <v>43614775</v>
      </c>
      <c r="D432" t="s">
        <v>2</v>
      </c>
      <c r="E432" t="s">
        <v>501</v>
      </c>
      <c r="F432" t="s">
        <v>575</v>
      </c>
      <c r="G432" s="55">
        <v>45334</v>
      </c>
      <c r="H432">
        <v>28</v>
      </c>
      <c r="I432" t="s">
        <v>159</v>
      </c>
      <c r="J432" s="55"/>
    </row>
    <row r="433" spans="1:10" x14ac:dyDescent="0.25">
      <c r="A433" t="s">
        <v>598</v>
      </c>
      <c r="B433" t="s">
        <v>25</v>
      </c>
      <c r="C433">
        <v>72373931</v>
      </c>
      <c r="D433" t="s">
        <v>2</v>
      </c>
      <c r="E433" t="s">
        <v>501</v>
      </c>
      <c r="F433" t="s">
        <v>575</v>
      </c>
      <c r="G433" s="55">
        <v>44818</v>
      </c>
      <c r="H433">
        <v>45</v>
      </c>
      <c r="I433" t="s">
        <v>159</v>
      </c>
      <c r="J433" s="55"/>
    </row>
    <row r="434" spans="1:10" x14ac:dyDescent="0.25">
      <c r="A434" t="s">
        <v>598</v>
      </c>
      <c r="B434" t="s">
        <v>42</v>
      </c>
      <c r="C434">
        <v>73725129</v>
      </c>
      <c r="D434" t="s">
        <v>2</v>
      </c>
      <c r="E434" t="s">
        <v>501</v>
      </c>
      <c r="F434" t="s">
        <v>575</v>
      </c>
      <c r="G434" s="55">
        <v>45398</v>
      </c>
      <c r="H434">
        <v>26</v>
      </c>
      <c r="I434" t="s">
        <v>159</v>
      </c>
      <c r="J434" s="55"/>
    </row>
    <row r="435" spans="1:10" x14ac:dyDescent="0.25">
      <c r="A435" t="s">
        <v>598</v>
      </c>
      <c r="B435" t="s">
        <v>37</v>
      </c>
      <c r="C435">
        <v>70988976</v>
      </c>
      <c r="D435" t="s">
        <v>2</v>
      </c>
      <c r="E435" t="s">
        <v>501</v>
      </c>
      <c r="F435" t="s">
        <v>575</v>
      </c>
      <c r="G435" s="55">
        <v>45112</v>
      </c>
      <c r="H435">
        <v>35</v>
      </c>
      <c r="I435" t="s">
        <v>159</v>
      </c>
      <c r="J435" s="55"/>
    </row>
    <row r="436" spans="1:10" x14ac:dyDescent="0.25">
      <c r="A436" t="s">
        <v>598</v>
      </c>
      <c r="B436" t="s">
        <v>81</v>
      </c>
      <c r="C436">
        <v>72716299</v>
      </c>
      <c r="D436" t="s">
        <v>2</v>
      </c>
      <c r="E436" t="s">
        <v>501</v>
      </c>
      <c r="F436" t="s">
        <v>575</v>
      </c>
      <c r="G436" s="55">
        <v>45511</v>
      </c>
      <c r="H436">
        <v>22</v>
      </c>
      <c r="I436" t="s">
        <v>159</v>
      </c>
      <c r="J436" s="55"/>
    </row>
    <row r="437" spans="1:10" x14ac:dyDescent="0.25">
      <c r="A437" t="s">
        <v>598</v>
      </c>
      <c r="B437" t="s">
        <v>50</v>
      </c>
      <c r="C437">
        <v>72733809</v>
      </c>
      <c r="D437" t="s">
        <v>2</v>
      </c>
      <c r="E437" t="s">
        <v>501</v>
      </c>
      <c r="F437" t="s">
        <v>575</v>
      </c>
      <c r="G437" s="55">
        <v>45789</v>
      </c>
      <c r="H437">
        <v>13</v>
      </c>
      <c r="I437" t="s">
        <v>159</v>
      </c>
      <c r="J437" s="55"/>
    </row>
    <row r="438" spans="1:10" x14ac:dyDescent="0.25">
      <c r="A438" t="s">
        <v>598</v>
      </c>
      <c r="B438" t="s">
        <v>12</v>
      </c>
      <c r="C438">
        <v>45262585</v>
      </c>
      <c r="D438" t="s">
        <v>125</v>
      </c>
      <c r="E438" t="s">
        <v>501</v>
      </c>
      <c r="F438" t="s">
        <v>575</v>
      </c>
      <c r="G438" s="55">
        <v>44868</v>
      </c>
      <c r="H438">
        <v>43</v>
      </c>
      <c r="I438" t="s">
        <v>159</v>
      </c>
      <c r="J438" s="55"/>
    </row>
    <row r="439" spans="1:10" x14ac:dyDescent="0.25">
      <c r="A439" t="s">
        <v>598</v>
      </c>
      <c r="B439" t="s">
        <v>59</v>
      </c>
      <c r="C439">
        <v>60870839</v>
      </c>
      <c r="D439" t="s">
        <v>125</v>
      </c>
      <c r="E439" t="s">
        <v>501</v>
      </c>
      <c r="F439" t="s">
        <v>575</v>
      </c>
      <c r="G439" s="55">
        <v>45344</v>
      </c>
      <c r="H439">
        <v>27</v>
      </c>
      <c r="I439" t="s">
        <v>159</v>
      </c>
      <c r="J439" s="55"/>
    </row>
    <row r="440" spans="1:10" x14ac:dyDescent="0.25">
      <c r="A440" t="s">
        <v>598</v>
      </c>
      <c r="B440" t="s">
        <v>18</v>
      </c>
      <c r="C440">
        <v>76214436</v>
      </c>
      <c r="D440" t="s">
        <v>125</v>
      </c>
      <c r="E440" t="s">
        <v>501</v>
      </c>
      <c r="F440" t="s">
        <v>575</v>
      </c>
      <c r="G440" s="55">
        <v>45132</v>
      </c>
      <c r="H440">
        <v>34</v>
      </c>
      <c r="I440" t="s">
        <v>159</v>
      </c>
      <c r="J440" s="55"/>
    </row>
    <row r="441" spans="1:10" x14ac:dyDescent="0.25">
      <c r="A441" t="s">
        <v>598</v>
      </c>
      <c r="B441" t="s">
        <v>75</v>
      </c>
      <c r="C441">
        <v>71264767</v>
      </c>
      <c r="D441" t="s">
        <v>125</v>
      </c>
      <c r="E441" t="s">
        <v>501</v>
      </c>
      <c r="F441" t="s">
        <v>575</v>
      </c>
      <c r="G441" s="55">
        <v>44714</v>
      </c>
      <c r="H441">
        <v>48</v>
      </c>
      <c r="I441" t="s">
        <v>159</v>
      </c>
      <c r="J441" s="55"/>
    </row>
    <row r="442" spans="1:10" x14ac:dyDescent="0.25">
      <c r="A442" t="s">
        <v>598</v>
      </c>
      <c r="B442" t="s">
        <v>122</v>
      </c>
      <c r="C442">
        <v>76586998</v>
      </c>
      <c r="D442" t="s">
        <v>125</v>
      </c>
      <c r="E442" t="s">
        <v>577</v>
      </c>
      <c r="F442" t="s">
        <v>575</v>
      </c>
      <c r="G442" s="55">
        <v>45971</v>
      </c>
      <c r="H442">
        <v>5</v>
      </c>
      <c r="I442" t="s">
        <v>159</v>
      </c>
      <c r="J442" s="55">
        <v>46142</v>
      </c>
    </row>
    <row r="443" spans="1:10" x14ac:dyDescent="0.25">
      <c r="A443" t="s">
        <v>598</v>
      </c>
      <c r="B443" t="s">
        <v>60</v>
      </c>
      <c r="C443">
        <v>72839865</v>
      </c>
      <c r="D443" t="s">
        <v>125</v>
      </c>
      <c r="E443" t="s">
        <v>501</v>
      </c>
      <c r="F443" t="s">
        <v>575</v>
      </c>
      <c r="G443" s="55">
        <v>45854</v>
      </c>
      <c r="H443">
        <v>11</v>
      </c>
      <c r="I443" t="s">
        <v>159</v>
      </c>
      <c r="J443" s="55"/>
    </row>
    <row r="444" spans="1:10" x14ac:dyDescent="0.25">
      <c r="A444" t="s">
        <v>598</v>
      </c>
      <c r="B444" t="s">
        <v>61</v>
      </c>
      <c r="C444">
        <v>44001162</v>
      </c>
      <c r="D444" t="s">
        <v>125</v>
      </c>
      <c r="E444" t="s">
        <v>501</v>
      </c>
      <c r="F444" t="s">
        <v>575</v>
      </c>
      <c r="G444" s="55">
        <v>44907</v>
      </c>
      <c r="H444">
        <v>42</v>
      </c>
      <c r="I444" t="s">
        <v>159</v>
      </c>
      <c r="J444" s="55"/>
    </row>
    <row r="445" spans="1:10" x14ac:dyDescent="0.25">
      <c r="A445" t="s">
        <v>598</v>
      </c>
      <c r="B445" t="s">
        <v>72</v>
      </c>
      <c r="C445">
        <v>47690367</v>
      </c>
      <c r="D445" t="s">
        <v>125</v>
      </c>
      <c r="E445" t="s">
        <v>501</v>
      </c>
      <c r="F445" t="s">
        <v>575</v>
      </c>
      <c r="G445" s="55">
        <v>45691</v>
      </c>
      <c r="H445">
        <v>16</v>
      </c>
      <c r="I445" t="s">
        <v>159</v>
      </c>
      <c r="J445" s="55"/>
    </row>
    <row r="446" spans="1:10" x14ac:dyDescent="0.25">
      <c r="A446" t="s">
        <v>598</v>
      </c>
      <c r="B446" t="s">
        <v>10</v>
      </c>
      <c r="C446">
        <v>40980108</v>
      </c>
      <c r="D446" t="s">
        <v>125</v>
      </c>
      <c r="E446" t="s">
        <v>501</v>
      </c>
      <c r="F446" t="s">
        <v>575</v>
      </c>
      <c r="G446" s="55">
        <v>44704</v>
      </c>
      <c r="H446">
        <v>48</v>
      </c>
      <c r="I446" t="s">
        <v>159</v>
      </c>
      <c r="J446" s="55"/>
    </row>
    <row r="447" spans="1:10" x14ac:dyDescent="0.25">
      <c r="A447" t="s">
        <v>598</v>
      </c>
      <c r="B447" t="s">
        <v>80</v>
      </c>
      <c r="C447">
        <v>45084594</v>
      </c>
      <c r="D447" t="s">
        <v>125</v>
      </c>
      <c r="E447" t="s">
        <v>501</v>
      </c>
      <c r="F447" t="s">
        <v>575</v>
      </c>
      <c r="G447" s="55">
        <v>45281</v>
      </c>
      <c r="H447">
        <v>29</v>
      </c>
      <c r="I447" t="s">
        <v>159</v>
      </c>
      <c r="J447" s="55"/>
    </row>
    <row r="448" spans="1:10" x14ac:dyDescent="0.25">
      <c r="A448" t="s">
        <v>598</v>
      </c>
      <c r="B448" t="s">
        <v>26</v>
      </c>
      <c r="C448">
        <v>41005089</v>
      </c>
      <c r="D448" t="s">
        <v>125</v>
      </c>
      <c r="E448" t="s">
        <v>501</v>
      </c>
      <c r="F448" t="s">
        <v>575</v>
      </c>
      <c r="G448" s="55">
        <v>44257</v>
      </c>
      <c r="H448">
        <v>63</v>
      </c>
      <c r="I448" t="s">
        <v>159</v>
      </c>
      <c r="J448" s="55"/>
    </row>
    <row r="449" spans="1:10" x14ac:dyDescent="0.25">
      <c r="A449" t="s">
        <v>598</v>
      </c>
      <c r="B449" t="s">
        <v>495</v>
      </c>
      <c r="C449">
        <v>62792399</v>
      </c>
      <c r="D449" t="s">
        <v>7</v>
      </c>
      <c r="E449" t="s">
        <v>501</v>
      </c>
      <c r="F449" t="s">
        <v>575</v>
      </c>
      <c r="G449" s="55">
        <v>46052</v>
      </c>
      <c r="H449">
        <v>4</v>
      </c>
      <c r="I449" t="s">
        <v>586</v>
      </c>
      <c r="J449" s="55"/>
    </row>
    <row r="450" spans="1:10" x14ac:dyDescent="0.25">
      <c r="A450" t="s">
        <v>598</v>
      </c>
      <c r="B450" t="s">
        <v>109</v>
      </c>
      <c r="C450">
        <v>74626735</v>
      </c>
      <c r="D450" t="s">
        <v>7</v>
      </c>
      <c r="E450" t="s">
        <v>501</v>
      </c>
      <c r="F450" t="s">
        <v>575</v>
      </c>
      <c r="G450" s="55">
        <v>46024</v>
      </c>
      <c r="H450">
        <v>5</v>
      </c>
      <c r="I450" t="s">
        <v>586</v>
      </c>
      <c r="J450" s="55"/>
    </row>
    <row r="451" spans="1:10" x14ac:dyDescent="0.25">
      <c r="A451" t="s">
        <v>598</v>
      </c>
      <c r="B451" t="s">
        <v>77</v>
      </c>
      <c r="C451">
        <v>42251780</v>
      </c>
      <c r="D451" t="s">
        <v>7</v>
      </c>
      <c r="E451" t="s">
        <v>501</v>
      </c>
      <c r="F451" t="s">
        <v>575</v>
      </c>
      <c r="G451" s="55">
        <v>44838</v>
      </c>
      <c r="H451">
        <v>44</v>
      </c>
      <c r="I451" t="s">
        <v>586</v>
      </c>
      <c r="J451" s="55"/>
    </row>
    <row r="452" spans="1:10" x14ac:dyDescent="0.25">
      <c r="A452" t="s">
        <v>598</v>
      </c>
      <c r="B452" t="s">
        <v>73</v>
      </c>
      <c r="C452">
        <v>40318129</v>
      </c>
      <c r="D452" t="s">
        <v>7</v>
      </c>
      <c r="E452" t="s">
        <v>501</v>
      </c>
      <c r="F452" t="s">
        <v>575</v>
      </c>
      <c r="G452" s="55">
        <v>45141</v>
      </c>
      <c r="H452">
        <v>34</v>
      </c>
      <c r="I452" t="s">
        <v>586</v>
      </c>
      <c r="J452" s="55"/>
    </row>
    <row r="453" spans="1:10" x14ac:dyDescent="0.25">
      <c r="A453" t="s">
        <v>598</v>
      </c>
      <c r="B453" t="s">
        <v>48</v>
      </c>
      <c r="C453">
        <v>43307898</v>
      </c>
      <c r="D453" t="s">
        <v>7</v>
      </c>
      <c r="E453" t="s">
        <v>501</v>
      </c>
      <c r="F453" t="s">
        <v>575</v>
      </c>
      <c r="G453" s="55">
        <v>44746</v>
      </c>
      <c r="H453">
        <v>47</v>
      </c>
      <c r="I453" t="s">
        <v>586</v>
      </c>
      <c r="J453" s="55"/>
    </row>
    <row r="454" spans="1:10" x14ac:dyDescent="0.25">
      <c r="A454" t="s">
        <v>598</v>
      </c>
      <c r="B454" t="s">
        <v>49</v>
      </c>
      <c r="C454">
        <v>40702064</v>
      </c>
      <c r="D454" t="s">
        <v>7</v>
      </c>
      <c r="E454" t="s">
        <v>501</v>
      </c>
      <c r="F454" t="s">
        <v>575</v>
      </c>
      <c r="G454" s="55">
        <v>43313</v>
      </c>
      <c r="H454">
        <v>94</v>
      </c>
      <c r="I454" t="s">
        <v>586</v>
      </c>
      <c r="J454" s="55"/>
    </row>
    <row r="455" spans="1:10" x14ac:dyDescent="0.25">
      <c r="A455" t="s">
        <v>598</v>
      </c>
      <c r="B455" t="s">
        <v>41</v>
      </c>
      <c r="C455">
        <v>46461021</v>
      </c>
      <c r="D455" t="s">
        <v>7</v>
      </c>
      <c r="E455" t="s">
        <v>501</v>
      </c>
      <c r="F455" t="s">
        <v>575</v>
      </c>
      <c r="G455" s="55">
        <v>45302</v>
      </c>
      <c r="H455">
        <v>29</v>
      </c>
      <c r="I455" t="s">
        <v>587</v>
      </c>
      <c r="J455" s="55"/>
    </row>
    <row r="456" spans="1:10" x14ac:dyDescent="0.25">
      <c r="A456" t="s">
        <v>598</v>
      </c>
      <c r="B456" t="s">
        <v>549</v>
      </c>
      <c r="C456">
        <v>73233992</v>
      </c>
      <c r="D456" t="s">
        <v>7</v>
      </c>
      <c r="E456" t="s">
        <v>501</v>
      </c>
      <c r="F456" t="s">
        <v>575</v>
      </c>
      <c r="G456" s="55">
        <v>46065</v>
      </c>
      <c r="H456">
        <v>4</v>
      </c>
      <c r="I456" t="s">
        <v>587</v>
      </c>
      <c r="J456" s="55"/>
    </row>
    <row r="457" spans="1:10" x14ac:dyDescent="0.25">
      <c r="A457" t="s">
        <v>598</v>
      </c>
      <c r="B457" t="s">
        <v>557</v>
      </c>
      <c r="C457">
        <v>10330959</v>
      </c>
      <c r="D457" t="s">
        <v>7</v>
      </c>
      <c r="E457" t="s">
        <v>577</v>
      </c>
      <c r="F457" t="s">
        <v>575</v>
      </c>
      <c r="G457" s="55">
        <v>46073</v>
      </c>
      <c r="H457">
        <v>2</v>
      </c>
      <c r="I457" t="s">
        <v>587</v>
      </c>
      <c r="J457" s="55">
        <v>46142</v>
      </c>
    </row>
    <row r="458" spans="1:10" x14ac:dyDescent="0.25">
      <c r="A458" t="s">
        <v>598</v>
      </c>
      <c r="B458" t="s">
        <v>565</v>
      </c>
      <c r="C458">
        <v>10762187</v>
      </c>
      <c r="D458" t="s">
        <v>7</v>
      </c>
      <c r="E458" t="s">
        <v>577</v>
      </c>
      <c r="F458" t="s">
        <v>575</v>
      </c>
      <c r="G458" s="55">
        <v>46083</v>
      </c>
      <c r="H458">
        <v>1</v>
      </c>
      <c r="I458" t="s">
        <v>587</v>
      </c>
      <c r="J458" s="55">
        <v>46128</v>
      </c>
    </row>
    <row r="459" spans="1:10" x14ac:dyDescent="0.25">
      <c r="A459" t="s">
        <v>598</v>
      </c>
      <c r="B459" t="s">
        <v>566</v>
      </c>
      <c r="C459">
        <v>75693756</v>
      </c>
      <c r="D459" t="s">
        <v>7</v>
      </c>
      <c r="E459" t="s">
        <v>501</v>
      </c>
      <c r="F459" t="s">
        <v>575</v>
      </c>
      <c r="G459" s="55">
        <v>46084</v>
      </c>
      <c r="H459">
        <v>3</v>
      </c>
      <c r="I459" t="s">
        <v>587</v>
      </c>
      <c r="J459" s="55"/>
    </row>
    <row r="460" spans="1:10" x14ac:dyDescent="0.25">
      <c r="A460" t="s">
        <v>598</v>
      </c>
      <c r="B460" t="s">
        <v>55</v>
      </c>
      <c r="C460">
        <v>45119892</v>
      </c>
      <c r="D460" t="s">
        <v>588</v>
      </c>
      <c r="E460" t="s">
        <v>501</v>
      </c>
      <c r="F460" t="s">
        <v>575</v>
      </c>
      <c r="G460" s="55">
        <v>45813</v>
      </c>
      <c r="H460">
        <v>12</v>
      </c>
      <c r="I460" t="s">
        <v>588</v>
      </c>
      <c r="J460" s="55"/>
    </row>
    <row r="461" spans="1:10" x14ac:dyDescent="0.25">
      <c r="A461" t="s">
        <v>598</v>
      </c>
      <c r="B461" t="s">
        <v>31</v>
      </c>
      <c r="C461">
        <v>75882265</v>
      </c>
      <c r="D461" t="s">
        <v>2</v>
      </c>
      <c r="E461" t="s">
        <v>501</v>
      </c>
      <c r="F461" t="s">
        <v>575</v>
      </c>
      <c r="G461" s="55">
        <v>46141</v>
      </c>
      <c r="H461">
        <v>1</v>
      </c>
      <c r="I461" t="s">
        <v>159</v>
      </c>
      <c r="J461" s="55"/>
    </row>
    <row r="462" spans="1:10" x14ac:dyDescent="0.25">
      <c r="A462" t="s">
        <v>598</v>
      </c>
      <c r="B462" t="s">
        <v>600</v>
      </c>
      <c r="C462">
        <v>73623874</v>
      </c>
      <c r="D462" t="s">
        <v>7</v>
      </c>
      <c r="E462" t="s">
        <v>501</v>
      </c>
      <c r="F462" t="s">
        <v>575</v>
      </c>
      <c r="G462" s="55">
        <v>46139</v>
      </c>
      <c r="H462">
        <v>1</v>
      </c>
      <c r="I462" t="s">
        <v>586</v>
      </c>
      <c r="J462" s="55"/>
    </row>
    <row r="463" spans="1:10" x14ac:dyDescent="0.25">
      <c r="A463" t="s">
        <v>598</v>
      </c>
      <c r="B463" t="s">
        <v>599</v>
      </c>
      <c r="C463">
        <v>42227234</v>
      </c>
      <c r="D463" t="s">
        <v>7</v>
      </c>
      <c r="E463" t="s">
        <v>501</v>
      </c>
      <c r="F463" t="s">
        <v>575</v>
      </c>
      <c r="G463" s="55">
        <v>46121</v>
      </c>
      <c r="H463">
        <v>2</v>
      </c>
      <c r="I463" t="s">
        <v>587</v>
      </c>
      <c r="J463" s="55"/>
    </row>
    <row r="464" spans="1:10" x14ac:dyDescent="0.25">
      <c r="A464" t="s">
        <v>598</v>
      </c>
      <c r="B464" t="s">
        <v>601</v>
      </c>
      <c r="C464">
        <v>77710185</v>
      </c>
      <c r="D464" t="s">
        <v>7</v>
      </c>
      <c r="E464" t="s">
        <v>501</v>
      </c>
      <c r="F464" t="s">
        <v>575</v>
      </c>
      <c r="G464" s="55">
        <v>46141</v>
      </c>
      <c r="H464">
        <v>1</v>
      </c>
      <c r="I464" t="s">
        <v>587</v>
      </c>
      <c r="J464" s="55"/>
    </row>
    <row r="465" spans="1:10" x14ac:dyDescent="0.25">
      <c r="A465" t="s">
        <v>598</v>
      </c>
      <c r="B465" t="s">
        <v>17</v>
      </c>
      <c r="C465">
        <v>70876605</v>
      </c>
      <c r="D465" t="s">
        <v>602</v>
      </c>
      <c r="E465" t="s">
        <v>602</v>
      </c>
      <c r="F465" t="s">
        <v>575</v>
      </c>
      <c r="G465" s="55">
        <v>44886</v>
      </c>
      <c r="H465">
        <v>42</v>
      </c>
      <c r="I465" t="s">
        <v>602</v>
      </c>
      <c r="J465" s="55"/>
    </row>
    <row r="466" spans="1:10" x14ac:dyDescent="0.25">
      <c r="A466" t="s">
        <v>598</v>
      </c>
      <c r="B466" t="s">
        <v>78</v>
      </c>
      <c r="C466">
        <v>10706451</v>
      </c>
      <c r="D466" t="s">
        <v>500</v>
      </c>
      <c r="E466" t="s">
        <v>500</v>
      </c>
      <c r="F466" t="s">
        <v>575</v>
      </c>
      <c r="G466" s="55">
        <v>44943</v>
      </c>
      <c r="H466">
        <v>41</v>
      </c>
      <c r="I466" t="s">
        <v>500</v>
      </c>
      <c r="J466" s="55"/>
    </row>
    <row r="467" spans="1:10" x14ac:dyDescent="0.25">
      <c r="A467" t="s">
        <v>598</v>
      </c>
      <c r="B467" t="s">
        <v>19</v>
      </c>
      <c r="C467">
        <v>76656128</v>
      </c>
      <c r="D467" t="s">
        <v>500</v>
      </c>
      <c r="E467" t="s">
        <v>500</v>
      </c>
      <c r="F467" t="s">
        <v>575</v>
      </c>
      <c r="G467" s="55">
        <v>44671</v>
      </c>
      <c r="H467">
        <v>49</v>
      </c>
      <c r="I467" t="s">
        <v>500</v>
      </c>
      <c r="J467" s="55"/>
    </row>
    <row r="468" spans="1:10" x14ac:dyDescent="0.25">
      <c r="A468" t="s">
        <v>598</v>
      </c>
      <c r="B468" t="s">
        <v>51</v>
      </c>
      <c r="C468">
        <v>76089925</v>
      </c>
      <c r="D468" t="s">
        <v>500</v>
      </c>
      <c r="E468" t="s">
        <v>500</v>
      </c>
      <c r="F468" t="s">
        <v>575</v>
      </c>
      <c r="G468" s="55">
        <v>45678</v>
      </c>
      <c r="H468">
        <v>16</v>
      </c>
      <c r="I468" t="s">
        <v>500</v>
      </c>
      <c r="J468" s="55"/>
    </row>
    <row r="469" spans="1:10" x14ac:dyDescent="0.25">
      <c r="A469" t="s">
        <v>605</v>
      </c>
      <c r="B469" t="s">
        <v>219</v>
      </c>
      <c r="C469">
        <v>74122258</v>
      </c>
      <c r="D469" t="s">
        <v>6</v>
      </c>
      <c r="E469" t="s">
        <v>133</v>
      </c>
      <c r="F469" t="s">
        <v>575</v>
      </c>
      <c r="G469" s="55">
        <v>44022</v>
      </c>
      <c r="H469">
        <v>71</v>
      </c>
      <c r="I469" t="s">
        <v>209</v>
      </c>
      <c r="J469" s="55"/>
    </row>
    <row r="470" spans="1:10" x14ac:dyDescent="0.25">
      <c r="A470" t="s">
        <v>605</v>
      </c>
      <c r="B470" t="s">
        <v>248</v>
      </c>
      <c r="C470">
        <v>44265602</v>
      </c>
      <c r="D470" t="s">
        <v>2</v>
      </c>
      <c r="E470" t="s">
        <v>133</v>
      </c>
      <c r="F470" t="s">
        <v>575</v>
      </c>
      <c r="G470" s="55">
        <v>44673</v>
      </c>
      <c r="H470">
        <v>49</v>
      </c>
      <c r="I470" t="s">
        <v>159</v>
      </c>
      <c r="J470" s="55"/>
    </row>
    <row r="471" spans="1:10" x14ac:dyDescent="0.25">
      <c r="A471" t="s">
        <v>605</v>
      </c>
      <c r="B471" t="s">
        <v>226</v>
      </c>
      <c r="C471">
        <v>73049631</v>
      </c>
      <c r="D471" t="s">
        <v>3</v>
      </c>
      <c r="E471" t="s">
        <v>133</v>
      </c>
      <c r="F471" t="s">
        <v>575</v>
      </c>
      <c r="G471" s="55">
        <v>43506</v>
      </c>
      <c r="H471">
        <v>88</v>
      </c>
      <c r="I471" t="s">
        <v>209</v>
      </c>
      <c r="J471" s="55"/>
    </row>
    <row r="472" spans="1:10" x14ac:dyDescent="0.25">
      <c r="A472" t="s">
        <v>605</v>
      </c>
      <c r="B472" t="s">
        <v>23</v>
      </c>
      <c r="C472">
        <v>72413556</v>
      </c>
      <c r="D472" t="s">
        <v>604</v>
      </c>
      <c r="E472" t="s">
        <v>133</v>
      </c>
      <c r="F472" t="s">
        <v>575</v>
      </c>
      <c r="G472" s="55">
        <v>44109</v>
      </c>
      <c r="H472">
        <v>68</v>
      </c>
      <c r="I472" t="s">
        <v>175</v>
      </c>
      <c r="J472" s="55"/>
    </row>
    <row r="473" spans="1:10" x14ac:dyDescent="0.25">
      <c r="A473" t="s">
        <v>605</v>
      </c>
      <c r="B473" t="s">
        <v>214</v>
      </c>
      <c r="C473">
        <v>46872195</v>
      </c>
      <c r="D473" t="s">
        <v>7</v>
      </c>
      <c r="E473" t="s">
        <v>133</v>
      </c>
      <c r="F473" t="s">
        <v>575</v>
      </c>
      <c r="G473" s="55">
        <v>43805</v>
      </c>
      <c r="H473">
        <v>78</v>
      </c>
      <c r="I473" t="s">
        <v>159</v>
      </c>
      <c r="J473" s="55"/>
    </row>
    <row r="474" spans="1:10" x14ac:dyDescent="0.25">
      <c r="A474" t="s">
        <v>605</v>
      </c>
      <c r="B474" t="s">
        <v>34</v>
      </c>
      <c r="C474">
        <v>76824571</v>
      </c>
      <c r="D474" t="s">
        <v>6</v>
      </c>
      <c r="E474" t="s">
        <v>501</v>
      </c>
      <c r="F474" t="s">
        <v>575</v>
      </c>
      <c r="G474" s="55">
        <v>45173</v>
      </c>
      <c r="H474">
        <v>33</v>
      </c>
      <c r="I474" t="s">
        <v>209</v>
      </c>
      <c r="J474" s="55"/>
    </row>
    <row r="475" spans="1:10" x14ac:dyDescent="0.25">
      <c r="A475" t="s">
        <v>605</v>
      </c>
      <c r="B475" t="s">
        <v>76</v>
      </c>
      <c r="C475">
        <v>60914051</v>
      </c>
      <c r="D475" t="s">
        <v>6</v>
      </c>
      <c r="E475" t="s">
        <v>501</v>
      </c>
      <c r="F475" t="s">
        <v>575</v>
      </c>
      <c r="G475" s="55">
        <v>44817</v>
      </c>
      <c r="H475">
        <v>45</v>
      </c>
      <c r="I475" t="s">
        <v>209</v>
      </c>
      <c r="J475" s="55"/>
    </row>
    <row r="476" spans="1:10" x14ac:dyDescent="0.25">
      <c r="A476" t="s">
        <v>605</v>
      </c>
      <c r="B476" t="s">
        <v>35</v>
      </c>
      <c r="C476">
        <v>10491198</v>
      </c>
      <c r="D476" t="s">
        <v>6</v>
      </c>
      <c r="E476" t="s">
        <v>501</v>
      </c>
      <c r="F476" t="s">
        <v>575</v>
      </c>
      <c r="G476" s="55">
        <v>44746</v>
      </c>
      <c r="H476">
        <v>47</v>
      </c>
      <c r="I476" t="s">
        <v>209</v>
      </c>
      <c r="J476" s="55"/>
    </row>
    <row r="477" spans="1:10" x14ac:dyDescent="0.25">
      <c r="A477" t="s">
        <v>605</v>
      </c>
      <c r="B477" t="s">
        <v>97</v>
      </c>
      <c r="C477">
        <v>74602206</v>
      </c>
      <c r="D477" t="s">
        <v>6</v>
      </c>
      <c r="E477" t="s">
        <v>501</v>
      </c>
      <c r="F477" t="s">
        <v>575</v>
      </c>
      <c r="G477" s="55">
        <v>45884</v>
      </c>
      <c r="H477">
        <v>10</v>
      </c>
      <c r="I477" t="s">
        <v>209</v>
      </c>
      <c r="J477" s="55"/>
    </row>
    <row r="478" spans="1:10" x14ac:dyDescent="0.25">
      <c r="A478" t="s">
        <v>605</v>
      </c>
      <c r="B478" t="s">
        <v>105</v>
      </c>
      <c r="C478">
        <v>48344037</v>
      </c>
      <c r="D478" t="s">
        <v>6</v>
      </c>
      <c r="E478" t="s">
        <v>501</v>
      </c>
      <c r="F478" t="s">
        <v>575</v>
      </c>
      <c r="G478" s="55">
        <v>46027</v>
      </c>
      <c r="H478">
        <v>5</v>
      </c>
      <c r="I478" t="s">
        <v>209</v>
      </c>
      <c r="J478" s="55"/>
    </row>
    <row r="479" spans="1:10" x14ac:dyDescent="0.25">
      <c r="A479" t="s">
        <v>605</v>
      </c>
      <c r="B479" t="s">
        <v>11</v>
      </c>
      <c r="C479">
        <v>45139159</v>
      </c>
      <c r="D479" t="s">
        <v>6</v>
      </c>
      <c r="E479" t="s">
        <v>501</v>
      </c>
      <c r="F479" t="s">
        <v>575</v>
      </c>
      <c r="G479" s="55">
        <v>45369</v>
      </c>
      <c r="H479">
        <v>26</v>
      </c>
      <c r="I479" t="s">
        <v>209</v>
      </c>
      <c r="J479" s="55"/>
    </row>
    <row r="480" spans="1:10" x14ac:dyDescent="0.25">
      <c r="A480" t="s">
        <v>605</v>
      </c>
      <c r="B480" t="s">
        <v>19</v>
      </c>
      <c r="C480">
        <v>76656128</v>
      </c>
      <c r="D480" t="s">
        <v>6</v>
      </c>
      <c r="E480" t="s">
        <v>501</v>
      </c>
      <c r="F480" t="s">
        <v>575</v>
      </c>
      <c r="G480" s="55">
        <v>44671</v>
      </c>
      <c r="H480">
        <v>49</v>
      </c>
      <c r="I480" t="s">
        <v>209</v>
      </c>
      <c r="J480" s="55"/>
    </row>
    <row r="481" spans="1:10" x14ac:dyDescent="0.25">
      <c r="A481" t="s">
        <v>605</v>
      </c>
      <c r="B481" t="s">
        <v>493</v>
      </c>
      <c r="C481">
        <v>75026229</v>
      </c>
      <c r="D481" t="s">
        <v>3</v>
      </c>
      <c r="E481" t="s">
        <v>501</v>
      </c>
      <c r="F481" t="s">
        <v>575</v>
      </c>
      <c r="G481" s="55">
        <v>46052</v>
      </c>
      <c r="H481">
        <v>4</v>
      </c>
      <c r="I481" t="s">
        <v>209</v>
      </c>
      <c r="J481" s="55"/>
    </row>
    <row r="482" spans="1:10" x14ac:dyDescent="0.25">
      <c r="A482" t="s">
        <v>605</v>
      </c>
      <c r="B482" t="s">
        <v>174</v>
      </c>
      <c r="C482">
        <v>46994661</v>
      </c>
      <c r="D482" t="s">
        <v>3</v>
      </c>
      <c r="E482" t="s">
        <v>577</v>
      </c>
      <c r="F482" t="s">
        <v>575</v>
      </c>
      <c r="G482" s="55">
        <v>45992</v>
      </c>
      <c r="H482">
        <v>5</v>
      </c>
      <c r="I482" t="s">
        <v>209</v>
      </c>
      <c r="J482" s="55">
        <v>46161</v>
      </c>
    </row>
    <row r="483" spans="1:10" x14ac:dyDescent="0.25">
      <c r="A483" t="s">
        <v>605</v>
      </c>
      <c r="B483" t="s">
        <v>79</v>
      </c>
      <c r="C483">
        <v>71262377</v>
      </c>
      <c r="D483" t="s">
        <v>3</v>
      </c>
      <c r="E483" t="s">
        <v>501</v>
      </c>
      <c r="F483" t="s">
        <v>575</v>
      </c>
      <c r="G483" s="55">
        <v>45145</v>
      </c>
      <c r="H483">
        <v>34</v>
      </c>
      <c r="I483" t="s">
        <v>209</v>
      </c>
      <c r="J483" s="55"/>
    </row>
    <row r="484" spans="1:10" x14ac:dyDescent="0.25">
      <c r="A484" t="s">
        <v>605</v>
      </c>
      <c r="B484" t="s">
        <v>29</v>
      </c>
      <c r="C484">
        <v>72758956</v>
      </c>
      <c r="D484" t="s">
        <v>3</v>
      </c>
      <c r="E484" t="s">
        <v>501</v>
      </c>
      <c r="F484" t="s">
        <v>575</v>
      </c>
      <c r="G484" s="55">
        <v>44685</v>
      </c>
      <c r="H484">
        <v>49</v>
      </c>
      <c r="I484" t="s">
        <v>209</v>
      </c>
      <c r="J484" s="55"/>
    </row>
    <row r="485" spans="1:10" x14ac:dyDescent="0.25">
      <c r="A485" t="s">
        <v>605</v>
      </c>
      <c r="B485" t="s">
        <v>68</v>
      </c>
      <c r="C485">
        <v>73257316</v>
      </c>
      <c r="D485" t="s">
        <v>3</v>
      </c>
      <c r="E485" t="s">
        <v>501</v>
      </c>
      <c r="F485" t="s">
        <v>575</v>
      </c>
      <c r="G485" s="55">
        <v>45363</v>
      </c>
      <c r="H485">
        <v>27</v>
      </c>
      <c r="I485" t="s">
        <v>209</v>
      </c>
      <c r="J485" s="55"/>
    </row>
    <row r="486" spans="1:10" x14ac:dyDescent="0.25">
      <c r="A486" t="s">
        <v>605</v>
      </c>
      <c r="B486" t="s">
        <v>32</v>
      </c>
      <c r="C486">
        <v>48584670</v>
      </c>
      <c r="D486" t="s">
        <v>3</v>
      </c>
      <c r="E486" t="s">
        <v>501</v>
      </c>
      <c r="F486" t="s">
        <v>575</v>
      </c>
      <c r="G486" s="55">
        <v>45526</v>
      </c>
      <c r="H486">
        <v>21</v>
      </c>
      <c r="I486" t="s">
        <v>209</v>
      </c>
      <c r="J486" s="55"/>
    </row>
    <row r="487" spans="1:10" x14ac:dyDescent="0.25">
      <c r="A487" t="s">
        <v>605</v>
      </c>
      <c r="B487" t="s">
        <v>96</v>
      </c>
      <c r="C487">
        <v>46793103</v>
      </c>
      <c r="D487" t="s">
        <v>3</v>
      </c>
      <c r="E487" t="s">
        <v>501</v>
      </c>
      <c r="F487" t="s">
        <v>575</v>
      </c>
      <c r="G487" s="55">
        <v>45882</v>
      </c>
      <c r="H487">
        <v>10</v>
      </c>
      <c r="I487" t="s">
        <v>209</v>
      </c>
      <c r="J487" s="55"/>
    </row>
    <row r="488" spans="1:10" x14ac:dyDescent="0.25">
      <c r="A488" t="s">
        <v>605</v>
      </c>
      <c r="B488" t="s">
        <v>564</v>
      </c>
      <c r="C488">
        <v>43184866</v>
      </c>
      <c r="D488" t="s">
        <v>3</v>
      </c>
      <c r="E488" t="s">
        <v>501</v>
      </c>
      <c r="F488" t="s">
        <v>575</v>
      </c>
      <c r="G488" s="55">
        <v>46083</v>
      </c>
      <c r="H488">
        <v>3</v>
      </c>
      <c r="I488" t="s">
        <v>209</v>
      </c>
      <c r="J488" s="55"/>
    </row>
    <row r="489" spans="1:10" x14ac:dyDescent="0.25">
      <c r="A489" t="s">
        <v>605</v>
      </c>
      <c r="B489" t="s">
        <v>58</v>
      </c>
      <c r="C489">
        <v>72519113</v>
      </c>
      <c r="D489" t="s">
        <v>3</v>
      </c>
      <c r="E489" t="s">
        <v>501</v>
      </c>
      <c r="F489" t="s">
        <v>575</v>
      </c>
      <c r="G489" s="55">
        <v>43119</v>
      </c>
      <c r="H489">
        <v>100</v>
      </c>
      <c r="I489" t="s">
        <v>209</v>
      </c>
      <c r="J489" s="55"/>
    </row>
    <row r="490" spans="1:10" x14ac:dyDescent="0.25">
      <c r="A490" t="s">
        <v>605</v>
      </c>
      <c r="B490" t="s">
        <v>85</v>
      </c>
      <c r="C490">
        <v>70477743</v>
      </c>
      <c r="D490" t="s">
        <v>3</v>
      </c>
      <c r="E490" t="s">
        <v>501</v>
      </c>
      <c r="F490" t="s">
        <v>575</v>
      </c>
      <c r="G490" s="55">
        <v>46055</v>
      </c>
      <c r="H490">
        <v>4</v>
      </c>
      <c r="I490" t="s">
        <v>209</v>
      </c>
      <c r="J490" s="55"/>
    </row>
    <row r="491" spans="1:10" x14ac:dyDescent="0.25">
      <c r="A491" t="s">
        <v>605</v>
      </c>
      <c r="B491" t="s">
        <v>65</v>
      </c>
      <c r="C491">
        <v>47659267</v>
      </c>
      <c r="D491" t="s">
        <v>2</v>
      </c>
      <c r="E491" t="s">
        <v>501</v>
      </c>
      <c r="F491" t="s">
        <v>575</v>
      </c>
      <c r="G491" s="55">
        <v>45019</v>
      </c>
      <c r="H491">
        <v>38</v>
      </c>
      <c r="I491" t="s">
        <v>159</v>
      </c>
      <c r="J491" s="55"/>
    </row>
    <row r="492" spans="1:10" x14ac:dyDescent="0.25">
      <c r="A492" t="s">
        <v>605</v>
      </c>
      <c r="B492" t="s">
        <v>13</v>
      </c>
      <c r="C492">
        <v>72512391</v>
      </c>
      <c r="D492" t="s">
        <v>2</v>
      </c>
      <c r="E492" t="s">
        <v>501</v>
      </c>
      <c r="F492" t="s">
        <v>575</v>
      </c>
      <c r="G492" s="55">
        <v>44809</v>
      </c>
      <c r="H492">
        <v>45</v>
      </c>
      <c r="I492" t="s">
        <v>159</v>
      </c>
      <c r="J492" s="55"/>
    </row>
    <row r="493" spans="1:10" x14ac:dyDescent="0.25">
      <c r="A493" t="s">
        <v>605</v>
      </c>
      <c r="B493" t="s">
        <v>22</v>
      </c>
      <c r="C493">
        <v>70551168</v>
      </c>
      <c r="D493" t="s">
        <v>2</v>
      </c>
      <c r="E493" t="s">
        <v>501</v>
      </c>
      <c r="F493" t="s">
        <v>575</v>
      </c>
      <c r="G493" s="55">
        <v>45295</v>
      </c>
      <c r="H493">
        <v>29</v>
      </c>
      <c r="I493" t="s">
        <v>159</v>
      </c>
      <c r="J493" s="55"/>
    </row>
    <row r="494" spans="1:10" x14ac:dyDescent="0.25">
      <c r="A494" t="s">
        <v>605</v>
      </c>
      <c r="B494" t="s">
        <v>24</v>
      </c>
      <c r="C494">
        <v>43614775</v>
      </c>
      <c r="D494" t="s">
        <v>2</v>
      </c>
      <c r="E494" t="s">
        <v>501</v>
      </c>
      <c r="F494" t="s">
        <v>575</v>
      </c>
      <c r="G494" s="55">
        <v>45334</v>
      </c>
      <c r="H494">
        <v>28</v>
      </c>
      <c r="I494" t="s">
        <v>159</v>
      </c>
      <c r="J494" s="55"/>
    </row>
    <row r="495" spans="1:10" x14ac:dyDescent="0.25">
      <c r="A495" t="s">
        <v>605</v>
      </c>
      <c r="B495" t="s">
        <v>25</v>
      </c>
      <c r="C495">
        <v>72373931</v>
      </c>
      <c r="D495" t="s">
        <v>2</v>
      </c>
      <c r="E495" t="s">
        <v>501</v>
      </c>
      <c r="F495" t="s">
        <v>575</v>
      </c>
      <c r="G495" s="55">
        <v>44818</v>
      </c>
      <c r="H495">
        <v>45</v>
      </c>
      <c r="I495" t="s">
        <v>159</v>
      </c>
      <c r="J495" s="55"/>
    </row>
    <row r="496" spans="1:10" x14ac:dyDescent="0.25">
      <c r="A496" t="s">
        <v>605</v>
      </c>
      <c r="B496" t="s">
        <v>42</v>
      </c>
      <c r="C496">
        <v>73725129</v>
      </c>
      <c r="D496" t="s">
        <v>2</v>
      </c>
      <c r="E496" t="s">
        <v>501</v>
      </c>
      <c r="F496" t="s">
        <v>575</v>
      </c>
      <c r="G496" s="55">
        <v>45398</v>
      </c>
      <c r="H496">
        <v>26</v>
      </c>
      <c r="I496" t="s">
        <v>159</v>
      </c>
      <c r="J496" s="55"/>
    </row>
    <row r="497" spans="1:10" x14ac:dyDescent="0.25">
      <c r="A497" t="s">
        <v>605</v>
      </c>
      <c r="B497" t="s">
        <v>37</v>
      </c>
      <c r="C497">
        <v>70988976</v>
      </c>
      <c r="D497" t="s">
        <v>2</v>
      </c>
      <c r="E497" t="s">
        <v>501</v>
      </c>
      <c r="F497" t="s">
        <v>575</v>
      </c>
      <c r="G497" s="55">
        <v>45112</v>
      </c>
      <c r="H497">
        <v>35</v>
      </c>
      <c r="I497" t="s">
        <v>159</v>
      </c>
      <c r="J497" s="55"/>
    </row>
    <row r="498" spans="1:10" x14ac:dyDescent="0.25">
      <c r="A498" t="s">
        <v>605</v>
      </c>
      <c r="B498" t="s">
        <v>81</v>
      </c>
      <c r="C498">
        <v>72716299</v>
      </c>
      <c r="D498" t="s">
        <v>602</v>
      </c>
      <c r="E498" t="s">
        <v>602</v>
      </c>
      <c r="F498" t="s">
        <v>575</v>
      </c>
      <c r="G498" s="55">
        <v>45511</v>
      </c>
      <c r="H498">
        <v>22</v>
      </c>
      <c r="I498" t="s">
        <v>602</v>
      </c>
      <c r="J498" s="55"/>
    </row>
    <row r="499" spans="1:10" x14ac:dyDescent="0.25">
      <c r="A499" t="s">
        <v>605</v>
      </c>
      <c r="B499" t="s">
        <v>31</v>
      </c>
      <c r="C499">
        <v>75882265</v>
      </c>
      <c r="D499" t="s">
        <v>2</v>
      </c>
      <c r="E499" t="s">
        <v>501</v>
      </c>
      <c r="F499" t="s">
        <v>575</v>
      </c>
      <c r="G499" s="55">
        <v>46141</v>
      </c>
      <c r="H499">
        <v>1</v>
      </c>
      <c r="I499" t="s">
        <v>159</v>
      </c>
      <c r="J499" s="55"/>
    </row>
    <row r="500" spans="1:10" x14ac:dyDescent="0.25">
      <c r="A500" t="s">
        <v>605</v>
      </c>
      <c r="B500" t="s">
        <v>10</v>
      </c>
      <c r="C500">
        <v>40980108</v>
      </c>
      <c r="D500" t="s">
        <v>2</v>
      </c>
      <c r="E500" t="s">
        <v>501</v>
      </c>
      <c r="F500" t="s">
        <v>575</v>
      </c>
      <c r="G500" s="55">
        <v>44704</v>
      </c>
      <c r="H500">
        <v>48</v>
      </c>
      <c r="I500" t="s">
        <v>159</v>
      </c>
      <c r="J500" s="55"/>
    </row>
    <row r="501" spans="1:10" x14ac:dyDescent="0.25">
      <c r="A501" t="s">
        <v>605</v>
      </c>
      <c r="B501" t="s">
        <v>12</v>
      </c>
      <c r="C501">
        <v>45262585</v>
      </c>
      <c r="D501" t="s">
        <v>7</v>
      </c>
      <c r="E501" t="s">
        <v>501</v>
      </c>
      <c r="F501" t="s">
        <v>575</v>
      </c>
      <c r="G501" s="55">
        <v>44868</v>
      </c>
      <c r="H501">
        <v>43</v>
      </c>
      <c r="I501" t="s">
        <v>159</v>
      </c>
      <c r="J501" s="55"/>
    </row>
    <row r="502" spans="1:10" x14ac:dyDescent="0.25">
      <c r="A502" t="s">
        <v>605</v>
      </c>
      <c r="B502" t="s">
        <v>59</v>
      </c>
      <c r="C502">
        <v>60870839</v>
      </c>
      <c r="D502" t="s">
        <v>7</v>
      </c>
      <c r="E502" t="s">
        <v>501</v>
      </c>
      <c r="F502" t="s">
        <v>575</v>
      </c>
      <c r="G502" s="55">
        <v>45344</v>
      </c>
      <c r="H502">
        <v>27</v>
      </c>
      <c r="I502" t="s">
        <v>159</v>
      </c>
      <c r="J502" s="55"/>
    </row>
    <row r="503" spans="1:10" x14ac:dyDescent="0.25">
      <c r="A503" t="s">
        <v>605</v>
      </c>
      <c r="B503" t="s">
        <v>18</v>
      </c>
      <c r="C503">
        <v>76214436</v>
      </c>
      <c r="D503" t="s">
        <v>7</v>
      </c>
      <c r="E503" t="s">
        <v>501</v>
      </c>
      <c r="F503" t="s">
        <v>575</v>
      </c>
      <c r="G503" s="55">
        <v>45132</v>
      </c>
      <c r="H503">
        <v>34</v>
      </c>
      <c r="I503" t="s">
        <v>159</v>
      </c>
      <c r="J503" s="55"/>
    </row>
    <row r="504" spans="1:10" x14ac:dyDescent="0.25">
      <c r="A504" t="s">
        <v>605</v>
      </c>
      <c r="B504" t="s">
        <v>75</v>
      </c>
      <c r="C504">
        <v>71264767</v>
      </c>
      <c r="D504" t="s">
        <v>7</v>
      </c>
      <c r="E504" t="s">
        <v>501</v>
      </c>
      <c r="F504" t="s">
        <v>575</v>
      </c>
      <c r="G504" s="55">
        <v>44714</v>
      </c>
      <c r="H504">
        <v>48</v>
      </c>
      <c r="I504" t="s">
        <v>159</v>
      </c>
      <c r="J504" s="55"/>
    </row>
    <row r="505" spans="1:10" x14ac:dyDescent="0.25">
      <c r="A505" t="s">
        <v>605</v>
      </c>
      <c r="B505" t="s">
        <v>60</v>
      </c>
      <c r="C505">
        <v>72839865</v>
      </c>
      <c r="D505" t="s">
        <v>7</v>
      </c>
      <c r="E505" t="s">
        <v>501</v>
      </c>
      <c r="F505" t="s">
        <v>575</v>
      </c>
      <c r="G505" s="55">
        <v>45854</v>
      </c>
      <c r="H505">
        <v>11</v>
      </c>
      <c r="I505" t="s">
        <v>159</v>
      </c>
      <c r="J505" s="55"/>
    </row>
    <row r="506" spans="1:10" x14ac:dyDescent="0.25">
      <c r="A506" t="s">
        <v>605</v>
      </c>
      <c r="B506" t="s">
        <v>61</v>
      </c>
      <c r="C506">
        <v>44001162</v>
      </c>
      <c r="D506" t="s">
        <v>7</v>
      </c>
      <c r="E506" t="s">
        <v>501</v>
      </c>
      <c r="F506" t="s">
        <v>575</v>
      </c>
      <c r="G506" s="55">
        <v>44907</v>
      </c>
      <c r="H506">
        <v>42</v>
      </c>
      <c r="I506" t="s">
        <v>159</v>
      </c>
      <c r="J506" s="55"/>
    </row>
    <row r="507" spans="1:10" x14ac:dyDescent="0.25">
      <c r="A507" t="s">
        <v>605</v>
      </c>
      <c r="B507" t="s">
        <v>72</v>
      </c>
      <c r="C507">
        <v>47690367</v>
      </c>
      <c r="D507" t="s">
        <v>7</v>
      </c>
      <c r="E507" t="s">
        <v>501</v>
      </c>
      <c r="F507" t="s">
        <v>575</v>
      </c>
      <c r="G507" s="55">
        <v>45691</v>
      </c>
      <c r="H507">
        <v>16</v>
      </c>
      <c r="I507" t="s">
        <v>159</v>
      </c>
      <c r="J507" s="55"/>
    </row>
    <row r="508" spans="1:10" x14ac:dyDescent="0.25">
      <c r="A508" t="s">
        <v>605</v>
      </c>
      <c r="B508" t="s">
        <v>80</v>
      </c>
      <c r="C508">
        <v>45084594</v>
      </c>
      <c r="D508" t="s">
        <v>7</v>
      </c>
      <c r="E508" t="s">
        <v>501</v>
      </c>
      <c r="F508" t="s">
        <v>575</v>
      </c>
      <c r="G508" s="55">
        <v>45281</v>
      </c>
      <c r="H508">
        <v>29</v>
      </c>
      <c r="I508" t="s">
        <v>159</v>
      </c>
      <c r="J508" s="55"/>
    </row>
    <row r="509" spans="1:10" x14ac:dyDescent="0.25">
      <c r="A509" t="s">
        <v>605</v>
      </c>
      <c r="B509" t="s">
        <v>51</v>
      </c>
      <c r="C509">
        <v>76089925</v>
      </c>
      <c r="D509" t="s">
        <v>7</v>
      </c>
      <c r="E509" t="s">
        <v>501</v>
      </c>
      <c r="F509" t="s">
        <v>575</v>
      </c>
      <c r="G509" s="55">
        <v>45678</v>
      </c>
      <c r="H509">
        <v>16</v>
      </c>
      <c r="I509" t="s">
        <v>159</v>
      </c>
      <c r="J509" s="55"/>
    </row>
    <row r="510" spans="1:10" x14ac:dyDescent="0.25">
      <c r="A510" t="s">
        <v>605</v>
      </c>
      <c r="B510" t="s">
        <v>26</v>
      </c>
      <c r="C510">
        <v>41005089</v>
      </c>
      <c r="D510" t="s">
        <v>7</v>
      </c>
      <c r="E510" t="s">
        <v>501</v>
      </c>
      <c r="F510" t="s">
        <v>575</v>
      </c>
      <c r="G510" s="55">
        <v>44257</v>
      </c>
      <c r="H510">
        <v>63</v>
      </c>
      <c r="I510" t="s">
        <v>159</v>
      </c>
      <c r="J510" s="55"/>
    </row>
    <row r="511" spans="1:10" x14ac:dyDescent="0.25">
      <c r="A511" t="s">
        <v>605</v>
      </c>
      <c r="B511" t="s">
        <v>495</v>
      </c>
      <c r="C511">
        <v>62792399</v>
      </c>
      <c r="D511" t="s">
        <v>604</v>
      </c>
      <c r="E511" t="s">
        <v>501</v>
      </c>
      <c r="F511" t="s">
        <v>575</v>
      </c>
      <c r="G511" s="55">
        <v>46052</v>
      </c>
      <c r="H511">
        <v>4</v>
      </c>
      <c r="I511" t="s">
        <v>586</v>
      </c>
      <c r="J511" s="55"/>
    </row>
    <row r="512" spans="1:10" x14ac:dyDescent="0.25">
      <c r="A512" t="s">
        <v>605</v>
      </c>
      <c r="B512" t="s">
        <v>109</v>
      </c>
      <c r="C512">
        <v>74626735</v>
      </c>
      <c r="D512" t="s">
        <v>604</v>
      </c>
      <c r="E512" t="s">
        <v>501</v>
      </c>
      <c r="F512" t="s">
        <v>575</v>
      </c>
      <c r="G512" s="55">
        <v>46024</v>
      </c>
      <c r="H512">
        <v>5</v>
      </c>
      <c r="I512" t="s">
        <v>586</v>
      </c>
      <c r="J512" s="55"/>
    </row>
    <row r="513" spans="1:10" x14ac:dyDescent="0.25">
      <c r="A513" t="s">
        <v>605</v>
      </c>
      <c r="B513" t="s">
        <v>77</v>
      </c>
      <c r="C513">
        <v>42251780</v>
      </c>
      <c r="D513" t="s">
        <v>604</v>
      </c>
      <c r="E513" t="s">
        <v>501</v>
      </c>
      <c r="F513" t="s">
        <v>575</v>
      </c>
      <c r="G513" s="55">
        <v>44838</v>
      </c>
      <c r="H513">
        <v>44</v>
      </c>
      <c r="I513" t="s">
        <v>586</v>
      </c>
      <c r="J513" s="55"/>
    </row>
    <row r="514" spans="1:10" x14ac:dyDescent="0.25">
      <c r="A514" t="s">
        <v>605</v>
      </c>
      <c r="B514" t="s">
        <v>48</v>
      </c>
      <c r="C514">
        <v>43307898</v>
      </c>
      <c r="D514" t="s">
        <v>604</v>
      </c>
      <c r="E514" t="s">
        <v>501</v>
      </c>
      <c r="F514" t="s">
        <v>575</v>
      </c>
      <c r="G514" s="55">
        <v>44746</v>
      </c>
      <c r="H514">
        <v>47</v>
      </c>
      <c r="I514" t="s">
        <v>586</v>
      </c>
      <c r="J514" s="55"/>
    </row>
    <row r="515" spans="1:10" x14ac:dyDescent="0.25">
      <c r="A515" t="s">
        <v>605</v>
      </c>
      <c r="B515" t="s">
        <v>49</v>
      </c>
      <c r="C515">
        <v>40702064</v>
      </c>
      <c r="D515" t="s">
        <v>604</v>
      </c>
      <c r="E515" t="s">
        <v>501</v>
      </c>
      <c r="F515" t="s">
        <v>575</v>
      </c>
      <c r="G515" s="55">
        <v>43313</v>
      </c>
      <c r="H515">
        <v>94</v>
      </c>
      <c r="I515" t="s">
        <v>586</v>
      </c>
      <c r="J515" s="55"/>
    </row>
    <row r="516" spans="1:10" x14ac:dyDescent="0.25">
      <c r="A516" t="s">
        <v>605</v>
      </c>
      <c r="B516" t="s">
        <v>78</v>
      </c>
      <c r="C516">
        <v>10706451</v>
      </c>
      <c r="D516" t="s">
        <v>604</v>
      </c>
      <c r="E516" t="s">
        <v>501</v>
      </c>
      <c r="F516" t="s">
        <v>575</v>
      </c>
      <c r="G516" s="55">
        <v>44943</v>
      </c>
      <c r="H516">
        <v>41</v>
      </c>
      <c r="I516" t="s">
        <v>586</v>
      </c>
      <c r="J516" s="55"/>
    </row>
    <row r="517" spans="1:10" x14ac:dyDescent="0.25">
      <c r="A517" t="s">
        <v>605</v>
      </c>
      <c r="B517" t="s">
        <v>600</v>
      </c>
      <c r="C517">
        <v>73623874</v>
      </c>
      <c r="D517" t="s">
        <v>604</v>
      </c>
      <c r="E517" t="s">
        <v>501</v>
      </c>
      <c r="F517" t="s">
        <v>575</v>
      </c>
      <c r="G517" s="55">
        <v>46139</v>
      </c>
      <c r="H517">
        <v>1</v>
      </c>
      <c r="I517" t="s">
        <v>586</v>
      </c>
      <c r="J517" s="55"/>
    </row>
    <row r="518" spans="1:10" x14ac:dyDescent="0.25">
      <c r="A518" t="s">
        <v>605</v>
      </c>
      <c r="B518" t="s">
        <v>41</v>
      </c>
      <c r="C518">
        <v>46461021</v>
      </c>
      <c r="D518" t="s">
        <v>604</v>
      </c>
      <c r="E518" t="s">
        <v>501</v>
      </c>
      <c r="F518" t="s">
        <v>575</v>
      </c>
      <c r="G518" s="55">
        <v>45302</v>
      </c>
      <c r="H518">
        <v>29</v>
      </c>
      <c r="I518" t="s">
        <v>587</v>
      </c>
      <c r="J518" s="55"/>
    </row>
    <row r="519" spans="1:10" x14ac:dyDescent="0.25">
      <c r="A519" t="s">
        <v>605</v>
      </c>
      <c r="B519" t="s">
        <v>549</v>
      </c>
      <c r="C519">
        <v>73233992</v>
      </c>
      <c r="D519" t="s">
        <v>604</v>
      </c>
      <c r="E519" t="s">
        <v>501</v>
      </c>
      <c r="F519" t="s">
        <v>575</v>
      </c>
      <c r="G519" s="55">
        <v>46065</v>
      </c>
      <c r="H519">
        <v>4</v>
      </c>
      <c r="I519" t="s">
        <v>587</v>
      </c>
      <c r="J519" s="55"/>
    </row>
    <row r="520" spans="1:10" x14ac:dyDescent="0.25">
      <c r="A520" t="s">
        <v>605</v>
      </c>
      <c r="B520" t="s">
        <v>566</v>
      </c>
      <c r="C520">
        <v>75693756</v>
      </c>
      <c r="D520" t="s">
        <v>604</v>
      </c>
      <c r="E520" t="s">
        <v>577</v>
      </c>
      <c r="F520" t="s">
        <v>575</v>
      </c>
      <c r="G520" s="55">
        <v>46084</v>
      </c>
      <c r="H520">
        <v>2</v>
      </c>
      <c r="I520" t="s">
        <v>587</v>
      </c>
      <c r="J520" s="55">
        <v>46172</v>
      </c>
    </row>
    <row r="521" spans="1:10" x14ac:dyDescent="0.25">
      <c r="A521" t="s">
        <v>605</v>
      </c>
      <c r="B521" t="s">
        <v>55</v>
      </c>
      <c r="C521">
        <v>45119892</v>
      </c>
      <c r="D521" t="s">
        <v>604</v>
      </c>
      <c r="E521" t="s">
        <v>501</v>
      </c>
      <c r="F521" t="s">
        <v>575</v>
      </c>
      <c r="G521" s="55">
        <v>45813</v>
      </c>
      <c r="H521">
        <v>12</v>
      </c>
      <c r="I521" t="s">
        <v>587</v>
      </c>
      <c r="J521" s="55"/>
    </row>
    <row r="522" spans="1:10" x14ac:dyDescent="0.25">
      <c r="A522" t="s">
        <v>605</v>
      </c>
      <c r="B522" t="s">
        <v>599</v>
      </c>
      <c r="C522">
        <v>42227234</v>
      </c>
      <c r="D522" t="s">
        <v>604</v>
      </c>
      <c r="E522" t="s">
        <v>501</v>
      </c>
      <c r="F522" t="s">
        <v>575</v>
      </c>
      <c r="G522" s="55">
        <v>46121</v>
      </c>
      <c r="H522">
        <v>2</v>
      </c>
      <c r="I522" t="s">
        <v>587</v>
      </c>
      <c r="J522" s="55"/>
    </row>
    <row r="523" spans="1:10" x14ac:dyDescent="0.25">
      <c r="A523" t="s">
        <v>605</v>
      </c>
      <c r="B523" t="s">
        <v>601</v>
      </c>
      <c r="C523">
        <v>77710185</v>
      </c>
      <c r="D523" t="s">
        <v>604</v>
      </c>
      <c r="E523" t="s">
        <v>577</v>
      </c>
      <c r="F523" t="s">
        <v>575</v>
      </c>
      <c r="G523" s="55">
        <v>46141</v>
      </c>
      <c r="H523">
        <v>1</v>
      </c>
      <c r="I523" t="s">
        <v>587</v>
      </c>
      <c r="J523" s="55">
        <v>46172</v>
      </c>
    </row>
    <row r="524" spans="1:10" x14ac:dyDescent="0.25">
      <c r="A524" t="s">
        <v>605</v>
      </c>
      <c r="B524" t="s">
        <v>17</v>
      </c>
      <c r="C524">
        <v>70876605</v>
      </c>
      <c r="D524" t="s">
        <v>602</v>
      </c>
      <c r="E524" t="s">
        <v>602</v>
      </c>
      <c r="F524" t="s">
        <v>575</v>
      </c>
      <c r="G524" s="55">
        <v>44886</v>
      </c>
      <c r="H524">
        <v>42</v>
      </c>
      <c r="I524" t="s">
        <v>602</v>
      </c>
      <c r="J524" s="55"/>
    </row>
    <row r="525" spans="1:10" x14ac:dyDescent="0.25">
      <c r="A525" t="s">
        <v>605</v>
      </c>
      <c r="B525" t="s">
        <v>38</v>
      </c>
      <c r="C525">
        <v>47411966</v>
      </c>
      <c r="D525" t="s">
        <v>500</v>
      </c>
      <c r="E525" t="s">
        <v>500</v>
      </c>
      <c r="F525" t="s">
        <v>575</v>
      </c>
      <c r="G525" s="55">
        <v>45800</v>
      </c>
      <c r="H525">
        <v>12</v>
      </c>
      <c r="I525" t="s">
        <v>500</v>
      </c>
      <c r="J525" s="55"/>
    </row>
    <row r="526" spans="1:10" x14ac:dyDescent="0.25">
      <c r="A526" t="s">
        <v>605</v>
      </c>
      <c r="B526" t="s">
        <v>15</v>
      </c>
      <c r="C526">
        <v>47587400</v>
      </c>
      <c r="D526" t="s">
        <v>500</v>
      </c>
      <c r="E526" t="s">
        <v>500</v>
      </c>
      <c r="F526" t="s">
        <v>575</v>
      </c>
      <c r="G526" s="55">
        <v>44733</v>
      </c>
      <c r="H526">
        <v>47</v>
      </c>
      <c r="I526" t="s">
        <v>500</v>
      </c>
      <c r="J526" s="55"/>
    </row>
    <row r="527" spans="1:10" x14ac:dyDescent="0.25">
      <c r="A527" t="s">
        <v>605</v>
      </c>
      <c r="B527" t="s">
        <v>50</v>
      </c>
      <c r="C527">
        <v>72733809</v>
      </c>
      <c r="D527" t="s">
        <v>500</v>
      </c>
      <c r="E527" t="s">
        <v>500</v>
      </c>
      <c r="F527" t="s">
        <v>575</v>
      </c>
      <c r="G527" s="55">
        <v>45789</v>
      </c>
      <c r="H527">
        <v>13</v>
      </c>
      <c r="I527" t="s">
        <v>500</v>
      </c>
      <c r="J527" s="55"/>
    </row>
    <row r="528" spans="1:10" x14ac:dyDescent="0.25">
      <c r="A528" t="s">
        <v>605</v>
      </c>
      <c r="B528" t="s">
        <v>73</v>
      </c>
      <c r="C528">
        <v>40318129</v>
      </c>
      <c r="D528" t="s">
        <v>500</v>
      </c>
      <c r="E528" t="s">
        <v>500</v>
      </c>
      <c r="F528" t="s">
        <v>575</v>
      </c>
      <c r="G528" s="55">
        <v>45141</v>
      </c>
      <c r="H528">
        <v>34</v>
      </c>
      <c r="I528" t="s">
        <v>500</v>
      </c>
      <c r="J528" s="55"/>
    </row>
    <row r="529" spans="1:10" x14ac:dyDescent="0.25">
      <c r="A529" t="s">
        <v>628</v>
      </c>
      <c r="B529" t="s">
        <v>219</v>
      </c>
      <c r="C529">
        <v>74122258</v>
      </c>
      <c r="D529" t="s">
        <v>6</v>
      </c>
      <c r="E529" t="s">
        <v>133</v>
      </c>
      <c r="F529" t="s">
        <v>575</v>
      </c>
      <c r="G529" s="55">
        <v>44022</v>
      </c>
      <c r="H529">
        <v>71</v>
      </c>
      <c r="I529" t="s">
        <v>209</v>
      </c>
      <c r="J529" s="55"/>
    </row>
    <row r="530" spans="1:10" x14ac:dyDescent="0.25">
      <c r="A530" t="s">
        <v>628</v>
      </c>
      <c r="B530" t="s">
        <v>248</v>
      </c>
      <c r="C530">
        <v>44265602</v>
      </c>
      <c r="D530" t="s">
        <v>2</v>
      </c>
      <c r="E530" t="s">
        <v>133</v>
      </c>
      <c r="F530" t="s">
        <v>575</v>
      </c>
      <c r="G530" s="55">
        <v>44673</v>
      </c>
      <c r="H530">
        <v>49</v>
      </c>
      <c r="I530" t="s">
        <v>159</v>
      </c>
      <c r="J530" s="55"/>
    </row>
    <row r="531" spans="1:10" x14ac:dyDescent="0.25">
      <c r="A531" t="s">
        <v>628</v>
      </c>
      <c r="B531" t="s">
        <v>226</v>
      </c>
      <c r="C531">
        <v>73049631</v>
      </c>
      <c r="D531" t="s">
        <v>3</v>
      </c>
      <c r="E531" t="s">
        <v>133</v>
      </c>
      <c r="F531" t="s">
        <v>575</v>
      </c>
      <c r="G531" s="55">
        <v>43506</v>
      </c>
      <c r="H531">
        <v>88</v>
      </c>
      <c r="I531" t="s">
        <v>209</v>
      </c>
      <c r="J531" s="55"/>
    </row>
    <row r="532" spans="1:10" x14ac:dyDescent="0.25">
      <c r="A532" t="s">
        <v>628</v>
      </c>
      <c r="B532" t="s">
        <v>222</v>
      </c>
      <c r="C532">
        <v>75000131</v>
      </c>
      <c r="D532" t="s">
        <v>125</v>
      </c>
      <c r="E532" t="s">
        <v>133</v>
      </c>
      <c r="F532" t="s">
        <v>575</v>
      </c>
      <c r="G532" s="55">
        <v>44109</v>
      </c>
      <c r="H532">
        <v>68</v>
      </c>
      <c r="I532" t="s">
        <v>159</v>
      </c>
      <c r="J532" s="55"/>
    </row>
    <row r="533" spans="1:10" x14ac:dyDescent="0.25">
      <c r="A533" t="s">
        <v>628</v>
      </c>
      <c r="B533" t="s">
        <v>214</v>
      </c>
      <c r="C533">
        <v>46872195</v>
      </c>
      <c r="D533" t="s">
        <v>7</v>
      </c>
      <c r="E533" t="s">
        <v>133</v>
      </c>
      <c r="F533" t="s">
        <v>575</v>
      </c>
      <c r="G533" s="55">
        <v>43805</v>
      </c>
      <c r="H533">
        <v>78</v>
      </c>
      <c r="I533" t="s">
        <v>158</v>
      </c>
      <c r="J533" s="55"/>
    </row>
    <row r="534" spans="1:10" x14ac:dyDescent="0.25">
      <c r="A534" t="s">
        <v>628</v>
      </c>
      <c r="B534" t="s">
        <v>23</v>
      </c>
      <c r="C534">
        <v>72413556</v>
      </c>
      <c r="D534" t="s">
        <v>604</v>
      </c>
      <c r="E534" t="s">
        <v>133</v>
      </c>
      <c r="F534" t="s">
        <v>575</v>
      </c>
      <c r="G534" s="55">
        <v>44109</v>
      </c>
      <c r="H534">
        <v>68</v>
      </c>
      <c r="I534" t="s">
        <v>209</v>
      </c>
      <c r="J534" s="55"/>
    </row>
    <row r="535" spans="1:10" x14ac:dyDescent="0.25">
      <c r="A535" t="s">
        <v>628</v>
      </c>
      <c r="B535" t="s">
        <v>59</v>
      </c>
      <c r="C535">
        <v>60870839</v>
      </c>
      <c r="D535" t="s">
        <v>2</v>
      </c>
      <c r="E535" t="s">
        <v>501</v>
      </c>
      <c r="F535" t="s">
        <v>575</v>
      </c>
      <c r="G535" s="55">
        <v>45344</v>
      </c>
      <c r="H535">
        <v>27</v>
      </c>
      <c r="I535" t="s">
        <v>1244</v>
      </c>
      <c r="J535" s="55"/>
    </row>
    <row r="536" spans="1:10" x14ac:dyDescent="0.25">
      <c r="A536" t="s">
        <v>628</v>
      </c>
      <c r="B536" t="s">
        <v>60</v>
      </c>
      <c r="C536">
        <v>72839865</v>
      </c>
      <c r="D536" t="s">
        <v>3</v>
      </c>
      <c r="E536" t="s">
        <v>501</v>
      </c>
      <c r="F536" t="s">
        <v>575</v>
      </c>
      <c r="G536" s="55">
        <v>45854</v>
      </c>
      <c r="H536">
        <v>11</v>
      </c>
      <c r="I536" t="s">
        <v>629</v>
      </c>
      <c r="J536" s="55"/>
    </row>
    <row r="537" spans="1:10" x14ac:dyDescent="0.25">
      <c r="A537" t="s">
        <v>628</v>
      </c>
      <c r="B537" t="s">
        <v>79</v>
      </c>
      <c r="C537">
        <v>71262377</v>
      </c>
      <c r="D537" t="s">
        <v>3</v>
      </c>
      <c r="E537" t="s">
        <v>501</v>
      </c>
      <c r="F537" t="s">
        <v>575</v>
      </c>
      <c r="G537" s="55">
        <v>45145</v>
      </c>
      <c r="H537">
        <v>34</v>
      </c>
      <c r="I537" t="s">
        <v>629</v>
      </c>
      <c r="J537" s="55"/>
    </row>
    <row r="538" spans="1:10" x14ac:dyDescent="0.25">
      <c r="A538" t="s">
        <v>628</v>
      </c>
      <c r="B538" t="s">
        <v>68</v>
      </c>
      <c r="C538">
        <v>73257316</v>
      </c>
      <c r="D538" t="s">
        <v>3</v>
      </c>
      <c r="E538" t="s">
        <v>501</v>
      </c>
      <c r="F538" t="s">
        <v>575</v>
      </c>
      <c r="G538" s="55">
        <v>45363</v>
      </c>
      <c r="H538">
        <v>27</v>
      </c>
      <c r="I538" t="s">
        <v>629</v>
      </c>
      <c r="J538" s="55"/>
    </row>
    <row r="539" spans="1:10" x14ac:dyDescent="0.25">
      <c r="A539" t="s">
        <v>628</v>
      </c>
      <c r="B539" t="s">
        <v>97</v>
      </c>
      <c r="C539">
        <v>74602206</v>
      </c>
      <c r="D539" t="s">
        <v>6</v>
      </c>
      <c r="E539" t="s">
        <v>501</v>
      </c>
      <c r="F539" t="s">
        <v>575</v>
      </c>
      <c r="G539" s="55">
        <v>45884</v>
      </c>
      <c r="H539">
        <v>10</v>
      </c>
      <c r="I539" t="s">
        <v>209</v>
      </c>
      <c r="J539" s="55"/>
    </row>
    <row r="540" spans="1:10" x14ac:dyDescent="0.25">
      <c r="A540" t="s">
        <v>628</v>
      </c>
      <c r="B540" t="s">
        <v>105</v>
      </c>
      <c r="C540">
        <v>48344037</v>
      </c>
      <c r="D540" t="s">
        <v>6</v>
      </c>
      <c r="E540" t="s">
        <v>501</v>
      </c>
      <c r="F540" t="s">
        <v>575</v>
      </c>
      <c r="G540" s="55">
        <v>46027</v>
      </c>
      <c r="H540">
        <v>5</v>
      </c>
      <c r="I540" t="s">
        <v>209</v>
      </c>
      <c r="J540" s="55"/>
    </row>
    <row r="541" spans="1:10" x14ac:dyDescent="0.25">
      <c r="A541" t="s">
        <v>628</v>
      </c>
      <c r="B541" t="s">
        <v>31</v>
      </c>
      <c r="C541">
        <v>75882265</v>
      </c>
      <c r="D541" t="s">
        <v>6</v>
      </c>
      <c r="E541" t="s">
        <v>501</v>
      </c>
      <c r="F541" t="s">
        <v>575</v>
      </c>
      <c r="G541" s="55">
        <v>46141</v>
      </c>
      <c r="H541">
        <v>1</v>
      </c>
      <c r="I541" t="s">
        <v>209</v>
      </c>
      <c r="J541" s="55"/>
    </row>
    <row r="542" spans="1:10" x14ac:dyDescent="0.25">
      <c r="A542" t="s">
        <v>628</v>
      </c>
      <c r="B542" t="s">
        <v>35</v>
      </c>
      <c r="C542">
        <v>10491198</v>
      </c>
      <c r="D542" t="s">
        <v>6</v>
      </c>
      <c r="E542" t="s">
        <v>501</v>
      </c>
      <c r="F542" t="s">
        <v>575</v>
      </c>
      <c r="G542" s="55">
        <v>44746</v>
      </c>
      <c r="H542">
        <v>47</v>
      </c>
      <c r="I542" t="s">
        <v>209</v>
      </c>
      <c r="J542" s="55"/>
    </row>
    <row r="543" spans="1:10" x14ac:dyDescent="0.25">
      <c r="A543" t="s">
        <v>628</v>
      </c>
      <c r="B543" t="s">
        <v>11</v>
      </c>
      <c r="C543">
        <v>45139159</v>
      </c>
      <c r="D543" t="s">
        <v>6</v>
      </c>
      <c r="E543" t="s">
        <v>501</v>
      </c>
      <c r="F543" t="s">
        <v>575</v>
      </c>
      <c r="G543" s="55">
        <v>45369</v>
      </c>
      <c r="H543">
        <v>26</v>
      </c>
      <c r="I543" t="s">
        <v>209</v>
      </c>
      <c r="J543" s="55"/>
    </row>
    <row r="544" spans="1:10" x14ac:dyDescent="0.25">
      <c r="A544" t="s">
        <v>628</v>
      </c>
      <c r="B544" t="s">
        <v>34</v>
      </c>
      <c r="C544">
        <v>76824571</v>
      </c>
      <c r="D544" t="s">
        <v>6</v>
      </c>
      <c r="E544" t="s">
        <v>501</v>
      </c>
      <c r="F544" t="s">
        <v>575</v>
      </c>
      <c r="G544" s="55">
        <v>45173</v>
      </c>
      <c r="H544">
        <v>33</v>
      </c>
      <c r="I544" t="s">
        <v>209</v>
      </c>
      <c r="J544" s="55"/>
    </row>
    <row r="545" spans="1:10" x14ac:dyDescent="0.25">
      <c r="A545" t="s">
        <v>628</v>
      </c>
      <c r="B545" t="s">
        <v>19</v>
      </c>
      <c r="C545">
        <v>76656128</v>
      </c>
      <c r="D545" t="s">
        <v>6</v>
      </c>
      <c r="E545" t="s">
        <v>501</v>
      </c>
      <c r="F545" t="s">
        <v>575</v>
      </c>
      <c r="G545" s="55">
        <v>44671</v>
      </c>
      <c r="H545">
        <v>49</v>
      </c>
      <c r="I545" t="s">
        <v>209</v>
      </c>
      <c r="J545" s="55"/>
    </row>
    <row r="546" spans="1:10" x14ac:dyDescent="0.25">
      <c r="A546" t="s">
        <v>628</v>
      </c>
      <c r="B546" t="s">
        <v>38</v>
      </c>
      <c r="C546">
        <v>47411966</v>
      </c>
      <c r="D546" t="s">
        <v>6</v>
      </c>
      <c r="E546" t="s">
        <v>501</v>
      </c>
      <c r="F546" t="s">
        <v>575</v>
      </c>
      <c r="G546" s="55">
        <v>45800</v>
      </c>
      <c r="H546">
        <v>12</v>
      </c>
      <c r="I546" t="s">
        <v>209</v>
      </c>
      <c r="J546" s="55"/>
    </row>
    <row r="547" spans="1:10" x14ac:dyDescent="0.25">
      <c r="A547" t="s">
        <v>628</v>
      </c>
      <c r="B547" t="s">
        <v>493</v>
      </c>
      <c r="C547">
        <v>75026229</v>
      </c>
      <c r="D547" t="s">
        <v>3</v>
      </c>
      <c r="E547" t="s">
        <v>501</v>
      </c>
      <c r="F547" t="s">
        <v>575</v>
      </c>
      <c r="G547" s="55">
        <v>46052</v>
      </c>
      <c r="H547">
        <v>4</v>
      </c>
      <c r="I547" t="s">
        <v>209</v>
      </c>
      <c r="J547" s="55"/>
    </row>
    <row r="548" spans="1:10" x14ac:dyDescent="0.25">
      <c r="A548" t="s">
        <v>628</v>
      </c>
      <c r="B548" t="s">
        <v>32</v>
      </c>
      <c r="C548">
        <v>48584670</v>
      </c>
      <c r="D548" t="s">
        <v>3</v>
      </c>
      <c r="E548" t="s">
        <v>501</v>
      </c>
      <c r="F548" t="s">
        <v>575</v>
      </c>
      <c r="G548" s="55">
        <v>45526</v>
      </c>
      <c r="H548">
        <v>21</v>
      </c>
      <c r="I548" t="s">
        <v>209</v>
      </c>
      <c r="J548" s="55"/>
    </row>
    <row r="549" spans="1:10" x14ac:dyDescent="0.25">
      <c r="A549" t="s">
        <v>628</v>
      </c>
      <c r="B549" t="s">
        <v>22</v>
      </c>
      <c r="C549">
        <v>70551168</v>
      </c>
      <c r="D549" t="s">
        <v>3</v>
      </c>
      <c r="E549" t="s">
        <v>501</v>
      </c>
      <c r="F549" t="s">
        <v>575</v>
      </c>
      <c r="G549" s="55">
        <v>45295</v>
      </c>
      <c r="H549">
        <v>29</v>
      </c>
      <c r="I549" t="s">
        <v>209</v>
      </c>
      <c r="J549" s="55"/>
    </row>
    <row r="550" spans="1:10" x14ac:dyDescent="0.25">
      <c r="A550" t="s">
        <v>628</v>
      </c>
      <c r="B550" t="s">
        <v>42</v>
      </c>
      <c r="C550">
        <v>73725129</v>
      </c>
      <c r="D550" t="s">
        <v>3</v>
      </c>
      <c r="E550" t="s">
        <v>501</v>
      </c>
      <c r="F550" t="s">
        <v>575</v>
      </c>
      <c r="G550" s="55">
        <v>45398</v>
      </c>
      <c r="H550">
        <v>26</v>
      </c>
      <c r="I550" t="s">
        <v>209</v>
      </c>
      <c r="J550" s="55"/>
    </row>
    <row r="551" spans="1:10" x14ac:dyDescent="0.25">
      <c r="A551" t="s">
        <v>628</v>
      </c>
      <c r="B551" t="s">
        <v>96</v>
      </c>
      <c r="C551">
        <v>46793103</v>
      </c>
      <c r="D551" t="s">
        <v>3</v>
      </c>
      <c r="E551" t="s">
        <v>501</v>
      </c>
      <c r="F551" t="s">
        <v>575</v>
      </c>
      <c r="G551" s="55">
        <v>45882</v>
      </c>
      <c r="H551">
        <v>10</v>
      </c>
      <c r="I551" t="s">
        <v>209</v>
      </c>
      <c r="J551" s="55"/>
    </row>
    <row r="552" spans="1:10" x14ac:dyDescent="0.25">
      <c r="A552" t="s">
        <v>628</v>
      </c>
      <c r="B552" t="s">
        <v>85</v>
      </c>
      <c r="C552">
        <v>70477743</v>
      </c>
      <c r="D552" t="s">
        <v>3</v>
      </c>
      <c r="E552" t="s">
        <v>501</v>
      </c>
      <c r="F552" t="s">
        <v>575</v>
      </c>
      <c r="G552" s="55">
        <v>46055</v>
      </c>
      <c r="H552">
        <v>4</v>
      </c>
      <c r="I552" t="s">
        <v>209</v>
      </c>
      <c r="J552" s="55"/>
    </row>
    <row r="553" spans="1:10" x14ac:dyDescent="0.25">
      <c r="A553" t="s">
        <v>628</v>
      </c>
      <c r="B553" t="s">
        <v>58</v>
      </c>
      <c r="C553">
        <v>72519113</v>
      </c>
      <c r="D553" t="s">
        <v>3</v>
      </c>
      <c r="E553" t="s">
        <v>501</v>
      </c>
      <c r="F553" t="s">
        <v>575</v>
      </c>
      <c r="G553" s="55">
        <v>43119</v>
      </c>
      <c r="H553">
        <v>100</v>
      </c>
      <c r="I553" t="s">
        <v>209</v>
      </c>
      <c r="J553" s="55"/>
    </row>
    <row r="554" spans="1:10" x14ac:dyDescent="0.25">
      <c r="A554" t="s">
        <v>628</v>
      </c>
      <c r="B554" t="s">
        <v>76</v>
      </c>
      <c r="C554">
        <v>60914051</v>
      </c>
      <c r="D554" t="s">
        <v>2</v>
      </c>
      <c r="E554" t="s">
        <v>501</v>
      </c>
      <c r="F554" t="s">
        <v>575</v>
      </c>
      <c r="G554" s="55">
        <v>44817</v>
      </c>
      <c r="H554">
        <v>45</v>
      </c>
      <c r="I554" t="s">
        <v>159</v>
      </c>
      <c r="J554" s="55"/>
    </row>
    <row r="555" spans="1:10" x14ac:dyDescent="0.25">
      <c r="A555" t="s">
        <v>628</v>
      </c>
      <c r="B555" t="s">
        <v>65</v>
      </c>
      <c r="C555">
        <v>47659267</v>
      </c>
      <c r="D555" t="s">
        <v>2</v>
      </c>
      <c r="E555" t="s">
        <v>501</v>
      </c>
      <c r="F555" t="s">
        <v>575</v>
      </c>
      <c r="G555" s="55">
        <v>45019</v>
      </c>
      <c r="H555">
        <v>38</v>
      </c>
      <c r="I555" t="s">
        <v>159</v>
      </c>
      <c r="J555" s="55"/>
    </row>
    <row r="556" spans="1:10" x14ac:dyDescent="0.25">
      <c r="A556" t="s">
        <v>628</v>
      </c>
      <c r="B556" t="s">
        <v>13</v>
      </c>
      <c r="C556">
        <v>72512391</v>
      </c>
      <c r="D556" t="s">
        <v>2</v>
      </c>
      <c r="E556" t="s">
        <v>501</v>
      </c>
      <c r="F556" t="s">
        <v>575</v>
      </c>
      <c r="G556" s="55">
        <v>44809</v>
      </c>
      <c r="H556">
        <v>45</v>
      </c>
      <c r="I556" t="s">
        <v>159</v>
      </c>
      <c r="J556" s="55"/>
    </row>
    <row r="557" spans="1:10" x14ac:dyDescent="0.25">
      <c r="A557" t="s">
        <v>628</v>
      </c>
      <c r="B557" t="s">
        <v>25</v>
      </c>
      <c r="C557">
        <v>72373931</v>
      </c>
      <c r="D557" t="s">
        <v>2</v>
      </c>
      <c r="E557" t="s">
        <v>501</v>
      </c>
      <c r="F557" t="s">
        <v>575</v>
      </c>
      <c r="G557" s="55">
        <v>44818</v>
      </c>
      <c r="H557">
        <v>45</v>
      </c>
      <c r="I557" t="s">
        <v>159</v>
      </c>
      <c r="J557" s="55"/>
    </row>
    <row r="558" spans="1:10" x14ac:dyDescent="0.25">
      <c r="A558" t="s">
        <v>628</v>
      </c>
      <c r="B558" t="s">
        <v>81</v>
      </c>
      <c r="C558">
        <v>72716299</v>
      </c>
      <c r="D558" t="s">
        <v>2</v>
      </c>
      <c r="E558" t="s">
        <v>501</v>
      </c>
      <c r="F558" t="s">
        <v>575</v>
      </c>
      <c r="G558" s="55">
        <v>45511</v>
      </c>
      <c r="H558">
        <v>22</v>
      </c>
      <c r="I558" t="s">
        <v>159</v>
      </c>
      <c r="J558" s="55"/>
    </row>
    <row r="559" spans="1:10" x14ac:dyDescent="0.25">
      <c r="A559" t="s">
        <v>628</v>
      </c>
      <c r="B559" t="s">
        <v>10</v>
      </c>
      <c r="C559">
        <v>40980108</v>
      </c>
      <c r="D559" t="s">
        <v>2</v>
      </c>
      <c r="E559" t="s">
        <v>501</v>
      </c>
      <c r="F559" t="s">
        <v>575</v>
      </c>
      <c r="G559" s="55">
        <v>44704</v>
      </c>
      <c r="H559">
        <v>48</v>
      </c>
      <c r="I559" t="s">
        <v>159</v>
      </c>
      <c r="J559" s="55"/>
    </row>
    <row r="560" spans="1:10" x14ac:dyDescent="0.25">
      <c r="A560" t="s">
        <v>628</v>
      </c>
      <c r="B560" t="s">
        <v>24</v>
      </c>
      <c r="C560">
        <v>43614775</v>
      </c>
      <c r="D560" t="s">
        <v>2</v>
      </c>
      <c r="E560" t="s">
        <v>501</v>
      </c>
      <c r="F560" t="s">
        <v>575</v>
      </c>
      <c r="G560" s="55">
        <v>45334</v>
      </c>
      <c r="H560">
        <v>28</v>
      </c>
      <c r="I560" t="s">
        <v>159</v>
      </c>
      <c r="J560" s="55"/>
    </row>
    <row r="561" spans="1:10" x14ac:dyDescent="0.25">
      <c r="A561" t="s">
        <v>628</v>
      </c>
      <c r="B561" t="s">
        <v>15</v>
      </c>
      <c r="C561">
        <v>47587400</v>
      </c>
      <c r="D561" t="s">
        <v>2</v>
      </c>
      <c r="E561" t="s">
        <v>501</v>
      </c>
      <c r="F561" t="s">
        <v>575</v>
      </c>
      <c r="G561" s="55">
        <v>44733</v>
      </c>
      <c r="H561">
        <v>47</v>
      </c>
      <c r="I561" t="s">
        <v>159</v>
      </c>
      <c r="J561" s="55"/>
    </row>
    <row r="562" spans="1:10" x14ac:dyDescent="0.25">
      <c r="A562" t="s">
        <v>628</v>
      </c>
      <c r="B562" t="s">
        <v>109</v>
      </c>
      <c r="C562">
        <v>74626735</v>
      </c>
      <c r="D562" t="s">
        <v>125</v>
      </c>
      <c r="E562" t="s">
        <v>501</v>
      </c>
      <c r="F562" t="s">
        <v>575</v>
      </c>
      <c r="G562" s="55">
        <v>46024</v>
      </c>
      <c r="H562">
        <v>5</v>
      </c>
      <c r="I562" t="s">
        <v>159</v>
      </c>
      <c r="J562" s="55"/>
    </row>
    <row r="563" spans="1:10" x14ac:dyDescent="0.25">
      <c r="A563" t="s">
        <v>628</v>
      </c>
      <c r="B563" t="s">
        <v>41</v>
      </c>
      <c r="C563">
        <v>46461021</v>
      </c>
      <c r="D563" t="s">
        <v>125</v>
      </c>
      <c r="E563" t="s">
        <v>501</v>
      </c>
      <c r="F563" t="s">
        <v>575</v>
      </c>
      <c r="G563" s="55">
        <v>45302</v>
      </c>
      <c r="H563">
        <v>29</v>
      </c>
      <c r="I563" t="s">
        <v>159</v>
      </c>
      <c r="J563" s="55"/>
    </row>
    <row r="564" spans="1:10" x14ac:dyDescent="0.25">
      <c r="A564" t="s">
        <v>628</v>
      </c>
      <c r="B564" t="s">
        <v>12</v>
      </c>
      <c r="C564">
        <v>45262585</v>
      </c>
      <c r="D564" t="s">
        <v>125</v>
      </c>
      <c r="E564" t="s">
        <v>501</v>
      </c>
      <c r="F564" t="s">
        <v>575</v>
      </c>
      <c r="G564" s="55">
        <v>44868</v>
      </c>
      <c r="H564">
        <v>43</v>
      </c>
      <c r="I564" t="s">
        <v>159</v>
      </c>
      <c r="J564" s="55"/>
    </row>
    <row r="565" spans="1:10" x14ac:dyDescent="0.25">
      <c r="A565" t="s">
        <v>628</v>
      </c>
      <c r="B565" t="s">
        <v>80</v>
      </c>
      <c r="C565">
        <v>45084594</v>
      </c>
      <c r="D565" t="s">
        <v>125</v>
      </c>
      <c r="E565" t="s">
        <v>501</v>
      </c>
      <c r="F565" t="s">
        <v>575</v>
      </c>
      <c r="G565" s="55">
        <v>45281</v>
      </c>
      <c r="H565">
        <v>29</v>
      </c>
      <c r="I565" t="s">
        <v>159</v>
      </c>
      <c r="J565" s="55"/>
    </row>
    <row r="566" spans="1:10" x14ac:dyDescent="0.25">
      <c r="A566" t="s">
        <v>628</v>
      </c>
      <c r="B566" t="s">
        <v>564</v>
      </c>
      <c r="C566">
        <v>43184866</v>
      </c>
      <c r="D566" t="s">
        <v>125</v>
      </c>
      <c r="E566" t="s">
        <v>501</v>
      </c>
      <c r="F566" t="s">
        <v>575</v>
      </c>
      <c r="G566" s="55">
        <v>46083</v>
      </c>
      <c r="H566">
        <v>3</v>
      </c>
      <c r="I566" t="s">
        <v>159</v>
      </c>
      <c r="J566" s="55"/>
    </row>
    <row r="567" spans="1:10" x14ac:dyDescent="0.25">
      <c r="A567" t="s">
        <v>628</v>
      </c>
      <c r="B567" t="s">
        <v>72</v>
      </c>
      <c r="C567">
        <v>47690367</v>
      </c>
      <c r="D567" t="s">
        <v>125</v>
      </c>
      <c r="E567" t="s">
        <v>501</v>
      </c>
      <c r="F567" t="s">
        <v>575</v>
      </c>
      <c r="G567" s="55">
        <v>45691</v>
      </c>
      <c r="H567">
        <v>16</v>
      </c>
      <c r="I567" t="s">
        <v>159</v>
      </c>
      <c r="J567" s="55"/>
    </row>
    <row r="568" spans="1:10" x14ac:dyDescent="0.25">
      <c r="A568" t="s">
        <v>628</v>
      </c>
      <c r="B568" t="s">
        <v>75</v>
      </c>
      <c r="C568">
        <v>71264767</v>
      </c>
      <c r="D568" t="s">
        <v>3</v>
      </c>
      <c r="E568" t="s">
        <v>501</v>
      </c>
      <c r="F568" t="s">
        <v>575</v>
      </c>
      <c r="G568" s="55">
        <v>44714</v>
      </c>
      <c r="H568">
        <v>48</v>
      </c>
      <c r="I568" t="s">
        <v>629</v>
      </c>
      <c r="J568" s="55"/>
    </row>
    <row r="569" spans="1:10" x14ac:dyDescent="0.25">
      <c r="A569" t="s">
        <v>628</v>
      </c>
      <c r="B569" t="s">
        <v>495</v>
      </c>
      <c r="C569">
        <v>62792399</v>
      </c>
      <c r="D569" t="s">
        <v>125</v>
      </c>
      <c r="E569" t="s">
        <v>501</v>
      </c>
      <c r="F569" t="s">
        <v>575</v>
      </c>
      <c r="G569" s="55">
        <v>46052</v>
      </c>
      <c r="H569">
        <v>4</v>
      </c>
      <c r="I569" t="s">
        <v>159</v>
      </c>
      <c r="J569" s="55"/>
    </row>
    <row r="570" spans="1:10" x14ac:dyDescent="0.25">
      <c r="A570" t="s">
        <v>628</v>
      </c>
      <c r="B570" t="s">
        <v>61</v>
      </c>
      <c r="C570">
        <v>44001162</v>
      </c>
      <c r="D570" t="s">
        <v>125</v>
      </c>
      <c r="E570" t="s">
        <v>501</v>
      </c>
      <c r="F570" t="s">
        <v>575</v>
      </c>
      <c r="G570" s="55">
        <v>44907</v>
      </c>
      <c r="H570">
        <v>42</v>
      </c>
      <c r="I570" t="s">
        <v>159</v>
      </c>
      <c r="J570" s="55"/>
    </row>
    <row r="571" spans="1:10" x14ac:dyDescent="0.25">
      <c r="A571" t="s">
        <v>628</v>
      </c>
      <c r="B571" t="s">
        <v>26</v>
      </c>
      <c r="C571">
        <v>41005089</v>
      </c>
      <c r="D571" t="s">
        <v>125</v>
      </c>
      <c r="E571" t="s">
        <v>501</v>
      </c>
      <c r="F571" t="s">
        <v>575</v>
      </c>
      <c r="G571" s="55">
        <v>44257</v>
      </c>
      <c r="H571">
        <v>63</v>
      </c>
      <c r="I571" t="s">
        <v>159</v>
      </c>
      <c r="J571" s="55"/>
    </row>
    <row r="572" spans="1:10" x14ac:dyDescent="0.25">
      <c r="A572" t="s">
        <v>628</v>
      </c>
      <c r="B572" t="s">
        <v>77</v>
      </c>
      <c r="C572">
        <v>42251780</v>
      </c>
      <c r="D572" t="s">
        <v>7</v>
      </c>
      <c r="E572" t="s">
        <v>501</v>
      </c>
      <c r="F572" t="s">
        <v>575</v>
      </c>
      <c r="G572" s="55">
        <v>44838</v>
      </c>
      <c r="H572">
        <v>44</v>
      </c>
      <c r="I572" t="s">
        <v>158</v>
      </c>
      <c r="J572" s="55"/>
    </row>
    <row r="573" spans="1:10" x14ac:dyDescent="0.25">
      <c r="A573" t="s">
        <v>628</v>
      </c>
      <c r="B573" t="s">
        <v>51</v>
      </c>
      <c r="C573">
        <v>76089925</v>
      </c>
      <c r="D573" t="s">
        <v>125</v>
      </c>
      <c r="E573" t="s">
        <v>501</v>
      </c>
      <c r="F573" t="s">
        <v>575</v>
      </c>
      <c r="G573" s="55">
        <v>45678</v>
      </c>
      <c r="H573">
        <v>16</v>
      </c>
      <c r="I573" t="s">
        <v>159</v>
      </c>
      <c r="J573" s="55"/>
    </row>
    <row r="574" spans="1:10" x14ac:dyDescent="0.25">
      <c r="A574" t="s">
        <v>628</v>
      </c>
      <c r="B574" t="s">
        <v>49</v>
      </c>
      <c r="C574">
        <v>40702064</v>
      </c>
      <c r="D574" t="s">
        <v>7</v>
      </c>
      <c r="E574" t="s">
        <v>501</v>
      </c>
      <c r="F574" t="s">
        <v>575</v>
      </c>
      <c r="G574" s="55">
        <v>43313</v>
      </c>
      <c r="H574">
        <v>94</v>
      </c>
      <c r="I574" t="s">
        <v>158</v>
      </c>
      <c r="J574" s="55"/>
    </row>
    <row r="575" spans="1:10" x14ac:dyDescent="0.25">
      <c r="A575" t="s">
        <v>628</v>
      </c>
      <c r="B575" t="s">
        <v>50</v>
      </c>
      <c r="C575">
        <v>72733809</v>
      </c>
      <c r="D575" t="s">
        <v>7</v>
      </c>
      <c r="E575" t="s">
        <v>501</v>
      </c>
      <c r="F575" t="s">
        <v>575</v>
      </c>
      <c r="G575" s="55">
        <v>45789</v>
      </c>
      <c r="H575">
        <v>13</v>
      </c>
      <c r="I575" t="s">
        <v>158</v>
      </c>
      <c r="J575" s="55"/>
    </row>
    <row r="576" spans="1:10" x14ac:dyDescent="0.25">
      <c r="A576" t="s">
        <v>628</v>
      </c>
      <c r="B576" t="s">
        <v>600</v>
      </c>
      <c r="C576">
        <v>73623874</v>
      </c>
      <c r="D576" t="s">
        <v>7</v>
      </c>
      <c r="E576" t="s">
        <v>501</v>
      </c>
      <c r="F576" t="s">
        <v>575</v>
      </c>
      <c r="G576" s="55">
        <v>46139</v>
      </c>
      <c r="H576">
        <v>1</v>
      </c>
      <c r="I576" t="s">
        <v>158</v>
      </c>
      <c r="J576" s="55"/>
    </row>
    <row r="577" spans="1:10" x14ac:dyDescent="0.25">
      <c r="A577" t="s">
        <v>628</v>
      </c>
      <c r="B577" t="s">
        <v>549</v>
      </c>
      <c r="C577">
        <v>73233992</v>
      </c>
      <c r="D577" t="s">
        <v>7</v>
      </c>
      <c r="E577" t="s">
        <v>501</v>
      </c>
      <c r="F577" t="s">
        <v>575</v>
      </c>
      <c r="G577" s="55">
        <v>46065</v>
      </c>
      <c r="H577">
        <v>4</v>
      </c>
      <c r="I577" t="s">
        <v>158</v>
      </c>
      <c r="J577" s="55"/>
    </row>
    <row r="578" spans="1:10" x14ac:dyDescent="0.25">
      <c r="A578" t="s">
        <v>628</v>
      </c>
      <c r="B578" t="s">
        <v>55</v>
      </c>
      <c r="C578">
        <v>45119892</v>
      </c>
      <c r="D578" t="s">
        <v>7</v>
      </c>
      <c r="E578" t="s">
        <v>501</v>
      </c>
      <c r="F578" t="s">
        <v>575</v>
      </c>
      <c r="G578" s="55">
        <v>45813</v>
      </c>
      <c r="H578">
        <v>12</v>
      </c>
      <c r="I578" t="s">
        <v>158</v>
      </c>
      <c r="J578" s="55"/>
    </row>
    <row r="579" spans="1:10" x14ac:dyDescent="0.25">
      <c r="A579" t="s">
        <v>628</v>
      </c>
      <c r="B579" t="s">
        <v>599</v>
      </c>
      <c r="C579">
        <v>42227234</v>
      </c>
      <c r="D579" t="s">
        <v>7</v>
      </c>
      <c r="E579" t="s">
        <v>501</v>
      </c>
      <c r="F579" t="s">
        <v>575</v>
      </c>
      <c r="G579" s="55">
        <v>46121</v>
      </c>
      <c r="H579">
        <v>2</v>
      </c>
      <c r="I579" t="s">
        <v>158</v>
      </c>
      <c r="J579" s="55"/>
    </row>
    <row r="580" spans="1:10" x14ac:dyDescent="0.25">
      <c r="A580" t="s">
        <v>628</v>
      </c>
      <c r="B580" t="s">
        <v>37</v>
      </c>
      <c r="C580">
        <v>70988976</v>
      </c>
      <c r="D580" t="s">
        <v>7</v>
      </c>
      <c r="E580" t="s">
        <v>501</v>
      </c>
      <c r="F580" t="s">
        <v>575</v>
      </c>
      <c r="G580" s="55">
        <v>45112</v>
      </c>
      <c r="H580">
        <v>35</v>
      </c>
      <c r="I580" t="s">
        <v>158</v>
      </c>
      <c r="J580" s="55"/>
    </row>
    <row r="581" spans="1:10" x14ac:dyDescent="0.25">
      <c r="A581" t="s">
        <v>628</v>
      </c>
      <c r="B581" t="s">
        <v>78</v>
      </c>
      <c r="C581">
        <v>10706451</v>
      </c>
      <c r="D581" t="s">
        <v>7</v>
      </c>
      <c r="E581" t="s">
        <v>501</v>
      </c>
      <c r="F581" t="s">
        <v>575</v>
      </c>
      <c r="G581" s="55">
        <v>44943</v>
      </c>
      <c r="H581">
        <v>41</v>
      </c>
      <c r="I581" t="s">
        <v>158</v>
      </c>
      <c r="J581" s="55"/>
    </row>
    <row r="582" spans="1:10" x14ac:dyDescent="0.25">
      <c r="A582" t="s">
        <v>628</v>
      </c>
      <c r="B582" t="s">
        <v>73</v>
      </c>
      <c r="C582">
        <v>40318129</v>
      </c>
      <c r="D582" t="s">
        <v>7</v>
      </c>
      <c r="E582" t="s">
        <v>501</v>
      </c>
      <c r="F582" t="s">
        <v>575</v>
      </c>
      <c r="G582" s="55">
        <v>45141</v>
      </c>
      <c r="H582">
        <v>34</v>
      </c>
      <c r="I582" t="s">
        <v>158</v>
      </c>
      <c r="J582" s="55"/>
    </row>
    <row r="583" spans="1:10" x14ac:dyDescent="0.25">
      <c r="A583" t="s">
        <v>628</v>
      </c>
      <c r="B583" t="s">
        <v>630</v>
      </c>
      <c r="C583">
        <v>72505926</v>
      </c>
      <c r="D583" t="s">
        <v>7</v>
      </c>
      <c r="E583" t="s">
        <v>501</v>
      </c>
      <c r="F583" t="s">
        <v>575</v>
      </c>
      <c r="G583" s="55">
        <v>46175</v>
      </c>
      <c r="H583">
        <v>0</v>
      </c>
      <c r="I583" t="s">
        <v>158</v>
      </c>
      <c r="J583" s="55"/>
    </row>
    <row r="584" spans="1:10" x14ac:dyDescent="0.25">
      <c r="A584" t="s">
        <v>628</v>
      </c>
      <c r="B584" t="s">
        <v>29</v>
      </c>
      <c r="C584">
        <v>72758956</v>
      </c>
      <c r="D584" t="s">
        <v>500</v>
      </c>
      <c r="E584" t="s">
        <v>500</v>
      </c>
      <c r="F584" t="s">
        <v>575</v>
      </c>
      <c r="G584" s="55">
        <v>44685</v>
      </c>
      <c r="H584">
        <v>49</v>
      </c>
      <c r="I584" t="s">
        <v>500</v>
      </c>
      <c r="J584" s="55"/>
    </row>
    <row r="585" spans="1:10" x14ac:dyDescent="0.25">
      <c r="A585" t="s">
        <v>628</v>
      </c>
      <c r="B585" t="s">
        <v>18</v>
      </c>
      <c r="C585">
        <v>76214436</v>
      </c>
      <c r="D585" t="s">
        <v>500</v>
      </c>
      <c r="E585" t="s">
        <v>500</v>
      </c>
      <c r="F585" t="s">
        <v>575</v>
      </c>
      <c r="G585" s="55">
        <v>45132</v>
      </c>
      <c r="H585">
        <v>34</v>
      </c>
      <c r="I585" t="s">
        <v>500</v>
      </c>
      <c r="J585" s="55"/>
    </row>
    <row r="586" spans="1:10" x14ac:dyDescent="0.25">
      <c r="A586" t="s">
        <v>628</v>
      </c>
      <c r="B586" t="s">
        <v>48</v>
      </c>
      <c r="C586">
        <v>43307898</v>
      </c>
      <c r="D586" t="s">
        <v>500</v>
      </c>
      <c r="E586" t="s">
        <v>500</v>
      </c>
      <c r="F586" t="s">
        <v>575</v>
      </c>
      <c r="G586" s="55">
        <v>44746</v>
      </c>
      <c r="H586">
        <v>47</v>
      </c>
      <c r="I586" t="s">
        <v>500</v>
      </c>
      <c r="J586" s="55"/>
    </row>
    <row r="587" spans="1:10" x14ac:dyDescent="0.25">
      <c r="A587" t="s">
        <v>628</v>
      </c>
      <c r="B587" t="s">
        <v>17</v>
      </c>
      <c r="C587">
        <v>70876605</v>
      </c>
      <c r="D587" t="s">
        <v>602</v>
      </c>
      <c r="E587" t="s">
        <v>602</v>
      </c>
      <c r="F587" t="s">
        <v>575</v>
      </c>
      <c r="G587" s="55">
        <v>44886</v>
      </c>
      <c r="H587">
        <v>42</v>
      </c>
      <c r="I587" t="s">
        <v>602</v>
      </c>
      <c r="J587" s="55"/>
    </row>
    <row r="588" spans="1:10" x14ac:dyDescent="0.25">
      <c r="A588" t="s">
        <v>628</v>
      </c>
      <c r="B588" t="s">
        <v>81</v>
      </c>
      <c r="C588">
        <v>72716299</v>
      </c>
      <c r="D588" t="s">
        <v>2</v>
      </c>
      <c r="E588" t="s">
        <v>501</v>
      </c>
      <c r="F588" t="s">
        <v>575</v>
      </c>
      <c r="G588" s="55">
        <v>45511</v>
      </c>
      <c r="H588">
        <v>22</v>
      </c>
      <c r="I588" t="s">
        <v>159</v>
      </c>
      <c r="J588" s="55"/>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CC713-BB23-4F97-9164-BE3D124D1DF1}">
  <sheetPr>
    <tabColor rgb="FFFFFF00"/>
  </sheetPr>
  <dimension ref="A1:M215"/>
  <sheetViews>
    <sheetView topLeftCell="A183" zoomScale="85" zoomScaleNormal="85" workbookViewId="0">
      <selection activeCell="E209" sqref="E209:E215"/>
    </sheetView>
  </sheetViews>
  <sheetFormatPr baseColWidth="10" defaultRowHeight="15" x14ac:dyDescent="0.25"/>
  <cols>
    <col min="1" max="1" width="23.140625" bestFit="1" customWidth="1"/>
    <col min="4" max="4" width="14.28515625" bestFit="1" customWidth="1"/>
    <col min="7" max="7" width="16.42578125" customWidth="1"/>
  </cols>
  <sheetData>
    <row r="1" spans="1:7" x14ac:dyDescent="0.25">
      <c r="A1" s="21" t="s">
        <v>177</v>
      </c>
      <c r="B1" s="20" t="s">
        <v>166</v>
      </c>
      <c r="C1" s="21" t="s">
        <v>167</v>
      </c>
      <c r="D1" s="22" t="s">
        <v>168</v>
      </c>
      <c r="E1" s="23" t="s">
        <v>169</v>
      </c>
      <c r="F1" s="24" t="s">
        <v>170</v>
      </c>
      <c r="G1" s="22" t="s">
        <v>179</v>
      </c>
    </row>
    <row r="2" spans="1:7" x14ac:dyDescent="0.25">
      <c r="A2" s="30" t="str">
        <f>_xlfn.CONCAT(TablaMeta[[#This Row],[AÑO]],TablaMeta[[#This Row],[mes]],TablaMeta[[#This Row],[Equipo]])</f>
        <v>2023DICIEMBRESANDY</v>
      </c>
      <c r="B2" s="48" t="s">
        <v>172</v>
      </c>
      <c r="C2" s="26" t="s">
        <v>176</v>
      </c>
      <c r="D2" s="12" t="s">
        <v>3</v>
      </c>
      <c r="E2" s="9">
        <v>276000</v>
      </c>
      <c r="F2" s="9">
        <v>25000</v>
      </c>
      <c r="G2" s="39"/>
    </row>
    <row r="3" spans="1:7" x14ac:dyDescent="0.25">
      <c r="A3" s="25" t="str">
        <f>_xlfn.CONCAT(TablaMeta[[#This Row],[AÑO]],TablaMeta[[#This Row],[mes]],TablaMeta[[#This Row],[Equipo]])</f>
        <v>2023DICIEMBREMELINA</v>
      </c>
      <c r="B3" s="48" t="s">
        <v>172</v>
      </c>
      <c r="C3" s="26" t="s">
        <v>176</v>
      </c>
      <c r="D3" s="12" t="s">
        <v>4</v>
      </c>
      <c r="E3" s="9">
        <v>448000</v>
      </c>
      <c r="F3" s="9">
        <v>59000</v>
      </c>
      <c r="G3" s="39"/>
    </row>
    <row r="4" spans="1:7" x14ac:dyDescent="0.25">
      <c r="A4" s="25" t="str">
        <f>_xlfn.CONCAT(TablaMeta[[#This Row],[AÑO]],TablaMeta[[#This Row],[mes]],TablaMeta[[#This Row],[Equipo]])</f>
        <v>2023DICIEMBREKENNETH</v>
      </c>
      <c r="B4" s="48" t="s">
        <v>172</v>
      </c>
      <c r="C4" s="26" t="s">
        <v>176</v>
      </c>
      <c r="D4" s="12" t="s">
        <v>6</v>
      </c>
      <c r="E4" s="9">
        <v>238000</v>
      </c>
      <c r="F4" s="9">
        <v>32500</v>
      </c>
      <c r="G4" s="39"/>
    </row>
    <row r="5" spans="1:7" x14ac:dyDescent="0.25">
      <c r="A5" s="25" t="str">
        <f>_xlfn.CONCAT(TablaMeta[[#This Row],[AÑO]],TablaMeta[[#This Row],[mes]],TablaMeta[[#This Row],[Equipo]])</f>
        <v>2023DICIEMBREJORDAN</v>
      </c>
      <c r="B5" s="48" t="s">
        <v>172</v>
      </c>
      <c r="C5" s="26" t="s">
        <v>176</v>
      </c>
      <c r="D5" s="12" t="s">
        <v>5</v>
      </c>
      <c r="E5" s="9">
        <v>237000</v>
      </c>
      <c r="F5" s="9">
        <v>30000</v>
      </c>
      <c r="G5" s="39"/>
    </row>
    <row r="6" spans="1:7" x14ac:dyDescent="0.25">
      <c r="A6" s="25" t="str">
        <f>_xlfn.CONCAT(TablaMeta[[#This Row],[AÑO]],TablaMeta[[#This Row],[mes]],TablaMeta[[#This Row],[Equipo]])</f>
        <v>2023DICIEMBREJORGE</v>
      </c>
      <c r="B6" s="48" t="s">
        <v>172</v>
      </c>
      <c r="C6" s="26" t="s">
        <v>176</v>
      </c>
      <c r="D6" s="12" t="s">
        <v>2</v>
      </c>
      <c r="E6" s="9">
        <v>159000</v>
      </c>
      <c r="F6" s="9">
        <v>23000</v>
      </c>
      <c r="G6" s="39"/>
    </row>
    <row r="7" spans="1:7" x14ac:dyDescent="0.25">
      <c r="A7" s="25" t="str">
        <f>_xlfn.CONCAT(TablaMeta[[#This Row],[AÑO]],TablaMeta[[#This Row],[mes]],TablaMeta[[#This Row],[Equipo]])</f>
        <v>2023DICIEMBREMELITA</v>
      </c>
      <c r="B7" s="48" t="s">
        <v>172</v>
      </c>
      <c r="C7" s="26" t="s">
        <v>176</v>
      </c>
      <c r="D7" s="12" t="s">
        <v>115</v>
      </c>
      <c r="E7" s="9">
        <v>300000</v>
      </c>
      <c r="F7" s="9">
        <v>26000</v>
      </c>
      <c r="G7" s="39"/>
    </row>
    <row r="8" spans="1:7" x14ac:dyDescent="0.25">
      <c r="A8" s="25" t="str">
        <f>_xlfn.CONCAT(TablaMeta[[#This Row],[AÑO]],TablaMeta[[#This Row],[mes]],TablaMeta[[#This Row],[Equipo]])</f>
        <v>2024ENEROSANDY</v>
      </c>
      <c r="B8" s="48" t="s">
        <v>173</v>
      </c>
      <c r="C8" s="26" t="s">
        <v>139</v>
      </c>
      <c r="D8" s="12" t="s">
        <v>3</v>
      </c>
      <c r="E8" s="9">
        <v>276000</v>
      </c>
      <c r="F8" s="9">
        <v>25000</v>
      </c>
      <c r="G8" s="39"/>
    </row>
    <row r="9" spans="1:7" x14ac:dyDescent="0.25">
      <c r="A9" s="25" t="str">
        <f>_xlfn.CONCAT(TablaMeta[[#This Row],[AÑO]],TablaMeta[[#This Row],[mes]],TablaMeta[[#This Row],[Equipo]])</f>
        <v>2024ENEROMELINA</v>
      </c>
      <c r="B9" s="48" t="s">
        <v>173</v>
      </c>
      <c r="C9" s="26" t="s">
        <v>139</v>
      </c>
      <c r="D9" s="12" t="s">
        <v>4</v>
      </c>
      <c r="E9" s="9">
        <v>448000</v>
      </c>
      <c r="F9" s="9">
        <v>59000</v>
      </c>
      <c r="G9" s="39"/>
    </row>
    <row r="10" spans="1:7" x14ac:dyDescent="0.25">
      <c r="A10" s="25" t="str">
        <f>_xlfn.CONCAT(TablaMeta[[#This Row],[AÑO]],TablaMeta[[#This Row],[mes]],TablaMeta[[#This Row],[Equipo]])</f>
        <v>2024ENEROKENNETH</v>
      </c>
      <c r="B10" s="48" t="s">
        <v>173</v>
      </c>
      <c r="C10" s="26" t="s">
        <v>139</v>
      </c>
      <c r="D10" s="12" t="s">
        <v>6</v>
      </c>
      <c r="E10" s="9">
        <v>238000</v>
      </c>
      <c r="F10" s="9">
        <v>32500</v>
      </c>
      <c r="G10" s="39"/>
    </row>
    <row r="11" spans="1:7" x14ac:dyDescent="0.25">
      <c r="A11" s="25" t="str">
        <f>_xlfn.CONCAT(TablaMeta[[#This Row],[AÑO]],TablaMeta[[#This Row],[mes]],TablaMeta[[#This Row],[Equipo]])</f>
        <v>2024ENEROJORDAN</v>
      </c>
      <c r="B11" s="48" t="s">
        <v>173</v>
      </c>
      <c r="C11" s="26" t="s">
        <v>139</v>
      </c>
      <c r="D11" s="12" t="s">
        <v>5</v>
      </c>
      <c r="E11" s="9">
        <v>237000</v>
      </c>
      <c r="F11" s="9">
        <v>30000</v>
      </c>
      <c r="G11" s="39"/>
    </row>
    <row r="12" spans="1:7" x14ac:dyDescent="0.25">
      <c r="A12" s="25" t="str">
        <f>_xlfn.CONCAT(TablaMeta[[#This Row],[AÑO]],TablaMeta[[#This Row],[mes]],TablaMeta[[#This Row],[Equipo]])</f>
        <v>2024ENEROJORGE</v>
      </c>
      <c r="B12" s="48" t="s">
        <v>173</v>
      </c>
      <c r="C12" s="26" t="s">
        <v>139</v>
      </c>
      <c r="D12" s="12" t="s">
        <v>2</v>
      </c>
      <c r="E12" s="9">
        <v>159000</v>
      </c>
      <c r="F12" s="9">
        <v>23000</v>
      </c>
      <c r="G12" s="39"/>
    </row>
    <row r="13" spans="1:7" x14ac:dyDescent="0.25">
      <c r="A13" s="25" t="str">
        <f>_xlfn.CONCAT(TablaMeta[[#This Row],[AÑO]],TablaMeta[[#This Row],[mes]],TablaMeta[[#This Row],[Equipo]])</f>
        <v>2024ENEROMELITA</v>
      </c>
      <c r="B13" s="48" t="s">
        <v>173</v>
      </c>
      <c r="C13" s="26" t="s">
        <v>139</v>
      </c>
      <c r="D13" s="12" t="s">
        <v>115</v>
      </c>
      <c r="E13" s="9">
        <v>300000</v>
      </c>
      <c r="F13" s="9">
        <v>26000</v>
      </c>
      <c r="G13" s="39"/>
    </row>
    <row r="14" spans="1:7" x14ac:dyDescent="0.25">
      <c r="A14" s="25" t="str">
        <f>_xlfn.CONCAT(TablaMeta[[#This Row],[AÑO]],TablaMeta[[#This Row],[mes]],TablaMeta[[#This Row],[Equipo]])</f>
        <v>2024FEBREROSANDY</v>
      </c>
      <c r="B14" s="48" t="s">
        <v>173</v>
      </c>
      <c r="C14" s="26" t="s">
        <v>140</v>
      </c>
      <c r="D14" s="12" t="s">
        <v>3</v>
      </c>
      <c r="E14" s="9">
        <v>185500</v>
      </c>
      <c r="F14" s="9">
        <v>20500</v>
      </c>
      <c r="G14" s="39"/>
    </row>
    <row r="15" spans="1:7" x14ac:dyDescent="0.25">
      <c r="A15" s="25" t="str">
        <f>_xlfn.CONCAT(TablaMeta[[#This Row],[AÑO]],TablaMeta[[#This Row],[mes]],TablaMeta[[#This Row],[Equipo]])</f>
        <v>2024FEBREROMELINA</v>
      </c>
      <c r="B15" s="48" t="s">
        <v>173</v>
      </c>
      <c r="C15" s="26" t="s">
        <v>140</v>
      </c>
      <c r="D15" s="12" t="s">
        <v>4</v>
      </c>
      <c r="E15" s="9">
        <v>588000</v>
      </c>
      <c r="F15" s="9">
        <v>69000</v>
      </c>
      <c r="G15" s="39"/>
    </row>
    <row r="16" spans="1:7" x14ac:dyDescent="0.25">
      <c r="A16" s="25" t="str">
        <f>_xlfn.CONCAT(TablaMeta[[#This Row],[AÑO]],TablaMeta[[#This Row],[mes]],TablaMeta[[#This Row],[Equipo]])</f>
        <v>2024FEBREROKENNETH</v>
      </c>
      <c r="B16" s="48" t="s">
        <v>173</v>
      </c>
      <c r="C16" s="26" t="s">
        <v>140</v>
      </c>
      <c r="D16" s="12" t="s">
        <v>6</v>
      </c>
      <c r="E16" s="9">
        <v>238000</v>
      </c>
      <c r="F16" s="9">
        <v>30000</v>
      </c>
      <c r="G16" s="39"/>
    </row>
    <row r="17" spans="1:7" x14ac:dyDescent="0.25">
      <c r="A17" s="25" t="str">
        <f>_xlfn.CONCAT(TablaMeta[[#This Row],[AÑO]],TablaMeta[[#This Row],[mes]],TablaMeta[[#This Row],[Equipo]])</f>
        <v>2024FEBREROJORDAN</v>
      </c>
      <c r="B17" s="48" t="s">
        <v>173</v>
      </c>
      <c r="C17" s="26" t="s">
        <v>140</v>
      </c>
      <c r="D17" s="12" t="s">
        <v>5</v>
      </c>
      <c r="E17" s="9">
        <v>217000</v>
      </c>
      <c r="F17" s="9">
        <v>30000</v>
      </c>
      <c r="G17" s="39"/>
    </row>
    <row r="18" spans="1:7" x14ac:dyDescent="0.25">
      <c r="A18" s="25" t="str">
        <f>_xlfn.CONCAT(TablaMeta[[#This Row],[AÑO]],TablaMeta[[#This Row],[mes]],TablaMeta[[#This Row],[Equipo]])</f>
        <v>2024FEBREROJORGE</v>
      </c>
      <c r="B18" s="48" t="s">
        <v>173</v>
      </c>
      <c r="C18" s="26" t="s">
        <v>140</v>
      </c>
      <c r="D18" s="12" t="s">
        <v>2</v>
      </c>
      <c r="E18" s="9">
        <v>217000</v>
      </c>
      <c r="F18" s="9">
        <v>25000</v>
      </c>
      <c r="G18" s="39"/>
    </row>
    <row r="19" spans="1:7" x14ac:dyDescent="0.25">
      <c r="A19" s="25" t="str">
        <f>_xlfn.CONCAT(TablaMeta[[#This Row],[AÑO]],TablaMeta[[#This Row],[mes]],TablaMeta[[#This Row],[Equipo]])</f>
        <v>2024FEBREROMELITA</v>
      </c>
      <c r="B19" s="48" t="s">
        <v>173</v>
      </c>
      <c r="C19" s="26" t="s">
        <v>140</v>
      </c>
      <c r="D19" s="12" t="s">
        <v>115</v>
      </c>
      <c r="E19" s="9">
        <v>145000</v>
      </c>
      <c r="F19" s="9">
        <v>21000</v>
      </c>
      <c r="G19" s="39"/>
    </row>
    <row r="20" spans="1:7" x14ac:dyDescent="0.25">
      <c r="A20" s="25" t="str">
        <f>_xlfn.CONCAT(TablaMeta[[#This Row],[AÑO]],TablaMeta[[#This Row],[mes]],TablaMeta[[#This Row],[Equipo]])</f>
        <v>2024FEBREROLUIS</v>
      </c>
      <c r="B20" s="48" t="s">
        <v>173</v>
      </c>
      <c r="C20" s="26" t="s">
        <v>140</v>
      </c>
      <c r="D20" s="12" t="s">
        <v>9</v>
      </c>
      <c r="E20" s="9">
        <v>145000</v>
      </c>
      <c r="F20" s="9">
        <v>21000</v>
      </c>
      <c r="G20" s="39"/>
    </row>
    <row r="21" spans="1:7" x14ac:dyDescent="0.25">
      <c r="A21" s="25" t="str">
        <f>_xlfn.CONCAT(TablaMeta[[#This Row],[AÑO]],TablaMeta[[#This Row],[mes]],TablaMeta[[#This Row],[Equipo]])</f>
        <v>2024MARZOSANDY</v>
      </c>
      <c r="B21" s="48" t="s">
        <v>173</v>
      </c>
      <c r="C21" s="26" t="s">
        <v>141</v>
      </c>
      <c r="D21" s="12" t="s">
        <v>3</v>
      </c>
      <c r="E21" s="9">
        <v>185500</v>
      </c>
      <c r="F21" s="9">
        <v>20000</v>
      </c>
      <c r="G21" s="39"/>
    </row>
    <row r="22" spans="1:7" x14ac:dyDescent="0.25">
      <c r="A22" s="25" t="str">
        <f>_xlfn.CONCAT(TablaMeta[[#This Row],[AÑO]],TablaMeta[[#This Row],[mes]],TablaMeta[[#This Row],[Equipo]])</f>
        <v>2024MARZOMELINA</v>
      </c>
      <c r="B22" s="48" t="s">
        <v>173</v>
      </c>
      <c r="C22" s="26" t="s">
        <v>141</v>
      </c>
      <c r="D22" s="12" t="s">
        <v>4</v>
      </c>
      <c r="E22" s="9">
        <v>629000</v>
      </c>
      <c r="F22" s="9">
        <v>60000</v>
      </c>
      <c r="G22" s="39"/>
    </row>
    <row r="23" spans="1:7" x14ac:dyDescent="0.25">
      <c r="A23" s="25" t="str">
        <f>_xlfn.CONCAT(TablaMeta[[#This Row],[AÑO]],TablaMeta[[#This Row],[mes]],TablaMeta[[#This Row],[Equipo]])</f>
        <v>2024MARZOKENNETH</v>
      </c>
      <c r="B23" s="48" t="s">
        <v>173</v>
      </c>
      <c r="C23" s="26" t="s">
        <v>141</v>
      </c>
      <c r="D23" s="12" t="s">
        <v>6</v>
      </c>
      <c r="E23" s="9">
        <v>238000</v>
      </c>
      <c r="F23" s="9">
        <v>30000</v>
      </c>
      <c r="G23" s="39"/>
    </row>
    <row r="24" spans="1:7" x14ac:dyDescent="0.25">
      <c r="A24" s="25" t="str">
        <f>_xlfn.CONCAT(TablaMeta[[#This Row],[AÑO]],TablaMeta[[#This Row],[mes]],TablaMeta[[#This Row],[Equipo]])</f>
        <v>2024MARZOJORDAN</v>
      </c>
      <c r="B24" s="48" t="s">
        <v>173</v>
      </c>
      <c r="C24" s="26" t="s">
        <v>141</v>
      </c>
      <c r="D24" s="12" t="s">
        <v>5</v>
      </c>
      <c r="E24" s="9">
        <v>217000</v>
      </c>
      <c r="F24" s="9">
        <v>27000</v>
      </c>
      <c r="G24" s="39"/>
    </row>
    <row r="25" spans="1:7" x14ac:dyDescent="0.25">
      <c r="A25" s="25" t="str">
        <f>_xlfn.CONCAT(TablaMeta[[#This Row],[AÑO]],TablaMeta[[#This Row],[mes]],TablaMeta[[#This Row],[Equipo]])</f>
        <v>2024MARZOJORGE</v>
      </c>
      <c r="B25" s="48" t="s">
        <v>173</v>
      </c>
      <c r="C25" s="26" t="s">
        <v>141</v>
      </c>
      <c r="D25" s="12" t="s">
        <v>2</v>
      </c>
      <c r="E25" s="9">
        <v>217000</v>
      </c>
      <c r="F25" s="9">
        <v>23500</v>
      </c>
      <c r="G25" s="39"/>
    </row>
    <row r="26" spans="1:7" x14ac:dyDescent="0.25">
      <c r="A26" s="25" t="str">
        <f>_xlfn.CONCAT(TablaMeta[[#This Row],[AÑO]],TablaMeta[[#This Row],[mes]],TablaMeta[[#This Row],[Equipo]])</f>
        <v>2024MARZOMELITA</v>
      </c>
      <c r="B26" s="48" t="s">
        <v>173</v>
      </c>
      <c r="C26" s="26" t="s">
        <v>141</v>
      </c>
      <c r="D26" s="12" t="s">
        <v>115</v>
      </c>
      <c r="E26" s="9">
        <v>168500</v>
      </c>
      <c r="F26" s="9">
        <v>21000</v>
      </c>
      <c r="G26" s="39"/>
    </row>
    <row r="27" spans="1:7" x14ac:dyDescent="0.25">
      <c r="A27" s="25" t="str">
        <f>_xlfn.CONCAT(TablaMeta[[#This Row],[AÑO]],TablaMeta[[#This Row],[mes]],TablaMeta[[#This Row],[Equipo]])</f>
        <v>2024MARZOLUIS</v>
      </c>
      <c r="B27" s="48" t="s">
        <v>173</v>
      </c>
      <c r="C27" s="26" t="s">
        <v>141</v>
      </c>
      <c r="D27" s="12" t="s">
        <v>9</v>
      </c>
      <c r="E27" s="9">
        <v>145000</v>
      </c>
      <c r="F27" s="9">
        <v>21000</v>
      </c>
      <c r="G27" s="39"/>
    </row>
    <row r="28" spans="1:7" x14ac:dyDescent="0.25">
      <c r="A28" s="25" t="str">
        <f>_xlfn.CONCAT(TablaMeta[[#This Row],[AÑO]],TablaMeta[[#This Row],[mes]],TablaMeta[[#This Row],[Equipo]])</f>
        <v>2024ABRILSANDY</v>
      </c>
      <c r="B28" s="48" t="s">
        <v>173</v>
      </c>
      <c r="C28" s="26" t="s">
        <v>142</v>
      </c>
      <c r="D28" s="12" t="s">
        <v>3</v>
      </c>
      <c r="E28" s="9">
        <v>169500</v>
      </c>
      <c r="F28" s="9">
        <v>19000</v>
      </c>
      <c r="G28" s="39"/>
    </row>
    <row r="29" spans="1:7" x14ac:dyDescent="0.25">
      <c r="A29" s="25" t="str">
        <f>_xlfn.CONCAT(TablaMeta[[#This Row],[AÑO]],TablaMeta[[#This Row],[mes]],TablaMeta[[#This Row],[Equipo]])</f>
        <v>2024ABRILMELINA</v>
      </c>
      <c r="B29" s="48" t="s">
        <v>173</v>
      </c>
      <c r="C29" s="26" t="s">
        <v>142</v>
      </c>
      <c r="D29" s="12" t="s">
        <v>4</v>
      </c>
      <c r="E29" s="9">
        <v>629000</v>
      </c>
      <c r="F29" s="9">
        <v>66000</v>
      </c>
      <c r="G29" s="39"/>
    </row>
    <row r="30" spans="1:7" x14ac:dyDescent="0.25">
      <c r="A30" s="25" t="str">
        <f>_xlfn.CONCAT(TablaMeta[[#This Row],[AÑO]],TablaMeta[[#This Row],[mes]],TablaMeta[[#This Row],[Equipo]])</f>
        <v>2024ABRILKENNETH</v>
      </c>
      <c r="B30" s="48" t="s">
        <v>173</v>
      </c>
      <c r="C30" s="26" t="s">
        <v>142</v>
      </c>
      <c r="D30" s="12" t="s">
        <v>6</v>
      </c>
      <c r="E30" s="9">
        <v>238000</v>
      </c>
      <c r="F30" s="9">
        <v>30000</v>
      </c>
      <c r="G30" s="39"/>
    </row>
    <row r="31" spans="1:7" x14ac:dyDescent="0.25">
      <c r="A31" s="25" t="str">
        <f>_xlfn.CONCAT(TablaMeta[[#This Row],[AÑO]],TablaMeta[[#This Row],[mes]],TablaMeta[[#This Row],[Equipo]])</f>
        <v>2024ABRILJORDAN</v>
      </c>
      <c r="B31" s="48" t="s">
        <v>173</v>
      </c>
      <c r="C31" s="26" t="s">
        <v>142</v>
      </c>
      <c r="D31" s="12" t="s">
        <v>5</v>
      </c>
      <c r="E31" s="9">
        <v>217000</v>
      </c>
      <c r="F31" s="9">
        <v>27000</v>
      </c>
      <c r="G31" s="39"/>
    </row>
    <row r="32" spans="1:7" x14ac:dyDescent="0.25">
      <c r="A32" s="25" t="str">
        <f>_xlfn.CONCAT(TablaMeta[[#This Row],[AÑO]],TablaMeta[[#This Row],[mes]],TablaMeta[[#This Row],[Equipo]])</f>
        <v>2024ABRILJORGE</v>
      </c>
      <c r="B32" s="48" t="s">
        <v>173</v>
      </c>
      <c r="C32" s="26" t="s">
        <v>142</v>
      </c>
      <c r="D32" s="12" t="s">
        <v>2</v>
      </c>
      <c r="E32" s="9">
        <v>192000</v>
      </c>
      <c r="F32" s="9">
        <v>22000</v>
      </c>
      <c r="G32" s="39"/>
    </row>
    <row r="33" spans="1:7" x14ac:dyDescent="0.25">
      <c r="A33" s="25" t="str">
        <f>_xlfn.CONCAT(TablaMeta[[#This Row],[AÑO]],TablaMeta[[#This Row],[mes]],TablaMeta[[#This Row],[Equipo]])</f>
        <v>2024ABRILMELITA</v>
      </c>
      <c r="B33" s="48" t="s">
        <v>173</v>
      </c>
      <c r="C33" s="26" t="s">
        <v>142</v>
      </c>
      <c r="D33" s="12" t="s">
        <v>115</v>
      </c>
      <c r="E33" s="9">
        <v>154500</v>
      </c>
      <c r="F33" s="9">
        <v>23000</v>
      </c>
      <c r="G33" s="39"/>
    </row>
    <row r="34" spans="1:7" x14ac:dyDescent="0.25">
      <c r="A34" s="25" t="str">
        <f>_xlfn.CONCAT(TablaMeta[[#This Row],[AÑO]],TablaMeta[[#This Row],[mes]],TablaMeta[[#This Row],[Equipo]])</f>
        <v>2024ABRILLUIS</v>
      </c>
      <c r="B34" s="48" t="s">
        <v>173</v>
      </c>
      <c r="C34" s="26" t="s">
        <v>142</v>
      </c>
      <c r="D34" s="12" t="s">
        <v>9</v>
      </c>
      <c r="E34" s="9">
        <v>136000</v>
      </c>
      <c r="F34" s="9">
        <v>20000</v>
      </c>
      <c r="G34" s="39"/>
    </row>
    <row r="35" spans="1:7" x14ac:dyDescent="0.25">
      <c r="A35" s="25" t="str">
        <f>_xlfn.CONCAT(TablaMeta[[#This Row],[AÑO]],TablaMeta[[#This Row],[mes]],TablaMeta[[#This Row],[Equipo]])</f>
        <v>2024MAYOMELITA</v>
      </c>
      <c r="B35" s="48" t="s">
        <v>173</v>
      </c>
      <c r="C35" s="26" t="s">
        <v>143</v>
      </c>
      <c r="D35" s="12" t="s">
        <v>115</v>
      </c>
      <c r="E35" s="9">
        <v>154500</v>
      </c>
      <c r="F35" s="9">
        <v>23000</v>
      </c>
      <c r="G35" s="39"/>
    </row>
    <row r="36" spans="1:7" x14ac:dyDescent="0.25">
      <c r="A36" s="25" t="str">
        <f>_xlfn.CONCAT(TablaMeta[[#This Row],[AÑO]],TablaMeta[[#This Row],[mes]],TablaMeta[[#This Row],[Equipo]])</f>
        <v>2024MAYOLUIS</v>
      </c>
      <c r="B36" s="48" t="s">
        <v>173</v>
      </c>
      <c r="C36" s="26" t="s">
        <v>143</v>
      </c>
      <c r="D36" s="12" t="s">
        <v>9</v>
      </c>
      <c r="E36" s="9">
        <v>136000</v>
      </c>
      <c r="F36" s="9">
        <v>20000</v>
      </c>
      <c r="G36" s="39"/>
    </row>
    <row r="37" spans="1:7" x14ac:dyDescent="0.25">
      <c r="A37" s="25" t="str">
        <f>_xlfn.CONCAT(TablaMeta[[#This Row],[AÑO]],TablaMeta[[#This Row],[mes]],TablaMeta[[#This Row],[Equipo]])</f>
        <v>2024MAYOSANDY</v>
      </c>
      <c r="B37" s="48" t="s">
        <v>173</v>
      </c>
      <c r="C37" s="26" t="s">
        <v>143</v>
      </c>
      <c r="D37" s="12" t="s">
        <v>3</v>
      </c>
      <c r="E37" s="9">
        <v>169500</v>
      </c>
      <c r="F37" s="9">
        <v>20500</v>
      </c>
      <c r="G37" s="39"/>
    </row>
    <row r="38" spans="1:7" x14ac:dyDescent="0.25">
      <c r="A38" s="25" t="str">
        <f>_xlfn.CONCAT(TablaMeta[[#This Row],[AÑO]],TablaMeta[[#This Row],[mes]],TablaMeta[[#This Row],[Equipo]])</f>
        <v>2024MAYOMELINA</v>
      </c>
      <c r="B38" s="48" t="s">
        <v>173</v>
      </c>
      <c r="C38" s="26" t="s">
        <v>143</v>
      </c>
      <c r="D38" s="12" t="s">
        <v>4</v>
      </c>
      <c r="E38" s="9">
        <v>679000</v>
      </c>
      <c r="F38" s="9">
        <v>71000</v>
      </c>
      <c r="G38" s="39"/>
    </row>
    <row r="39" spans="1:7" x14ac:dyDescent="0.25">
      <c r="A39" s="25" t="str">
        <f>_xlfn.CONCAT(TablaMeta[[#This Row],[AÑO]],TablaMeta[[#This Row],[mes]],TablaMeta[[#This Row],[Equipo]])</f>
        <v>2024MAYOJORDAN</v>
      </c>
      <c r="B39" s="48" t="s">
        <v>173</v>
      </c>
      <c r="C39" s="26" t="s">
        <v>143</v>
      </c>
      <c r="D39" s="12" t="s">
        <v>5</v>
      </c>
      <c r="E39" s="9">
        <v>217000</v>
      </c>
      <c r="F39" s="9">
        <v>30000</v>
      </c>
      <c r="G39" s="39"/>
    </row>
    <row r="40" spans="1:7" x14ac:dyDescent="0.25">
      <c r="A40" s="25" t="str">
        <f>_xlfn.CONCAT(TablaMeta[[#This Row],[AÑO]],TablaMeta[[#This Row],[mes]],TablaMeta[[#This Row],[Equipo]])</f>
        <v>2024MAYOJORGE</v>
      </c>
      <c r="B40" s="48" t="s">
        <v>173</v>
      </c>
      <c r="C40" s="26" t="s">
        <v>143</v>
      </c>
      <c r="D40" s="12" t="s">
        <v>2</v>
      </c>
      <c r="E40" s="9">
        <v>192000</v>
      </c>
      <c r="F40" s="9">
        <v>25000</v>
      </c>
      <c r="G40" s="39"/>
    </row>
    <row r="41" spans="1:7" x14ac:dyDescent="0.25">
      <c r="A41" s="25" t="str">
        <f>_xlfn.CONCAT(TablaMeta[[#This Row],[AÑO]],TablaMeta[[#This Row],[mes]],TablaMeta[[#This Row],[Equipo]])</f>
        <v>2024MAYOKENNETH</v>
      </c>
      <c r="B41" s="49" t="s">
        <v>173</v>
      </c>
      <c r="C41" s="27" t="s">
        <v>143</v>
      </c>
      <c r="D41" s="28" t="s">
        <v>6</v>
      </c>
      <c r="E41" s="29">
        <v>238000</v>
      </c>
      <c r="F41" s="9">
        <v>30000</v>
      </c>
      <c r="G41" s="39"/>
    </row>
    <row r="42" spans="1:7" x14ac:dyDescent="0.25">
      <c r="A42" s="25" t="str">
        <f>_xlfn.CONCAT(TablaMeta[[#This Row],[AÑO]],TablaMeta[[#This Row],[mes]],TablaMeta[[#This Row],[Equipo]])</f>
        <v>2024JUNIOMELITA</v>
      </c>
      <c r="B42" s="48" t="s">
        <v>173</v>
      </c>
      <c r="C42" s="26" t="s">
        <v>144</v>
      </c>
      <c r="D42" s="12" t="s">
        <v>115</v>
      </c>
      <c r="E42" s="9">
        <v>154500</v>
      </c>
      <c r="F42" s="9">
        <v>23000</v>
      </c>
      <c r="G42" s="39"/>
    </row>
    <row r="43" spans="1:7" x14ac:dyDescent="0.25">
      <c r="A43" s="25" t="str">
        <f>_xlfn.CONCAT(TablaMeta[[#This Row],[AÑO]],TablaMeta[[#This Row],[mes]],TablaMeta[[#This Row],[Equipo]])</f>
        <v>2024JUNIOLUIS</v>
      </c>
      <c r="B43" s="48" t="s">
        <v>173</v>
      </c>
      <c r="C43" s="26" t="s">
        <v>144</v>
      </c>
      <c r="D43" s="12" t="s">
        <v>9</v>
      </c>
      <c r="E43" s="9">
        <v>136000</v>
      </c>
      <c r="F43" s="9">
        <v>20000</v>
      </c>
      <c r="G43" s="39"/>
    </row>
    <row r="44" spans="1:7" x14ac:dyDescent="0.25">
      <c r="A44" s="25" t="str">
        <f>_xlfn.CONCAT(TablaMeta[[#This Row],[AÑO]],TablaMeta[[#This Row],[mes]],TablaMeta[[#This Row],[Equipo]])</f>
        <v>2024JUNIOSANDY</v>
      </c>
      <c r="B44" s="48" t="s">
        <v>173</v>
      </c>
      <c r="C44" s="26" t="s">
        <v>144</v>
      </c>
      <c r="D44" s="12" t="s">
        <v>3</v>
      </c>
      <c r="E44" s="9">
        <v>169500</v>
      </c>
      <c r="F44" s="9">
        <v>20500</v>
      </c>
      <c r="G44" s="39"/>
    </row>
    <row r="45" spans="1:7" x14ac:dyDescent="0.25">
      <c r="A45" s="25" t="str">
        <f>_xlfn.CONCAT(TablaMeta[[#This Row],[AÑO]],TablaMeta[[#This Row],[mes]],TablaMeta[[#This Row],[Equipo]])</f>
        <v>2024JUNIOMELINA</v>
      </c>
      <c r="B45" s="48" t="s">
        <v>173</v>
      </c>
      <c r="C45" s="26" t="s">
        <v>144</v>
      </c>
      <c r="D45" s="12" t="s">
        <v>4</v>
      </c>
      <c r="E45" s="9">
        <v>760000</v>
      </c>
      <c r="F45" s="9">
        <v>79800</v>
      </c>
      <c r="G45" s="39"/>
    </row>
    <row r="46" spans="1:7" x14ac:dyDescent="0.25">
      <c r="A46" s="25" t="str">
        <f>_xlfn.CONCAT(TablaMeta[[#This Row],[AÑO]],TablaMeta[[#This Row],[mes]],TablaMeta[[#This Row],[Equipo]])</f>
        <v>2024JUNIOJORDAN</v>
      </c>
      <c r="B46" s="48" t="s">
        <v>173</v>
      </c>
      <c r="C46" s="26" t="s">
        <v>144</v>
      </c>
      <c r="D46" s="12" t="s">
        <v>5</v>
      </c>
      <c r="E46" s="9">
        <v>217000</v>
      </c>
      <c r="F46" s="9">
        <v>30000</v>
      </c>
      <c r="G46" s="39"/>
    </row>
    <row r="47" spans="1:7" x14ac:dyDescent="0.25">
      <c r="A47" s="25" t="str">
        <f>_xlfn.CONCAT(TablaMeta[[#This Row],[AÑO]],TablaMeta[[#This Row],[mes]],TablaMeta[[#This Row],[Equipo]])</f>
        <v>2024JUNIOJORGE</v>
      </c>
      <c r="B47" s="48" t="s">
        <v>173</v>
      </c>
      <c r="C47" s="26" t="s">
        <v>144</v>
      </c>
      <c r="D47" s="12" t="s">
        <v>2</v>
      </c>
      <c r="E47" s="9">
        <v>192000</v>
      </c>
      <c r="F47" s="9">
        <v>23000</v>
      </c>
      <c r="G47" s="39"/>
    </row>
    <row r="48" spans="1:7" x14ac:dyDescent="0.25">
      <c r="A48" s="25" t="str">
        <f>_xlfn.CONCAT(TablaMeta[[#This Row],[AÑO]],TablaMeta[[#This Row],[mes]],TablaMeta[[#This Row],[Equipo]])</f>
        <v>2024JUNIOKENNETH</v>
      </c>
      <c r="B48" s="49" t="s">
        <v>173</v>
      </c>
      <c r="C48" s="27" t="s">
        <v>144</v>
      </c>
      <c r="D48" s="28" t="s">
        <v>6</v>
      </c>
      <c r="E48" s="9">
        <v>238000</v>
      </c>
      <c r="F48" s="9">
        <v>30000</v>
      </c>
      <c r="G48" s="39"/>
    </row>
    <row r="49" spans="1:7" x14ac:dyDescent="0.25">
      <c r="A49" s="25" t="str">
        <f>_xlfn.CONCAT(TablaMeta[[#This Row],[AÑO]],TablaMeta[[#This Row],[mes]],TablaMeta[[#This Row],[Equipo]])</f>
        <v>2024JULIOMELITA</v>
      </c>
      <c r="B49" s="48" t="s">
        <v>173</v>
      </c>
      <c r="C49" s="26" t="s">
        <v>145</v>
      </c>
      <c r="D49" s="12" t="s">
        <v>115</v>
      </c>
      <c r="E49" s="9">
        <v>152000</v>
      </c>
      <c r="F49" s="9">
        <v>18000</v>
      </c>
      <c r="G49" s="39"/>
    </row>
    <row r="50" spans="1:7" x14ac:dyDescent="0.25">
      <c r="A50" s="25" t="str">
        <f>_xlfn.CONCAT(TablaMeta[[#This Row],[AÑO]],TablaMeta[[#This Row],[mes]],TablaMeta[[#This Row],[Equipo]])</f>
        <v>2024JULIOLUIS</v>
      </c>
      <c r="B50" s="48" t="s">
        <v>173</v>
      </c>
      <c r="C50" s="26" t="s">
        <v>145</v>
      </c>
      <c r="D50" s="12" t="s">
        <v>9</v>
      </c>
      <c r="E50" s="9">
        <v>114500</v>
      </c>
      <c r="F50" s="9">
        <v>18000</v>
      </c>
      <c r="G50" s="39"/>
    </row>
    <row r="51" spans="1:7" x14ac:dyDescent="0.25">
      <c r="A51" s="25" t="str">
        <f>_xlfn.CONCAT(TablaMeta[[#This Row],[AÑO]],TablaMeta[[#This Row],[mes]],TablaMeta[[#This Row],[Equipo]])</f>
        <v>2024JULIOSANDY</v>
      </c>
      <c r="B51" s="48" t="s">
        <v>173</v>
      </c>
      <c r="C51" s="26" t="s">
        <v>145</v>
      </c>
      <c r="D51" s="12" t="s">
        <v>3</v>
      </c>
      <c r="E51" s="9">
        <v>425000</v>
      </c>
      <c r="F51" s="9">
        <v>50000</v>
      </c>
      <c r="G51" s="39"/>
    </row>
    <row r="52" spans="1:7" x14ac:dyDescent="0.25">
      <c r="A52" s="25" t="str">
        <f>_xlfn.CONCAT(TablaMeta[[#This Row],[AÑO]],TablaMeta[[#This Row],[mes]],TablaMeta[[#This Row],[Equipo]])</f>
        <v>2024JULIOMELINA</v>
      </c>
      <c r="B52" s="48" t="s">
        <v>173</v>
      </c>
      <c r="C52" s="26" t="s">
        <v>145</v>
      </c>
      <c r="D52" s="12" t="s">
        <v>4</v>
      </c>
      <c r="E52" s="9">
        <v>425000</v>
      </c>
      <c r="F52" s="9">
        <v>50000</v>
      </c>
      <c r="G52" s="39"/>
    </row>
    <row r="53" spans="1:7" x14ac:dyDescent="0.25">
      <c r="A53" s="25" t="str">
        <f>_xlfn.CONCAT(TablaMeta[[#This Row],[AÑO]],TablaMeta[[#This Row],[mes]],TablaMeta[[#This Row],[Equipo]])</f>
        <v>2024JULIOJORDAN</v>
      </c>
      <c r="B53" s="48" t="s">
        <v>173</v>
      </c>
      <c r="C53" s="26" t="s">
        <v>145</v>
      </c>
      <c r="D53" s="12" t="s">
        <v>5</v>
      </c>
      <c r="E53" s="9">
        <v>204000</v>
      </c>
      <c r="F53" s="9">
        <v>28000</v>
      </c>
      <c r="G53" s="39"/>
    </row>
    <row r="54" spans="1:7" x14ac:dyDescent="0.25">
      <c r="A54" s="25" t="str">
        <f>_xlfn.CONCAT(TablaMeta[[#This Row],[AÑO]],TablaMeta[[#This Row],[mes]],TablaMeta[[#This Row],[Equipo]])</f>
        <v>2024JULIOJORGE</v>
      </c>
      <c r="B54" s="48" t="s">
        <v>173</v>
      </c>
      <c r="C54" s="26" t="s">
        <v>145</v>
      </c>
      <c r="D54" s="12" t="s">
        <v>2</v>
      </c>
      <c r="E54" s="9">
        <v>150000</v>
      </c>
      <c r="F54" s="9">
        <v>18000</v>
      </c>
      <c r="G54" s="39"/>
    </row>
    <row r="55" spans="1:7" x14ac:dyDescent="0.25">
      <c r="A55" s="25" t="str">
        <f>_xlfn.CONCAT(TablaMeta[[#This Row],[AÑO]],TablaMeta[[#This Row],[mes]],TablaMeta[[#This Row],[Equipo]])</f>
        <v>2024JULIOKENNETH</v>
      </c>
      <c r="B55" s="49" t="s">
        <v>173</v>
      </c>
      <c r="C55" s="27" t="s">
        <v>145</v>
      </c>
      <c r="D55" s="28" t="s">
        <v>6</v>
      </c>
      <c r="E55" s="9">
        <v>224000</v>
      </c>
      <c r="F55" s="9">
        <v>27000</v>
      </c>
      <c r="G55" s="39"/>
    </row>
    <row r="56" spans="1:7" x14ac:dyDescent="0.25">
      <c r="A56" s="25" t="str">
        <f>_xlfn.CONCAT(TablaMeta[[#This Row],[AÑO]],TablaMeta[[#This Row],[mes]],TablaMeta[[#This Row],[Equipo]])</f>
        <v>2024AGOSTOSANDY</v>
      </c>
      <c r="B56" s="48" t="s">
        <v>173</v>
      </c>
      <c r="C56" s="26" t="s">
        <v>146</v>
      </c>
      <c r="D56" s="12" t="s">
        <v>3</v>
      </c>
      <c r="E56" s="9">
        <v>490000</v>
      </c>
      <c r="F56" s="9">
        <v>64000</v>
      </c>
      <c r="G56" s="39"/>
    </row>
    <row r="57" spans="1:7" x14ac:dyDescent="0.25">
      <c r="A57" s="25" t="str">
        <f>_xlfn.CONCAT(TablaMeta[[#This Row],[AÑO]],TablaMeta[[#This Row],[mes]],TablaMeta[[#This Row],[Equipo]])</f>
        <v>2024AGOSTOMELINA</v>
      </c>
      <c r="B57" s="48" t="s">
        <v>173</v>
      </c>
      <c r="C57" s="26" t="s">
        <v>146</v>
      </c>
      <c r="D57" s="12" t="s">
        <v>4</v>
      </c>
      <c r="E57" s="9">
        <v>490000</v>
      </c>
      <c r="F57" s="9">
        <v>64000</v>
      </c>
      <c r="G57" s="39"/>
    </row>
    <row r="58" spans="1:7" x14ac:dyDescent="0.25">
      <c r="A58" s="25" t="str">
        <f>_xlfn.CONCAT(TablaMeta[[#This Row],[AÑO]],TablaMeta[[#This Row],[mes]],TablaMeta[[#This Row],[Equipo]])</f>
        <v>2024AGOSTOJORDAN</v>
      </c>
      <c r="B58" s="48" t="s">
        <v>173</v>
      </c>
      <c r="C58" s="26" t="s">
        <v>146</v>
      </c>
      <c r="D58" s="12" t="s">
        <v>5</v>
      </c>
      <c r="E58" s="9">
        <v>204000</v>
      </c>
      <c r="F58" s="9">
        <v>26000</v>
      </c>
      <c r="G58" s="39"/>
    </row>
    <row r="59" spans="1:7" x14ac:dyDescent="0.25">
      <c r="A59" s="25" t="str">
        <f>_xlfn.CONCAT(TablaMeta[[#This Row],[AÑO]],TablaMeta[[#This Row],[mes]],TablaMeta[[#This Row],[Equipo]])</f>
        <v>2024AGOSTOJORGE</v>
      </c>
      <c r="B59" s="48" t="s">
        <v>173</v>
      </c>
      <c r="C59" s="26" t="s">
        <v>146</v>
      </c>
      <c r="D59" s="12" t="s">
        <v>2</v>
      </c>
      <c r="E59" s="9">
        <v>150000</v>
      </c>
      <c r="F59" s="9">
        <v>18000</v>
      </c>
      <c r="G59" s="39"/>
    </row>
    <row r="60" spans="1:7" x14ac:dyDescent="0.25">
      <c r="A60" s="25" t="str">
        <f>_xlfn.CONCAT(TablaMeta[[#This Row],[AÑO]],TablaMeta[[#This Row],[mes]],TablaMeta[[#This Row],[Equipo]])</f>
        <v>2024AGOSTOMELITA</v>
      </c>
      <c r="B60" s="48" t="s">
        <v>173</v>
      </c>
      <c r="C60" s="26" t="s">
        <v>146</v>
      </c>
      <c r="D60" s="12" t="s">
        <v>115</v>
      </c>
      <c r="E60" s="9">
        <v>152000</v>
      </c>
      <c r="F60" s="9">
        <v>18000</v>
      </c>
      <c r="G60" s="39"/>
    </row>
    <row r="61" spans="1:7" x14ac:dyDescent="0.25">
      <c r="A61" s="25" t="str">
        <f>_xlfn.CONCAT(TablaMeta[[#This Row],[AÑO]],TablaMeta[[#This Row],[mes]],TablaMeta[[#This Row],[Equipo]])</f>
        <v>2024AGOSTOKENNETH</v>
      </c>
      <c r="B61" s="48" t="s">
        <v>173</v>
      </c>
      <c r="C61" s="26" t="s">
        <v>146</v>
      </c>
      <c r="D61" s="12" t="s">
        <v>6</v>
      </c>
      <c r="E61" s="9">
        <v>224000</v>
      </c>
      <c r="F61" s="9">
        <v>27000</v>
      </c>
      <c r="G61" s="39"/>
    </row>
    <row r="62" spans="1:7" x14ac:dyDescent="0.25">
      <c r="A62" s="25" t="str">
        <f>_xlfn.CONCAT(TablaMeta[[#This Row],[AÑO]],TablaMeta[[#This Row],[mes]],TablaMeta[[#This Row],[Equipo]])</f>
        <v>2024AGOSTOLUIS</v>
      </c>
      <c r="B62" s="49" t="s">
        <v>173</v>
      </c>
      <c r="C62" s="27" t="s">
        <v>146</v>
      </c>
      <c r="D62" s="28" t="s">
        <v>9</v>
      </c>
      <c r="E62" s="29">
        <v>114500</v>
      </c>
      <c r="F62" s="9">
        <v>18000</v>
      </c>
      <c r="G62" s="39"/>
    </row>
    <row r="63" spans="1:7" x14ac:dyDescent="0.25">
      <c r="A63" s="25" t="str">
        <f>_xlfn.CONCAT(TablaMeta[[#This Row],[AÑO]],TablaMeta[[#This Row],[mes]],TablaMeta[[#This Row],[Equipo]])</f>
        <v>2024SETIEMBRESANDY</v>
      </c>
      <c r="B63" s="48" t="s">
        <v>173</v>
      </c>
      <c r="C63" s="26" t="s">
        <v>147</v>
      </c>
      <c r="D63" s="12" t="s">
        <v>3</v>
      </c>
      <c r="E63" s="9">
        <v>490000</v>
      </c>
      <c r="F63" s="9">
        <v>64000</v>
      </c>
      <c r="G63" s="39"/>
    </row>
    <row r="64" spans="1:7" x14ac:dyDescent="0.25">
      <c r="A64" s="25" t="str">
        <f>_xlfn.CONCAT(TablaMeta[[#This Row],[AÑO]],TablaMeta[[#This Row],[mes]],TablaMeta[[#This Row],[Equipo]])</f>
        <v>2024SETIEMBREMELINA</v>
      </c>
      <c r="B64" s="48" t="s">
        <v>173</v>
      </c>
      <c r="C64" s="26" t="s">
        <v>147</v>
      </c>
      <c r="D64" s="12" t="s">
        <v>4</v>
      </c>
      <c r="E64" s="9">
        <v>490000</v>
      </c>
      <c r="F64" s="9">
        <v>64000</v>
      </c>
      <c r="G64" s="39"/>
    </row>
    <row r="65" spans="1:7" x14ac:dyDescent="0.25">
      <c r="A65" s="25" t="str">
        <f>_xlfn.CONCAT(TablaMeta[[#This Row],[AÑO]],TablaMeta[[#This Row],[mes]],TablaMeta[[#This Row],[Equipo]])</f>
        <v>2024SETIEMBREJORDAN</v>
      </c>
      <c r="B65" s="48" t="s">
        <v>173</v>
      </c>
      <c r="C65" s="26" t="s">
        <v>147</v>
      </c>
      <c r="D65" s="12" t="s">
        <v>5</v>
      </c>
      <c r="E65" s="9">
        <v>194000</v>
      </c>
      <c r="F65" s="9">
        <v>23000</v>
      </c>
      <c r="G65" s="39"/>
    </row>
    <row r="66" spans="1:7" x14ac:dyDescent="0.25">
      <c r="A66" s="25" t="str">
        <f>_xlfn.CONCAT(TablaMeta[[#This Row],[AÑO]],TablaMeta[[#This Row],[mes]],TablaMeta[[#This Row],[Equipo]])</f>
        <v>2024SETIEMBREJORGE</v>
      </c>
      <c r="B66" s="48" t="s">
        <v>173</v>
      </c>
      <c r="C66" s="26" t="s">
        <v>147</v>
      </c>
      <c r="D66" s="12" t="s">
        <v>2</v>
      </c>
      <c r="E66" s="9">
        <v>150000</v>
      </c>
      <c r="F66" s="9">
        <v>16000</v>
      </c>
      <c r="G66" s="39"/>
    </row>
    <row r="67" spans="1:7" x14ac:dyDescent="0.25">
      <c r="A67" s="25" t="str">
        <f>_xlfn.CONCAT(TablaMeta[[#This Row],[AÑO]],TablaMeta[[#This Row],[mes]],TablaMeta[[#This Row],[Equipo]])</f>
        <v>2024SETIEMBREMELITA</v>
      </c>
      <c r="B67" s="48" t="s">
        <v>173</v>
      </c>
      <c r="C67" s="26" t="s">
        <v>147</v>
      </c>
      <c r="D67" s="12" t="s">
        <v>115</v>
      </c>
      <c r="E67" s="9">
        <v>111800</v>
      </c>
      <c r="F67" s="9">
        <v>14000</v>
      </c>
      <c r="G67" s="39"/>
    </row>
    <row r="68" spans="1:7" x14ac:dyDescent="0.25">
      <c r="A68" s="25" t="str">
        <f>_xlfn.CONCAT(TablaMeta[[#This Row],[AÑO]],TablaMeta[[#This Row],[mes]],TablaMeta[[#This Row],[Equipo]])</f>
        <v>2024SETIEMBREKENNETH</v>
      </c>
      <c r="B68" s="48" t="s">
        <v>173</v>
      </c>
      <c r="C68" s="26" t="s">
        <v>147</v>
      </c>
      <c r="D68" s="12" t="s">
        <v>6</v>
      </c>
      <c r="E68" s="9">
        <v>224000</v>
      </c>
      <c r="F68" s="9">
        <v>24000</v>
      </c>
      <c r="G68" s="39"/>
    </row>
    <row r="69" spans="1:7" x14ac:dyDescent="0.25">
      <c r="A69" s="25" t="str">
        <f>_xlfn.CONCAT(TablaMeta[[#This Row],[AÑO]],TablaMeta[[#This Row],[mes]],TablaMeta[[#This Row],[Equipo]])</f>
        <v>2024SETIEMBRELUIS</v>
      </c>
      <c r="B69" s="49" t="s">
        <v>173</v>
      </c>
      <c r="C69" s="27" t="s">
        <v>147</v>
      </c>
      <c r="D69" s="28" t="s">
        <v>9</v>
      </c>
      <c r="E69" s="29">
        <v>78500</v>
      </c>
      <c r="F69" s="9">
        <v>13000</v>
      </c>
      <c r="G69" s="39"/>
    </row>
    <row r="70" spans="1:7" x14ac:dyDescent="0.25">
      <c r="A70" s="25" t="str">
        <f>_xlfn.CONCAT(TablaMeta[[#This Row],[AÑO]],TablaMeta[[#This Row],[mes]],TablaMeta[[#This Row],[Equipo]])</f>
        <v>2024OCTUBRESANDY</v>
      </c>
      <c r="B70" s="48" t="s">
        <v>173</v>
      </c>
      <c r="C70" s="26" t="s">
        <v>148</v>
      </c>
      <c r="D70" s="12" t="s">
        <v>3</v>
      </c>
      <c r="E70" s="9">
        <v>584000</v>
      </c>
      <c r="F70" s="9">
        <v>68000</v>
      </c>
      <c r="G70" s="39"/>
    </row>
    <row r="71" spans="1:7" x14ac:dyDescent="0.25">
      <c r="A71" s="25" t="str">
        <f>_xlfn.CONCAT(TablaMeta[[#This Row],[AÑO]],TablaMeta[[#This Row],[mes]],TablaMeta[[#This Row],[Equipo]])</f>
        <v>2024OCTUBREMELINA</v>
      </c>
      <c r="B71" s="48" t="s">
        <v>173</v>
      </c>
      <c r="C71" s="26" t="s">
        <v>148</v>
      </c>
      <c r="D71" s="12" t="s">
        <v>4</v>
      </c>
      <c r="E71" s="9">
        <v>584000</v>
      </c>
      <c r="F71" s="9">
        <v>68000</v>
      </c>
      <c r="G71" s="39"/>
    </row>
    <row r="72" spans="1:7" x14ac:dyDescent="0.25">
      <c r="A72" s="25" t="str">
        <f>_xlfn.CONCAT(TablaMeta[[#This Row],[AÑO]],TablaMeta[[#This Row],[mes]],TablaMeta[[#This Row],[Equipo]])</f>
        <v>2024OCTUBREJORDAN</v>
      </c>
      <c r="B72" s="48" t="s">
        <v>173</v>
      </c>
      <c r="C72" s="26" t="s">
        <v>148</v>
      </c>
      <c r="D72" s="12" t="s">
        <v>5</v>
      </c>
      <c r="E72" s="9">
        <v>194000</v>
      </c>
      <c r="F72" s="9">
        <v>21000</v>
      </c>
      <c r="G72" s="39"/>
    </row>
    <row r="73" spans="1:7" x14ac:dyDescent="0.25">
      <c r="A73" s="25" t="str">
        <f>_xlfn.CONCAT(TablaMeta[[#This Row],[AÑO]],TablaMeta[[#This Row],[mes]],TablaMeta[[#This Row],[Equipo]])</f>
        <v>2024OCTUBREJORGE</v>
      </c>
      <c r="B73" s="48" t="s">
        <v>173</v>
      </c>
      <c r="C73" s="26" t="s">
        <v>148</v>
      </c>
      <c r="D73" s="12" t="s">
        <v>2</v>
      </c>
      <c r="E73" s="9">
        <v>150000</v>
      </c>
      <c r="F73" s="9">
        <v>17500</v>
      </c>
      <c r="G73" s="39"/>
    </row>
    <row r="74" spans="1:7" x14ac:dyDescent="0.25">
      <c r="A74" s="25" t="str">
        <f>_xlfn.CONCAT(TablaMeta[[#This Row],[AÑO]],TablaMeta[[#This Row],[mes]],TablaMeta[[#This Row],[Equipo]])</f>
        <v>2024OCTUBREMELITA</v>
      </c>
      <c r="B74" s="48" t="s">
        <v>173</v>
      </c>
      <c r="C74" s="26" t="s">
        <v>148</v>
      </c>
      <c r="D74" s="12" t="s">
        <v>115</v>
      </c>
      <c r="E74" s="9">
        <v>111800</v>
      </c>
      <c r="F74" s="9">
        <v>15000</v>
      </c>
      <c r="G74" s="39"/>
    </row>
    <row r="75" spans="1:7" x14ac:dyDescent="0.25">
      <c r="A75" s="25" t="str">
        <f>_xlfn.CONCAT(TablaMeta[[#This Row],[AÑO]],TablaMeta[[#This Row],[mes]],TablaMeta[[#This Row],[Equipo]])</f>
        <v>2024OCTUBREKENNETH</v>
      </c>
      <c r="B75" s="48" t="s">
        <v>173</v>
      </c>
      <c r="C75" s="26" t="s">
        <v>148</v>
      </c>
      <c r="D75" s="12" t="s">
        <v>6</v>
      </c>
      <c r="E75" s="9">
        <v>224000</v>
      </c>
      <c r="F75" s="9">
        <v>20500</v>
      </c>
      <c r="G75" s="39"/>
    </row>
    <row r="76" spans="1:7" x14ac:dyDescent="0.25">
      <c r="A76" s="25" t="str">
        <f>_xlfn.CONCAT(TablaMeta[[#This Row],[AÑO]],TablaMeta[[#This Row],[mes]],TablaMeta[[#This Row],[Equipo]])</f>
        <v>2024OCTUBRELUIS</v>
      </c>
      <c r="B76" s="49" t="s">
        <v>173</v>
      </c>
      <c r="C76" s="27" t="s">
        <v>148</v>
      </c>
      <c r="D76" s="28" t="s">
        <v>9</v>
      </c>
      <c r="E76" s="29">
        <v>78500</v>
      </c>
      <c r="F76" s="9">
        <v>13000</v>
      </c>
      <c r="G76" s="39"/>
    </row>
    <row r="77" spans="1:7" x14ac:dyDescent="0.25">
      <c r="A77" s="25" t="str">
        <f>_xlfn.CONCAT(TablaMeta[[#This Row],[AÑO]],TablaMeta[[#This Row],[mes]],TablaMeta[[#This Row],[Equipo]])</f>
        <v>2024NOVIEMBRESANDY</v>
      </c>
      <c r="B77" s="48" t="s">
        <v>173</v>
      </c>
      <c r="C77" s="26" t="s">
        <v>149</v>
      </c>
      <c r="D77" s="12" t="s">
        <v>3</v>
      </c>
      <c r="E77" s="9">
        <v>646000</v>
      </c>
      <c r="F77" s="9">
        <v>68000</v>
      </c>
      <c r="G77" s="39"/>
    </row>
    <row r="78" spans="1:7" x14ac:dyDescent="0.25">
      <c r="A78" s="25" t="str">
        <f>_xlfn.CONCAT(TablaMeta[[#This Row],[AÑO]],TablaMeta[[#This Row],[mes]],TablaMeta[[#This Row],[Equipo]])</f>
        <v>2024NOVIEMBREMELINA</v>
      </c>
      <c r="B78" s="48" t="s">
        <v>173</v>
      </c>
      <c r="C78" s="26" t="s">
        <v>149</v>
      </c>
      <c r="D78" s="12" t="s">
        <v>4</v>
      </c>
      <c r="E78" s="9">
        <v>646000</v>
      </c>
      <c r="F78" s="9">
        <v>68000</v>
      </c>
      <c r="G78" s="39"/>
    </row>
    <row r="79" spans="1:7" x14ac:dyDescent="0.25">
      <c r="A79" s="25" t="str">
        <f>_xlfn.CONCAT(TablaMeta[[#This Row],[AÑO]],TablaMeta[[#This Row],[mes]],TablaMeta[[#This Row],[Equipo]])</f>
        <v>2024NOVIEMBREJORDAN</v>
      </c>
      <c r="B79" s="48" t="s">
        <v>173</v>
      </c>
      <c r="C79" s="26" t="s">
        <v>149</v>
      </c>
      <c r="D79" s="12" t="s">
        <v>5</v>
      </c>
      <c r="E79" s="9">
        <v>194000</v>
      </c>
      <c r="F79" s="9">
        <v>23000</v>
      </c>
      <c r="G79" s="39"/>
    </row>
    <row r="80" spans="1:7" x14ac:dyDescent="0.25">
      <c r="A80" s="25" t="str">
        <f>_xlfn.CONCAT(TablaMeta[[#This Row],[AÑO]],TablaMeta[[#This Row],[mes]],TablaMeta[[#This Row],[Equipo]])</f>
        <v>2024NOVIEMBREJORGE</v>
      </c>
      <c r="B80" s="48" t="s">
        <v>173</v>
      </c>
      <c r="C80" s="26" t="s">
        <v>149</v>
      </c>
      <c r="D80" s="12" t="s">
        <v>2</v>
      </c>
      <c r="E80" s="9">
        <v>150000</v>
      </c>
      <c r="F80" s="9">
        <v>25000</v>
      </c>
      <c r="G80" s="39"/>
    </row>
    <row r="81" spans="1:7" x14ac:dyDescent="0.25">
      <c r="A81" s="25" t="str">
        <f>_xlfn.CONCAT(TablaMeta[[#This Row],[AÑO]],TablaMeta[[#This Row],[mes]],TablaMeta[[#This Row],[Equipo]])</f>
        <v>2024NOVIEMBREMELITA</v>
      </c>
      <c r="B81" s="48" t="s">
        <v>173</v>
      </c>
      <c r="C81" s="26" t="s">
        <v>149</v>
      </c>
      <c r="D81" s="12" t="s">
        <v>115</v>
      </c>
      <c r="E81" s="9">
        <v>111800</v>
      </c>
      <c r="F81" s="9">
        <v>17000</v>
      </c>
      <c r="G81" s="39"/>
    </row>
    <row r="82" spans="1:7" x14ac:dyDescent="0.25">
      <c r="A82" s="25" t="str">
        <f>_xlfn.CONCAT(TablaMeta[[#This Row],[AÑO]],TablaMeta[[#This Row],[mes]],TablaMeta[[#This Row],[Equipo]])</f>
        <v>2024NOVIEMBREKENNETH</v>
      </c>
      <c r="B82" s="48" t="s">
        <v>173</v>
      </c>
      <c r="C82" s="26" t="s">
        <v>149</v>
      </c>
      <c r="D82" s="12" t="s">
        <v>6</v>
      </c>
      <c r="E82" s="29">
        <v>224000</v>
      </c>
      <c r="F82" s="9">
        <v>22500</v>
      </c>
      <c r="G82" s="39"/>
    </row>
    <row r="83" spans="1:7" x14ac:dyDescent="0.25">
      <c r="A83" s="25" t="str">
        <f>_xlfn.CONCAT(TablaMeta[[#This Row],[AÑO]],TablaMeta[[#This Row],[mes]],TablaMeta[[#This Row],[Equipo]])</f>
        <v>2024NOVIEMBRELUIS</v>
      </c>
      <c r="B83" s="49" t="s">
        <v>173</v>
      </c>
      <c r="C83" s="27" t="s">
        <v>149</v>
      </c>
      <c r="D83" s="28" t="s">
        <v>9</v>
      </c>
      <c r="E83" s="29">
        <v>78500</v>
      </c>
      <c r="F83" s="9">
        <v>13000</v>
      </c>
      <c r="G83" s="39"/>
    </row>
    <row r="84" spans="1:7" x14ac:dyDescent="0.25">
      <c r="A84" s="25" t="str">
        <f>_xlfn.CONCAT(TablaMeta[[#This Row],[AÑO]],TablaMeta[[#This Row],[mes]],TablaMeta[[#This Row],[Equipo]])</f>
        <v>2024DICIEMBRESANDY</v>
      </c>
      <c r="B84" s="48" t="s">
        <v>173</v>
      </c>
      <c r="C84" s="26" t="s">
        <v>176</v>
      </c>
      <c r="D84" s="12" t="s">
        <v>3</v>
      </c>
      <c r="E84" s="9">
        <v>453000</v>
      </c>
      <c r="F84" s="9">
        <v>60000</v>
      </c>
      <c r="G84" s="39"/>
    </row>
    <row r="85" spans="1:7" x14ac:dyDescent="0.25">
      <c r="A85" s="25" t="str">
        <f>_xlfn.CONCAT(TablaMeta[[#This Row],[AÑO]],TablaMeta[[#This Row],[mes]],TablaMeta[[#This Row],[Equipo]])</f>
        <v>2024DICIEMBREMELINA</v>
      </c>
      <c r="B85" s="48" t="s">
        <v>173</v>
      </c>
      <c r="C85" s="26" t="s">
        <v>176</v>
      </c>
      <c r="D85" s="12" t="s">
        <v>4</v>
      </c>
      <c r="E85" s="9">
        <v>453000</v>
      </c>
      <c r="F85" s="9">
        <v>60000</v>
      </c>
      <c r="G85" s="39"/>
    </row>
    <row r="86" spans="1:7" x14ac:dyDescent="0.25">
      <c r="A86" s="25" t="str">
        <f>_xlfn.CONCAT(TablaMeta[[#This Row],[AÑO]],TablaMeta[[#This Row],[mes]],TablaMeta[[#This Row],[Equipo]])</f>
        <v>2024DICIEMBREJORDAN</v>
      </c>
      <c r="B86" s="48" t="s">
        <v>173</v>
      </c>
      <c r="C86" s="26" t="s">
        <v>176</v>
      </c>
      <c r="D86" s="12" t="s">
        <v>5</v>
      </c>
      <c r="E86" s="9">
        <v>453000</v>
      </c>
      <c r="F86" s="9">
        <v>60000</v>
      </c>
      <c r="G86" s="39"/>
    </row>
    <row r="87" spans="1:7" x14ac:dyDescent="0.25">
      <c r="A87" s="25" t="str">
        <f>_xlfn.CONCAT(TablaMeta[[#This Row],[AÑO]],TablaMeta[[#This Row],[mes]],TablaMeta[[#This Row],[Equipo]])</f>
        <v>2024DICIEMBREJORGE</v>
      </c>
      <c r="B87" s="48" t="s">
        <v>173</v>
      </c>
      <c r="C87" s="26" t="s">
        <v>176</v>
      </c>
      <c r="D87" s="12" t="s">
        <v>2</v>
      </c>
      <c r="E87" s="9">
        <v>194000</v>
      </c>
      <c r="F87" s="9">
        <v>22500</v>
      </c>
      <c r="G87" s="39"/>
    </row>
    <row r="88" spans="1:7" x14ac:dyDescent="0.25">
      <c r="A88" s="25" t="str">
        <f>_xlfn.CONCAT(TablaMeta[[#This Row],[AÑO]],TablaMeta[[#This Row],[mes]],TablaMeta[[#This Row],[Equipo]])</f>
        <v>2024DICIEMBREMELITA</v>
      </c>
      <c r="B88" s="48" t="s">
        <v>173</v>
      </c>
      <c r="C88" s="26" t="s">
        <v>176</v>
      </c>
      <c r="D88" s="12" t="s">
        <v>115</v>
      </c>
      <c r="E88" s="9">
        <v>111800</v>
      </c>
      <c r="F88" s="9">
        <v>17000</v>
      </c>
      <c r="G88" s="39"/>
    </row>
    <row r="89" spans="1:7" x14ac:dyDescent="0.25">
      <c r="A89" s="25" t="str">
        <f>_xlfn.CONCAT(TablaMeta[[#This Row],[AÑO]],TablaMeta[[#This Row],[mes]],TablaMeta[[#This Row],[Equipo]])</f>
        <v>2024DICIEMBREKENNETH</v>
      </c>
      <c r="B89" s="48" t="s">
        <v>173</v>
      </c>
      <c r="C89" s="26" t="s">
        <v>176</v>
      </c>
      <c r="D89" s="12" t="s">
        <v>6</v>
      </c>
      <c r="E89" s="9">
        <v>224000</v>
      </c>
      <c r="F89" s="9">
        <v>20500</v>
      </c>
      <c r="G89" s="39"/>
    </row>
    <row r="90" spans="1:7" x14ac:dyDescent="0.25">
      <c r="A90" s="25" t="str">
        <f>_xlfn.CONCAT(TablaMeta[[#This Row],[AÑO]],TablaMeta[[#This Row],[mes]],TablaMeta[[#This Row],[Equipo]])</f>
        <v>2024DICIEMBRELUIS</v>
      </c>
      <c r="B90" s="49" t="s">
        <v>173</v>
      </c>
      <c r="C90" s="27" t="s">
        <v>176</v>
      </c>
      <c r="D90" s="28" t="s">
        <v>9</v>
      </c>
      <c r="E90" s="29">
        <v>228500</v>
      </c>
      <c r="F90" s="9">
        <v>26500</v>
      </c>
      <c r="G90" s="39"/>
    </row>
    <row r="91" spans="1:7" x14ac:dyDescent="0.25">
      <c r="A91" s="25" t="str">
        <f>_xlfn.CONCAT(TablaMeta[[#This Row],[AÑO]],TablaMeta[[#This Row],[mes]],TablaMeta[[#This Row],[Equipo]])</f>
        <v>2025ENEROSANDY</v>
      </c>
      <c r="B91" s="48" t="s">
        <v>171</v>
      </c>
      <c r="C91" s="26" t="s">
        <v>139</v>
      </c>
      <c r="D91" s="12" t="s">
        <v>3</v>
      </c>
      <c r="E91" s="9">
        <v>439600</v>
      </c>
      <c r="F91" s="9">
        <v>58000</v>
      </c>
      <c r="G91" s="39" t="s">
        <v>150</v>
      </c>
    </row>
    <row r="92" spans="1:7" x14ac:dyDescent="0.25">
      <c r="A92" s="25" t="str">
        <f>_xlfn.CONCAT(TablaMeta[[#This Row],[AÑO]],TablaMeta[[#This Row],[mes]],TablaMeta[[#This Row],[Equipo]])</f>
        <v>2025ENEROMELINA</v>
      </c>
      <c r="B92" s="48" t="s">
        <v>171</v>
      </c>
      <c r="C92" s="26" t="s">
        <v>139</v>
      </c>
      <c r="D92" s="12" t="s">
        <v>4</v>
      </c>
      <c r="E92" s="9">
        <v>439600</v>
      </c>
      <c r="F92" s="9">
        <v>58000</v>
      </c>
      <c r="G92" s="39" t="s">
        <v>150</v>
      </c>
    </row>
    <row r="93" spans="1:7" x14ac:dyDescent="0.25">
      <c r="A93" s="25" t="str">
        <f>_xlfn.CONCAT(TablaMeta[[#This Row],[AÑO]],TablaMeta[[#This Row],[mes]],TablaMeta[[#This Row],[Equipo]])</f>
        <v>2025ENEROJORDAN</v>
      </c>
      <c r="B93" s="48" t="s">
        <v>171</v>
      </c>
      <c r="C93" s="26" t="s">
        <v>139</v>
      </c>
      <c r="D93" s="12" t="s">
        <v>5</v>
      </c>
      <c r="E93" s="9">
        <v>439600</v>
      </c>
      <c r="F93" s="9">
        <v>58000</v>
      </c>
      <c r="G93" s="39" t="s">
        <v>150</v>
      </c>
    </row>
    <row r="94" spans="1:7" x14ac:dyDescent="0.25">
      <c r="A94" s="25" t="str">
        <f>_xlfn.CONCAT(TablaMeta[[#This Row],[AÑO]],TablaMeta[[#This Row],[mes]],TablaMeta[[#This Row],[Equipo]])</f>
        <v>2025ENEROJORGE</v>
      </c>
      <c r="B94" s="48" t="s">
        <v>171</v>
      </c>
      <c r="C94" s="26" t="s">
        <v>139</v>
      </c>
      <c r="D94" s="12" t="s">
        <v>2</v>
      </c>
      <c r="E94" s="9">
        <v>174200</v>
      </c>
      <c r="F94" s="9">
        <v>22000</v>
      </c>
      <c r="G94" s="39" t="s">
        <v>151</v>
      </c>
    </row>
    <row r="95" spans="1:7" x14ac:dyDescent="0.25">
      <c r="A95" s="25" t="str">
        <f>_xlfn.CONCAT(TablaMeta[[#This Row],[AÑO]],TablaMeta[[#This Row],[mes]],TablaMeta[[#This Row],[Equipo]])</f>
        <v>2025ENEROMELITA</v>
      </c>
      <c r="B95" s="48" t="s">
        <v>171</v>
      </c>
      <c r="C95" s="26" t="s">
        <v>139</v>
      </c>
      <c r="D95" s="12" t="s">
        <v>115</v>
      </c>
      <c r="E95" s="9">
        <v>108600</v>
      </c>
      <c r="F95" s="9">
        <v>16500</v>
      </c>
      <c r="G95" s="39" t="s">
        <v>151</v>
      </c>
    </row>
    <row r="96" spans="1:7" x14ac:dyDescent="0.25">
      <c r="A96" s="25" t="str">
        <f>_xlfn.CONCAT(TablaMeta[[#This Row],[AÑO]],TablaMeta[[#This Row],[mes]],TablaMeta[[#This Row],[Equipo]])</f>
        <v>2025ENEROKENNETH</v>
      </c>
      <c r="B96" s="48" t="s">
        <v>171</v>
      </c>
      <c r="C96" s="26" t="s">
        <v>139</v>
      </c>
      <c r="D96" s="12" t="s">
        <v>6</v>
      </c>
      <c r="E96" s="9">
        <v>209900</v>
      </c>
      <c r="F96" s="9">
        <v>21000</v>
      </c>
      <c r="G96" s="39" t="s">
        <v>152</v>
      </c>
    </row>
    <row r="97" spans="1:7" x14ac:dyDescent="0.25">
      <c r="A97" s="25" t="str">
        <f>_xlfn.CONCAT(TablaMeta[[#This Row],[AÑO]],TablaMeta[[#This Row],[mes]],TablaMeta[[#This Row],[Equipo]])</f>
        <v>2025ENEROLUIS</v>
      </c>
      <c r="B97" s="49" t="s">
        <v>171</v>
      </c>
      <c r="C97" s="27" t="s">
        <v>139</v>
      </c>
      <c r="D97" s="28" t="s">
        <v>9</v>
      </c>
      <c r="E97" s="29">
        <v>200500</v>
      </c>
      <c r="F97" s="9">
        <v>21000</v>
      </c>
      <c r="G97" s="39" t="s">
        <v>153</v>
      </c>
    </row>
    <row r="98" spans="1:7" x14ac:dyDescent="0.25">
      <c r="A98" s="25" t="str">
        <f>_xlfn.CONCAT(TablaMeta[[#This Row],[AÑO]],TablaMeta[[#This Row],[mes]],TablaMeta[[#This Row],[Equipo]])</f>
        <v>2025FEBREROSANDY</v>
      </c>
      <c r="B98" s="48" t="s">
        <v>171</v>
      </c>
      <c r="C98" s="26" t="s">
        <v>140</v>
      </c>
      <c r="D98" s="12" t="s">
        <v>3</v>
      </c>
      <c r="E98" s="9">
        <v>499600</v>
      </c>
      <c r="F98" s="9">
        <v>58000</v>
      </c>
      <c r="G98" s="39" t="s">
        <v>150</v>
      </c>
    </row>
    <row r="99" spans="1:7" x14ac:dyDescent="0.25">
      <c r="A99" s="25" t="str">
        <f>_xlfn.CONCAT(TablaMeta[[#This Row],[AÑO]],TablaMeta[[#This Row],[mes]],TablaMeta[[#This Row],[Equipo]])</f>
        <v>2025FEBREROMELINA</v>
      </c>
      <c r="B99" s="48" t="s">
        <v>171</v>
      </c>
      <c r="C99" s="26" t="s">
        <v>140</v>
      </c>
      <c r="D99" s="12" t="s">
        <v>4</v>
      </c>
      <c r="E99" s="9">
        <v>499600</v>
      </c>
      <c r="F99" s="9">
        <v>58000</v>
      </c>
      <c r="G99" s="39" t="s">
        <v>150</v>
      </c>
    </row>
    <row r="100" spans="1:7" x14ac:dyDescent="0.25">
      <c r="A100" s="25" t="str">
        <f>_xlfn.CONCAT(TablaMeta[[#This Row],[AÑO]],TablaMeta[[#This Row],[mes]],TablaMeta[[#This Row],[Equipo]])</f>
        <v>2025FEBREROJORDAN</v>
      </c>
      <c r="B100" s="48" t="s">
        <v>171</v>
      </c>
      <c r="C100" s="26" t="s">
        <v>140</v>
      </c>
      <c r="D100" s="12" t="s">
        <v>5</v>
      </c>
      <c r="E100" s="9">
        <v>499600</v>
      </c>
      <c r="F100" s="9">
        <v>58000</v>
      </c>
      <c r="G100" s="39" t="s">
        <v>150</v>
      </c>
    </row>
    <row r="101" spans="1:7" x14ac:dyDescent="0.25">
      <c r="A101" s="25" t="str">
        <f>_xlfn.CONCAT(TablaMeta[[#This Row],[AÑO]],TablaMeta[[#This Row],[mes]],TablaMeta[[#This Row],[Equipo]])</f>
        <v>2025FEBREROJORGE</v>
      </c>
      <c r="B101" s="48" t="s">
        <v>171</v>
      </c>
      <c r="C101" s="26" t="s">
        <v>140</v>
      </c>
      <c r="D101" s="12" t="s">
        <v>2</v>
      </c>
      <c r="E101" s="9">
        <v>174200</v>
      </c>
      <c r="F101" s="9">
        <v>22000</v>
      </c>
      <c r="G101" s="39" t="s">
        <v>151</v>
      </c>
    </row>
    <row r="102" spans="1:7" x14ac:dyDescent="0.25">
      <c r="A102" s="25" t="str">
        <f>_xlfn.CONCAT(TablaMeta[[#This Row],[AÑO]],TablaMeta[[#This Row],[mes]],TablaMeta[[#This Row],[Equipo]])</f>
        <v>2025FEBREROMELITA</v>
      </c>
      <c r="B102" s="48" t="s">
        <v>171</v>
      </c>
      <c r="C102" s="26" t="s">
        <v>140</v>
      </c>
      <c r="D102" s="12" t="s">
        <v>115</v>
      </c>
      <c r="E102" s="9">
        <v>108600</v>
      </c>
      <c r="F102" s="9">
        <v>16500</v>
      </c>
      <c r="G102" s="39" t="s">
        <v>154</v>
      </c>
    </row>
    <row r="103" spans="1:7" x14ac:dyDescent="0.25">
      <c r="A103" s="25" t="str">
        <f>_xlfn.CONCAT(TablaMeta[[#This Row],[AÑO]],TablaMeta[[#This Row],[mes]],TablaMeta[[#This Row],[Equipo]])</f>
        <v>2025FEBREROKENNETH</v>
      </c>
      <c r="B103" s="48" t="s">
        <v>171</v>
      </c>
      <c r="C103" s="26" t="s">
        <v>140</v>
      </c>
      <c r="D103" s="12" t="s">
        <v>6</v>
      </c>
      <c r="E103" s="9">
        <v>209900</v>
      </c>
      <c r="F103" s="9">
        <v>21000</v>
      </c>
      <c r="G103" s="39" t="s">
        <v>152</v>
      </c>
    </row>
    <row r="104" spans="1:7" x14ac:dyDescent="0.25">
      <c r="A104" s="25" t="str">
        <f>_xlfn.CONCAT(TablaMeta[[#This Row],[AÑO]],TablaMeta[[#This Row],[mes]],TablaMeta[[#This Row],[Equipo]])</f>
        <v>2025FEBREROLUIS</v>
      </c>
      <c r="B104" s="49" t="s">
        <v>171</v>
      </c>
      <c r="C104" s="27" t="s">
        <v>140</v>
      </c>
      <c r="D104" s="28" t="s">
        <v>9</v>
      </c>
      <c r="E104" s="29">
        <v>200500</v>
      </c>
      <c r="F104" s="9">
        <v>21000</v>
      </c>
      <c r="G104" s="39" t="s">
        <v>153</v>
      </c>
    </row>
    <row r="105" spans="1:7" x14ac:dyDescent="0.25">
      <c r="A105" s="25" t="str">
        <f>_xlfn.CONCAT(TablaMeta[[#This Row],[AÑO]],TablaMeta[[#This Row],[mes]],TablaMeta[[#This Row],[Equipo]])</f>
        <v>2025MARZOSANDY</v>
      </c>
      <c r="B105" s="48" t="s">
        <v>171</v>
      </c>
      <c r="C105" s="26" t="s">
        <v>141</v>
      </c>
      <c r="D105" s="12" t="s">
        <v>3</v>
      </c>
      <c r="E105" s="9">
        <v>531100</v>
      </c>
      <c r="F105" s="9">
        <v>62000</v>
      </c>
      <c r="G105" s="39" t="s">
        <v>150</v>
      </c>
    </row>
    <row r="106" spans="1:7" x14ac:dyDescent="0.25">
      <c r="A106" s="25" t="str">
        <f>_xlfn.CONCAT(TablaMeta[[#This Row],[AÑO]],TablaMeta[[#This Row],[mes]],TablaMeta[[#This Row],[Equipo]])</f>
        <v>2025MARZOMELINA</v>
      </c>
      <c r="B106" s="48" t="s">
        <v>171</v>
      </c>
      <c r="C106" s="26" t="s">
        <v>141</v>
      </c>
      <c r="D106" s="12" t="s">
        <v>4</v>
      </c>
      <c r="E106" s="9">
        <v>531100</v>
      </c>
      <c r="F106" s="9">
        <v>62000</v>
      </c>
      <c r="G106" s="39" t="s">
        <v>150</v>
      </c>
    </row>
    <row r="107" spans="1:7" x14ac:dyDescent="0.25">
      <c r="A107" s="25" t="str">
        <f>_xlfn.CONCAT(TablaMeta[[#This Row],[AÑO]],TablaMeta[[#This Row],[mes]],TablaMeta[[#This Row],[Equipo]])</f>
        <v>2025MARZOJORDAN</v>
      </c>
      <c r="B107" s="48" t="s">
        <v>171</v>
      </c>
      <c r="C107" s="26" t="s">
        <v>141</v>
      </c>
      <c r="D107" s="12" t="s">
        <v>5</v>
      </c>
      <c r="E107" s="9">
        <v>531100</v>
      </c>
      <c r="F107" s="9">
        <v>62000</v>
      </c>
      <c r="G107" s="39" t="s">
        <v>150</v>
      </c>
    </row>
    <row r="108" spans="1:7" x14ac:dyDescent="0.25">
      <c r="A108" s="25" t="str">
        <f>_xlfn.CONCAT(TablaMeta[[#This Row],[AÑO]],TablaMeta[[#This Row],[mes]],TablaMeta[[#This Row],[Equipo]])</f>
        <v>2025MARZOJORGE</v>
      </c>
      <c r="B108" s="48" t="s">
        <v>171</v>
      </c>
      <c r="C108" s="26" t="s">
        <v>141</v>
      </c>
      <c r="D108" s="12" t="s">
        <v>2</v>
      </c>
      <c r="E108" s="9">
        <v>174200</v>
      </c>
      <c r="F108" s="9">
        <v>24000</v>
      </c>
      <c r="G108" s="39" t="s">
        <v>151</v>
      </c>
    </row>
    <row r="109" spans="1:7" x14ac:dyDescent="0.25">
      <c r="A109" s="25" t="str">
        <f>_xlfn.CONCAT(TablaMeta[[#This Row],[AÑO]],TablaMeta[[#This Row],[mes]],TablaMeta[[#This Row],[Equipo]])</f>
        <v>2025MARZOMELITA</v>
      </c>
      <c r="B109" s="48" t="s">
        <v>171</v>
      </c>
      <c r="C109" s="26" t="s">
        <v>141</v>
      </c>
      <c r="D109" s="12" t="s">
        <v>115</v>
      </c>
      <c r="E109" s="9">
        <v>108600</v>
      </c>
      <c r="F109" s="9">
        <v>16500</v>
      </c>
      <c r="G109" s="39" t="s">
        <v>154</v>
      </c>
    </row>
    <row r="110" spans="1:7" x14ac:dyDescent="0.25">
      <c r="A110" s="25" t="str">
        <f>_xlfn.CONCAT(TablaMeta[[#This Row],[AÑO]],TablaMeta[[#This Row],[mes]],TablaMeta[[#This Row],[Equipo]])</f>
        <v>2025MARZOKENNETH</v>
      </c>
      <c r="B110" s="48" t="s">
        <v>171</v>
      </c>
      <c r="C110" s="26" t="s">
        <v>141</v>
      </c>
      <c r="D110" s="12" t="s">
        <v>6</v>
      </c>
      <c r="E110" s="9">
        <v>209900</v>
      </c>
      <c r="F110" s="9">
        <v>21000</v>
      </c>
      <c r="G110" s="39" t="s">
        <v>152</v>
      </c>
    </row>
    <row r="111" spans="1:7" x14ac:dyDescent="0.25">
      <c r="A111" s="25" t="str">
        <f>_xlfn.CONCAT(TablaMeta[[#This Row],[AÑO]],TablaMeta[[#This Row],[mes]],TablaMeta[[#This Row],[Equipo]])</f>
        <v>2025MARZOLUIS</v>
      </c>
      <c r="B111" s="49" t="s">
        <v>171</v>
      </c>
      <c r="C111" s="27" t="s">
        <v>141</v>
      </c>
      <c r="D111" s="28" t="s">
        <v>9</v>
      </c>
      <c r="E111" s="29">
        <v>200500</v>
      </c>
      <c r="F111" s="9">
        <v>21000</v>
      </c>
      <c r="G111" s="39" t="s">
        <v>153</v>
      </c>
    </row>
    <row r="112" spans="1:7" x14ac:dyDescent="0.25">
      <c r="A112" s="25" t="str">
        <f>_xlfn.CONCAT(TablaMeta[[#This Row],[AÑO]],TablaMeta[[#This Row],[mes]],TablaMeta[[#This Row],[Equipo]])</f>
        <v>2025ABRILSANDY</v>
      </c>
      <c r="B112" s="48" t="s">
        <v>171</v>
      </c>
      <c r="C112" s="26" t="s">
        <v>142</v>
      </c>
      <c r="D112" s="12" t="s">
        <v>3</v>
      </c>
      <c r="E112" s="9">
        <v>437325</v>
      </c>
      <c r="F112" s="9">
        <v>57000</v>
      </c>
      <c r="G112" s="39" t="s">
        <v>150</v>
      </c>
    </row>
    <row r="113" spans="1:7" x14ac:dyDescent="0.25">
      <c r="A113" s="25" t="str">
        <f>_xlfn.CONCAT(TablaMeta[[#This Row],[AÑO]],TablaMeta[[#This Row],[mes]],TablaMeta[[#This Row],[Equipo]])</f>
        <v>2025ABRILLUIS</v>
      </c>
      <c r="B113" s="48" t="s">
        <v>171</v>
      </c>
      <c r="C113" s="26" t="s">
        <v>142</v>
      </c>
      <c r="D113" s="12" t="s">
        <v>9</v>
      </c>
      <c r="E113" s="9">
        <v>437325</v>
      </c>
      <c r="F113" s="9">
        <v>57000</v>
      </c>
      <c r="G113" s="39" t="s">
        <v>150</v>
      </c>
    </row>
    <row r="114" spans="1:7" x14ac:dyDescent="0.25">
      <c r="A114" s="25" t="str">
        <f>_xlfn.CONCAT(TablaMeta[[#This Row],[AÑO]],TablaMeta[[#This Row],[mes]],TablaMeta[[#This Row],[Equipo]])</f>
        <v>2025ABRILJORDAN</v>
      </c>
      <c r="B114" s="48" t="s">
        <v>171</v>
      </c>
      <c r="C114" s="26" t="s">
        <v>142</v>
      </c>
      <c r="D114" s="12" t="s">
        <v>5</v>
      </c>
      <c r="E114" s="9">
        <v>437325</v>
      </c>
      <c r="F114" s="9">
        <v>57000</v>
      </c>
      <c r="G114" s="39" t="s">
        <v>150</v>
      </c>
    </row>
    <row r="115" spans="1:7" x14ac:dyDescent="0.25">
      <c r="A115" s="25" t="str">
        <f>_xlfn.CONCAT(TablaMeta[[#This Row],[AÑO]],TablaMeta[[#This Row],[mes]],TablaMeta[[#This Row],[Equipo]])</f>
        <v>2025ABRILJORGE</v>
      </c>
      <c r="B115" s="48" t="s">
        <v>171</v>
      </c>
      <c r="C115" s="26" t="s">
        <v>142</v>
      </c>
      <c r="D115" s="12" t="s">
        <v>2</v>
      </c>
      <c r="E115" s="9">
        <v>437325</v>
      </c>
      <c r="F115" s="9">
        <v>57000</v>
      </c>
      <c r="G115" s="39" t="s">
        <v>150</v>
      </c>
    </row>
    <row r="116" spans="1:7" x14ac:dyDescent="0.25">
      <c r="A116" s="25" t="str">
        <f>_xlfn.CONCAT(TablaMeta[[#This Row],[AÑO]],TablaMeta[[#This Row],[mes]],TablaMeta[[#This Row],[Equipo]])</f>
        <v>2025ABRILGUSTAVO</v>
      </c>
      <c r="B116" s="48" t="s">
        <v>171</v>
      </c>
      <c r="C116" s="26" t="s">
        <v>142</v>
      </c>
      <c r="D116" s="12" t="s">
        <v>124</v>
      </c>
      <c r="E116" s="9">
        <v>171900</v>
      </c>
      <c r="F116" s="9">
        <v>20500</v>
      </c>
      <c r="G116" s="39" t="s">
        <v>153</v>
      </c>
    </row>
    <row r="117" spans="1:7" x14ac:dyDescent="0.25">
      <c r="A117" s="25" t="str">
        <f>_xlfn.CONCAT(TablaMeta[[#This Row],[AÑO]],TablaMeta[[#This Row],[mes]],TablaMeta[[#This Row],[Equipo]])</f>
        <v>2025ABRILKENNETH</v>
      </c>
      <c r="B117" s="48" t="s">
        <v>171</v>
      </c>
      <c r="C117" s="26" t="s">
        <v>142</v>
      </c>
      <c r="D117" s="12" t="s">
        <v>6</v>
      </c>
      <c r="E117" s="9">
        <v>257600</v>
      </c>
      <c r="F117" s="9">
        <v>26000</v>
      </c>
      <c r="G117" s="39" t="s">
        <v>152</v>
      </c>
    </row>
    <row r="118" spans="1:7" x14ac:dyDescent="0.25">
      <c r="A118" s="25" t="str">
        <f>_xlfn.CONCAT(TablaMeta[[#This Row],[AÑO]],TablaMeta[[#This Row],[mes]],TablaMeta[[#This Row],[Equipo]])</f>
        <v>2025ABRILJOHAN</v>
      </c>
      <c r="B118" s="49" t="s">
        <v>171</v>
      </c>
      <c r="C118" s="27" t="s">
        <v>142</v>
      </c>
      <c r="D118" s="28" t="s">
        <v>125</v>
      </c>
      <c r="E118" s="29">
        <v>171900</v>
      </c>
      <c r="F118" s="9">
        <v>20500</v>
      </c>
      <c r="G118" s="39" t="s">
        <v>153</v>
      </c>
    </row>
    <row r="119" spans="1:7" x14ac:dyDescent="0.25">
      <c r="A119" s="25" t="str">
        <f>_xlfn.CONCAT(TablaMeta[[#This Row],[AÑO]],TablaMeta[[#This Row],[mes]],TablaMeta[[#This Row],[Equipo]])</f>
        <v>2025ABRILBRYAN</v>
      </c>
      <c r="B119" s="49" t="s">
        <v>171</v>
      </c>
      <c r="C119" s="27" t="s">
        <v>142</v>
      </c>
      <c r="D119" s="28" t="s">
        <v>8</v>
      </c>
      <c r="E119" s="29">
        <v>171900</v>
      </c>
      <c r="F119" s="9">
        <v>20500</v>
      </c>
      <c r="G119" s="39" t="s">
        <v>153</v>
      </c>
    </row>
    <row r="120" spans="1:7" x14ac:dyDescent="0.25">
      <c r="A120" s="25" t="str">
        <f>_xlfn.CONCAT(TablaMeta[[#This Row],[AÑO]],TablaMeta[[#This Row],[mes]],TablaMeta[[#This Row],[Equipo]])</f>
        <v>2025MAYOSANDY</v>
      </c>
      <c r="B120" s="48" t="s">
        <v>171</v>
      </c>
      <c r="C120" s="26" t="s">
        <v>143</v>
      </c>
      <c r="D120" s="12" t="s">
        <v>3</v>
      </c>
      <c r="E120" s="9">
        <v>495375</v>
      </c>
      <c r="F120" s="9">
        <v>65000</v>
      </c>
      <c r="G120" s="39" t="s">
        <v>150</v>
      </c>
    </row>
    <row r="121" spans="1:7" x14ac:dyDescent="0.25">
      <c r="A121" s="25" t="str">
        <f>_xlfn.CONCAT(TablaMeta[[#This Row],[AÑO]],TablaMeta[[#This Row],[mes]],TablaMeta[[#This Row],[Equipo]])</f>
        <v>2025MAYOMELINA</v>
      </c>
      <c r="B121" s="48" t="s">
        <v>171</v>
      </c>
      <c r="C121" s="26" t="s">
        <v>143</v>
      </c>
      <c r="D121" s="12" t="s">
        <v>4</v>
      </c>
      <c r="E121" s="9">
        <v>495375</v>
      </c>
      <c r="F121" s="9">
        <v>65000</v>
      </c>
      <c r="G121" s="39" t="s">
        <v>150</v>
      </c>
    </row>
    <row r="122" spans="1:7" x14ac:dyDescent="0.25">
      <c r="A122" s="25" t="str">
        <f>_xlfn.CONCAT(TablaMeta[[#This Row],[AÑO]],TablaMeta[[#This Row],[mes]],TablaMeta[[#This Row],[Equipo]])</f>
        <v>2025MAYOJORDAN</v>
      </c>
      <c r="B122" s="48" t="s">
        <v>171</v>
      </c>
      <c r="C122" s="26" t="s">
        <v>143</v>
      </c>
      <c r="D122" s="12" t="s">
        <v>5</v>
      </c>
      <c r="E122" s="9">
        <v>495375</v>
      </c>
      <c r="F122" s="9">
        <v>65000</v>
      </c>
      <c r="G122" s="39" t="s">
        <v>150</v>
      </c>
    </row>
    <row r="123" spans="1:7" x14ac:dyDescent="0.25">
      <c r="A123" s="25" t="str">
        <f>_xlfn.CONCAT(TablaMeta[[#This Row],[AÑO]],TablaMeta[[#This Row],[mes]],TablaMeta[[#This Row],[Equipo]])</f>
        <v>2025MAYOJORGE</v>
      </c>
      <c r="B123" s="48" t="s">
        <v>171</v>
      </c>
      <c r="C123" s="26" t="s">
        <v>143</v>
      </c>
      <c r="D123" s="12" t="s">
        <v>2</v>
      </c>
      <c r="E123" s="9">
        <v>495375</v>
      </c>
      <c r="F123" s="9">
        <v>65000</v>
      </c>
      <c r="G123" s="39" t="s">
        <v>150</v>
      </c>
    </row>
    <row r="124" spans="1:7" x14ac:dyDescent="0.25">
      <c r="A124" s="25" t="str">
        <f>_xlfn.CONCAT(TablaMeta[[#This Row],[AÑO]],TablaMeta[[#This Row],[mes]],TablaMeta[[#This Row],[Equipo]])</f>
        <v>2025MAYOKENNETH</v>
      </c>
      <c r="B124" s="48" t="s">
        <v>171</v>
      </c>
      <c r="C124" s="26" t="s">
        <v>143</v>
      </c>
      <c r="D124" s="12" t="s">
        <v>6</v>
      </c>
      <c r="E124" s="9">
        <v>258000</v>
      </c>
      <c r="F124" s="9">
        <v>26000</v>
      </c>
      <c r="G124" s="39" t="s">
        <v>152</v>
      </c>
    </row>
    <row r="125" spans="1:7" x14ac:dyDescent="0.25">
      <c r="A125" s="25" t="str">
        <f>_xlfn.CONCAT(TablaMeta[[#This Row],[AÑO]],TablaMeta[[#This Row],[mes]],TablaMeta[[#This Row],[Equipo]])</f>
        <v>2025MAYOLUIS</v>
      </c>
      <c r="B125" s="48" t="s">
        <v>171</v>
      </c>
      <c r="C125" s="26" t="s">
        <v>143</v>
      </c>
      <c r="D125" s="12" t="s">
        <v>9</v>
      </c>
      <c r="E125" s="9">
        <v>166833</v>
      </c>
      <c r="F125" s="9">
        <v>20000</v>
      </c>
      <c r="G125" s="39" t="s">
        <v>153</v>
      </c>
    </row>
    <row r="126" spans="1:7" x14ac:dyDescent="0.25">
      <c r="A126" s="25" t="str">
        <f>_xlfn.CONCAT(TablaMeta[[#This Row],[AÑO]],TablaMeta[[#This Row],[mes]],TablaMeta[[#This Row],[Equipo]])</f>
        <v>2025MAYOJOHAN</v>
      </c>
      <c r="B126" s="48" t="s">
        <v>171</v>
      </c>
      <c r="C126" s="26" t="s">
        <v>143</v>
      </c>
      <c r="D126" s="12" t="s">
        <v>125</v>
      </c>
      <c r="E126" s="9">
        <v>166833</v>
      </c>
      <c r="F126" s="9">
        <v>20000</v>
      </c>
      <c r="G126" s="39" t="s">
        <v>153</v>
      </c>
    </row>
    <row r="127" spans="1:7" x14ac:dyDescent="0.25">
      <c r="A127" s="25" t="str">
        <f>_xlfn.CONCAT(TablaMeta[[#This Row],[AÑO]],TablaMeta[[#This Row],[mes]],TablaMeta[[#This Row],[Equipo]])</f>
        <v>2025MAYOBRYAN</v>
      </c>
      <c r="B127" s="49" t="s">
        <v>171</v>
      </c>
      <c r="C127" s="27" t="s">
        <v>143</v>
      </c>
      <c r="D127" s="28" t="s">
        <v>8</v>
      </c>
      <c r="E127" s="29">
        <v>166833</v>
      </c>
      <c r="F127" s="9">
        <v>20000</v>
      </c>
      <c r="G127" s="39" t="s">
        <v>153</v>
      </c>
    </row>
    <row r="128" spans="1:7" x14ac:dyDescent="0.25">
      <c r="A128" s="25" t="str">
        <f>_xlfn.CONCAT(TablaMeta[[#This Row],[AÑO]],TablaMeta[[#This Row],[mes]],TablaMeta[[#This Row],[Equipo]])</f>
        <v>2025JUNIOSANDY</v>
      </c>
      <c r="B128" s="48" t="s">
        <v>171</v>
      </c>
      <c r="C128" s="26" t="s">
        <v>144</v>
      </c>
      <c r="D128" s="12" t="s">
        <v>3</v>
      </c>
      <c r="E128" s="9">
        <v>495375</v>
      </c>
      <c r="F128" s="9">
        <v>65000</v>
      </c>
      <c r="G128" s="39" t="s">
        <v>150</v>
      </c>
    </row>
    <row r="129" spans="1:7" x14ac:dyDescent="0.25">
      <c r="A129" s="25" t="str">
        <f>_xlfn.CONCAT(TablaMeta[[#This Row],[AÑO]],TablaMeta[[#This Row],[mes]],TablaMeta[[#This Row],[Equipo]])</f>
        <v>2025JUNIOMELINA</v>
      </c>
      <c r="B129" s="48" t="s">
        <v>171</v>
      </c>
      <c r="C129" s="26" t="s">
        <v>144</v>
      </c>
      <c r="D129" s="12" t="s">
        <v>4</v>
      </c>
      <c r="E129" s="9">
        <v>495375</v>
      </c>
      <c r="F129" s="9">
        <v>65000</v>
      </c>
      <c r="G129" s="39" t="s">
        <v>150</v>
      </c>
    </row>
    <row r="130" spans="1:7" x14ac:dyDescent="0.25">
      <c r="A130" s="25" t="str">
        <f>_xlfn.CONCAT(TablaMeta[[#This Row],[AÑO]],TablaMeta[[#This Row],[mes]],TablaMeta[[#This Row],[Equipo]])</f>
        <v>2025JUNIOJORDAN</v>
      </c>
      <c r="B130" s="48" t="s">
        <v>171</v>
      </c>
      <c r="C130" s="26" t="s">
        <v>144</v>
      </c>
      <c r="D130" s="12" t="s">
        <v>5</v>
      </c>
      <c r="E130" s="9">
        <v>495375</v>
      </c>
      <c r="F130" s="9">
        <v>65000</v>
      </c>
      <c r="G130" s="39" t="s">
        <v>150</v>
      </c>
    </row>
    <row r="131" spans="1:7" x14ac:dyDescent="0.25">
      <c r="A131" s="25" t="str">
        <f>_xlfn.CONCAT(TablaMeta[[#This Row],[AÑO]],TablaMeta[[#This Row],[mes]],TablaMeta[[#This Row],[Equipo]])</f>
        <v>2025JUNIOJORGE</v>
      </c>
      <c r="B131" s="48" t="s">
        <v>171</v>
      </c>
      <c r="C131" s="26" t="s">
        <v>144</v>
      </c>
      <c r="D131" s="12" t="s">
        <v>2</v>
      </c>
      <c r="E131" s="9">
        <v>495375</v>
      </c>
      <c r="F131" s="9">
        <v>65000</v>
      </c>
      <c r="G131" s="39" t="s">
        <v>150</v>
      </c>
    </row>
    <row r="132" spans="1:7" x14ac:dyDescent="0.25">
      <c r="A132" s="25" t="str">
        <f>_xlfn.CONCAT(TablaMeta[[#This Row],[AÑO]],TablaMeta[[#This Row],[mes]],TablaMeta[[#This Row],[Equipo]])</f>
        <v>2025JUNIOKENNETH</v>
      </c>
      <c r="B132" s="48" t="s">
        <v>171</v>
      </c>
      <c r="C132" s="26" t="s">
        <v>144</v>
      </c>
      <c r="D132" s="12" t="s">
        <v>6</v>
      </c>
      <c r="E132" s="9">
        <v>302800</v>
      </c>
      <c r="F132" s="9">
        <v>30500</v>
      </c>
      <c r="G132" s="39" t="s">
        <v>152</v>
      </c>
    </row>
    <row r="133" spans="1:7" x14ac:dyDescent="0.25">
      <c r="A133" s="25" t="str">
        <f>_xlfn.CONCAT(TablaMeta[[#This Row],[AÑO]],TablaMeta[[#This Row],[mes]],TablaMeta[[#This Row],[Equipo]])</f>
        <v>2025JUNIOLUIS</v>
      </c>
      <c r="B133" s="48" t="s">
        <v>171</v>
      </c>
      <c r="C133" s="26" t="s">
        <v>144</v>
      </c>
      <c r="D133" s="12" t="s">
        <v>9</v>
      </c>
      <c r="E133" s="9">
        <v>123200</v>
      </c>
      <c r="F133" s="9">
        <v>15000</v>
      </c>
      <c r="G133" s="39" t="s">
        <v>153</v>
      </c>
    </row>
    <row r="134" spans="1:7" x14ac:dyDescent="0.25">
      <c r="A134" s="25" t="str">
        <f>_xlfn.CONCAT(TablaMeta[[#This Row],[AÑO]],TablaMeta[[#This Row],[mes]],TablaMeta[[#This Row],[Equipo]])</f>
        <v>2025JUNIOJOHAN</v>
      </c>
      <c r="B134" s="48" t="s">
        <v>171</v>
      </c>
      <c r="C134" s="26" t="s">
        <v>144</v>
      </c>
      <c r="D134" s="12" t="s">
        <v>125</v>
      </c>
      <c r="E134" s="9">
        <v>123200</v>
      </c>
      <c r="F134" s="9">
        <v>15000</v>
      </c>
      <c r="G134" s="39" t="s">
        <v>153</v>
      </c>
    </row>
    <row r="135" spans="1:7" x14ac:dyDescent="0.25">
      <c r="A135" s="25" t="str">
        <f>_xlfn.CONCAT(TablaMeta[[#This Row],[AÑO]],TablaMeta[[#This Row],[mes]],TablaMeta[[#This Row],[Equipo]])</f>
        <v>2025JUNIOBRYAN</v>
      </c>
      <c r="B135" s="49" t="s">
        <v>171</v>
      </c>
      <c r="C135" s="27" t="s">
        <v>144</v>
      </c>
      <c r="D135" s="28" t="s">
        <v>8</v>
      </c>
      <c r="E135" s="29">
        <v>123200</v>
      </c>
      <c r="F135" s="9">
        <v>15000</v>
      </c>
      <c r="G135" s="39" t="s">
        <v>153</v>
      </c>
    </row>
    <row r="136" spans="1:7" x14ac:dyDescent="0.25">
      <c r="A136" s="25" t="str">
        <f>_xlfn.CONCAT(TablaMeta[[#This Row],[AÑO]],TablaMeta[[#This Row],[mes]],TablaMeta[[#This Row],[Equipo]])</f>
        <v>2025JULIOSANDY</v>
      </c>
      <c r="B136" s="48" t="s">
        <v>171</v>
      </c>
      <c r="C136" s="26" t="s">
        <v>145</v>
      </c>
      <c r="D136" s="12" t="s">
        <v>3</v>
      </c>
      <c r="E136" s="9">
        <v>615100</v>
      </c>
      <c r="F136" s="9">
        <v>65000</v>
      </c>
      <c r="G136" s="39" t="s">
        <v>155</v>
      </c>
    </row>
    <row r="137" spans="1:7" x14ac:dyDescent="0.25">
      <c r="A137" s="25" t="str">
        <f>_xlfn.CONCAT(TablaMeta[[#This Row],[AÑO]],TablaMeta[[#This Row],[mes]],TablaMeta[[#This Row],[Equipo]])</f>
        <v>2025JULIOMELINA</v>
      </c>
      <c r="B137" s="48" t="s">
        <v>171</v>
      </c>
      <c r="C137" s="26" t="s">
        <v>145</v>
      </c>
      <c r="D137" s="12" t="s">
        <v>4</v>
      </c>
      <c r="E137" s="9">
        <v>615100</v>
      </c>
      <c r="F137" s="9">
        <v>65000</v>
      </c>
      <c r="G137" s="39" t="s">
        <v>155</v>
      </c>
    </row>
    <row r="138" spans="1:7" x14ac:dyDescent="0.25">
      <c r="A138" s="25" t="str">
        <f>_xlfn.CONCAT(TablaMeta[[#This Row],[AÑO]],TablaMeta[[#This Row],[mes]],TablaMeta[[#This Row],[Equipo]])</f>
        <v>2025JULIOJORDAN</v>
      </c>
      <c r="B138" s="48" t="s">
        <v>171</v>
      </c>
      <c r="C138" s="26" t="s">
        <v>145</v>
      </c>
      <c r="D138" s="12" t="s">
        <v>5</v>
      </c>
      <c r="E138" s="9">
        <v>458800</v>
      </c>
      <c r="F138" s="9">
        <v>54000</v>
      </c>
      <c r="G138" s="39" t="s">
        <v>150</v>
      </c>
    </row>
    <row r="139" spans="1:7" x14ac:dyDescent="0.25">
      <c r="A139" s="25" t="str">
        <f>_xlfn.CONCAT(TablaMeta[[#This Row],[AÑO]],TablaMeta[[#This Row],[mes]],TablaMeta[[#This Row],[Equipo]])</f>
        <v>2025JULIOJORGE</v>
      </c>
      <c r="B139" s="48" t="s">
        <v>171</v>
      </c>
      <c r="C139" s="26" t="s">
        <v>145</v>
      </c>
      <c r="D139" s="12" t="s">
        <v>2</v>
      </c>
      <c r="E139" s="9">
        <v>458800</v>
      </c>
      <c r="F139" s="9">
        <v>54000</v>
      </c>
      <c r="G139" s="39" t="s">
        <v>150</v>
      </c>
    </row>
    <row r="140" spans="1:7" x14ac:dyDescent="0.25">
      <c r="A140" s="25" t="str">
        <f>_xlfn.CONCAT(TablaMeta[[#This Row],[AÑO]],TablaMeta[[#This Row],[mes]],TablaMeta[[#This Row],[Equipo]])</f>
        <v>2025JULIOKENNETH</v>
      </c>
      <c r="B140" s="48" t="s">
        <v>171</v>
      </c>
      <c r="C140" s="26" t="s">
        <v>145</v>
      </c>
      <c r="D140" s="12" t="s">
        <v>6</v>
      </c>
      <c r="E140" s="9">
        <v>260350</v>
      </c>
      <c r="F140" s="9">
        <v>26000</v>
      </c>
      <c r="G140" s="39" t="s">
        <v>156</v>
      </c>
    </row>
    <row r="141" spans="1:7" x14ac:dyDescent="0.25">
      <c r="A141" s="25" t="str">
        <f>_xlfn.CONCAT(TablaMeta[[#This Row],[AÑO]],TablaMeta[[#This Row],[mes]],TablaMeta[[#This Row],[Equipo]])</f>
        <v>2025JULIOLEONOR</v>
      </c>
      <c r="B141" s="48" t="s">
        <v>171</v>
      </c>
      <c r="C141" s="26" t="s">
        <v>145</v>
      </c>
      <c r="D141" s="12" t="s">
        <v>7</v>
      </c>
      <c r="E141" s="9">
        <v>154800</v>
      </c>
      <c r="F141" s="9">
        <v>15500</v>
      </c>
      <c r="G141" s="39" t="s">
        <v>152</v>
      </c>
    </row>
    <row r="142" spans="1:7" x14ac:dyDescent="0.25">
      <c r="A142" s="25" t="str">
        <f>_xlfn.CONCAT(TablaMeta[[#This Row],[AÑO]],TablaMeta[[#This Row],[mes]],TablaMeta[[#This Row],[Equipo]])</f>
        <v>2025JULIOLUIS</v>
      </c>
      <c r="B142" s="48" t="s">
        <v>171</v>
      </c>
      <c r="C142" s="26" t="s">
        <v>145</v>
      </c>
      <c r="D142" s="12" t="s">
        <v>9</v>
      </c>
      <c r="E142" s="9">
        <v>130825</v>
      </c>
      <c r="F142" s="9">
        <v>15500</v>
      </c>
      <c r="G142" s="39" t="s">
        <v>153</v>
      </c>
    </row>
    <row r="143" spans="1:7" x14ac:dyDescent="0.25">
      <c r="A143" s="25" t="str">
        <f>_xlfn.CONCAT(TablaMeta[[#This Row],[AÑO]],TablaMeta[[#This Row],[mes]],TablaMeta[[#This Row],[Equipo]])</f>
        <v>2025JULIOBRYAN</v>
      </c>
      <c r="B143" s="49" t="s">
        <v>171</v>
      </c>
      <c r="C143" s="27" t="s">
        <v>145</v>
      </c>
      <c r="D143" s="28" t="s">
        <v>8</v>
      </c>
      <c r="E143" s="29">
        <v>130825</v>
      </c>
      <c r="F143" s="9">
        <v>15500</v>
      </c>
      <c r="G143" s="39" t="s">
        <v>153</v>
      </c>
    </row>
    <row r="144" spans="1:7" x14ac:dyDescent="0.25">
      <c r="A144" s="25" t="str">
        <f>_xlfn.CONCAT(TablaMeta[[#This Row],[AÑO]],TablaMeta[[#This Row],[mes]],TablaMeta[[#This Row],[Equipo]])</f>
        <v>2025AGOSTOJOHAN</v>
      </c>
      <c r="B144" s="48" t="s">
        <v>171</v>
      </c>
      <c r="C144" s="26" t="s">
        <v>146</v>
      </c>
      <c r="D144" s="12" t="s">
        <v>125</v>
      </c>
      <c r="E144" s="9">
        <v>683530</v>
      </c>
      <c r="F144" s="9">
        <v>72000</v>
      </c>
      <c r="G144" s="39" t="s">
        <v>155</v>
      </c>
    </row>
    <row r="145" spans="1:7" x14ac:dyDescent="0.25">
      <c r="A145" s="25" t="str">
        <f>_xlfn.CONCAT(TablaMeta[[#This Row],[AÑO]],TablaMeta[[#This Row],[mes]],TablaMeta[[#This Row],[Equipo]])</f>
        <v>2025AGOSTOMELINA</v>
      </c>
      <c r="B145" s="48" t="s">
        <v>171</v>
      </c>
      <c r="C145" s="26" t="s">
        <v>146</v>
      </c>
      <c r="D145" s="12" t="s">
        <v>4</v>
      </c>
      <c r="E145" s="9">
        <v>683530</v>
      </c>
      <c r="F145" s="9">
        <v>72000</v>
      </c>
      <c r="G145" s="39" t="s">
        <v>155</v>
      </c>
    </row>
    <row r="146" spans="1:7" x14ac:dyDescent="0.25">
      <c r="A146" s="25" t="str">
        <f>_xlfn.CONCAT(TablaMeta[[#This Row],[AÑO]],TablaMeta[[#This Row],[mes]],TablaMeta[[#This Row],[Equipo]])</f>
        <v>2025AGOSTOJORDAN</v>
      </c>
      <c r="B146" s="48" t="s">
        <v>171</v>
      </c>
      <c r="C146" s="26" t="s">
        <v>146</v>
      </c>
      <c r="D146" s="12" t="s">
        <v>5</v>
      </c>
      <c r="E146" s="9">
        <v>458800</v>
      </c>
      <c r="F146" s="9">
        <v>54000</v>
      </c>
      <c r="G146" s="39" t="s">
        <v>150</v>
      </c>
    </row>
    <row r="147" spans="1:7" x14ac:dyDescent="0.25">
      <c r="A147" s="25" t="str">
        <f>_xlfn.CONCAT(TablaMeta[[#This Row],[AÑO]],TablaMeta[[#This Row],[mes]],TablaMeta[[#This Row],[Equipo]])</f>
        <v>2025AGOSTOJORGE</v>
      </c>
      <c r="B147" s="48" t="s">
        <v>171</v>
      </c>
      <c r="C147" s="26" t="s">
        <v>146</v>
      </c>
      <c r="D147" s="12" t="s">
        <v>2</v>
      </c>
      <c r="E147" s="9">
        <v>458800</v>
      </c>
      <c r="F147" s="9">
        <v>54000</v>
      </c>
      <c r="G147" s="39" t="s">
        <v>150</v>
      </c>
    </row>
    <row r="148" spans="1:7" x14ac:dyDescent="0.25">
      <c r="A148" s="25" t="str">
        <f>_xlfn.CONCAT(TablaMeta[[#This Row],[AÑO]],TablaMeta[[#This Row],[mes]],TablaMeta[[#This Row],[Equipo]])</f>
        <v>2025AGOSTOKENNETH</v>
      </c>
      <c r="B148" s="48" t="s">
        <v>171</v>
      </c>
      <c r="C148" s="26" t="s">
        <v>146</v>
      </c>
      <c r="D148" s="12" t="s">
        <v>6</v>
      </c>
      <c r="E148" s="9">
        <v>260350</v>
      </c>
      <c r="F148" s="9">
        <v>26000</v>
      </c>
      <c r="G148" s="39" t="s">
        <v>156</v>
      </c>
    </row>
    <row r="149" spans="1:7" x14ac:dyDescent="0.25">
      <c r="A149" s="25" t="str">
        <f>_xlfn.CONCAT(TablaMeta[[#This Row],[AÑO]],TablaMeta[[#This Row],[mes]],TablaMeta[[#This Row],[Equipo]])</f>
        <v>2025AGOSTOLEONOR</v>
      </c>
      <c r="B149" s="48" t="s">
        <v>171</v>
      </c>
      <c r="C149" s="26" t="s">
        <v>146</v>
      </c>
      <c r="D149" s="12" t="s">
        <v>7</v>
      </c>
      <c r="E149" s="9">
        <v>154800</v>
      </c>
      <c r="F149" s="9">
        <v>15500</v>
      </c>
      <c r="G149" s="39" t="s">
        <v>152</v>
      </c>
    </row>
    <row r="150" spans="1:7" x14ac:dyDescent="0.25">
      <c r="A150" s="25" t="str">
        <f>_xlfn.CONCAT(TablaMeta[[#This Row],[AÑO]],TablaMeta[[#This Row],[mes]],TablaMeta[[#This Row],[Equipo]])</f>
        <v>2025AGOSTOLUIS</v>
      </c>
      <c r="B150" s="48" t="s">
        <v>171</v>
      </c>
      <c r="C150" s="26" t="s">
        <v>146</v>
      </c>
      <c r="D150" s="12" t="s">
        <v>9</v>
      </c>
      <c r="E150" s="9">
        <v>132595</v>
      </c>
      <c r="F150" s="9">
        <v>16000</v>
      </c>
      <c r="G150" s="39" t="s">
        <v>153</v>
      </c>
    </row>
    <row r="151" spans="1:7" x14ac:dyDescent="0.25">
      <c r="A151" s="25" t="str">
        <f>_xlfn.CONCAT(TablaMeta[[#This Row],[AÑO]],TablaMeta[[#This Row],[mes]],TablaMeta[[#This Row],[Equipo]])</f>
        <v>2025AGOSTOBRYAN</v>
      </c>
      <c r="B151" s="49" t="s">
        <v>171</v>
      </c>
      <c r="C151" s="27" t="s">
        <v>146</v>
      </c>
      <c r="D151" s="28" t="s">
        <v>8</v>
      </c>
      <c r="E151" s="29">
        <v>132595</v>
      </c>
      <c r="F151" s="9">
        <v>16000</v>
      </c>
      <c r="G151" s="39" t="s">
        <v>153</v>
      </c>
    </row>
    <row r="152" spans="1:7" x14ac:dyDescent="0.25">
      <c r="A152" s="25" t="str">
        <f>_xlfn.CONCAT(TablaMeta[[#This Row],[AÑO]],TablaMeta[[#This Row],[mes]],TablaMeta[[#This Row],[Equipo]])</f>
        <v>2025SETIEMBRESANDY</v>
      </c>
      <c r="B152" s="48" t="s">
        <v>171</v>
      </c>
      <c r="C152" s="26" t="s">
        <v>147</v>
      </c>
      <c r="D152" s="12" t="s">
        <v>3</v>
      </c>
      <c r="E152" s="9">
        <v>200950</v>
      </c>
      <c r="F152" s="9">
        <v>14000</v>
      </c>
      <c r="G152" s="39" t="s">
        <v>157</v>
      </c>
    </row>
    <row r="153" spans="1:7" x14ac:dyDescent="0.25">
      <c r="A153" s="25" t="str">
        <f>_xlfn.CONCAT(TablaMeta[[#This Row],[AÑO]],TablaMeta[[#This Row],[mes]],TablaMeta[[#This Row],[Equipo]])</f>
        <v>2025SETIEMBREMELINA</v>
      </c>
      <c r="B153" s="48" t="s">
        <v>171</v>
      </c>
      <c r="C153" s="26" t="s">
        <v>147</v>
      </c>
      <c r="D153" s="12" t="s">
        <v>4</v>
      </c>
      <c r="E153" s="9">
        <v>200950</v>
      </c>
      <c r="F153" s="9">
        <v>14000</v>
      </c>
      <c r="G153" s="39" t="s">
        <v>157</v>
      </c>
    </row>
    <row r="154" spans="1:7" x14ac:dyDescent="0.25">
      <c r="A154" s="25" t="str">
        <f>_xlfn.CONCAT(TablaMeta[[#This Row],[AÑO]],TablaMeta[[#This Row],[mes]],TablaMeta[[#This Row],[Equipo]])</f>
        <v>2025SETIEMBREJORDAN</v>
      </c>
      <c r="B154" s="48" t="s">
        <v>171</v>
      </c>
      <c r="C154" s="26" t="s">
        <v>147</v>
      </c>
      <c r="D154" s="12" t="s">
        <v>5</v>
      </c>
      <c r="E154" s="9">
        <v>301000</v>
      </c>
      <c r="F154" s="9">
        <v>38000</v>
      </c>
      <c r="G154" s="39" t="s">
        <v>158</v>
      </c>
    </row>
    <row r="155" spans="1:7" x14ac:dyDescent="0.25">
      <c r="A155" s="25" t="str">
        <f>_xlfn.CONCAT(TablaMeta[[#This Row],[AÑO]],TablaMeta[[#This Row],[mes]],TablaMeta[[#This Row],[Equipo]])</f>
        <v>2025SETIEMBREJORGE</v>
      </c>
      <c r="B155" s="48" t="s">
        <v>171</v>
      </c>
      <c r="C155" s="26" t="s">
        <v>147</v>
      </c>
      <c r="D155" s="12" t="s">
        <v>2</v>
      </c>
      <c r="E155" s="9">
        <v>301000</v>
      </c>
      <c r="F155" s="9">
        <v>38000</v>
      </c>
      <c r="G155" s="39" t="s">
        <v>158</v>
      </c>
    </row>
    <row r="156" spans="1:7" x14ac:dyDescent="0.25">
      <c r="A156" s="25" t="str">
        <f>_xlfn.CONCAT(TablaMeta[[#This Row],[AÑO]],TablaMeta[[#This Row],[mes]],TablaMeta[[#This Row],[Equipo]])</f>
        <v>2025SETIEMBREJOHAN</v>
      </c>
      <c r="B156" s="48" t="s">
        <v>171</v>
      </c>
      <c r="C156" s="26" t="s">
        <v>147</v>
      </c>
      <c r="D156" s="12" t="s">
        <v>125</v>
      </c>
      <c r="E156" s="9">
        <v>643200</v>
      </c>
      <c r="F156" s="9">
        <v>92000</v>
      </c>
      <c r="G156" s="39" t="s">
        <v>159</v>
      </c>
    </row>
    <row r="157" spans="1:7" x14ac:dyDescent="0.25">
      <c r="A157" s="25" t="str">
        <f>_xlfn.CONCAT(TablaMeta[[#This Row],[AÑO]],TablaMeta[[#This Row],[mes]],TablaMeta[[#This Row],[Equipo]])</f>
        <v>2025SETIEMBRELEONOR</v>
      </c>
      <c r="B157" s="48" t="s">
        <v>171</v>
      </c>
      <c r="C157" s="26" t="s">
        <v>147</v>
      </c>
      <c r="D157" s="12" t="s">
        <v>7</v>
      </c>
      <c r="E157" s="9">
        <v>643200</v>
      </c>
      <c r="F157" s="9">
        <v>92000</v>
      </c>
      <c r="G157" s="39" t="s">
        <v>159</v>
      </c>
    </row>
    <row r="158" spans="1:7" x14ac:dyDescent="0.25">
      <c r="A158" s="25" t="str">
        <f>_xlfn.CONCAT(TablaMeta[[#This Row],[AÑO]],TablaMeta[[#This Row],[mes]],TablaMeta[[#This Row],[Equipo]])</f>
        <v>2025SETIEMBRELUIS</v>
      </c>
      <c r="B158" s="48" t="s">
        <v>171</v>
      </c>
      <c r="C158" s="26" t="s">
        <v>147</v>
      </c>
      <c r="D158" s="12" t="s">
        <v>9</v>
      </c>
      <c r="E158" s="9">
        <v>209800</v>
      </c>
      <c r="F158" s="9">
        <v>21000</v>
      </c>
      <c r="G158" s="39" t="s">
        <v>156</v>
      </c>
    </row>
    <row r="159" spans="1:7" x14ac:dyDescent="0.25">
      <c r="A159" s="25" t="str">
        <f>_xlfn.CONCAT(TablaMeta[[#This Row],[AÑO]],TablaMeta[[#This Row],[mes]],TablaMeta[[#This Row],[Equipo]])</f>
        <v>2025SETIEMBREBRYAN</v>
      </c>
      <c r="B159" s="49" t="s">
        <v>171</v>
      </c>
      <c r="C159" s="27" t="s">
        <v>147</v>
      </c>
      <c r="D159" s="28" t="s">
        <v>8</v>
      </c>
      <c r="E159" s="29">
        <v>749600</v>
      </c>
      <c r="F159" s="9">
        <v>75000</v>
      </c>
      <c r="G159" s="39" t="s">
        <v>155</v>
      </c>
    </row>
    <row r="160" spans="1:7" x14ac:dyDescent="0.25">
      <c r="A160" s="25" t="str">
        <f>_xlfn.CONCAT(TablaMeta[[#This Row],[AÑO]],TablaMeta[[#This Row],[mes]],TablaMeta[[#This Row],[Equipo]])</f>
        <v>2025OCTUBRESANDY</v>
      </c>
      <c r="B160" s="48" t="s">
        <v>171</v>
      </c>
      <c r="C160" s="26" t="s">
        <v>148</v>
      </c>
      <c r="D160" s="12" t="s">
        <v>3</v>
      </c>
      <c r="E160" s="9">
        <v>239472</v>
      </c>
      <c r="F160" s="9">
        <v>22000</v>
      </c>
      <c r="G160" s="39" t="s">
        <v>157</v>
      </c>
    </row>
    <row r="161" spans="1:11" x14ac:dyDescent="0.25">
      <c r="A161" s="25" t="str">
        <f>_xlfn.CONCAT(TablaMeta[[#This Row],[AÑO]],TablaMeta[[#This Row],[mes]],TablaMeta[[#This Row],[Equipo]])</f>
        <v>2025OCTUBREMELINA</v>
      </c>
      <c r="B161" s="48" t="s">
        <v>171</v>
      </c>
      <c r="C161" s="26" t="s">
        <v>148</v>
      </c>
      <c r="D161" s="12" t="s">
        <v>4</v>
      </c>
      <c r="E161" s="9">
        <v>239472</v>
      </c>
      <c r="F161" s="9">
        <v>22000</v>
      </c>
      <c r="G161" s="39" t="s">
        <v>157</v>
      </c>
    </row>
    <row r="162" spans="1:11" x14ac:dyDescent="0.25">
      <c r="A162" s="25" t="str">
        <f>_xlfn.CONCAT(TablaMeta[[#This Row],[AÑO]],TablaMeta[[#This Row],[mes]],TablaMeta[[#This Row],[Equipo]])</f>
        <v>2025OCTUBREJORDAN</v>
      </c>
      <c r="B162" s="48" t="s">
        <v>171</v>
      </c>
      <c r="C162" s="26" t="s">
        <v>148</v>
      </c>
      <c r="D162" s="12" t="s">
        <v>5</v>
      </c>
      <c r="E162" s="9">
        <v>253237</v>
      </c>
      <c r="F162" s="9">
        <v>32000</v>
      </c>
      <c r="G162" s="39" t="s">
        <v>158</v>
      </c>
    </row>
    <row r="163" spans="1:11" x14ac:dyDescent="0.25">
      <c r="A163" s="25" t="str">
        <f>_xlfn.CONCAT(TablaMeta[[#This Row],[AÑO]],TablaMeta[[#This Row],[mes]],TablaMeta[[#This Row],[Equipo]])</f>
        <v>2025OCTUBREJOHAN</v>
      </c>
      <c r="B163" s="48" t="s">
        <v>171</v>
      </c>
      <c r="C163" s="26" t="s">
        <v>148</v>
      </c>
      <c r="D163" s="12" t="s">
        <v>125</v>
      </c>
      <c r="E163" s="9">
        <v>253237</v>
      </c>
      <c r="F163" s="9">
        <v>32000</v>
      </c>
      <c r="G163" s="39" t="s">
        <v>158</v>
      </c>
    </row>
    <row r="164" spans="1:11" x14ac:dyDescent="0.25">
      <c r="A164" s="25" t="str">
        <f>_xlfn.CONCAT(TablaMeta[[#This Row],[AÑO]],TablaMeta[[#This Row],[mes]],TablaMeta[[#This Row],[Equipo]])</f>
        <v>2025OCTUBREKENNETH</v>
      </c>
      <c r="B164" s="48" t="s">
        <v>171</v>
      </c>
      <c r="C164" s="26" t="s">
        <v>148</v>
      </c>
      <c r="D164" s="12" t="s">
        <v>6</v>
      </c>
      <c r="E164" s="9">
        <v>420827</v>
      </c>
      <c r="F164" s="9">
        <v>53000</v>
      </c>
      <c r="G164" s="39" t="s">
        <v>159</v>
      </c>
    </row>
    <row r="165" spans="1:11" x14ac:dyDescent="0.25">
      <c r="A165" s="25" t="str">
        <f>_xlfn.CONCAT(TablaMeta[[#This Row],[AÑO]],TablaMeta[[#This Row],[mes]],TablaMeta[[#This Row],[Equipo]])</f>
        <v>2025OCTUBRELEONOR</v>
      </c>
      <c r="B165" s="48" t="s">
        <v>171</v>
      </c>
      <c r="C165" s="26" t="s">
        <v>148</v>
      </c>
      <c r="D165" s="12" t="s">
        <v>7</v>
      </c>
      <c r="E165" s="9">
        <v>420827</v>
      </c>
      <c r="F165" s="9">
        <v>53000</v>
      </c>
      <c r="G165" s="39" t="s">
        <v>159</v>
      </c>
    </row>
    <row r="166" spans="1:11" x14ac:dyDescent="0.25">
      <c r="A166" s="25" t="str">
        <f>_xlfn.CONCAT(TablaMeta[[#This Row],[AÑO]],TablaMeta[[#This Row],[mes]],TablaMeta[[#This Row],[Equipo]])</f>
        <v>2025OCTUBRELUIS</v>
      </c>
      <c r="B166" s="48" t="s">
        <v>171</v>
      </c>
      <c r="C166" s="26" t="s">
        <v>148</v>
      </c>
      <c r="D166" s="12" t="s">
        <v>9</v>
      </c>
      <c r="E166" s="9">
        <v>230608</v>
      </c>
      <c r="F166" s="9">
        <v>23000</v>
      </c>
      <c r="G166" s="39" t="s">
        <v>156</v>
      </c>
    </row>
    <row r="167" spans="1:11" x14ac:dyDescent="0.25">
      <c r="A167" s="25" t="str">
        <f>_xlfn.CONCAT(TablaMeta[[#This Row],[AÑO]],TablaMeta[[#This Row],[mes]],TablaMeta[[#This Row],[Equipo]])</f>
        <v>2025OCTUBREBRYAN</v>
      </c>
      <c r="B167" s="49" t="s">
        <v>171</v>
      </c>
      <c r="C167" s="27" t="s">
        <v>148</v>
      </c>
      <c r="D167" s="28" t="s">
        <v>8</v>
      </c>
      <c r="E167" s="9">
        <v>698156</v>
      </c>
      <c r="F167" s="9">
        <v>70000</v>
      </c>
      <c r="G167" s="39" t="s">
        <v>155</v>
      </c>
    </row>
    <row r="168" spans="1:11" x14ac:dyDescent="0.25">
      <c r="A168" s="25" t="str">
        <f>_xlfn.CONCAT(TablaMeta[[#This Row],[AÑO]],TablaMeta[[#This Row],[mes]],TablaMeta[[#This Row],[Equipo]])</f>
        <v>2025NOVIEMBRESANDY</v>
      </c>
      <c r="B168" s="48" t="s">
        <v>171</v>
      </c>
      <c r="C168" s="26" t="s">
        <v>149</v>
      </c>
      <c r="D168" s="12" t="s">
        <v>3</v>
      </c>
      <c r="E168" s="9">
        <v>599640</v>
      </c>
      <c r="F168" s="9">
        <v>55000</v>
      </c>
      <c r="G168" s="39" t="s">
        <v>159</v>
      </c>
    </row>
    <row r="169" spans="1:11" x14ac:dyDescent="0.25">
      <c r="A169" s="25" t="str">
        <f>_xlfn.CONCAT(TablaMeta[[#This Row],[AÑO]],TablaMeta[[#This Row],[mes]],TablaMeta[[#This Row],[Equipo]])</f>
        <v>2025NOVIEMBREMELINA</v>
      </c>
      <c r="B169" s="48" t="s">
        <v>171</v>
      </c>
      <c r="C169" s="26" t="s">
        <v>149</v>
      </c>
      <c r="D169" s="12" t="s">
        <v>4</v>
      </c>
      <c r="E169" s="9">
        <v>599640</v>
      </c>
      <c r="F169" s="9">
        <v>55000</v>
      </c>
      <c r="G169" s="39" t="s">
        <v>159</v>
      </c>
    </row>
    <row r="170" spans="1:11" x14ac:dyDescent="0.25">
      <c r="A170" s="25" t="str">
        <f>_xlfn.CONCAT(TablaMeta[[#This Row],[AÑO]],TablaMeta[[#This Row],[mes]],TablaMeta[[#This Row],[Equipo]])</f>
        <v>2025NOVIEMBREJORDAN</v>
      </c>
      <c r="B170" s="48" t="s">
        <v>171</v>
      </c>
      <c r="C170" s="26" t="s">
        <v>149</v>
      </c>
      <c r="D170" s="12" t="s">
        <v>5</v>
      </c>
      <c r="E170" s="9">
        <v>100323</v>
      </c>
      <c r="F170" s="9">
        <v>14000</v>
      </c>
      <c r="G170" s="39" t="s">
        <v>160</v>
      </c>
    </row>
    <row r="171" spans="1:11" x14ac:dyDescent="0.25">
      <c r="A171" s="25" t="str">
        <f>_xlfn.CONCAT(TablaMeta[[#This Row],[AÑO]],TablaMeta[[#This Row],[mes]],TablaMeta[[#This Row],[Equipo]])</f>
        <v>2025NOVIEMBREJORGE</v>
      </c>
      <c r="B171" s="48" t="s">
        <v>171</v>
      </c>
      <c r="C171" s="26" t="s">
        <v>149</v>
      </c>
      <c r="D171" s="12" t="s">
        <v>2</v>
      </c>
      <c r="E171" s="9">
        <v>144490</v>
      </c>
      <c r="F171" s="9">
        <v>15000</v>
      </c>
      <c r="G171" s="39" t="s">
        <v>158</v>
      </c>
    </row>
    <row r="172" spans="1:11" x14ac:dyDescent="0.25">
      <c r="A172" s="25" t="str">
        <f>_xlfn.CONCAT(TablaMeta[[#This Row],[AÑO]],TablaMeta[[#This Row],[mes]],TablaMeta[[#This Row],[Equipo]])</f>
        <v>2025NOVIEMBREKENNETH</v>
      </c>
      <c r="B172" s="48" t="s">
        <v>171</v>
      </c>
      <c r="C172" s="26" t="s">
        <v>149</v>
      </c>
      <c r="D172" s="12" t="s">
        <v>6</v>
      </c>
      <c r="E172" s="9">
        <v>346906</v>
      </c>
      <c r="F172" s="9">
        <v>63000</v>
      </c>
      <c r="G172" s="39" t="s">
        <v>161</v>
      </c>
    </row>
    <row r="173" spans="1:11" x14ac:dyDescent="0.25">
      <c r="A173" s="25" t="str">
        <f>_xlfn.CONCAT(TablaMeta[[#This Row],[AÑO]],TablaMeta[[#This Row],[mes]],TablaMeta[[#This Row],[Equipo]])</f>
        <v>2025NOVIEMBRELEONOR</v>
      </c>
      <c r="B173" s="49" t="s">
        <v>171</v>
      </c>
      <c r="C173" s="27" t="s">
        <v>149</v>
      </c>
      <c r="D173" s="28" t="s">
        <v>7</v>
      </c>
      <c r="E173" s="9">
        <v>100323</v>
      </c>
      <c r="F173" s="9">
        <v>14000</v>
      </c>
      <c r="G173" s="39" t="s">
        <v>160</v>
      </c>
    </row>
    <row r="174" spans="1:11" x14ac:dyDescent="0.25">
      <c r="A174" s="25" t="str">
        <f>_xlfn.CONCAT(TablaMeta[[#This Row],[AÑO]],TablaMeta[[#This Row],[mes]],TablaMeta[[#This Row],[Equipo]])</f>
        <v>2025DICIEMBRESANDY</v>
      </c>
      <c r="B174" s="48" t="s">
        <v>171</v>
      </c>
      <c r="C174" s="26" t="s">
        <v>176</v>
      </c>
      <c r="D174" s="12" t="s">
        <v>3</v>
      </c>
      <c r="E174" s="9">
        <v>555813</v>
      </c>
      <c r="F174" s="9">
        <v>55500</v>
      </c>
      <c r="G174" s="39" t="s">
        <v>159</v>
      </c>
    </row>
    <row r="175" spans="1:11" x14ac:dyDescent="0.25">
      <c r="A175" s="25" t="str">
        <f>_xlfn.CONCAT(TablaMeta[[#This Row],[AÑO]],TablaMeta[[#This Row],[mes]],TablaMeta[[#This Row],[Equipo]])</f>
        <v>2025DICIEMBREMELINA</v>
      </c>
      <c r="B175" s="48" t="s">
        <v>171</v>
      </c>
      <c r="C175" s="26" t="s">
        <v>176</v>
      </c>
      <c r="D175" s="12" t="s">
        <v>4</v>
      </c>
      <c r="E175" s="9">
        <v>555813</v>
      </c>
      <c r="F175" s="9">
        <v>55500</v>
      </c>
      <c r="G175" s="39" t="s">
        <v>159</v>
      </c>
      <c r="K175" s="45"/>
    </row>
    <row r="176" spans="1:11" x14ac:dyDescent="0.25">
      <c r="A176" s="25" t="str">
        <f>_xlfn.CONCAT(TablaMeta[[#This Row],[AÑO]],TablaMeta[[#This Row],[mes]],TablaMeta[[#This Row],[Equipo]])</f>
        <v>2025DICIEMBREJORGE</v>
      </c>
      <c r="B176" s="48" t="s">
        <v>171</v>
      </c>
      <c r="C176" s="26" t="s">
        <v>176</v>
      </c>
      <c r="D176" s="12" t="s">
        <v>2</v>
      </c>
      <c r="E176" s="9">
        <v>319493</v>
      </c>
      <c r="F176" s="9">
        <v>35500</v>
      </c>
      <c r="G176" s="39" t="s">
        <v>204</v>
      </c>
      <c r="K176" s="45"/>
    </row>
    <row r="177" spans="1:11" x14ac:dyDescent="0.25">
      <c r="A177" s="25" t="str">
        <f>_xlfn.CONCAT(TablaMeta[[#This Row],[AÑO]],TablaMeta[[#This Row],[mes]],TablaMeta[[#This Row],[Equipo]])</f>
        <v>2025DICIEMBREKENNETH</v>
      </c>
      <c r="B177" s="48" t="s">
        <v>171</v>
      </c>
      <c r="C177" s="26" t="s">
        <v>176</v>
      </c>
      <c r="D177" s="12" t="s">
        <v>6</v>
      </c>
      <c r="E177" s="9">
        <v>262676</v>
      </c>
      <c r="F177" s="9">
        <v>29000</v>
      </c>
      <c r="G177" s="39" t="s">
        <v>203</v>
      </c>
      <c r="K177" s="45"/>
    </row>
    <row r="178" spans="1:11" x14ac:dyDescent="0.25">
      <c r="A178" s="50" t="str">
        <f>_xlfn.CONCAT(TablaMeta[[#This Row],[AÑO]],TablaMeta[[#This Row],[mes]],TablaMeta[[#This Row],[Equipo]])</f>
        <v>2025DICIEMBRELEONOR</v>
      </c>
      <c r="B178" s="49" t="s">
        <v>171</v>
      </c>
      <c r="C178" s="27" t="s">
        <v>176</v>
      </c>
      <c r="D178" s="28" t="s">
        <v>7</v>
      </c>
      <c r="E178" s="29">
        <v>269196</v>
      </c>
      <c r="F178" s="9">
        <v>21000</v>
      </c>
      <c r="G178" s="39" t="s">
        <v>175</v>
      </c>
      <c r="K178" s="45"/>
    </row>
    <row r="179" spans="1:11" x14ac:dyDescent="0.25">
      <c r="A179" s="51" t="str">
        <f>_xlfn.CONCAT(TablaMeta[[#This Row],[AÑO]],TablaMeta[[#This Row],[mes]],TablaMeta[[#This Row],[Equipo]])</f>
        <v>2026ENEROSANDY</v>
      </c>
      <c r="B179" s="49" t="s">
        <v>208</v>
      </c>
      <c r="C179" s="26" t="s">
        <v>139</v>
      </c>
      <c r="D179" s="12" t="s">
        <v>3</v>
      </c>
      <c r="E179" s="9">
        <v>431682</v>
      </c>
      <c r="F179" s="9">
        <v>48000</v>
      </c>
      <c r="G179" s="39" t="s">
        <v>159</v>
      </c>
    </row>
    <row r="180" spans="1:11" x14ac:dyDescent="0.25">
      <c r="A180" s="51" t="str">
        <f>_xlfn.CONCAT(TablaMeta[[#This Row],[AÑO]],TablaMeta[[#This Row],[mes]],TablaMeta[[#This Row],[Equipo]])</f>
        <v>2026ENEROMELINA</v>
      </c>
      <c r="B180" s="48" t="s">
        <v>208</v>
      </c>
      <c r="C180" s="26" t="s">
        <v>139</v>
      </c>
      <c r="D180" s="12" t="s">
        <v>4</v>
      </c>
      <c r="E180" s="9">
        <v>431682</v>
      </c>
      <c r="F180" s="9">
        <v>48000</v>
      </c>
      <c r="G180" s="39" t="s">
        <v>159</v>
      </c>
    </row>
    <row r="181" spans="1:11" x14ac:dyDescent="0.25">
      <c r="A181" s="51" t="str">
        <f>_xlfn.CONCAT(TablaMeta[[#This Row],[AÑO]],TablaMeta[[#This Row],[mes]],TablaMeta[[#This Row],[Equipo]])</f>
        <v>2026ENEROJORGE</v>
      </c>
      <c r="B181" s="48" t="s">
        <v>208</v>
      </c>
      <c r="C181" s="26" t="s">
        <v>139</v>
      </c>
      <c r="D181" s="12" t="s">
        <v>2</v>
      </c>
      <c r="E181" s="9">
        <v>294010</v>
      </c>
      <c r="F181" s="9">
        <v>32600</v>
      </c>
      <c r="G181" s="39" t="s">
        <v>209</v>
      </c>
    </row>
    <row r="182" spans="1:11" x14ac:dyDescent="0.25">
      <c r="A182" s="51" t="str">
        <f>_xlfn.CONCAT(TablaMeta[[#This Row],[AÑO]],TablaMeta[[#This Row],[mes]],TablaMeta[[#This Row],[Equipo]])</f>
        <v>2026ENEROKENNETH</v>
      </c>
      <c r="B182" s="48" t="s">
        <v>208</v>
      </c>
      <c r="C182" s="26" t="s">
        <v>139</v>
      </c>
      <c r="D182" s="12" t="s">
        <v>6</v>
      </c>
      <c r="E182" s="9">
        <v>251174</v>
      </c>
      <c r="F182" s="9">
        <v>27900</v>
      </c>
      <c r="G182" s="39" t="s">
        <v>209</v>
      </c>
    </row>
    <row r="183" spans="1:11" x14ac:dyDescent="0.25">
      <c r="A183" s="52" t="str">
        <f>_xlfn.CONCAT(TablaMeta[[#This Row],[AÑO]],TablaMeta[[#This Row],[mes]],TablaMeta[[#This Row],[Equipo]])</f>
        <v>2026ENEROJOHAN</v>
      </c>
      <c r="B183" s="49" t="s">
        <v>208</v>
      </c>
      <c r="C183" s="27" t="s">
        <v>139</v>
      </c>
      <c r="D183" s="28" t="s">
        <v>125</v>
      </c>
      <c r="E183" s="29">
        <v>297083</v>
      </c>
      <c r="F183" s="29">
        <v>24500</v>
      </c>
      <c r="G183" s="53" t="s">
        <v>175</v>
      </c>
    </row>
    <row r="184" spans="1:11" x14ac:dyDescent="0.25">
      <c r="A184" s="51" t="str">
        <f>_xlfn.CONCAT(TablaMeta[[#This Row],[AÑO]],TablaMeta[[#This Row],[mes]],TablaMeta[[#This Row],[Equipo]])</f>
        <v>2026FEBREROSANDY</v>
      </c>
      <c r="B184" s="49" t="s">
        <v>208</v>
      </c>
      <c r="C184" s="27" t="s">
        <v>140</v>
      </c>
      <c r="D184" s="12" t="s">
        <v>3</v>
      </c>
      <c r="E184" s="9">
        <v>543573</v>
      </c>
      <c r="F184" s="9">
        <v>50000</v>
      </c>
      <c r="G184" s="39" t="s">
        <v>159</v>
      </c>
    </row>
    <row r="185" spans="1:11" x14ac:dyDescent="0.25">
      <c r="A185" s="51" t="str">
        <f>_xlfn.CONCAT(TablaMeta[[#This Row],[AÑO]],TablaMeta[[#This Row],[mes]],TablaMeta[[#This Row],[Equipo]])</f>
        <v>2026FEBREROJOHAN</v>
      </c>
      <c r="B185" s="49" t="s">
        <v>208</v>
      </c>
      <c r="C185" s="26" t="s">
        <v>140</v>
      </c>
      <c r="D185" s="12" t="s">
        <v>125</v>
      </c>
      <c r="E185" s="9">
        <v>543573</v>
      </c>
      <c r="F185" s="9">
        <v>50000</v>
      </c>
      <c r="G185" s="39" t="s">
        <v>159</v>
      </c>
    </row>
    <row r="186" spans="1:11" x14ac:dyDescent="0.25">
      <c r="A186" s="51" t="str">
        <f>_xlfn.CONCAT(TablaMeta[[#This Row],[AÑO]],TablaMeta[[#This Row],[mes]],TablaMeta[[#This Row],[Equipo]])</f>
        <v>2026FEBREROJORGE</v>
      </c>
      <c r="B186" s="49" t="s">
        <v>208</v>
      </c>
      <c r="C186" s="26" t="s">
        <v>140</v>
      </c>
      <c r="D186" s="12" t="s">
        <v>2</v>
      </c>
      <c r="E186" s="9">
        <v>194963</v>
      </c>
      <c r="F186" s="9">
        <v>28000</v>
      </c>
      <c r="G186" s="39" t="s">
        <v>209</v>
      </c>
    </row>
    <row r="187" spans="1:11" x14ac:dyDescent="0.25">
      <c r="A187" s="51" t="str">
        <f>_xlfn.CONCAT(TablaMeta[[#This Row],[AÑO]],TablaMeta[[#This Row],[mes]],TablaMeta[[#This Row],[Equipo]])</f>
        <v>2026FEBREROKENNETH</v>
      </c>
      <c r="B187" s="49" t="s">
        <v>208</v>
      </c>
      <c r="C187" s="26" t="s">
        <v>140</v>
      </c>
      <c r="D187" s="12" t="s">
        <v>6</v>
      </c>
      <c r="E187" s="9">
        <v>540042</v>
      </c>
      <c r="F187" s="9">
        <v>26500</v>
      </c>
      <c r="G187" s="39" t="s">
        <v>209</v>
      </c>
    </row>
    <row r="188" spans="1:11" x14ac:dyDescent="0.25">
      <c r="A188" s="52" t="str">
        <f>_xlfn.CONCAT(TablaMeta[[#This Row],[AÑO]],TablaMeta[[#This Row],[mes]],TablaMeta[[#This Row],[Equipo]])</f>
        <v>2026FEBREROGUSTAVO</v>
      </c>
      <c r="B188" s="49" t="s">
        <v>208</v>
      </c>
      <c r="C188" s="27" t="s">
        <v>140</v>
      </c>
      <c r="D188" s="28" t="s">
        <v>124</v>
      </c>
      <c r="E188" s="29">
        <v>294869</v>
      </c>
      <c r="F188" s="29">
        <v>23500</v>
      </c>
      <c r="G188" s="53" t="s">
        <v>175</v>
      </c>
    </row>
    <row r="189" spans="1:11" x14ac:dyDescent="0.25">
      <c r="A189" s="51" t="str">
        <f>_xlfn.CONCAT(TablaMeta[[#This Row],[AÑO]],TablaMeta[[#This Row],[mes]],TablaMeta[[#This Row],[Equipo]])</f>
        <v>2026MARZOKENNETH</v>
      </c>
      <c r="B189" s="48" t="s">
        <v>208</v>
      </c>
      <c r="C189" s="26" t="s">
        <v>141</v>
      </c>
      <c r="D189" s="12" t="s">
        <v>6</v>
      </c>
      <c r="E189" s="9">
        <v>211363</v>
      </c>
      <c r="F189" s="9">
        <v>30500</v>
      </c>
      <c r="G189" s="39" t="s">
        <v>583</v>
      </c>
    </row>
    <row r="190" spans="1:11" x14ac:dyDescent="0.25">
      <c r="A190" s="51" t="str">
        <f>_xlfn.CONCAT(TablaMeta[[#This Row],[AÑO]],TablaMeta[[#This Row],[mes]],TablaMeta[[#This Row],[Equipo]])</f>
        <v>2026MARZOKENNETH</v>
      </c>
      <c r="B190" s="48" t="s">
        <v>208</v>
      </c>
      <c r="C190" s="26" t="s">
        <v>141</v>
      </c>
      <c r="D190" s="12" t="s">
        <v>6</v>
      </c>
      <c r="E190" s="9">
        <v>255418</v>
      </c>
      <c r="F190" s="9">
        <v>86000</v>
      </c>
      <c r="G190" s="39" t="s">
        <v>584</v>
      </c>
    </row>
    <row r="191" spans="1:11" x14ac:dyDescent="0.25">
      <c r="A191" s="51" t="str">
        <f>_xlfn.CONCAT(TablaMeta[[#This Row],[AÑO]],TablaMeta[[#This Row],[mes]],TablaMeta[[#This Row],[Equipo]])</f>
        <v>2026MARZOSANDY</v>
      </c>
      <c r="B191" s="48" t="s">
        <v>208</v>
      </c>
      <c r="C191" s="26" t="s">
        <v>141</v>
      </c>
      <c r="D191" s="12" t="s">
        <v>3</v>
      </c>
      <c r="E191" s="9">
        <v>225223</v>
      </c>
      <c r="F191" s="9">
        <v>32500</v>
      </c>
      <c r="G191" s="39" t="s">
        <v>583</v>
      </c>
    </row>
    <row r="192" spans="1:11" x14ac:dyDescent="0.25">
      <c r="A192" s="51" t="str">
        <f>_xlfn.CONCAT(TablaMeta[[#This Row],[AÑO]],TablaMeta[[#This Row],[mes]],TablaMeta[[#This Row],[Equipo]])</f>
        <v>2026MARZOSANDY</v>
      </c>
      <c r="B192" s="48" t="s">
        <v>208</v>
      </c>
      <c r="C192" s="26" t="s">
        <v>141</v>
      </c>
      <c r="D192" s="12" t="s">
        <v>3</v>
      </c>
      <c r="E192" s="9">
        <v>279178</v>
      </c>
      <c r="F192" s="9">
        <v>94000</v>
      </c>
      <c r="G192" s="39" t="s">
        <v>584</v>
      </c>
    </row>
    <row r="193" spans="1:13" x14ac:dyDescent="0.25">
      <c r="A193" s="52" t="str">
        <f>_xlfn.CONCAT(TablaMeta[[#This Row],[AÑO]],TablaMeta[[#This Row],[mes]],TablaMeta[[#This Row],[Equipo]])</f>
        <v>2026MARZOJORGE</v>
      </c>
      <c r="B193" s="49" t="s">
        <v>208</v>
      </c>
      <c r="C193" s="26" t="s">
        <v>141</v>
      </c>
      <c r="D193" s="28" t="s">
        <v>2</v>
      </c>
      <c r="E193" s="29">
        <v>609835</v>
      </c>
      <c r="F193" s="29">
        <v>56000</v>
      </c>
      <c r="G193" s="53" t="s">
        <v>159</v>
      </c>
    </row>
    <row r="194" spans="1:13" x14ac:dyDescent="0.25">
      <c r="A194" s="51" t="str">
        <f>_xlfn.CONCAT(TablaMeta[[#This Row],[AÑO]],TablaMeta[[#This Row],[mes]],TablaMeta[[#This Row],[Equipo]])</f>
        <v>2026MARZOJOHAN</v>
      </c>
      <c r="B194" s="48" t="s">
        <v>208</v>
      </c>
      <c r="C194" s="26" t="s">
        <v>141</v>
      </c>
      <c r="D194" s="12" t="s">
        <v>125</v>
      </c>
      <c r="E194" s="9">
        <v>609835</v>
      </c>
      <c r="F194" s="9">
        <v>56000</v>
      </c>
      <c r="G194" s="39" t="s">
        <v>159</v>
      </c>
    </row>
    <row r="195" spans="1:13" x14ac:dyDescent="0.25">
      <c r="A195" s="51" t="str">
        <f>_xlfn.CONCAT(TablaMeta[[#This Row],[AÑO]],TablaMeta[[#This Row],[mes]],TablaMeta[[#This Row],[Equipo]])</f>
        <v>2026MARZOLEONOR</v>
      </c>
      <c r="B195" s="48" t="s">
        <v>208</v>
      </c>
      <c r="C195" s="26" t="s">
        <v>141</v>
      </c>
      <c r="D195" s="12" t="s">
        <v>7</v>
      </c>
      <c r="E195" s="9">
        <v>173249</v>
      </c>
      <c r="F195" s="9">
        <v>35000</v>
      </c>
      <c r="G195" s="39" t="s">
        <v>586</v>
      </c>
    </row>
    <row r="196" spans="1:13" x14ac:dyDescent="0.25">
      <c r="A196" s="51" t="str">
        <f>_xlfn.CONCAT(TablaMeta[[#This Row],[AÑO]],TablaMeta[[#This Row],[mes]],TablaMeta[[#This Row],[Equipo]])</f>
        <v>2026MARZOLEONOR</v>
      </c>
      <c r="B196" s="48" t="s">
        <v>208</v>
      </c>
      <c r="C196" s="26" t="s">
        <v>141</v>
      </c>
      <c r="D196" s="12" t="s">
        <v>7</v>
      </c>
      <c r="E196" s="9">
        <v>95039</v>
      </c>
      <c r="F196" s="9">
        <v>16000</v>
      </c>
      <c r="G196" s="39" t="s">
        <v>587</v>
      </c>
    </row>
    <row r="197" spans="1:13" x14ac:dyDescent="0.25">
      <c r="A197" s="51" t="str">
        <f>_xlfn.CONCAT(TablaMeta[[#This Row],[AÑO]],TablaMeta[[#This Row],[mes]],TablaMeta[[#This Row],[Equipo]])</f>
        <v>2026ABRILSANDY</v>
      </c>
      <c r="B197" s="48" t="s">
        <v>208</v>
      </c>
      <c r="C197" s="26" t="s">
        <v>142</v>
      </c>
      <c r="D197" s="12" t="s">
        <v>3</v>
      </c>
      <c r="E197" s="9">
        <v>279317</v>
      </c>
      <c r="F197" s="29">
        <v>28000</v>
      </c>
      <c r="G197" s="39" t="s">
        <v>209</v>
      </c>
      <c r="I197" s="45"/>
    </row>
    <row r="198" spans="1:13" x14ac:dyDescent="0.25">
      <c r="A198" s="51" t="str">
        <f>_xlfn.CONCAT(TablaMeta[[#This Row],[AÑO]],TablaMeta[[#This Row],[mes]],TablaMeta[[#This Row],[Equipo]])</f>
        <v>2026ABRILKENNETH</v>
      </c>
      <c r="B198" s="48" t="s">
        <v>208</v>
      </c>
      <c r="C198" s="26" t="s">
        <v>142</v>
      </c>
      <c r="D198" s="12" t="s">
        <v>6</v>
      </c>
      <c r="E198" s="9">
        <v>362638</v>
      </c>
      <c r="F198" s="29">
        <v>52000</v>
      </c>
      <c r="G198" s="39" t="s">
        <v>209</v>
      </c>
      <c r="I198" s="45"/>
    </row>
    <row r="199" spans="1:13" x14ac:dyDescent="0.25">
      <c r="A199" s="51" t="str">
        <f>_xlfn.CONCAT(TablaMeta[[#This Row],[AÑO]],TablaMeta[[#This Row],[mes]],TablaMeta[[#This Row],[Equipo]])</f>
        <v>2026ABRILJOHAN</v>
      </c>
      <c r="B199" s="48" t="s">
        <v>208</v>
      </c>
      <c r="C199" s="26" t="s">
        <v>142</v>
      </c>
      <c r="D199" s="12" t="s">
        <v>125</v>
      </c>
      <c r="E199" s="9">
        <v>529535</v>
      </c>
      <c r="F199" s="9">
        <v>48500</v>
      </c>
      <c r="G199" s="39" t="s">
        <v>159</v>
      </c>
    </row>
    <row r="200" spans="1:13" x14ac:dyDescent="0.25">
      <c r="A200" s="51" t="str">
        <f>_xlfn.CONCAT(TablaMeta[[#This Row],[AÑO]],TablaMeta[[#This Row],[mes]],TablaMeta[[#This Row],[Equipo]])</f>
        <v>2026ABRILJORGE</v>
      </c>
      <c r="B200" s="48" t="s">
        <v>208</v>
      </c>
      <c r="C200" s="26" t="s">
        <v>142</v>
      </c>
      <c r="D200" s="12" t="s">
        <v>2</v>
      </c>
      <c r="E200" s="9">
        <v>529535</v>
      </c>
      <c r="F200" s="9">
        <v>48500</v>
      </c>
      <c r="G200" s="39" t="s">
        <v>159</v>
      </c>
    </row>
    <row r="201" spans="1:13" x14ac:dyDescent="0.25">
      <c r="A201" s="51" t="str">
        <f>_xlfn.CONCAT(TablaMeta[[#This Row],[AÑO]],TablaMeta[[#This Row],[mes]],TablaMeta[[#This Row],[Equipo]])</f>
        <v>2026ABRILLEONOR</v>
      </c>
      <c r="B201" s="48" t="s">
        <v>208</v>
      </c>
      <c r="C201" s="26" t="s">
        <v>142</v>
      </c>
      <c r="D201" s="12" t="s">
        <v>7</v>
      </c>
      <c r="E201" s="9">
        <v>148634</v>
      </c>
      <c r="F201" s="9">
        <v>25000</v>
      </c>
      <c r="G201" s="39" t="s">
        <v>586</v>
      </c>
    </row>
    <row r="202" spans="1:13" x14ac:dyDescent="0.25">
      <c r="A202" s="52" t="str">
        <f>_xlfn.CONCAT(TablaMeta[[#This Row],[AÑO]],TablaMeta[[#This Row],[mes]],TablaMeta[[#This Row],[Equipo]])</f>
        <v>2026ABRILLEONOR</v>
      </c>
      <c r="B202" s="49" t="s">
        <v>208</v>
      </c>
      <c r="C202" s="27" t="s">
        <v>142</v>
      </c>
      <c r="D202" s="28" t="s">
        <v>7</v>
      </c>
      <c r="E202" s="29">
        <v>96486</v>
      </c>
      <c r="F202" s="29">
        <v>16500</v>
      </c>
      <c r="G202" s="53" t="s">
        <v>587</v>
      </c>
    </row>
    <row r="203" spans="1:13" x14ac:dyDescent="0.25">
      <c r="A203" s="51" t="str">
        <f>_xlfn.CONCAT(TablaMeta[[#This Row],[AÑO]],TablaMeta[[#This Row],[mes]],TablaMeta[[#This Row],[Equipo]])</f>
        <v>2026MAYOSANDY</v>
      </c>
      <c r="B203" s="48" t="s">
        <v>208</v>
      </c>
      <c r="C203" s="26" t="s">
        <v>143</v>
      </c>
      <c r="D203" s="12" t="s">
        <v>3</v>
      </c>
      <c r="E203" s="9">
        <v>384414</v>
      </c>
      <c r="F203" s="9">
        <v>38500</v>
      </c>
      <c r="G203" s="39" t="s">
        <v>209</v>
      </c>
      <c r="L203" s="45"/>
      <c r="M203" s="45"/>
    </row>
    <row r="204" spans="1:13" x14ac:dyDescent="0.25">
      <c r="A204" s="51" t="str">
        <f>_xlfn.CONCAT(TablaMeta[[#This Row],[AÑO]],TablaMeta[[#This Row],[mes]],TablaMeta[[#This Row],[Equipo]])</f>
        <v>2026MAYOKENNETH</v>
      </c>
      <c r="B204" s="48" t="s">
        <v>208</v>
      </c>
      <c r="C204" s="26" t="s">
        <v>143</v>
      </c>
      <c r="D204" s="12" t="s">
        <v>6</v>
      </c>
      <c r="E204" s="9">
        <v>429088</v>
      </c>
      <c r="F204" s="9">
        <v>61300</v>
      </c>
      <c r="G204" s="39" t="s">
        <v>209</v>
      </c>
      <c r="L204" s="45"/>
      <c r="M204" s="45"/>
    </row>
    <row r="205" spans="1:13" x14ac:dyDescent="0.25">
      <c r="A205" s="51" t="str">
        <f>_xlfn.CONCAT(TablaMeta[[#This Row],[AÑO]],TablaMeta[[#This Row],[mes]],TablaMeta[[#This Row],[Equipo]])</f>
        <v>2026MAYOLISELY</v>
      </c>
      <c r="B205" s="48" t="s">
        <v>208</v>
      </c>
      <c r="C205" s="26" t="s">
        <v>143</v>
      </c>
      <c r="D205" s="12" t="s">
        <v>604</v>
      </c>
      <c r="E205" s="9">
        <v>181876</v>
      </c>
      <c r="F205" s="9">
        <v>22800</v>
      </c>
      <c r="G205" s="39" t="s">
        <v>586</v>
      </c>
      <c r="L205" s="45"/>
      <c r="M205" s="45"/>
    </row>
    <row r="206" spans="1:13" x14ac:dyDescent="0.25">
      <c r="A206" s="51" t="str">
        <f>_xlfn.CONCAT(TablaMeta[[#This Row],[AÑO]],TablaMeta[[#This Row],[mes]],TablaMeta[[#This Row],[Equipo]])</f>
        <v>2026MAYOLISELY</v>
      </c>
      <c r="B206" s="48" t="s">
        <v>208</v>
      </c>
      <c r="C206" s="26" t="s">
        <v>143</v>
      </c>
      <c r="D206" s="12" t="s">
        <v>604</v>
      </c>
      <c r="E206" s="9">
        <v>108291</v>
      </c>
      <c r="F206" s="9">
        <v>18100</v>
      </c>
      <c r="G206" s="53" t="s">
        <v>587</v>
      </c>
      <c r="L206" s="45"/>
      <c r="M206" s="45"/>
    </row>
    <row r="207" spans="1:13" x14ac:dyDescent="0.25">
      <c r="A207" s="51" t="str">
        <f>_xlfn.CONCAT(TablaMeta[[#This Row],[AÑO]],TablaMeta[[#This Row],[mes]],TablaMeta[[#This Row],[Equipo]])</f>
        <v>2026MAYOJORGE</v>
      </c>
      <c r="B207" s="48" t="s">
        <v>208</v>
      </c>
      <c r="C207" s="26" t="s">
        <v>143</v>
      </c>
      <c r="D207" s="12" t="s">
        <v>2</v>
      </c>
      <c r="E207" s="9">
        <v>446424</v>
      </c>
      <c r="F207" s="9">
        <v>44700</v>
      </c>
      <c r="G207" s="39" t="s">
        <v>159</v>
      </c>
      <c r="L207" s="45"/>
      <c r="M207" s="45"/>
    </row>
    <row r="208" spans="1:13" x14ac:dyDescent="0.25">
      <c r="A208" s="52" t="str">
        <f>_xlfn.CONCAT(TablaMeta[[#This Row],[AÑO]],TablaMeta[[#This Row],[mes]],TablaMeta[[#This Row],[Equipo]])</f>
        <v>2026MAYOLEONOR</v>
      </c>
      <c r="B208" s="49" t="s">
        <v>208</v>
      </c>
      <c r="C208" s="26" t="s">
        <v>143</v>
      </c>
      <c r="D208" s="28" t="s">
        <v>7</v>
      </c>
      <c r="E208" s="29">
        <v>446424</v>
      </c>
      <c r="F208" s="29">
        <v>44700</v>
      </c>
      <c r="G208" s="39" t="s">
        <v>159</v>
      </c>
      <c r="L208" s="45"/>
      <c r="M208" s="45"/>
    </row>
    <row r="209" spans="1:7" x14ac:dyDescent="0.25">
      <c r="A209" s="51" t="str">
        <f>_xlfn.CONCAT(TablaMeta[[#This Row],[AÑO]],TablaMeta[[#This Row],[mes]],TablaMeta[[#This Row],[Equipo]])</f>
        <v>2026JUNIOSANDY</v>
      </c>
      <c r="B209" s="48" t="s">
        <v>208</v>
      </c>
      <c r="C209" s="26" t="s">
        <v>144</v>
      </c>
      <c r="D209" s="74" t="s">
        <v>3</v>
      </c>
      <c r="E209" s="9">
        <v>267159</v>
      </c>
      <c r="F209" s="9">
        <v>38500</v>
      </c>
      <c r="G209" s="39" t="s">
        <v>209</v>
      </c>
    </row>
    <row r="210" spans="1:7" x14ac:dyDescent="0.25">
      <c r="A210" s="51" t="str">
        <f>_xlfn.CONCAT(TablaMeta[[#This Row],[AÑO]],TablaMeta[[#This Row],[mes]],TablaMeta[[#This Row],[Equipo]])</f>
        <v>2026JUNIOSANDY</v>
      </c>
      <c r="B210" s="48" t="s">
        <v>208</v>
      </c>
      <c r="C210" s="26" t="s">
        <v>144</v>
      </c>
      <c r="D210" s="74" t="s">
        <v>3</v>
      </c>
      <c r="E210" s="9">
        <v>287738</v>
      </c>
      <c r="F210" s="9">
        <v>72000</v>
      </c>
      <c r="G210" s="39" t="s">
        <v>629</v>
      </c>
    </row>
    <row r="211" spans="1:7" x14ac:dyDescent="0.25">
      <c r="A211" s="51" t="str">
        <f>_xlfn.CONCAT(TablaMeta[[#This Row],[AÑO]],TablaMeta[[#This Row],[mes]],TablaMeta[[#This Row],[Equipo]])</f>
        <v>2026JUNIOKENNETH</v>
      </c>
      <c r="B211" s="48" t="s">
        <v>208</v>
      </c>
      <c r="C211" s="26" t="s">
        <v>144</v>
      </c>
      <c r="D211" s="74" t="s">
        <v>6</v>
      </c>
      <c r="E211" s="9">
        <v>320861</v>
      </c>
      <c r="F211" s="9">
        <v>40500</v>
      </c>
      <c r="G211" s="39" t="s">
        <v>209</v>
      </c>
    </row>
    <row r="212" spans="1:7" x14ac:dyDescent="0.25">
      <c r="A212" s="51" t="str">
        <f>_xlfn.CONCAT(TablaMeta[[#This Row],[AÑO]],TablaMeta[[#This Row],[mes]],TablaMeta[[#This Row],[Equipo]])</f>
        <v>2026JUNIOJOHAN</v>
      </c>
      <c r="B212" s="48" t="s">
        <v>208</v>
      </c>
      <c r="C212" s="26" t="s">
        <v>144</v>
      </c>
      <c r="D212" s="74" t="s">
        <v>125</v>
      </c>
      <c r="E212" s="9">
        <v>292300</v>
      </c>
      <c r="F212" s="9">
        <v>29500</v>
      </c>
      <c r="G212" s="39" t="s">
        <v>159</v>
      </c>
    </row>
    <row r="213" spans="1:7" x14ac:dyDescent="0.25">
      <c r="A213" s="51" t="str">
        <f>_xlfn.CONCAT(TablaMeta[[#This Row],[AÑO]],TablaMeta[[#This Row],[mes]],TablaMeta[[#This Row],[Equipo]])</f>
        <v>2026JUNIOJORGE</v>
      </c>
      <c r="B213" s="48" t="s">
        <v>208</v>
      </c>
      <c r="C213" s="26" t="s">
        <v>144</v>
      </c>
      <c r="D213" s="74" t="s">
        <v>2</v>
      </c>
      <c r="E213" s="9">
        <v>288587.593661436</v>
      </c>
      <c r="F213" s="9">
        <v>60000</v>
      </c>
      <c r="G213" s="39" t="s">
        <v>159</v>
      </c>
    </row>
    <row r="214" spans="1:7" x14ac:dyDescent="0.25">
      <c r="A214" s="52" t="str">
        <f>_xlfn.CONCAT(TablaMeta[[#This Row],[AÑO]],TablaMeta[[#This Row],[mes]],TablaMeta[[#This Row],[Equipo]])</f>
        <v>2026JUNIOJORGE</v>
      </c>
      <c r="B214" s="49" t="s">
        <v>208</v>
      </c>
      <c r="C214" s="27" t="s">
        <v>144</v>
      </c>
      <c r="D214" s="75" t="s">
        <v>2</v>
      </c>
      <c r="E214" s="29">
        <v>200000</v>
      </c>
      <c r="F214" s="29">
        <v>36000</v>
      </c>
      <c r="G214" s="53" t="s">
        <v>1244</v>
      </c>
    </row>
    <row r="215" spans="1:7" x14ac:dyDescent="0.25">
      <c r="A215" s="52" t="str">
        <f>_xlfn.CONCAT(TablaMeta[[#This Row],[AÑO]],TablaMeta[[#This Row],[mes]],TablaMeta[[#This Row],[Equipo]])</f>
        <v>2026JUNIOLEONOR</v>
      </c>
      <c r="B215" s="49" t="s">
        <v>208</v>
      </c>
      <c r="C215" s="27" t="s">
        <v>144</v>
      </c>
      <c r="D215" s="75" t="s">
        <v>7</v>
      </c>
      <c r="E215" s="29">
        <v>143766</v>
      </c>
      <c r="F215" s="29">
        <v>12000</v>
      </c>
      <c r="G215" s="53" t="s">
        <v>158</v>
      </c>
    </row>
  </sheetData>
  <phoneticPr fontId="2" type="noConversion"/>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A53E9-F4F7-4420-90A1-8D40D8A5BDE3}">
  <dimension ref="A1:C127"/>
  <sheetViews>
    <sheetView workbookViewId="0">
      <selection activeCell="C7" sqref="A1:C127"/>
    </sheetView>
  </sheetViews>
  <sheetFormatPr baseColWidth="10" defaultRowHeight="15" x14ac:dyDescent="0.25"/>
  <cols>
    <col min="1" max="1" width="16" customWidth="1"/>
  </cols>
  <sheetData>
    <row r="1" spans="1:3" ht="30" x14ac:dyDescent="0.25">
      <c r="A1" s="99" t="s">
        <v>1254</v>
      </c>
      <c r="B1" s="99" t="s">
        <v>168</v>
      </c>
      <c r="C1" s="100" t="s">
        <v>1255</v>
      </c>
    </row>
    <row r="2" spans="1:3" x14ac:dyDescent="0.25">
      <c r="A2" s="95">
        <v>46174</v>
      </c>
      <c r="B2" s="96" t="s">
        <v>1248</v>
      </c>
      <c r="C2" s="97">
        <v>7735.641639045778</v>
      </c>
    </row>
    <row r="3" spans="1:3" x14ac:dyDescent="0.25">
      <c r="A3" s="95">
        <v>46175</v>
      </c>
      <c r="B3" s="96" t="s">
        <v>1248</v>
      </c>
      <c r="C3" s="97">
        <v>14328.301028026675</v>
      </c>
    </row>
    <row r="4" spans="1:3" x14ac:dyDescent="0.25">
      <c r="A4" s="95">
        <v>46176</v>
      </c>
      <c r="B4" s="96" t="s">
        <v>1248</v>
      </c>
      <c r="C4" s="97">
        <v>7920.2370722676424</v>
      </c>
    </row>
    <row r="5" spans="1:3" x14ac:dyDescent="0.25">
      <c r="A5" s="95">
        <v>46177</v>
      </c>
      <c r="B5" s="96" t="s">
        <v>1248</v>
      </c>
      <c r="C5" s="97">
        <v>11540.020819632507</v>
      </c>
    </row>
    <row r="6" spans="1:3" x14ac:dyDescent="0.25">
      <c r="A6" s="95">
        <v>46178</v>
      </c>
      <c r="B6" s="96" t="s">
        <v>1248</v>
      </c>
      <c r="C6" s="97">
        <v>13349.817564733006</v>
      </c>
    </row>
    <row r="7" spans="1:3" x14ac:dyDescent="0.25">
      <c r="A7" s="95">
        <v>46181</v>
      </c>
      <c r="B7" s="96" t="s">
        <v>1248</v>
      </c>
      <c r="C7" s="97">
        <v>13859.739255380206</v>
      </c>
    </row>
    <row r="8" spans="1:3" x14ac:dyDescent="0.25">
      <c r="A8" s="95">
        <v>46182</v>
      </c>
      <c r="B8" s="96" t="s">
        <v>1248</v>
      </c>
      <c r="C8" s="97">
        <v>9555.259457410677</v>
      </c>
    </row>
    <row r="9" spans="1:3" x14ac:dyDescent="0.25">
      <c r="A9" s="95">
        <v>46183</v>
      </c>
      <c r="B9" s="96" t="s">
        <v>1248</v>
      </c>
      <c r="C9" s="97">
        <v>14287.329478952015</v>
      </c>
    </row>
    <row r="10" spans="1:3" x14ac:dyDescent="0.25">
      <c r="A10" s="95">
        <v>46184</v>
      </c>
      <c r="B10" s="96" t="s">
        <v>1248</v>
      </c>
      <c r="C10" s="97">
        <v>17814.882545739601</v>
      </c>
    </row>
    <row r="11" spans="1:3" x14ac:dyDescent="0.25">
      <c r="A11" s="95">
        <v>46185</v>
      </c>
      <c r="B11" s="96" t="s">
        <v>1248</v>
      </c>
      <c r="C11" s="97">
        <v>17204.511091914479</v>
      </c>
    </row>
    <row r="12" spans="1:3" x14ac:dyDescent="0.25">
      <c r="A12" s="95">
        <v>46188</v>
      </c>
      <c r="B12" s="96" t="s">
        <v>1248</v>
      </c>
      <c r="C12" s="97">
        <v>22953.633488890497</v>
      </c>
    </row>
    <row r="13" spans="1:3" x14ac:dyDescent="0.25">
      <c r="A13" s="95">
        <v>46189</v>
      </c>
      <c r="B13" s="96" t="s">
        <v>1248</v>
      </c>
      <c r="C13" s="97">
        <v>15582.444619372865</v>
      </c>
    </row>
    <row r="14" spans="1:3" x14ac:dyDescent="0.25">
      <c r="A14" s="95">
        <v>46190</v>
      </c>
      <c r="B14" s="96" t="s">
        <v>1248</v>
      </c>
      <c r="C14" s="97">
        <v>12244.576876990846</v>
      </c>
    </row>
    <row r="15" spans="1:3" x14ac:dyDescent="0.25">
      <c r="A15" s="95">
        <v>46191</v>
      </c>
      <c r="B15" s="96" t="s">
        <v>1248</v>
      </c>
      <c r="C15" s="97">
        <v>9062.1637419271283</v>
      </c>
    </row>
    <row r="16" spans="1:3" x14ac:dyDescent="0.25">
      <c r="A16" s="95">
        <v>46192</v>
      </c>
      <c r="B16" s="96" t="s">
        <v>1248</v>
      </c>
      <c r="C16" s="97">
        <v>10126.86147910601</v>
      </c>
    </row>
    <row r="17" spans="1:3" x14ac:dyDescent="0.25">
      <c r="A17" s="95">
        <v>46195</v>
      </c>
      <c r="B17" s="96" t="s">
        <v>1248</v>
      </c>
      <c r="C17" s="97">
        <v>7985.4859923859767</v>
      </c>
    </row>
    <row r="18" spans="1:3" x14ac:dyDescent="0.25">
      <c r="A18" s="95">
        <v>46196</v>
      </c>
      <c r="B18" s="96" t="s">
        <v>1248</v>
      </c>
      <c r="C18" s="97">
        <v>8497.8712120639975</v>
      </c>
    </row>
    <row r="19" spans="1:3" x14ac:dyDescent="0.25">
      <c r="A19" s="95">
        <v>46197</v>
      </c>
      <c r="B19" s="96" t="s">
        <v>1248</v>
      </c>
      <c r="C19" s="97">
        <v>15066.037973621715</v>
      </c>
    </row>
    <row r="20" spans="1:3" x14ac:dyDescent="0.25">
      <c r="A20" s="95">
        <v>46198</v>
      </c>
      <c r="B20" s="96" t="s">
        <v>1248</v>
      </c>
      <c r="C20" s="97">
        <v>27938.912760642881</v>
      </c>
    </row>
    <row r="21" spans="1:3" x14ac:dyDescent="0.25">
      <c r="A21" s="95">
        <v>46199</v>
      </c>
      <c r="B21" s="96" t="s">
        <v>1248</v>
      </c>
      <c r="C21" s="97">
        <v>15451.79558474003</v>
      </c>
    </row>
    <row r="22" spans="1:3" x14ac:dyDescent="0.25">
      <c r="A22" s="95">
        <v>46203</v>
      </c>
      <c r="B22" s="96" t="s">
        <v>1248</v>
      </c>
      <c r="C22" s="97">
        <v>19794.476317155408</v>
      </c>
    </row>
    <row r="23" spans="1:3" x14ac:dyDescent="0.25">
      <c r="A23" s="95">
        <v>46174</v>
      </c>
      <c r="B23" s="96" t="s">
        <v>1249</v>
      </c>
      <c r="C23" s="97">
        <v>20584</v>
      </c>
    </row>
    <row r="24" spans="1:3" x14ac:dyDescent="0.25">
      <c r="A24" s="95">
        <v>46175</v>
      </c>
      <c r="B24" s="96" t="s">
        <v>1249</v>
      </c>
      <c r="C24" s="97">
        <v>14586.816126363115</v>
      </c>
    </row>
    <row r="25" spans="1:3" x14ac:dyDescent="0.25">
      <c r="A25" s="95">
        <v>46176</v>
      </c>
      <c r="B25" s="96" t="s">
        <v>1249</v>
      </c>
      <c r="C25" s="97">
        <v>14031.873528290642</v>
      </c>
    </row>
    <row r="26" spans="1:3" x14ac:dyDescent="0.25">
      <c r="A26" s="95">
        <v>46177</v>
      </c>
      <c r="B26" s="96" t="s">
        <v>1249</v>
      </c>
      <c r="C26" s="97">
        <v>23283.50382230393</v>
      </c>
    </row>
    <row r="27" spans="1:3" x14ac:dyDescent="0.25">
      <c r="A27" s="95">
        <v>46178</v>
      </c>
      <c r="B27" s="96" t="s">
        <v>1249</v>
      </c>
      <c r="C27" s="97">
        <v>14326.455297920271</v>
      </c>
    </row>
    <row r="28" spans="1:3" x14ac:dyDescent="0.25">
      <c r="A28" s="95">
        <v>46181</v>
      </c>
      <c r="B28" s="96" t="s">
        <v>1249</v>
      </c>
      <c r="C28" s="97">
        <v>20088.980520327517</v>
      </c>
    </row>
    <row r="29" spans="1:3" x14ac:dyDescent="0.25">
      <c r="A29" s="95">
        <v>46182</v>
      </c>
      <c r="B29" s="96" t="s">
        <v>1249</v>
      </c>
      <c r="C29" s="97">
        <v>15895.747194007854</v>
      </c>
    </row>
    <row r="30" spans="1:3" x14ac:dyDescent="0.25">
      <c r="A30" s="95">
        <v>46183</v>
      </c>
      <c r="B30" s="96" t="s">
        <v>1249</v>
      </c>
      <c r="C30" s="97">
        <v>11211.728672651428</v>
      </c>
    </row>
    <row r="31" spans="1:3" x14ac:dyDescent="0.25">
      <c r="A31" s="95">
        <v>46184</v>
      </c>
      <c r="B31" s="96" t="s">
        <v>1249</v>
      </c>
      <c r="C31" s="97">
        <v>20718.106152894645</v>
      </c>
    </row>
    <row r="32" spans="1:3" x14ac:dyDescent="0.25">
      <c r="A32" s="95">
        <v>46185</v>
      </c>
      <c r="B32" s="96" t="s">
        <v>1249</v>
      </c>
      <c r="C32" s="97">
        <v>16608.901972695749</v>
      </c>
    </row>
    <row r="33" spans="1:3" x14ac:dyDescent="0.25">
      <c r="A33" s="95">
        <v>46188</v>
      </c>
      <c r="B33" s="96" t="s">
        <v>1249</v>
      </c>
      <c r="C33" s="97">
        <v>20646.874096313695</v>
      </c>
    </row>
    <row r="34" spans="1:3" x14ac:dyDescent="0.25">
      <c r="A34" s="95">
        <v>46189</v>
      </c>
      <c r="B34" s="96" t="s">
        <v>1249</v>
      </c>
      <c r="C34" s="97">
        <v>24076.58538014887</v>
      </c>
    </row>
    <row r="35" spans="1:3" x14ac:dyDescent="0.25">
      <c r="A35" s="95">
        <v>46190</v>
      </c>
      <c r="B35" s="96" t="s">
        <v>1249</v>
      </c>
      <c r="C35" s="97">
        <v>23057.509487042902</v>
      </c>
    </row>
    <row r="36" spans="1:3" x14ac:dyDescent="0.25">
      <c r="A36" s="95">
        <v>46191</v>
      </c>
      <c r="B36" s="96" t="s">
        <v>1249</v>
      </c>
      <c r="C36" s="97">
        <v>18421.463210526854</v>
      </c>
    </row>
    <row r="37" spans="1:3" x14ac:dyDescent="0.25">
      <c r="A37" s="95">
        <v>46192</v>
      </c>
      <c r="B37" s="96" t="s">
        <v>1249</v>
      </c>
      <c r="C37" s="97">
        <v>35823.820395602379</v>
      </c>
    </row>
    <row r="38" spans="1:3" x14ac:dyDescent="0.25">
      <c r="A38" s="95">
        <v>46195</v>
      </c>
      <c r="B38" s="96" t="s">
        <v>1249</v>
      </c>
      <c r="C38" s="97">
        <v>27195.581318547949</v>
      </c>
    </row>
    <row r="39" spans="1:3" x14ac:dyDescent="0.25">
      <c r="A39" s="95">
        <v>46196</v>
      </c>
      <c r="B39" s="96" t="s">
        <v>1249</v>
      </c>
      <c r="C39" s="97">
        <v>19170.68110679352</v>
      </c>
    </row>
    <row r="40" spans="1:3" x14ac:dyDescent="0.25">
      <c r="A40" s="95">
        <v>46197</v>
      </c>
      <c r="B40" s="96" t="s">
        <v>1249</v>
      </c>
      <c r="C40" s="97">
        <v>21512.227932975977</v>
      </c>
    </row>
    <row r="41" spans="1:3" x14ac:dyDescent="0.25">
      <c r="A41" s="95">
        <v>46198</v>
      </c>
      <c r="B41" s="96" t="s">
        <v>1249</v>
      </c>
      <c r="C41" s="97">
        <v>26535.902891453297</v>
      </c>
    </row>
    <row r="42" spans="1:3" x14ac:dyDescent="0.25">
      <c r="A42" s="95">
        <v>46199</v>
      </c>
      <c r="B42" s="96" t="s">
        <v>1249</v>
      </c>
      <c r="C42" s="97">
        <v>47282.660855239199</v>
      </c>
    </row>
    <row r="43" spans="1:3" x14ac:dyDescent="0.25">
      <c r="A43" s="95">
        <v>46203</v>
      </c>
      <c r="B43" s="96" t="s">
        <v>1249</v>
      </c>
      <c r="C43" s="97">
        <v>53527.686813728244</v>
      </c>
    </row>
    <row r="44" spans="1:3" x14ac:dyDescent="0.25">
      <c r="A44" s="95">
        <v>46174</v>
      </c>
      <c r="B44" s="96" t="s">
        <v>1250</v>
      </c>
      <c r="C44" s="98">
        <v>7659</v>
      </c>
    </row>
    <row r="45" spans="1:3" x14ac:dyDescent="0.25">
      <c r="A45" s="95">
        <v>46175</v>
      </c>
      <c r="B45" s="96" t="s">
        <v>1250</v>
      </c>
      <c r="C45" s="98">
        <v>11665.470033601148</v>
      </c>
    </row>
    <row r="46" spans="1:3" x14ac:dyDescent="0.25">
      <c r="A46" s="95">
        <v>46176</v>
      </c>
      <c r="B46" s="96" t="s">
        <v>1250</v>
      </c>
      <c r="C46" s="98">
        <v>12949.207999397106</v>
      </c>
    </row>
    <row r="47" spans="1:3" x14ac:dyDescent="0.25">
      <c r="A47" s="95">
        <v>46177</v>
      </c>
      <c r="B47" s="96" t="s">
        <v>1250</v>
      </c>
      <c r="C47" s="98">
        <v>10148.913001848428</v>
      </c>
    </row>
    <row r="48" spans="1:3" x14ac:dyDescent="0.25">
      <c r="A48" s="95">
        <v>46178</v>
      </c>
      <c r="B48" s="96" t="s">
        <v>1250</v>
      </c>
      <c r="C48" s="98">
        <v>18763.430125607731</v>
      </c>
    </row>
    <row r="49" spans="1:3" x14ac:dyDescent="0.25">
      <c r="A49" s="95">
        <v>46181</v>
      </c>
      <c r="B49" s="96" t="s">
        <v>1250</v>
      </c>
      <c r="C49" s="98">
        <v>18234.340375396845</v>
      </c>
    </row>
    <row r="50" spans="1:3" x14ac:dyDescent="0.25">
      <c r="A50" s="95">
        <v>46182</v>
      </c>
      <c r="B50" s="96" t="s">
        <v>1250</v>
      </c>
      <c r="C50" s="98">
        <v>16560.576298474029</v>
      </c>
    </row>
    <row r="51" spans="1:3" x14ac:dyDescent="0.25">
      <c r="A51" s="95">
        <v>46183</v>
      </c>
      <c r="B51" s="96" t="s">
        <v>1250</v>
      </c>
      <c r="C51" s="98">
        <v>4654.6883423731051</v>
      </c>
    </row>
    <row r="52" spans="1:3" x14ac:dyDescent="0.25">
      <c r="A52" s="95">
        <v>46184</v>
      </c>
      <c r="B52" s="96" t="s">
        <v>1250</v>
      </c>
      <c r="C52" s="98">
        <v>11694.549246044204</v>
      </c>
    </row>
    <row r="53" spans="1:3" x14ac:dyDescent="0.25">
      <c r="A53" s="95">
        <v>46185</v>
      </c>
      <c r="B53" s="96" t="s">
        <v>1250</v>
      </c>
      <c r="C53" s="98">
        <v>16211.328572988714</v>
      </c>
    </row>
    <row r="54" spans="1:3" x14ac:dyDescent="0.25">
      <c r="A54" s="95">
        <v>46188</v>
      </c>
      <c r="B54" s="96" t="s">
        <v>1250</v>
      </c>
      <c r="C54" s="98">
        <v>12995.367763134505</v>
      </c>
    </row>
    <row r="55" spans="1:3" x14ac:dyDescent="0.25">
      <c r="A55" s="95">
        <v>46189</v>
      </c>
      <c r="B55" s="96" t="s">
        <v>1250</v>
      </c>
      <c r="C55" s="98">
        <v>21238.219056591712</v>
      </c>
    </row>
    <row r="56" spans="1:3" x14ac:dyDescent="0.25">
      <c r="A56" s="95">
        <v>46190</v>
      </c>
      <c r="B56" s="96" t="s">
        <v>1250</v>
      </c>
      <c r="C56" s="98">
        <v>15049.742209421063</v>
      </c>
    </row>
    <row r="57" spans="1:3" x14ac:dyDescent="0.25">
      <c r="A57" s="95">
        <v>46191</v>
      </c>
      <c r="B57" s="96" t="s">
        <v>1250</v>
      </c>
      <c r="C57" s="98">
        <v>11451.972690855444</v>
      </c>
    </row>
    <row r="58" spans="1:3" x14ac:dyDescent="0.25">
      <c r="A58" s="95">
        <v>46192</v>
      </c>
      <c r="B58" s="96" t="s">
        <v>1250</v>
      </c>
      <c r="C58" s="98">
        <v>10270.440218726464</v>
      </c>
    </row>
    <row r="59" spans="1:3" x14ac:dyDescent="0.25">
      <c r="A59" s="95">
        <v>46195</v>
      </c>
      <c r="B59" s="96" t="s">
        <v>1250</v>
      </c>
      <c r="C59" s="98">
        <v>18012.325489816838</v>
      </c>
    </row>
    <row r="60" spans="1:3" x14ac:dyDescent="0.25">
      <c r="A60" s="95">
        <v>46196</v>
      </c>
      <c r="B60" s="96" t="s">
        <v>1250</v>
      </c>
      <c r="C60" s="98">
        <v>6728.0063408138813</v>
      </c>
    </row>
    <row r="61" spans="1:3" x14ac:dyDescent="0.25">
      <c r="A61" s="95">
        <v>46197</v>
      </c>
      <c r="B61" s="96" t="s">
        <v>1250</v>
      </c>
      <c r="C61" s="98">
        <v>12859.995326145698</v>
      </c>
    </row>
    <row r="62" spans="1:3" x14ac:dyDescent="0.25">
      <c r="A62" s="95">
        <v>46198</v>
      </c>
      <c r="B62" s="96" t="s">
        <v>1250</v>
      </c>
      <c r="C62" s="98">
        <v>15145.865024299972</v>
      </c>
    </row>
    <row r="63" spans="1:3" x14ac:dyDescent="0.25">
      <c r="A63" s="95">
        <v>46199</v>
      </c>
      <c r="B63" s="96" t="s">
        <v>1250</v>
      </c>
      <c r="C63" s="98">
        <v>32351.254217790818</v>
      </c>
    </row>
    <row r="64" spans="1:3" x14ac:dyDescent="0.25">
      <c r="A64" s="95">
        <v>46203</v>
      </c>
      <c r="B64" s="96" t="s">
        <v>1250</v>
      </c>
      <c r="C64" s="98">
        <v>36216.394026358495</v>
      </c>
    </row>
    <row r="65" spans="1:3" x14ac:dyDescent="0.25">
      <c r="A65" s="95">
        <v>46174</v>
      </c>
      <c r="B65" s="96" t="s">
        <v>1251</v>
      </c>
      <c r="C65" s="97">
        <v>4578</v>
      </c>
    </row>
    <row r="66" spans="1:3" x14ac:dyDescent="0.25">
      <c r="A66" s="95">
        <v>46175</v>
      </c>
      <c r="B66" s="96" t="s">
        <v>1251</v>
      </c>
      <c r="C66" s="97">
        <v>4873.3759467720611</v>
      </c>
    </row>
    <row r="67" spans="1:3" x14ac:dyDescent="0.25">
      <c r="A67" s="95">
        <v>46176</v>
      </c>
      <c r="B67" s="96" t="s">
        <v>1251</v>
      </c>
      <c r="C67" s="97">
        <v>3703.3714247938387</v>
      </c>
    </row>
    <row r="68" spans="1:3" x14ac:dyDescent="0.25">
      <c r="A68" s="95">
        <v>46177</v>
      </c>
      <c r="B68" s="96" t="s">
        <v>1251</v>
      </c>
      <c r="C68" s="97">
        <v>6063.2452753311718</v>
      </c>
    </row>
    <row r="69" spans="1:3" x14ac:dyDescent="0.25">
      <c r="A69" s="95">
        <v>46178</v>
      </c>
      <c r="B69" s="96" t="s">
        <v>1251</v>
      </c>
      <c r="C69" s="97">
        <v>3498.2581049495166</v>
      </c>
    </row>
    <row r="70" spans="1:3" x14ac:dyDescent="0.25">
      <c r="A70" s="95">
        <v>46181</v>
      </c>
      <c r="B70" s="96" t="s">
        <v>1251</v>
      </c>
      <c r="C70" s="97">
        <v>7825.9392829987228</v>
      </c>
    </row>
    <row r="71" spans="1:3" x14ac:dyDescent="0.25">
      <c r="A71" s="95">
        <v>46182</v>
      </c>
      <c r="B71" s="96" t="s">
        <v>1251</v>
      </c>
      <c r="C71" s="97">
        <v>4531.0364054217862</v>
      </c>
    </row>
    <row r="72" spans="1:3" x14ac:dyDescent="0.25">
      <c r="A72" s="95">
        <v>46183</v>
      </c>
      <c r="B72" s="96" t="s">
        <v>1251</v>
      </c>
      <c r="C72" s="97">
        <v>5483.4126514624149</v>
      </c>
    </row>
    <row r="73" spans="1:3" x14ac:dyDescent="0.25">
      <c r="A73" s="95">
        <v>46184</v>
      </c>
      <c r="B73" s="96" t="s">
        <v>1251</v>
      </c>
      <c r="C73" s="97">
        <v>10226.154313529332</v>
      </c>
    </row>
    <row r="74" spans="1:3" x14ac:dyDescent="0.25">
      <c r="A74" s="95">
        <v>46185</v>
      </c>
      <c r="B74" s="96" t="s">
        <v>1251</v>
      </c>
      <c r="C74" s="97">
        <v>4053.9172684771693</v>
      </c>
    </row>
    <row r="75" spans="1:3" x14ac:dyDescent="0.25">
      <c r="A75" s="95">
        <v>46188</v>
      </c>
      <c r="B75" s="96" t="s">
        <v>1251</v>
      </c>
      <c r="C75" s="97">
        <v>7484.238035210823</v>
      </c>
    </row>
    <row r="76" spans="1:3" x14ac:dyDescent="0.25">
      <c r="A76" s="95">
        <v>46189</v>
      </c>
      <c r="B76" s="96" t="s">
        <v>1251</v>
      </c>
      <c r="C76" s="97">
        <v>5631.3379655513199</v>
      </c>
    </row>
    <row r="77" spans="1:3" x14ac:dyDescent="0.25">
      <c r="A77" s="95">
        <v>46190</v>
      </c>
      <c r="B77" s="96" t="s">
        <v>1251</v>
      </c>
      <c r="C77" s="97">
        <v>5849.6879581029934</v>
      </c>
    </row>
    <row r="78" spans="1:3" x14ac:dyDescent="0.25">
      <c r="A78" s="95">
        <v>46191</v>
      </c>
      <c r="B78" s="96" t="s">
        <v>1251</v>
      </c>
      <c r="C78" s="97">
        <v>6464.17515639661</v>
      </c>
    </row>
    <row r="79" spans="1:3" x14ac:dyDescent="0.25">
      <c r="A79" s="95">
        <v>46192</v>
      </c>
      <c r="B79" s="96" t="s">
        <v>1251</v>
      </c>
      <c r="C79" s="97">
        <v>8267.2327440059162</v>
      </c>
    </row>
    <row r="80" spans="1:3" x14ac:dyDescent="0.25">
      <c r="A80" s="95">
        <v>46195</v>
      </c>
      <c r="B80" s="96" t="s">
        <v>1251</v>
      </c>
      <c r="C80" s="97">
        <v>6972.3276380650641</v>
      </c>
    </row>
    <row r="81" spans="1:3" x14ac:dyDescent="0.25">
      <c r="A81" s="95">
        <v>46196</v>
      </c>
      <c r="B81" s="96" t="s">
        <v>1251</v>
      </c>
      <c r="C81" s="97">
        <v>9557.6023036619736</v>
      </c>
    </row>
    <row r="82" spans="1:3" x14ac:dyDescent="0.25">
      <c r="A82" s="95">
        <v>46197</v>
      </c>
      <c r="B82" s="96" t="s">
        <v>1251</v>
      </c>
      <c r="C82" s="97">
        <v>8219.8482077645167</v>
      </c>
    </row>
    <row r="83" spans="1:3" x14ac:dyDescent="0.25">
      <c r="A83" s="95">
        <v>46198</v>
      </c>
      <c r="B83" s="96" t="s">
        <v>1251</v>
      </c>
      <c r="C83" s="97">
        <v>10392.449821229733</v>
      </c>
    </row>
    <row r="84" spans="1:3" x14ac:dyDescent="0.25">
      <c r="A84" s="95">
        <v>46199</v>
      </c>
      <c r="B84" s="96" t="s">
        <v>1251</v>
      </c>
      <c r="C84" s="97">
        <v>8755.2887862720381</v>
      </c>
    </row>
    <row r="85" spans="1:3" x14ac:dyDescent="0.25">
      <c r="A85" s="95">
        <v>46203</v>
      </c>
      <c r="B85" s="96" t="s">
        <v>1251</v>
      </c>
      <c r="C85" s="97">
        <v>11335.167792993627</v>
      </c>
    </row>
    <row r="86" spans="1:3" x14ac:dyDescent="0.25">
      <c r="A86" s="95">
        <v>46174</v>
      </c>
      <c r="B86" s="96" t="s">
        <v>1252</v>
      </c>
      <c r="C86" s="98">
        <v>5087</v>
      </c>
    </row>
    <row r="87" spans="1:3" x14ac:dyDescent="0.25">
      <c r="A87" s="95">
        <v>46175</v>
      </c>
      <c r="B87" s="96" t="s">
        <v>1252</v>
      </c>
      <c r="C87" s="98">
        <v>5554.3007465186547</v>
      </c>
    </row>
    <row r="88" spans="1:3" x14ac:dyDescent="0.25">
      <c r="A88" s="95">
        <v>46176</v>
      </c>
      <c r="B88" s="96" t="s">
        <v>1252</v>
      </c>
      <c r="C88" s="98">
        <v>6853.7969972681167</v>
      </c>
    </row>
    <row r="89" spans="1:3" x14ac:dyDescent="0.25">
      <c r="A89" s="95">
        <v>46177</v>
      </c>
      <c r="B89" s="96" t="s">
        <v>1252</v>
      </c>
      <c r="C89" s="98">
        <v>15277.606036662877</v>
      </c>
    </row>
    <row r="90" spans="1:3" x14ac:dyDescent="0.25">
      <c r="A90" s="95">
        <v>46178</v>
      </c>
      <c r="B90" s="96" t="s">
        <v>1252</v>
      </c>
      <c r="C90" s="98">
        <v>7208.554252593829</v>
      </c>
    </row>
    <row r="91" spans="1:3" x14ac:dyDescent="0.25">
      <c r="A91" s="95">
        <v>46181</v>
      </c>
      <c r="B91" s="96" t="s">
        <v>1252</v>
      </c>
      <c r="C91" s="98">
        <v>14195.096319736978</v>
      </c>
    </row>
    <row r="92" spans="1:3" x14ac:dyDescent="0.25">
      <c r="A92" s="95">
        <v>46182</v>
      </c>
      <c r="B92" s="96" t="s">
        <v>1252</v>
      </c>
      <c r="C92" s="98">
        <v>2762.1514639364104</v>
      </c>
    </row>
    <row r="93" spans="1:3" x14ac:dyDescent="0.25">
      <c r="A93" s="95">
        <v>46183</v>
      </c>
      <c r="B93" s="96" t="s">
        <v>1252</v>
      </c>
      <c r="C93" s="98">
        <v>7826.6114485830039</v>
      </c>
    </row>
    <row r="94" spans="1:3" x14ac:dyDescent="0.25">
      <c r="A94" s="95">
        <v>46184</v>
      </c>
      <c r="B94" s="96" t="s">
        <v>1252</v>
      </c>
      <c r="C94" s="98">
        <v>15916.972816380796</v>
      </c>
    </row>
    <row r="95" spans="1:3" x14ac:dyDescent="0.25">
      <c r="A95" s="95">
        <v>46185</v>
      </c>
      <c r="B95" s="96" t="s">
        <v>1252</v>
      </c>
      <c r="C95" s="98">
        <v>13331.859011188426</v>
      </c>
    </row>
    <row r="96" spans="1:3" x14ac:dyDescent="0.25">
      <c r="A96" s="95">
        <v>46188</v>
      </c>
      <c r="B96" s="96" t="s">
        <v>1252</v>
      </c>
      <c r="C96" s="98">
        <v>12928.71668291332</v>
      </c>
    </row>
    <row r="97" spans="1:3" x14ac:dyDescent="0.25">
      <c r="A97" s="95">
        <v>46189</v>
      </c>
      <c r="B97" s="96" t="s">
        <v>1252</v>
      </c>
      <c r="C97" s="98">
        <v>11747.056119557936</v>
      </c>
    </row>
    <row r="98" spans="1:3" x14ac:dyDescent="0.25">
      <c r="A98" s="95">
        <v>46190</v>
      </c>
      <c r="B98" s="96" t="s">
        <v>1252</v>
      </c>
      <c r="C98" s="98">
        <v>7863.8991205551429</v>
      </c>
    </row>
    <row r="99" spans="1:3" x14ac:dyDescent="0.25">
      <c r="A99" s="95">
        <v>46191</v>
      </c>
      <c r="B99" s="96" t="s">
        <v>1252</v>
      </c>
      <c r="C99" s="98">
        <v>10337.927702978035</v>
      </c>
    </row>
    <row r="100" spans="1:3" x14ac:dyDescent="0.25">
      <c r="A100" s="95">
        <v>46192</v>
      </c>
      <c r="B100" s="96" t="s">
        <v>1252</v>
      </c>
      <c r="C100" s="98">
        <v>7511.5237683491723</v>
      </c>
    </row>
    <row r="101" spans="1:3" x14ac:dyDescent="0.25">
      <c r="A101" s="95">
        <v>46195</v>
      </c>
      <c r="B101" s="96" t="s">
        <v>1252</v>
      </c>
      <c r="C101" s="98">
        <v>8962.507937619579</v>
      </c>
    </row>
    <row r="102" spans="1:3" x14ac:dyDescent="0.25">
      <c r="A102" s="95">
        <v>46196</v>
      </c>
      <c r="B102" s="96" t="s">
        <v>1252</v>
      </c>
      <c r="C102" s="98">
        <v>14432.693925702042</v>
      </c>
    </row>
    <row r="103" spans="1:3" x14ac:dyDescent="0.25">
      <c r="A103" s="95">
        <v>46197</v>
      </c>
      <c r="B103" s="96" t="s">
        <v>1252</v>
      </c>
      <c r="C103" s="98">
        <v>18756.358825036208</v>
      </c>
    </row>
    <row r="104" spans="1:3" x14ac:dyDescent="0.25">
      <c r="A104" s="95">
        <v>46198</v>
      </c>
      <c r="B104" s="96" t="s">
        <v>1252</v>
      </c>
      <c r="C104" s="98">
        <v>19736.960420784511</v>
      </c>
    </row>
    <row r="105" spans="1:3" x14ac:dyDescent="0.25">
      <c r="A105" s="95">
        <v>46199</v>
      </c>
      <c r="B105" s="96" t="s">
        <v>1252</v>
      </c>
      <c r="C105" s="98">
        <v>32454.534313255514</v>
      </c>
    </row>
    <row r="106" spans="1:3" x14ac:dyDescent="0.25">
      <c r="A106" s="95">
        <v>46203</v>
      </c>
      <c r="B106" s="96" t="s">
        <v>1252</v>
      </c>
      <c r="C106" s="98">
        <v>28413.020195467194</v>
      </c>
    </row>
    <row r="107" spans="1:3" x14ac:dyDescent="0.25">
      <c r="A107" s="95">
        <v>46174</v>
      </c>
      <c r="B107" s="96" t="s">
        <v>1253</v>
      </c>
      <c r="C107" s="98">
        <v>18640</v>
      </c>
    </row>
    <row r="108" spans="1:3" x14ac:dyDescent="0.25">
      <c r="A108" s="95">
        <v>46175</v>
      </c>
      <c r="B108" s="96" t="s">
        <v>1253</v>
      </c>
      <c r="C108" s="98">
        <v>269.7921441054641</v>
      </c>
    </row>
    <row r="109" spans="1:3" x14ac:dyDescent="0.25">
      <c r="A109" s="95">
        <v>46176</v>
      </c>
      <c r="B109" s="96" t="s">
        <v>1253</v>
      </c>
      <c r="C109" s="98">
        <v>21026.43061549195</v>
      </c>
    </row>
    <row r="110" spans="1:3" x14ac:dyDescent="0.25">
      <c r="A110" s="95">
        <v>46177</v>
      </c>
      <c r="B110" s="96" t="s">
        <v>1253</v>
      </c>
      <c r="C110" s="98">
        <v>30748.512683861903</v>
      </c>
    </row>
    <row r="111" spans="1:3" x14ac:dyDescent="0.25">
      <c r="A111" s="95">
        <v>46178</v>
      </c>
      <c r="B111" s="96" t="s">
        <v>1253</v>
      </c>
      <c r="C111" s="98">
        <v>4957.3311128392379</v>
      </c>
    </row>
    <row r="112" spans="1:3" x14ac:dyDescent="0.25">
      <c r="A112" s="95">
        <v>46181</v>
      </c>
      <c r="B112" s="96" t="s">
        <v>1253</v>
      </c>
      <c r="C112" s="98">
        <v>5885.745909171048</v>
      </c>
    </row>
    <row r="113" spans="1:3" x14ac:dyDescent="0.25">
      <c r="A113" s="95">
        <v>46182</v>
      </c>
      <c r="B113" s="96" t="s">
        <v>1253</v>
      </c>
      <c r="C113" s="98">
        <v>6269.6149484797061</v>
      </c>
    </row>
    <row r="114" spans="1:3" x14ac:dyDescent="0.25">
      <c r="A114" s="95">
        <v>46183</v>
      </c>
      <c r="B114" s="96" t="s">
        <v>1253</v>
      </c>
      <c r="C114" s="98">
        <v>2721.6813990496012</v>
      </c>
    </row>
    <row r="115" spans="1:3" x14ac:dyDescent="0.25">
      <c r="A115" s="95">
        <v>46184</v>
      </c>
      <c r="B115" s="96" t="s">
        <v>1253</v>
      </c>
      <c r="C115" s="98">
        <v>7898.0549877328449</v>
      </c>
    </row>
    <row r="116" spans="1:3" x14ac:dyDescent="0.25">
      <c r="A116" s="95">
        <v>46185</v>
      </c>
      <c r="B116" s="96" t="s">
        <v>1253</v>
      </c>
      <c r="C116" s="98">
        <v>19544.001480375358</v>
      </c>
    </row>
    <row r="117" spans="1:3" x14ac:dyDescent="0.25">
      <c r="A117" s="95">
        <v>46188</v>
      </c>
      <c r="B117" s="96" t="s">
        <v>1253</v>
      </c>
      <c r="C117" s="98">
        <v>10760.357185314046</v>
      </c>
    </row>
    <row r="118" spans="1:3" x14ac:dyDescent="0.25">
      <c r="A118" s="95">
        <v>46189</v>
      </c>
      <c r="B118" s="96" t="s">
        <v>1253</v>
      </c>
      <c r="C118" s="98">
        <v>16792.594531870447</v>
      </c>
    </row>
    <row r="119" spans="1:3" x14ac:dyDescent="0.25">
      <c r="A119" s="95">
        <v>46190</v>
      </c>
      <c r="B119" s="96" t="s">
        <v>1253</v>
      </c>
      <c r="C119" s="98">
        <v>17199.97865428988</v>
      </c>
    </row>
    <row r="120" spans="1:3" x14ac:dyDescent="0.25">
      <c r="A120" s="95">
        <v>46191</v>
      </c>
      <c r="B120" s="96" t="s">
        <v>1253</v>
      </c>
      <c r="C120" s="98">
        <v>3511.4441035074415</v>
      </c>
    </row>
    <row r="121" spans="1:3" x14ac:dyDescent="0.25">
      <c r="A121" s="95">
        <v>46192</v>
      </c>
      <c r="B121" s="96" t="s">
        <v>1253</v>
      </c>
      <c r="C121" s="98">
        <v>10239.711114150909</v>
      </c>
    </row>
    <row r="122" spans="1:3" x14ac:dyDescent="0.25">
      <c r="A122" s="95">
        <v>46195</v>
      </c>
      <c r="B122" s="96" t="s">
        <v>1253</v>
      </c>
      <c r="C122" s="98">
        <v>19081.744207804295</v>
      </c>
    </row>
    <row r="123" spans="1:3" x14ac:dyDescent="0.25">
      <c r="A123" s="95">
        <v>46196</v>
      </c>
      <c r="B123" s="96" t="s">
        <v>1253</v>
      </c>
      <c r="C123" s="98">
        <v>12082.429116560263</v>
      </c>
    </row>
    <row r="124" spans="1:3" x14ac:dyDescent="0.25">
      <c r="A124" s="95">
        <v>46197</v>
      </c>
      <c r="B124" s="96" t="s">
        <v>1253</v>
      </c>
      <c r="C124" s="98">
        <v>8778.3188378303312</v>
      </c>
    </row>
    <row r="125" spans="1:3" x14ac:dyDescent="0.25">
      <c r="A125" s="95">
        <v>46198</v>
      </c>
      <c r="B125" s="96" t="s">
        <v>1253</v>
      </c>
      <c r="C125" s="98">
        <v>12891.974555078399</v>
      </c>
    </row>
    <row r="126" spans="1:3" x14ac:dyDescent="0.25">
      <c r="A126" s="95">
        <v>46199</v>
      </c>
      <c r="B126" s="96" t="s">
        <v>1253</v>
      </c>
      <c r="C126" s="98">
        <v>22653.134713495267</v>
      </c>
    </row>
    <row r="127" spans="1:3" x14ac:dyDescent="0.25">
      <c r="A127" s="101">
        <v>46203</v>
      </c>
      <c r="B127" s="102" t="s">
        <v>1253</v>
      </c>
      <c r="C127" s="103">
        <v>35785.371559134626</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959D-FCFE-4312-9D2F-C1B49F139C33}">
  <dimension ref="A1:L104"/>
  <sheetViews>
    <sheetView workbookViewId="0">
      <selection activeCell="F5" sqref="F5"/>
    </sheetView>
  </sheetViews>
  <sheetFormatPr baseColWidth="10" defaultRowHeight="15" x14ac:dyDescent="0.25"/>
  <cols>
    <col min="1" max="1" width="22.5703125" bestFit="1" customWidth="1"/>
    <col min="2" max="2" width="22.5703125" customWidth="1"/>
    <col min="3" max="3" width="18" bestFit="1" customWidth="1"/>
    <col min="4" max="4" width="16.42578125" bestFit="1" customWidth="1"/>
    <col min="5" max="5" width="20" bestFit="1" customWidth="1"/>
    <col min="6" max="6" width="14.5703125" bestFit="1" customWidth="1"/>
    <col min="7" max="7" width="14.5703125" customWidth="1"/>
    <col min="9" max="10" width="12.28515625" customWidth="1"/>
    <col min="11" max="11" width="15" customWidth="1"/>
    <col min="12" max="12" width="12" bestFit="1" customWidth="1"/>
    <col min="13" max="41" width="3.140625" customWidth="1"/>
  </cols>
  <sheetData>
    <row r="1" spans="1:12" x14ac:dyDescent="0.25">
      <c r="A1" t="s">
        <v>0</v>
      </c>
      <c r="B1" t="s">
        <v>1240</v>
      </c>
      <c r="C1" t="s">
        <v>1147</v>
      </c>
      <c r="D1" t="s">
        <v>1146</v>
      </c>
      <c r="E1" t="s">
        <v>1148</v>
      </c>
      <c r="F1" t="s">
        <v>1149</v>
      </c>
      <c r="G1" t="s">
        <v>1150</v>
      </c>
      <c r="I1" t="s">
        <v>1151</v>
      </c>
      <c r="J1" t="s">
        <v>1152</v>
      </c>
      <c r="K1" t="s">
        <v>1153</v>
      </c>
      <c r="L1" t="s">
        <v>1154</v>
      </c>
    </row>
    <row r="2" spans="1:12" x14ac:dyDescent="0.25">
      <c r="A2" t="s">
        <v>19</v>
      </c>
      <c r="B2" t="s">
        <v>1241</v>
      </c>
      <c r="C2" t="s">
        <v>1228</v>
      </c>
      <c r="D2" t="s">
        <v>1145</v>
      </c>
      <c r="E2">
        <v>25321.741219375021</v>
      </c>
      <c r="F2">
        <f>VLOOKUP(Tabla1[[#This Row],[ASESOR]],DATA_MAYO_2026[[ASER_]:[R_M]],24,0)</f>
        <v>20030</v>
      </c>
      <c r="G2">
        <f>Tabla1[[#This Row],[RECUPEROS]]/Tabla1[[#This Row],[METAS]]</f>
        <v>0.79101985232650485</v>
      </c>
      <c r="I2" t="s">
        <v>1228</v>
      </c>
      <c r="J2">
        <f>SUMIFS(Tabla1[METAS],Tabla1[EQUIPOS],Tabla94[[#This Row],[EQUIPOS_T]])</f>
        <v>104725.71985790905</v>
      </c>
      <c r="K2">
        <f>SUMIFS(Tabla1[RECUPEROS],Tabla1[EQUIPOS],Tabla94[[#This Row],[EQUIPOS_T]])</f>
        <v>44935</v>
      </c>
      <c r="L2">
        <f>Tabla94[[#This Row],[RECUPERO_T]]/Tabla94[[#This Row],[META_T]]</f>
        <v>0.42907320246609354</v>
      </c>
    </row>
    <row r="3" spans="1:12" x14ac:dyDescent="0.25">
      <c r="A3" t="s">
        <v>493</v>
      </c>
      <c r="B3" t="s">
        <v>1241</v>
      </c>
      <c r="C3" t="s">
        <v>1228</v>
      </c>
      <c r="D3" t="s">
        <v>1145</v>
      </c>
      <c r="E3">
        <v>24071.284862862674</v>
      </c>
      <c r="F3">
        <f>VLOOKUP(Tabla1[[#This Row],[ASESOR]],DATA_MAYO_2026[[ASER_]:[R_M]],24,0)</f>
        <v>14980</v>
      </c>
      <c r="G3">
        <f>Tabla1[[#This Row],[RECUPEROS]]/Tabla1[[#This Row],[METAS]]</f>
        <v>0.62231825535458785</v>
      </c>
      <c r="I3" t="s">
        <v>1229</v>
      </c>
      <c r="J3">
        <f>SUMIFS(Tabla1[METAS],Tabla1[EQUIPOS],Tabla94[[#This Row],[EQUIPOS_T]])</f>
        <v>85343.64633196767</v>
      </c>
      <c r="K3">
        <f>SUMIFS(Tabla1[RECUPEROS],Tabla1[EQUIPOS],Tabla94[[#This Row],[EQUIPOS_T]])</f>
        <v>31310</v>
      </c>
      <c r="L3">
        <f>Tabla94[[#This Row],[RECUPERO_T]]/Tabla94[[#This Row],[META_T]]</f>
        <v>0.36686972429337167</v>
      </c>
    </row>
    <row r="4" spans="1:12" x14ac:dyDescent="0.25">
      <c r="A4" t="s">
        <v>72</v>
      </c>
      <c r="B4" t="s">
        <v>1241</v>
      </c>
      <c r="C4" t="s">
        <v>1228</v>
      </c>
      <c r="D4" t="s">
        <v>1145</v>
      </c>
      <c r="E4">
        <v>18444.231258557116</v>
      </c>
      <c r="F4">
        <f>VLOOKUP(Tabla1[[#This Row],[ASESOR]],DATA_MAYO_2026[[ASER_]:[R_M]],24,0)</f>
        <v>3000</v>
      </c>
      <c r="G4">
        <f>Tabla1[[#This Row],[RECUPEROS]]/Tabla1[[#This Row],[METAS]]</f>
        <v>0.1626524823911088</v>
      </c>
      <c r="I4" t="s">
        <v>1234</v>
      </c>
      <c r="J4">
        <f>SUMIFS(Tabla1[METAS],Tabla1[EQUIPOS],Tabla94[[#This Row],[EQUIPOS_T]])</f>
        <v>86594.102688480023</v>
      </c>
      <c r="K4">
        <f>SUMIFS(Tabla1[RECUPEROS],Tabla1[EQUIPOS],Tabla94[[#This Row],[EQUIPOS_T]])</f>
        <v>28857</v>
      </c>
      <c r="L4">
        <f>Tabla94[[#This Row],[RECUPERO_T]]/Tabla94[[#This Row],[META_T]]</f>
        <v>0.33324440237936626</v>
      </c>
    </row>
    <row r="5" spans="1:12" x14ac:dyDescent="0.25">
      <c r="A5" t="s">
        <v>51</v>
      </c>
      <c r="B5" t="s">
        <v>1241</v>
      </c>
      <c r="C5" t="s">
        <v>1228</v>
      </c>
      <c r="D5" t="s">
        <v>1145</v>
      </c>
      <c r="E5">
        <v>18444.231258557116</v>
      </c>
      <c r="F5">
        <f>VLOOKUP(Tabla1[[#This Row],[ASESOR]],DATA_MAYO_2026[[ASER_]:[R_M]],24,0)</f>
        <v>1200</v>
      </c>
      <c r="G5">
        <f>Tabla1[[#This Row],[RECUPEROS]]/Tabla1[[#This Row],[METAS]]</f>
        <v>6.506099295644352E-2</v>
      </c>
      <c r="I5" t="s">
        <v>1230</v>
      </c>
      <c r="J5">
        <f>SUMIFS(Tabla1[METAS],Tabla1[EQUIPOS],Tabla94[[#This Row],[EQUIPOS_T]])</f>
        <v>96285.139451450697</v>
      </c>
      <c r="K5">
        <f>SUMIFS(Tabla1[RECUPEROS],Tabla1[EQUIPOS],Tabla94[[#This Row],[EQUIPOS_T]])</f>
        <v>47846</v>
      </c>
      <c r="L5">
        <f>Tabla94[[#This Row],[RECUPERO_T]]/Tabla94[[#This Row],[META_T]]</f>
        <v>0.49691988060239672</v>
      </c>
    </row>
    <row r="6" spans="1:12" x14ac:dyDescent="0.25">
      <c r="A6" t="s">
        <v>12</v>
      </c>
      <c r="B6" t="s">
        <v>1241</v>
      </c>
      <c r="C6" t="s">
        <v>1228</v>
      </c>
      <c r="D6" t="s">
        <v>1145</v>
      </c>
      <c r="E6">
        <v>18444.231258557116</v>
      </c>
      <c r="F6">
        <f>VLOOKUP(Tabla1[[#This Row],[ASESOR]],DATA_MAYO_2026[[ASER_]:[R_M]],24,0)</f>
        <v>5725</v>
      </c>
      <c r="G6">
        <f>Tabla1[[#This Row],[RECUPEROS]]/Tabla1[[#This Row],[METAS]]</f>
        <v>0.31039515389636596</v>
      </c>
      <c r="I6" t="s">
        <v>1239</v>
      </c>
      <c r="J6">
        <f>SUMIFS(Tabla1[METAS],Tabla1[EQUIPOS],Tabla94[[#This Row],[EQUIPOS_T]])</f>
        <v>100349.12261011582</v>
      </c>
      <c r="K6">
        <f>SUMIFS(Tabla1[RECUPEROS],Tabla1[EQUIPOS],Tabla94[[#This Row],[EQUIPOS_T]])</f>
        <v>28761</v>
      </c>
      <c r="L6">
        <f>Tabla94[[#This Row],[RECUPERO_T]]/Tabla94[[#This Row],[META_T]]</f>
        <v>0.28660938184526497</v>
      </c>
    </row>
    <row r="7" spans="1:12" x14ac:dyDescent="0.25">
      <c r="A7" t="s">
        <v>59</v>
      </c>
      <c r="B7" t="s">
        <v>1241</v>
      </c>
      <c r="C7" t="s">
        <v>1229</v>
      </c>
      <c r="D7" t="s">
        <v>1144</v>
      </c>
      <c r="E7">
        <v>45016.428834444487</v>
      </c>
      <c r="F7">
        <f>VLOOKUP(Tabla1[[#This Row],[ASESOR]],DATA_MAYO_2026[[ASER_]:[R_M]],24,0)</f>
        <v>16275</v>
      </c>
      <c r="G7">
        <f>Tabla1[[#This Row],[RECUPEROS]]/Tabla1[[#This Row],[METAS]]</f>
        <v>0.3615346757037094</v>
      </c>
      <c r="I7" t="s">
        <v>1238</v>
      </c>
      <c r="J7">
        <f>SUMIFS(Tabla1[METAS],Tabla1[EQUIPOS],Tabla94[[#This Row],[EQUIPOS_T]])</f>
        <v>90658.085847145121</v>
      </c>
      <c r="K7">
        <f>SUMIFS(Tabla1[RECUPEROS],Tabla1[EQUIPOS],Tabla94[[#This Row],[EQUIPOS_T]])</f>
        <v>35884</v>
      </c>
      <c r="L7">
        <f>Tabla94[[#This Row],[RECUPERO_T]]/Tabla94[[#This Row],[META_T]]</f>
        <v>0.39581687242440283</v>
      </c>
    </row>
    <row r="8" spans="1:12" x14ac:dyDescent="0.25">
      <c r="A8" t="s">
        <v>49</v>
      </c>
      <c r="B8" t="s">
        <v>1241</v>
      </c>
      <c r="C8" t="s">
        <v>1229</v>
      </c>
      <c r="D8" t="s">
        <v>1144</v>
      </c>
      <c r="E8">
        <v>7502.7381390740802</v>
      </c>
      <c r="F8">
        <f>VLOOKUP(Tabla1[[#This Row],[ASESOR]],DATA_MAYO_2026[[ASER_]:[R_M]],24,0)</f>
        <v>930</v>
      </c>
      <c r="G8">
        <f>Tabla1[[#This Row],[RECUPEROS]]/Tabla1[[#This Row],[METAS]]</f>
        <v>0.12395474595555753</v>
      </c>
      <c r="I8" t="s">
        <v>1231</v>
      </c>
      <c r="J8">
        <f>SUMIFS(Tabla1[METAS],Tabla1[EQUIPOS],Tabla94[[#This Row],[EQUIPOS_T]])</f>
        <v>99098.666253603471</v>
      </c>
      <c r="K8">
        <f>SUMIFS(Tabla1[RECUPEROS],Tabla1[EQUIPOS],Tabla94[[#This Row],[EQUIPOS_T]])</f>
        <v>36419</v>
      </c>
      <c r="L8">
        <f>Tabla94[[#This Row],[RECUPERO_T]]/Tabla94[[#This Row],[META_T]]</f>
        <v>0.36750242336057387</v>
      </c>
    </row>
    <row r="9" spans="1:12" x14ac:dyDescent="0.25">
      <c r="A9" t="s">
        <v>55</v>
      </c>
      <c r="B9" t="s">
        <v>1241</v>
      </c>
      <c r="C9" t="s">
        <v>1229</v>
      </c>
      <c r="D9" t="s">
        <v>1144</v>
      </c>
      <c r="E9">
        <v>7502.7381390740802</v>
      </c>
      <c r="F9">
        <f>VLOOKUP(Tabla1[[#This Row],[ASESOR]],DATA_MAYO_2026[[ASER_]:[R_M]],24,0)</f>
        <v>1450</v>
      </c>
      <c r="G9">
        <f>Tabla1[[#This Row],[RECUPEROS]]/Tabla1[[#This Row],[METAS]]</f>
        <v>0.19326277595221333</v>
      </c>
      <c r="I9" t="s">
        <v>1237</v>
      </c>
      <c r="J9">
        <f>SUMIFS(Tabla1[METAS],Tabla1[EQUIPOS],Tabla94[[#This Row],[EQUIPOS_T]])</f>
        <v>92221.15629278557</v>
      </c>
      <c r="K9">
        <f>SUMIFS(Tabla1[RECUPEROS],Tabla1[EQUIPOS],Tabla94[[#This Row],[EQUIPOS_T]])</f>
        <v>29466</v>
      </c>
      <c r="L9">
        <f>Tabla94[[#This Row],[RECUPERO_T]]/Tabla94[[#This Row],[META_T]]</f>
        <v>0.31951453640909416</v>
      </c>
    </row>
    <row r="10" spans="1:12" x14ac:dyDescent="0.25">
      <c r="A10" t="s">
        <v>31</v>
      </c>
      <c r="B10" t="s">
        <v>1241</v>
      </c>
      <c r="C10" t="s">
        <v>1229</v>
      </c>
      <c r="D10" t="s">
        <v>1144</v>
      </c>
      <c r="E10">
        <v>25321.741219375021</v>
      </c>
      <c r="F10">
        <f>VLOOKUP(Tabla1[[#This Row],[ASESOR]],DATA_MAYO_2026[[ASER_]:[R_M]],24,0)</f>
        <v>12655</v>
      </c>
      <c r="G10">
        <f>Tabla1[[#This Row],[RECUPEROS]]/Tabla1[[#This Row],[METAS]]</f>
        <v>0.49976815932061502</v>
      </c>
      <c r="I10" t="s">
        <v>1232</v>
      </c>
      <c r="J10">
        <f>SUMIFS(Tabla1[METAS],Tabla1[EQUIPOS],Tabla94[[#This Row],[EQUIPOS_T]])</f>
        <v>120043.81022518528</v>
      </c>
      <c r="K10">
        <f>SUMIFS(Tabla1[RECUPEROS],Tabla1[EQUIPOS],Tabla94[[#This Row],[EQUIPOS_T]])</f>
        <v>49217</v>
      </c>
      <c r="L10">
        <f>Tabla94[[#This Row],[RECUPERO_T]]/Tabla94[[#This Row],[META_T]]</f>
        <v>0.40999198465690018</v>
      </c>
    </row>
    <row r="11" spans="1:12" x14ac:dyDescent="0.25">
      <c r="A11" t="s">
        <v>68</v>
      </c>
      <c r="B11" t="s">
        <v>1241</v>
      </c>
      <c r="C11" t="s">
        <v>1230</v>
      </c>
      <c r="D11" t="s">
        <v>1143</v>
      </c>
      <c r="E11">
        <v>45016.428834444487</v>
      </c>
      <c r="F11">
        <f>VLOOKUP(Tabla1[[#This Row],[ASESOR]],DATA_MAYO_2026[[ASER_]:[R_M]],24,0)</f>
        <v>19875</v>
      </c>
      <c r="G11">
        <f>Tabla1[[#This Row],[RECUPEROS]]/Tabla1[[#This Row],[METAS]]</f>
        <v>0.44150547954600455</v>
      </c>
      <c r="I11" t="s">
        <v>1236</v>
      </c>
      <c r="J11">
        <f>SUMIFS(Tabla1[METAS],Tabla1[EQUIPOS],Tabla94[[#This Row],[EQUIPOS_T]])</f>
        <v>122675.32062118752</v>
      </c>
      <c r="K11" t="e">
        <f>SUMIFS(Tabla1[RECUPEROS],Tabla1[EQUIPOS],Tabla94[[#This Row],[EQUIPOS_T]])</f>
        <v>#N/A</v>
      </c>
      <c r="L11" t="e">
        <f>Tabla94[[#This Row],[RECUPERO_T]]/Tabla94[[#This Row],[META_T]]</f>
        <v>#N/A</v>
      </c>
    </row>
    <row r="12" spans="1:12" x14ac:dyDescent="0.25">
      <c r="A12" t="s">
        <v>41</v>
      </c>
      <c r="B12" t="s">
        <v>1241</v>
      </c>
      <c r="C12" t="s">
        <v>1230</v>
      </c>
      <c r="D12" t="s">
        <v>1143</v>
      </c>
      <c r="E12">
        <v>18444.231258557116</v>
      </c>
      <c r="F12">
        <f>VLOOKUP(Tabla1[[#This Row],[ASESOR]],DATA_MAYO_2026[[ASER_]:[R_M]],24,0)</f>
        <v>13035</v>
      </c>
      <c r="G12">
        <f>Tabla1[[#This Row],[RECUPEROS]]/Tabla1[[#This Row],[METAS]]</f>
        <v>0.70672503598936776</v>
      </c>
      <c r="I12" t="s">
        <v>1233</v>
      </c>
      <c r="J12">
        <f>SUMIFS(Tabla1[METAS],Tabla1[EQUIPOS],Tabla94[[#This Row],[EQUIPOS_T]])</f>
        <v>121294.26658169764</v>
      </c>
      <c r="K12">
        <f>SUMIFS(Tabla1[RECUPEROS],Tabla1[EQUIPOS],Tabla94[[#This Row],[EQUIPOS_T]])</f>
        <v>14196</v>
      </c>
      <c r="L12">
        <f>Tabla94[[#This Row],[RECUPERO_T]]/Tabla94[[#This Row],[META_T]]</f>
        <v>0.11703768364383735</v>
      </c>
    </row>
    <row r="13" spans="1:12" x14ac:dyDescent="0.25">
      <c r="A13" t="s">
        <v>35</v>
      </c>
      <c r="B13" t="s">
        <v>1241</v>
      </c>
      <c r="C13" t="s">
        <v>1230</v>
      </c>
      <c r="D13" t="s">
        <v>1143</v>
      </c>
      <c r="E13">
        <v>25321.741219375021</v>
      </c>
      <c r="F13">
        <f>VLOOKUP(Tabla1[[#This Row],[ASESOR]],DATA_MAYO_2026[[ASER_]:[R_M]],24,0)</f>
        <v>12200</v>
      </c>
      <c r="G13">
        <f>Tabla1[[#This Row],[RECUPEROS]]/Tabla1[[#This Row],[METAS]]</f>
        <v>0.48179941080296351</v>
      </c>
      <c r="I13" t="s">
        <v>1235</v>
      </c>
      <c r="J13">
        <f>SUMIFS(Tabla1[METAS],Tabla1[EQUIPOS],Tabla94[[#This Row],[EQUIPOS_T]])</f>
        <v>118793.35386867294</v>
      </c>
      <c r="K13">
        <f>SUMIFS(Tabla1[RECUPEROS],Tabla1[EQUIPOS],Tabla94[[#This Row],[EQUIPOS_T]])</f>
        <v>26529</v>
      </c>
      <c r="L13">
        <f>Tabla94[[#This Row],[RECUPERO_T]]/Tabla94[[#This Row],[META_T]]</f>
        <v>0.2233205742244472</v>
      </c>
    </row>
    <row r="14" spans="1:12" x14ac:dyDescent="0.25">
      <c r="A14" t="s">
        <v>630</v>
      </c>
      <c r="B14" t="s">
        <v>1241</v>
      </c>
      <c r="C14" t="s">
        <v>1230</v>
      </c>
      <c r="D14" t="s">
        <v>1143</v>
      </c>
      <c r="E14">
        <v>7502.7381390740802</v>
      </c>
      <c r="F14">
        <f>VLOOKUP(Tabla1[[#This Row],[ASESOR]],DATA_MAYO_2026[[ASER_]:[R_M]],24,0)</f>
        <v>2736</v>
      </c>
      <c r="G14">
        <f>Tabla1[[#This Row],[RECUPEROS]]/Tabla1[[#This Row],[METAS]]</f>
        <v>0.36466686552086597</v>
      </c>
    </row>
    <row r="15" spans="1:12" x14ac:dyDescent="0.25">
      <c r="A15" t="s">
        <v>38</v>
      </c>
      <c r="B15" t="s">
        <v>1241</v>
      </c>
      <c r="C15" t="s">
        <v>1231</v>
      </c>
      <c r="D15" t="s">
        <v>1142</v>
      </c>
      <c r="E15">
        <v>25321.741219375021</v>
      </c>
      <c r="F15">
        <f>VLOOKUP(Tabla1[[#This Row],[ASESOR]],DATA_MAYO_2026[[ASER_]:[R_M]],24,0)</f>
        <v>11165</v>
      </c>
      <c r="G15">
        <f>Tabla1[[#This Row],[RECUPEROS]]/Tabla1[[#This Row],[METAS]]</f>
        <v>0.44092544439467934</v>
      </c>
    </row>
    <row r="16" spans="1:12" x14ac:dyDescent="0.25">
      <c r="A16" t="s">
        <v>96</v>
      </c>
      <c r="B16" t="s">
        <v>1241</v>
      </c>
      <c r="C16" t="s">
        <v>1231</v>
      </c>
      <c r="D16" t="s">
        <v>1142</v>
      </c>
      <c r="E16">
        <v>24071.284862862674</v>
      </c>
      <c r="F16">
        <f>VLOOKUP(Tabla1[[#This Row],[ASESOR]],DATA_MAYO_2026[[ASER_]:[R_M]],24,0)</f>
        <v>19900</v>
      </c>
      <c r="G16">
        <f>Tabla1[[#This Row],[RECUPEROS]]/Tabla1[[#This Row],[METAS]]</f>
        <v>0.82671116699307734</v>
      </c>
    </row>
    <row r="17" spans="1:7" x14ac:dyDescent="0.25">
      <c r="A17" t="s">
        <v>549</v>
      </c>
      <c r="B17" t="s">
        <v>1241</v>
      </c>
      <c r="C17" t="s">
        <v>1231</v>
      </c>
      <c r="D17" t="s">
        <v>1142</v>
      </c>
      <c r="E17">
        <v>7502.7381390740802</v>
      </c>
      <c r="F17">
        <f>VLOOKUP(Tabla1[[#This Row],[ASESOR]],DATA_MAYO_2026[[ASER_]:[R_M]],24,0)</f>
        <v>2200</v>
      </c>
      <c r="G17">
        <f>Tabla1[[#This Row],[RECUPEROS]]/Tabla1[[#This Row],[METAS]]</f>
        <v>0.29322628075508228</v>
      </c>
    </row>
    <row r="18" spans="1:7" x14ac:dyDescent="0.25">
      <c r="A18" t="s">
        <v>15</v>
      </c>
      <c r="B18" t="s">
        <v>1241</v>
      </c>
      <c r="C18" t="s">
        <v>1231</v>
      </c>
      <c r="D18" t="s">
        <v>1142</v>
      </c>
      <c r="E18">
        <v>42202.902032291706</v>
      </c>
      <c r="F18">
        <f>VLOOKUP(Tabla1[[#This Row],[ASESOR]],DATA_MAYO_2026[[ASER_]:[R_M]],24,0)</f>
        <v>3154</v>
      </c>
      <c r="G18">
        <f>Tabla1[[#This Row],[RECUPEROS]]/Tabla1[[#This Row],[METAS]]</f>
        <v>7.4734197131436725E-2</v>
      </c>
    </row>
    <row r="19" spans="1:7" x14ac:dyDescent="0.25">
      <c r="A19" t="s">
        <v>97</v>
      </c>
      <c r="B19" t="s">
        <v>1241</v>
      </c>
      <c r="C19" t="s">
        <v>1232</v>
      </c>
      <c r="D19" t="s">
        <v>1141</v>
      </c>
      <c r="E19">
        <v>25321.741219375021</v>
      </c>
      <c r="F19">
        <f>VLOOKUP(Tabla1[[#This Row],[ASESOR]],DATA_MAYO_2026[[ASER_]:[R_M]],24,0)</f>
        <v>25495</v>
      </c>
      <c r="G19">
        <f>Tabla1[[#This Row],[RECUPEROS]]/Tabla1[[#This Row],[METAS]]</f>
        <v>1.0068422933132422</v>
      </c>
    </row>
    <row r="20" spans="1:7" x14ac:dyDescent="0.25">
      <c r="A20" t="s">
        <v>13</v>
      </c>
      <c r="B20" t="s">
        <v>1241</v>
      </c>
      <c r="C20" t="s">
        <v>1232</v>
      </c>
      <c r="D20" t="s">
        <v>1141</v>
      </c>
      <c r="E20">
        <v>42202.902032291706</v>
      </c>
      <c r="F20">
        <f>VLOOKUP(Tabla1[[#This Row],[ASESOR]],DATA_MAYO_2026[[ASER_]:[R_M]],24,0)</f>
        <v>12040</v>
      </c>
      <c r="G20">
        <f>Tabla1[[#This Row],[RECUPEROS]]/Tabla1[[#This Row],[METAS]]</f>
        <v>0.28528843800332854</v>
      </c>
    </row>
    <row r="21" spans="1:7" x14ac:dyDescent="0.25">
      <c r="A21" t="s">
        <v>75</v>
      </c>
      <c r="B21" t="s">
        <v>1241</v>
      </c>
      <c r="C21" t="s">
        <v>1232</v>
      </c>
      <c r="D21" t="s">
        <v>1141</v>
      </c>
      <c r="E21">
        <v>45016.428834444487</v>
      </c>
      <c r="F21">
        <f>VLOOKUP(Tabla1[[#This Row],[ASESOR]],DATA_MAYO_2026[[ASER_]:[R_M]],24,0)</f>
        <v>10257</v>
      </c>
      <c r="G21">
        <f>Tabla1[[#This Row],[RECUPEROS]]/Tabla1[[#This Row],[METAS]]</f>
        <v>0.22785014861400596</v>
      </c>
    </row>
    <row r="22" spans="1:7" x14ac:dyDescent="0.25">
      <c r="A22" t="s">
        <v>37</v>
      </c>
      <c r="B22" t="s">
        <v>1241</v>
      </c>
      <c r="C22" t="s">
        <v>1232</v>
      </c>
      <c r="D22" t="s">
        <v>1141</v>
      </c>
      <c r="E22">
        <v>7502.7381390740802</v>
      </c>
      <c r="F22">
        <f>VLOOKUP(Tabla1[[#This Row],[ASESOR]],DATA_MAYO_2026[[ASER_]:[R_M]],24,0)</f>
        <v>1425</v>
      </c>
      <c r="G22">
        <f>Tabla1[[#This Row],[RECUPEROS]]/Tabla1[[#This Row],[METAS]]</f>
        <v>0.18993065912545104</v>
      </c>
    </row>
    <row r="23" spans="1:7" x14ac:dyDescent="0.25">
      <c r="A23" t="s">
        <v>61</v>
      </c>
      <c r="B23" t="s">
        <v>1241</v>
      </c>
      <c r="C23" t="s">
        <v>1233</v>
      </c>
      <c r="D23" t="s">
        <v>1140</v>
      </c>
      <c r="E23">
        <v>18444.231258557116</v>
      </c>
      <c r="F23">
        <f>VLOOKUP(Tabla1[[#This Row],[ASESOR]],DATA_MAYO_2026[[ASER_]:[R_M]],24,0)</f>
        <v>1000</v>
      </c>
      <c r="G23">
        <f>Tabla1[[#This Row],[RECUPEROS]]/Tabla1[[#This Row],[METAS]]</f>
        <v>5.4217494130369602E-2</v>
      </c>
    </row>
    <row r="24" spans="1:7" x14ac:dyDescent="0.25">
      <c r="A24" t="s">
        <v>495</v>
      </c>
      <c r="B24" t="s">
        <v>1241</v>
      </c>
      <c r="C24" t="s">
        <v>1233</v>
      </c>
      <c r="D24" t="s">
        <v>1140</v>
      </c>
      <c r="E24">
        <v>18444.231258557116</v>
      </c>
      <c r="F24">
        <f>VLOOKUP(Tabla1[[#This Row],[ASESOR]],DATA_MAYO_2026[[ASER_]:[R_M]],24,0)</f>
        <v>350</v>
      </c>
      <c r="G24">
        <f>Tabla1[[#This Row],[RECUPEROS]]/Tabla1[[#This Row],[METAS]]</f>
        <v>1.8976122945629361E-2</v>
      </c>
    </row>
    <row r="25" spans="1:7" x14ac:dyDescent="0.25">
      <c r="A25" t="s">
        <v>76</v>
      </c>
      <c r="B25" t="s">
        <v>1241</v>
      </c>
      <c r="C25" t="s">
        <v>1233</v>
      </c>
      <c r="D25" t="s">
        <v>1140</v>
      </c>
      <c r="E25">
        <v>42202.902032291706</v>
      </c>
      <c r="F25">
        <f>VLOOKUP(Tabla1[[#This Row],[ASESOR]],DATA_MAYO_2026[[ASER_]:[R_M]],24,0)</f>
        <v>7500</v>
      </c>
      <c r="G25">
        <f>Tabla1[[#This Row],[RECUPEROS]]/Tabla1[[#This Row],[METAS]]</f>
        <v>0.1777128974273226</v>
      </c>
    </row>
    <row r="26" spans="1:7" x14ac:dyDescent="0.25">
      <c r="A26" t="s">
        <v>65</v>
      </c>
      <c r="B26" t="s">
        <v>1241</v>
      </c>
      <c r="C26" t="s">
        <v>1233</v>
      </c>
      <c r="D26" t="s">
        <v>1140</v>
      </c>
      <c r="E26">
        <v>42202.902032291706</v>
      </c>
      <c r="F26">
        <f>VLOOKUP(Tabla1[[#This Row],[ASESOR]],DATA_MAYO_2026[[ASER_]:[R_M]],24,0)</f>
        <v>5346</v>
      </c>
      <c r="G26">
        <f>Tabla1[[#This Row],[RECUPEROS]]/Tabla1[[#This Row],[METAS]]</f>
        <v>0.12667375328619554</v>
      </c>
    </row>
    <row r="27" spans="1:7" x14ac:dyDescent="0.25">
      <c r="A27" t="s">
        <v>77</v>
      </c>
      <c r="B27" t="s">
        <v>1241</v>
      </c>
      <c r="C27" t="s">
        <v>1234</v>
      </c>
      <c r="D27" t="s">
        <v>1139</v>
      </c>
      <c r="E27">
        <v>7502.7381390740802</v>
      </c>
      <c r="F27">
        <f>VLOOKUP(Tabla1[[#This Row],[ASESOR]],DATA_MAYO_2026[[ASER_]:[R_M]],24,0)</f>
        <v>424</v>
      </c>
      <c r="G27">
        <f>Tabla1[[#This Row],[RECUPEROS]]/Tabla1[[#This Row],[METAS]]</f>
        <v>5.6512701381888589E-2</v>
      </c>
    </row>
    <row r="28" spans="1:7" x14ac:dyDescent="0.25">
      <c r="A28" t="s">
        <v>80</v>
      </c>
      <c r="B28" t="s">
        <v>1241</v>
      </c>
      <c r="C28" t="s">
        <v>1234</v>
      </c>
      <c r="D28" t="s">
        <v>1139</v>
      </c>
      <c r="E28">
        <v>18444.231258557116</v>
      </c>
      <c r="F28">
        <f>VLOOKUP(Tabla1[[#This Row],[ASESOR]],DATA_MAYO_2026[[ASER_]:[R_M]],24,0)</f>
        <v>16255</v>
      </c>
      <c r="G28">
        <f>Tabla1[[#This Row],[RECUPEROS]]/Tabla1[[#This Row],[METAS]]</f>
        <v>0.88130536708915785</v>
      </c>
    </row>
    <row r="29" spans="1:7" x14ac:dyDescent="0.25">
      <c r="A29" t="s">
        <v>10</v>
      </c>
      <c r="B29" t="s">
        <v>1241</v>
      </c>
      <c r="C29" t="s">
        <v>1234</v>
      </c>
      <c r="D29" t="s">
        <v>1139</v>
      </c>
      <c r="E29">
        <v>42202.902032291706</v>
      </c>
      <c r="F29">
        <f>VLOOKUP(Tabla1[[#This Row],[ASESOR]],DATA_MAYO_2026[[ASER_]:[R_M]],24,0)</f>
        <v>10593</v>
      </c>
      <c r="G29">
        <f>Tabla1[[#This Row],[RECUPEROS]]/Tabla1[[#This Row],[METAS]]</f>
        <v>0.25100169632635044</v>
      </c>
    </row>
    <row r="30" spans="1:7" x14ac:dyDescent="0.25">
      <c r="A30" t="s">
        <v>564</v>
      </c>
      <c r="B30" t="s">
        <v>1241</v>
      </c>
      <c r="C30" t="s">
        <v>1234</v>
      </c>
      <c r="D30" t="s">
        <v>1139</v>
      </c>
      <c r="E30">
        <v>18444.231258557116</v>
      </c>
      <c r="F30">
        <f>VLOOKUP(Tabla1[[#This Row],[ASESOR]],DATA_MAYO_2026[[ASER_]:[R_M]],24,0)</f>
        <v>1585</v>
      </c>
      <c r="G30">
        <f>Tabla1[[#This Row],[RECUPEROS]]/Tabla1[[#This Row],[METAS]]</f>
        <v>8.5934728196635821E-2</v>
      </c>
    </row>
    <row r="31" spans="1:7" x14ac:dyDescent="0.25">
      <c r="A31" t="s">
        <v>79</v>
      </c>
      <c r="B31" t="s">
        <v>1241</v>
      </c>
      <c r="C31" t="s">
        <v>1235</v>
      </c>
      <c r="D31" t="s">
        <v>1138</v>
      </c>
      <c r="E31">
        <v>45016.428834444487</v>
      </c>
      <c r="F31">
        <f>VLOOKUP(Tabla1[[#This Row],[ASESOR]],DATA_MAYO_2026[[ASER_]:[R_M]],24,0)</f>
        <v>16364</v>
      </c>
      <c r="G31">
        <f>Tabla1[[#This Row],[RECUPEROS]]/Tabla1[[#This Row],[METAS]]</f>
        <v>0.36351173168758838</v>
      </c>
    </row>
    <row r="32" spans="1:7" x14ac:dyDescent="0.25">
      <c r="A32" t="s">
        <v>85</v>
      </c>
      <c r="B32" t="s">
        <v>1241</v>
      </c>
      <c r="C32" t="s">
        <v>1235</v>
      </c>
      <c r="D32" t="s">
        <v>1138</v>
      </c>
      <c r="E32">
        <v>24071.284862862674</v>
      </c>
      <c r="F32">
        <f>VLOOKUP(Tabla1[[#This Row],[ASESOR]],DATA_MAYO_2026[[ASER_]:[R_M]],24,0)</f>
        <v>3965</v>
      </c>
      <c r="G32">
        <f>Tabla1[[#This Row],[RECUPEROS]]/Tabla1[[#This Row],[METAS]]</f>
        <v>0.16471908427776641</v>
      </c>
    </row>
    <row r="33" spans="1:7" x14ac:dyDescent="0.25">
      <c r="A33" t="s">
        <v>81</v>
      </c>
      <c r="B33" t="s">
        <v>1241</v>
      </c>
      <c r="C33" t="s">
        <v>1235</v>
      </c>
      <c r="D33" t="s">
        <v>1138</v>
      </c>
      <c r="E33">
        <v>42202.902032291706</v>
      </c>
      <c r="F33">
        <f>VLOOKUP(Tabla1[[#This Row],[ASESOR]],DATA_MAYO_2026[[ASER_]:[R_M]],24,0)</f>
        <v>600</v>
      </c>
      <c r="G33">
        <f>Tabla1[[#This Row],[RECUPEROS]]/Tabla1[[#This Row],[METAS]]</f>
        <v>1.4217031794185807E-2</v>
      </c>
    </row>
    <row r="34" spans="1:7" x14ac:dyDescent="0.25">
      <c r="A34" t="s">
        <v>50</v>
      </c>
      <c r="B34" t="s">
        <v>1241</v>
      </c>
      <c r="C34" t="s">
        <v>1235</v>
      </c>
      <c r="D34" t="s">
        <v>1138</v>
      </c>
      <c r="E34">
        <v>7502.7381390740802</v>
      </c>
      <c r="F34">
        <f>VLOOKUP(Tabla1[[#This Row],[ASESOR]],DATA_MAYO_2026[[ASER_]:[R_M]],24,0)</f>
        <v>5600</v>
      </c>
      <c r="G34">
        <f>Tabla1[[#This Row],[RECUPEROS]]/Tabla1[[#This Row],[METAS]]</f>
        <v>0.74639416919475499</v>
      </c>
    </row>
    <row r="35" spans="1:7" x14ac:dyDescent="0.25">
      <c r="A35" t="s">
        <v>11</v>
      </c>
      <c r="B35" t="s">
        <v>1241</v>
      </c>
      <c r="C35" t="s">
        <v>1236</v>
      </c>
      <c r="D35" t="s">
        <v>1137</v>
      </c>
      <c r="E35">
        <v>25321.741219375021</v>
      </c>
      <c r="F35">
        <f>VLOOKUP(Tabla1[[#This Row],[ASESOR]],DATA_MAYO_2026[[ASER_]:[R_M]],24,0)</f>
        <v>13977</v>
      </c>
      <c r="G35">
        <f>Tabla1[[#This Row],[RECUPEROS]]/Tabla1[[#This Row],[METAS]]</f>
        <v>0.55197625940926398</v>
      </c>
    </row>
    <row r="36" spans="1:7" x14ac:dyDescent="0.25">
      <c r="A36" t="s">
        <v>60</v>
      </c>
      <c r="B36" t="s">
        <v>1241</v>
      </c>
      <c r="C36" t="s">
        <v>1236</v>
      </c>
      <c r="D36" t="s">
        <v>1137</v>
      </c>
      <c r="E36">
        <v>45016.428834444487</v>
      </c>
      <c r="F36">
        <f>VLOOKUP(Tabla1[[#This Row],[ASESOR]],DATA_MAYO_2026[[ASER_]:[R_M]],24,0)</f>
        <v>32015.3</v>
      </c>
      <c r="G36">
        <f>Tabla1[[#This Row],[RECUPEROS]]/Tabla1[[#This Row],[METAS]]</f>
        <v>0.71119146562562008</v>
      </c>
    </row>
    <row r="37" spans="1:7" x14ac:dyDescent="0.25">
      <c r="A37" t="s">
        <v>78</v>
      </c>
      <c r="B37" t="s">
        <v>1241</v>
      </c>
      <c r="C37" t="s">
        <v>1236</v>
      </c>
      <c r="D37" t="s">
        <v>1137</v>
      </c>
      <c r="E37">
        <v>44834.41242829393</v>
      </c>
      <c r="F37" t="e">
        <f>VLOOKUP(Tabla1[[#This Row],[ASESOR]],DATA_MAYO_2026[[ASER_]:[R_M]],24,0)</f>
        <v>#N/A</v>
      </c>
      <c r="G37" t="e">
        <f>Tabla1[[#This Row],[RECUPEROS]]/Tabla1[[#This Row],[METAS]]</f>
        <v>#N/A</v>
      </c>
    </row>
    <row r="38" spans="1:7" x14ac:dyDescent="0.25">
      <c r="A38" t="s">
        <v>599</v>
      </c>
      <c r="B38" t="s">
        <v>1241</v>
      </c>
      <c r="C38" t="s">
        <v>1236</v>
      </c>
      <c r="D38" t="s">
        <v>1137</v>
      </c>
      <c r="E38">
        <v>7502.7381390740802</v>
      </c>
      <c r="F38">
        <f>VLOOKUP(Tabla1[[#This Row],[ASESOR]],DATA_MAYO_2026[[ASER_]:[R_M]],24,0)</f>
        <v>699</v>
      </c>
      <c r="G38">
        <f>Tabla1[[#This Row],[RECUPEROS]]/Tabla1[[#This Row],[METAS]]</f>
        <v>9.3165986476273874E-2</v>
      </c>
    </row>
    <row r="39" spans="1:7" x14ac:dyDescent="0.25">
      <c r="A39" t="s">
        <v>58</v>
      </c>
      <c r="B39" t="s">
        <v>1241</v>
      </c>
      <c r="C39" t="s">
        <v>1237</v>
      </c>
      <c r="D39" t="s">
        <v>1136</v>
      </c>
      <c r="E39">
        <v>24071.284862862674</v>
      </c>
      <c r="F39">
        <f>VLOOKUP(Tabla1[[#This Row],[ASESOR]],DATA_MAYO_2026[[ASER_]:[R_M]],24,0)</f>
        <v>4423</v>
      </c>
      <c r="G39">
        <f>Tabla1[[#This Row],[RECUPEROS]]/Tabla1[[#This Row],[METAS]]</f>
        <v>0.18374590410102418</v>
      </c>
    </row>
    <row r="40" spans="1:7" x14ac:dyDescent="0.25">
      <c r="A40" t="s">
        <v>73</v>
      </c>
      <c r="B40" t="s">
        <v>1241</v>
      </c>
      <c r="C40" t="s">
        <v>1237</v>
      </c>
      <c r="D40" t="s">
        <v>1136</v>
      </c>
      <c r="E40">
        <v>7502.7381390740802</v>
      </c>
      <c r="F40">
        <f>VLOOKUP(Tabla1[[#This Row],[ASESOR]],DATA_MAYO_2026[[ASER_]:[R_M]],24,0)</f>
        <v>2978</v>
      </c>
      <c r="G40">
        <f>Tabla1[[#This Row],[RECUPEROS]]/Tabla1[[#This Row],[METAS]]</f>
        <v>0.39692175640392507</v>
      </c>
    </row>
    <row r="41" spans="1:7" x14ac:dyDescent="0.25">
      <c r="A41" t="s">
        <v>109</v>
      </c>
      <c r="B41" t="s">
        <v>1241</v>
      </c>
      <c r="C41" t="s">
        <v>1237</v>
      </c>
      <c r="D41" t="s">
        <v>1136</v>
      </c>
      <c r="E41">
        <v>18444.231258557116</v>
      </c>
      <c r="F41">
        <f>VLOOKUP(Tabla1[[#This Row],[ASESOR]],DATA_MAYO_2026[[ASER_]:[R_M]],24,0)</f>
        <v>2000</v>
      </c>
      <c r="G41">
        <f>Tabla1[[#This Row],[RECUPEROS]]/Tabla1[[#This Row],[METAS]]</f>
        <v>0.1084349882607392</v>
      </c>
    </row>
    <row r="42" spans="1:7" x14ac:dyDescent="0.25">
      <c r="A42" t="s">
        <v>25</v>
      </c>
      <c r="B42" t="s">
        <v>1241</v>
      </c>
      <c r="C42" t="s">
        <v>1237</v>
      </c>
      <c r="D42" t="s">
        <v>1136</v>
      </c>
      <c r="E42">
        <v>42202.902032291706</v>
      </c>
      <c r="F42">
        <f>VLOOKUP(Tabla1[[#This Row],[ASESOR]],DATA_MAYO_2026[[ASER_]:[R_M]],24,0)</f>
        <v>20065</v>
      </c>
      <c r="G42">
        <f>Tabla1[[#This Row],[RECUPEROS]]/Tabla1[[#This Row],[METAS]]</f>
        <v>0.47544123825056372</v>
      </c>
    </row>
    <row r="43" spans="1:7" x14ac:dyDescent="0.25">
      <c r="A43" t="s">
        <v>32</v>
      </c>
      <c r="B43" t="s">
        <v>1241</v>
      </c>
      <c r="C43" t="s">
        <v>1238</v>
      </c>
      <c r="D43" t="s">
        <v>1135</v>
      </c>
      <c r="E43">
        <v>24071.284862862674</v>
      </c>
      <c r="F43">
        <f>VLOOKUP(Tabla1[[#This Row],[ASESOR]],DATA_MAYO_2026[[ASER_]:[R_M]],24,0)</f>
        <v>8680</v>
      </c>
      <c r="G43">
        <f>Tabla1[[#This Row],[RECUPEROS]]/Tabla1[[#This Row],[METAS]]</f>
        <v>0.3605956245979855</v>
      </c>
    </row>
    <row r="44" spans="1:7" x14ac:dyDescent="0.25">
      <c r="A44" t="s">
        <v>26</v>
      </c>
      <c r="B44" t="s">
        <v>1241</v>
      </c>
      <c r="C44" t="s">
        <v>1238</v>
      </c>
      <c r="D44" t="s">
        <v>1135</v>
      </c>
      <c r="E44">
        <v>18444.231258557116</v>
      </c>
      <c r="F44">
        <f>VLOOKUP(Tabla1[[#This Row],[ASESOR]],DATA_MAYO_2026[[ASER_]:[R_M]],24,0)</f>
        <v>10869</v>
      </c>
      <c r="G44">
        <f>Tabla1[[#This Row],[RECUPEROS]]/Tabla1[[#This Row],[METAS]]</f>
        <v>0.58928994370298726</v>
      </c>
    </row>
    <row r="45" spans="1:7" x14ac:dyDescent="0.25">
      <c r="A45" t="s">
        <v>22</v>
      </c>
      <c r="B45" t="s">
        <v>1241</v>
      </c>
      <c r="C45" t="s">
        <v>1238</v>
      </c>
      <c r="D45" t="s">
        <v>1135</v>
      </c>
      <c r="E45">
        <v>24071.284862862674</v>
      </c>
      <c r="F45">
        <f>VLOOKUP(Tabla1[[#This Row],[ASESOR]],DATA_MAYO_2026[[ASER_]:[R_M]],24,0)</f>
        <v>5335</v>
      </c>
      <c r="G45">
        <f>Tabla1[[#This Row],[RECUPEROS]]/Tabla1[[#This Row],[METAS]]</f>
        <v>0.22163337064864663</v>
      </c>
    </row>
    <row r="46" spans="1:7" x14ac:dyDescent="0.25">
      <c r="A46" t="s">
        <v>42</v>
      </c>
      <c r="B46" t="s">
        <v>1241</v>
      </c>
      <c r="C46" t="s">
        <v>1238</v>
      </c>
      <c r="D46" t="s">
        <v>1135</v>
      </c>
      <c r="E46">
        <v>24071.284862862674</v>
      </c>
      <c r="F46">
        <f>VLOOKUP(Tabla1[[#This Row],[ASESOR]],DATA_MAYO_2026[[ASER_]:[R_M]],24,0)</f>
        <v>11000</v>
      </c>
      <c r="G46">
        <f>Tabla1[[#This Row],[RECUPEROS]]/Tabla1[[#This Row],[METAS]]</f>
        <v>0.45697602195597242</v>
      </c>
    </row>
    <row r="47" spans="1:7" x14ac:dyDescent="0.25">
      <c r="A47" t="s">
        <v>34</v>
      </c>
      <c r="B47" t="s">
        <v>1241</v>
      </c>
      <c r="C47" t="s">
        <v>1239</v>
      </c>
      <c r="D47" t="s">
        <v>1134</v>
      </c>
      <c r="E47">
        <v>25321.741219375021</v>
      </c>
      <c r="F47">
        <f>VLOOKUP(Tabla1[[#This Row],[ASESOR]],DATA_MAYO_2026[[ASER_]:[R_M]],24,0)</f>
        <v>4700</v>
      </c>
      <c r="G47">
        <f>Tabla1[[#This Row],[RECUPEROS]]/Tabla1[[#This Row],[METAS]]</f>
        <v>0.18561124842409252</v>
      </c>
    </row>
    <row r="48" spans="1:7" x14ac:dyDescent="0.25">
      <c r="A48" t="s">
        <v>24</v>
      </c>
      <c r="B48" t="s">
        <v>1241</v>
      </c>
      <c r="C48" t="s">
        <v>1239</v>
      </c>
      <c r="D48" t="s">
        <v>1134</v>
      </c>
      <c r="E48">
        <v>42202.902032291706</v>
      </c>
      <c r="F48">
        <f>VLOOKUP(Tabla1[[#This Row],[ASESOR]],DATA_MAYO_2026[[ASER_]:[R_M]],24,0)</f>
        <v>16950</v>
      </c>
      <c r="G48">
        <f>Tabla1[[#This Row],[RECUPEROS]]/Tabla1[[#This Row],[METAS]]</f>
        <v>0.40163114818574908</v>
      </c>
    </row>
    <row r="49" spans="1:7" x14ac:dyDescent="0.25">
      <c r="A49" t="s">
        <v>105</v>
      </c>
      <c r="B49" t="s">
        <v>1241</v>
      </c>
      <c r="C49" t="s">
        <v>1239</v>
      </c>
      <c r="D49" t="s">
        <v>1134</v>
      </c>
      <c r="E49">
        <v>25321.741219375021</v>
      </c>
      <c r="F49">
        <f>VLOOKUP(Tabla1[[#This Row],[ASESOR]],DATA_MAYO_2026[[ASER_]:[R_M]],24,0)</f>
        <v>5500</v>
      </c>
      <c r="G49">
        <f>Tabla1[[#This Row],[RECUPEROS]]/Tabla1[[#This Row],[METAS]]</f>
        <v>0.21720465241117207</v>
      </c>
    </row>
    <row r="50" spans="1:7" x14ac:dyDescent="0.25">
      <c r="A50" t="s">
        <v>600</v>
      </c>
      <c r="B50" t="s">
        <v>1241</v>
      </c>
      <c r="C50" t="s">
        <v>1239</v>
      </c>
      <c r="D50" t="s">
        <v>1134</v>
      </c>
      <c r="E50">
        <v>7502.7381390740802</v>
      </c>
      <c r="F50">
        <f>VLOOKUP(Tabla1[[#This Row],[ASESOR]],DATA_MAYO_2026[[ASER_]:[R_M]],24,0)</f>
        <v>1611</v>
      </c>
      <c r="G50">
        <f>Tabla1[[#This Row],[RECUPEROS]]/Tabla1[[#This Row],[METAS]]</f>
        <v>0.21472160831656253</v>
      </c>
    </row>
    <row r="51" spans="1:7" x14ac:dyDescent="0.25">
      <c r="A51" t="s">
        <v>16</v>
      </c>
      <c r="B51" t="s">
        <v>1242</v>
      </c>
      <c r="C51" t="s">
        <v>1198</v>
      </c>
      <c r="D51" t="s">
        <v>1215</v>
      </c>
      <c r="E51" t="s">
        <v>548</v>
      </c>
      <c r="F51" t="e">
        <f>VLOOKUP(Tabla1[[#This Row],[ASESOR]],DATA_MAYO_2026[[ASER_]:[R_M]],24,0)</f>
        <v>#N/A</v>
      </c>
      <c r="G51" t="e">
        <f>Tabla1[[#This Row],[RECUPEROS]]/Tabla1[[#This Row],[METAS]]</f>
        <v>#N/A</v>
      </c>
    </row>
    <row r="52" spans="1:7" x14ac:dyDescent="0.25">
      <c r="A52" t="s">
        <v>91</v>
      </c>
      <c r="B52" t="s">
        <v>1242</v>
      </c>
      <c r="C52" t="s">
        <v>1198</v>
      </c>
      <c r="D52" t="s">
        <v>1215</v>
      </c>
      <c r="E52" t="s">
        <v>548</v>
      </c>
      <c r="F52" t="e">
        <f>VLOOKUP(Tabla1[[#This Row],[ASESOR]],DATA_MAYO_2026[[ASER_]:[R_M]],24,0)</f>
        <v>#N/A</v>
      </c>
      <c r="G52" t="e">
        <f>Tabla1[[#This Row],[RECUPEROS]]/Tabla1[[#This Row],[METAS]]</f>
        <v>#N/A</v>
      </c>
    </row>
    <row r="53" spans="1:7" x14ac:dyDescent="0.25">
      <c r="A53" t="s">
        <v>1155</v>
      </c>
      <c r="B53" t="s">
        <v>1242</v>
      </c>
      <c r="C53" t="s">
        <v>1198</v>
      </c>
      <c r="D53" t="s">
        <v>1215</v>
      </c>
      <c r="E53" t="s">
        <v>548</v>
      </c>
      <c r="F53" t="e">
        <f>VLOOKUP(Tabla1[[#This Row],[ASESOR]],DATA_MAYO_2026[[ASER_]:[R_M]],24,0)</f>
        <v>#N/A</v>
      </c>
      <c r="G53" t="e">
        <f>Tabla1[[#This Row],[RECUPEROS]]/Tabla1[[#This Row],[METAS]]</f>
        <v>#N/A</v>
      </c>
    </row>
    <row r="54" spans="1:7" x14ac:dyDescent="0.25">
      <c r="A54" t="s">
        <v>1156</v>
      </c>
      <c r="B54" t="s">
        <v>1242</v>
      </c>
      <c r="C54" t="s">
        <v>1198</v>
      </c>
      <c r="D54" t="s">
        <v>1215</v>
      </c>
      <c r="E54" t="s">
        <v>548</v>
      </c>
      <c r="F54" t="e">
        <f>VLOOKUP(Tabla1[[#This Row],[ASESOR]],DATA_MAYO_2026[[ASER_]:[R_M]],24,0)</f>
        <v>#N/A</v>
      </c>
      <c r="G54" t="e">
        <f>Tabla1[[#This Row],[RECUPEROS]]/Tabla1[[#This Row],[METAS]]</f>
        <v>#N/A</v>
      </c>
    </row>
    <row r="55" spans="1:7" x14ac:dyDescent="0.25">
      <c r="A55" t="s">
        <v>1157</v>
      </c>
      <c r="B55" t="s">
        <v>1242</v>
      </c>
      <c r="C55" t="s">
        <v>1198</v>
      </c>
      <c r="D55" t="s">
        <v>1215</v>
      </c>
      <c r="E55" t="s">
        <v>548</v>
      </c>
      <c r="F55" t="e">
        <f>VLOOKUP(Tabla1[[#This Row],[ASESOR]],DATA_MAYO_2026[[ASER_]:[R_M]],24,0)</f>
        <v>#N/A</v>
      </c>
      <c r="G55" t="e">
        <f>Tabla1[[#This Row],[RECUPEROS]]/Tabla1[[#This Row],[METAS]]</f>
        <v>#N/A</v>
      </c>
    </row>
    <row r="56" spans="1:7" x14ac:dyDescent="0.25">
      <c r="A56" t="s">
        <v>66</v>
      </c>
      <c r="B56" t="s">
        <v>1242</v>
      </c>
      <c r="C56" t="s">
        <v>1199</v>
      </c>
      <c r="D56" t="s">
        <v>1216</v>
      </c>
      <c r="E56" t="s">
        <v>548</v>
      </c>
      <c r="F56" t="e">
        <f>VLOOKUP(Tabla1[[#This Row],[ASESOR]],DATA_MAYO_2026[[ASER_]:[R_M]],24,0)</f>
        <v>#N/A</v>
      </c>
      <c r="G56" t="e">
        <f>Tabla1[[#This Row],[RECUPEROS]]/Tabla1[[#This Row],[METAS]]</f>
        <v>#N/A</v>
      </c>
    </row>
    <row r="57" spans="1:7" x14ac:dyDescent="0.25">
      <c r="A57" t="s">
        <v>1158</v>
      </c>
      <c r="B57" t="s">
        <v>1242</v>
      </c>
      <c r="C57" t="s">
        <v>1199</v>
      </c>
      <c r="D57" t="s">
        <v>1216</v>
      </c>
      <c r="E57" t="s">
        <v>548</v>
      </c>
      <c r="F57" t="e">
        <f>VLOOKUP(Tabla1[[#This Row],[ASESOR]],DATA_MAYO_2026[[ASER_]:[R_M]],24,0)</f>
        <v>#N/A</v>
      </c>
      <c r="G57" t="e">
        <f>Tabla1[[#This Row],[RECUPEROS]]/Tabla1[[#This Row],[METAS]]</f>
        <v>#N/A</v>
      </c>
    </row>
    <row r="58" spans="1:7" x14ac:dyDescent="0.25">
      <c r="A58" t="s">
        <v>1159</v>
      </c>
      <c r="B58" t="s">
        <v>1242</v>
      </c>
      <c r="C58" t="s">
        <v>1199</v>
      </c>
      <c r="D58" t="s">
        <v>1216</v>
      </c>
      <c r="E58" t="s">
        <v>548</v>
      </c>
      <c r="F58" t="e">
        <f>VLOOKUP(Tabla1[[#This Row],[ASESOR]],DATA_MAYO_2026[[ASER_]:[R_M]],24,0)</f>
        <v>#N/A</v>
      </c>
      <c r="G58" t="e">
        <f>Tabla1[[#This Row],[RECUPEROS]]/Tabla1[[#This Row],[METAS]]</f>
        <v>#N/A</v>
      </c>
    </row>
    <row r="59" spans="1:7" x14ac:dyDescent="0.25">
      <c r="A59" t="s">
        <v>1160</v>
      </c>
      <c r="B59" t="s">
        <v>1242</v>
      </c>
      <c r="C59" t="s">
        <v>1199</v>
      </c>
      <c r="D59" t="s">
        <v>1216</v>
      </c>
      <c r="E59" t="s">
        <v>548</v>
      </c>
      <c r="F59" t="e">
        <f>VLOOKUP(Tabla1[[#This Row],[ASESOR]],DATA_MAYO_2026[[ASER_]:[R_M]],24,0)</f>
        <v>#N/A</v>
      </c>
      <c r="G59" t="e">
        <f>Tabla1[[#This Row],[RECUPEROS]]/Tabla1[[#This Row],[METAS]]</f>
        <v>#N/A</v>
      </c>
    </row>
    <row r="60" spans="1:7" x14ac:dyDescent="0.25">
      <c r="A60" t="s">
        <v>1161</v>
      </c>
      <c r="B60" t="s">
        <v>1242</v>
      </c>
      <c r="C60" t="s">
        <v>1200</v>
      </c>
      <c r="D60" t="s">
        <v>1217</v>
      </c>
      <c r="E60" t="s">
        <v>548</v>
      </c>
      <c r="F60" t="e">
        <f>VLOOKUP(Tabla1[[#This Row],[ASESOR]],DATA_MAYO_2026[[ASER_]:[R_M]],24,0)</f>
        <v>#N/A</v>
      </c>
      <c r="G60" t="e">
        <f>Tabla1[[#This Row],[RECUPEROS]]/Tabla1[[#This Row],[METAS]]</f>
        <v>#N/A</v>
      </c>
    </row>
    <row r="61" spans="1:7" x14ac:dyDescent="0.25">
      <c r="A61" t="s">
        <v>1162</v>
      </c>
      <c r="B61" t="s">
        <v>1242</v>
      </c>
      <c r="C61" t="s">
        <v>1200</v>
      </c>
      <c r="D61" t="s">
        <v>1217</v>
      </c>
      <c r="E61" t="s">
        <v>548</v>
      </c>
      <c r="F61" t="e">
        <f>VLOOKUP(Tabla1[[#This Row],[ASESOR]],DATA_MAYO_2026[[ASER_]:[R_M]],24,0)</f>
        <v>#N/A</v>
      </c>
      <c r="G61" t="e">
        <f>Tabla1[[#This Row],[RECUPEROS]]/Tabla1[[#This Row],[METAS]]</f>
        <v>#N/A</v>
      </c>
    </row>
    <row r="62" spans="1:7" x14ac:dyDescent="0.25">
      <c r="A62" t="s">
        <v>1163</v>
      </c>
      <c r="B62" t="s">
        <v>1242</v>
      </c>
      <c r="C62" t="s">
        <v>1200</v>
      </c>
      <c r="D62" t="s">
        <v>1217</v>
      </c>
      <c r="E62" t="s">
        <v>548</v>
      </c>
      <c r="F62" t="e">
        <f>VLOOKUP(Tabla1[[#This Row],[ASESOR]],DATA_MAYO_2026[[ASER_]:[R_M]],24,0)</f>
        <v>#N/A</v>
      </c>
      <c r="G62" t="e">
        <f>Tabla1[[#This Row],[RECUPEROS]]/Tabla1[[#This Row],[METAS]]</f>
        <v>#N/A</v>
      </c>
    </row>
    <row r="63" spans="1:7" x14ac:dyDescent="0.25">
      <c r="A63" t="s">
        <v>1164</v>
      </c>
      <c r="B63" t="s">
        <v>1242</v>
      </c>
      <c r="C63" t="s">
        <v>1200</v>
      </c>
      <c r="D63" t="s">
        <v>1217</v>
      </c>
      <c r="E63" t="s">
        <v>548</v>
      </c>
      <c r="F63" t="e">
        <f>VLOOKUP(Tabla1[[#This Row],[ASESOR]],DATA_MAYO_2026[[ASER_]:[R_M]],24,0)</f>
        <v>#N/A</v>
      </c>
      <c r="G63" t="e">
        <f>Tabla1[[#This Row],[RECUPEROS]]/Tabla1[[#This Row],[METAS]]</f>
        <v>#N/A</v>
      </c>
    </row>
    <row r="64" spans="1:7" x14ac:dyDescent="0.25">
      <c r="A64" t="s">
        <v>1165</v>
      </c>
      <c r="B64" t="s">
        <v>1242</v>
      </c>
      <c r="C64" t="s">
        <v>1201</v>
      </c>
      <c r="D64" t="s">
        <v>1218</v>
      </c>
      <c r="E64" t="s">
        <v>548</v>
      </c>
      <c r="F64" t="e">
        <f>VLOOKUP(Tabla1[[#This Row],[ASESOR]],DATA_MAYO_2026[[ASER_]:[R_M]],24,0)</f>
        <v>#N/A</v>
      </c>
      <c r="G64" t="e">
        <f>Tabla1[[#This Row],[RECUPEROS]]/Tabla1[[#This Row],[METAS]]</f>
        <v>#N/A</v>
      </c>
    </row>
    <row r="65" spans="1:7" x14ac:dyDescent="0.25">
      <c r="A65" t="s">
        <v>1166</v>
      </c>
      <c r="B65" t="s">
        <v>1242</v>
      </c>
      <c r="C65" t="s">
        <v>1201</v>
      </c>
      <c r="D65" t="s">
        <v>1218</v>
      </c>
      <c r="E65" t="s">
        <v>548</v>
      </c>
      <c r="F65" t="e">
        <f>VLOOKUP(Tabla1[[#This Row],[ASESOR]],DATA_MAYO_2026[[ASER_]:[R_M]],24,0)</f>
        <v>#N/A</v>
      </c>
      <c r="G65" t="e">
        <f>Tabla1[[#This Row],[RECUPEROS]]/Tabla1[[#This Row],[METAS]]</f>
        <v>#N/A</v>
      </c>
    </row>
    <row r="66" spans="1:7" x14ac:dyDescent="0.25">
      <c r="A66" t="s">
        <v>1167</v>
      </c>
      <c r="B66" t="s">
        <v>1242</v>
      </c>
      <c r="C66" t="s">
        <v>1201</v>
      </c>
      <c r="D66" t="s">
        <v>1218</v>
      </c>
      <c r="E66" t="s">
        <v>548</v>
      </c>
      <c r="F66" t="e">
        <f>VLOOKUP(Tabla1[[#This Row],[ASESOR]],DATA_MAYO_2026[[ASER_]:[R_M]],24,0)</f>
        <v>#N/A</v>
      </c>
      <c r="G66" t="e">
        <f>Tabla1[[#This Row],[RECUPEROS]]/Tabla1[[#This Row],[METAS]]</f>
        <v>#N/A</v>
      </c>
    </row>
    <row r="67" spans="1:7" x14ac:dyDescent="0.25">
      <c r="A67" t="s">
        <v>1168</v>
      </c>
      <c r="B67" t="s">
        <v>1242</v>
      </c>
      <c r="C67" t="s">
        <v>1201</v>
      </c>
      <c r="D67" t="s">
        <v>1218</v>
      </c>
      <c r="E67" t="s">
        <v>548</v>
      </c>
      <c r="F67" t="e">
        <f>VLOOKUP(Tabla1[[#This Row],[ASESOR]],DATA_MAYO_2026[[ASER_]:[R_M]],24,0)</f>
        <v>#N/A</v>
      </c>
      <c r="G67" t="e">
        <f>Tabla1[[#This Row],[RECUPEROS]]/Tabla1[[#This Row],[METAS]]</f>
        <v>#N/A</v>
      </c>
    </row>
    <row r="68" spans="1:7" x14ac:dyDescent="0.25">
      <c r="A68" t="s">
        <v>28</v>
      </c>
      <c r="B68" t="s">
        <v>1242</v>
      </c>
      <c r="C68" t="s">
        <v>1202</v>
      </c>
      <c r="D68" t="s">
        <v>1219</v>
      </c>
      <c r="E68" t="s">
        <v>548</v>
      </c>
      <c r="F68" t="e">
        <f>VLOOKUP(Tabla1[[#This Row],[ASESOR]],DATA_MAYO_2026[[ASER_]:[R_M]],24,0)</f>
        <v>#N/A</v>
      </c>
      <c r="G68" t="e">
        <f>Tabla1[[#This Row],[RECUPEROS]]/Tabla1[[#This Row],[METAS]]</f>
        <v>#N/A</v>
      </c>
    </row>
    <row r="69" spans="1:7" x14ac:dyDescent="0.25">
      <c r="A69" t="s">
        <v>1169</v>
      </c>
      <c r="B69" t="s">
        <v>1242</v>
      </c>
      <c r="C69" t="s">
        <v>1202</v>
      </c>
      <c r="D69" t="s">
        <v>1219</v>
      </c>
      <c r="E69" t="s">
        <v>548</v>
      </c>
      <c r="F69" t="e">
        <f>VLOOKUP(Tabla1[[#This Row],[ASESOR]],DATA_MAYO_2026[[ASER_]:[R_M]],24,0)</f>
        <v>#N/A</v>
      </c>
      <c r="G69" t="e">
        <f>Tabla1[[#This Row],[RECUPEROS]]/Tabla1[[#This Row],[METAS]]</f>
        <v>#N/A</v>
      </c>
    </row>
    <row r="70" spans="1:7" x14ac:dyDescent="0.25">
      <c r="A70" t="s">
        <v>1170</v>
      </c>
      <c r="B70" t="s">
        <v>1242</v>
      </c>
      <c r="C70" t="s">
        <v>1202</v>
      </c>
      <c r="D70" t="s">
        <v>1219</v>
      </c>
      <c r="E70" t="s">
        <v>548</v>
      </c>
      <c r="F70" t="e">
        <f>VLOOKUP(Tabla1[[#This Row],[ASESOR]],DATA_MAYO_2026[[ASER_]:[R_M]],24,0)</f>
        <v>#N/A</v>
      </c>
      <c r="G70" t="e">
        <f>Tabla1[[#This Row],[RECUPEROS]]/Tabla1[[#This Row],[METAS]]</f>
        <v>#N/A</v>
      </c>
    </row>
    <row r="71" spans="1:7" x14ac:dyDescent="0.25">
      <c r="A71" t="s">
        <v>1171</v>
      </c>
      <c r="B71" t="s">
        <v>1242</v>
      </c>
      <c r="C71" t="s">
        <v>1202</v>
      </c>
      <c r="D71" t="s">
        <v>1219</v>
      </c>
      <c r="E71" t="s">
        <v>548</v>
      </c>
      <c r="F71" t="e">
        <f>VLOOKUP(Tabla1[[#This Row],[ASESOR]],DATA_MAYO_2026[[ASER_]:[R_M]],24,0)</f>
        <v>#N/A</v>
      </c>
      <c r="G71" t="e">
        <f>Tabla1[[#This Row],[RECUPEROS]]/Tabla1[[#This Row],[METAS]]</f>
        <v>#N/A</v>
      </c>
    </row>
    <row r="72" spans="1:7" x14ac:dyDescent="0.25">
      <c r="A72" t="s">
        <v>1172</v>
      </c>
      <c r="B72" t="s">
        <v>1242</v>
      </c>
      <c r="C72" t="s">
        <v>1203</v>
      </c>
      <c r="D72" t="s">
        <v>1220</v>
      </c>
      <c r="E72" t="s">
        <v>548</v>
      </c>
      <c r="F72" t="e">
        <f>VLOOKUP(Tabla1[[#This Row],[ASESOR]],DATA_MAYO_2026[[ASER_]:[R_M]],24,0)</f>
        <v>#N/A</v>
      </c>
      <c r="G72" t="e">
        <f>Tabla1[[#This Row],[RECUPEROS]]/Tabla1[[#This Row],[METAS]]</f>
        <v>#N/A</v>
      </c>
    </row>
    <row r="73" spans="1:7" x14ac:dyDescent="0.25">
      <c r="A73" t="s">
        <v>1173</v>
      </c>
      <c r="B73" t="s">
        <v>1242</v>
      </c>
      <c r="C73" t="s">
        <v>1203</v>
      </c>
      <c r="D73" t="s">
        <v>1220</v>
      </c>
      <c r="E73" t="s">
        <v>548</v>
      </c>
      <c r="F73" t="e">
        <f>VLOOKUP(Tabla1[[#This Row],[ASESOR]],DATA_MAYO_2026[[ASER_]:[R_M]],24,0)</f>
        <v>#N/A</v>
      </c>
      <c r="G73" t="e">
        <f>Tabla1[[#This Row],[RECUPEROS]]/Tabla1[[#This Row],[METAS]]</f>
        <v>#N/A</v>
      </c>
    </row>
    <row r="74" spans="1:7" x14ac:dyDescent="0.25">
      <c r="A74" t="s">
        <v>1174</v>
      </c>
      <c r="B74" t="s">
        <v>1242</v>
      </c>
      <c r="C74" t="s">
        <v>1203</v>
      </c>
      <c r="D74" t="s">
        <v>1220</v>
      </c>
      <c r="E74" t="s">
        <v>548</v>
      </c>
      <c r="F74" t="e">
        <f>VLOOKUP(Tabla1[[#This Row],[ASESOR]],DATA_MAYO_2026[[ASER_]:[R_M]],24,0)</f>
        <v>#N/A</v>
      </c>
      <c r="G74" t="e">
        <f>Tabla1[[#This Row],[RECUPEROS]]/Tabla1[[#This Row],[METAS]]</f>
        <v>#N/A</v>
      </c>
    </row>
    <row r="75" spans="1:7" x14ac:dyDescent="0.25">
      <c r="A75" t="s">
        <v>1175</v>
      </c>
      <c r="B75" t="s">
        <v>1242</v>
      </c>
      <c r="C75" t="s">
        <v>1203</v>
      </c>
      <c r="D75" t="s">
        <v>1220</v>
      </c>
      <c r="E75" t="s">
        <v>548</v>
      </c>
      <c r="F75" t="e">
        <f>VLOOKUP(Tabla1[[#This Row],[ASESOR]],DATA_MAYO_2026[[ASER_]:[R_M]],24,0)</f>
        <v>#N/A</v>
      </c>
      <c r="G75" t="e">
        <f>Tabla1[[#This Row],[RECUPEROS]]/Tabla1[[#This Row],[METAS]]</f>
        <v>#N/A</v>
      </c>
    </row>
    <row r="76" spans="1:7" x14ac:dyDescent="0.25">
      <c r="A76" t="s">
        <v>1176</v>
      </c>
      <c r="B76" t="s">
        <v>1242</v>
      </c>
      <c r="C76" t="s">
        <v>1204</v>
      </c>
      <c r="D76" t="s">
        <v>1221</v>
      </c>
      <c r="E76" t="s">
        <v>548</v>
      </c>
      <c r="F76" t="e">
        <f>VLOOKUP(Tabla1[[#This Row],[ASESOR]],DATA_MAYO_2026[[ASER_]:[R_M]],24,0)</f>
        <v>#N/A</v>
      </c>
      <c r="G76" t="e">
        <f>Tabla1[[#This Row],[RECUPEROS]]/Tabla1[[#This Row],[METAS]]</f>
        <v>#N/A</v>
      </c>
    </row>
    <row r="77" spans="1:7" x14ac:dyDescent="0.25">
      <c r="A77" t="s">
        <v>1177</v>
      </c>
      <c r="B77" t="s">
        <v>1242</v>
      </c>
      <c r="C77" t="s">
        <v>1204</v>
      </c>
      <c r="D77" t="s">
        <v>1221</v>
      </c>
      <c r="E77" t="s">
        <v>548</v>
      </c>
      <c r="F77" t="e">
        <f>VLOOKUP(Tabla1[[#This Row],[ASESOR]],DATA_MAYO_2026[[ASER_]:[R_M]],24,0)</f>
        <v>#N/A</v>
      </c>
      <c r="G77" t="e">
        <f>Tabla1[[#This Row],[RECUPEROS]]/Tabla1[[#This Row],[METAS]]</f>
        <v>#N/A</v>
      </c>
    </row>
    <row r="78" spans="1:7" x14ac:dyDescent="0.25">
      <c r="A78" t="s">
        <v>1178</v>
      </c>
      <c r="B78" t="s">
        <v>1242</v>
      </c>
      <c r="C78" t="s">
        <v>1204</v>
      </c>
      <c r="D78" t="s">
        <v>1221</v>
      </c>
      <c r="E78" t="s">
        <v>548</v>
      </c>
      <c r="F78" t="e">
        <f>VLOOKUP(Tabla1[[#This Row],[ASESOR]],DATA_MAYO_2026[[ASER_]:[R_M]],24,0)</f>
        <v>#N/A</v>
      </c>
      <c r="G78" t="e">
        <f>Tabla1[[#This Row],[RECUPEROS]]/Tabla1[[#This Row],[METAS]]</f>
        <v>#N/A</v>
      </c>
    </row>
    <row r="79" spans="1:7" x14ac:dyDescent="0.25">
      <c r="A79" t="s">
        <v>1179</v>
      </c>
      <c r="B79" t="s">
        <v>1242</v>
      </c>
      <c r="C79" t="s">
        <v>1204</v>
      </c>
      <c r="D79" t="s">
        <v>1221</v>
      </c>
      <c r="E79" t="s">
        <v>548</v>
      </c>
      <c r="F79" t="e">
        <f>VLOOKUP(Tabla1[[#This Row],[ASESOR]],DATA_MAYO_2026[[ASER_]:[R_M]],24,0)</f>
        <v>#N/A</v>
      </c>
      <c r="G79" t="e">
        <f>Tabla1[[#This Row],[RECUPEROS]]/Tabla1[[#This Row],[METAS]]</f>
        <v>#N/A</v>
      </c>
    </row>
    <row r="80" spans="1:7" x14ac:dyDescent="0.25">
      <c r="A80" t="s">
        <v>1180</v>
      </c>
      <c r="B80" t="s">
        <v>1242</v>
      </c>
      <c r="C80" t="s">
        <v>1205</v>
      </c>
      <c r="D80" t="s">
        <v>1222</v>
      </c>
      <c r="E80" t="s">
        <v>548</v>
      </c>
      <c r="F80" t="e">
        <f>VLOOKUP(Tabla1[[#This Row],[ASESOR]],DATA_MAYO_2026[[ASER_]:[R_M]],24,0)</f>
        <v>#N/A</v>
      </c>
      <c r="G80" t="e">
        <f>Tabla1[[#This Row],[RECUPEROS]]/Tabla1[[#This Row],[METAS]]</f>
        <v>#N/A</v>
      </c>
    </row>
    <row r="81" spans="1:7" x14ac:dyDescent="0.25">
      <c r="A81" t="s">
        <v>1181</v>
      </c>
      <c r="B81" t="s">
        <v>1242</v>
      </c>
      <c r="C81" t="s">
        <v>1205</v>
      </c>
      <c r="D81" t="s">
        <v>1222</v>
      </c>
      <c r="E81" t="s">
        <v>548</v>
      </c>
      <c r="F81" t="e">
        <f>VLOOKUP(Tabla1[[#This Row],[ASESOR]],DATA_MAYO_2026[[ASER_]:[R_M]],24,0)</f>
        <v>#N/A</v>
      </c>
      <c r="G81" t="e">
        <f>Tabla1[[#This Row],[RECUPEROS]]/Tabla1[[#This Row],[METAS]]</f>
        <v>#N/A</v>
      </c>
    </row>
    <row r="82" spans="1:7" x14ac:dyDescent="0.25">
      <c r="A82" t="s">
        <v>1182</v>
      </c>
      <c r="B82" t="s">
        <v>1242</v>
      </c>
      <c r="C82" t="s">
        <v>1205</v>
      </c>
      <c r="D82" t="s">
        <v>1222</v>
      </c>
      <c r="E82" t="s">
        <v>548</v>
      </c>
      <c r="F82" t="e">
        <f>VLOOKUP(Tabla1[[#This Row],[ASESOR]],DATA_MAYO_2026[[ASER_]:[R_M]],24,0)</f>
        <v>#N/A</v>
      </c>
      <c r="G82" t="e">
        <f>Tabla1[[#This Row],[RECUPEROS]]/Tabla1[[#This Row],[METAS]]</f>
        <v>#N/A</v>
      </c>
    </row>
    <row r="83" spans="1:7" x14ac:dyDescent="0.25">
      <c r="A83" t="s">
        <v>1183</v>
      </c>
      <c r="B83" t="s">
        <v>1242</v>
      </c>
      <c r="C83" t="s">
        <v>1205</v>
      </c>
      <c r="D83" t="s">
        <v>1222</v>
      </c>
      <c r="E83" t="s">
        <v>548</v>
      </c>
      <c r="F83" t="e">
        <f>VLOOKUP(Tabla1[[#This Row],[ASESOR]],DATA_MAYO_2026[[ASER_]:[R_M]],24,0)</f>
        <v>#N/A</v>
      </c>
      <c r="G83" t="e">
        <f>Tabla1[[#This Row],[RECUPEROS]]/Tabla1[[#This Row],[METAS]]</f>
        <v>#N/A</v>
      </c>
    </row>
    <row r="84" spans="1:7" x14ac:dyDescent="0.25">
      <c r="A84" t="s">
        <v>1211</v>
      </c>
      <c r="B84" t="s">
        <v>1242</v>
      </c>
      <c r="C84" t="s">
        <v>1206</v>
      </c>
      <c r="D84" t="s">
        <v>1223</v>
      </c>
      <c r="E84" t="s">
        <v>548</v>
      </c>
      <c r="F84" t="e">
        <f>VLOOKUP(Tabla1[[#This Row],[ASESOR]],DATA_MAYO_2026[[ASER_]:[R_M]],24,0)</f>
        <v>#N/A</v>
      </c>
      <c r="G84" t="e">
        <f>Tabla1[[#This Row],[RECUPEROS]]/Tabla1[[#This Row],[METAS]]</f>
        <v>#N/A</v>
      </c>
    </row>
    <row r="85" spans="1:7" x14ac:dyDescent="0.25">
      <c r="A85" t="s">
        <v>1212</v>
      </c>
      <c r="B85" t="s">
        <v>1242</v>
      </c>
      <c r="C85" t="s">
        <v>1206</v>
      </c>
      <c r="D85" t="s">
        <v>1223</v>
      </c>
      <c r="E85" t="s">
        <v>548</v>
      </c>
      <c r="F85" t="e">
        <f>VLOOKUP(Tabla1[[#This Row],[ASESOR]],DATA_MAYO_2026[[ASER_]:[R_M]],24,0)</f>
        <v>#N/A</v>
      </c>
      <c r="G85" t="e">
        <f>Tabla1[[#This Row],[RECUPEROS]]/Tabla1[[#This Row],[METAS]]</f>
        <v>#N/A</v>
      </c>
    </row>
    <row r="86" spans="1:7" x14ac:dyDescent="0.25">
      <c r="A86" t="s">
        <v>1213</v>
      </c>
      <c r="B86" t="s">
        <v>1242</v>
      </c>
      <c r="C86" t="s">
        <v>1206</v>
      </c>
      <c r="D86" t="s">
        <v>1223</v>
      </c>
      <c r="E86" t="s">
        <v>548</v>
      </c>
      <c r="F86" t="e">
        <f>VLOOKUP(Tabla1[[#This Row],[ASESOR]],DATA_MAYO_2026[[ASER_]:[R_M]],24,0)</f>
        <v>#N/A</v>
      </c>
      <c r="G86" t="e">
        <f>Tabla1[[#This Row],[RECUPEROS]]/Tabla1[[#This Row],[METAS]]</f>
        <v>#N/A</v>
      </c>
    </row>
    <row r="87" spans="1:7" x14ac:dyDescent="0.25">
      <c r="A87" t="s">
        <v>1214</v>
      </c>
      <c r="B87" t="s">
        <v>1242</v>
      </c>
      <c r="C87" t="s">
        <v>1206</v>
      </c>
      <c r="D87" t="s">
        <v>1223</v>
      </c>
      <c r="E87" t="s">
        <v>548</v>
      </c>
      <c r="F87" t="e">
        <f>VLOOKUP(Tabla1[[#This Row],[ASESOR]],DATA_MAYO_2026[[ASER_]:[R_M]],24,0)</f>
        <v>#N/A</v>
      </c>
      <c r="G87" t="e">
        <f>Tabla1[[#This Row],[RECUPEROS]]/Tabla1[[#This Row],[METAS]]</f>
        <v>#N/A</v>
      </c>
    </row>
    <row r="88" spans="1:7" x14ac:dyDescent="0.25">
      <c r="A88" t="s">
        <v>1184</v>
      </c>
      <c r="B88" t="s">
        <v>1242</v>
      </c>
      <c r="C88" t="s">
        <v>1207</v>
      </c>
      <c r="D88" t="s">
        <v>1224</v>
      </c>
      <c r="E88" t="s">
        <v>548</v>
      </c>
      <c r="F88" t="e">
        <f>VLOOKUP(Tabla1[[#This Row],[ASESOR]],DATA_MAYO_2026[[ASER_]:[R_M]],24,0)</f>
        <v>#N/A</v>
      </c>
      <c r="G88" t="e">
        <f>Tabla1[[#This Row],[RECUPEROS]]/Tabla1[[#This Row],[METAS]]</f>
        <v>#N/A</v>
      </c>
    </row>
    <row r="89" spans="1:7" x14ac:dyDescent="0.25">
      <c r="A89" t="s">
        <v>1185</v>
      </c>
      <c r="B89" t="s">
        <v>1242</v>
      </c>
      <c r="C89" t="s">
        <v>1207</v>
      </c>
      <c r="D89" t="s">
        <v>1224</v>
      </c>
      <c r="E89" t="s">
        <v>548</v>
      </c>
      <c r="F89" t="e">
        <f>VLOOKUP(Tabla1[[#This Row],[ASESOR]],DATA_MAYO_2026[[ASER_]:[R_M]],24,0)</f>
        <v>#N/A</v>
      </c>
      <c r="G89" t="e">
        <f>Tabla1[[#This Row],[RECUPEROS]]/Tabla1[[#This Row],[METAS]]</f>
        <v>#N/A</v>
      </c>
    </row>
    <row r="90" spans="1:7" x14ac:dyDescent="0.25">
      <c r="A90" t="s">
        <v>1186</v>
      </c>
      <c r="B90" t="s">
        <v>1242</v>
      </c>
      <c r="C90" t="s">
        <v>1207</v>
      </c>
      <c r="D90" t="s">
        <v>1224</v>
      </c>
      <c r="E90" t="s">
        <v>548</v>
      </c>
      <c r="F90" t="e">
        <f>VLOOKUP(Tabla1[[#This Row],[ASESOR]],DATA_MAYO_2026[[ASER_]:[R_M]],24,0)</f>
        <v>#N/A</v>
      </c>
      <c r="G90" t="e">
        <f>Tabla1[[#This Row],[RECUPEROS]]/Tabla1[[#This Row],[METAS]]</f>
        <v>#N/A</v>
      </c>
    </row>
    <row r="91" spans="1:7" x14ac:dyDescent="0.25">
      <c r="A91" t="s">
        <v>1187</v>
      </c>
      <c r="B91" t="s">
        <v>1242</v>
      </c>
      <c r="C91" t="s">
        <v>1207</v>
      </c>
      <c r="D91" t="s">
        <v>1224</v>
      </c>
      <c r="E91" t="s">
        <v>548</v>
      </c>
      <c r="F91" t="e">
        <f>VLOOKUP(Tabla1[[#This Row],[ASESOR]],DATA_MAYO_2026[[ASER_]:[R_M]],24,0)</f>
        <v>#N/A</v>
      </c>
      <c r="G91" t="e">
        <f>Tabla1[[#This Row],[RECUPEROS]]/Tabla1[[#This Row],[METAS]]</f>
        <v>#N/A</v>
      </c>
    </row>
    <row r="92" spans="1:7" x14ac:dyDescent="0.25">
      <c r="A92" t="s">
        <v>1188</v>
      </c>
      <c r="B92" t="s">
        <v>1242</v>
      </c>
      <c r="C92" t="s">
        <v>1207</v>
      </c>
      <c r="D92" t="s">
        <v>1224</v>
      </c>
      <c r="E92" t="s">
        <v>548</v>
      </c>
      <c r="F92" t="e">
        <f>VLOOKUP(Tabla1[[#This Row],[ASESOR]],DATA_MAYO_2026[[ASER_]:[R_M]],24,0)</f>
        <v>#N/A</v>
      </c>
      <c r="G92" t="e">
        <f>Tabla1[[#This Row],[RECUPEROS]]/Tabla1[[#This Row],[METAS]]</f>
        <v>#N/A</v>
      </c>
    </row>
    <row r="93" spans="1:7" x14ac:dyDescent="0.25">
      <c r="A93" t="s">
        <v>93</v>
      </c>
      <c r="B93" t="s">
        <v>1242</v>
      </c>
      <c r="C93" t="s">
        <v>1208</v>
      </c>
      <c r="D93" t="s">
        <v>1225</v>
      </c>
      <c r="E93" t="s">
        <v>548</v>
      </c>
      <c r="F93" t="e">
        <f>VLOOKUP(Tabla1[[#This Row],[ASESOR]],DATA_MAYO_2026[[ASER_]:[R_M]],24,0)</f>
        <v>#N/A</v>
      </c>
      <c r="G93" t="e">
        <f>Tabla1[[#This Row],[RECUPEROS]]/Tabla1[[#This Row],[METAS]]</f>
        <v>#N/A</v>
      </c>
    </row>
    <row r="94" spans="1:7" x14ac:dyDescent="0.25">
      <c r="A94" t="s">
        <v>14</v>
      </c>
      <c r="B94" t="s">
        <v>1242</v>
      </c>
      <c r="C94" t="s">
        <v>1208</v>
      </c>
      <c r="D94" t="s">
        <v>1225</v>
      </c>
      <c r="E94" t="s">
        <v>548</v>
      </c>
      <c r="F94" t="e">
        <f>VLOOKUP(Tabla1[[#This Row],[ASESOR]],DATA_MAYO_2026[[ASER_]:[R_M]],24,0)</f>
        <v>#N/A</v>
      </c>
      <c r="G94" t="e">
        <f>Tabla1[[#This Row],[RECUPEROS]]/Tabla1[[#This Row],[METAS]]</f>
        <v>#N/A</v>
      </c>
    </row>
    <row r="95" spans="1:7" x14ac:dyDescent="0.25">
      <c r="A95" t="s">
        <v>1189</v>
      </c>
      <c r="B95" t="s">
        <v>1242</v>
      </c>
      <c r="C95" t="s">
        <v>1208</v>
      </c>
      <c r="D95" t="s">
        <v>1225</v>
      </c>
      <c r="E95" t="s">
        <v>548</v>
      </c>
      <c r="F95" t="e">
        <f>VLOOKUP(Tabla1[[#This Row],[ASESOR]],DATA_MAYO_2026[[ASER_]:[R_M]],24,0)</f>
        <v>#N/A</v>
      </c>
      <c r="G95" t="e">
        <f>Tabla1[[#This Row],[RECUPEROS]]/Tabla1[[#This Row],[METAS]]</f>
        <v>#N/A</v>
      </c>
    </row>
    <row r="96" spans="1:7" x14ac:dyDescent="0.25">
      <c r="A96" t="s">
        <v>1190</v>
      </c>
      <c r="B96" t="s">
        <v>1242</v>
      </c>
      <c r="C96" t="s">
        <v>1208</v>
      </c>
      <c r="D96" t="s">
        <v>1225</v>
      </c>
      <c r="E96" t="s">
        <v>548</v>
      </c>
      <c r="F96" t="e">
        <f>VLOOKUP(Tabla1[[#This Row],[ASESOR]],DATA_MAYO_2026[[ASER_]:[R_M]],24,0)</f>
        <v>#N/A</v>
      </c>
      <c r="G96" t="e">
        <f>Tabla1[[#This Row],[RECUPEROS]]/Tabla1[[#This Row],[METAS]]</f>
        <v>#N/A</v>
      </c>
    </row>
    <row r="97" spans="1:7" x14ac:dyDescent="0.25">
      <c r="A97" t="s">
        <v>1191</v>
      </c>
      <c r="B97" t="s">
        <v>1242</v>
      </c>
      <c r="C97" t="s">
        <v>1210</v>
      </c>
      <c r="D97" t="s">
        <v>1226</v>
      </c>
      <c r="E97" t="s">
        <v>548</v>
      </c>
      <c r="F97" t="e">
        <f>VLOOKUP(Tabla1[[#This Row],[ASESOR]],DATA_MAYO_2026[[ASER_]:[R_M]],24,0)</f>
        <v>#N/A</v>
      </c>
      <c r="G97" t="e">
        <f>Tabla1[[#This Row],[RECUPEROS]]/Tabla1[[#This Row],[METAS]]</f>
        <v>#N/A</v>
      </c>
    </row>
    <row r="98" spans="1:7" x14ac:dyDescent="0.25">
      <c r="A98" t="s">
        <v>44</v>
      </c>
      <c r="B98" t="s">
        <v>1242</v>
      </c>
      <c r="C98" t="s">
        <v>1210</v>
      </c>
      <c r="D98" t="s">
        <v>1226</v>
      </c>
      <c r="E98" t="s">
        <v>548</v>
      </c>
      <c r="F98" t="e">
        <f>VLOOKUP(Tabla1[[#This Row],[ASESOR]],DATA_MAYO_2026[[ASER_]:[R_M]],24,0)</f>
        <v>#N/A</v>
      </c>
      <c r="G98" t="e">
        <f>Tabla1[[#This Row],[RECUPEROS]]/Tabla1[[#This Row],[METAS]]</f>
        <v>#N/A</v>
      </c>
    </row>
    <row r="99" spans="1:7" x14ac:dyDescent="0.25">
      <c r="A99" t="s">
        <v>1192</v>
      </c>
      <c r="B99" t="s">
        <v>1242</v>
      </c>
      <c r="C99" t="s">
        <v>1210</v>
      </c>
      <c r="D99" t="s">
        <v>1226</v>
      </c>
      <c r="E99" t="s">
        <v>548</v>
      </c>
      <c r="F99" t="e">
        <f>VLOOKUP(Tabla1[[#This Row],[ASESOR]],DATA_MAYO_2026[[ASER_]:[R_M]],24,0)</f>
        <v>#N/A</v>
      </c>
      <c r="G99" t="e">
        <f>Tabla1[[#This Row],[RECUPEROS]]/Tabla1[[#This Row],[METAS]]</f>
        <v>#N/A</v>
      </c>
    </row>
    <row r="100" spans="1:7" x14ac:dyDescent="0.25">
      <c r="A100" t="s">
        <v>1193</v>
      </c>
      <c r="B100" t="s">
        <v>1242</v>
      </c>
      <c r="C100" t="s">
        <v>1210</v>
      </c>
      <c r="D100" t="s">
        <v>1226</v>
      </c>
      <c r="E100" t="s">
        <v>548</v>
      </c>
      <c r="F100" t="e">
        <f>VLOOKUP(Tabla1[[#This Row],[ASESOR]],DATA_MAYO_2026[[ASER_]:[R_M]],24,0)</f>
        <v>#N/A</v>
      </c>
      <c r="G100" t="e">
        <f>Tabla1[[#This Row],[RECUPEROS]]/Tabla1[[#This Row],[METAS]]</f>
        <v>#N/A</v>
      </c>
    </row>
    <row r="101" spans="1:7" x14ac:dyDescent="0.25">
      <c r="A101" t="s">
        <v>1194</v>
      </c>
      <c r="B101" t="s">
        <v>1242</v>
      </c>
      <c r="C101" t="s">
        <v>1209</v>
      </c>
      <c r="D101" t="s">
        <v>1227</v>
      </c>
      <c r="E101" t="s">
        <v>548</v>
      </c>
      <c r="F101" t="e">
        <f>VLOOKUP(Tabla1[[#This Row],[ASESOR]],DATA_MAYO_2026[[ASER_]:[R_M]],24,0)</f>
        <v>#N/A</v>
      </c>
      <c r="G101" t="e">
        <f>Tabla1[[#This Row],[RECUPEROS]]/Tabla1[[#This Row],[METAS]]</f>
        <v>#N/A</v>
      </c>
    </row>
    <row r="102" spans="1:7" x14ac:dyDescent="0.25">
      <c r="A102" t="s">
        <v>1195</v>
      </c>
      <c r="B102" t="s">
        <v>1242</v>
      </c>
      <c r="C102" t="s">
        <v>1209</v>
      </c>
      <c r="D102" t="s">
        <v>1227</v>
      </c>
      <c r="E102" t="s">
        <v>548</v>
      </c>
      <c r="F102" t="e">
        <f>VLOOKUP(Tabla1[[#This Row],[ASESOR]],DATA_MAYO_2026[[ASER_]:[R_M]],24,0)</f>
        <v>#N/A</v>
      </c>
      <c r="G102" t="e">
        <f>Tabla1[[#This Row],[RECUPEROS]]/Tabla1[[#This Row],[METAS]]</f>
        <v>#N/A</v>
      </c>
    </row>
    <row r="103" spans="1:7" x14ac:dyDescent="0.25">
      <c r="A103" t="s">
        <v>1196</v>
      </c>
      <c r="B103" t="s">
        <v>1242</v>
      </c>
      <c r="C103" t="s">
        <v>1209</v>
      </c>
      <c r="D103" t="s">
        <v>1227</v>
      </c>
      <c r="E103" t="s">
        <v>548</v>
      </c>
      <c r="F103" t="e">
        <f>VLOOKUP(Tabla1[[#This Row],[ASESOR]],DATA_MAYO_2026[[ASER_]:[R_M]],24,0)</f>
        <v>#N/A</v>
      </c>
      <c r="G103" t="e">
        <f>Tabla1[[#This Row],[RECUPEROS]]/Tabla1[[#This Row],[METAS]]</f>
        <v>#N/A</v>
      </c>
    </row>
    <row r="104" spans="1:7" x14ac:dyDescent="0.25">
      <c r="A104" t="s">
        <v>1197</v>
      </c>
      <c r="B104" t="s">
        <v>1242</v>
      </c>
      <c r="C104" t="s">
        <v>1209</v>
      </c>
      <c r="D104" t="s">
        <v>1227</v>
      </c>
      <c r="E104" t="s">
        <v>548</v>
      </c>
      <c r="F104" t="e">
        <f>VLOOKUP(Tabla1[[#This Row],[ASESOR]],DATA_MAYO_2026[[ASER_]:[R_M]],24,0)</f>
        <v>#N/A</v>
      </c>
      <c r="G104" t="e">
        <f>Tabla1[[#This Row],[RECUPEROS]]/Tabla1[[#This Row],[METAS]]</f>
        <v>#N/A</v>
      </c>
    </row>
  </sheetData>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5751C70-F8A0-4BD3-A424-ADA8C600766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26</vt:i4>
      </vt:variant>
    </vt:vector>
  </HeadingPairs>
  <TitlesOfParts>
    <vt:vector size="26" baseType="lpstr">
      <vt:lpstr>NOVIEMBRE_2024</vt:lpstr>
      <vt:lpstr>DICIEMBRE_2024</vt:lpstr>
      <vt:lpstr>ENERO_2025</vt:lpstr>
      <vt:lpstr>FEBRERO_2025</vt:lpstr>
      <vt:lpstr>MARZO_2025</vt:lpstr>
      <vt:lpstr>ABRIL_2025</vt:lpstr>
      <vt:lpstr>MAYO_2025</vt:lpstr>
      <vt:lpstr>JUNIO_2025</vt:lpstr>
      <vt:lpstr>JULIO_2025</vt:lpstr>
      <vt:lpstr>AGOSTO_2025</vt:lpstr>
      <vt:lpstr>ING</vt:lpstr>
      <vt:lpstr>OCTUBRE_2025</vt:lpstr>
      <vt:lpstr>NOVIEMBRE_2025</vt:lpstr>
      <vt:lpstr>DICIEMBRE_2025</vt:lpstr>
      <vt:lpstr>ENERO_2026</vt:lpstr>
      <vt:lpstr>FEBRERO_2026</vt:lpstr>
      <vt:lpstr>MARZO_2026</vt:lpstr>
      <vt:lpstr>ABRIL_2026</vt:lpstr>
      <vt:lpstr>Hoja2</vt:lpstr>
      <vt:lpstr>MAYO_2026</vt:lpstr>
      <vt:lpstr>JUNIO_2026</vt:lpstr>
      <vt:lpstr>INF</vt:lpstr>
      <vt:lpstr>DIM</vt:lpstr>
      <vt:lpstr>METAS</vt:lpstr>
      <vt:lpstr>TIM</vt:lpstr>
      <vt:lpstr>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Jorge Vasquez</dc:creator>
  <cp:lastModifiedBy>Jorge Vasquez</cp:lastModifiedBy>
  <dcterms:created xsi:type="dcterms:W3CDTF">2025-08-08T17:28:32Z</dcterms:created>
  <dcterms:modified xsi:type="dcterms:W3CDTF">2026-06-24T14:14:15Z</dcterms:modified>
</cp:coreProperties>
</file>